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D:\AKM\Control\"/>
    </mc:Choice>
  </mc:AlternateContent>
  <xr:revisionPtr revIDLastSave="0" documentId="13_ncr:1_{28E3CCC8-7131-4F49-8BB0-AA93BF4140CC}" xr6:coauthVersionLast="47" xr6:coauthVersionMax="47" xr10:uidLastSave="{00000000-0000-0000-0000-000000000000}"/>
  <bookViews>
    <workbookView xWindow="-120" yWindow="-120" windowWidth="20730" windowHeight="11160" firstSheet="2" activeTab="3" xr2:uid="{00000000-000D-0000-FFFF-FFFF00000000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RESUPUESTO" sheetId="50" r:id="rId9"/>
    <sheet name="Hoja3" sheetId="52" state="hidden" r:id="rId10"/>
    <sheet name="PAGOS MAQUILA" sheetId="28" r:id="rId11"/>
  </sheets>
  <definedNames>
    <definedName name="_xlnm._FilterDatabase" localSheetId="7" hidden="1">BD!$L$2:$Q$121</definedName>
    <definedName name="_xlnm._FilterDatabase" localSheetId="3" hidden="1">MAQUILADO!$A$3:$K$10316</definedName>
    <definedName name="_xlnm._FilterDatabase" localSheetId="10" hidden="1">'PAGOS MAQUILA'!$B$8:$D$31</definedName>
    <definedName name="_xlnm.Print_Area" localSheetId="7">BD!$A$2:$F$40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612" i="1" l="1"/>
  <c r="H5212" i="1" l="1"/>
  <c r="F4652" i="1"/>
  <c r="F4523" i="1"/>
  <c r="P75" i="26"/>
  <c r="I4225" i="1" s="1"/>
  <c r="P76" i="26"/>
  <c r="I4358" i="1" s="1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565" i="1"/>
  <c r="I4590" i="1"/>
  <c r="I4622" i="1"/>
  <c r="I4647" i="1"/>
  <c r="I4663" i="1"/>
  <c r="I4672" i="1"/>
  <c r="I4680" i="1"/>
  <c r="I4707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5541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4128" i="1" s="1"/>
  <c r="P68" i="26"/>
  <c r="I4202" i="1" s="1"/>
  <c r="P69" i="26"/>
  <c r="P70" i="26"/>
  <c r="I4210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5180" i="1" s="1"/>
  <c r="P63" i="26"/>
  <c r="P64" i="26"/>
  <c r="I5152" i="1" s="1"/>
  <c r="P65" i="26"/>
  <c r="I5204" i="1" s="1"/>
  <c r="P66" i="26"/>
  <c r="I5284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5556" i="1" l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s="1"/>
  <c r="I4151" i="1" l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P5" i="26"/>
  <c r="I4012" i="1" s="1"/>
  <c r="P6" i="26"/>
  <c r="P7" i="26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P27" i="26"/>
  <c r="P28" i="26"/>
  <c r="P29" i="26"/>
  <c r="P30" i="26"/>
  <c r="I4080" i="1" s="1"/>
  <c r="P31" i="26"/>
  <c r="I3895" i="1" s="1"/>
  <c r="P32" i="26"/>
  <c r="P33" i="26"/>
  <c r="P34" i="26"/>
  <c r="P35" i="26"/>
  <c r="I5341" i="1" s="1"/>
  <c r="P36" i="26"/>
  <c r="P37" i="26"/>
  <c r="P38" i="26"/>
  <c r="P39" i="26"/>
  <c r="I4089" i="1" s="1"/>
  <c r="P40" i="26"/>
  <c r="P41" i="26"/>
  <c r="P42" i="26"/>
  <c r="P43" i="26"/>
  <c r="P44" i="26"/>
  <c r="P45" i="26"/>
  <c r="P46" i="26"/>
  <c r="I4020" i="1" s="1"/>
  <c r="P47" i="26"/>
  <c r="I3919" i="1" s="1"/>
  <c r="P48" i="26"/>
  <c r="P49" i="26"/>
  <c r="P50" i="26"/>
  <c r="P51" i="26"/>
  <c r="P52" i="26"/>
  <c r="P53" i="26"/>
  <c r="P54" i="26"/>
  <c r="I4083" i="1" s="1"/>
  <c r="P55" i="26"/>
  <c r="I4055" i="1" s="1"/>
  <c r="P56" i="26"/>
  <c r="P57" i="26"/>
  <c r="P58" i="26"/>
  <c r="I3940" i="1" s="1"/>
  <c r="P59" i="26"/>
  <c r="I3944" i="1" s="1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D5851" i="1"/>
  <c r="C5851" i="1"/>
  <c r="B5851" i="1"/>
  <c r="J5850" i="1"/>
  <c r="D5850" i="1"/>
  <c r="C5850" i="1"/>
  <c r="B5850" i="1"/>
  <c r="J5849" i="1"/>
  <c r="D5849" i="1"/>
  <c r="C5849" i="1"/>
  <c r="B5849" i="1"/>
  <c r="J5848" i="1"/>
  <c r="D5848" i="1"/>
  <c r="C5848" i="1"/>
  <c r="B5848" i="1"/>
  <c r="J5847" i="1"/>
  <c r="D5847" i="1"/>
  <c r="C5847" i="1"/>
  <c r="B5847" i="1"/>
  <c r="J5846" i="1"/>
  <c r="D5846" i="1"/>
  <c r="C5846" i="1"/>
  <c r="B5846" i="1"/>
  <c r="J5845" i="1"/>
  <c r="D5845" i="1"/>
  <c r="C5845" i="1"/>
  <c r="B5845" i="1"/>
  <c r="J5844" i="1"/>
  <c r="D5844" i="1"/>
  <c r="C5844" i="1"/>
  <c r="B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I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I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3870" i="1" l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P20" i="28" l="1"/>
  <c r="P18" i="28"/>
  <c r="P22" i="28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R6" i="28" l="1"/>
  <c r="R7" i="28"/>
  <c r="R8" i="28"/>
  <c r="R11" i="28"/>
  <c r="R10" i="28"/>
  <c r="R13" i="28"/>
  <c r="R9" i="28"/>
  <c r="R5" i="28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<sst xmlns="http://schemas.openxmlformats.org/spreadsheetml/2006/main" count="3274" uniqueCount="286">
  <si>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</si>
  <si>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</si>
  <si>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</si>
  <si>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</si>
  <si>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</si>
  <si>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</si>
  <si>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</si>
  <si>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</si>
  <si>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</si>
  <si>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</si>
  <si>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</si>
  <si>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</si>
  <si>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</si>
  <si>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</si>
  <si>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</si>
  <si>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</si>
  <si>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</si>
  <si>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</si>
  <si>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</si>
  <si>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</si>
  <si>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</si>
  <si>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</si>
  <si>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</si>
  <si>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</si>
  <si>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</si>
  <si>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</si>
  <si>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</si>
  <si>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</si>
  <si>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</si>
  <si>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</si>
  <si>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</si>
  <si>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</si>
  <si>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</si>
  <si>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</si>
  <si>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</si>
  <si>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</si>
  <si>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</si>
  <si>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</si>
  <si>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</si>
  <si>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</si>
  <si>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</si>
  <si>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</si>
  <si>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</si>
  <si>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</si>
  <si>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</si>
  <si>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</si>
  <si>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</si>
  <si>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</si>
  <si>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</si>
  <si>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</si>
  <si>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</si>
  <si>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</si>
  <si>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</si>
  <si>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</si>
  <si>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</si>
  <si>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</si>
  <si>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</si>
  <si>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</si>
  <si>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</si>
  <si>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</si>
  <si>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</si>
  <si>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</si>
  <si>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</si>
  <si>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</si>
  <si>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</si>
  <si>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</si>
  <si>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</si>
  <si>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</si>
  <si>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</si>
  <si>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</si>
  <si>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</si>
  <si>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</si>
  <si>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</si>
  <si>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</si>
  <si>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</si>
  <si>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</si>
  <si>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</si>
  <si>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</si>
  <si>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</si>
  <si>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</si>
  <si>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</si>
  <si>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</si>
  <si>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</si>
  <si>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</si>
  <si>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</si>
  <si>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</si>
  <si>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</si>
  <si>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</si>
  <si>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</si>
  <si>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</si>
  <si>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</si>
  <si>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</si>
  <si>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</si>
  <si>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</si>
  <si>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</si>
  <si>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</si>
  <si>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</si>
  <si>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</si>
  <si>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</si>
  <si>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</si>
  <si>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</si>
  <si>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</si>
  <si>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</si>
  <si>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</si>
  <si>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</si>
  <si>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</si>
  <si>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</si>
  <si>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</si>
  <si>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</si>
  <si>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</si>
  <si>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</si>
  <si>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</si>
  <si>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</si>
  <si>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</si>
  <si>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</si>
  <si>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</si>
  <si>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</si>
  <si>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</si>
  <si>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</si>
  <si>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</si>
  <si>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</si>
  <si>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</si>
  <si>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</si>
  <si>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</si>
  <si>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</si>
  <si>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</si>
  <si>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</si>
  <si>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</si>
  <si>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</si>
  <si>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</si>
  <si>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</si>
  <si>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</si>
  <si>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</si>
  <si>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</si>
  <si>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</si>
  <si>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</si>
  <si>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</si>
  <si>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</si>
  <si>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</si>
  <si>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</si>
  <si>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</si>
  <si>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</si>
  <si>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</si>
  <si>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</si>
  <si>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</si>
  <si>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</si>
  <si>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</si>
  <si>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</si>
  <si>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</si>
  <si>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</si>
  <si>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</si>
  <si>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</si>
  <si>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</si>
  <si>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</si>
  <si>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</si>
  <si>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</si>
  <si>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</si>
  <si>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</si>
  <si>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</si>
  <si>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</si>
  <si>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</si>
  <si>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</si>
  <si>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</si>
  <si>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no está registrado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</si>
  <si>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</si>
  <si>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</si>
  <si>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</si>
  <si>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</si>
  <si>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</si>
  <si>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</si>
  <si>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</si>
  <si>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</si>
  <si>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</si>
  <si>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</si>
  <si>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</si>
  <si>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</si>
  <si>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</si>
  <si>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</si>
  <si>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</si>
  <si>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</si>
  <si>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</si>
  <si>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</si>
  <si>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</si>
  <si>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</si>
  <si>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</si>
  <si>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</si>
  <si>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</si>
  <si>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</si>
  <si>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</si>
  <si>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</si>
  <si>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</si>
  <si>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</si>
  <si>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</si>
  <si>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</si>
  <si>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</si>
  <si>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</si>
  <si>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</si>
  <si>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</si>
  <si>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</si>
  <si>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</si>
  <si>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</si>
  <si>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</si>
  <si>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</si>
  <si>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</si>
  <si>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</si>
  <si>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</si>
  <si>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</si>
  <si>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</si>
  <si>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</si>
  <si>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</si>
  <si>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</si>
  <si>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</si>
  <si>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</si>
  <si>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VENTA TOTAL</t>
  </si>
  <si>
    <t>CLIENTE</t>
  </si>
  <si>
    <t>:CORPORACION LINDLEY S.A</t>
  </si>
  <si>
    <t>UBICACIÓN</t>
  </si>
  <si>
    <t>: Planta Pucusana - Lima</t>
  </si>
  <si>
    <t>ATENCION</t>
  </si>
  <si>
    <t>REFERENCIA</t>
  </si>
  <si>
    <t>: Lima, 05 de Julio de 2021</t>
  </si>
  <si>
    <t>PRESUPUESTO N° 010/2021</t>
  </si>
  <si>
    <t>: Enrique Aguilar</t>
  </si>
  <si>
    <t>: Maquila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</si>
  <si>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</si>
  <si>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</si>
  <si>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</si>
  <si>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</si>
  <si>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</si>
  <si>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</si>
  <si>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</si>
  <si>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SETIEMBRE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</si>
  <si>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</si>
  <si>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</si>
  <si>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</si>
  <si>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</si>
  <si>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</si>
  <si>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</si>
  <si>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</si>
  <si>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</si>
  <si>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</si>
  <si>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</si>
  <si>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</si>
  <si>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</si>
  <si>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</si>
  <si>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</si>
  <si>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</si>
  <si>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</si>
  <si>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</si>
  <si>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</si>
  <si>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</si>
  <si>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</si>
  <si>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 xml:space="preserve"> .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</si>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</sst>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  <numFmt numFmtId="171" formatCode="&quot;:&quot;\ @"/>
  </numFmts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0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14" fontId="0" fillId="0" borderId="0" xfId="0" applyNumberFormat="1" applyAlignment="1">
      <alignment horizontal="left"/>
    </xf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2" fontId="0" fillId="6" borderId="0" xfId="0" applyNumberFormat="1" applyFill="1"/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3" fillId="0" borderId="0" xfId="0" applyFont="1"/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3" fillId="0" borderId="0" xfId="0" pivotButton="1" applyFont="1"/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171" fontId="0" fillId="0" borderId="0" xfId="0" applyNumberFormat="1"/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69" fontId="7" fillId="4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5" fillId="19" borderId="4" xfId="0" applyFont="1" applyFill="1" applyBorder="1" applyAlignment="1">
      <alignment horizontal="center" vertical="center"/>
    </xf>
    <xf numFmtId="0" fontId="15" fillId="19" borderId="73" xfId="0" applyFont="1" applyFill="1" applyBorder="1" applyAlignment="1">
      <alignment horizontal="center" vertical="center"/>
    </xf>
    <xf numFmtId="0" fontId="15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  <xf numFmtId="0" fontId="14" fillId="0" borderId="44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0" fontId="14" fillId="0" borderId="7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56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3F3F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9" formatCode="&quot;S/&quot;\ #,##0.00"/>
    </dxf>
    <dxf>
      <numFmt numFmtId="169" formatCode="&quot;S/&quot;\ #,##0.00"/>
    </dxf>
    <dxf>
      <numFmt numFmtId="2" formatCode="0.00"/>
    </dxf>
    <dxf>
      <numFmt numFmtId="2" formatCode="0.00"/>
    </dxf>
    <dxf>
      <numFmt numFmtId="3" formatCode="#,##0"/>
    </dxf>
    <dxf>
      <numFmt numFmtId="173" formatCode="&quot;S/.&quot;\ #,##0.00;&quot;S/.&quot;\ \-#,##0.00"/>
    </dxf>
    <dxf>
      <alignment vertical="center"/>
    </dxf>
    <dxf>
      <alignment horizontal="center"/>
    </dxf>
    <dxf>
      <fill>
        <patternFill patternType="solid">
          <bgColor rgb="FFFFFF00"/>
        </patternFill>
      </fill>
    </dxf>
    <dxf>
      <font>
        <color rgb="FFFF0000"/>
      </font>
    </dxf>
    <dxf>
      <numFmt numFmtId="164" formatCode="_ &quot;S/.&quot;\ * #,##0.00_ ;_ &quot;S/.&quot;\ * \-#,##0.00_ ;_ &quot;S/.&quot;\ * &quot;-&quot;??_ ;_ @_ 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71" formatCode="&quot;:&quot;\ @"/>
    </dxf>
    <dxf>
      <numFmt numFmtId="172" formatCode="&quot;:&quot;\ 0"/>
    </dxf>
    <dxf>
      <numFmt numFmtId="30" formatCode="@"/>
    </dxf>
    <dxf>
      <font>
        <b/>
      </font>
    </dxf>
    <dxf>
      <alignment horizontal="center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533400</xdr:colOff>
      <xdr:row>4</xdr:row>
      <xdr:rowOff>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60BDF9-9CDE-484C-81B0-76E0142F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1304925" cy="70020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677.384392939814" createdVersion="5" refreshedVersion="7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858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0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 u="1"/>
        <n v="22" u="1"/>
        <n v="18" u="1"/>
        <n v="21" u="1"/>
        <n v="20" u="1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44"/>
    </cacheField>
    <cacheField name="PRODUCTO" numFmtId="0">
      <sharedItems containsMixedTypes="1" containsNumber="1" containsInteger="1" minValue="0" maxValue="0" count="6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0"/>
        <n v="2022"/>
        <n v="2018" u="1"/>
        <n v="2019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677.384393865737" createdVersion="5" refreshedVersion="7" minRefreshableVersion="3" recordCount="10313" xr:uid="{00000000-000A-0000-FFFF-FFFF02000000}">
  <cacheSource type="worksheet">
    <worksheetSource ref="A3:I10316" sheet="MAQUILADO"/>
  </cacheSource>
  <cacheFields count="9">
    <cacheField name="FECHA" numFmtId="14">
      <sharedItems containsNonDate="0" containsDate="1" containsString="0" containsBlank="1" minDate="1899-12-31T00:00:00" maxDate="2025-06-18T00:00:00" count="1775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0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8-11-29T00:00:00" u="1"/>
        <d v="2019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19-05-02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9-02-16T00:00:00" u="1"/>
        <d v="2021-01-20T00:00:00" u="1"/>
        <d v="2018-03-12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19-05-04T00:00:00" u="1"/>
        <d v="2021-04-08T00:00:00" u="1"/>
        <d v="2020-05-04T00:00:00" u="1"/>
        <d v="2021-05-04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9-05-06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9-05-08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9-03-18T00:00:00" u="1"/>
        <d v="2021-02-22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19-05-10T00:00:00" u="1"/>
        <d v="2021-04-14T00:00:00" u="1"/>
        <d v="2016-07-02T00:00:00" u="1"/>
        <d v="2018-06-06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21-01-28T00:00:00" u="1"/>
        <d v="2016-04-16T00:00:00" u="1"/>
        <d v="2018-03-20T00:00:00" u="1"/>
        <d v="2020-02-24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21-03-22T00:00:00" u="1"/>
        <d v="2016-06-10T00:00:00" u="1"/>
        <d v="2018-05-14T00:00:00" u="1"/>
        <d v="2017-06-10T00:00:00" u="1"/>
        <d v="2019-05-14T00:00:00" u="1"/>
        <d v="2016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19-05-16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19-05-18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19-05-24T00:00:00" u="1"/>
        <d v="2021-04-28T00:00:00" u="1"/>
        <d v="2016-07-16T00:00:00" u="1"/>
        <d v="2018-06-20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8-04-30T00:00:00" u="1"/>
        <d v="2017-05-26T00:00:00" u="1"/>
        <d v="2019-04-30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8-08-14T00:00:00" u="1"/>
        <d v="2020-07-18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8-09-12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9-10-16T00:00:00" u="1"/>
        <d v="2018-11-12T00:00:00" u="1"/>
        <d v="2020-10-16T00:00:00" u="1"/>
        <d v="2019-11-12T00:00:00" u="1"/>
        <d v="2018-12-08T00:00:00" u="1"/>
        <d v="2020-11-12T00:00:00" u="1"/>
        <d v="2016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7-08-28T00:00:00" u="1"/>
        <d v="2016-09-24T00:00:00" u="1"/>
        <d v="2018-08-28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9-26T00:00:00" u="1"/>
        <d v="2017-09-26T00:00:00" u="1"/>
        <d v="2016-10-22T00:00:00" u="1"/>
        <d v="2018-09-26T00:00:00" u="1"/>
        <d v="2019-09-26T00:00:00" u="1"/>
        <d v="2016-11-18T00:00:00" u="1"/>
        <d v="2018-10-22T00:00:00" u="1"/>
        <d v="2020-09-26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10-30T00:00:00" u="1"/>
        <d v="2016-11-26T00:00:00" u="1"/>
        <d v="2018-10-30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19-05-03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9-04-11T00:00:00" u="1"/>
        <d v="2021-03-15T00:00:00" u="1"/>
        <d v="2016-06-03T00:00:00" u="1"/>
        <d v="2018-05-07T00:00:00" u="1"/>
        <d v="2020-04-11T00:00:00" u="1"/>
        <d v="2019-05-07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19-05-09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19-05-11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8-01-29T00:00:00" u="1"/>
        <d v="2017-02-25T00:00:00" u="1"/>
        <d v="2019-01-29T00:00:00" u="1"/>
        <d v="2020-01-29T00:00:00" u="1"/>
        <d v="2019-02-25T00:00:00" u="1"/>
        <d v="2021-01-29T00:00:00" u="1"/>
        <d v="2018-03-21T00:00:00" u="1"/>
        <d v="2020-02-25T00:00:00" u="1"/>
        <d v="2017-04-17T00:00:00" u="1"/>
        <d v="2019-03-21T00:00:00" u="1"/>
        <d v="2021-02-25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19-05-13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9-05-15T00:00:00" u="1"/>
        <d v="2021-04-19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19-05-17T00:00:00" u="1"/>
        <d v="2021-04-21T00:00:00" u="1"/>
        <d v="2016-07-09T00:00:00" u="1"/>
        <d v="2018-06-13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8-08-07T00:00:00" u="1"/>
        <d v="2020-07-11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9-04-29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8-10-05T00:00:00" u="1"/>
        <d v="2020-09-09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3"/>
    </cacheField>
    <cacheField name="DÍA" numFmtId="0">
      <sharedItems containsBlank="1"/>
    </cacheField>
    <cacheField name="CÓD SAP" numFmtId="0">
      <sharedItems containsBlank="1" containsMixedTypes="1" containsNumber="1" containsInteger="1" minValue="0" maxValue="751544" count="140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m/>
        <n v="0" u="1"/>
        <n v="256375" u="1"/>
        <n v="256329" u="1"/>
        <n v="256330" u="1"/>
        <n v="256331" u="1"/>
        <n v="256332" u="1"/>
        <n v="256614" u="1"/>
        <n v="251393" u="1"/>
        <n v="254845" u="1"/>
        <n v="254846" u="1"/>
        <n v="254986" u="1"/>
        <n v="254987" u="1"/>
        <n v="255454" u="1"/>
        <n v="254988" u="1"/>
        <n v="254849" u="1"/>
        <n v="255362" u="1"/>
        <n v="254850" u="1"/>
        <n v="254851" u="1"/>
        <n v="256343" u="1"/>
        <n v="256344" u="1"/>
        <n v="256626" u="1"/>
        <n v="256440" u="1"/>
        <n v="256627" u="1"/>
        <n v="256441" u="1"/>
        <n v="254996" u="1"/>
        <n v="254950" u="1"/>
        <n v="255417" u="1"/>
        <n v="254951" u="1"/>
        <n v="251315" u="1"/>
        <n v="255418" u="1"/>
        <n v="250524" u="1"/>
        <n v="254954" u="1"/>
        <n v="256357" u="1"/>
        <n v="252534" u="1"/>
        <n v="256359" u="1"/>
        <n v="255382" u="1"/>
        <n v="254963" u="1"/>
        <n v="255337" u="1"/>
        <n v="256456" u="1"/>
        <n v="251468" u="1"/>
        <n v="256457" u="1"/>
        <n v="254732" u="1"/>
        <n v="256319" u="1"/>
        <n v="254967" u="1"/>
        <n v="255341" u="1"/>
        <n v="251519" u="1"/>
        <n v="254786" u="1"/>
        <n v="251196" u="1"/>
        <n v="256558" u="1"/>
        <n v="256559" u="1"/>
        <n v="255347" u="1"/>
        <n v="256560" u="1"/>
        <n v="252364" u="1"/>
        <n v="254975" u="1"/>
        <n v="255348" u="1"/>
        <n v="251385" u="1"/>
        <n v="256561" u="1"/>
        <n v="254976" u="1"/>
        <n v="255349" u="1"/>
      </sharedItems>
    </cacheField>
    <cacheField name="PRODUCTO" numFmtId="0">
      <sharedItems containsMixedTypes="1" containsNumber="1" containsInteger="1" minValue="0" maxValue="0"/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677.384394560184" createdVersion="5" refreshedVersion="7" minRefreshableVersion="3" recordCount="10313" xr:uid="{00000000-000A-0000-FFFF-FFFF01000000}">
  <cacheSource type="worksheet">
    <worksheetSource ref="A3:J10316" sheet="MAQUILADO"/>
  </cacheSource>
  <cacheFields count="10">
    <cacheField name="FECHA" numFmtId="14">
      <sharedItems containsNonDate="0" containsDate="1" containsString="0" containsBlank="1" minDate="1899-12-31T00:00:00" maxDate="2025-06-18T00:00:00" count="1794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0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8-11-29T00:00:00" u="1"/>
        <d v="2019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19-05-02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19-05-04T00:00:00" u="1"/>
        <d v="2021-04-08T00:00:00" u="1"/>
        <d v="2020-05-04T00:00:00" u="1"/>
        <d v="2021-05-04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9-05-06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9-05-08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9-03-18T00:00:00" u="1"/>
        <d v="2021-02-22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19-05-10T00:00:00" u="1"/>
        <d v="2021-04-14T00:00:00" u="1"/>
        <d v="2016-07-02T00:00:00" u="1"/>
        <d v="2018-06-06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21-01-28T00:00:00" u="1"/>
        <d v="2016-04-16T00:00:00" u="1"/>
        <d v="2018-03-20T00:00:00" u="1"/>
        <d v="2020-02-24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21-03-22T00:00:00" u="1"/>
        <d v="2016-06-10T00:00:00" u="1"/>
        <d v="2018-05-14T00:00:00" u="1"/>
        <d v="2017-06-10T00:00:00" u="1"/>
        <d v="2019-05-14T00:00:00" u="1"/>
        <d v="2016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19-05-16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19-05-18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19-05-20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9-05-22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19-05-24T00:00:00" u="1"/>
        <d v="2021-04-28T00:00:00" u="1"/>
        <d v="2016-07-16T00:00:00" u="1"/>
        <d v="2018-06-20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8-04-30T00:00:00" u="1"/>
        <d v="2017-05-26T00:00:00" u="1"/>
        <d v="2019-04-30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6-06-24T00:00:00" u="1"/>
        <d v="2018-05-28T00:00:00" u="1"/>
        <d v="2017-06-24T00:00:00" u="1"/>
        <d v="2019-05-28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9-05-30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9-10-16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7-08-28T00:00:00" u="1"/>
        <d v="2016-09-24T00:00:00" u="1"/>
        <d v="2018-08-28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9-26T00:00:00" u="1"/>
        <d v="2017-09-26T00:00:00" u="1"/>
        <d v="2016-10-22T00:00:00" u="1"/>
        <d v="2018-09-26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10-30T00:00:00" u="1"/>
        <d v="2016-11-26T00:00:00" u="1"/>
        <d v="2018-10-30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19-05-03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19-05-07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19-05-09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19-05-11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8-01-29T00:00:00" u="1"/>
        <d v="2017-02-25T00:00:00" u="1"/>
        <d v="2019-01-29T00:00:00" u="1"/>
        <d v="2020-01-29T00:00:00" u="1"/>
        <d v="2019-02-25T00:00:00" u="1"/>
        <d v="2021-01-29T00:00:00" u="1"/>
        <d v="2018-03-21T00:00:00" u="1"/>
        <d v="2020-02-25T00:00:00" u="1"/>
        <d v="2017-04-17T00:00:00" u="1"/>
        <d v="2019-03-21T00:00:00" u="1"/>
        <d v="2021-02-25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19-05-13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9-05-15T00:00:00" u="1"/>
        <d v="2021-04-19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18-03-25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19-05-17T00:00:00" u="1"/>
        <d v="2021-04-21T00:00:00" u="1"/>
        <d v="2016-07-09T00:00:00" u="1"/>
        <d v="2018-06-13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9-04-25T00:00:00" u="1"/>
        <d v="2021-03-29T00:00:00" u="1"/>
        <d v="2016-06-17T00:00:00" u="1"/>
        <d v="2018-05-21T00:00:00" u="1"/>
        <d v="2017-06-17T00:00:00" u="1"/>
        <d v="2019-05-21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9-05-23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9-04-29T00:00:00" u="1"/>
        <d v="2016-06-21T00:00:00" u="1"/>
        <d v="2018-05-25T00:00:00" u="1"/>
        <d v="2020-04-29T00:00:00" u="1"/>
        <d v="2017-06-21T00:00:00" u="1"/>
        <d v="2019-05-25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8-10-05T00:00:00" u="1"/>
        <d v="2020-09-09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9-05-27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9-05-29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 containsBlank="1" count="14">
        <s v="JUNIO"/>
        <s v="JULIO"/>
        <s v="AGOSTO"/>
        <s v="SETIEMBRE"/>
        <s v="OCTUBRE"/>
        <s v="ENERO"/>
        <s v="NOVIEMBRE"/>
        <s v="DICIEMBRE"/>
        <s v="FEBRERO"/>
        <s v="MARZO"/>
        <s v="ABRIL"/>
        <m u="1"/>
        <s v="MAYO" u="1"/>
        <s v="SEPTIEMBRE" u="1"/>
      </sharedItems>
    </cacheField>
    <cacheField name="SEMANA" numFmtId="0">
      <sharedItems containsString="0" containsBlank="1" containsNumber="1" containsInteger="1" minValue="1" maxValue="53" count="49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44" count="99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m/>
        <n v="256614" u="1"/>
        <n v="256626" u="1"/>
        <n v="256627" u="1"/>
        <n v="251315" u="1"/>
        <n v="256357" u="1"/>
        <n v="256359" u="1"/>
        <n v="255382" u="1"/>
        <n v="254963" u="1"/>
        <n v="251468" u="1"/>
        <n v="254732" u="1"/>
        <n v="254786" u="1"/>
        <n v="256558" u="1"/>
        <n v="256559" u="1"/>
        <n v="256560" u="1"/>
        <n v="252364" u="1"/>
        <n v="254975" u="1"/>
        <n v="256561" u="1"/>
        <n v="254976" u="1"/>
      </sharedItems>
    </cacheField>
    <cacheField name="PRODUCTO" numFmtId="0">
      <sharedItems containsMixedTypes="1" containsNumber="1" containsInteger="1" minValue="0" maxValue="0" count="6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0"/>
        <n v="2022"/>
        <n v="2018" u="1"/>
        <n v="2019" u="1"/>
        <n v="2016" u="1"/>
        <n v="2025" u="1"/>
        <n v="201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677.384395370369" createdVersion="7" refreshedVersion="7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4-26T00:00:00"/>
    </cacheField>
    <cacheField name="MES" numFmtId="0">
      <sharedItems containsBlank="1" count="12">
        <s v="JUNIO"/>
        <s v="JULIO"/>
        <s v="AGOSTO"/>
        <s v="SETIEMBRE"/>
        <s v="OCTUBRE"/>
        <s v="ENERO"/>
        <s v="NOVIEMBRE"/>
        <s v="DICIEMBRE"/>
        <s v="FEBRERO"/>
        <s v="MARZO"/>
        <s v="ABRIL"/>
        <m/>
      </sharedItems>
    </cacheField>
    <cacheField name="SEMANA" numFmtId="0">
      <sharedItems containsString="0" containsBlank="1" containsNumber="1" containsInteger="1" minValue="1" maxValue="53"/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44" count="8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6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0"/>
        <n v="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TIEMBRE"/>
    <x v="13"/>
    <s v="MIÉRCOLES"/>
    <n v="256675"/>
    <x v="8"/>
    <n v="1080"/>
    <n v="198"/>
    <n v="183.60000000000002"/>
    <x v="0"/>
  </r>
  <r>
    <x v="77"/>
    <s v="SETIEMBRE"/>
    <x v="13"/>
    <s v="MIÉRCOLES"/>
    <n v="256678"/>
    <x v="11"/>
    <n v="2160"/>
    <n v="90"/>
    <n v="367.20000000000005"/>
    <x v="0"/>
  </r>
  <r>
    <x v="77"/>
    <s v="SETIEMBRE"/>
    <x v="13"/>
    <s v="MIÉRCOLES"/>
    <n v="256679"/>
    <x v="23"/>
    <n v="450"/>
    <n v="90"/>
    <n v="76.5"/>
    <x v="0"/>
  </r>
  <r>
    <x v="77"/>
    <s v="SETIEMBRE"/>
    <x v="13"/>
    <s v="MIÉRCOLES"/>
    <n v="256677"/>
    <x v="10"/>
    <n v="4080"/>
    <n v="120"/>
    <n v="693.6"/>
    <x v="0"/>
  </r>
  <r>
    <x v="77"/>
    <s v="SETIEMBRE"/>
    <x v="13"/>
    <s v="MIÉRCOLES"/>
    <n v="256652"/>
    <x v="9"/>
    <n v="900"/>
    <n v="90"/>
    <n v="153"/>
    <x v="0"/>
  </r>
  <r>
    <x v="77"/>
    <s v="SETIEMBRE"/>
    <x v="13"/>
    <s v="MIÉRCOLES"/>
    <n v="256617"/>
    <x v="3"/>
    <n v="396"/>
    <n v="198"/>
    <n v="67.320000000000007"/>
    <x v="0"/>
  </r>
  <r>
    <x v="77"/>
    <s v="SETIEMBRE"/>
    <x v="13"/>
    <s v="MIÉRCOLES"/>
    <n v="256682"/>
    <x v="20"/>
    <n v="720"/>
    <n v="90"/>
    <n v="122.4"/>
    <x v="0"/>
  </r>
  <r>
    <x v="77"/>
    <s v="SETIEMBRE"/>
    <x v="13"/>
    <s v="MIÉRCOLES"/>
    <n v="256682"/>
    <x v="20"/>
    <n v="270"/>
    <n v="90"/>
    <n v="45.900000000000006"/>
    <x v="0"/>
  </r>
  <r>
    <x v="77"/>
    <s v="SETIEMBRE"/>
    <x v="13"/>
    <s v="MIÉRCOLES"/>
    <n v="254853"/>
    <x v="2"/>
    <n v="1296"/>
    <n v="198"/>
    <n v="220.32000000000002"/>
    <x v="0"/>
  </r>
  <r>
    <x v="77"/>
    <s v="SETIEMBRE"/>
    <x v="13"/>
    <s v="MIÉRCOLES"/>
    <n v="251406"/>
    <x v="1"/>
    <n v="1728"/>
    <n v="198"/>
    <n v="293.76000000000005"/>
    <x v="0"/>
  </r>
  <r>
    <x v="77"/>
    <s v="SETIEMBRE"/>
    <x v="13"/>
    <s v="MIÉRCOLES"/>
    <n v="751468"/>
    <x v="32"/>
    <n v="420"/>
    <n v="420"/>
    <n v="176.4"/>
    <x v="0"/>
  </r>
  <r>
    <x v="77"/>
    <s v="SETIEMBRE"/>
    <x v="13"/>
    <s v="MIÉRCOLES"/>
    <n v="751468"/>
    <x v="32"/>
    <n v="420"/>
    <n v="420"/>
    <n v="176.4"/>
    <x v="0"/>
  </r>
  <r>
    <x v="77"/>
    <s v="SETIEMBRE"/>
    <x v="13"/>
    <s v="MIÉRCOLES"/>
    <n v="751468"/>
    <x v="32"/>
    <n v="840"/>
    <n v="420"/>
    <n v="352.8"/>
    <x v="0"/>
  </r>
  <r>
    <x v="77"/>
    <s v="SETIEMBRE"/>
    <x v="13"/>
    <s v="MIÉRCOLES"/>
    <n v="251429"/>
    <x v="0"/>
    <n v="96"/>
    <n v="48"/>
    <n v="38.400000000000006"/>
    <x v="0"/>
  </r>
  <r>
    <x v="77"/>
    <s v="SETIEMBRE"/>
    <x v="13"/>
    <s v="MIÉRCOLES"/>
    <n v="251429"/>
    <x v="0"/>
    <n v="192"/>
    <n v="48"/>
    <n v="76.800000000000011"/>
    <x v="0"/>
  </r>
  <r>
    <x v="77"/>
    <s v="SETIEMBRE"/>
    <x v="13"/>
    <s v="MIÉRCOLES"/>
    <n v="256674"/>
    <x v="7"/>
    <n v="432"/>
    <n v="198"/>
    <n v="73.440000000000012"/>
    <x v="0"/>
  </r>
  <r>
    <x v="77"/>
    <s v="SETIEMBRE"/>
    <x v="13"/>
    <s v="MIÉRCOLES"/>
    <n v="256379"/>
    <x v="15"/>
    <n v="200"/>
    <n v="50"/>
    <n v="80"/>
    <x v="0"/>
  </r>
  <r>
    <x v="77"/>
    <s v="SETIEMBRE"/>
    <x v="13"/>
    <s v="MIÉRCOLES"/>
    <n v="256680"/>
    <x v="26"/>
    <n v="450"/>
    <n v="90"/>
    <n v="76.5"/>
    <x v="0"/>
  </r>
  <r>
    <x v="77"/>
    <s v="SETIEMBRE"/>
    <x v="13"/>
    <s v="MIÉRCOLES"/>
    <n v="256676"/>
    <x v="17"/>
    <n v="360"/>
    <n v="120"/>
    <n v="61.2"/>
    <x v="0"/>
  </r>
  <r>
    <x v="77"/>
    <s v="SETIEMBRE"/>
    <x v="13"/>
    <s v="MIÉRCOLES"/>
    <n v="256601"/>
    <x v="5"/>
    <n v="162"/>
    <n v="162"/>
    <n v="27.540000000000003"/>
    <x v="0"/>
  </r>
  <r>
    <x v="77"/>
    <s v="SETIEMBRE"/>
    <x v="13"/>
    <s v="MIÉRCOLES"/>
    <n v="256488"/>
    <x v="6"/>
    <n v="1080"/>
    <n v="120"/>
    <n v="183.60000000000002"/>
    <x v="0"/>
  </r>
  <r>
    <x v="77"/>
    <s v="SETIEMBRE"/>
    <x v="13"/>
    <s v="MIÉRCOLES"/>
    <n v="256695"/>
    <x v="25"/>
    <n v="450"/>
    <n v="225"/>
    <n v="189"/>
    <x v="0"/>
  </r>
  <r>
    <x v="77"/>
    <s v="SETIEMBRE"/>
    <x v="13"/>
    <s v="MIÉRCOLES"/>
    <n v="256666"/>
    <x v="4"/>
    <n v="486"/>
    <n v="162"/>
    <n v="82.62"/>
    <x v="0"/>
  </r>
  <r>
    <x v="77"/>
    <s v="SETIEMBRE"/>
    <x v="13"/>
    <s v="MIÉRCOLES"/>
    <n v="251632"/>
    <x v="35"/>
    <n v="360"/>
    <n v="180"/>
    <n v="151.19999999999999"/>
    <x v="0"/>
  </r>
  <r>
    <x v="77"/>
    <s v="SETIEMBRE"/>
    <x v="13"/>
    <s v="MIÉRCOLES"/>
    <n v="256685"/>
    <x v="38"/>
    <n v="112"/>
    <n v="112"/>
    <n v="44.800000000000004"/>
    <x v="0"/>
  </r>
  <r>
    <x v="77"/>
    <s v="SETIEMBRE"/>
    <x v="13"/>
    <s v="MIÉRCOLES"/>
    <n v="751315"/>
    <x v="24"/>
    <n v="420"/>
    <n v="420"/>
    <n v="176.4"/>
    <x v="0"/>
  </r>
  <r>
    <x v="77"/>
    <s v="SETIEMBRE"/>
    <x v="13"/>
    <s v="MIÉRCOLES"/>
    <n v="256708"/>
    <x v="12"/>
    <n v="450"/>
    <n v="225"/>
    <n v="180"/>
    <x v="0"/>
  </r>
  <r>
    <x v="78"/>
    <s v="SETIEMBRE"/>
    <x v="13"/>
    <s v="JUEVES"/>
    <n v="256383"/>
    <x v="28"/>
    <n v="60"/>
    <n v="30"/>
    <n v="13.8"/>
    <x v="0"/>
  </r>
  <r>
    <x v="78"/>
    <s v="SETIEMBRE"/>
    <x v="13"/>
    <s v="JUEVES"/>
    <n v="254762"/>
    <x v="40"/>
    <n v="112"/>
    <n v="240"/>
    <n v="44.800000000000004"/>
    <x v="0"/>
  </r>
  <r>
    <x v="78"/>
    <s v="SETIEMBRE"/>
    <x v="13"/>
    <s v="JUEVES"/>
    <n v="256685"/>
    <x v="38"/>
    <n v="224"/>
    <n v="112"/>
    <n v="89.600000000000009"/>
    <x v="0"/>
  </r>
  <r>
    <x v="78"/>
    <s v="SETIEMBRE"/>
    <x v="13"/>
    <s v="JUEVES"/>
    <n v="256676"/>
    <x v="17"/>
    <n v="480"/>
    <n v="120"/>
    <n v="81.600000000000009"/>
    <x v="0"/>
  </r>
  <r>
    <x v="78"/>
    <s v="SETIEMBRE"/>
    <x v="13"/>
    <s v="JUEVES"/>
    <n v="256695"/>
    <x v="25"/>
    <n v="450"/>
    <n v="225"/>
    <n v="189"/>
    <x v="0"/>
  </r>
  <r>
    <x v="78"/>
    <s v="SETIEMBRE"/>
    <x v="13"/>
    <s v="JUEVES"/>
    <n v="251632"/>
    <x v="35"/>
    <n v="180"/>
    <n v="180"/>
    <n v="75.599999999999994"/>
    <x v="0"/>
  </r>
  <r>
    <x v="78"/>
    <s v="SETIEMBRE"/>
    <x v="13"/>
    <s v="JUEVES"/>
    <n v="256680"/>
    <x v="26"/>
    <n v="450"/>
    <n v="90"/>
    <n v="76.5"/>
    <x v="0"/>
  </r>
  <r>
    <x v="78"/>
    <s v="SETIEMBRE"/>
    <x v="13"/>
    <s v="JUEVES"/>
    <n v="256677"/>
    <x v="10"/>
    <n v="1440"/>
    <n v="120"/>
    <n v="244.8"/>
    <x v="0"/>
  </r>
  <r>
    <x v="78"/>
    <s v="SETIEMBRE"/>
    <x v="13"/>
    <s v="JUEVES"/>
    <n v="256616"/>
    <x v="22"/>
    <n v="2772"/>
    <n v="198"/>
    <n v="471.24"/>
    <x v="0"/>
  </r>
  <r>
    <x v="78"/>
    <s v="SETIEMBRE"/>
    <x v="13"/>
    <s v="JUEVES"/>
    <n v="256666"/>
    <x v="4"/>
    <n v="648"/>
    <n v="162"/>
    <n v="110.16000000000001"/>
    <x v="0"/>
  </r>
  <r>
    <x v="78"/>
    <s v="SETIEMBRE"/>
    <x v="13"/>
    <s v="JUEVES"/>
    <n v="256488"/>
    <x v="6"/>
    <n v="960"/>
    <n v="120"/>
    <n v="163.20000000000002"/>
    <x v="0"/>
  </r>
  <r>
    <x v="78"/>
    <s v="SETIEMBRE"/>
    <x v="13"/>
    <s v="JUEVES"/>
    <n v="251406"/>
    <x v="1"/>
    <n v="2160"/>
    <n v="198"/>
    <n v="367.20000000000005"/>
    <x v="0"/>
  </r>
  <r>
    <x v="78"/>
    <s v="SETIEMBRE"/>
    <x v="13"/>
    <s v="JUEVES"/>
    <n v="256674"/>
    <x v="7"/>
    <n v="2160"/>
    <n v="198"/>
    <n v="367.20000000000005"/>
    <x v="0"/>
  </r>
  <r>
    <x v="78"/>
    <s v="SETIEMBRE"/>
    <x v="13"/>
    <s v="JUEVES"/>
    <n v="256381"/>
    <x v="13"/>
    <n v="60"/>
    <n v="30"/>
    <n v="24"/>
    <x v="0"/>
  </r>
  <r>
    <x v="78"/>
    <s v="SETIEMBRE"/>
    <x v="13"/>
    <s v="JUEVES"/>
    <n v="256720"/>
    <x v="42"/>
    <n v="500"/>
    <n v="420"/>
    <n v="210"/>
    <x v="0"/>
  </r>
  <r>
    <x v="78"/>
    <s v="SETIEMBRE"/>
    <x v="13"/>
    <s v="JUEVES"/>
    <n v="751544"/>
    <x v="39"/>
    <n v="840"/>
    <n v="420"/>
    <n v="352.8"/>
    <x v="0"/>
  </r>
  <r>
    <x v="78"/>
    <s v="SETIEMBRE"/>
    <x v="13"/>
    <s v="JUEVES"/>
    <n v="256616"/>
    <x v="22"/>
    <n v="792"/>
    <n v="198"/>
    <n v="134.64000000000001"/>
    <x v="0"/>
  </r>
  <r>
    <x v="79"/>
    <s v="SETIEMBRE"/>
    <x v="13"/>
    <s v="VIERNES"/>
    <n v="256677"/>
    <x v="10"/>
    <n v="720"/>
    <n v="120"/>
    <n v="122.4"/>
    <x v="0"/>
  </r>
  <r>
    <x v="79"/>
    <s v="SETIEMBRE"/>
    <x v="13"/>
    <s v="VIERNES"/>
    <n v="256674"/>
    <x v="7"/>
    <n v="864"/>
    <n v="198"/>
    <n v="146.88000000000002"/>
    <x v="0"/>
  </r>
  <r>
    <x v="79"/>
    <s v="SETIEMBRE"/>
    <x v="13"/>
    <s v="VIERNES"/>
    <n v="256379"/>
    <x v="15"/>
    <n v="300"/>
    <n v="50"/>
    <n v="120"/>
    <x v="0"/>
  </r>
  <r>
    <x v="79"/>
    <s v="SETIEMBRE"/>
    <x v="13"/>
    <s v="VIERNES"/>
    <n v="256685"/>
    <x v="38"/>
    <n v="336"/>
    <n v="112"/>
    <n v="134.4"/>
    <x v="0"/>
  </r>
  <r>
    <x v="79"/>
    <s v="SETIEMBRE"/>
    <x v="13"/>
    <s v="VIERNES"/>
    <n v="751468"/>
    <x v="32"/>
    <n v="840"/>
    <n v="420"/>
    <n v="352.8"/>
    <x v="0"/>
  </r>
  <r>
    <x v="79"/>
    <s v="SETIEMBRE"/>
    <x v="13"/>
    <s v="VIERNES"/>
    <n v="256676"/>
    <x v="17"/>
    <n v="240"/>
    <n v="120"/>
    <n v="40.800000000000004"/>
    <x v="0"/>
  </r>
  <r>
    <x v="79"/>
    <s v="SETIEMBRE"/>
    <x v="13"/>
    <s v="VIERNES"/>
    <n v="251406"/>
    <x v="1"/>
    <n v="2160"/>
    <n v="198"/>
    <n v="367.20000000000005"/>
    <x v="0"/>
  </r>
  <r>
    <x v="79"/>
    <s v="SETIEMBRE"/>
    <x v="13"/>
    <s v="VIERNES"/>
    <n v="256616"/>
    <x v="22"/>
    <n v="1188"/>
    <n v="198"/>
    <n v="201.96"/>
    <x v="0"/>
  </r>
  <r>
    <x v="79"/>
    <s v="SETIEMBRE"/>
    <x v="13"/>
    <s v="VIERNES"/>
    <n v="256666"/>
    <x v="4"/>
    <n v="972"/>
    <n v="162"/>
    <n v="165.24"/>
    <x v="0"/>
  </r>
  <r>
    <x v="79"/>
    <s v="SETIEMBRE"/>
    <x v="13"/>
    <s v="VIERNES"/>
    <n v="256680"/>
    <x v="26"/>
    <n v="180"/>
    <n v="90"/>
    <n v="30.6"/>
    <x v="0"/>
  </r>
  <r>
    <x v="79"/>
    <s v="SETIEMBRE"/>
    <x v="13"/>
    <s v="VIERNES"/>
    <n v="256488"/>
    <x v="6"/>
    <n v="360"/>
    <n v="120"/>
    <n v="61.2"/>
    <x v="0"/>
  </r>
  <r>
    <x v="79"/>
    <s v="SETIEMBRE"/>
    <x v="13"/>
    <s v="VIERNES"/>
    <n v="256678"/>
    <x v="11"/>
    <n v="720"/>
    <n v="90"/>
    <n v="122.4"/>
    <x v="0"/>
  </r>
  <r>
    <x v="79"/>
    <s v="SETIEMBRE"/>
    <x v="13"/>
    <s v="VIERNES"/>
    <n v="256695"/>
    <x v="25"/>
    <n v="900"/>
    <n v="225"/>
    <n v="378"/>
    <x v="0"/>
  </r>
  <r>
    <x v="79"/>
    <s v="SETIEMBRE"/>
    <x v="13"/>
    <s v="VIERNES"/>
    <n v="256708"/>
    <x v="12"/>
    <n v="450"/>
    <n v="225"/>
    <n v="180"/>
    <x v="0"/>
  </r>
  <r>
    <x v="79"/>
    <s v="SETIEMBRE"/>
    <x v="13"/>
    <s v="VIERNES"/>
    <n v="256381"/>
    <x v="13"/>
    <n v="90"/>
    <n v="30"/>
    <n v="36"/>
    <x v="0"/>
  </r>
  <r>
    <x v="79"/>
    <s v="SETIEMBRE"/>
    <x v="13"/>
    <s v="VIERNES"/>
    <n v="256380"/>
    <x v="14"/>
    <n v="80"/>
    <n v="40"/>
    <n v="18.400000000000002"/>
    <x v="0"/>
  </r>
  <r>
    <x v="79"/>
    <s v="SETIEMBRE"/>
    <x v="13"/>
    <s v="VIERNES"/>
    <n v="254762"/>
    <x v="40"/>
    <n v="112"/>
    <n v="240"/>
    <n v="44.800000000000004"/>
    <x v="0"/>
  </r>
  <r>
    <x v="79"/>
    <s v="SETIEMBRE"/>
    <x v="13"/>
    <s v="VIERNES"/>
    <n v="256383"/>
    <x v="28"/>
    <n v="90"/>
    <n v="30"/>
    <n v="20.7"/>
    <x v="0"/>
  </r>
  <r>
    <x v="79"/>
    <s v="SETIEMBRE"/>
    <x v="13"/>
    <s v="VIERNES"/>
    <n v="251633"/>
    <x v="16"/>
    <n v="180"/>
    <n v="180"/>
    <n v="75.599999999999994"/>
    <x v="0"/>
  </r>
  <r>
    <x v="79"/>
    <s v="SETIEMBRE"/>
    <x v="13"/>
    <s v="VIERNES"/>
    <n v="251633"/>
    <x v="16"/>
    <n v="180"/>
    <n v="180"/>
    <n v="75.599999999999994"/>
    <x v="0"/>
  </r>
  <r>
    <x v="79"/>
    <s v="SETIEMBRE"/>
    <x v="13"/>
    <s v="VIERNES"/>
    <n v="256382"/>
    <x v="33"/>
    <n v="120"/>
    <n v="40"/>
    <n v="27.6"/>
    <x v="0"/>
  </r>
  <r>
    <x v="80"/>
    <s v="SETIEMBRE"/>
    <x v="14"/>
    <s v="SÁBADO"/>
    <n v="256616"/>
    <x v="22"/>
    <n v="792"/>
    <n v="198"/>
    <n v="134.64000000000001"/>
    <x v="0"/>
  </r>
  <r>
    <x v="80"/>
    <s v="SETIEMBRE"/>
    <x v="14"/>
    <s v="SÁBADO"/>
    <n v="256674"/>
    <x v="7"/>
    <n v="864"/>
    <n v="198"/>
    <n v="146.88000000000002"/>
    <x v="0"/>
  </r>
  <r>
    <x v="80"/>
    <s v="SETIEMBRE"/>
    <x v="14"/>
    <s v="SÁBADO"/>
    <n v="254853"/>
    <x v="2"/>
    <n v="4320"/>
    <n v="198"/>
    <n v="734.40000000000009"/>
    <x v="0"/>
  </r>
  <r>
    <x v="80"/>
    <s v="SETIEMBRE"/>
    <x v="14"/>
    <s v="SÁBADO"/>
    <n v="251406"/>
    <x v="1"/>
    <n v="1296"/>
    <n v="198"/>
    <n v="220.32000000000002"/>
    <x v="0"/>
  </r>
  <r>
    <x v="80"/>
    <s v="SETIEMBRE"/>
    <x v="14"/>
    <s v="SÁBADO"/>
    <n v="256677"/>
    <x v="10"/>
    <n v="720"/>
    <n v="120"/>
    <n v="122.4"/>
    <x v="0"/>
  </r>
  <r>
    <x v="80"/>
    <s v="SETIEMBRE"/>
    <x v="14"/>
    <s v="SÁBADO"/>
    <n v="256678"/>
    <x v="11"/>
    <n v="2160"/>
    <n v="90"/>
    <n v="367.20000000000005"/>
    <x v="0"/>
  </r>
  <r>
    <x v="80"/>
    <s v="SETIEMBRE"/>
    <x v="14"/>
    <s v="SÁBADO"/>
    <n v="256488"/>
    <x v="6"/>
    <n v="360"/>
    <n v="120"/>
    <n v="61.2"/>
    <x v="0"/>
  </r>
  <r>
    <x v="80"/>
    <s v="SETIEMBRE"/>
    <x v="14"/>
    <s v="SÁBADO"/>
    <n v="256617"/>
    <x v="3"/>
    <n v="1188"/>
    <n v="198"/>
    <n v="201.96"/>
    <x v="0"/>
  </r>
  <r>
    <x v="80"/>
    <s v="SETIEMBRE"/>
    <x v="14"/>
    <s v="SÁBADO"/>
    <n v="256695"/>
    <x v="25"/>
    <n v="900"/>
    <n v="225"/>
    <n v="378"/>
    <x v="0"/>
  </r>
  <r>
    <x v="80"/>
    <s v="SETIEMBRE"/>
    <x v="14"/>
    <s v="SÁBADO"/>
    <n v="256685"/>
    <x v="38"/>
    <n v="224"/>
    <n v="112"/>
    <n v="89.600000000000009"/>
    <x v="0"/>
  </r>
  <r>
    <x v="80"/>
    <s v="SETIEMBRE"/>
    <x v="14"/>
    <s v="SÁBADO"/>
    <n v="256379"/>
    <x v="15"/>
    <n v="150"/>
    <n v="50"/>
    <n v="60"/>
    <x v="0"/>
  </r>
  <r>
    <x v="80"/>
    <s v="SETIEMBRE"/>
    <x v="14"/>
    <s v="SÁBADO"/>
    <n v="256601"/>
    <x v="5"/>
    <n v="324"/>
    <n v="162"/>
    <n v="55.080000000000005"/>
    <x v="0"/>
  </r>
  <r>
    <x v="80"/>
    <s v="SETIEMBRE"/>
    <x v="14"/>
    <s v="SÁBADO"/>
    <n v="256382"/>
    <x v="33"/>
    <n v="80"/>
    <n v="40"/>
    <n v="18.400000000000002"/>
    <x v="0"/>
  </r>
  <r>
    <x v="80"/>
    <s v="SETIEMBRE"/>
    <x v="14"/>
    <s v="SÁBADO"/>
    <n v="256381"/>
    <x v="13"/>
    <n v="90"/>
    <n v="30"/>
    <n v="36"/>
    <x v="0"/>
  </r>
  <r>
    <x v="80"/>
    <s v="SETIEMBRE"/>
    <x v="14"/>
    <s v="SÁBADO"/>
    <n v="256380"/>
    <x v="14"/>
    <n v="80"/>
    <n v="40"/>
    <n v="18.400000000000002"/>
    <x v="0"/>
  </r>
  <r>
    <x v="80"/>
    <s v="SETIEMBRE"/>
    <x v="14"/>
    <s v="SÁBADO"/>
    <n v="751544"/>
    <x v="39"/>
    <n v="420"/>
    <n v="420"/>
    <n v="176.4"/>
    <x v="0"/>
  </r>
  <r>
    <x v="81"/>
    <s v="SETIEMBRE"/>
    <x v="14"/>
    <s v="LUNES"/>
    <n v="256675"/>
    <x v="8"/>
    <n v="216"/>
    <n v="198"/>
    <n v="36.720000000000006"/>
    <x v="0"/>
  </r>
  <r>
    <x v="81"/>
    <s v="SETIEMBRE"/>
    <x v="14"/>
    <s v="LUNES"/>
    <n v="256676"/>
    <x v="17"/>
    <n v="240"/>
    <n v="120"/>
    <n v="40.800000000000004"/>
    <x v="0"/>
  </r>
  <r>
    <x v="81"/>
    <s v="SETIEMBRE"/>
    <x v="14"/>
    <s v="LUNES"/>
    <n v="256488"/>
    <x v="6"/>
    <n v="480"/>
    <n v="120"/>
    <n v="81.600000000000009"/>
    <x v="0"/>
  </r>
  <r>
    <x v="81"/>
    <s v="SETIEMBRE"/>
    <x v="14"/>
    <s v="LUNES"/>
    <n v="251406"/>
    <x v="1"/>
    <n v="864"/>
    <n v="198"/>
    <n v="146.88000000000002"/>
    <x v="0"/>
  </r>
  <r>
    <x v="81"/>
    <s v="SETIEMBRE"/>
    <x v="14"/>
    <s v="LUNES"/>
    <n v="256680"/>
    <x v="26"/>
    <n v="450"/>
    <n v="90"/>
    <n v="76.5"/>
    <x v="0"/>
  </r>
  <r>
    <x v="81"/>
    <s v="SETIEMBRE"/>
    <x v="14"/>
    <s v="LUNES"/>
    <n v="256678"/>
    <x v="11"/>
    <n v="1260"/>
    <n v="90"/>
    <n v="214.20000000000002"/>
    <x v="0"/>
  </r>
  <r>
    <x v="81"/>
    <s v="SETIEMBRE"/>
    <x v="14"/>
    <s v="LUNES"/>
    <n v="256682"/>
    <x v="20"/>
    <n v="180"/>
    <n v="90"/>
    <n v="30.6"/>
    <x v="0"/>
  </r>
  <r>
    <x v="81"/>
    <s v="SETIEMBRE"/>
    <x v="14"/>
    <s v="LUNES"/>
    <n v="256677"/>
    <x v="10"/>
    <n v="720"/>
    <n v="120"/>
    <n v="122.4"/>
    <x v="0"/>
  </r>
  <r>
    <x v="81"/>
    <s v="SETIEMBRE"/>
    <x v="14"/>
    <s v="LUNES"/>
    <n v="256617"/>
    <x v="3"/>
    <n v="1188"/>
    <n v="198"/>
    <n v="201.96"/>
    <x v="0"/>
  </r>
  <r>
    <x v="81"/>
    <s v="SETIEMBRE"/>
    <x v="14"/>
    <s v="LUNES"/>
    <n v="256666"/>
    <x v="4"/>
    <n v="648"/>
    <n v="162"/>
    <n v="110.16000000000001"/>
    <x v="0"/>
  </r>
  <r>
    <x v="81"/>
    <s v="SETIEMBRE"/>
    <x v="14"/>
    <s v="LUNES"/>
    <n v="251633"/>
    <x v="16"/>
    <n v="180"/>
    <n v="180"/>
    <n v="75.599999999999994"/>
    <x v="0"/>
  </r>
  <r>
    <x v="81"/>
    <s v="SETIEMBRE"/>
    <x v="14"/>
    <s v="LUNES"/>
    <n v="251429"/>
    <x v="0"/>
    <n v="144"/>
    <n v="48"/>
    <n v="57.6"/>
    <x v="0"/>
  </r>
  <r>
    <x v="81"/>
    <s v="SETIEMBRE"/>
    <x v="14"/>
    <s v="LUNES"/>
    <n v="751544"/>
    <x v="39"/>
    <n v="420"/>
    <n v="420"/>
    <n v="176.4"/>
    <x v="0"/>
  </r>
  <r>
    <x v="81"/>
    <s v="SETIEMBRE"/>
    <x v="14"/>
    <s v="LUNES"/>
    <n v="256709"/>
    <x v="19"/>
    <n v="225"/>
    <n v="225"/>
    <n v="90"/>
    <x v="0"/>
  </r>
  <r>
    <x v="81"/>
    <s v="SETIEMBRE"/>
    <x v="14"/>
    <s v="LUNES"/>
    <n v="256381"/>
    <x v="13"/>
    <n v="30"/>
    <n v="30"/>
    <n v="12"/>
    <x v="0"/>
  </r>
  <r>
    <x v="81"/>
    <s v="SETIEMBRE"/>
    <x v="14"/>
    <s v="LUNES"/>
    <n v="256383"/>
    <x v="28"/>
    <n v="60"/>
    <n v="30"/>
    <n v="13.8"/>
    <x v="0"/>
  </r>
  <r>
    <x v="81"/>
    <s v="SETIEMBRE"/>
    <x v="14"/>
    <s v="LUNES"/>
    <n v="254853"/>
    <x v="2"/>
    <n v="1296"/>
    <n v="198"/>
    <n v="220.32000000000002"/>
    <x v="0"/>
  </r>
  <r>
    <x v="81"/>
    <s v="SETIEMBRE"/>
    <x v="14"/>
    <s v="LUNES"/>
    <n v="256674"/>
    <x v="7"/>
    <n v="864"/>
    <n v="198"/>
    <n v="146.88000000000002"/>
    <x v="0"/>
  </r>
  <r>
    <x v="81"/>
    <s v="SETIEMBRE"/>
    <x v="14"/>
    <s v="LUNES"/>
    <n v="256616"/>
    <x v="22"/>
    <n v="792"/>
    <n v="198"/>
    <n v="134.64000000000001"/>
    <x v="0"/>
  </r>
  <r>
    <x v="81"/>
    <s v="SETIEMBRE"/>
    <x v="14"/>
    <s v="LUNES"/>
    <n v="256737"/>
    <x v="44"/>
    <n v="250"/>
    <n v="420"/>
    <n v="105"/>
    <x v="0"/>
  </r>
  <r>
    <x v="82"/>
    <s v="SETIEMBRE"/>
    <x v="14"/>
    <s v="MARTES"/>
    <n v="256680"/>
    <x v="26"/>
    <n v="450"/>
    <n v="90"/>
    <n v="76.5"/>
    <x v="0"/>
  </r>
  <r>
    <x v="82"/>
    <s v="SETIEMBRE"/>
    <x v="14"/>
    <s v="MARTES"/>
    <n v="256678"/>
    <x v="11"/>
    <n v="720"/>
    <n v="90"/>
    <n v="122.4"/>
    <x v="0"/>
  </r>
  <r>
    <x v="82"/>
    <s v="SETIEMBRE"/>
    <x v="14"/>
    <s v="MARTES"/>
    <n v="256677"/>
    <x v="10"/>
    <n v="720"/>
    <n v="120"/>
    <n v="122.4"/>
    <x v="0"/>
  </r>
  <r>
    <x v="82"/>
    <s v="SETIEMBRE"/>
    <x v="14"/>
    <s v="MARTES"/>
    <n v="256676"/>
    <x v="17"/>
    <n v="240"/>
    <n v="120"/>
    <n v="40.800000000000004"/>
    <x v="0"/>
  </r>
  <r>
    <x v="82"/>
    <s v="SETIEMBRE"/>
    <x v="14"/>
    <s v="MARTES"/>
    <n v="254853"/>
    <x v="2"/>
    <n v="864"/>
    <n v="198"/>
    <n v="146.88000000000002"/>
    <x v="0"/>
  </r>
  <r>
    <x v="82"/>
    <s v="SETIEMBRE"/>
    <x v="14"/>
    <s v="MARTES"/>
    <n v="256488"/>
    <x v="6"/>
    <n v="480"/>
    <n v="120"/>
    <n v="81.600000000000009"/>
    <x v="0"/>
  </r>
  <r>
    <x v="82"/>
    <s v="SETIEMBRE"/>
    <x v="14"/>
    <s v="MARTES"/>
    <n v="256616"/>
    <x v="22"/>
    <n v="1188"/>
    <n v="198"/>
    <n v="201.96"/>
    <x v="0"/>
  </r>
  <r>
    <x v="82"/>
    <s v="SETIEMBRE"/>
    <x v="14"/>
    <s v="MARTES"/>
    <n v="256617"/>
    <x v="3"/>
    <n v="792"/>
    <n v="198"/>
    <n v="134.64000000000001"/>
    <x v="0"/>
  </r>
  <r>
    <x v="82"/>
    <s v="SETIEMBRE"/>
    <x v="14"/>
    <s v="MARTES"/>
    <n v="256674"/>
    <x v="7"/>
    <n v="864"/>
    <n v="198"/>
    <n v="146.88000000000002"/>
    <x v="0"/>
  </r>
  <r>
    <x v="82"/>
    <s v="SETIEMBRE"/>
    <x v="14"/>
    <s v="MARTES"/>
    <n v="256675"/>
    <x v="8"/>
    <n v="864"/>
    <n v="198"/>
    <n v="146.88000000000002"/>
    <x v="0"/>
  </r>
  <r>
    <x v="82"/>
    <s v="SETIEMBRE"/>
    <x v="14"/>
    <s v="MARTES"/>
    <n v="251429"/>
    <x v="0"/>
    <n v="624"/>
    <n v="48"/>
    <n v="249.60000000000002"/>
    <x v="0"/>
  </r>
  <r>
    <x v="82"/>
    <s v="SETIEMBRE"/>
    <x v="14"/>
    <s v="MARTES"/>
    <n v="251429"/>
    <x v="0"/>
    <n v="48"/>
    <n v="48"/>
    <n v="19.200000000000003"/>
    <x v="0"/>
  </r>
  <r>
    <x v="82"/>
    <s v="SETIEMBRE"/>
    <x v="14"/>
    <s v="MARTES"/>
    <n v="256380"/>
    <x v="14"/>
    <n v="40"/>
    <n v="40"/>
    <n v="9.2000000000000011"/>
    <x v="0"/>
  </r>
  <r>
    <x v="82"/>
    <s v="SETIEMBRE"/>
    <x v="14"/>
    <s v="MARTES"/>
    <n v="256381"/>
    <x v="13"/>
    <n v="60"/>
    <n v="30"/>
    <n v="24"/>
    <x v="0"/>
  </r>
  <r>
    <x v="82"/>
    <s v="SETIEMBRE"/>
    <x v="14"/>
    <s v="MARTES"/>
    <n v="256382"/>
    <x v="33"/>
    <n v="40"/>
    <n v="40"/>
    <n v="9.2000000000000011"/>
    <x v="0"/>
  </r>
  <r>
    <x v="82"/>
    <s v="SETIEMBRE"/>
    <x v="14"/>
    <s v="MARTES"/>
    <n v="256383"/>
    <x v="28"/>
    <n v="60"/>
    <n v="30"/>
    <n v="13.8"/>
    <x v="0"/>
  </r>
  <r>
    <x v="82"/>
    <s v="SETIEMBRE"/>
    <x v="14"/>
    <s v="MARTES"/>
    <n v="256679"/>
    <x v="23"/>
    <n v="180"/>
    <n v="90"/>
    <n v="30.6"/>
    <x v="0"/>
  </r>
  <r>
    <x v="82"/>
    <s v="SETIEMBRE"/>
    <x v="14"/>
    <s v="MARTES"/>
    <n v="256601"/>
    <x v="5"/>
    <n v="324"/>
    <n v="162"/>
    <n v="55.080000000000005"/>
    <x v="0"/>
  </r>
  <r>
    <x v="82"/>
    <s v="SETIEMBRE"/>
    <x v="14"/>
    <s v="MARTES"/>
    <n v="256695"/>
    <x v="25"/>
    <n v="900"/>
    <n v="225"/>
    <n v="378"/>
    <x v="0"/>
  </r>
  <r>
    <x v="82"/>
    <s v="SETIEMBRE"/>
    <x v="14"/>
    <s v="MARTES"/>
    <n v="256737"/>
    <x v="44"/>
    <n v="875"/>
    <n v="420"/>
    <n v="367.5"/>
    <x v="0"/>
  </r>
  <r>
    <x v="82"/>
    <s v="SETIEMBRE"/>
    <x v="14"/>
    <s v="MARTES"/>
    <n v="256708"/>
    <x v="12"/>
    <n v="450"/>
    <n v="225"/>
    <n v="180"/>
    <x v="0"/>
  </r>
  <r>
    <x v="82"/>
    <s v="SETIEMBRE"/>
    <x v="14"/>
    <s v="MARTES"/>
    <n v="256548"/>
    <x v="34"/>
    <n v="216"/>
    <n v="198"/>
    <n v="36.720000000000006"/>
    <x v="0"/>
  </r>
  <r>
    <x v="83"/>
    <s v="SETIEMBRE"/>
    <x v="14"/>
    <s v="MIÉRCOLES"/>
    <n v="256674"/>
    <x v="7"/>
    <n v="864"/>
    <n v="198"/>
    <n v="146.88000000000002"/>
    <x v="0"/>
  </r>
  <r>
    <x v="83"/>
    <s v="SETIEMBRE"/>
    <x v="14"/>
    <s v="MIÉRCOLES"/>
    <n v="256680"/>
    <x v="26"/>
    <n v="720"/>
    <n v="90"/>
    <n v="122.4"/>
    <x v="0"/>
  </r>
  <r>
    <x v="83"/>
    <s v="SETIEMBRE"/>
    <x v="14"/>
    <s v="MIÉRCOLES"/>
    <n v="256601"/>
    <x v="5"/>
    <n v="648"/>
    <n v="162"/>
    <n v="110.16000000000001"/>
    <x v="0"/>
  </r>
  <r>
    <x v="83"/>
    <s v="SETIEMBRE"/>
    <x v="14"/>
    <s v="MIÉRCOLES"/>
    <n v="256488"/>
    <x v="6"/>
    <n v="480"/>
    <n v="120"/>
    <n v="81.600000000000009"/>
    <x v="0"/>
  </r>
  <r>
    <x v="83"/>
    <s v="SETIEMBRE"/>
    <x v="14"/>
    <s v="MIÉRCOLES"/>
    <n v="256488"/>
    <x v="6"/>
    <n v="1080"/>
    <n v="120"/>
    <n v="183.60000000000002"/>
    <x v="0"/>
  </r>
  <r>
    <x v="83"/>
    <s v="SETIEMBRE"/>
    <x v="14"/>
    <s v="MIÉRCOLES"/>
    <n v="256675"/>
    <x v="8"/>
    <n v="432"/>
    <n v="198"/>
    <n v="73.440000000000012"/>
    <x v="0"/>
  </r>
  <r>
    <x v="83"/>
    <s v="SETIEMBRE"/>
    <x v="14"/>
    <s v="MIÉRCOLES"/>
    <n v="256617"/>
    <x v="3"/>
    <n v="792"/>
    <n v="198"/>
    <n v="134.64000000000001"/>
    <x v="0"/>
  </r>
  <r>
    <x v="83"/>
    <s v="SETIEMBRE"/>
    <x v="14"/>
    <s v="MIÉRCOLES"/>
    <n v="256616"/>
    <x v="22"/>
    <n v="792"/>
    <n v="198"/>
    <n v="134.64000000000001"/>
    <x v="0"/>
  </r>
  <r>
    <x v="83"/>
    <s v="SETIEMBRE"/>
    <x v="14"/>
    <s v="MIÉRCOLES"/>
    <n v="256676"/>
    <x v="17"/>
    <n v="720"/>
    <n v="120"/>
    <n v="122.4"/>
    <x v="0"/>
  </r>
  <r>
    <x v="83"/>
    <s v="SETIEMBRE"/>
    <x v="14"/>
    <s v="MIÉRCOLES"/>
    <n v="256678"/>
    <x v="11"/>
    <n v="1080"/>
    <n v="90"/>
    <n v="183.60000000000002"/>
    <x v="0"/>
  </r>
  <r>
    <x v="83"/>
    <s v="SETIEMBRE"/>
    <x v="14"/>
    <s v="MIÉRCOLES"/>
    <n v="256383"/>
    <x v="28"/>
    <n v="60"/>
    <n v="30"/>
    <n v="13.8"/>
    <x v="0"/>
  </r>
  <r>
    <x v="83"/>
    <s v="SETIEMBRE"/>
    <x v="14"/>
    <s v="MIÉRCOLES"/>
    <n v="256708"/>
    <x v="12"/>
    <n v="225"/>
    <n v="225"/>
    <n v="90"/>
    <x v="0"/>
  </r>
  <r>
    <x v="83"/>
    <s v="SETIEMBRE"/>
    <x v="14"/>
    <s v="MIÉRCOLES"/>
    <n v="254762"/>
    <x v="40"/>
    <n v="112"/>
    <n v="240"/>
    <n v="44.800000000000004"/>
    <x v="0"/>
  </r>
  <r>
    <x v="83"/>
    <s v="SETIEMBRE"/>
    <x v="14"/>
    <s v="MIÉRCOLES"/>
    <n v="251429"/>
    <x v="0"/>
    <n v="336"/>
    <n v="48"/>
    <n v="134.4"/>
    <x v="0"/>
  </r>
  <r>
    <x v="83"/>
    <s v="SETIEMBRE"/>
    <x v="14"/>
    <s v="MIÉRCOLES"/>
    <n v="256381"/>
    <x v="13"/>
    <n v="120"/>
    <n v="30"/>
    <n v="48"/>
    <x v="0"/>
  </r>
  <r>
    <x v="83"/>
    <s v="SETIEMBRE"/>
    <x v="14"/>
    <s v="MIÉRCOLES"/>
    <n v="256379"/>
    <x v="15"/>
    <n v="100"/>
    <n v="50"/>
    <n v="40"/>
    <x v="0"/>
  </r>
  <r>
    <x v="83"/>
    <s v="SETIEMBRE"/>
    <x v="14"/>
    <s v="MIÉRCOLES"/>
    <n v="256652"/>
    <x v="9"/>
    <n v="720"/>
    <n v="90"/>
    <n v="122.4"/>
    <x v="0"/>
  </r>
  <r>
    <x v="83"/>
    <s v="SETIEMBRE"/>
    <x v="14"/>
    <s v="MIÉRCOLES"/>
    <n v="256677"/>
    <x v="10"/>
    <n v="1200"/>
    <n v="120"/>
    <n v="204.00000000000003"/>
    <x v="0"/>
  </r>
  <r>
    <x v="83"/>
    <s v="SETIEMBRE"/>
    <x v="14"/>
    <s v="MIÉRCOLES"/>
    <n v="256721"/>
    <x v="43"/>
    <n v="1500"/>
    <n v="420"/>
    <n v="630"/>
    <x v="0"/>
  </r>
  <r>
    <x v="83"/>
    <s v="SETIEMBRE"/>
    <x v="14"/>
    <s v="MIÉRCOLES"/>
    <n v="256679"/>
    <x v="23"/>
    <n v="180"/>
    <n v="90"/>
    <n v="30.6"/>
    <x v="0"/>
  </r>
  <r>
    <x v="83"/>
    <s v="SETIEMBRE"/>
    <x v="14"/>
    <s v="MIÉRCOLES"/>
    <n v="256695"/>
    <x v="25"/>
    <n v="2250"/>
    <n v="225"/>
    <n v="945"/>
    <x v="0"/>
  </r>
  <r>
    <x v="83"/>
    <s v="SETIEMBRE"/>
    <x v="14"/>
    <s v="MIÉRCOLES"/>
    <n v="256720"/>
    <x v="42"/>
    <n v="500"/>
    <n v="420"/>
    <n v="210"/>
    <x v="0"/>
  </r>
  <r>
    <x v="83"/>
    <s v="SETIEMBRE"/>
    <x v="14"/>
    <s v="MIÉRCOLES"/>
    <n v="256737"/>
    <x v="44"/>
    <n v="750"/>
    <n v="420"/>
    <n v="315"/>
    <x v="0"/>
  </r>
  <r>
    <x v="83"/>
    <s v="SETIEMBRE"/>
    <x v="14"/>
    <s v="MIÉRCOLES"/>
    <n v="256382"/>
    <x v="33"/>
    <n v="40"/>
    <n v="40"/>
    <n v="9.2000000000000011"/>
    <x v="0"/>
  </r>
  <r>
    <x v="84"/>
    <s v="SETIEMBRE"/>
    <x v="14"/>
    <s v="JUEVES"/>
    <n v="251633"/>
    <x v="16"/>
    <n v="720"/>
    <n v="180"/>
    <n v="302.39999999999998"/>
    <x v="0"/>
  </r>
  <r>
    <x v="84"/>
    <s v="SETIEMBRE"/>
    <x v="14"/>
    <s v="JUEVES"/>
    <n v="256679"/>
    <x v="23"/>
    <n v="720"/>
    <n v="90"/>
    <n v="122.4"/>
    <x v="0"/>
  </r>
  <r>
    <x v="84"/>
    <s v="SETIEMBRE"/>
    <x v="14"/>
    <s v="JUEVES"/>
    <n v="256488"/>
    <x v="6"/>
    <n v="960"/>
    <n v="120"/>
    <n v="163.20000000000002"/>
    <x v="0"/>
  </r>
  <r>
    <x v="84"/>
    <s v="SETIEMBRE"/>
    <x v="14"/>
    <s v="JUEVES"/>
    <n v="256674"/>
    <x v="7"/>
    <n v="864"/>
    <n v="198"/>
    <n v="146.88000000000002"/>
    <x v="0"/>
  </r>
  <r>
    <x v="84"/>
    <s v="SETIEMBRE"/>
    <x v="14"/>
    <s v="JUEVES"/>
    <n v="256674"/>
    <x v="7"/>
    <n v="432"/>
    <n v="198"/>
    <n v="73.440000000000012"/>
    <x v="0"/>
  </r>
  <r>
    <x v="84"/>
    <s v="SETIEMBRE"/>
    <x v="14"/>
    <s v="JUEVES"/>
    <n v="256675"/>
    <x v="8"/>
    <n v="1296"/>
    <n v="198"/>
    <n v="220.32000000000002"/>
    <x v="0"/>
  </r>
  <r>
    <x v="84"/>
    <s v="SETIEMBRE"/>
    <x v="14"/>
    <s v="JUEVES"/>
    <n v="256676"/>
    <x v="17"/>
    <n v="240"/>
    <n v="120"/>
    <n v="40.800000000000004"/>
    <x v="0"/>
  </r>
  <r>
    <x v="84"/>
    <s v="SETIEMBRE"/>
    <x v="14"/>
    <s v="JUEVES"/>
    <n v="256678"/>
    <x v="11"/>
    <n v="3060"/>
    <n v="90"/>
    <n v="520.20000000000005"/>
    <x v="0"/>
  </r>
  <r>
    <x v="84"/>
    <s v="SETIEMBRE"/>
    <x v="14"/>
    <s v="JUEVES"/>
    <n v="251429"/>
    <x v="0"/>
    <n v="1104"/>
    <n v="48"/>
    <n v="441.6"/>
    <x v="0"/>
  </r>
  <r>
    <x v="84"/>
    <s v="SETIEMBRE"/>
    <x v="14"/>
    <s v="JUEVES"/>
    <n v="251429"/>
    <x v="0"/>
    <n v="480"/>
    <n v="48"/>
    <n v="192"/>
    <x v="0"/>
  </r>
  <r>
    <x v="84"/>
    <s v="SETIEMBRE"/>
    <x v="14"/>
    <s v="JUEVES"/>
    <n v="251406"/>
    <x v="1"/>
    <n v="1296"/>
    <n v="198"/>
    <n v="220.32000000000002"/>
    <x v="0"/>
  </r>
  <r>
    <x v="84"/>
    <s v="SETIEMBRE"/>
    <x v="14"/>
    <s v="JUEVES"/>
    <n v="256677"/>
    <x v="10"/>
    <n v="1680"/>
    <n v="120"/>
    <n v="285.60000000000002"/>
    <x v="0"/>
  </r>
  <r>
    <x v="84"/>
    <s v="SETIEMBRE"/>
    <x v="14"/>
    <s v="JUEVES"/>
    <n v="256382"/>
    <x v="33"/>
    <n v="80"/>
    <n v="40"/>
    <n v="18.400000000000002"/>
    <x v="0"/>
  </r>
  <r>
    <x v="84"/>
    <s v="SETIEMBRE"/>
    <x v="14"/>
    <s v="JUEVES"/>
    <n v="256381"/>
    <x v="13"/>
    <n v="30"/>
    <n v="30"/>
    <n v="12"/>
    <x v="0"/>
  </r>
  <r>
    <x v="84"/>
    <s v="SETIEMBRE"/>
    <x v="14"/>
    <s v="JUEVES"/>
    <n v="256383"/>
    <x v="28"/>
    <n v="30"/>
    <n v="30"/>
    <n v="6.9"/>
    <x v="0"/>
  </r>
  <r>
    <x v="84"/>
    <s v="SETIEMBRE"/>
    <x v="14"/>
    <s v="JUEVES"/>
    <n v="256379"/>
    <x v="15"/>
    <n v="50"/>
    <n v="50"/>
    <n v="20"/>
    <x v="0"/>
  </r>
  <r>
    <x v="84"/>
    <s v="SETIEMBRE"/>
    <x v="14"/>
    <s v="JUEVES"/>
    <n v="256737"/>
    <x v="44"/>
    <n v="750"/>
    <n v="420"/>
    <n v="315"/>
    <x v="0"/>
  </r>
  <r>
    <x v="84"/>
    <s v="SETIEMBRE"/>
    <x v="14"/>
    <s v="JUEVES"/>
    <n v="256682"/>
    <x v="20"/>
    <n v="810"/>
    <n v="90"/>
    <n v="137.70000000000002"/>
    <x v="0"/>
  </r>
  <r>
    <x v="84"/>
    <s v="SETIEMBRE"/>
    <x v="14"/>
    <s v="JUEVES"/>
    <n v="256652"/>
    <x v="9"/>
    <n v="270"/>
    <n v="90"/>
    <n v="45.900000000000006"/>
    <x v="0"/>
  </r>
  <r>
    <x v="84"/>
    <s v="SETIEMBRE"/>
    <x v="14"/>
    <s v="JUEVES"/>
    <n v="256652"/>
    <x v="9"/>
    <n v="900"/>
    <n v="90"/>
    <n v="153"/>
    <x v="0"/>
  </r>
  <r>
    <x v="84"/>
    <s v="SETIEMBRE"/>
    <x v="14"/>
    <s v="JUEVES"/>
    <n v="256720"/>
    <x v="42"/>
    <n v="1000"/>
    <n v="420"/>
    <n v="420"/>
    <x v="0"/>
  </r>
  <r>
    <x v="84"/>
    <s v="SETIEMBRE"/>
    <x v="14"/>
    <s v="JUEVES"/>
    <n v="256721"/>
    <x v="43"/>
    <n v="1000"/>
    <n v="420"/>
    <n v="420"/>
    <x v="0"/>
  </r>
  <r>
    <x v="85"/>
    <s v="SETIEMBRE"/>
    <x v="14"/>
    <s v="VIERNES"/>
    <n v="256737"/>
    <x v="44"/>
    <n v="1000"/>
    <n v="420"/>
    <n v="420"/>
    <x v="0"/>
  </r>
  <r>
    <x v="85"/>
    <s v="SETIEMBRE"/>
    <x v="14"/>
    <s v="VIERNES"/>
    <n v="256675"/>
    <x v="8"/>
    <n v="216"/>
    <n v="198"/>
    <n v="36.720000000000006"/>
    <x v="0"/>
  </r>
  <r>
    <x v="85"/>
    <s v="SETIEMBRE"/>
    <x v="14"/>
    <s v="VIERNES"/>
    <n v="256675"/>
    <x v="8"/>
    <n v="648"/>
    <n v="198"/>
    <n v="110.16000000000001"/>
    <x v="0"/>
  </r>
  <r>
    <x v="85"/>
    <s v="SETIEMBRE"/>
    <x v="14"/>
    <s v="VIERNES"/>
    <n v="256682"/>
    <x v="20"/>
    <n v="180"/>
    <n v="90"/>
    <n v="30.6"/>
    <x v="0"/>
  </r>
  <r>
    <x v="85"/>
    <s v="SETIEMBRE"/>
    <x v="14"/>
    <s v="VIERNES"/>
    <n v="251429"/>
    <x v="0"/>
    <n v="336"/>
    <n v="48"/>
    <n v="134.4"/>
    <x v="0"/>
  </r>
  <r>
    <x v="85"/>
    <s v="SETIEMBRE"/>
    <x v="14"/>
    <s v="VIERNES"/>
    <n v="256488"/>
    <x v="6"/>
    <n v="720"/>
    <n v="120"/>
    <n v="122.4"/>
    <x v="0"/>
  </r>
  <r>
    <x v="85"/>
    <s v="SETIEMBRE"/>
    <x v="14"/>
    <s v="VIERNES"/>
    <n v="251406"/>
    <x v="1"/>
    <n v="1296"/>
    <n v="198"/>
    <n v="220.32000000000002"/>
    <x v="0"/>
  </r>
  <r>
    <x v="85"/>
    <s v="SETIEMBRE"/>
    <x v="14"/>
    <s v="VIERNES"/>
    <n v="256677"/>
    <x v="10"/>
    <n v="2160"/>
    <n v="120"/>
    <n v="367.20000000000005"/>
    <x v="0"/>
  </r>
  <r>
    <x v="85"/>
    <s v="SETIEMBRE"/>
    <x v="14"/>
    <s v="VIERNES"/>
    <n v="254853"/>
    <x v="2"/>
    <n v="216"/>
    <n v="198"/>
    <n v="36.720000000000006"/>
    <x v="0"/>
  </r>
  <r>
    <x v="85"/>
    <s v="SETIEMBRE"/>
    <x v="14"/>
    <s v="VIERNES"/>
    <n v="256652"/>
    <x v="9"/>
    <n v="810"/>
    <n v="90"/>
    <n v="137.70000000000002"/>
    <x v="0"/>
  </r>
  <r>
    <x v="85"/>
    <s v="SETIEMBRE"/>
    <x v="14"/>
    <s v="VIERNES"/>
    <n v="256678"/>
    <x v="11"/>
    <n v="990"/>
    <n v="90"/>
    <n v="168.3"/>
    <x v="0"/>
  </r>
  <r>
    <x v="85"/>
    <s v="SETIEMBRE"/>
    <x v="14"/>
    <s v="VIERNES"/>
    <n v="256383"/>
    <x v="28"/>
    <n v="30"/>
    <n v="30"/>
    <n v="6.9"/>
    <x v="0"/>
  </r>
  <r>
    <x v="85"/>
    <s v="SETIEMBRE"/>
    <x v="14"/>
    <s v="VIERNES"/>
    <n v="256382"/>
    <x v="33"/>
    <n v="40"/>
    <n v="40"/>
    <n v="9.2000000000000011"/>
    <x v="0"/>
  </r>
  <r>
    <x v="85"/>
    <s v="SETIEMBRE"/>
    <x v="14"/>
    <s v="VIERNES"/>
    <n v="256381"/>
    <x v="13"/>
    <n v="90"/>
    <n v="30"/>
    <n v="36"/>
    <x v="0"/>
  </r>
  <r>
    <x v="85"/>
    <s v="SETIEMBRE"/>
    <x v="14"/>
    <s v="VIERNES"/>
    <n v="256380"/>
    <x v="14"/>
    <n v="40"/>
    <n v="40"/>
    <n v="9.2000000000000011"/>
    <x v="0"/>
  </r>
  <r>
    <x v="85"/>
    <s v="SETIEMBRE"/>
    <x v="14"/>
    <s v="VIERNES"/>
    <n v="256379"/>
    <x v="15"/>
    <n v="150"/>
    <n v="50"/>
    <n v="60"/>
    <x v="0"/>
  </r>
  <r>
    <x v="85"/>
    <s v="SETIEMBRE"/>
    <x v="14"/>
    <s v="VIERNES"/>
    <n v="256695"/>
    <x v="25"/>
    <n v="225"/>
    <n v="225"/>
    <n v="94.5"/>
    <x v="0"/>
  </r>
  <r>
    <x v="85"/>
    <s v="SETIEMBRE"/>
    <x v="14"/>
    <s v="VIERNES"/>
    <n v="256720"/>
    <x v="42"/>
    <n v="1250"/>
    <n v="420"/>
    <n v="525"/>
    <x v="0"/>
  </r>
  <r>
    <x v="85"/>
    <s v="SETIEMBRE"/>
    <x v="14"/>
    <s v="VIERNES"/>
    <n v="256679"/>
    <x v="23"/>
    <n v="90"/>
    <n v="90"/>
    <n v="15.3"/>
    <x v="0"/>
  </r>
  <r>
    <x v="85"/>
    <s v="SETIEMBRE"/>
    <x v="14"/>
    <s v="VIERNES"/>
    <n v="256674"/>
    <x v="7"/>
    <n v="648"/>
    <n v="198"/>
    <n v="110.16000000000001"/>
    <x v="0"/>
  </r>
  <r>
    <x v="86"/>
    <s v="SETIEMBRE"/>
    <x v="15"/>
    <s v="SÁBADO"/>
    <n v="256682"/>
    <x v="20"/>
    <n v="90"/>
    <n v="90"/>
    <n v="15.3"/>
    <x v="0"/>
  </r>
  <r>
    <x v="86"/>
    <s v="SETIEMBRE"/>
    <x v="15"/>
    <s v="SÁBADO"/>
    <n v="256677"/>
    <x v="10"/>
    <n v="2280"/>
    <n v="120"/>
    <n v="387.6"/>
    <x v="0"/>
  </r>
  <r>
    <x v="86"/>
    <s v="SETIEMBRE"/>
    <x v="15"/>
    <s v="SÁBADO"/>
    <n v="256677"/>
    <x v="10"/>
    <n v="600"/>
    <n v="120"/>
    <n v="102.00000000000001"/>
    <x v="0"/>
  </r>
  <r>
    <x v="86"/>
    <s v="SETIEMBRE"/>
    <x v="15"/>
    <s v="SÁBADO"/>
    <n v="256678"/>
    <x v="11"/>
    <n v="1710"/>
    <n v="90"/>
    <n v="290.70000000000005"/>
    <x v="0"/>
  </r>
  <r>
    <x v="86"/>
    <s v="SETIEMBRE"/>
    <x v="15"/>
    <s v="SÁBADO"/>
    <n v="256679"/>
    <x v="23"/>
    <n v="810"/>
    <n v="90"/>
    <n v="137.70000000000002"/>
    <x v="0"/>
  </r>
  <r>
    <x v="86"/>
    <s v="SETIEMBRE"/>
    <x v="15"/>
    <s v="SÁBADO"/>
    <n v="256652"/>
    <x v="9"/>
    <n v="450"/>
    <n v="90"/>
    <n v="76.5"/>
    <x v="0"/>
  </r>
  <r>
    <x v="86"/>
    <s v="SETIEMBRE"/>
    <x v="15"/>
    <s v="SÁBADO"/>
    <n v="256708"/>
    <x v="12"/>
    <n v="225"/>
    <n v="225"/>
    <n v="90"/>
    <x v="0"/>
  </r>
  <r>
    <x v="86"/>
    <s v="SETIEMBRE"/>
    <x v="15"/>
    <s v="SÁBADO"/>
    <n v="256382"/>
    <x v="33"/>
    <n v="40"/>
    <n v="40"/>
    <n v="9.2000000000000011"/>
    <x v="0"/>
  </r>
  <r>
    <x v="86"/>
    <s v="SETIEMBRE"/>
    <x v="15"/>
    <s v="SÁBADO"/>
    <n v="256379"/>
    <x v="15"/>
    <n v="250"/>
    <n v="50"/>
    <n v="100"/>
    <x v="0"/>
  </r>
  <r>
    <x v="86"/>
    <s v="SETIEMBRE"/>
    <x v="15"/>
    <s v="SÁBADO"/>
    <n v="251429"/>
    <x v="0"/>
    <n v="576"/>
    <n v="48"/>
    <n v="230.4"/>
    <x v="0"/>
  </r>
  <r>
    <x v="86"/>
    <s v="SETIEMBRE"/>
    <x v="15"/>
    <s v="SÁBADO"/>
    <n v="256720"/>
    <x v="42"/>
    <n v="500"/>
    <n v="420"/>
    <n v="210"/>
    <x v="0"/>
  </r>
  <r>
    <x v="86"/>
    <s v="SETIEMBRE"/>
    <x v="15"/>
    <s v="SÁBADO"/>
    <n v="256675"/>
    <x v="8"/>
    <n v="432"/>
    <n v="198"/>
    <n v="73.440000000000012"/>
    <x v="0"/>
  </r>
  <r>
    <x v="86"/>
    <s v="SETIEMBRE"/>
    <x v="15"/>
    <s v="SÁBADO"/>
    <n v="254853"/>
    <x v="2"/>
    <n v="1080"/>
    <n v="198"/>
    <n v="183.60000000000002"/>
    <x v="0"/>
  </r>
  <r>
    <x v="86"/>
    <s v="SETIEMBRE"/>
    <x v="15"/>
    <s v="SÁBADO"/>
    <n v="256601"/>
    <x v="5"/>
    <n v="162"/>
    <n v="162"/>
    <n v="27.540000000000003"/>
    <x v="0"/>
  </r>
  <r>
    <x v="86"/>
    <s v="SETIEMBRE"/>
    <x v="15"/>
    <s v="SÁBADO"/>
    <n v="251406"/>
    <x v="1"/>
    <n v="1080"/>
    <n v="198"/>
    <n v="183.60000000000002"/>
    <x v="0"/>
  </r>
  <r>
    <x v="86"/>
    <s v="SETIEMBRE"/>
    <x v="15"/>
    <s v="SÁBADO"/>
    <n v="256488"/>
    <x v="6"/>
    <n v="960"/>
    <n v="120"/>
    <n v="163.20000000000002"/>
    <x v="0"/>
  </r>
  <r>
    <x v="86"/>
    <s v="SETIEMBRE"/>
    <x v="15"/>
    <s v="SÁBADO"/>
    <n v="256674"/>
    <x v="7"/>
    <n v="1512"/>
    <n v="198"/>
    <n v="257.04000000000002"/>
    <x v="0"/>
  </r>
  <r>
    <x v="86"/>
    <s v="SETIEMBRE"/>
    <x v="15"/>
    <s v="SÁBADO"/>
    <n v="256676"/>
    <x v="17"/>
    <n v="360"/>
    <n v="120"/>
    <n v="61.2"/>
    <x v="0"/>
  </r>
  <r>
    <x v="86"/>
    <s v="SETIEMBRE"/>
    <x v="15"/>
    <s v="SÁBADO"/>
    <n v="256737"/>
    <x v="44"/>
    <n v="2625"/>
    <n v="420"/>
    <n v="1102.5"/>
    <x v="0"/>
  </r>
  <r>
    <x v="86"/>
    <s v="SETIEMBRE"/>
    <x v="15"/>
    <s v="SÁBADO"/>
    <n v="256737"/>
    <x v="44"/>
    <n v="125"/>
    <n v="420"/>
    <n v="52.5"/>
    <x v="0"/>
  </r>
  <r>
    <x v="86"/>
    <s v="SETIEMBRE"/>
    <x v="15"/>
    <s v="SÁBADO"/>
    <n v="256695"/>
    <x v="25"/>
    <n v="225"/>
    <n v="225"/>
    <n v="94.5"/>
    <x v="0"/>
  </r>
  <r>
    <x v="87"/>
    <s v="SETIEMBRE"/>
    <x v="15"/>
    <s v="DOMINGO"/>
    <n v="256721"/>
    <x v="43"/>
    <n v="1000"/>
    <n v="420"/>
    <n v="420"/>
    <x v="0"/>
  </r>
  <r>
    <x v="87"/>
    <s v="SETIEMBRE"/>
    <x v="15"/>
    <s v="DOMINGO"/>
    <n v="256695"/>
    <x v="25"/>
    <n v="1125"/>
    <n v="225"/>
    <n v="472.5"/>
    <x v="0"/>
  </r>
  <r>
    <x v="87"/>
    <s v="SETIEMBRE"/>
    <x v="15"/>
    <s v="DOMINGO"/>
    <n v="251633"/>
    <x v="16"/>
    <n v="360"/>
    <n v="180"/>
    <n v="151.19999999999999"/>
    <x v="0"/>
  </r>
  <r>
    <x v="87"/>
    <s v="SETIEMBRE"/>
    <x v="15"/>
    <s v="DOMINGO"/>
    <n v="256720"/>
    <x v="42"/>
    <n v="500"/>
    <n v="420"/>
    <n v="210"/>
    <x v="0"/>
  </r>
  <r>
    <x v="88"/>
    <s v="SETIEMBRE"/>
    <x v="15"/>
    <s v="LUNES"/>
    <n v="256737"/>
    <x v="44"/>
    <n v="1375"/>
    <n v="420"/>
    <n v="577.5"/>
    <x v="0"/>
  </r>
  <r>
    <x v="88"/>
    <s v="SETIEMBRE"/>
    <x v="15"/>
    <s v="LUNES"/>
    <n v="256383"/>
    <x v="28"/>
    <n v="60"/>
    <n v="30"/>
    <n v="13.8"/>
    <x v="0"/>
  </r>
  <r>
    <x v="88"/>
    <s v="SETIEMBRE"/>
    <x v="15"/>
    <s v="LUNES"/>
    <n v="256382"/>
    <x v="33"/>
    <n v="80"/>
    <n v="40"/>
    <n v="18.400000000000002"/>
    <x v="0"/>
  </r>
  <r>
    <x v="88"/>
    <s v="SETIEMBRE"/>
    <x v="15"/>
    <s v="LUNES"/>
    <n v="256381"/>
    <x v="13"/>
    <n v="60"/>
    <n v="30"/>
    <n v="24"/>
    <x v="0"/>
  </r>
  <r>
    <x v="88"/>
    <s v="SETIEMBRE"/>
    <x v="15"/>
    <s v="LUNES"/>
    <n v="256379"/>
    <x v="15"/>
    <n v="100"/>
    <n v="50"/>
    <n v="40"/>
    <x v="0"/>
  </r>
  <r>
    <x v="88"/>
    <s v="SETIEMBRE"/>
    <x v="15"/>
    <s v="LUNES"/>
    <n v="251429"/>
    <x v="0"/>
    <n v="576"/>
    <n v="48"/>
    <n v="230.4"/>
    <x v="0"/>
  </r>
  <r>
    <x v="88"/>
    <s v="SETIEMBRE"/>
    <x v="15"/>
    <s v="LUNES"/>
    <n v="256677"/>
    <x v="10"/>
    <n v="1440"/>
    <n v="120"/>
    <n v="244.8"/>
    <x v="0"/>
  </r>
  <r>
    <x v="88"/>
    <s v="SETIEMBRE"/>
    <x v="15"/>
    <s v="LUNES"/>
    <n v="256676"/>
    <x v="17"/>
    <n v="480"/>
    <n v="120"/>
    <n v="81.600000000000009"/>
    <x v="0"/>
  </r>
  <r>
    <x v="88"/>
    <s v="SETIEMBRE"/>
    <x v="15"/>
    <s v="LUNES"/>
    <n v="256675"/>
    <x v="8"/>
    <n v="864"/>
    <n v="198"/>
    <n v="146.88000000000002"/>
    <x v="0"/>
  </r>
  <r>
    <x v="88"/>
    <s v="SETIEMBRE"/>
    <x v="15"/>
    <s v="LUNES"/>
    <n v="256674"/>
    <x v="7"/>
    <n v="648"/>
    <n v="198"/>
    <n v="110.16000000000001"/>
    <x v="0"/>
  </r>
  <r>
    <x v="88"/>
    <s v="SETIEMBRE"/>
    <x v="15"/>
    <s v="LUNES"/>
    <n v="256652"/>
    <x v="9"/>
    <n v="720"/>
    <n v="90"/>
    <n v="122.4"/>
    <x v="0"/>
  </r>
  <r>
    <x v="88"/>
    <s v="SETIEMBRE"/>
    <x v="15"/>
    <s v="LUNES"/>
    <n v="256488"/>
    <x v="6"/>
    <n v="720"/>
    <n v="120"/>
    <n v="122.4"/>
    <x v="0"/>
  </r>
  <r>
    <x v="88"/>
    <s v="SETIEMBRE"/>
    <x v="15"/>
    <s v="LUNES"/>
    <n v="256678"/>
    <x v="11"/>
    <n v="720"/>
    <n v="90"/>
    <n v="122.4"/>
    <x v="0"/>
  </r>
  <r>
    <x v="88"/>
    <s v="SETIEMBRE"/>
    <x v="15"/>
    <s v="LUNES"/>
    <n v="251406"/>
    <x v="1"/>
    <n v="216"/>
    <n v="198"/>
    <n v="36.720000000000006"/>
    <x v="0"/>
  </r>
  <r>
    <x v="88"/>
    <s v="SETIEMBRE"/>
    <x v="15"/>
    <s v="LUNES"/>
    <n v="254853"/>
    <x v="2"/>
    <n v="1296"/>
    <n v="198"/>
    <n v="220.32000000000002"/>
    <x v="0"/>
  </r>
  <r>
    <x v="88"/>
    <s v="SETIEMBRE"/>
    <x v="15"/>
    <s v="LUNES"/>
    <n v="256666"/>
    <x v="4"/>
    <n v="324"/>
    <n v="162"/>
    <n v="55.080000000000005"/>
    <x v="0"/>
  </r>
  <r>
    <x v="88"/>
    <s v="SETIEMBRE"/>
    <x v="15"/>
    <s v="LUNES"/>
    <n v="254762"/>
    <x v="40"/>
    <n v="224"/>
    <n v="240"/>
    <n v="89.600000000000009"/>
    <x v="0"/>
  </r>
  <r>
    <x v="88"/>
    <s v="SETIEMBRE"/>
    <x v="15"/>
    <s v="LUNES"/>
    <n v="256685"/>
    <x v="38"/>
    <n v="448"/>
    <n v="112"/>
    <n v="179.20000000000002"/>
    <x v="0"/>
  </r>
  <r>
    <x v="88"/>
    <s v="SETIEMBRE"/>
    <x v="15"/>
    <s v="LUNES"/>
    <n v="251633"/>
    <x v="16"/>
    <n v="540"/>
    <n v="180"/>
    <n v="226.79999999999998"/>
    <x v="0"/>
  </r>
  <r>
    <x v="88"/>
    <s v="SETIEMBRE"/>
    <x v="15"/>
    <s v="LUNES"/>
    <n v="256682"/>
    <x v="20"/>
    <n v="720"/>
    <n v="90"/>
    <n v="122.4"/>
    <x v="0"/>
  </r>
  <r>
    <x v="88"/>
    <s v="SETIEMBRE"/>
    <x v="15"/>
    <s v="LUNES"/>
    <n v="256720"/>
    <x v="42"/>
    <n v="1000"/>
    <n v="420"/>
    <n v="420"/>
    <x v="0"/>
  </r>
  <r>
    <x v="88"/>
    <s v="SETIEMBRE"/>
    <x v="15"/>
    <s v="LUNES"/>
    <n v="256695"/>
    <x v="25"/>
    <n v="1350"/>
    <n v="225"/>
    <n v="567"/>
    <x v="0"/>
  </r>
  <r>
    <x v="88"/>
    <s v="SETIEMBRE"/>
    <x v="15"/>
    <s v="LUNES"/>
    <n v="256708"/>
    <x v="12"/>
    <n v="675"/>
    <n v="225"/>
    <n v="270"/>
    <x v="0"/>
  </r>
  <r>
    <x v="88"/>
    <s v="SETIEMBRE"/>
    <x v="15"/>
    <s v="LUNES"/>
    <n v="256679"/>
    <x v="23"/>
    <n v="720"/>
    <n v="90"/>
    <n v="122.4"/>
    <x v="0"/>
  </r>
  <r>
    <x v="88"/>
    <s v="SETIEMBRE"/>
    <x v="15"/>
    <s v="LUNES"/>
    <n v="256674"/>
    <x v="7"/>
    <n v="648"/>
    <n v="198"/>
    <n v="110.16000000000001"/>
    <x v="0"/>
  </r>
  <r>
    <x v="88"/>
    <s v="SETIEMBRE"/>
    <x v="15"/>
    <s v="LUNES"/>
    <n v="256678"/>
    <x v="11"/>
    <n v="540"/>
    <n v="90"/>
    <n v="91.800000000000011"/>
    <x v="0"/>
  </r>
  <r>
    <x v="88"/>
    <s v="SETIEMBRE"/>
    <x v="15"/>
    <s v="LUNES"/>
    <n v="256678"/>
    <x v="11"/>
    <n v="270"/>
    <n v="90"/>
    <n v="45.900000000000006"/>
    <x v="0"/>
  </r>
  <r>
    <x v="88"/>
    <s v="SETIEMBRE"/>
    <x v="15"/>
    <s v="LUNES"/>
    <n v="251406"/>
    <x v="1"/>
    <n v="1512"/>
    <n v="198"/>
    <n v="257.04000000000002"/>
    <x v="0"/>
  </r>
  <r>
    <x v="88"/>
    <s v="SETIEMBRE"/>
    <x v="15"/>
    <s v="LUNES"/>
    <n v="256379"/>
    <x v="15"/>
    <n v="100"/>
    <n v="50"/>
    <n v="40"/>
    <x v="0"/>
  </r>
  <r>
    <x v="89"/>
    <s v="SETIEMBRE"/>
    <x v="15"/>
    <s v="MARTES"/>
    <n v="256679"/>
    <x v="23"/>
    <n v="720"/>
    <n v="90"/>
    <n v="122.4"/>
    <x v="0"/>
  </r>
  <r>
    <x v="89"/>
    <s v="SETIEMBRE"/>
    <x v="15"/>
    <s v="MARTES"/>
    <n v="256682"/>
    <x v="20"/>
    <n v="720"/>
    <n v="90"/>
    <n v="122.4"/>
    <x v="0"/>
  </r>
  <r>
    <x v="89"/>
    <s v="SETIEMBRE"/>
    <x v="15"/>
    <s v="MARTES"/>
    <n v="256381"/>
    <x v="13"/>
    <n v="30"/>
    <n v="30"/>
    <n v="12"/>
    <x v="0"/>
  </r>
  <r>
    <x v="89"/>
    <s v="SETIEMBRE"/>
    <x v="15"/>
    <s v="MARTES"/>
    <n v="256380"/>
    <x v="14"/>
    <n v="40"/>
    <n v="40"/>
    <n v="9.2000000000000011"/>
    <x v="0"/>
  </r>
  <r>
    <x v="89"/>
    <s v="SETIEMBRE"/>
    <x v="15"/>
    <s v="MARTES"/>
    <n v="256379"/>
    <x v="15"/>
    <n v="100"/>
    <n v="50"/>
    <n v="40"/>
    <x v="0"/>
  </r>
  <r>
    <x v="89"/>
    <s v="SETIEMBRE"/>
    <x v="15"/>
    <s v="MARTES"/>
    <n v="255405"/>
    <x v="27"/>
    <n v="350"/>
    <n v="350"/>
    <n v="80.5"/>
    <x v="0"/>
  </r>
  <r>
    <x v="89"/>
    <s v="SETIEMBRE"/>
    <x v="15"/>
    <s v="MARTES"/>
    <n v="254762"/>
    <x v="40"/>
    <n v="112"/>
    <n v="240"/>
    <n v="44.800000000000004"/>
    <x v="0"/>
  </r>
  <r>
    <x v="89"/>
    <s v="SETIEMBRE"/>
    <x v="15"/>
    <s v="MARTES"/>
    <n v="256685"/>
    <x v="38"/>
    <n v="112"/>
    <n v="112"/>
    <n v="44.800000000000004"/>
    <x v="0"/>
  </r>
  <r>
    <x v="89"/>
    <s v="SETIEMBRE"/>
    <x v="15"/>
    <s v="MARTES"/>
    <n v="251406"/>
    <x v="1"/>
    <n v="1296"/>
    <n v="198"/>
    <n v="220.32000000000002"/>
    <x v="0"/>
  </r>
  <r>
    <x v="89"/>
    <s v="SETIEMBRE"/>
    <x v="15"/>
    <s v="MARTES"/>
    <n v="254853"/>
    <x v="2"/>
    <n v="1080"/>
    <n v="198"/>
    <n v="183.60000000000002"/>
    <x v="0"/>
  </r>
  <r>
    <x v="89"/>
    <s v="SETIEMBRE"/>
    <x v="15"/>
    <s v="MARTES"/>
    <n v="256601"/>
    <x v="5"/>
    <n v="162"/>
    <n v="162"/>
    <n v="27.540000000000003"/>
    <x v="0"/>
  </r>
  <r>
    <x v="89"/>
    <s v="SETIEMBRE"/>
    <x v="15"/>
    <s v="MARTES"/>
    <n v="256676"/>
    <x v="17"/>
    <n v="360"/>
    <n v="120"/>
    <n v="61.2"/>
    <x v="0"/>
  </r>
  <r>
    <x v="89"/>
    <s v="SETIEMBRE"/>
    <x v="15"/>
    <s v="MARTES"/>
    <n v="256674"/>
    <x v="7"/>
    <n v="1080"/>
    <n v="198"/>
    <n v="183.60000000000002"/>
    <x v="0"/>
  </r>
  <r>
    <x v="89"/>
    <s v="SETIEMBRE"/>
    <x v="15"/>
    <s v="MARTES"/>
    <n v="256675"/>
    <x v="8"/>
    <n v="864"/>
    <n v="198"/>
    <n v="146.88000000000002"/>
    <x v="0"/>
  </r>
  <r>
    <x v="89"/>
    <s v="SETIEMBRE"/>
    <x v="15"/>
    <s v="MARTES"/>
    <n v="256652"/>
    <x v="9"/>
    <n v="720"/>
    <n v="90"/>
    <n v="122.4"/>
    <x v="0"/>
  </r>
  <r>
    <x v="89"/>
    <s v="SETIEMBRE"/>
    <x v="15"/>
    <s v="MARTES"/>
    <n v="256677"/>
    <x v="10"/>
    <n v="1920"/>
    <n v="120"/>
    <n v="326.40000000000003"/>
    <x v="0"/>
  </r>
  <r>
    <x v="89"/>
    <s v="SETIEMBRE"/>
    <x v="15"/>
    <s v="MARTES"/>
    <n v="256678"/>
    <x v="11"/>
    <n v="1440"/>
    <n v="90"/>
    <n v="244.8"/>
    <x v="0"/>
  </r>
  <r>
    <x v="89"/>
    <s v="SETIEMBRE"/>
    <x v="15"/>
    <s v="MARTES"/>
    <n v="256695"/>
    <x v="25"/>
    <n v="2025"/>
    <n v="225"/>
    <n v="850.5"/>
    <x v="0"/>
  </r>
  <r>
    <x v="89"/>
    <s v="SETIEMBRE"/>
    <x v="15"/>
    <s v="MARTES"/>
    <n v="256720"/>
    <x v="42"/>
    <n v="250"/>
    <n v="420"/>
    <n v="105"/>
    <x v="0"/>
  </r>
  <r>
    <x v="89"/>
    <s v="SETIEMBRE"/>
    <x v="15"/>
    <s v="MARTES"/>
    <n v="256721"/>
    <x v="43"/>
    <n v="1000"/>
    <n v="420"/>
    <n v="420"/>
    <x v="0"/>
  </r>
  <r>
    <x v="89"/>
    <s v="SETIEMBRE"/>
    <x v="15"/>
    <s v="MARTES"/>
    <n v="256737"/>
    <x v="44"/>
    <n v="1375"/>
    <n v="420"/>
    <n v="577.5"/>
    <x v="0"/>
  </r>
  <r>
    <x v="89"/>
    <s v="SETIEMBRE"/>
    <x v="15"/>
    <s v="MARTES"/>
    <n v="251429"/>
    <x v="0"/>
    <n v="384"/>
    <n v="48"/>
    <n v="153.60000000000002"/>
    <x v="0"/>
  </r>
  <r>
    <x v="89"/>
    <s v="SETIEMBRE"/>
    <x v="15"/>
    <s v="MARTES"/>
    <n v="256708"/>
    <x v="12"/>
    <n v="450"/>
    <n v="225"/>
    <n v="180"/>
    <x v="0"/>
  </r>
  <r>
    <x v="89"/>
    <s v="SETIEMBRE"/>
    <x v="15"/>
    <s v="MARTES"/>
    <n v="256488"/>
    <x v="6"/>
    <n v="480"/>
    <n v="120"/>
    <n v="81.600000000000009"/>
    <x v="0"/>
  </r>
  <r>
    <x v="90"/>
    <s v="SETIEMBRE"/>
    <x v="15"/>
    <s v="MIÉRCOLES"/>
    <n v="256677"/>
    <x v="10"/>
    <n v="3840"/>
    <n v="120"/>
    <n v="652.80000000000007"/>
    <x v="0"/>
  </r>
  <r>
    <x v="90"/>
    <s v="SETIEMBRE"/>
    <x v="15"/>
    <s v="MIÉRCOLES"/>
    <n v="256675"/>
    <x v="8"/>
    <n v="1296"/>
    <n v="198"/>
    <n v="220.32000000000002"/>
    <x v="0"/>
  </r>
  <r>
    <x v="90"/>
    <s v="SETIEMBRE"/>
    <x v="15"/>
    <s v="MIÉRCOLES"/>
    <n v="256676"/>
    <x v="17"/>
    <n v="1320"/>
    <n v="120"/>
    <n v="224.4"/>
    <x v="0"/>
  </r>
  <r>
    <x v="90"/>
    <s v="SETIEMBRE"/>
    <x v="15"/>
    <s v="MIÉRCOLES"/>
    <n v="256488"/>
    <x v="6"/>
    <n v="1080"/>
    <n v="120"/>
    <n v="183.60000000000002"/>
    <x v="0"/>
  </r>
  <r>
    <x v="90"/>
    <s v="SETIEMBRE"/>
    <x v="15"/>
    <s v="MIÉRCOLES"/>
    <n v="254853"/>
    <x v="2"/>
    <n v="1296"/>
    <n v="198"/>
    <n v="220.32000000000002"/>
    <x v="0"/>
  </r>
  <r>
    <x v="90"/>
    <s v="SETIEMBRE"/>
    <x v="15"/>
    <s v="MIÉRCOLES"/>
    <n v="251406"/>
    <x v="1"/>
    <n v="1728"/>
    <n v="198"/>
    <n v="293.76000000000005"/>
    <x v="0"/>
  </r>
  <r>
    <x v="90"/>
    <s v="SETIEMBRE"/>
    <x v="15"/>
    <s v="MIÉRCOLES"/>
    <n v="256674"/>
    <x v="7"/>
    <n v="2160"/>
    <n v="198"/>
    <n v="367.20000000000005"/>
    <x v="0"/>
  </r>
  <r>
    <x v="90"/>
    <s v="SETIEMBRE"/>
    <x v="15"/>
    <s v="MIÉRCOLES"/>
    <n v="251429"/>
    <x v="0"/>
    <n v="576"/>
    <n v="48"/>
    <n v="230.4"/>
    <x v="0"/>
  </r>
  <r>
    <x v="90"/>
    <s v="SETIEMBRE"/>
    <x v="15"/>
    <s v="MIÉRCOLES"/>
    <n v="256379"/>
    <x v="15"/>
    <n v="150"/>
    <n v="50"/>
    <n v="60"/>
    <x v="0"/>
  </r>
  <r>
    <x v="90"/>
    <s v="SETIEMBRE"/>
    <x v="15"/>
    <s v="MIÉRCOLES"/>
    <n v="256382"/>
    <x v="33"/>
    <n v="80"/>
    <n v="40"/>
    <n v="18.400000000000002"/>
    <x v="0"/>
  </r>
  <r>
    <x v="90"/>
    <s v="SETIEMBRE"/>
    <x v="15"/>
    <s v="MIÉRCOLES"/>
    <n v="256381"/>
    <x v="13"/>
    <n v="90"/>
    <n v="30"/>
    <n v="36"/>
    <x v="0"/>
  </r>
  <r>
    <x v="90"/>
    <s v="SETIEMBRE"/>
    <x v="15"/>
    <s v="MIÉRCOLES"/>
    <n v="256708"/>
    <x v="12"/>
    <n v="675"/>
    <n v="225"/>
    <n v="270"/>
    <x v="0"/>
  </r>
  <r>
    <x v="90"/>
    <s v="SETIEMBRE"/>
    <x v="15"/>
    <s v="MIÉRCOLES"/>
    <n v="256652"/>
    <x v="9"/>
    <n v="720"/>
    <n v="90"/>
    <n v="122.4"/>
    <x v="0"/>
  </r>
  <r>
    <x v="90"/>
    <s v="SETIEMBRE"/>
    <x v="15"/>
    <s v="MIÉRCOLES"/>
    <n v="256678"/>
    <x v="11"/>
    <n v="1440"/>
    <n v="90"/>
    <n v="244.8"/>
    <x v="0"/>
  </r>
  <r>
    <x v="90"/>
    <s v="SETIEMBRE"/>
    <x v="15"/>
    <s v="MIÉRCOLES"/>
    <n v="251633"/>
    <x v="16"/>
    <n v="540"/>
    <n v="180"/>
    <n v="226.79999999999998"/>
    <x v="0"/>
  </r>
  <r>
    <x v="90"/>
    <s v="SETIEMBRE"/>
    <x v="15"/>
    <s v="MIÉRCOLES"/>
    <n v="256682"/>
    <x v="20"/>
    <n v="720"/>
    <n v="90"/>
    <n v="122.4"/>
    <x v="0"/>
  </r>
  <r>
    <x v="90"/>
    <s v="SETIEMBRE"/>
    <x v="15"/>
    <s v="MIÉRCOLES"/>
    <n v="256695"/>
    <x v="25"/>
    <n v="900"/>
    <n v="225"/>
    <n v="378"/>
    <x v="0"/>
  </r>
  <r>
    <x v="90"/>
    <s v="SETIEMBRE"/>
    <x v="15"/>
    <s v="MIÉRCOLES"/>
    <n v="256679"/>
    <x v="23"/>
    <n v="720"/>
    <n v="90"/>
    <n v="122.4"/>
    <x v="0"/>
  </r>
  <r>
    <x v="90"/>
    <s v="SETIEMBRE"/>
    <x v="15"/>
    <s v="MIÉRCOLES"/>
    <n v="256685"/>
    <x v="38"/>
    <n v="336"/>
    <n v="112"/>
    <n v="134.4"/>
    <x v="0"/>
  </r>
  <r>
    <x v="90"/>
    <s v="SETIEMBRE"/>
    <x v="15"/>
    <s v="MIÉRCOLES"/>
    <n v="254762"/>
    <x v="40"/>
    <n v="224"/>
    <n v="240"/>
    <n v="89.600000000000009"/>
    <x v="0"/>
  </r>
  <r>
    <x v="90"/>
    <s v="SETIEMBRE"/>
    <x v="15"/>
    <s v="MIÉRCOLES"/>
    <n v="256721"/>
    <x v="43"/>
    <n v="250"/>
    <n v="420"/>
    <n v="105"/>
    <x v="0"/>
  </r>
  <r>
    <x v="90"/>
    <s v="SETIEMBRE"/>
    <x v="15"/>
    <s v="MIÉRCOLES"/>
    <n v="256737"/>
    <x v="44"/>
    <n v="1625"/>
    <n v="420"/>
    <n v="682.5"/>
    <x v="0"/>
  </r>
  <r>
    <x v="90"/>
    <s v="SETIEMBRE"/>
    <x v="15"/>
    <s v="MIÉRCOLES"/>
    <n v="256666"/>
    <x v="4"/>
    <n v="810"/>
    <n v="162"/>
    <n v="137.70000000000002"/>
    <x v="0"/>
  </r>
  <r>
    <x v="90"/>
    <s v="SETIEMBRE"/>
    <x v="15"/>
    <s v="MIÉRCOLES"/>
    <n v="255405"/>
    <x v="27"/>
    <n v="350"/>
    <n v="350"/>
    <n v="80.5"/>
    <x v="0"/>
  </r>
  <r>
    <x v="90"/>
    <s v="SETIEMBRE"/>
    <x v="15"/>
    <s v="MIÉRCOLES"/>
    <n v="751315"/>
    <x v="24"/>
    <n v="3360"/>
    <n v="420"/>
    <n v="1411.2"/>
    <x v="0"/>
  </r>
  <r>
    <x v="91"/>
    <s v="SETIEMBRE"/>
    <x v="15"/>
    <s v="JUEVES"/>
    <n v="251406"/>
    <x v="1"/>
    <n v="1296"/>
    <n v="198"/>
    <n v="220.32000000000002"/>
    <x v="0"/>
  </r>
  <r>
    <x v="91"/>
    <s v="SETIEMBRE"/>
    <x v="15"/>
    <s v="JUEVES"/>
    <n v="256601"/>
    <x v="5"/>
    <n v="810"/>
    <n v="162"/>
    <n v="137.70000000000002"/>
    <x v="0"/>
  </r>
  <r>
    <x v="91"/>
    <s v="SETIEMBRE"/>
    <x v="15"/>
    <s v="JUEVES"/>
    <n v="256488"/>
    <x v="6"/>
    <n v="1080"/>
    <n v="120"/>
    <n v="183.60000000000002"/>
    <x v="0"/>
  </r>
  <r>
    <x v="91"/>
    <s v="SETIEMBRE"/>
    <x v="15"/>
    <s v="JUEVES"/>
    <n v="256617"/>
    <x v="3"/>
    <n v="594"/>
    <n v="198"/>
    <n v="100.98"/>
    <x v="0"/>
  </r>
  <r>
    <x v="91"/>
    <s v="SETIEMBRE"/>
    <x v="15"/>
    <s v="JUEVES"/>
    <n v="256652"/>
    <x v="9"/>
    <n v="720"/>
    <n v="90"/>
    <n v="122.4"/>
    <x v="0"/>
  </r>
  <r>
    <x v="91"/>
    <s v="SETIEMBRE"/>
    <x v="15"/>
    <s v="JUEVES"/>
    <n v="256666"/>
    <x v="4"/>
    <n v="324"/>
    <n v="162"/>
    <n v="55.080000000000005"/>
    <x v="0"/>
  </r>
  <r>
    <x v="91"/>
    <s v="SETIEMBRE"/>
    <x v="15"/>
    <s v="JUEVES"/>
    <n v="256677"/>
    <x v="10"/>
    <n v="840"/>
    <n v="120"/>
    <n v="142.80000000000001"/>
    <x v="0"/>
  </r>
  <r>
    <x v="91"/>
    <s v="SETIEMBRE"/>
    <x v="15"/>
    <s v="JUEVES"/>
    <n v="256677"/>
    <x v="10"/>
    <n v="1080"/>
    <n v="120"/>
    <n v="183.60000000000002"/>
    <x v="0"/>
  </r>
  <r>
    <x v="91"/>
    <s v="SETIEMBRE"/>
    <x v="15"/>
    <s v="JUEVES"/>
    <n v="256676"/>
    <x v="17"/>
    <n v="720"/>
    <n v="120"/>
    <n v="122.4"/>
    <x v="0"/>
  </r>
  <r>
    <x v="91"/>
    <s v="SETIEMBRE"/>
    <x v="15"/>
    <s v="JUEVES"/>
    <n v="256678"/>
    <x v="11"/>
    <n v="1620"/>
    <n v="90"/>
    <n v="275.40000000000003"/>
    <x v="0"/>
  </r>
  <r>
    <x v="91"/>
    <s v="SETIEMBRE"/>
    <x v="15"/>
    <s v="JUEVES"/>
    <n v="256674"/>
    <x v="7"/>
    <n v="1296"/>
    <n v="198"/>
    <n v="220.32000000000002"/>
    <x v="0"/>
  </r>
  <r>
    <x v="91"/>
    <s v="SETIEMBRE"/>
    <x v="15"/>
    <s v="JUEVES"/>
    <n v="256675"/>
    <x v="8"/>
    <n v="1296"/>
    <n v="198"/>
    <n v="220.32000000000002"/>
    <x v="0"/>
  </r>
  <r>
    <x v="91"/>
    <s v="SETIEMBRE"/>
    <x v="15"/>
    <s v="JUEVES"/>
    <n v="256679"/>
    <x v="23"/>
    <n v="450"/>
    <n v="90"/>
    <n v="76.5"/>
    <x v="0"/>
  </r>
  <r>
    <x v="91"/>
    <s v="SETIEMBRE"/>
    <x v="15"/>
    <s v="JUEVES"/>
    <n v="256679"/>
    <x v="23"/>
    <n v="270"/>
    <n v="90"/>
    <n v="45.900000000000006"/>
    <x v="0"/>
  </r>
  <r>
    <x v="91"/>
    <s v="SETIEMBRE"/>
    <x v="15"/>
    <s v="JUEVES"/>
    <n v="254853"/>
    <x v="2"/>
    <n v="432"/>
    <n v="198"/>
    <n v="73.440000000000012"/>
    <x v="0"/>
  </r>
  <r>
    <x v="91"/>
    <s v="SETIEMBRE"/>
    <x v="15"/>
    <s v="JUEVES"/>
    <n v="256737"/>
    <x v="44"/>
    <n v="2500"/>
    <n v="420"/>
    <n v="1050"/>
    <x v="0"/>
  </r>
  <r>
    <x v="91"/>
    <s v="SETIEMBRE"/>
    <x v="15"/>
    <s v="JUEVES"/>
    <n v="256721"/>
    <x v="43"/>
    <n v="250"/>
    <n v="420"/>
    <n v="105"/>
    <x v="0"/>
  </r>
  <r>
    <x v="91"/>
    <s v="SETIEMBRE"/>
    <x v="15"/>
    <s v="JUEVES"/>
    <n v="251633"/>
    <x v="16"/>
    <n v="180"/>
    <n v="180"/>
    <n v="75.599999999999994"/>
    <x v="0"/>
  </r>
  <r>
    <x v="91"/>
    <s v="SETIEMBRE"/>
    <x v="15"/>
    <s v="JUEVES"/>
    <n v="255405"/>
    <x v="27"/>
    <n v="700"/>
    <n v="350"/>
    <n v="161"/>
    <x v="0"/>
  </r>
  <r>
    <x v="91"/>
    <s v="SETIEMBRE"/>
    <x v="15"/>
    <s v="JUEVES"/>
    <n v="256685"/>
    <x v="38"/>
    <n v="560"/>
    <n v="112"/>
    <n v="224"/>
    <x v="0"/>
  </r>
  <r>
    <x v="91"/>
    <s v="SETIEMBRE"/>
    <x v="15"/>
    <s v="JUEVES"/>
    <n v="751315"/>
    <x v="24"/>
    <n v="2100"/>
    <n v="420"/>
    <n v="882"/>
    <x v="0"/>
  </r>
  <r>
    <x v="91"/>
    <s v="SETIEMBRE"/>
    <x v="15"/>
    <s v="JUEVES"/>
    <n v="256721"/>
    <x v="43"/>
    <n v="750"/>
    <n v="420"/>
    <n v="315"/>
    <x v="0"/>
  </r>
  <r>
    <x v="92"/>
    <s v="SETIEMBRE"/>
    <x v="15"/>
    <s v="VIERNES"/>
    <n v="256380"/>
    <x v="14"/>
    <n v="40"/>
    <n v="40"/>
    <n v="9.2000000000000011"/>
    <x v="0"/>
  </r>
  <r>
    <x v="92"/>
    <s v="SETIEMBRE"/>
    <x v="15"/>
    <s v="VIERNES"/>
    <n v="256379"/>
    <x v="15"/>
    <n v="650"/>
    <n v="50"/>
    <n v="260"/>
    <x v="0"/>
  </r>
  <r>
    <x v="92"/>
    <s v="SETIEMBRE"/>
    <x v="15"/>
    <s v="VIERNES"/>
    <n v="256727"/>
    <x v="45"/>
    <n v="1300"/>
    <n v="420"/>
    <n v="1560"/>
    <x v="0"/>
  </r>
  <r>
    <x v="92"/>
    <s v="SETIEMBRE"/>
    <x v="15"/>
    <s v="VIERNES"/>
    <n v="256677"/>
    <x v="10"/>
    <n v="1200"/>
    <n v="120"/>
    <n v="204.00000000000003"/>
    <x v="0"/>
  </r>
  <r>
    <x v="92"/>
    <s v="SETIEMBRE"/>
    <x v="15"/>
    <s v="VIERNES"/>
    <n v="256676"/>
    <x v="17"/>
    <n v="1200"/>
    <n v="120"/>
    <n v="204.00000000000003"/>
    <x v="0"/>
  </r>
  <r>
    <x v="92"/>
    <s v="SETIEMBRE"/>
    <x v="15"/>
    <s v="VIERNES"/>
    <n v="256488"/>
    <x v="6"/>
    <n v="960"/>
    <n v="120"/>
    <n v="163.20000000000002"/>
    <x v="0"/>
  </r>
  <r>
    <x v="92"/>
    <s v="SETIEMBRE"/>
    <x v="15"/>
    <s v="VIERNES"/>
    <n v="251429"/>
    <x v="0"/>
    <n v="96"/>
    <n v="48"/>
    <n v="38.400000000000006"/>
    <x v="0"/>
  </r>
  <r>
    <x v="92"/>
    <s v="SETIEMBRE"/>
    <x v="15"/>
    <s v="VIERNES"/>
    <n v="256737"/>
    <x v="44"/>
    <n v="625"/>
    <n v="420"/>
    <n v="262.5"/>
    <x v="0"/>
  </r>
  <r>
    <x v="92"/>
    <s v="SETIEMBRE"/>
    <x v="15"/>
    <s v="VIERNES"/>
    <n v="256652"/>
    <x v="9"/>
    <n v="720"/>
    <n v="90"/>
    <n v="122.4"/>
    <x v="0"/>
  </r>
  <r>
    <x v="92"/>
    <s v="SETIEMBRE"/>
    <x v="15"/>
    <s v="VIERNES"/>
    <n v="751315"/>
    <x v="24"/>
    <n v="2100"/>
    <n v="420"/>
    <n v="882"/>
    <x v="0"/>
  </r>
  <r>
    <x v="92"/>
    <s v="SETIEMBRE"/>
    <x v="15"/>
    <s v="VIERNES"/>
    <n v="251406"/>
    <x v="1"/>
    <n v="648"/>
    <n v="198"/>
    <n v="110.16000000000001"/>
    <x v="0"/>
  </r>
  <r>
    <x v="92"/>
    <s v="SETIEMBRE"/>
    <x v="15"/>
    <s v="VIERNES"/>
    <n v="256678"/>
    <x v="11"/>
    <n v="720"/>
    <n v="90"/>
    <n v="122.4"/>
    <x v="0"/>
  </r>
  <r>
    <x v="92"/>
    <s v="SETIEMBRE"/>
    <x v="15"/>
    <s v="VIERNES"/>
    <n v="256675"/>
    <x v="8"/>
    <n v="432"/>
    <n v="198"/>
    <n v="73.440000000000012"/>
    <x v="0"/>
  </r>
  <r>
    <x v="92"/>
    <s v="SETIEMBRE"/>
    <x v="15"/>
    <s v="VIERNES"/>
    <n v="251633"/>
    <x v="16"/>
    <n v="180"/>
    <n v="180"/>
    <n v="75.599999999999994"/>
    <x v="0"/>
  </r>
  <r>
    <x v="92"/>
    <s v="SETIEMBRE"/>
    <x v="15"/>
    <s v="VIERNES"/>
    <n v="254762"/>
    <x v="40"/>
    <n v="112"/>
    <n v="240"/>
    <n v="44.800000000000004"/>
    <x v="0"/>
  </r>
  <r>
    <x v="92"/>
    <s v="SETIEMBRE"/>
    <x v="15"/>
    <s v="VIERNES"/>
    <n v="256383"/>
    <x v="28"/>
    <n v="90"/>
    <n v="30"/>
    <n v="20.7"/>
    <x v="0"/>
  </r>
  <r>
    <x v="92"/>
    <s v="SETIEMBRE"/>
    <x v="15"/>
    <s v="VIERNES"/>
    <n v="256695"/>
    <x v="25"/>
    <n v="900"/>
    <n v="225"/>
    <n v="378"/>
    <x v="0"/>
  </r>
  <r>
    <x v="92"/>
    <s v="SETIEMBRE"/>
    <x v="15"/>
    <s v="VIERNES"/>
    <n v="256695"/>
    <x v="25"/>
    <n v="450"/>
    <n v="225"/>
    <n v="189"/>
    <x v="0"/>
  </r>
  <r>
    <x v="92"/>
    <s v="SETIEMBRE"/>
    <x v="15"/>
    <s v="VIERNES"/>
    <n v="256737"/>
    <x v="44"/>
    <n v="500"/>
    <n v="420"/>
    <n v="210"/>
    <x v="0"/>
  </r>
  <r>
    <x v="92"/>
    <s v="SETIEMBRE"/>
    <x v="15"/>
    <s v="VIERNES"/>
    <n v="256737"/>
    <x v="44"/>
    <n v="500"/>
    <n v="420"/>
    <n v="210"/>
    <x v="0"/>
  </r>
  <r>
    <x v="92"/>
    <s v="SETIEMBRE"/>
    <x v="15"/>
    <s v="VIERNES"/>
    <n v="256721"/>
    <x v="43"/>
    <n v="500"/>
    <n v="420"/>
    <n v="210"/>
    <x v="0"/>
  </r>
  <r>
    <x v="92"/>
    <s v="SETIEMBRE"/>
    <x v="15"/>
    <s v="VIERNES"/>
    <n v="256727"/>
    <x v="45"/>
    <n v="260"/>
    <n v="420"/>
    <n v="312"/>
    <x v="0"/>
  </r>
  <r>
    <x v="93"/>
    <s v="SETIEMBRE"/>
    <x v="16"/>
    <s v="SÁBADO"/>
    <n v="256727"/>
    <x v="45"/>
    <n v="1430"/>
    <n v="420"/>
    <n v="1716"/>
    <x v="0"/>
  </r>
  <r>
    <x v="93"/>
    <s v="SETIEMBRE"/>
    <x v="16"/>
    <s v="SÁBADO"/>
    <n v="256383"/>
    <x v="28"/>
    <n v="90"/>
    <n v="30"/>
    <n v="20.7"/>
    <x v="0"/>
  </r>
  <r>
    <x v="93"/>
    <s v="SETIEMBRE"/>
    <x v="16"/>
    <s v="SÁBADO"/>
    <n v="256380"/>
    <x v="14"/>
    <n v="40"/>
    <n v="40"/>
    <n v="9.2000000000000011"/>
    <x v="0"/>
  </r>
  <r>
    <x v="93"/>
    <s v="SETIEMBRE"/>
    <x v="16"/>
    <s v="SÁBADO"/>
    <n v="251429"/>
    <x v="0"/>
    <n v="816"/>
    <n v="48"/>
    <n v="326.40000000000003"/>
    <x v="0"/>
  </r>
  <r>
    <x v="93"/>
    <s v="SETIEMBRE"/>
    <x v="16"/>
    <s v="SÁBADO"/>
    <n v="751315"/>
    <x v="24"/>
    <n v="1260"/>
    <n v="420"/>
    <n v="529.19999999999993"/>
    <x v="0"/>
  </r>
  <r>
    <x v="93"/>
    <s v="SETIEMBRE"/>
    <x v="16"/>
    <s v="SÁBADO"/>
    <n v="251633"/>
    <x v="16"/>
    <n v="900"/>
    <n v="180"/>
    <n v="378"/>
    <x v="0"/>
  </r>
  <r>
    <x v="93"/>
    <s v="SETIEMBRE"/>
    <x v="16"/>
    <s v="SÁBADO"/>
    <n v="251406"/>
    <x v="1"/>
    <n v="1080"/>
    <n v="198"/>
    <n v="183.60000000000002"/>
    <x v="0"/>
  </r>
  <r>
    <x v="93"/>
    <s v="SETIEMBRE"/>
    <x v="16"/>
    <s v="SÁBADO"/>
    <n v="254853"/>
    <x v="2"/>
    <n v="1080"/>
    <n v="198"/>
    <n v="183.60000000000002"/>
    <x v="0"/>
  </r>
  <r>
    <x v="93"/>
    <s v="SETIEMBRE"/>
    <x v="16"/>
    <s v="SÁBADO"/>
    <n v="256617"/>
    <x v="3"/>
    <n v="198"/>
    <n v="198"/>
    <n v="33.660000000000004"/>
    <x v="0"/>
  </r>
  <r>
    <x v="93"/>
    <s v="SETIEMBRE"/>
    <x v="16"/>
    <s v="SÁBADO"/>
    <n v="256666"/>
    <x v="4"/>
    <n v="324"/>
    <n v="162"/>
    <n v="55.080000000000005"/>
    <x v="0"/>
  </r>
  <r>
    <x v="93"/>
    <s v="SETIEMBRE"/>
    <x v="16"/>
    <s v="SÁBADO"/>
    <n v="256601"/>
    <x v="5"/>
    <n v="162"/>
    <n v="162"/>
    <n v="27.540000000000003"/>
    <x v="0"/>
  </r>
  <r>
    <x v="93"/>
    <s v="SETIEMBRE"/>
    <x v="16"/>
    <s v="SÁBADO"/>
    <n v="256488"/>
    <x v="6"/>
    <n v="960"/>
    <n v="120"/>
    <n v="163.20000000000002"/>
    <x v="0"/>
  </r>
  <r>
    <x v="93"/>
    <s v="SETIEMBRE"/>
    <x v="16"/>
    <s v="SÁBADO"/>
    <n v="256652"/>
    <x v="9"/>
    <n v="90"/>
    <n v="90"/>
    <n v="15.3"/>
    <x v="0"/>
  </r>
  <r>
    <x v="93"/>
    <s v="SETIEMBRE"/>
    <x v="16"/>
    <s v="SÁBADO"/>
    <n v="256677"/>
    <x v="10"/>
    <n v="1200"/>
    <n v="120"/>
    <n v="204.00000000000003"/>
    <x v="0"/>
  </r>
  <r>
    <x v="93"/>
    <s v="SETIEMBRE"/>
    <x v="16"/>
    <s v="SÁBADO"/>
    <n v="256678"/>
    <x v="11"/>
    <n v="2160"/>
    <n v="90"/>
    <n v="367.20000000000005"/>
    <x v="0"/>
  </r>
  <r>
    <x v="93"/>
    <s v="SETIEMBRE"/>
    <x v="16"/>
    <s v="SÁBADO"/>
    <n v="256695"/>
    <x v="25"/>
    <n v="1350"/>
    <n v="225"/>
    <n v="567"/>
    <x v="0"/>
  </r>
  <r>
    <x v="93"/>
    <s v="SETIEMBRE"/>
    <x v="16"/>
    <s v="SÁBADO"/>
    <n v="256709"/>
    <x v="19"/>
    <n v="225"/>
    <n v="225"/>
    <n v="90"/>
    <x v="0"/>
  </r>
  <r>
    <x v="93"/>
    <s v="SETIEMBRE"/>
    <x v="16"/>
    <s v="SÁBADO"/>
    <n v="256676"/>
    <x v="17"/>
    <n v="240"/>
    <n v="120"/>
    <n v="40.800000000000004"/>
    <x v="0"/>
  </r>
  <r>
    <x v="93"/>
    <s v="SETIEMBRE"/>
    <x v="16"/>
    <s v="SÁBADO"/>
    <n v="256720"/>
    <x v="42"/>
    <n v="250"/>
    <n v="420"/>
    <n v="105"/>
    <x v="0"/>
  </r>
  <r>
    <x v="94"/>
    <s v="SETIEMBRE"/>
    <x v="16"/>
    <s v="LUNES"/>
    <n v="256666"/>
    <x v="4"/>
    <n v="648"/>
    <n v="162"/>
    <n v="110.16000000000001"/>
    <x v="0"/>
  </r>
  <r>
    <x v="94"/>
    <s v="SETIEMBRE"/>
    <x v="16"/>
    <s v="LUNES"/>
    <n v="256676"/>
    <x v="17"/>
    <n v="960"/>
    <n v="120"/>
    <n v="163.20000000000002"/>
    <x v="0"/>
  </r>
  <r>
    <x v="94"/>
    <s v="SETIEMBRE"/>
    <x v="16"/>
    <s v="LUNES"/>
    <n v="256488"/>
    <x v="6"/>
    <n v="1200"/>
    <n v="120"/>
    <n v="204.00000000000003"/>
    <x v="0"/>
  </r>
  <r>
    <x v="94"/>
    <s v="SETIEMBRE"/>
    <x v="16"/>
    <s v="LUNES"/>
    <n v="251151"/>
    <x v="46"/>
    <n v="1750"/>
    <n v="250"/>
    <n v="735"/>
    <x v="0"/>
  </r>
  <r>
    <x v="95"/>
    <s v="SETIEMBRE"/>
    <x v="16"/>
    <s v="DOMINGO"/>
    <n v="256727"/>
    <x v="45"/>
    <n v="1170"/>
    <n v="420"/>
    <n v="1404"/>
    <x v="0"/>
  </r>
  <r>
    <x v="94"/>
    <s v="SETIEMBRE"/>
    <x v="16"/>
    <s v="LUNES"/>
    <n v="254853"/>
    <x v="2"/>
    <n v="1080"/>
    <n v="198"/>
    <n v="183.60000000000002"/>
    <x v="0"/>
  </r>
  <r>
    <x v="94"/>
    <s v="SETIEMBRE"/>
    <x v="16"/>
    <s v="LUNES"/>
    <n v="254853"/>
    <x v="2"/>
    <n v="216"/>
    <n v="198"/>
    <n v="36.720000000000006"/>
    <x v="0"/>
  </r>
  <r>
    <x v="94"/>
    <s v="SETIEMBRE"/>
    <x v="16"/>
    <s v="LUNES"/>
    <n v="256674"/>
    <x v="7"/>
    <n v="1296"/>
    <n v="198"/>
    <n v="220.32000000000002"/>
    <x v="0"/>
  </r>
  <r>
    <x v="94"/>
    <s v="SETIEMBRE"/>
    <x v="16"/>
    <s v="LUNES"/>
    <n v="251406"/>
    <x v="1"/>
    <n v="1296"/>
    <n v="198"/>
    <n v="220.32000000000002"/>
    <x v="0"/>
  </r>
  <r>
    <x v="94"/>
    <s v="SETIEMBRE"/>
    <x v="16"/>
    <s v="LUNES"/>
    <n v="751468"/>
    <x v="32"/>
    <n v="1680"/>
    <n v="420"/>
    <n v="705.6"/>
    <x v="0"/>
  </r>
  <r>
    <x v="94"/>
    <s v="SETIEMBRE"/>
    <x v="16"/>
    <s v="LUNES"/>
    <n v="751315"/>
    <x v="24"/>
    <n v="420"/>
    <n v="420"/>
    <n v="176.4"/>
    <x v="0"/>
  </r>
  <r>
    <x v="94"/>
    <s v="SETIEMBRE"/>
    <x v="16"/>
    <s v="LUNES"/>
    <n v="256677"/>
    <x v="10"/>
    <n v="1680"/>
    <n v="120"/>
    <n v="285.60000000000002"/>
    <x v="0"/>
  </r>
  <r>
    <x v="94"/>
    <s v="SETIEMBRE"/>
    <x v="16"/>
    <s v="LUNES"/>
    <n v="256652"/>
    <x v="9"/>
    <n v="720"/>
    <n v="90"/>
    <n v="122.4"/>
    <x v="0"/>
  </r>
  <r>
    <x v="94"/>
    <s v="SETIEMBRE"/>
    <x v="16"/>
    <s v="LUNES"/>
    <n v="256678"/>
    <x v="11"/>
    <n v="1710"/>
    <n v="90"/>
    <n v="290.70000000000005"/>
    <x v="0"/>
  </r>
  <r>
    <x v="94"/>
    <s v="SETIEMBRE"/>
    <x v="16"/>
    <s v="LUNES"/>
    <n v="256680"/>
    <x v="26"/>
    <n v="180"/>
    <n v="90"/>
    <n v="30.6"/>
    <x v="0"/>
  </r>
  <r>
    <x v="94"/>
    <s v="SETIEMBRE"/>
    <x v="16"/>
    <s v="LUNES"/>
    <n v="251633"/>
    <x v="16"/>
    <n v="180"/>
    <n v="180"/>
    <n v="75.599999999999994"/>
    <x v="0"/>
  </r>
  <r>
    <x v="94"/>
    <s v="SETIEMBRE"/>
    <x v="16"/>
    <s v="LUNES"/>
    <n v="256709"/>
    <x v="19"/>
    <n v="225"/>
    <n v="225"/>
    <n v="90"/>
    <x v="0"/>
  </r>
  <r>
    <x v="94"/>
    <s v="SETIEMBRE"/>
    <x v="16"/>
    <s v="LUNES"/>
    <n v="251429"/>
    <x v="0"/>
    <n v="96"/>
    <n v="48"/>
    <n v="38.400000000000006"/>
    <x v="0"/>
  </r>
  <r>
    <x v="94"/>
    <s v="SETIEMBRE"/>
    <x v="16"/>
    <s v="LUNES"/>
    <n v="256695"/>
    <x v="25"/>
    <n v="450"/>
    <n v="225"/>
    <n v="189"/>
    <x v="0"/>
  </r>
  <r>
    <x v="94"/>
    <s v="SETIEMBRE"/>
    <x v="16"/>
    <s v="LUNES"/>
    <n v="256727"/>
    <x v="45"/>
    <n v="3250"/>
    <n v="420"/>
    <n v="3900"/>
    <x v="0"/>
  </r>
  <r>
    <x v="94"/>
    <s v="SETIEMBRE"/>
    <x v="16"/>
    <s v="LUNES"/>
    <n v="256727"/>
    <x v="45"/>
    <n v="390"/>
    <n v="420"/>
    <n v="468"/>
    <x v="0"/>
  </r>
  <r>
    <x v="96"/>
    <s v="SETIEMBRE"/>
    <x v="16"/>
    <s v="MARTES"/>
    <n v="251429"/>
    <x v="0"/>
    <n v="384"/>
    <n v="48"/>
    <n v="153.60000000000002"/>
    <x v="0"/>
  </r>
  <r>
    <x v="96"/>
    <s v="SETIEMBRE"/>
    <x v="16"/>
    <s v="MARTES"/>
    <n v="256380"/>
    <x v="14"/>
    <n v="40"/>
    <n v="40"/>
    <n v="9.2000000000000011"/>
    <x v="0"/>
  </r>
  <r>
    <x v="96"/>
    <s v="SETIEMBRE"/>
    <x v="16"/>
    <s v="MARTES"/>
    <n v="256720"/>
    <x v="42"/>
    <n v="250"/>
    <n v="420"/>
    <n v="105"/>
    <x v="0"/>
  </r>
  <r>
    <x v="96"/>
    <s v="SETIEMBRE"/>
    <x v="16"/>
    <s v="MARTES"/>
    <n v="254853"/>
    <x v="2"/>
    <n v="432"/>
    <n v="198"/>
    <n v="73.440000000000012"/>
    <x v="0"/>
  </r>
  <r>
    <x v="96"/>
    <s v="SETIEMBRE"/>
    <x v="16"/>
    <s v="MARTES"/>
    <n v="256617"/>
    <x v="3"/>
    <n v="396"/>
    <n v="198"/>
    <n v="67.320000000000007"/>
    <x v="0"/>
  </r>
  <r>
    <x v="96"/>
    <s v="SETIEMBRE"/>
    <x v="16"/>
    <s v="MARTES"/>
    <n v="251406"/>
    <x v="1"/>
    <n v="1512"/>
    <n v="198"/>
    <n v="257.04000000000002"/>
    <x v="0"/>
  </r>
  <r>
    <x v="96"/>
    <s v="SETIEMBRE"/>
    <x v="16"/>
    <s v="MARTES"/>
    <n v="256488"/>
    <x v="6"/>
    <n v="240"/>
    <n v="120"/>
    <n v="40.800000000000004"/>
    <x v="0"/>
  </r>
  <r>
    <x v="96"/>
    <s v="SETIEMBRE"/>
    <x v="16"/>
    <s v="MARTES"/>
    <n v="256682"/>
    <x v="20"/>
    <n v="450"/>
    <n v="90"/>
    <n v="76.5"/>
    <x v="0"/>
  </r>
  <r>
    <x v="96"/>
    <s v="SETIEMBRE"/>
    <x v="16"/>
    <s v="MARTES"/>
    <n v="256666"/>
    <x v="4"/>
    <n v="162"/>
    <n v="162"/>
    <n v="27.540000000000003"/>
    <x v="0"/>
  </r>
  <r>
    <x v="96"/>
    <s v="SETIEMBRE"/>
    <x v="16"/>
    <s v="MARTES"/>
    <n v="256678"/>
    <x v="11"/>
    <n v="1440"/>
    <n v="90"/>
    <n v="244.8"/>
    <x v="0"/>
  </r>
  <r>
    <x v="96"/>
    <s v="SETIEMBRE"/>
    <x v="16"/>
    <s v="MARTES"/>
    <n v="254852"/>
    <x v="37"/>
    <n v="500"/>
    <n v="225"/>
    <n v="210"/>
    <x v="0"/>
  </r>
  <r>
    <x v="96"/>
    <s v="SETIEMBRE"/>
    <x v="16"/>
    <s v="MARTES"/>
    <n v="256379"/>
    <x v="15"/>
    <n v="200"/>
    <n v="50"/>
    <n v="80"/>
    <x v="0"/>
  </r>
  <r>
    <x v="96"/>
    <s v="SETIEMBRE"/>
    <x v="16"/>
    <s v="MARTES"/>
    <n v="256680"/>
    <x v="26"/>
    <n v="270"/>
    <n v="90"/>
    <n v="45.900000000000006"/>
    <x v="0"/>
  </r>
  <r>
    <x v="96"/>
    <s v="SETIEMBRE"/>
    <x v="16"/>
    <s v="MARTES"/>
    <n v="252436"/>
    <x v="36"/>
    <n v="270"/>
    <n v="90"/>
    <n v="108"/>
    <x v="0"/>
  </r>
  <r>
    <x v="96"/>
    <s v="SETIEMBRE"/>
    <x v="16"/>
    <s v="MARTES"/>
    <n v="256601"/>
    <x v="5"/>
    <n v="324"/>
    <n v="162"/>
    <n v="55.080000000000005"/>
    <x v="0"/>
  </r>
  <r>
    <x v="96"/>
    <s v="SETIEMBRE"/>
    <x v="16"/>
    <s v="MARTES"/>
    <n v="251633"/>
    <x v="16"/>
    <n v="540"/>
    <n v="180"/>
    <n v="226.79999999999998"/>
    <x v="0"/>
  </r>
  <r>
    <x v="96"/>
    <s v="SETIEMBRE"/>
    <x v="16"/>
    <s v="MARTES"/>
    <n v="251151"/>
    <x v="46"/>
    <n v="500"/>
    <n v="250"/>
    <n v="210"/>
    <x v="0"/>
  </r>
  <r>
    <x v="96"/>
    <s v="SETIEMBRE"/>
    <x v="16"/>
    <s v="MARTES"/>
    <n v="751468"/>
    <x v="32"/>
    <n v="3360"/>
    <n v="420"/>
    <n v="1411.2"/>
    <x v="0"/>
  </r>
  <r>
    <x v="96"/>
    <s v="SETIEMBRE"/>
    <x v="16"/>
    <s v="MARTES"/>
    <n v="256708"/>
    <x v="12"/>
    <n v="225"/>
    <n v="225"/>
    <n v="90"/>
    <x v="0"/>
  </r>
  <r>
    <x v="96"/>
    <s v="SETIEMBRE"/>
    <x v="16"/>
    <s v="MARTES"/>
    <n v="256709"/>
    <x v="19"/>
    <n v="450"/>
    <n v="225"/>
    <n v="180"/>
    <x v="0"/>
  </r>
  <r>
    <x v="96"/>
    <s v="SETIEMBRE"/>
    <x v="16"/>
    <s v="MARTES"/>
    <n v="256677"/>
    <x v="10"/>
    <n v="1680"/>
    <n v="120"/>
    <n v="285.60000000000002"/>
    <x v="0"/>
  </r>
  <r>
    <x v="96"/>
    <s v="SETIEMBRE"/>
    <x v="16"/>
    <s v="MARTES"/>
    <n v="251632"/>
    <x v="35"/>
    <n v="180"/>
    <n v="180"/>
    <n v="75.599999999999994"/>
    <x v="0"/>
  </r>
  <r>
    <x v="96"/>
    <s v="SETIEMBRE"/>
    <x v="16"/>
    <s v="MARTES"/>
    <n v="256727"/>
    <x v="45"/>
    <n v="5200"/>
    <n v="420"/>
    <n v="6240"/>
    <x v="0"/>
  </r>
  <r>
    <x v="97"/>
    <s v="SETIEMBRE"/>
    <x v="16"/>
    <s v="MIÉRCOLES"/>
    <n v="256548"/>
    <x v="34"/>
    <n v="216"/>
    <n v="198"/>
    <n v="36.720000000000006"/>
    <x v="0"/>
  </r>
  <r>
    <x v="97"/>
    <s v="SETIEMBRE"/>
    <x v="16"/>
    <s v="MIÉRCOLES"/>
    <n v="251429"/>
    <x v="0"/>
    <n v="528"/>
    <n v="48"/>
    <n v="211.20000000000002"/>
    <x v="0"/>
  </r>
  <r>
    <x v="97"/>
    <s v="SETIEMBRE"/>
    <x v="16"/>
    <s v="MIÉRCOLES"/>
    <n v="256379"/>
    <x v="15"/>
    <n v="350"/>
    <n v="50"/>
    <n v="140"/>
    <x v="0"/>
  </r>
  <r>
    <x v="97"/>
    <s v="SETIEMBRE"/>
    <x v="16"/>
    <s v="MIÉRCOLES"/>
    <n v="256380"/>
    <x v="14"/>
    <n v="200"/>
    <n v="40"/>
    <n v="46"/>
    <x v="0"/>
  </r>
  <r>
    <x v="97"/>
    <s v="SETIEMBRE"/>
    <x v="16"/>
    <s v="MIÉRCOLES"/>
    <n v="256381"/>
    <x v="13"/>
    <n v="60"/>
    <n v="30"/>
    <n v="24"/>
    <x v="0"/>
  </r>
  <r>
    <x v="97"/>
    <s v="SETIEMBRE"/>
    <x v="16"/>
    <s v="MIÉRCOLES"/>
    <n v="256383"/>
    <x v="28"/>
    <n v="60"/>
    <n v="30"/>
    <n v="13.8"/>
    <x v="0"/>
  </r>
  <r>
    <x v="97"/>
    <s v="SETIEMBRE"/>
    <x v="16"/>
    <s v="MIÉRCOLES"/>
    <n v="256675"/>
    <x v="8"/>
    <n v="864"/>
    <n v="198"/>
    <n v="146.88000000000002"/>
    <x v="0"/>
  </r>
  <r>
    <x v="97"/>
    <s v="SETIEMBRE"/>
    <x v="16"/>
    <s v="MIÉRCOLES"/>
    <n v="256680"/>
    <x v="26"/>
    <n v="1440"/>
    <n v="90"/>
    <n v="244.8"/>
    <x v="0"/>
  </r>
  <r>
    <x v="97"/>
    <s v="SETIEMBRE"/>
    <x v="16"/>
    <s v="MIÉRCOLES"/>
    <n v="256695"/>
    <x v="25"/>
    <n v="450"/>
    <n v="225"/>
    <n v="189"/>
    <x v="0"/>
  </r>
  <r>
    <x v="97"/>
    <s v="SETIEMBRE"/>
    <x v="16"/>
    <s v="MIÉRCOLES"/>
    <n v="256708"/>
    <x v="12"/>
    <n v="2250"/>
    <n v="225"/>
    <n v="900"/>
    <x v="0"/>
  </r>
  <r>
    <x v="97"/>
    <s v="SETIEMBRE"/>
    <x v="16"/>
    <s v="MIÉRCOLES"/>
    <n v="256709"/>
    <x v="19"/>
    <n v="1575"/>
    <n v="225"/>
    <n v="630"/>
    <x v="0"/>
  </r>
  <r>
    <x v="97"/>
    <s v="SETIEMBRE"/>
    <x v="16"/>
    <s v="MIÉRCOLES"/>
    <n v="256720"/>
    <x v="42"/>
    <n v="1000"/>
    <n v="420"/>
    <n v="420"/>
    <x v="0"/>
  </r>
  <r>
    <x v="97"/>
    <s v="SETIEMBRE"/>
    <x v="16"/>
    <s v="MIÉRCOLES"/>
    <n v="256601"/>
    <x v="5"/>
    <n v="1134"/>
    <n v="162"/>
    <n v="192.78"/>
    <x v="0"/>
  </r>
  <r>
    <x v="97"/>
    <s v="SETIEMBRE"/>
    <x v="16"/>
    <s v="MIÉRCOLES"/>
    <n v="256666"/>
    <x v="4"/>
    <n v="648"/>
    <n v="162"/>
    <n v="110.16000000000001"/>
    <x v="0"/>
  </r>
  <r>
    <x v="97"/>
    <s v="SETIEMBRE"/>
    <x v="16"/>
    <s v="MIÉRCOLES"/>
    <n v="256617"/>
    <x v="3"/>
    <n v="1584"/>
    <n v="198"/>
    <n v="269.28000000000003"/>
    <x v="0"/>
  </r>
  <r>
    <x v="97"/>
    <s v="SETIEMBRE"/>
    <x v="16"/>
    <s v="MIÉRCOLES"/>
    <n v="256549"/>
    <x v="29"/>
    <n v="864"/>
    <n v="198"/>
    <n v="146.88000000000002"/>
    <x v="0"/>
  </r>
  <r>
    <x v="97"/>
    <s v="SETIEMBRE"/>
    <x v="16"/>
    <s v="MIÉRCOLES"/>
    <n v="254853"/>
    <x v="2"/>
    <n v="1728"/>
    <n v="198"/>
    <n v="293.76000000000005"/>
    <x v="0"/>
  </r>
  <r>
    <x v="97"/>
    <s v="SETIEMBRE"/>
    <x v="16"/>
    <s v="MIÉRCOLES"/>
    <n v="251406"/>
    <x v="1"/>
    <n v="1728"/>
    <n v="198"/>
    <n v="293.76000000000005"/>
    <x v="0"/>
  </r>
  <r>
    <x v="97"/>
    <s v="SETIEMBRE"/>
    <x v="16"/>
    <s v="MIÉRCOLES"/>
    <n v="251633"/>
    <x v="16"/>
    <n v="360"/>
    <n v="180"/>
    <n v="151.19999999999999"/>
    <x v="0"/>
  </r>
  <r>
    <x v="97"/>
    <s v="SETIEMBRE"/>
    <x v="16"/>
    <s v="MIÉRCOLES"/>
    <n v="251633"/>
    <x v="16"/>
    <n v="540"/>
    <n v="180"/>
    <n v="226.79999999999998"/>
    <x v="0"/>
  </r>
  <r>
    <x v="97"/>
    <s v="SETIEMBRE"/>
    <x v="16"/>
    <s v="MIÉRCOLES"/>
    <n v="751468"/>
    <x v="32"/>
    <n v="1680"/>
    <n v="420"/>
    <n v="705.6"/>
    <x v="0"/>
  </r>
  <r>
    <x v="97"/>
    <s v="SETIEMBRE"/>
    <x v="16"/>
    <s v="MIÉRCOLES"/>
    <n v="751315"/>
    <x v="24"/>
    <n v="840"/>
    <n v="420"/>
    <n v="352.8"/>
    <x v="0"/>
  </r>
  <r>
    <x v="97"/>
    <s v="SETIEMBRE"/>
    <x v="16"/>
    <s v="MIÉRCOLES"/>
    <n v="256727"/>
    <x v="45"/>
    <n v="3900"/>
    <n v="420"/>
    <n v="4680"/>
    <x v="0"/>
  </r>
  <r>
    <x v="97"/>
    <s v="SETIEMBRE"/>
    <x v="16"/>
    <s v="MIÉRCOLES"/>
    <n v="751468"/>
    <x v="32"/>
    <n v="420"/>
    <n v="420"/>
    <n v="176.4"/>
    <x v="0"/>
  </r>
  <r>
    <x v="97"/>
    <s v="SETIEMBRE"/>
    <x v="16"/>
    <s v="MIÉRCOLES"/>
    <n v="251632"/>
    <x v="35"/>
    <n v="180"/>
    <n v="180"/>
    <n v="75.599999999999994"/>
    <x v="0"/>
  </r>
  <r>
    <x v="97"/>
    <s v="SETIEMBRE"/>
    <x v="16"/>
    <s v="MIÉRCOLES"/>
    <n v="256727"/>
    <x v="45"/>
    <n v="650"/>
    <n v="420"/>
    <n v="780"/>
    <x v="0"/>
  </r>
  <r>
    <x v="98"/>
    <s v="SETIEMBRE"/>
    <x v="16"/>
    <s v="JUEVES"/>
    <n v="251429"/>
    <x v="0"/>
    <n v="336"/>
    <n v="48"/>
    <n v="134.4"/>
    <x v="0"/>
  </r>
  <r>
    <x v="98"/>
    <s v="SETIEMBRE"/>
    <x v="16"/>
    <s v="JUEVES"/>
    <n v="251429"/>
    <x v="0"/>
    <n v="48"/>
    <n v="48"/>
    <n v="19.200000000000003"/>
    <x v="0"/>
  </r>
  <r>
    <x v="98"/>
    <s v="SETIEMBRE"/>
    <x v="16"/>
    <s v="JUEVES"/>
    <n v="256488"/>
    <x v="6"/>
    <n v="1440"/>
    <n v="120"/>
    <n v="244.8"/>
    <x v="0"/>
  </r>
  <r>
    <x v="98"/>
    <s v="SETIEMBRE"/>
    <x v="16"/>
    <s v="JUEVES"/>
    <n v="256675"/>
    <x v="8"/>
    <n v="864"/>
    <n v="198"/>
    <n v="146.88000000000002"/>
    <x v="0"/>
  </r>
  <r>
    <x v="98"/>
    <s v="SETIEMBRE"/>
    <x v="16"/>
    <s v="JUEVES"/>
    <n v="256676"/>
    <x v="17"/>
    <n v="720"/>
    <n v="120"/>
    <n v="122.4"/>
    <x v="0"/>
  </r>
  <r>
    <x v="98"/>
    <s v="SETIEMBRE"/>
    <x v="16"/>
    <s v="JUEVES"/>
    <n v="256679"/>
    <x v="23"/>
    <n v="720"/>
    <n v="90"/>
    <n v="122.4"/>
    <x v="0"/>
  </r>
  <r>
    <x v="98"/>
    <s v="SETIEMBRE"/>
    <x v="16"/>
    <s v="JUEVES"/>
    <n v="256380"/>
    <x v="14"/>
    <n v="320"/>
    <n v="40"/>
    <n v="73.600000000000009"/>
    <x v="0"/>
  </r>
  <r>
    <x v="98"/>
    <s v="SETIEMBRE"/>
    <x v="16"/>
    <s v="JUEVES"/>
    <n v="251406"/>
    <x v="1"/>
    <n v="648"/>
    <n v="198"/>
    <n v="110.16000000000001"/>
    <x v="0"/>
  </r>
  <r>
    <x v="98"/>
    <s v="SETIEMBRE"/>
    <x v="16"/>
    <s v="JUEVES"/>
    <n v="251633"/>
    <x v="16"/>
    <n v="540"/>
    <n v="180"/>
    <n v="226.79999999999998"/>
    <x v="0"/>
  </r>
  <r>
    <x v="98"/>
    <s v="SETIEMBRE"/>
    <x v="16"/>
    <s v="JUEVES"/>
    <n v="256685"/>
    <x v="38"/>
    <n v="560"/>
    <n v="112"/>
    <n v="224"/>
    <x v="0"/>
  </r>
  <r>
    <x v="98"/>
    <s v="SETIEMBRE"/>
    <x v="16"/>
    <s v="JUEVES"/>
    <n v="254853"/>
    <x v="2"/>
    <n v="1080"/>
    <n v="198"/>
    <n v="183.60000000000002"/>
    <x v="0"/>
  </r>
  <r>
    <x v="98"/>
    <s v="SETIEMBRE"/>
    <x v="16"/>
    <s v="JUEVES"/>
    <n v="256617"/>
    <x v="3"/>
    <n v="990"/>
    <n v="198"/>
    <n v="168.3"/>
    <x v="0"/>
  </r>
  <r>
    <x v="98"/>
    <s v="SETIEMBRE"/>
    <x v="16"/>
    <s v="JUEVES"/>
    <n v="254762"/>
    <x v="40"/>
    <n v="448"/>
    <n v="240"/>
    <n v="179.20000000000002"/>
    <x v="0"/>
  </r>
  <r>
    <x v="98"/>
    <s v="SETIEMBRE"/>
    <x v="16"/>
    <s v="JUEVES"/>
    <n v="256666"/>
    <x v="4"/>
    <n v="972"/>
    <n v="162"/>
    <n v="165.24"/>
    <x v="0"/>
  </r>
  <r>
    <x v="98"/>
    <s v="SETIEMBRE"/>
    <x v="16"/>
    <s v="JUEVES"/>
    <n v="256601"/>
    <x v="5"/>
    <n v="324"/>
    <n v="162"/>
    <n v="55.080000000000005"/>
    <x v="0"/>
  </r>
  <r>
    <x v="98"/>
    <s v="SETIEMBRE"/>
    <x v="16"/>
    <s v="JUEVES"/>
    <n v="256601"/>
    <x v="5"/>
    <n v="486"/>
    <n v="162"/>
    <n v="82.62"/>
    <x v="0"/>
  </r>
  <r>
    <x v="98"/>
    <s v="SETIEMBRE"/>
    <x v="16"/>
    <s v="JUEVES"/>
    <n v="256709"/>
    <x v="19"/>
    <n v="450"/>
    <n v="225"/>
    <n v="180"/>
    <x v="0"/>
  </r>
  <r>
    <x v="98"/>
    <s v="SETIEMBRE"/>
    <x v="16"/>
    <s v="JUEVES"/>
    <n v="256381"/>
    <x v="13"/>
    <n v="210"/>
    <n v="30"/>
    <n v="84"/>
    <x v="0"/>
  </r>
  <r>
    <x v="98"/>
    <s v="SETIEMBRE"/>
    <x v="16"/>
    <s v="JUEVES"/>
    <n v="256383"/>
    <x v="28"/>
    <n v="240"/>
    <n v="30"/>
    <n v="55.2"/>
    <x v="0"/>
  </r>
  <r>
    <x v="98"/>
    <s v="SETIEMBRE"/>
    <x v="16"/>
    <s v="JUEVES"/>
    <n v="256383"/>
    <x v="28"/>
    <n v="30"/>
    <n v="30"/>
    <n v="6.9"/>
    <x v="0"/>
  </r>
  <r>
    <x v="98"/>
    <s v="SETIEMBRE"/>
    <x v="16"/>
    <s v="JUEVES"/>
    <n v="256548"/>
    <x v="34"/>
    <n v="1080"/>
    <n v="198"/>
    <n v="183.60000000000002"/>
    <x v="0"/>
  </r>
  <r>
    <x v="98"/>
    <s v="SETIEMBRE"/>
    <x v="16"/>
    <s v="JUEVES"/>
    <n v="256720"/>
    <x v="42"/>
    <n v="1000"/>
    <n v="420"/>
    <n v="420"/>
    <x v="0"/>
  </r>
  <r>
    <x v="98"/>
    <s v="SETIEMBRE"/>
    <x v="16"/>
    <s v="JUEVES"/>
    <n v="256549"/>
    <x v="29"/>
    <n v="1080"/>
    <n v="198"/>
    <n v="183.60000000000002"/>
    <x v="0"/>
  </r>
  <r>
    <x v="98"/>
    <s v="SETIEMBRE"/>
    <x v="16"/>
    <s v="JUEVES"/>
    <n v="751468"/>
    <x v="32"/>
    <n v="840"/>
    <n v="420"/>
    <n v="352.8"/>
    <x v="0"/>
  </r>
  <r>
    <x v="98"/>
    <s v="SETIEMBRE"/>
    <x v="16"/>
    <s v="JUEVES"/>
    <n v="751315"/>
    <x v="24"/>
    <n v="2100"/>
    <n v="420"/>
    <n v="882"/>
    <x v="0"/>
  </r>
  <r>
    <x v="98"/>
    <s v="SETIEMBRE"/>
    <x v="16"/>
    <s v="JUEVES"/>
    <n v="256680"/>
    <x v="26"/>
    <n v="2160"/>
    <n v="90"/>
    <n v="367.20000000000005"/>
    <x v="0"/>
  </r>
  <r>
    <x v="98"/>
    <s v="SETIEMBRE"/>
    <x v="16"/>
    <s v="JUEVES"/>
    <n v="256708"/>
    <x v="12"/>
    <n v="1125"/>
    <n v="225"/>
    <n v="450"/>
    <x v="0"/>
  </r>
  <r>
    <x v="98"/>
    <s v="SETIEMBRE"/>
    <x v="16"/>
    <s v="JUEVES"/>
    <n v="256695"/>
    <x v="25"/>
    <n v="1350"/>
    <n v="225"/>
    <n v="567"/>
    <x v="0"/>
  </r>
  <r>
    <x v="98"/>
    <s v="SETIEMBRE"/>
    <x v="16"/>
    <s v="JUEVES"/>
    <n v="256678"/>
    <x v="11"/>
    <n v="1440"/>
    <n v="90"/>
    <n v="244.8"/>
    <x v="0"/>
  </r>
  <r>
    <x v="98"/>
    <s v="SETIEMBRE"/>
    <x v="16"/>
    <s v="JUEVES"/>
    <n v="256379"/>
    <x v="15"/>
    <n v="250"/>
    <n v="50"/>
    <n v="100"/>
    <x v="0"/>
  </r>
  <r>
    <x v="98"/>
    <s v="SETIEMBRE"/>
    <x v="16"/>
    <s v="JUEVES"/>
    <n v="256382"/>
    <x v="33"/>
    <n v="40"/>
    <n v="40"/>
    <n v="9.2000000000000011"/>
    <x v="0"/>
  </r>
  <r>
    <x v="98"/>
    <s v="SETIEMBRE"/>
    <x v="16"/>
    <s v="JUEVES"/>
    <n v="256727"/>
    <x v="45"/>
    <n v="260"/>
    <n v="420"/>
    <n v="312"/>
    <x v="0"/>
  </r>
  <r>
    <x v="99"/>
    <s v="SETIEMBRE"/>
    <x v="16"/>
    <s v="VIERNES"/>
    <n v="256721"/>
    <x v="43"/>
    <n v="500"/>
    <n v="420"/>
    <n v="210"/>
    <x v="0"/>
  </r>
  <r>
    <x v="98"/>
    <s v="SETIEMBRE"/>
    <x v="16"/>
    <s v="JUEVES"/>
    <n v="751468"/>
    <x v="32"/>
    <n v="1260"/>
    <n v="420"/>
    <n v="529.19999999999993"/>
    <x v="0"/>
  </r>
  <r>
    <x v="99"/>
    <s v="SETIEMBRE"/>
    <x v="16"/>
    <s v="VIERNES"/>
    <n v="256695"/>
    <x v="25"/>
    <n v="675"/>
    <n v="225"/>
    <n v="283.5"/>
    <x v="0"/>
  </r>
  <r>
    <x v="99"/>
    <s v="SETIEMBRE"/>
    <x v="16"/>
    <s v="VIERNES"/>
    <n v="256721"/>
    <x v="43"/>
    <n v="250"/>
    <n v="420"/>
    <n v="105"/>
    <x v="0"/>
  </r>
  <r>
    <x v="99"/>
    <s v="SETIEMBRE"/>
    <x v="16"/>
    <s v="VIERNES"/>
    <n v="256720"/>
    <x v="42"/>
    <n v="250"/>
    <n v="420"/>
    <n v="105"/>
    <x v="0"/>
  </r>
  <r>
    <x v="99"/>
    <s v="SETIEMBRE"/>
    <x v="16"/>
    <s v="VIERNES"/>
    <n v="256708"/>
    <x v="12"/>
    <n v="450"/>
    <n v="225"/>
    <n v="180"/>
    <x v="0"/>
  </r>
  <r>
    <x v="99"/>
    <s v="SETIEMBRE"/>
    <x v="16"/>
    <s v="VIERNES"/>
    <n v="256383"/>
    <x v="28"/>
    <n v="90"/>
    <n v="30"/>
    <n v="20.7"/>
    <x v="0"/>
  </r>
  <r>
    <x v="99"/>
    <s v="SETIEMBRE"/>
    <x v="16"/>
    <s v="VIERNES"/>
    <n v="256379"/>
    <x v="15"/>
    <n v="100"/>
    <n v="50"/>
    <n v="40"/>
    <x v="0"/>
  </r>
  <r>
    <x v="99"/>
    <s v="SETIEMBRE"/>
    <x v="16"/>
    <s v="VIERNES"/>
    <n v="256685"/>
    <x v="38"/>
    <n v="224"/>
    <n v="112"/>
    <n v="89.600000000000009"/>
    <x v="0"/>
  </r>
  <r>
    <x v="99"/>
    <s v="SETIEMBRE"/>
    <x v="16"/>
    <s v="VIERNES"/>
    <n v="751315"/>
    <x v="24"/>
    <n v="2520"/>
    <n v="420"/>
    <n v="1058.3999999999999"/>
    <x v="0"/>
  </r>
  <r>
    <x v="99"/>
    <s v="SETIEMBRE"/>
    <x v="16"/>
    <s v="VIERNES"/>
    <n v="751468"/>
    <x v="32"/>
    <n v="840"/>
    <n v="420"/>
    <n v="352.8"/>
    <x v="0"/>
  </r>
  <r>
    <x v="99"/>
    <s v="SETIEMBRE"/>
    <x v="16"/>
    <s v="VIERNES"/>
    <n v="751468"/>
    <x v="32"/>
    <n v="840"/>
    <n v="420"/>
    <n v="352.8"/>
    <x v="0"/>
  </r>
  <r>
    <x v="99"/>
    <s v="SETIEMBRE"/>
    <x v="16"/>
    <s v="VIERNES"/>
    <n v="251633"/>
    <x v="16"/>
    <n v="360"/>
    <n v="180"/>
    <n v="151.19999999999999"/>
    <x v="0"/>
  </r>
  <r>
    <x v="99"/>
    <s v="SETIEMBRE"/>
    <x v="16"/>
    <s v="VIERNES"/>
    <n v="251406"/>
    <x v="1"/>
    <n v="432"/>
    <n v="198"/>
    <n v="73.440000000000012"/>
    <x v="0"/>
  </r>
  <r>
    <x v="99"/>
    <s v="SETIEMBRE"/>
    <x v="16"/>
    <s v="VIERNES"/>
    <n v="256617"/>
    <x v="3"/>
    <n v="594"/>
    <n v="198"/>
    <n v="100.98"/>
    <x v="0"/>
  </r>
  <r>
    <x v="99"/>
    <s v="SETIEMBRE"/>
    <x v="16"/>
    <s v="VIERNES"/>
    <n v="256666"/>
    <x v="4"/>
    <n v="324"/>
    <n v="162"/>
    <n v="55.080000000000005"/>
    <x v="0"/>
  </r>
  <r>
    <x v="99"/>
    <s v="SETIEMBRE"/>
    <x v="16"/>
    <s v="VIERNES"/>
    <n v="256601"/>
    <x v="5"/>
    <n v="324"/>
    <n v="162"/>
    <n v="55.080000000000005"/>
    <x v="0"/>
  </r>
  <r>
    <x v="99"/>
    <s v="SETIEMBRE"/>
    <x v="16"/>
    <s v="VIERNES"/>
    <n v="256677"/>
    <x v="10"/>
    <n v="4800"/>
    <n v="120"/>
    <n v="816.00000000000011"/>
    <x v="0"/>
  </r>
  <r>
    <x v="99"/>
    <s v="SETIEMBRE"/>
    <x v="16"/>
    <s v="VIERNES"/>
    <n v="256652"/>
    <x v="9"/>
    <n v="2430"/>
    <n v="90"/>
    <n v="413.1"/>
    <x v="0"/>
  </r>
  <r>
    <x v="99"/>
    <s v="SETIEMBRE"/>
    <x v="16"/>
    <s v="VIERNES"/>
    <n v="256652"/>
    <x v="9"/>
    <n v="450"/>
    <n v="90"/>
    <n v="76.5"/>
    <x v="0"/>
  </r>
  <r>
    <x v="99"/>
    <s v="SETIEMBRE"/>
    <x v="16"/>
    <s v="VIERNES"/>
    <n v="256678"/>
    <x v="11"/>
    <n v="3060"/>
    <n v="90"/>
    <n v="520.20000000000005"/>
    <x v="0"/>
  </r>
  <r>
    <x v="99"/>
    <s v="SETIEMBRE"/>
    <x v="16"/>
    <s v="VIERNES"/>
    <n v="256695"/>
    <x v="25"/>
    <n v="675"/>
    <n v="225"/>
    <n v="283.5"/>
    <x v="0"/>
  </r>
  <r>
    <x v="99"/>
    <s v="SETIEMBRE"/>
    <x v="16"/>
    <s v="VIERNES"/>
    <n v="256488"/>
    <x v="6"/>
    <n v="960"/>
    <n v="120"/>
    <n v="163.20000000000002"/>
    <x v="0"/>
  </r>
  <r>
    <x v="99"/>
    <s v="SETIEMBRE"/>
    <x v="16"/>
    <s v="VIERNES"/>
    <n v="256680"/>
    <x v="26"/>
    <n v="1080"/>
    <n v="90"/>
    <n v="183.60000000000002"/>
    <x v="0"/>
  </r>
  <r>
    <x v="99"/>
    <s v="SETIEMBRE"/>
    <x v="16"/>
    <s v="VIERNES"/>
    <n v="256679"/>
    <x v="23"/>
    <n v="1080"/>
    <n v="90"/>
    <n v="183.60000000000002"/>
    <x v="0"/>
  </r>
  <r>
    <x v="99"/>
    <s v="SETIEMBRE"/>
    <x v="16"/>
    <s v="VIERNES"/>
    <n v="256674"/>
    <x v="7"/>
    <n v="648"/>
    <n v="198"/>
    <n v="110.16000000000001"/>
    <x v="0"/>
  </r>
  <r>
    <x v="99"/>
    <s v="SETIEMBRE"/>
    <x v="16"/>
    <s v="VIERNES"/>
    <n v="256616"/>
    <x v="22"/>
    <n v="396"/>
    <n v="198"/>
    <n v="67.320000000000007"/>
    <x v="0"/>
  </r>
  <r>
    <x v="100"/>
    <s v="SETIEMBRE"/>
    <x v="17"/>
    <s v="SÁBADO"/>
    <n v="251429"/>
    <x v="0"/>
    <n v="576"/>
    <n v="48"/>
    <n v="230.4"/>
    <x v="0"/>
  </r>
  <r>
    <x v="100"/>
    <s v="SETIEMBRE"/>
    <x v="17"/>
    <s v="SÁBADO"/>
    <n v="256382"/>
    <x v="33"/>
    <n v="160"/>
    <n v="40"/>
    <n v="36.800000000000004"/>
    <x v="0"/>
  </r>
  <r>
    <x v="100"/>
    <s v="SETIEMBRE"/>
    <x v="17"/>
    <s v="SÁBADO"/>
    <n v="256380"/>
    <x v="14"/>
    <n v="160"/>
    <n v="40"/>
    <n v="36.800000000000004"/>
    <x v="0"/>
  </r>
  <r>
    <x v="100"/>
    <s v="SETIEMBRE"/>
    <x v="17"/>
    <s v="SÁBADO"/>
    <n v="256379"/>
    <x v="15"/>
    <n v="550"/>
    <n v="50"/>
    <n v="220"/>
    <x v="0"/>
  </r>
  <r>
    <x v="100"/>
    <s v="SETIEMBRE"/>
    <x v="17"/>
    <s v="SÁBADO"/>
    <n v="751315"/>
    <x v="24"/>
    <n v="1680"/>
    <n v="420"/>
    <n v="705.6"/>
    <x v="0"/>
  </r>
  <r>
    <x v="100"/>
    <s v="SETIEMBRE"/>
    <x v="17"/>
    <s v="SÁBADO"/>
    <n v="251633"/>
    <x v="16"/>
    <n v="1080"/>
    <n v="180"/>
    <n v="453.59999999999997"/>
    <x v="0"/>
  </r>
  <r>
    <x v="100"/>
    <s v="SETIEMBRE"/>
    <x v="17"/>
    <s v="SÁBADO"/>
    <n v="256678"/>
    <x v="11"/>
    <n v="1980"/>
    <n v="90"/>
    <n v="336.6"/>
    <x v="0"/>
  </r>
  <r>
    <x v="100"/>
    <s v="SETIEMBRE"/>
    <x v="17"/>
    <s v="SÁBADO"/>
    <n v="256678"/>
    <x v="11"/>
    <n v="180"/>
    <n v="90"/>
    <n v="30.6"/>
    <x v="0"/>
  </r>
  <r>
    <x v="100"/>
    <s v="SETIEMBRE"/>
    <x v="17"/>
    <s v="SÁBADO"/>
    <n v="256677"/>
    <x v="10"/>
    <n v="360"/>
    <n v="120"/>
    <n v="61.2"/>
    <x v="0"/>
  </r>
  <r>
    <x v="100"/>
    <s v="SETIEMBRE"/>
    <x v="17"/>
    <s v="SÁBADO"/>
    <n v="256677"/>
    <x v="10"/>
    <n v="5160"/>
    <n v="120"/>
    <n v="877.2"/>
    <x v="0"/>
  </r>
  <r>
    <x v="100"/>
    <s v="SETIEMBRE"/>
    <x v="17"/>
    <s v="SÁBADO"/>
    <n v="256652"/>
    <x v="9"/>
    <n v="2880"/>
    <n v="90"/>
    <n v="489.6"/>
    <x v="0"/>
  </r>
  <r>
    <x v="100"/>
    <s v="SETIEMBRE"/>
    <x v="17"/>
    <s v="SÁBADO"/>
    <n v="256616"/>
    <x v="22"/>
    <n v="594"/>
    <n v="198"/>
    <n v="100.98"/>
    <x v="0"/>
  </r>
  <r>
    <x v="100"/>
    <s v="SETIEMBRE"/>
    <x v="17"/>
    <s v="SÁBADO"/>
    <n v="256601"/>
    <x v="5"/>
    <n v="162"/>
    <n v="162"/>
    <n v="27.540000000000003"/>
    <x v="0"/>
  </r>
  <r>
    <x v="100"/>
    <s v="SETIEMBRE"/>
    <x v="17"/>
    <s v="SÁBADO"/>
    <n v="256488"/>
    <x v="6"/>
    <n v="120"/>
    <n v="120"/>
    <n v="20.400000000000002"/>
    <x v="0"/>
  </r>
  <r>
    <x v="100"/>
    <s v="SETIEMBRE"/>
    <x v="17"/>
    <s v="SÁBADO"/>
    <n v="254853"/>
    <x v="2"/>
    <n v="1296"/>
    <n v="198"/>
    <n v="220.32000000000002"/>
    <x v="0"/>
  </r>
  <r>
    <x v="100"/>
    <s v="SETIEMBRE"/>
    <x v="17"/>
    <s v="SÁBADO"/>
    <n v="251406"/>
    <x v="1"/>
    <n v="1080"/>
    <n v="198"/>
    <n v="183.60000000000002"/>
    <x v="0"/>
  </r>
  <r>
    <x v="100"/>
    <s v="SETIEMBRE"/>
    <x v="17"/>
    <s v="SÁBADO"/>
    <n v="256383"/>
    <x v="28"/>
    <n v="210"/>
    <n v="30"/>
    <n v="48.300000000000004"/>
    <x v="0"/>
  </r>
  <r>
    <x v="100"/>
    <s v="SETIEMBRE"/>
    <x v="17"/>
    <s v="SÁBADO"/>
    <n v="256381"/>
    <x v="13"/>
    <n v="120"/>
    <n v="30"/>
    <n v="48"/>
    <x v="0"/>
  </r>
  <r>
    <x v="100"/>
    <s v="SETIEMBRE"/>
    <x v="17"/>
    <s v="SÁBADO"/>
    <n v="751468"/>
    <x v="32"/>
    <n v="1260"/>
    <n v="420"/>
    <n v="529.19999999999993"/>
    <x v="0"/>
  </r>
  <r>
    <x v="100"/>
    <s v="SETIEMBRE"/>
    <x v="17"/>
    <s v="SÁBADO"/>
    <n v="256674"/>
    <x v="7"/>
    <n v="1728"/>
    <n v="198"/>
    <n v="293.76000000000005"/>
    <x v="0"/>
  </r>
  <r>
    <x v="100"/>
    <s v="SETIEMBRE"/>
    <x v="17"/>
    <s v="SÁBADO"/>
    <n v="256617"/>
    <x v="3"/>
    <n v="396"/>
    <n v="198"/>
    <n v="67.320000000000007"/>
    <x v="0"/>
  </r>
  <r>
    <x v="101"/>
    <s v="SETIEMBRE"/>
    <x v="17"/>
    <s v="DOMINGO"/>
    <n v="256695"/>
    <x v="25"/>
    <n v="1125"/>
    <n v="225"/>
    <n v="472.5"/>
    <x v="0"/>
  </r>
  <r>
    <x v="101"/>
    <s v="SETIEMBRE"/>
    <x v="17"/>
    <s v="DOMINGO"/>
    <n v="751468"/>
    <x v="32"/>
    <n v="2100"/>
    <n v="420"/>
    <n v="882"/>
    <x v="0"/>
  </r>
  <r>
    <x v="101"/>
    <s v="SETIEMBRE"/>
    <x v="17"/>
    <s v="DOMINGO"/>
    <n v="751315"/>
    <x v="24"/>
    <n v="2520"/>
    <n v="420"/>
    <n v="1058.3999999999999"/>
    <x v="0"/>
  </r>
  <r>
    <x v="101"/>
    <s v="SETIEMBRE"/>
    <x v="17"/>
    <s v="DOMINGO"/>
    <n v="256695"/>
    <x v="25"/>
    <n v="1125"/>
    <n v="225"/>
    <n v="472.5"/>
    <x v="0"/>
  </r>
  <r>
    <x v="101"/>
    <s v="SETIEMBRE"/>
    <x v="17"/>
    <s v="DOMINGO"/>
    <n v="256674"/>
    <x v="7"/>
    <n v="1944"/>
    <n v="198"/>
    <n v="330.48"/>
    <x v="0"/>
  </r>
  <r>
    <x v="101"/>
    <s v="SETIEMBRE"/>
    <x v="17"/>
    <s v="DOMINGO"/>
    <n v="256675"/>
    <x v="8"/>
    <n v="1296"/>
    <n v="198"/>
    <n v="220.32000000000002"/>
    <x v="0"/>
  </r>
  <r>
    <x v="101"/>
    <s v="SETIEMBRE"/>
    <x v="17"/>
    <s v="DOMINGO"/>
    <n v="256678"/>
    <x v="11"/>
    <n v="720"/>
    <n v="90"/>
    <n v="122.4"/>
    <x v="0"/>
  </r>
  <r>
    <x v="101"/>
    <s v="SETIEMBRE"/>
    <x v="17"/>
    <s v="DOMINGO"/>
    <n v="256666"/>
    <x v="4"/>
    <n v="324"/>
    <n v="162"/>
    <n v="55.080000000000005"/>
    <x v="0"/>
  </r>
  <r>
    <x v="101"/>
    <s v="SETIEMBRE"/>
    <x v="17"/>
    <s v="DOMINGO"/>
    <n v="254853"/>
    <x v="2"/>
    <n v="2160"/>
    <n v="198"/>
    <n v="367.20000000000005"/>
    <x v="0"/>
  </r>
  <r>
    <x v="101"/>
    <s v="SETIEMBRE"/>
    <x v="17"/>
    <s v="DOMINGO"/>
    <n v="256488"/>
    <x v="6"/>
    <n v="2640"/>
    <n v="120"/>
    <n v="448.8"/>
    <x v="0"/>
  </r>
  <r>
    <x v="101"/>
    <s v="SETIEMBRE"/>
    <x v="17"/>
    <s v="DOMINGO"/>
    <n v="256676"/>
    <x v="17"/>
    <n v="360"/>
    <n v="120"/>
    <n v="61.2"/>
    <x v="0"/>
  </r>
  <r>
    <x v="101"/>
    <s v="SETIEMBRE"/>
    <x v="17"/>
    <s v="DOMINGO"/>
    <n v="256677"/>
    <x v="10"/>
    <n v="2640"/>
    <n v="120"/>
    <n v="448.8"/>
    <x v="0"/>
  </r>
  <r>
    <x v="101"/>
    <s v="SETIEMBRE"/>
    <x v="17"/>
    <s v="DOMINGO"/>
    <n v="251429"/>
    <x v="0"/>
    <n v="336"/>
    <n v="48"/>
    <n v="134.4"/>
    <x v="0"/>
  </r>
  <r>
    <x v="101"/>
    <s v="SETIEMBRE"/>
    <x v="17"/>
    <s v="DOMINGO"/>
    <n v="256721"/>
    <x v="43"/>
    <n v="1000"/>
    <n v="420"/>
    <n v="420"/>
    <x v="0"/>
  </r>
  <r>
    <x v="101"/>
    <s v="SETIEMBRE"/>
    <x v="17"/>
    <s v="DOMINGO"/>
    <n v="251406"/>
    <x v="1"/>
    <n v="1296"/>
    <n v="198"/>
    <n v="220.32000000000002"/>
    <x v="0"/>
  </r>
  <r>
    <x v="102"/>
    <s v="SETIEMBRE"/>
    <x v="17"/>
    <s v="LUNES"/>
    <n v="256678"/>
    <x v="11"/>
    <n v="540"/>
    <n v="90"/>
    <n v="91.800000000000011"/>
    <x v="0"/>
  </r>
  <r>
    <x v="102"/>
    <s v="SETIEMBRE"/>
    <x v="17"/>
    <s v="LUNES"/>
    <n v="256677"/>
    <x v="10"/>
    <n v="240"/>
    <n v="120"/>
    <n v="40.800000000000004"/>
    <x v="0"/>
  </r>
  <r>
    <x v="102"/>
    <s v="SETIEMBRE"/>
    <x v="17"/>
    <s v="LUNES"/>
    <n v="256616"/>
    <x v="22"/>
    <n v="396"/>
    <n v="198"/>
    <n v="67.320000000000007"/>
    <x v="0"/>
  </r>
  <r>
    <x v="102"/>
    <s v="SETIEMBRE"/>
    <x v="17"/>
    <s v="LUNES"/>
    <n v="256675"/>
    <x v="8"/>
    <n v="432"/>
    <n v="198"/>
    <n v="73.440000000000012"/>
    <x v="0"/>
  </r>
  <r>
    <x v="102"/>
    <s v="SETIEMBRE"/>
    <x v="17"/>
    <s v="LUNES"/>
    <n v="254853"/>
    <x v="2"/>
    <n v="648"/>
    <n v="198"/>
    <n v="110.16000000000001"/>
    <x v="0"/>
  </r>
  <r>
    <x v="102"/>
    <s v="SETIEMBRE"/>
    <x v="17"/>
    <s v="LUNES"/>
    <n v="256674"/>
    <x v="7"/>
    <n v="432"/>
    <n v="198"/>
    <n v="73.440000000000012"/>
    <x v="0"/>
  </r>
  <r>
    <x v="102"/>
    <s v="SETIEMBRE"/>
    <x v="17"/>
    <s v="LUNES"/>
    <n v="256676"/>
    <x v="17"/>
    <n v="720"/>
    <n v="120"/>
    <n v="122.4"/>
    <x v="0"/>
  </r>
  <r>
    <x v="103"/>
    <s v="SETIEMBRE"/>
    <x v="17"/>
    <s v="MARTES"/>
    <n v="251406"/>
    <x v="1"/>
    <n v="6048"/>
    <n v="198"/>
    <n v="1028.1600000000001"/>
    <x v="0"/>
  </r>
  <r>
    <x v="103"/>
    <s v="SETIEMBRE"/>
    <x v="17"/>
    <s v="MARTES"/>
    <n v="256381"/>
    <x v="13"/>
    <n v="30"/>
    <n v="30"/>
    <n v="12"/>
    <x v="0"/>
  </r>
  <r>
    <x v="103"/>
    <s v="SETIEMBRE"/>
    <x v="17"/>
    <s v="MARTES"/>
    <n v="256379"/>
    <x v="15"/>
    <n v="50"/>
    <n v="50"/>
    <n v="20"/>
    <x v="0"/>
  </r>
  <r>
    <x v="103"/>
    <s v="SETIEMBRE"/>
    <x v="17"/>
    <s v="MARTES"/>
    <n v="251429"/>
    <x v="0"/>
    <n v="576"/>
    <n v="48"/>
    <n v="230.4"/>
    <x v="0"/>
  </r>
  <r>
    <x v="103"/>
    <s v="SETIEMBRE"/>
    <x v="17"/>
    <s v="MARTES"/>
    <n v="751315"/>
    <x v="24"/>
    <n v="3360"/>
    <n v="420"/>
    <n v="1411.2"/>
    <x v="0"/>
  </r>
  <r>
    <x v="103"/>
    <s v="SETIEMBRE"/>
    <x v="17"/>
    <s v="MARTES"/>
    <n v="254853"/>
    <x v="2"/>
    <n v="2808"/>
    <n v="198"/>
    <n v="477.36"/>
    <x v="0"/>
  </r>
  <r>
    <x v="103"/>
    <s v="SETIEMBRE"/>
    <x v="17"/>
    <s v="MARTES"/>
    <n v="256616"/>
    <x v="22"/>
    <n v="990"/>
    <n v="198"/>
    <n v="168.3"/>
    <x v="0"/>
  </r>
  <r>
    <x v="103"/>
    <s v="SETIEMBRE"/>
    <x v="17"/>
    <s v="MARTES"/>
    <n v="256617"/>
    <x v="3"/>
    <n v="594"/>
    <n v="198"/>
    <n v="100.98"/>
    <x v="0"/>
  </r>
  <r>
    <x v="103"/>
    <s v="SETIEMBRE"/>
    <x v="17"/>
    <s v="MARTES"/>
    <n v="256488"/>
    <x v="6"/>
    <n v="1200"/>
    <n v="120"/>
    <n v="204.00000000000003"/>
    <x v="0"/>
  </r>
  <r>
    <x v="103"/>
    <s v="SETIEMBRE"/>
    <x v="17"/>
    <s v="MARTES"/>
    <n v="256674"/>
    <x v="7"/>
    <n v="5400"/>
    <n v="198"/>
    <n v="918.00000000000011"/>
    <x v="0"/>
  </r>
  <r>
    <x v="103"/>
    <s v="SETIEMBRE"/>
    <x v="17"/>
    <s v="MARTES"/>
    <n v="256675"/>
    <x v="8"/>
    <n v="4752"/>
    <n v="198"/>
    <n v="807.84"/>
    <x v="0"/>
  </r>
  <r>
    <x v="103"/>
    <s v="SETIEMBRE"/>
    <x v="17"/>
    <s v="MARTES"/>
    <n v="256678"/>
    <x v="11"/>
    <n v="3240"/>
    <n v="90"/>
    <n v="550.80000000000007"/>
    <x v="0"/>
  </r>
  <r>
    <x v="103"/>
    <s v="SETIEMBRE"/>
    <x v="17"/>
    <s v="MARTES"/>
    <n v="256695"/>
    <x v="25"/>
    <n v="450"/>
    <n v="225"/>
    <n v="189"/>
    <x v="0"/>
  </r>
  <r>
    <x v="103"/>
    <s v="SETIEMBRE"/>
    <x v="17"/>
    <s v="MARTES"/>
    <n v="256685"/>
    <x v="38"/>
    <n v="112"/>
    <n v="112"/>
    <n v="44.800000000000004"/>
    <x v="0"/>
  </r>
  <r>
    <x v="103"/>
    <s v="SETIEMBRE"/>
    <x v="17"/>
    <s v="MARTES"/>
    <n v="251406"/>
    <x v="1"/>
    <n v="432"/>
    <n v="198"/>
    <n v="73.440000000000012"/>
    <x v="0"/>
  </r>
  <r>
    <x v="103"/>
    <s v="SETIEMBRE"/>
    <x v="17"/>
    <s v="MARTES"/>
    <n v="256676"/>
    <x v="17"/>
    <n v="1200"/>
    <n v="120"/>
    <n v="204.00000000000003"/>
    <x v="0"/>
  </r>
  <r>
    <x v="103"/>
    <s v="SETIEMBRE"/>
    <x v="17"/>
    <s v="MARTES"/>
    <n v="751315"/>
    <x v="24"/>
    <n v="1680"/>
    <n v="420"/>
    <n v="705.6"/>
    <x v="0"/>
  </r>
  <r>
    <x v="104"/>
    <s v="SETIEMBRE"/>
    <x v="17"/>
    <s v="MIÉRCOLES"/>
    <n v="256674"/>
    <x v="7"/>
    <n v="1728"/>
    <n v="198"/>
    <n v="293.76000000000005"/>
    <x v="0"/>
  </r>
  <r>
    <x v="104"/>
    <s v="SETIEMBRE"/>
    <x v="17"/>
    <s v="MIÉRCOLES"/>
    <n v="256675"/>
    <x v="8"/>
    <n v="864"/>
    <n v="198"/>
    <n v="146.88000000000002"/>
    <x v="0"/>
  </r>
  <r>
    <x v="104"/>
    <s v="SETIEMBRE"/>
    <x v="17"/>
    <s v="MIÉRCOLES"/>
    <n v="256677"/>
    <x v="10"/>
    <n v="600"/>
    <n v="120"/>
    <n v="102.00000000000001"/>
    <x v="0"/>
  </r>
  <r>
    <x v="104"/>
    <s v="SETIEMBRE"/>
    <x v="17"/>
    <s v="MIÉRCOLES"/>
    <n v="256383"/>
    <x v="28"/>
    <n v="60"/>
    <n v="30"/>
    <n v="13.8"/>
    <x v="0"/>
  </r>
  <r>
    <x v="104"/>
    <s v="SETIEMBRE"/>
    <x v="17"/>
    <s v="MIÉRCOLES"/>
    <n v="256379"/>
    <x v="15"/>
    <n v="150"/>
    <n v="50"/>
    <n v="60"/>
    <x v="0"/>
  </r>
  <r>
    <x v="104"/>
    <s v="SETIEMBRE"/>
    <x v="17"/>
    <s v="MIÉRCOLES"/>
    <n v="251429"/>
    <x v="0"/>
    <n v="336"/>
    <n v="48"/>
    <n v="134.4"/>
    <x v="0"/>
  </r>
  <r>
    <x v="104"/>
    <s v="SETIEMBRE"/>
    <x v="17"/>
    <s v="MIÉRCOLES"/>
    <n v="254853"/>
    <x v="2"/>
    <n v="1512"/>
    <n v="198"/>
    <n v="257.04000000000002"/>
    <x v="0"/>
  </r>
  <r>
    <x v="104"/>
    <s v="SETIEMBRE"/>
    <x v="17"/>
    <s v="MIÉRCOLES"/>
    <n v="256678"/>
    <x v="11"/>
    <n v="1440"/>
    <n v="90"/>
    <n v="244.8"/>
    <x v="0"/>
  </r>
  <r>
    <x v="104"/>
    <s v="SETIEMBRE"/>
    <x v="17"/>
    <s v="MIÉRCOLES"/>
    <n v="256695"/>
    <x v="25"/>
    <n v="675"/>
    <n v="225"/>
    <n v="283.5"/>
    <x v="0"/>
  </r>
  <r>
    <x v="104"/>
    <s v="SETIEMBRE"/>
    <x v="17"/>
    <s v="MIÉRCOLES"/>
    <n v="256616"/>
    <x v="22"/>
    <n v="396"/>
    <n v="198"/>
    <n v="67.320000000000007"/>
    <x v="0"/>
  </r>
  <r>
    <x v="104"/>
    <s v="SETIEMBRE"/>
    <x v="17"/>
    <s v="MIÉRCOLES"/>
    <n v="256617"/>
    <x v="3"/>
    <n v="198"/>
    <n v="198"/>
    <n v="33.660000000000004"/>
    <x v="0"/>
  </r>
  <r>
    <x v="104"/>
    <s v="SETIEMBRE"/>
    <x v="17"/>
    <s v="MIÉRCOLES"/>
    <n v="256488"/>
    <x v="6"/>
    <n v="1200"/>
    <n v="120"/>
    <n v="204.00000000000003"/>
    <x v="0"/>
  </r>
  <r>
    <x v="104"/>
    <s v="SETIEMBRE"/>
    <x v="17"/>
    <s v="MIÉRCOLES"/>
    <n v="256666"/>
    <x v="4"/>
    <n v="486"/>
    <n v="162"/>
    <n v="82.62"/>
    <x v="0"/>
  </r>
  <r>
    <x v="104"/>
    <s v="SETIEMBRE"/>
    <x v="17"/>
    <s v="MIÉRCOLES"/>
    <n v="256676"/>
    <x v="17"/>
    <n v="1200"/>
    <n v="120"/>
    <n v="204.00000000000003"/>
    <x v="0"/>
  </r>
  <r>
    <x v="104"/>
    <s v="SETIEMBRE"/>
    <x v="17"/>
    <s v="MIÉRCOLES"/>
    <n v="256682"/>
    <x v="20"/>
    <n v="180"/>
    <n v="90"/>
    <n v="30.6"/>
    <x v="0"/>
  </r>
  <r>
    <x v="104"/>
    <s v="SETIEMBRE"/>
    <x v="17"/>
    <s v="MIÉRCOLES"/>
    <n v="751315"/>
    <x v="24"/>
    <n v="840"/>
    <n v="420"/>
    <n v="352.8"/>
    <x v="0"/>
  </r>
  <r>
    <x v="104"/>
    <s v="SETIEMBRE"/>
    <x v="17"/>
    <s v="MIÉRCOLES"/>
    <n v="256727"/>
    <x v="45"/>
    <n v="650"/>
    <n v="420"/>
    <n v="780"/>
    <x v="0"/>
  </r>
  <r>
    <x v="104"/>
    <s v="SETIEMBRE"/>
    <x v="17"/>
    <s v="MIÉRCOLES"/>
    <n v="256488"/>
    <x v="6"/>
    <n v="480"/>
    <n v="120"/>
    <n v="81.600000000000009"/>
    <x v="0"/>
  </r>
  <r>
    <x v="104"/>
    <s v="SETIEMBRE"/>
    <x v="17"/>
    <s v="MIÉRCOLES"/>
    <n v="256677"/>
    <x v="10"/>
    <n v="3960"/>
    <n v="120"/>
    <n v="673.2"/>
    <x v="0"/>
  </r>
  <r>
    <x v="104"/>
    <s v="SETIEMBRE"/>
    <x v="17"/>
    <s v="MIÉRCOLES"/>
    <n v="256695"/>
    <x v="25"/>
    <n v="450"/>
    <n v="225"/>
    <n v="189"/>
    <x v="0"/>
  </r>
  <r>
    <x v="104"/>
    <s v="SETIEMBRE"/>
    <x v="17"/>
    <s v="MIÉRCOLES"/>
    <n v="256727"/>
    <x v="45"/>
    <n v="650"/>
    <n v="420"/>
    <n v="780"/>
    <x v="0"/>
  </r>
  <r>
    <x v="105"/>
    <s v="SETIEMBRE"/>
    <x v="17"/>
    <s v="JUEVES"/>
    <n v="254762"/>
    <x v="40"/>
    <n v="224"/>
    <n v="240"/>
    <n v="89.600000000000009"/>
    <x v="0"/>
  </r>
  <r>
    <x v="105"/>
    <s v="SETIEMBRE"/>
    <x v="17"/>
    <s v="JUEVES"/>
    <n v="256685"/>
    <x v="38"/>
    <n v="448"/>
    <n v="112"/>
    <n v="179.20000000000002"/>
    <x v="0"/>
  </r>
  <r>
    <x v="105"/>
    <s v="SETIEMBRE"/>
    <x v="17"/>
    <s v="JUEVES"/>
    <n v="256695"/>
    <x v="25"/>
    <n v="2925"/>
    <n v="225"/>
    <n v="1228.5"/>
    <x v="0"/>
  </r>
  <r>
    <x v="105"/>
    <s v="SETIEMBRE"/>
    <x v="17"/>
    <s v="JUEVES"/>
    <n v="256616"/>
    <x v="22"/>
    <n v="792"/>
    <n v="198"/>
    <n v="134.64000000000001"/>
    <x v="0"/>
  </r>
  <r>
    <x v="105"/>
    <s v="SETIEMBRE"/>
    <x v="17"/>
    <s v="JUEVES"/>
    <n v="256617"/>
    <x v="3"/>
    <n v="198"/>
    <n v="198"/>
    <n v="33.660000000000004"/>
    <x v="0"/>
  </r>
  <r>
    <x v="105"/>
    <s v="SETIEMBRE"/>
    <x v="17"/>
    <s v="JUEVES"/>
    <n v="256675"/>
    <x v="8"/>
    <n v="216"/>
    <n v="198"/>
    <n v="36.720000000000006"/>
    <x v="0"/>
  </r>
  <r>
    <x v="105"/>
    <s v="SETIEMBRE"/>
    <x v="17"/>
    <s v="JUEVES"/>
    <n v="256601"/>
    <x v="5"/>
    <n v="162"/>
    <n v="162"/>
    <n v="27.540000000000003"/>
    <x v="0"/>
  </r>
  <r>
    <x v="105"/>
    <s v="SETIEMBRE"/>
    <x v="17"/>
    <s v="JUEVES"/>
    <n v="256666"/>
    <x v="4"/>
    <n v="162"/>
    <n v="162"/>
    <n v="27.540000000000003"/>
    <x v="0"/>
  </r>
  <r>
    <x v="105"/>
    <s v="SETIEMBRE"/>
    <x v="17"/>
    <s v="JUEVES"/>
    <n v="256720"/>
    <x v="42"/>
    <n v="750"/>
    <n v="420"/>
    <n v="315"/>
    <x v="0"/>
  </r>
  <r>
    <x v="105"/>
    <s v="SETIEMBRE"/>
    <x v="17"/>
    <s v="JUEVES"/>
    <n v="251429"/>
    <x v="0"/>
    <n v="144"/>
    <n v="48"/>
    <n v="57.6"/>
    <x v="0"/>
  </r>
  <r>
    <x v="105"/>
    <s v="SETIEMBRE"/>
    <x v="17"/>
    <s v="JUEVES"/>
    <n v="256674"/>
    <x v="7"/>
    <n v="648"/>
    <n v="198"/>
    <n v="110.16000000000001"/>
    <x v="0"/>
  </r>
  <r>
    <x v="105"/>
    <s v="SETIEMBRE"/>
    <x v="17"/>
    <s v="JUEVES"/>
    <n v="256676"/>
    <x v="17"/>
    <n v="1200"/>
    <n v="120"/>
    <n v="204.00000000000003"/>
    <x v="0"/>
  </r>
  <r>
    <x v="105"/>
    <s v="SETIEMBRE"/>
    <x v="17"/>
    <s v="JUEVES"/>
    <n v="256677"/>
    <x v="10"/>
    <n v="2160"/>
    <n v="120"/>
    <n v="367.20000000000005"/>
    <x v="0"/>
  </r>
  <r>
    <x v="105"/>
    <s v="SETIEMBRE"/>
    <x v="17"/>
    <s v="JUEVES"/>
    <n v="256680"/>
    <x v="26"/>
    <n v="180"/>
    <n v="90"/>
    <n v="30.6"/>
    <x v="0"/>
  </r>
  <r>
    <x v="105"/>
    <s v="SETIEMBRE"/>
    <x v="17"/>
    <s v="JUEVES"/>
    <n v="256678"/>
    <x v="11"/>
    <n v="2160"/>
    <n v="90"/>
    <n v="367.20000000000005"/>
    <x v="0"/>
  </r>
  <r>
    <x v="105"/>
    <s v="SETIEMBRE"/>
    <x v="17"/>
    <s v="JUEVES"/>
    <n v="256652"/>
    <x v="9"/>
    <n v="360"/>
    <n v="90"/>
    <n v="61.2"/>
    <x v="0"/>
  </r>
  <r>
    <x v="105"/>
    <s v="SETIEMBRE"/>
    <x v="17"/>
    <s v="JUEVES"/>
    <n v="256679"/>
    <x v="23"/>
    <n v="360"/>
    <n v="90"/>
    <n v="61.2"/>
    <x v="0"/>
  </r>
  <r>
    <x v="105"/>
    <s v="SETIEMBRE"/>
    <x v="17"/>
    <s v="JUEVES"/>
    <n v="751315"/>
    <x v="24"/>
    <n v="2100"/>
    <n v="420"/>
    <n v="882"/>
    <x v="0"/>
  </r>
  <r>
    <x v="105"/>
    <s v="SETIEMBRE"/>
    <x v="17"/>
    <s v="JUEVES"/>
    <n v="251406"/>
    <x v="1"/>
    <n v="864"/>
    <n v="198"/>
    <n v="146.88000000000002"/>
    <x v="0"/>
  </r>
  <r>
    <x v="105"/>
    <s v="SETIEMBRE"/>
    <x v="17"/>
    <s v="JUEVES"/>
    <n v="254853"/>
    <x v="2"/>
    <n v="1512"/>
    <n v="198"/>
    <n v="257.04000000000002"/>
    <x v="0"/>
  </r>
  <r>
    <x v="105"/>
    <s v="SETIEMBRE"/>
    <x v="17"/>
    <s v="JUEVES"/>
    <n v="256488"/>
    <x v="6"/>
    <n v="840"/>
    <n v="120"/>
    <n v="142.80000000000001"/>
    <x v="0"/>
  </r>
  <r>
    <x v="105"/>
    <s v="SETIEMBRE"/>
    <x v="17"/>
    <s v="JUEVES"/>
    <n v="256381"/>
    <x v="13"/>
    <n v="120"/>
    <n v="30"/>
    <n v="48"/>
    <x v="0"/>
  </r>
  <r>
    <x v="105"/>
    <s v="SETIEMBRE"/>
    <x v="17"/>
    <s v="JUEVES"/>
    <n v="256709"/>
    <x v="19"/>
    <n v="225"/>
    <n v="225"/>
    <n v="90"/>
    <x v="0"/>
  </r>
  <r>
    <x v="105"/>
    <s v="SETIEMBRE"/>
    <x v="17"/>
    <s v="JUEVES"/>
    <n v="256708"/>
    <x v="12"/>
    <n v="900"/>
    <n v="225"/>
    <n v="360"/>
    <x v="0"/>
  </r>
  <r>
    <x v="105"/>
    <s v="SETIEMBRE"/>
    <x v="17"/>
    <s v="JUEVES"/>
    <n v="251429"/>
    <x v="0"/>
    <n v="480"/>
    <n v="48"/>
    <n v="192"/>
    <x v="0"/>
  </r>
  <r>
    <x v="105"/>
    <s v="SETIEMBRE"/>
    <x v="17"/>
    <s v="JUEVES"/>
    <n v="256674"/>
    <x v="7"/>
    <n v="1080"/>
    <n v="198"/>
    <n v="183.60000000000002"/>
    <x v="0"/>
  </r>
  <r>
    <x v="105"/>
    <s v="SETIEMBRE"/>
    <x v="17"/>
    <s v="JUEVES"/>
    <n v="256674"/>
    <x v="7"/>
    <n v="864"/>
    <n v="198"/>
    <n v="146.88000000000002"/>
    <x v="0"/>
  </r>
  <r>
    <x v="105"/>
    <s v="SETIEMBRE"/>
    <x v="17"/>
    <s v="JUEVES"/>
    <n v="256617"/>
    <x v="3"/>
    <n v="396"/>
    <n v="198"/>
    <n v="67.320000000000007"/>
    <x v="0"/>
  </r>
  <r>
    <x v="105"/>
    <s v="SETIEMBRE"/>
    <x v="17"/>
    <s v="JUEVES"/>
    <n v="256616"/>
    <x v="22"/>
    <n v="396"/>
    <n v="198"/>
    <n v="67.320000000000007"/>
    <x v="0"/>
  </r>
  <r>
    <x v="105"/>
    <s v="SETIEMBRE"/>
    <x v="17"/>
    <s v="JUEVES"/>
    <n v="254853"/>
    <x v="2"/>
    <n v="432"/>
    <n v="198"/>
    <n v="73.440000000000012"/>
    <x v="0"/>
  </r>
  <r>
    <x v="105"/>
    <s v="SE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60"/>
    <s v="NOVIEMBRE"/>
    <x v="27"/>
    <s v="DOMINGO"/>
    <n v="256488"/>
    <x v="6"/>
    <n v="1680"/>
    <n v="120"/>
    <n v="285.60000000000002"/>
    <x v="2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1"/>
    <s v="NOVIEMBRE"/>
    <x v="27"/>
    <s v="MARTES"/>
    <n v="256383"/>
    <x v="28"/>
    <n v="150"/>
    <n v="30"/>
    <n v="34.5"/>
    <x v="0"/>
  </r>
  <r>
    <x v="161"/>
    <s v="NOVIEMBRE"/>
    <x v="27"/>
    <s v="MARTES"/>
    <n v="256379"/>
    <x v="15"/>
    <n v="250"/>
    <n v="50"/>
    <n v="100"/>
    <x v="0"/>
  </r>
  <r>
    <x v="161"/>
    <s v="NOVIEMBRE"/>
    <x v="27"/>
    <s v="MARTES"/>
    <n v="252436"/>
    <x v="36"/>
    <n v="450"/>
    <n v="90"/>
    <n v="180"/>
    <x v="0"/>
  </r>
  <r>
    <x v="161"/>
    <s v="NOVIEMBRE"/>
    <x v="27"/>
    <s v="MARTES"/>
    <n v="256685"/>
    <x v="38"/>
    <n v="560"/>
    <n v="112"/>
    <n v="224"/>
    <x v="0"/>
  </r>
  <r>
    <x v="161"/>
    <s v="NOVIEMBRE"/>
    <x v="27"/>
    <s v="MARTES"/>
    <n v="251429"/>
    <x v="0"/>
    <n v="480"/>
    <n v="48"/>
    <n v="192"/>
    <x v="0"/>
  </r>
  <r>
    <x v="161"/>
    <s v="NOVIEMBRE"/>
    <x v="27"/>
    <s v="MARTES"/>
    <n v="251406"/>
    <x v="1"/>
    <n v="1512"/>
    <n v="198"/>
    <n v="257.04000000000002"/>
    <x v="0"/>
  </r>
  <r>
    <x v="161"/>
    <s v="NOVIEMBRE"/>
    <x v="27"/>
    <s v="MARTES"/>
    <n v="254853"/>
    <x v="2"/>
    <n v="1944"/>
    <n v="198"/>
    <n v="330.48"/>
    <x v="0"/>
  </r>
  <r>
    <x v="161"/>
    <s v="NOVIEMBRE"/>
    <x v="27"/>
    <s v="MARTES"/>
    <n v="256548"/>
    <x v="34"/>
    <n v="432"/>
    <n v="198"/>
    <n v="73.440000000000012"/>
    <x v="0"/>
  </r>
  <r>
    <x v="161"/>
    <s v="NOVIEMBRE"/>
    <x v="27"/>
    <s v="MARTES"/>
    <n v="256549"/>
    <x v="29"/>
    <n v="432"/>
    <n v="198"/>
    <n v="73.440000000000012"/>
    <x v="0"/>
  </r>
  <r>
    <x v="161"/>
    <s v="NOVIEMBRE"/>
    <x v="27"/>
    <s v="MARTES"/>
    <n v="256617"/>
    <x v="3"/>
    <n v="792"/>
    <n v="198"/>
    <n v="134.64000000000001"/>
    <x v="0"/>
  </r>
  <r>
    <x v="161"/>
    <s v="NOVIEMBRE"/>
    <x v="27"/>
    <s v="MARTES"/>
    <n v="256666"/>
    <x v="4"/>
    <n v="648"/>
    <n v="162"/>
    <n v="110.16000000000001"/>
    <x v="0"/>
  </r>
  <r>
    <x v="161"/>
    <s v="NOVIEMBRE"/>
    <x v="27"/>
    <s v="MARTES"/>
    <n v="256601"/>
    <x v="5"/>
    <n v="648"/>
    <n v="162"/>
    <n v="110.16000000000001"/>
    <x v="0"/>
  </r>
  <r>
    <x v="161"/>
    <s v="NOVIEMBRE"/>
    <x v="27"/>
    <s v="MARTES"/>
    <n v="256488"/>
    <x v="6"/>
    <n v="3840"/>
    <n v="120"/>
    <n v="652.80000000000007"/>
    <x v="0"/>
  </r>
  <r>
    <x v="161"/>
    <s v="NOVIEMBRE"/>
    <x v="27"/>
    <s v="MARTES"/>
    <n v="256676"/>
    <x v="17"/>
    <n v="1800"/>
    <n v="120"/>
    <n v="306"/>
    <x v="0"/>
  </r>
  <r>
    <x v="161"/>
    <s v="NOVIEMBRE"/>
    <x v="27"/>
    <s v="MARTES"/>
    <n v="256674"/>
    <x v="7"/>
    <n v="864"/>
    <n v="198"/>
    <n v="146.88000000000002"/>
    <x v="0"/>
  </r>
  <r>
    <x v="161"/>
    <s v="NOVIEMBRE"/>
    <x v="27"/>
    <s v="MARTES"/>
    <n v="256675"/>
    <x v="8"/>
    <n v="1296"/>
    <n v="198"/>
    <n v="220.32000000000002"/>
    <x v="0"/>
  </r>
  <r>
    <x v="161"/>
    <s v="NOVIEMBRE"/>
    <x v="27"/>
    <s v="MARTES"/>
    <n v="256652"/>
    <x v="9"/>
    <n v="1800"/>
    <n v="90"/>
    <n v="306"/>
    <x v="0"/>
  </r>
  <r>
    <x v="161"/>
    <s v="NOVIEMBRE"/>
    <x v="27"/>
    <s v="MARTES"/>
    <n v="256677"/>
    <x v="10"/>
    <n v="5520"/>
    <n v="120"/>
    <n v="938.40000000000009"/>
    <x v="0"/>
  </r>
  <r>
    <x v="161"/>
    <s v="NOVIEMBRE"/>
    <x v="27"/>
    <s v="MARTES"/>
    <n v="256678"/>
    <x v="11"/>
    <n v="1440"/>
    <n v="90"/>
    <n v="244.8"/>
    <x v="0"/>
  </r>
  <r>
    <x v="161"/>
    <s v="NOVIEMBRE"/>
    <x v="27"/>
    <s v="MARTES"/>
    <n v="256695"/>
    <x v="25"/>
    <n v="900"/>
    <n v="225"/>
    <n v="378"/>
    <x v="0"/>
  </r>
  <r>
    <x v="161"/>
    <s v="NOVIEMBRE"/>
    <x v="27"/>
    <s v="MARTES"/>
    <n v="256708"/>
    <x v="12"/>
    <n v="450"/>
    <n v="225"/>
    <n v="180"/>
    <x v="0"/>
  </r>
  <r>
    <x v="161"/>
    <s v="NOVIEMBRE"/>
    <x v="27"/>
    <s v="MARTES"/>
    <n v="256709"/>
    <x v="19"/>
    <n v="225"/>
    <n v="225"/>
    <n v="90"/>
    <x v="0"/>
  </r>
  <r>
    <x v="161"/>
    <s v="NOVIEMBRE"/>
    <x v="27"/>
    <s v="MARTES"/>
    <n v="251632"/>
    <x v="35"/>
    <n v="1800"/>
    <n v="180"/>
    <n v="756"/>
    <x v="0"/>
  </r>
  <r>
    <x v="161"/>
    <s v="NOVIEMBRE"/>
    <x v="27"/>
    <s v="MARTES"/>
    <n v="256720"/>
    <x v="42"/>
    <n v="500"/>
    <n v="420"/>
    <n v="210"/>
    <x v="0"/>
  </r>
  <r>
    <x v="161"/>
    <s v="NOVIEMBRE"/>
    <x v="27"/>
    <s v="MARTES"/>
    <n v="256721"/>
    <x v="43"/>
    <n v="1000"/>
    <n v="420"/>
    <n v="420"/>
    <x v="0"/>
  </r>
  <r>
    <x v="161"/>
    <s v="NOVIEMBRE"/>
    <x v="27"/>
    <s v="MARTES"/>
    <n v="256695"/>
    <x v="25"/>
    <n v="1350"/>
    <n v="225"/>
    <n v="567"/>
    <x v="0"/>
  </r>
  <r>
    <x v="161"/>
    <s v="NOVIEMBRE"/>
    <x v="27"/>
    <s v="MARTES"/>
    <n v="256488"/>
    <x v="6"/>
    <n v="480"/>
    <n v="120"/>
    <n v="81.600000000000009"/>
    <x v="0"/>
  </r>
  <r>
    <x v="161"/>
    <s v="NOVIEMBRE"/>
    <x v="27"/>
    <s v="MARTES"/>
    <n v="256677"/>
    <x v="10"/>
    <n v="480"/>
    <n v="120"/>
    <n v="81.600000000000009"/>
    <x v="0"/>
  </r>
  <r>
    <x v="161"/>
    <s v="NOVIEMBRE"/>
    <x v="27"/>
    <s v="MARTES"/>
    <n v="256488"/>
    <x v="6"/>
    <n v="1080"/>
    <n v="120"/>
    <n v="183.60000000000002"/>
    <x v="0"/>
  </r>
  <r>
    <x v="161"/>
    <s v="NOVIEMBRE"/>
    <x v="27"/>
    <s v="MARTES"/>
    <n v="256676"/>
    <x v="17"/>
    <n v="4320"/>
    <n v="120"/>
    <n v="734.40000000000009"/>
    <x v="0"/>
  </r>
  <r>
    <x v="161"/>
    <s v="NOVIEMBRE"/>
    <x v="27"/>
    <s v="MARTES"/>
    <n v="256652"/>
    <x v="9"/>
    <n v="1260"/>
    <n v="90"/>
    <n v="214.20000000000002"/>
    <x v="0"/>
  </r>
  <r>
    <x v="161"/>
    <s v="NOVIEMBRE"/>
    <x v="27"/>
    <s v="MARTES"/>
    <n v="256678"/>
    <x v="11"/>
    <n v="1080"/>
    <n v="90"/>
    <n v="183.60000000000002"/>
    <x v="0"/>
  </r>
  <r>
    <x v="161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1"/>
    <s v="NOVIEMBRE"/>
    <x v="27"/>
    <s v="MARTES"/>
    <n v="256652"/>
    <x v="9"/>
    <n v="1080"/>
    <n v="90"/>
    <n v="183.60000000000002"/>
    <x v="0"/>
  </r>
  <r>
    <x v="161"/>
    <s v="NOVIEMBRE"/>
    <x v="27"/>
    <s v="MARTES"/>
    <n v="256720"/>
    <x v="42"/>
    <n v="500"/>
    <n v="420"/>
    <n v="210"/>
    <x v="0"/>
  </r>
  <r>
    <x v="161"/>
    <s v="NOVIEMBRE"/>
    <x v="27"/>
    <s v="MARTES"/>
    <n v="256721"/>
    <x v="43"/>
    <n v="750"/>
    <n v="420"/>
    <n v="315"/>
    <x v="0"/>
  </r>
  <r>
    <x v="161"/>
    <s v="NOVIEMBRE"/>
    <x v="27"/>
    <s v="MARTES"/>
    <n v="256652"/>
    <x v="9"/>
    <n v="360"/>
    <n v="90"/>
    <n v="61.2"/>
    <x v="0"/>
  </r>
  <r>
    <x v="161"/>
    <s v="NOVIEMBRE"/>
    <x v="27"/>
    <s v="MARTES"/>
    <n v="256678"/>
    <x v="11"/>
    <n v="360"/>
    <n v="90"/>
    <n v="61.2"/>
    <x v="0"/>
  </r>
  <r>
    <x v="162"/>
    <s v="DICIEMBRE"/>
    <x v="27"/>
    <s v="MIÉRCOLES"/>
    <n v="256652"/>
    <x v="9"/>
    <n v="720"/>
    <n v="90"/>
    <n v="122.4"/>
    <x v="0"/>
  </r>
  <r>
    <x v="162"/>
    <s v="DICIEMBRE"/>
    <x v="27"/>
    <s v="MIÉRCOLES"/>
    <n v="256379"/>
    <x v="15"/>
    <n v="300"/>
    <n v="50"/>
    <n v="120"/>
    <x v="0"/>
  </r>
  <r>
    <x v="162"/>
    <s v="DICIEMBRE"/>
    <x v="27"/>
    <s v="MIÉRCOLES"/>
    <n v="256676"/>
    <x v="17"/>
    <n v="480"/>
    <n v="120"/>
    <n v="81.600000000000009"/>
    <x v="0"/>
  </r>
  <r>
    <x v="162"/>
    <s v="DICIEMBRE"/>
    <x v="27"/>
    <s v="MIÉRCOLES"/>
    <n v="256677"/>
    <x v="10"/>
    <n v="240"/>
    <n v="120"/>
    <n v="40.800000000000004"/>
    <x v="0"/>
  </r>
  <r>
    <x v="162"/>
    <s v="DICIEMBRE"/>
    <x v="27"/>
    <s v="MIÉRCOLES"/>
    <n v="256652"/>
    <x v="9"/>
    <n v="360"/>
    <n v="90"/>
    <n v="61.2"/>
    <x v="0"/>
  </r>
  <r>
    <x v="162"/>
    <s v="DICIEMBRE"/>
    <x v="27"/>
    <s v="MIÉRCOLES"/>
    <n v="256678"/>
    <x v="11"/>
    <n v="1440"/>
    <n v="90"/>
    <n v="244.8"/>
    <x v="0"/>
  </r>
  <r>
    <x v="162"/>
    <s v="DICIEMBRE"/>
    <x v="27"/>
    <s v="MIÉRCOLES"/>
    <n v="256488"/>
    <x v="6"/>
    <n v="2880"/>
    <n v="120"/>
    <n v="489.6"/>
    <x v="0"/>
  </r>
  <r>
    <x v="162"/>
    <s v="DICIEMBRE"/>
    <x v="27"/>
    <s v="MIÉRCOLES"/>
    <n v="251429"/>
    <x v="0"/>
    <n v="960"/>
    <n v="48"/>
    <n v="384"/>
    <x v="0"/>
  </r>
  <r>
    <x v="162"/>
    <s v="DICIEMBRE"/>
    <x v="27"/>
    <s v="MIÉRCOLES"/>
    <n v="256381"/>
    <x v="13"/>
    <n v="150"/>
    <n v="30"/>
    <n v="60"/>
    <x v="0"/>
  </r>
  <r>
    <x v="162"/>
    <s v="DICIEMBRE"/>
    <x v="27"/>
    <s v="MIÉRCOLES"/>
    <n v="256383"/>
    <x v="28"/>
    <n v="30"/>
    <n v="30"/>
    <n v="6.9"/>
    <x v="0"/>
  </r>
  <r>
    <x v="162"/>
    <s v="DICIEMBRE"/>
    <x v="27"/>
    <s v="MIÉRCOLES"/>
    <n v="256685"/>
    <x v="38"/>
    <n v="448"/>
    <n v="112"/>
    <n v="179.20000000000002"/>
    <x v="0"/>
  </r>
  <r>
    <x v="162"/>
    <s v="DICIEMBRE"/>
    <x v="27"/>
    <s v="MIÉRCOLES"/>
    <n v="251406"/>
    <x v="1"/>
    <n v="1728"/>
    <n v="198"/>
    <n v="293.76000000000005"/>
    <x v="0"/>
  </r>
  <r>
    <x v="162"/>
    <s v="DICIEMBRE"/>
    <x v="27"/>
    <s v="MIÉRCOLES"/>
    <n v="254853"/>
    <x v="2"/>
    <n v="1080"/>
    <n v="198"/>
    <n v="183.60000000000002"/>
    <x v="0"/>
  </r>
  <r>
    <x v="162"/>
    <s v="DICIEMBRE"/>
    <x v="27"/>
    <s v="MIÉRCOLES"/>
    <n v="256488"/>
    <x v="6"/>
    <n v="2400"/>
    <n v="120"/>
    <n v="408.00000000000006"/>
    <x v="0"/>
  </r>
  <r>
    <x v="162"/>
    <s v="DICIEMBRE"/>
    <x v="27"/>
    <s v="MIÉRCOLES"/>
    <n v="256616"/>
    <x v="22"/>
    <n v="792"/>
    <n v="198"/>
    <n v="134.64000000000001"/>
    <x v="0"/>
  </r>
  <r>
    <x v="162"/>
    <s v="DICIEMBRE"/>
    <x v="27"/>
    <s v="MIÉRCOLES"/>
    <n v="256617"/>
    <x v="3"/>
    <n v="990"/>
    <n v="198"/>
    <n v="168.3"/>
    <x v="0"/>
  </r>
  <r>
    <x v="162"/>
    <s v="DICIEMBRE"/>
    <x v="27"/>
    <s v="MIÉRCOLES"/>
    <n v="256675"/>
    <x v="8"/>
    <n v="1080"/>
    <n v="198"/>
    <n v="183.60000000000002"/>
    <x v="0"/>
  </r>
  <r>
    <x v="162"/>
    <s v="DICIEMBRE"/>
    <x v="27"/>
    <s v="MIÉRCOLES"/>
    <n v="256676"/>
    <x v="17"/>
    <n v="2040"/>
    <n v="120"/>
    <n v="346.8"/>
    <x v="0"/>
  </r>
  <r>
    <x v="162"/>
    <s v="DICIEMBRE"/>
    <x v="27"/>
    <s v="MIÉRCOLES"/>
    <n v="256677"/>
    <x v="10"/>
    <n v="6960"/>
    <n v="120"/>
    <n v="1183.2"/>
    <x v="0"/>
  </r>
  <r>
    <x v="162"/>
    <s v="DICIEMBRE"/>
    <x v="27"/>
    <s v="MIÉRCOLES"/>
    <n v="256678"/>
    <x v="11"/>
    <n v="2880"/>
    <n v="90"/>
    <n v="489.6"/>
    <x v="0"/>
  </r>
  <r>
    <x v="162"/>
    <s v="DICIEMBRE"/>
    <x v="27"/>
    <s v="MIÉRCOLES"/>
    <n v="256652"/>
    <x v="9"/>
    <n v="720"/>
    <n v="90"/>
    <n v="122.4"/>
    <x v="0"/>
  </r>
  <r>
    <x v="162"/>
    <s v="DICIEMBRE"/>
    <x v="27"/>
    <s v="MIÉRCOLES"/>
    <n v="256682"/>
    <x v="20"/>
    <n v="720"/>
    <n v="90"/>
    <n v="122.4"/>
    <x v="0"/>
  </r>
  <r>
    <x v="162"/>
    <s v="DICIEMBRE"/>
    <x v="27"/>
    <s v="MIÉRCOLES"/>
    <n v="251633"/>
    <x v="16"/>
    <n v="900"/>
    <n v="180"/>
    <n v="378"/>
    <x v="0"/>
  </r>
  <r>
    <x v="162"/>
    <s v="DICIEMBRE"/>
    <x v="27"/>
    <s v="MIÉRCOLES"/>
    <n v="252436"/>
    <x v="36"/>
    <n v="450"/>
    <n v="90"/>
    <n v="180"/>
    <x v="0"/>
  </r>
  <r>
    <x v="162"/>
    <s v="DICIEMBRE"/>
    <x v="27"/>
    <s v="MIÉRCOLES"/>
    <n v="256720"/>
    <x v="42"/>
    <n v="500"/>
    <n v="420"/>
    <n v="210"/>
    <x v="0"/>
  </r>
  <r>
    <x v="162"/>
    <s v="DICIEMBRE"/>
    <x v="27"/>
    <s v="MIÉRCOLES"/>
    <n v="256721"/>
    <x v="43"/>
    <n v="500"/>
    <n v="420"/>
    <n v="210"/>
    <x v="0"/>
  </r>
  <r>
    <x v="162"/>
    <s v="DICIEMBRE"/>
    <x v="27"/>
    <s v="MIÉRCOLES"/>
    <n v="256676"/>
    <x v="17"/>
    <n v="6120"/>
    <n v="120"/>
    <n v="1040.4000000000001"/>
    <x v="0"/>
  </r>
  <r>
    <x v="162"/>
    <s v="DICIEMBRE"/>
    <x v="27"/>
    <s v="MIÉRCOLES"/>
    <n v="256677"/>
    <x v="10"/>
    <n v="1440"/>
    <n v="120"/>
    <n v="244.8"/>
    <x v="0"/>
  </r>
  <r>
    <x v="162"/>
    <s v="DICIEMBRE"/>
    <x v="27"/>
    <s v="MIÉRCOLES"/>
    <n v="256652"/>
    <x v="9"/>
    <n v="1260"/>
    <n v="90"/>
    <n v="214.20000000000002"/>
    <x v="0"/>
  </r>
  <r>
    <x v="162"/>
    <s v="DICIEMBRE"/>
    <x v="27"/>
    <s v="MIÉRCOLES"/>
    <n v="256679"/>
    <x v="23"/>
    <n v="1440"/>
    <n v="90"/>
    <n v="244.8"/>
    <x v="0"/>
  </r>
  <r>
    <x v="162"/>
    <s v="DICIEMBRE"/>
    <x v="27"/>
    <s v="MIÉRCOLES"/>
    <n v="256488"/>
    <x v="6"/>
    <n v="2160"/>
    <n v="120"/>
    <n v="367.20000000000005"/>
    <x v="0"/>
  </r>
  <r>
    <x v="162"/>
    <s v="DICIEMBRE"/>
    <x v="27"/>
    <s v="MIÉRCOLES"/>
    <n v="256680"/>
    <x v="26"/>
    <n v="450"/>
    <n v="90"/>
    <n v="76.5"/>
    <x v="0"/>
  </r>
  <r>
    <x v="162"/>
    <s v="DICIEMBRE"/>
    <x v="27"/>
    <s v="MIÉRCOLES"/>
    <n v="256488"/>
    <x v="6"/>
    <n v="2400"/>
    <n v="120"/>
    <n v="408.00000000000006"/>
    <x v="0"/>
  </r>
  <r>
    <x v="162"/>
    <s v="DICIEMBRE"/>
    <x v="27"/>
    <s v="MIÉRCOLES"/>
    <n v="256677"/>
    <x v="10"/>
    <n v="4560"/>
    <n v="120"/>
    <n v="775.2"/>
    <x v="0"/>
  </r>
  <r>
    <x v="162"/>
    <s v="DICIEMBRE"/>
    <x v="27"/>
    <s v="MIÉRCOLES"/>
    <n v="256676"/>
    <x v="17"/>
    <n v="480"/>
    <n v="120"/>
    <n v="81.600000000000009"/>
    <x v="0"/>
  </r>
  <r>
    <x v="163"/>
    <s v="DICIEMBRE"/>
    <x v="27"/>
    <s v="JUEVES"/>
    <n v="256695"/>
    <x v="25"/>
    <n v="1350"/>
    <n v="225"/>
    <n v="567"/>
    <x v="0"/>
  </r>
  <r>
    <x v="163"/>
    <s v="DICIEMBRE"/>
    <x v="27"/>
    <s v="JUEVES"/>
    <n v="256708"/>
    <x v="12"/>
    <n v="900"/>
    <n v="225"/>
    <n v="360"/>
    <x v="0"/>
  </r>
  <r>
    <x v="163"/>
    <s v="DICIEMBRE"/>
    <x v="27"/>
    <s v="JUEVES"/>
    <n v="256721"/>
    <x v="43"/>
    <n v="500"/>
    <n v="420"/>
    <n v="210"/>
    <x v="0"/>
  </r>
  <r>
    <x v="163"/>
    <s v="DICIEMBRE"/>
    <x v="27"/>
    <s v="JUEVES"/>
    <n v="256381"/>
    <x v="13"/>
    <n v="150"/>
    <n v="30"/>
    <n v="60"/>
    <x v="0"/>
  </r>
  <r>
    <x v="163"/>
    <s v="DICIEMBRE"/>
    <x v="27"/>
    <s v="JUEVES"/>
    <n v="256652"/>
    <x v="9"/>
    <n v="180"/>
    <n v="90"/>
    <n v="30.6"/>
    <x v="0"/>
  </r>
  <r>
    <x v="163"/>
    <s v="DICIEMBRE"/>
    <x v="27"/>
    <s v="JUEVES"/>
    <n v="251406"/>
    <x v="1"/>
    <n v="2160"/>
    <n v="198"/>
    <n v="367.20000000000005"/>
    <x v="0"/>
  </r>
  <r>
    <x v="163"/>
    <s v="DICIEMBRE"/>
    <x v="27"/>
    <s v="JUEVES"/>
    <n v="254853"/>
    <x v="2"/>
    <n v="2160"/>
    <n v="198"/>
    <n v="367.20000000000005"/>
    <x v="0"/>
  </r>
  <r>
    <x v="163"/>
    <s v="DICIEMBRE"/>
    <x v="27"/>
    <s v="JUEVES"/>
    <n v="256488"/>
    <x v="6"/>
    <n v="1200"/>
    <n v="120"/>
    <n v="204.00000000000003"/>
    <x v="0"/>
  </r>
  <r>
    <x v="163"/>
    <s v="DICIEMBRE"/>
    <x v="27"/>
    <s v="JUEVES"/>
    <n v="256601"/>
    <x v="5"/>
    <n v="972"/>
    <n v="162"/>
    <n v="165.24"/>
    <x v="0"/>
  </r>
  <r>
    <x v="163"/>
    <s v="DICIEMBRE"/>
    <x v="27"/>
    <s v="JUEVES"/>
    <n v="256616"/>
    <x v="22"/>
    <n v="1188"/>
    <n v="198"/>
    <n v="201.96"/>
    <x v="0"/>
  </r>
  <r>
    <x v="163"/>
    <s v="DICIEMBRE"/>
    <x v="27"/>
    <s v="JUEVES"/>
    <n v="256617"/>
    <x v="3"/>
    <n v="792"/>
    <n v="198"/>
    <n v="134.64000000000001"/>
    <x v="0"/>
  </r>
  <r>
    <x v="163"/>
    <s v="DICIEMBRE"/>
    <x v="27"/>
    <s v="JUEVES"/>
    <n v="256675"/>
    <x v="8"/>
    <n v="1512"/>
    <n v="198"/>
    <n v="257.04000000000002"/>
    <x v="0"/>
  </r>
  <r>
    <x v="163"/>
    <s v="DICIEMBRE"/>
    <x v="27"/>
    <s v="JUEVES"/>
    <n v="256666"/>
    <x v="4"/>
    <n v="1296"/>
    <n v="162"/>
    <n v="220.32000000000002"/>
    <x v="0"/>
  </r>
  <r>
    <x v="163"/>
    <s v="DICIEMBRE"/>
    <x v="27"/>
    <s v="JUEVES"/>
    <n v="256676"/>
    <x v="17"/>
    <n v="1200"/>
    <n v="120"/>
    <n v="204.00000000000003"/>
    <x v="0"/>
  </r>
  <r>
    <x v="163"/>
    <s v="DICIEMBRE"/>
    <x v="27"/>
    <s v="JUEVES"/>
    <n v="256677"/>
    <x v="10"/>
    <n v="7320"/>
    <n v="120"/>
    <n v="1244.4000000000001"/>
    <x v="0"/>
  </r>
  <r>
    <x v="163"/>
    <s v="DICIEMBRE"/>
    <x v="27"/>
    <s v="JUEVES"/>
    <n v="256682"/>
    <x v="20"/>
    <n v="360"/>
    <n v="90"/>
    <n v="61.2"/>
    <x v="0"/>
  </r>
  <r>
    <x v="163"/>
    <s v="DICIEMBRE"/>
    <x v="27"/>
    <s v="JUEVES"/>
    <n v="251429"/>
    <x v="0"/>
    <n v="960"/>
    <n v="48"/>
    <n v="384"/>
    <x v="0"/>
  </r>
  <r>
    <x v="163"/>
    <s v="DICIEMBRE"/>
    <x v="27"/>
    <s v="JUEVES"/>
    <n v="256652"/>
    <x v="9"/>
    <n v="900"/>
    <n v="90"/>
    <n v="153"/>
    <x v="0"/>
  </r>
  <r>
    <x v="163"/>
    <s v="DICIEMBRE"/>
    <x v="27"/>
    <s v="JUEVES"/>
    <n v="252436"/>
    <x v="36"/>
    <n v="450"/>
    <n v="90"/>
    <n v="180"/>
    <x v="0"/>
  </r>
  <r>
    <x v="163"/>
    <s v="DICIEMBRE"/>
    <x v="27"/>
    <s v="JUEVES"/>
    <n v="256652"/>
    <x v="9"/>
    <n v="2160"/>
    <n v="90"/>
    <n v="367.20000000000005"/>
    <x v="0"/>
  </r>
  <r>
    <x v="163"/>
    <s v="DICIEMBRE"/>
    <x v="27"/>
    <s v="JUEVES"/>
    <n v="256678"/>
    <x v="11"/>
    <n v="720"/>
    <n v="90"/>
    <n v="122.4"/>
    <x v="0"/>
  </r>
  <r>
    <x v="163"/>
    <s v="DICIEMBRE"/>
    <x v="27"/>
    <s v="JUEVES"/>
    <n v="256488"/>
    <x v="6"/>
    <n v="3360"/>
    <n v="120"/>
    <n v="571.20000000000005"/>
    <x v="0"/>
  </r>
  <r>
    <x v="163"/>
    <s v="DICIEMBRE"/>
    <x v="27"/>
    <s v="JUEVES"/>
    <n v="256676"/>
    <x v="17"/>
    <n v="3840"/>
    <n v="120"/>
    <n v="652.80000000000007"/>
    <x v="0"/>
  </r>
  <r>
    <x v="163"/>
    <s v="DICIEMBRE"/>
    <x v="27"/>
    <s v="JUEVES"/>
    <n v="256677"/>
    <x v="10"/>
    <n v="4200"/>
    <n v="120"/>
    <n v="714"/>
    <x v="0"/>
  </r>
  <r>
    <x v="164"/>
    <s v="DICIEMBRE"/>
    <x v="27"/>
    <s v="VIERNES"/>
    <n v="256695"/>
    <x v="25"/>
    <n v="900"/>
    <n v="225"/>
    <n v="378"/>
    <x v="0"/>
  </r>
  <r>
    <x v="164"/>
    <s v="DICIEMBRE"/>
    <x v="27"/>
    <s v="VIERNES"/>
    <n v="251406"/>
    <x v="1"/>
    <n v="1080"/>
    <n v="198"/>
    <n v="183.60000000000002"/>
    <x v="0"/>
  </r>
  <r>
    <x v="164"/>
    <s v="DICIEMBRE"/>
    <x v="27"/>
    <s v="VIERNES"/>
    <n v="254853"/>
    <x v="2"/>
    <n v="1080"/>
    <n v="198"/>
    <n v="183.60000000000002"/>
    <x v="0"/>
  </r>
  <r>
    <x v="164"/>
    <s v="DICIEMBRE"/>
    <x v="27"/>
    <s v="VIERNES"/>
    <n v="256488"/>
    <x v="6"/>
    <n v="2400"/>
    <n v="120"/>
    <n v="408.00000000000006"/>
    <x v="0"/>
  </r>
  <r>
    <x v="164"/>
    <s v="DICIEMBRE"/>
    <x v="27"/>
    <s v="VIERNES"/>
    <n v="256676"/>
    <x v="17"/>
    <n v="1800"/>
    <n v="120"/>
    <n v="306"/>
    <x v="0"/>
  </r>
  <r>
    <x v="164"/>
    <s v="DICIEMBRE"/>
    <x v="27"/>
    <s v="VIERNES"/>
    <n v="256674"/>
    <x v="7"/>
    <n v="4320"/>
    <n v="198"/>
    <n v="734.40000000000009"/>
    <x v="0"/>
  </r>
  <r>
    <x v="164"/>
    <s v="DICIEMBRE"/>
    <x v="27"/>
    <s v="VIERNES"/>
    <n v="256652"/>
    <x v="9"/>
    <n v="1440"/>
    <n v="90"/>
    <n v="244.8"/>
    <x v="0"/>
  </r>
  <r>
    <x v="164"/>
    <s v="DICIEMBRE"/>
    <x v="27"/>
    <s v="VIERNES"/>
    <n v="256677"/>
    <x v="10"/>
    <n v="4320"/>
    <n v="120"/>
    <n v="734.40000000000009"/>
    <x v="0"/>
  </r>
  <r>
    <x v="164"/>
    <s v="DICIEMBRE"/>
    <x v="27"/>
    <s v="VIERNES"/>
    <n v="256678"/>
    <x v="11"/>
    <n v="3600"/>
    <n v="90"/>
    <n v="612"/>
    <x v="0"/>
  </r>
  <r>
    <x v="164"/>
    <s v="DICIEMBRE"/>
    <x v="27"/>
    <s v="VIERNES"/>
    <n v="256679"/>
    <x v="23"/>
    <n v="1440"/>
    <n v="90"/>
    <n v="244.8"/>
    <x v="0"/>
  </r>
  <r>
    <x v="164"/>
    <s v="DICIEMBRE"/>
    <x v="27"/>
    <s v="VIERNES"/>
    <n v="256695"/>
    <x v="25"/>
    <n v="450"/>
    <n v="225"/>
    <n v="189"/>
    <x v="0"/>
  </r>
  <r>
    <x v="164"/>
    <s v="DICIEMBRE"/>
    <x v="27"/>
    <s v="VIERNES"/>
    <n v="256709"/>
    <x v="19"/>
    <n v="675"/>
    <n v="225"/>
    <n v="270"/>
    <x v="0"/>
  </r>
  <r>
    <x v="164"/>
    <s v="DICIEMBRE"/>
    <x v="27"/>
    <s v="VIERNES"/>
    <n v="251632"/>
    <x v="35"/>
    <n v="900"/>
    <n v="180"/>
    <n v="378"/>
    <x v="0"/>
  </r>
  <r>
    <x v="164"/>
    <s v="DICIEMBRE"/>
    <x v="27"/>
    <s v="VIERNES"/>
    <n v="256720"/>
    <x v="42"/>
    <n v="1000"/>
    <n v="420"/>
    <n v="420"/>
    <x v="0"/>
  </r>
  <r>
    <x v="164"/>
    <s v="DICIEMBRE"/>
    <x v="27"/>
    <s v="VIERNES"/>
    <n v="256721"/>
    <x v="43"/>
    <n v="500"/>
    <n v="420"/>
    <n v="210"/>
    <x v="0"/>
  </r>
  <r>
    <x v="164"/>
    <s v="DICIEMBRE"/>
    <x v="27"/>
    <s v="VIERNES"/>
    <n v="256380"/>
    <x v="14"/>
    <n v="120"/>
    <n v="40"/>
    <n v="27.6"/>
    <x v="0"/>
  </r>
  <r>
    <x v="164"/>
    <s v="DICIEMBRE"/>
    <x v="27"/>
    <s v="VIERNES"/>
    <n v="256379"/>
    <x v="15"/>
    <n v="400"/>
    <n v="50"/>
    <n v="160"/>
    <x v="0"/>
  </r>
  <r>
    <x v="164"/>
    <s v="DICIEMBRE"/>
    <x v="27"/>
    <s v="VIERNES"/>
    <n v="252436"/>
    <x v="36"/>
    <n v="360"/>
    <n v="90"/>
    <n v="144"/>
    <x v="0"/>
  </r>
  <r>
    <x v="164"/>
    <s v="DICIEMBRE"/>
    <x v="27"/>
    <s v="VIERNES"/>
    <n v="256685"/>
    <x v="38"/>
    <n v="1008"/>
    <n v="112"/>
    <n v="403.20000000000005"/>
    <x v="0"/>
  </r>
  <r>
    <x v="164"/>
    <s v="DICIEMBRE"/>
    <x v="27"/>
    <s v="VIERNES"/>
    <n v="256674"/>
    <x v="7"/>
    <n v="2160"/>
    <n v="198"/>
    <n v="367.20000000000005"/>
    <x v="0"/>
  </r>
  <r>
    <x v="164"/>
    <s v="DICIEMBRE"/>
    <x v="27"/>
    <s v="VIERNES"/>
    <n v="256675"/>
    <x v="8"/>
    <n v="2160"/>
    <n v="198"/>
    <n v="367.20000000000005"/>
    <x v="0"/>
  </r>
  <r>
    <x v="164"/>
    <s v="DICIEMBRE"/>
    <x v="27"/>
    <s v="VIERNES"/>
    <n v="256616"/>
    <x v="22"/>
    <n v="1980"/>
    <n v="198"/>
    <n v="336.6"/>
    <x v="0"/>
  </r>
  <r>
    <x v="164"/>
    <s v="DICIEMBRE"/>
    <x v="27"/>
    <s v="VIERNES"/>
    <n v="256488"/>
    <x v="6"/>
    <n v="2880"/>
    <n v="120"/>
    <n v="489.6"/>
    <x v="0"/>
  </r>
  <r>
    <x v="164"/>
    <s v="DICIEMBRE"/>
    <x v="27"/>
    <s v="VIERNES"/>
    <n v="256677"/>
    <x v="10"/>
    <n v="4320"/>
    <n v="120"/>
    <n v="734.40000000000009"/>
    <x v="0"/>
  </r>
  <r>
    <x v="164"/>
    <s v="DICIEMBRE"/>
    <x v="27"/>
    <s v="VIERNES"/>
    <n v="256652"/>
    <x v="9"/>
    <n v="720"/>
    <n v="90"/>
    <n v="122.4"/>
    <x v="0"/>
  </r>
  <r>
    <x v="165"/>
    <s v="DICIEMBRE"/>
    <x v="29"/>
    <s v="SÁBADO"/>
    <n v="256383"/>
    <x v="28"/>
    <n v="90"/>
    <n v="30"/>
    <n v="20.7"/>
    <x v="0"/>
  </r>
  <r>
    <x v="165"/>
    <s v="DICIEMBRE"/>
    <x v="29"/>
    <s v="SÁBADO"/>
    <n v="251429"/>
    <x v="0"/>
    <n v="1440"/>
    <n v="48"/>
    <n v="576"/>
    <x v="0"/>
  </r>
  <r>
    <x v="165"/>
    <s v="DICIEMBRE"/>
    <x v="29"/>
    <s v="SÁBADO"/>
    <n v="251633"/>
    <x v="16"/>
    <n v="1080"/>
    <n v="180"/>
    <n v="453.59999999999997"/>
    <x v="0"/>
  </r>
  <r>
    <x v="165"/>
    <s v="DICIEMBRE"/>
    <x v="29"/>
    <s v="SÁBADO"/>
    <n v="256548"/>
    <x v="34"/>
    <n v="216"/>
    <n v="198"/>
    <n v="36.720000000000006"/>
    <x v="0"/>
  </r>
  <r>
    <x v="165"/>
    <s v="DICIEMBRE"/>
    <x v="29"/>
    <s v="SÁBADO"/>
    <n v="256549"/>
    <x v="29"/>
    <n v="216"/>
    <n v="198"/>
    <n v="36.720000000000006"/>
    <x v="0"/>
  </r>
  <r>
    <x v="165"/>
    <s v="DICIEMBRE"/>
    <x v="29"/>
    <s v="SÁBADO"/>
    <n v="256488"/>
    <x v="6"/>
    <n v="3360"/>
    <n v="120"/>
    <n v="571.20000000000005"/>
    <x v="0"/>
  </r>
  <r>
    <x v="165"/>
    <s v="DICIEMBRE"/>
    <x v="29"/>
    <s v="SÁBADO"/>
    <n v="256677"/>
    <x v="10"/>
    <n v="6480"/>
    <n v="120"/>
    <n v="1101.6000000000001"/>
    <x v="0"/>
  </r>
  <r>
    <x v="165"/>
    <s v="DICIEMBRE"/>
    <x v="29"/>
    <s v="SÁBADO"/>
    <n v="256695"/>
    <x v="25"/>
    <n v="1800"/>
    <n v="225"/>
    <n v="756"/>
    <x v="0"/>
  </r>
  <r>
    <x v="165"/>
    <s v="DICIEMBRE"/>
    <x v="29"/>
    <s v="SÁBADO"/>
    <n v="251632"/>
    <x v="35"/>
    <n v="540"/>
    <n v="180"/>
    <n v="226.79999999999998"/>
    <x v="0"/>
  </r>
  <r>
    <x v="165"/>
    <s v="DICIEMBRE"/>
    <x v="29"/>
    <s v="SÁBADO"/>
    <n v="256677"/>
    <x v="10"/>
    <n v="1440"/>
    <n v="120"/>
    <n v="244.8"/>
    <x v="0"/>
  </r>
  <r>
    <x v="165"/>
    <s v="DICIEMBRE"/>
    <x v="29"/>
    <s v="SÁBADO"/>
    <n v="256676"/>
    <x v="17"/>
    <n v="480"/>
    <n v="120"/>
    <n v="81.600000000000009"/>
    <x v="0"/>
  </r>
  <r>
    <x v="165"/>
    <s v="DICIEMBRE"/>
    <x v="29"/>
    <s v="SÁBADO"/>
    <n v="251406"/>
    <x v="1"/>
    <n v="5400"/>
    <n v="198"/>
    <n v="918.00000000000011"/>
    <x v="0"/>
  </r>
  <r>
    <x v="165"/>
    <s v="DICIEMBRE"/>
    <x v="29"/>
    <s v="SÁBADO"/>
    <n v="256674"/>
    <x v="7"/>
    <n v="4320"/>
    <n v="198"/>
    <n v="734.40000000000009"/>
    <x v="0"/>
  </r>
  <r>
    <x v="166"/>
    <s v="DICIEMBRE"/>
    <x v="29"/>
    <s v="LUNES"/>
    <n v="254762"/>
    <x v="40"/>
    <n v="560"/>
    <n v="240"/>
    <n v="224"/>
    <x v="0"/>
  </r>
  <r>
    <x v="166"/>
    <s v="DICIEMBRE"/>
    <x v="29"/>
    <s v="LUNES"/>
    <n v="256685"/>
    <x v="38"/>
    <n v="224"/>
    <n v="112"/>
    <n v="89.600000000000009"/>
    <x v="0"/>
  </r>
  <r>
    <x v="166"/>
    <s v="DICIEMBRE"/>
    <x v="29"/>
    <s v="LUNES"/>
    <n v="251429"/>
    <x v="0"/>
    <n v="1440"/>
    <n v="48"/>
    <n v="576"/>
    <x v="0"/>
  </r>
  <r>
    <x v="166"/>
    <s v="DICIEMBRE"/>
    <x v="29"/>
    <s v="LUNES"/>
    <n v="251406"/>
    <x v="1"/>
    <n v="2160"/>
    <n v="198"/>
    <n v="367.20000000000005"/>
    <x v="0"/>
  </r>
  <r>
    <x v="166"/>
    <s v="DICIEMBRE"/>
    <x v="29"/>
    <s v="LUNES"/>
    <n v="254853"/>
    <x v="2"/>
    <n v="1080"/>
    <n v="198"/>
    <n v="183.60000000000002"/>
    <x v="0"/>
  </r>
  <r>
    <x v="166"/>
    <s v="DICIEMBRE"/>
    <x v="29"/>
    <s v="LUNES"/>
    <n v="256488"/>
    <x v="6"/>
    <n v="2400"/>
    <n v="120"/>
    <n v="408.00000000000006"/>
    <x v="0"/>
  </r>
  <r>
    <x v="166"/>
    <s v="DICIEMBRE"/>
    <x v="29"/>
    <s v="LUNES"/>
    <n v="256676"/>
    <x v="17"/>
    <n v="1800"/>
    <n v="120"/>
    <n v="306"/>
    <x v="0"/>
  </r>
  <r>
    <x v="166"/>
    <s v="DICIEMBRE"/>
    <x v="29"/>
    <s v="LUNES"/>
    <n v="256674"/>
    <x v="7"/>
    <n v="2160"/>
    <n v="198"/>
    <n v="367.20000000000005"/>
    <x v="0"/>
  </r>
  <r>
    <x v="166"/>
    <s v="DICIEMBRE"/>
    <x v="29"/>
    <s v="LUNES"/>
    <n v="256652"/>
    <x v="9"/>
    <n v="720"/>
    <n v="90"/>
    <n v="122.4"/>
    <x v="0"/>
  </r>
  <r>
    <x v="166"/>
    <s v="DICIEMBRE"/>
    <x v="29"/>
    <s v="LUNES"/>
    <n v="256677"/>
    <x v="10"/>
    <n v="2400"/>
    <n v="120"/>
    <n v="408.00000000000006"/>
    <x v="0"/>
  </r>
  <r>
    <x v="166"/>
    <s v="DICIEMBRE"/>
    <x v="29"/>
    <s v="LUNES"/>
    <n v="256679"/>
    <x v="23"/>
    <n v="720"/>
    <n v="90"/>
    <n v="122.4"/>
    <x v="0"/>
  </r>
  <r>
    <x v="166"/>
    <s v="DICIEMBRE"/>
    <x v="29"/>
    <s v="LUNES"/>
    <n v="256678"/>
    <x v="11"/>
    <n v="2160"/>
    <n v="90"/>
    <n v="367.20000000000005"/>
    <x v="0"/>
  </r>
  <r>
    <x v="166"/>
    <s v="DICIEMBRE"/>
    <x v="29"/>
    <s v="LUNES"/>
    <n v="256685"/>
    <x v="38"/>
    <n v="336"/>
    <n v="112"/>
    <n v="134.4"/>
    <x v="0"/>
  </r>
  <r>
    <x v="166"/>
    <s v="DICIEMBRE"/>
    <x v="29"/>
    <s v="LUNES"/>
    <n v="256721"/>
    <x v="43"/>
    <n v="750"/>
    <n v="420"/>
    <n v="315"/>
    <x v="0"/>
  </r>
  <r>
    <x v="166"/>
    <s v="DICIEMBRE"/>
    <x v="29"/>
    <s v="LUNES"/>
    <n v="256678"/>
    <x v="11"/>
    <n v="1440"/>
    <n v="90"/>
    <n v="244.8"/>
    <x v="0"/>
  </r>
  <r>
    <x v="166"/>
    <s v="DICIEMBRE"/>
    <x v="29"/>
    <s v="LUNES"/>
    <n v="256677"/>
    <x v="10"/>
    <n v="6480"/>
    <n v="120"/>
    <n v="1101.6000000000001"/>
    <x v="0"/>
  </r>
  <r>
    <x v="166"/>
    <s v="DICIEMBRE"/>
    <x v="29"/>
    <s v="LUNES"/>
    <n v="256678"/>
    <x v="11"/>
    <n v="2160"/>
    <n v="90"/>
    <n v="367.20000000000005"/>
    <x v="0"/>
  </r>
  <r>
    <x v="166"/>
    <s v="DICIEMBRE"/>
    <x v="29"/>
    <s v="LUNES"/>
    <n v="256679"/>
    <x v="23"/>
    <n v="2700"/>
    <n v="90"/>
    <n v="459.00000000000006"/>
    <x v="0"/>
  </r>
  <r>
    <x v="167"/>
    <s v="DICIEMBRE"/>
    <x v="29"/>
    <s v="MARTES"/>
    <n v="256753"/>
    <x v="48"/>
    <n v="60"/>
    <n v="30"/>
    <n v="12.6"/>
    <x v="0"/>
  </r>
  <r>
    <x v="167"/>
    <s v="DICIEMBRE"/>
    <x v="29"/>
    <s v="MARTES"/>
    <n v="256379"/>
    <x v="15"/>
    <n v="450"/>
    <n v="50"/>
    <n v="180"/>
    <x v="0"/>
  </r>
  <r>
    <x v="167"/>
    <s v="DICIEMBRE"/>
    <x v="29"/>
    <s v="MARTES"/>
    <n v="256685"/>
    <x v="38"/>
    <n v="224"/>
    <n v="112"/>
    <n v="89.600000000000009"/>
    <x v="0"/>
  </r>
  <r>
    <x v="167"/>
    <s v="DICIEMBRE"/>
    <x v="29"/>
    <s v="MARTES"/>
    <n v="251406"/>
    <x v="1"/>
    <n v="2160"/>
    <n v="198"/>
    <n v="367.20000000000005"/>
    <x v="0"/>
  </r>
  <r>
    <x v="167"/>
    <s v="DICIEMBRE"/>
    <x v="29"/>
    <s v="MARTES"/>
    <n v="254853"/>
    <x v="2"/>
    <n v="2160"/>
    <n v="198"/>
    <n v="367.20000000000005"/>
    <x v="0"/>
  </r>
  <r>
    <x v="167"/>
    <s v="DICIEMBRE"/>
    <x v="29"/>
    <s v="MARTES"/>
    <n v="256616"/>
    <x v="22"/>
    <n v="594"/>
    <n v="198"/>
    <n v="100.98"/>
    <x v="0"/>
  </r>
  <r>
    <x v="167"/>
    <s v="DICIEMBRE"/>
    <x v="29"/>
    <s v="MARTES"/>
    <n v="256617"/>
    <x v="3"/>
    <n v="1782"/>
    <n v="198"/>
    <n v="302.94"/>
    <x v="0"/>
  </r>
  <r>
    <x v="167"/>
    <s v="DICIEMBRE"/>
    <x v="29"/>
    <s v="MARTES"/>
    <n v="256601"/>
    <x v="5"/>
    <n v="486"/>
    <n v="162"/>
    <n v="82.62"/>
    <x v="0"/>
  </r>
  <r>
    <x v="167"/>
    <s v="DICIEMBRE"/>
    <x v="29"/>
    <s v="MARTES"/>
    <n v="256488"/>
    <x v="6"/>
    <n v="1080"/>
    <n v="120"/>
    <n v="183.60000000000002"/>
    <x v="0"/>
  </r>
  <r>
    <x v="167"/>
    <s v="DICIEMBRE"/>
    <x v="29"/>
    <s v="MARTES"/>
    <n v="256675"/>
    <x v="8"/>
    <n v="3240"/>
    <n v="198"/>
    <n v="550.80000000000007"/>
    <x v="0"/>
  </r>
  <r>
    <x v="167"/>
    <s v="DICIEMBRE"/>
    <x v="29"/>
    <s v="MARTES"/>
    <n v="256677"/>
    <x v="10"/>
    <n v="6000"/>
    <n v="120"/>
    <n v="1020.0000000000001"/>
    <x v="0"/>
  </r>
  <r>
    <x v="167"/>
    <s v="DICIEMBRE"/>
    <x v="29"/>
    <s v="MARTES"/>
    <n v="256679"/>
    <x v="23"/>
    <n v="720"/>
    <n v="90"/>
    <n v="122.4"/>
    <x v="0"/>
  </r>
  <r>
    <x v="167"/>
    <s v="DICIEMBRE"/>
    <x v="29"/>
    <s v="MARTES"/>
    <n v="256678"/>
    <x v="11"/>
    <n v="3600"/>
    <n v="90"/>
    <n v="612"/>
    <x v="0"/>
  </r>
  <r>
    <x v="167"/>
    <s v="DICIEMBRE"/>
    <x v="29"/>
    <s v="MARTES"/>
    <n v="256720"/>
    <x v="42"/>
    <n v="500"/>
    <n v="420"/>
    <n v="210"/>
    <x v="0"/>
  </r>
  <r>
    <x v="167"/>
    <s v="DICIEMBRE"/>
    <x v="29"/>
    <s v="MARTES"/>
    <n v="256721"/>
    <x v="43"/>
    <n v="1000"/>
    <n v="420"/>
    <n v="420"/>
    <x v="0"/>
  </r>
  <r>
    <x v="167"/>
    <s v="DICIEMBRE"/>
    <x v="29"/>
    <s v="MARTES"/>
    <n v="256753"/>
    <x v="48"/>
    <m/>
    <n v="30"/>
    <n v="0"/>
    <x v="0"/>
  </r>
  <r>
    <x v="167"/>
    <s v="DICIEMBRE"/>
    <x v="29"/>
    <s v="MARTES"/>
    <n v="256677"/>
    <x v="10"/>
    <n v="9120"/>
    <n v="120"/>
    <n v="1550.4"/>
    <x v="0"/>
  </r>
  <r>
    <x v="167"/>
    <s v="DICIEMBRE"/>
    <x v="29"/>
    <s v="MARTES"/>
    <n v="256678"/>
    <x v="11"/>
    <n v="1440"/>
    <n v="90"/>
    <n v="244.8"/>
    <x v="0"/>
  </r>
  <r>
    <x v="167"/>
    <s v="DICIEMBRE"/>
    <x v="29"/>
    <s v="MARTES"/>
    <n v="256680"/>
    <x v="26"/>
    <n v="1260"/>
    <n v="90"/>
    <n v="214.20000000000002"/>
    <x v="0"/>
  </r>
  <r>
    <x v="167"/>
    <s v="DICIEMBRE"/>
    <x v="29"/>
    <s v="MARTES"/>
    <n v="254853"/>
    <x v="2"/>
    <n v="216"/>
    <n v="198"/>
    <n v="36.720000000000006"/>
    <x v="0"/>
  </r>
  <r>
    <x v="168"/>
    <s v="DICIEMBRE"/>
    <x v="29"/>
    <s v="MIÉRCOLES"/>
    <n v="256383"/>
    <x v="28"/>
    <n v="300"/>
    <n v="30"/>
    <n v="69"/>
    <x v="0"/>
  </r>
  <r>
    <x v="168"/>
    <s v="DICIEMBRE"/>
    <x v="29"/>
    <s v="MIÉRCOLES"/>
    <n v="256381"/>
    <x v="13"/>
    <n v="60"/>
    <n v="30"/>
    <n v="24"/>
    <x v="0"/>
  </r>
  <r>
    <x v="168"/>
    <s v="DICIEMBRE"/>
    <x v="29"/>
    <s v="MIÉRCOLES"/>
    <n v="256685"/>
    <x v="38"/>
    <n v="448"/>
    <n v="112"/>
    <n v="179.20000000000002"/>
    <x v="0"/>
  </r>
  <r>
    <x v="168"/>
    <s v="DICIEMBRE"/>
    <x v="29"/>
    <s v="MIÉRCOLES"/>
    <n v="251633"/>
    <x v="16"/>
    <n v="900"/>
    <n v="180"/>
    <n v="378"/>
    <x v="0"/>
  </r>
  <r>
    <x v="168"/>
    <s v="DICIEMBRE"/>
    <x v="29"/>
    <s v="MIÉRCOLES"/>
    <n v="251406"/>
    <x v="1"/>
    <n v="3240"/>
    <n v="198"/>
    <n v="550.80000000000007"/>
    <x v="0"/>
  </r>
  <r>
    <x v="168"/>
    <s v="DICIEMBRE"/>
    <x v="29"/>
    <s v="MIÉRCOLES"/>
    <n v="254853"/>
    <x v="2"/>
    <n v="1728"/>
    <n v="198"/>
    <n v="293.76000000000005"/>
    <x v="0"/>
  </r>
  <r>
    <x v="168"/>
    <s v="DICIEMBRE"/>
    <x v="29"/>
    <s v="MIÉRCOLES"/>
    <n v="256616"/>
    <x v="22"/>
    <n v="396"/>
    <n v="198"/>
    <n v="67.320000000000007"/>
    <x v="0"/>
  </r>
  <r>
    <x v="168"/>
    <s v="DICIEMBRE"/>
    <x v="29"/>
    <s v="MIÉRCOLES"/>
    <n v="256617"/>
    <x v="3"/>
    <n v="990"/>
    <n v="198"/>
    <n v="168.3"/>
    <x v="0"/>
  </r>
  <r>
    <x v="168"/>
    <s v="DICIEMBRE"/>
    <x v="29"/>
    <s v="MIÉRCOLES"/>
    <n v="256666"/>
    <x v="4"/>
    <n v="810"/>
    <n v="162"/>
    <n v="137.70000000000002"/>
    <x v="0"/>
  </r>
  <r>
    <x v="168"/>
    <s v="DICIEMBRE"/>
    <x v="29"/>
    <s v="MIÉRCOLES"/>
    <n v="256601"/>
    <x v="5"/>
    <n v="810"/>
    <n v="162"/>
    <n v="137.70000000000002"/>
    <x v="0"/>
  </r>
  <r>
    <x v="168"/>
    <s v="DICIEMBRE"/>
    <x v="29"/>
    <s v="MIÉRCOLES"/>
    <n v="256488"/>
    <x v="6"/>
    <n v="2400"/>
    <n v="120"/>
    <n v="408.00000000000006"/>
    <x v="0"/>
  </r>
  <r>
    <x v="168"/>
    <s v="DICIEMBRE"/>
    <x v="29"/>
    <s v="MIÉRCOLES"/>
    <n v="256676"/>
    <x v="17"/>
    <n v="600"/>
    <n v="120"/>
    <n v="102.00000000000001"/>
    <x v="0"/>
  </r>
  <r>
    <x v="168"/>
    <s v="DICIEMBRE"/>
    <x v="29"/>
    <s v="MIÉRCOLES"/>
    <n v="256674"/>
    <x v="7"/>
    <n v="4320"/>
    <n v="198"/>
    <n v="734.40000000000009"/>
    <x v="0"/>
  </r>
  <r>
    <x v="168"/>
    <s v="DICIEMBRE"/>
    <x v="29"/>
    <s v="MIÉRCOLES"/>
    <n v="256675"/>
    <x v="8"/>
    <n v="1080"/>
    <n v="198"/>
    <n v="183.60000000000002"/>
    <x v="0"/>
  </r>
  <r>
    <x v="168"/>
    <s v="DICIEMBRE"/>
    <x v="29"/>
    <s v="MIÉRCOLES"/>
    <n v="256652"/>
    <x v="9"/>
    <n v="1260"/>
    <n v="90"/>
    <n v="214.20000000000002"/>
    <x v="0"/>
  </r>
  <r>
    <x v="168"/>
    <s v="DICIEMBRE"/>
    <x v="29"/>
    <s v="MIÉRCOLES"/>
    <n v="256677"/>
    <x v="10"/>
    <n v="2400"/>
    <n v="120"/>
    <n v="408.00000000000006"/>
    <x v="0"/>
  </r>
  <r>
    <x v="168"/>
    <s v="DICIEMBRE"/>
    <x v="29"/>
    <s v="MIÉRCOLES"/>
    <n v="256682"/>
    <x v="20"/>
    <n v="270"/>
    <n v="90"/>
    <n v="45.900000000000006"/>
    <x v="0"/>
  </r>
  <r>
    <x v="168"/>
    <s v="DICIEMBRE"/>
    <x v="29"/>
    <s v="MIÉRCOLES"/>
    <n v="256695"/>
    <x v="25"/>
    <n v="2250"/>
    <n v="225"/>
    <n v="945"/>
    <x v="0"/>
  </r>
  <r>
    <x v="168"/>
    <s v="DICIEMBRE"/>
    <x v="29"/>
    <s v="MIÉRCOLES"/>
    <n v="256708"/>
    <x v="12"/>
    <n v="450"/>
    <n v="225"/>
    <n v="180"/>
    <x v="0"/>
  </r>
  <r>
    <x v="168"/>
    <s v="DICIEMBRE"/>
    <x v="29"/>
    <s v="MIÉRCOLES"/>
    <n v="256709"/>
    <x v="19"/>
    <n v="225"/>
    <n v="225"/>
    <n v="90"/>
    <x v="0"/>
  </r>
  <r>
    <x v="168"/>
    <s v="DICIEMBRE"/>
    <x v="29"/>
    <s v="MIÉRCOLES"/>
    <n v="256720"/>
    <x v="42"/>
    <n v="750"/>
    <n v="420"/>
    <n v="315"/>
    <x v="0"/>
  </r>
  <r>
    <x v="168"/>
    <s v="DICIEMBRE"/>
    <x v="29"/>
    <s v="MIÉRCOLES"/>
    <n v="256721"/>
    <x v="43"/>
    <n v="750"/>
    <n v="420"/>
    <n v="315"/>
    <x v="0"/>
  </r>
  <r>
    <x v="168"/>
    <s v="DICIEMBRE"/>
    <x v="29"/>
    <s v="MIÉRCOLES"/>
    <n v="256753"/>
    <x v="48"/>
    <n v="1800"/>
    <n v="30"/>
    <n v="378"/>
    <x v="0"/>
  </r>
  <r>
    <x v="168"/>
    <s v="DICIEMBRE"/>
    <x v="29"/>
    <s v="MIÉRCOLES"/>
    <n v="256679"/>
    <x v="23"/>
    <n v="90"/>
    <n v="90"/>
    <n v="15.3"/>
    <x v="0"/>
  </r>
  <r>
    <x v="168"/>
    <s v="DICIEMBRE"/>
    <x v="29"/>
    <s v="MIÉRCOLES"/>
    <n v="256677"/>
    <x v="10"/>
    <n v="9120"/>
    <n v="120"/>
    <n v="1550.4"/>
    <x v="0"/>
  </r>
  <r>
    <x v="168"/>
    <s v="DICIEMBRE"/>
    <x v="29"/>
    <s v="MIÉRCOLES"/>
    <n v="256679"/>
    <x v="23"/>
    <n v="360"/>
    <n v="90"/>
    <n v="61.2"/>
    <x v="0"/>
  </r>
  <r>
    <x v="168"/>
    <s v="DICIEMBRE"/>
    <x v="29"/>
    <s v="MIÉRCOLES"/>
    <n v="256616"/>
    <x v="22"/>
    <n v="792"/>
    <n v="198"/>
    <n v="134.64000000000001"/>
    <x v="0"/>
  </r>
  <r>
    <x v="168"/>
    <s v="DICIEMBRE"/>
    <x v="29"/>
    <s v="MIÉRCOLES"/>
    <n v="256379"/>
    <x v="15"/>
    <n v="200"/>
    <n v="50"/>
    <n v="80"/>
    <x v="0"/>
  </r>
  <r>
    <x v="168"/>
    <s v="DICIEMBRE"/>
    <x v="29"/>
    <s v="MIÉRCOLES"/>
    <n v="256381"/>
    <x v="13"/>
    <n v="240"/>
    <n v="30"/>
    <n v="96"/>
    <x v="0"/>
  </r>
  <r>
    <x v="168"/>
    <s v="DICIEMBRE"/>
    <x v="29"/>
    <s v="MIÉRCOLES"/>
    <n v="256753"/>
    <x v="48"/>
    <n v="60"/>
    <n v="30"/>
    <n v="12.6"/>
    <x v="0"/>
  </r>
  <r>
    <x v="169"/>
    <s v="DICIEMBRE"/>
    <x v="29"/>
    <s v="JUEVES"/>
    <n v="256383"/>
    <x v="28"/>
    <n v="150"/>
    <n v="30"/>
    <n v="34.5"/>
    <x v="0"/>
  </r>
  <r>
    <x v="169"/>
    <s v="DICIEMBRE"/>
    <x v="29"/>
    <s v="JUEVES"/>
    <n v="256382"/>
    <x v="33"/>
    <n v="200"/>
    <n v="40"/>
    <n v="46"/>
    <x v="0"/>
  </r>
  <r>
    <x v="169"/>
    <s v="DICIEMBRE"/>
    <x v="29"/>
    <s v="JUEVES"/>
    <n v="256381"/>
    <x v="13"/>
    <n v="150"/>
    <n v="30"/>
    <n v="60"/>
    <x v="0"/>
  </r>
  <r>
    <x v="169"/>
    <s v="DICIEMBRE"/>
    <x v="29"/>
    <s v="JUEVES"/>
    <n v="256380"/>
    <x v="14"/>
    <n v="200"/>
    <n v="40"/>
    <n v="46"/>
    <x v="0"/>
  </r>
  <r>
    <x v="169"/>
    <s v="DICIEMBRE"/>
    <x v="29"/>
    <s v="JUEVES"/>
    <n v="256379"/>
    <x v="15"/>
    <n v="200"/>
    <n v="50"/>
    <n v="80"/>
    <x v="0"/>
  </r>
  <r>
    <x v="169"/>
    <s v="DICIEMBRE"/>
    <x v="29"/>
    <s v="JUEVES"/>
    <n v="251406"/>
    <x v="1"/>
    <n v="1080"/>
    <n v="198"/>
    <n v="183.60000000000002"/>
    <x v="0"/>
  </r>
  <r>
    <x v="169"/>
    <s v="DICIEMBRE"/>
    <x v="29"/>
    <s v="JUEVES"/>
    <n v="256666"/>
    <x v="4"/>
    <n v="486"/>
    <n v="162"/>
    <n v="82.62"/>
    <x v="0"/>
  </r>
  <r>
    <x v="169"/>
    <s v="DICIEMBRE"/>
    <x v="29"/>
    <s v="JUEVES"/>
    <n v="256601"/>
    <x v="5"/>
    <n v="486"/>
    <n v="162"/>
    <n v="82.62"/>
    <x v="0"/>
  </r>
  <r>
    <x v="169"/>
    <s v="DICIEMBRE"/>
    <x v="29"/>
    <s v="JUEVES"/>
    <n v="256676"/>
    <x v="17"/>
    <n v="600"/>
    <n v="120"/>
    <n v="102.00000000000001"/>
    <x v="0"/>
  </r>
  <r>
    <x v="169"/>
    <s v="DICIEMBRE"/>
    <x v="29"/>
    <s v="JUEVES"/>
    <n v="256652"/>
    <x v="9"/>
    <n v="630"/>
    <n v="90"/>
    <n v="107.10000000000001"/>
    <x v="0"/>
  </r>
  <r>
    <x v="169"/>
    <s v="DICIEMBRE"/>
    <x v="29"/>
    <s v="JUEVES"/>
    <n v="256677"/>
    <x v="10"/>
    <n v="2520"/>
    <n v="120"/>
    <n v="428.40000000000003"/>
    <x v="0"/>
  </r>
  <r>
    <x v="169"/>
    <s v="DICIEMBRE"/>
    <x v="29"/>
    <s v="JUEVES"/>
    <n v="256678"/>
    <x v="11"/>
    <n v="1440"/>
    <n v="90"/>
    <n v="244.8"/>
    <x v="0"/>
  </r>
  <r>
    <x v="169"/>
    <s v="DICIEMBRE"/>
    <x v="29"/>
    <s v="JUEVES"/>
    <n v="256753"/>
    <x v="48"/>
    <n v="870"/>
    <n v="30"/>
    <n v="182.7"/>
    <x v="0"/>
  </r>
  <r>
    <x v="169"/>
    <s v="DICIEMBRE"/>
    <x v="29"/>
    <s v="JUEVES"/>
    <n v="256616"/>
    <x v="22"/>
    <n v="396"/>
    <n v="198"/>
    <n v="67.320000000000007"/>
    <x v="0"/>
  </r>
  <r>
    <x v="169"/>
    <s v="DICIEMBRE"/>
    <x v="29"/>
    <s v="JUEVES"/>
    <n v="256676"/>
    <x v="17"/>
    <n v="240"/>
    <n v="120"/>
    <n v="40.800000000000004"/>
    <x v="0"/>
  </r>
  <r>
    <x v="169"/>
    <s v="DICIEMBRE"/>
    <x v="29"/>
    <s v="JUEVES"/>
    <n v="251406"/>
    <x v="1"/>
    <n v="4320"/>
    <n v="198"/>
    <n v="734.40000000000009"/>
    <x v="0"/>
  </r>
  <r>
    <x v="169"/>
    <s v="DICIEMBRE"/>
    <x v="29"/>
    <s v="JUEVES"/>
    <n v="256675"/>
    <x v="8"/>
    <n v="1512"/>
    <n v="198"/>
    <n v="257.04000000000002"/>
    <x v="0"/>
  </r>
  <r>
    <x v="169"/>
    <s v="DICIEMBRE"/>
    <x v="29"/>
    <s v="JUEVES"/>
    <n v="256679"/>
    <x v="23"/>
    <n v="900"/>
    <n v="90"/>
    <n v="153"/>
    <x v="0"/>
  </r>
  <r>
    <x v="169"/>
    <s v="DICIEMBRE"/>
    <x v="29"/>
    <s v="JUEVES"/>
    <n v="256652"/>
    <x v="9"/>
    <n v="270"/>
    <n v="90"/>
    <n v="45.900000000000006"/>
    <x v="0"/>
  </r>
  <r>
    <x v="169"/>
    <s v="DICIEMBRE"/>
    <x v="29"/>
    <s v="JUEVES"/>
    <n v="256678"/>
    <x v="11"/>
    <n v="2340"/>
    <n v="90"/>
    <n v="397.8"/>
    <x v="0"/>
  </r>
  <r>
    <x v="169"/>
    <s v="DICIEMBRE"/>
    <x v="29"/>
    <s v="JUEVES"/>
    <n v="256677"/>
    <x v="10"/>
    <n v="5640"/>
    <n v="120"/>
    <n v="958.80000000000007"/>
    <x v="0"/>
  </r>
  <r>
    <x v="169"/>
    <s v="DICIEMBRE"/>
    <x v="29"/>
    <s v="JUEVES"/>
    <n v="256677"/>
    <x v="10"/>
    <n v="2160"/>
    <n v="120"/>
    <n v="367.20000000000005"/>
    <x v="0"/>
  </r>
  <r>
    <x v="169"/>
    <s v="DICIEMBRE"/>
    <x v="29"/>
    <s v="JUEVES"/>
    <n v="256652"/>
    <x v="9"/>
    <n v="1440"/>
    <n v="90"/>
    <n v="244.8"/>
    <x v="0"/>
  </r>
  <r>
    <x v="169"/>
    <s v="DICIEMBRE"/>
    <x v="29"/>
    <s v="JUEVES"/>
    <n v="256678"/>
    <x v="11"/>
    <n v="1440"/>
    <n v="90"/>
    <n v="244.8"/>
    <x v="0"/>
  </r>
  <r>
    <x v="170"/>
    <s v="DICIEMBRE"/>
    <x v="29"/>
    <s v="VIERNES"/>
    <n v="251406"/>
    <x v="1"/>
    <n v="2592"/>
    <n v="198"/>
    <n v="440.64000000000004"/>
    <x v="0"/>
  </r>
  <r>
    <x v="170"/>
    <s v="DICIEMBRE"/>
    <x v="29"/>
    <s v="VIERNES"/>
    <n v="256549"/>
    <x v="29"/>
    <n v="216"/>
    <n v="198"/>
    <n v="36.720000000000006"/>
    <x v="0"/>
  </r>
  <r>
    <x v="170"/>
    <s v="DICIEMBRE"/>
    <x v="29"/>
    <s v="VIERNES"/>
    <n v="256616"/>
    <x v="22"/>
    <n v="594"/>
    <n v="198"/>
    <n v="100.98"/>
    <x v="0"/>
  </r>
  <r>
    <x v="170"/>
    <s v="DICIEMBRE"/>
    <x v="29"/>
    <s v="VIERNES"/>
    <n v="256488"/>
    <x v="6"/>
    <n v="3600"/>
    <n v="120"/>
    <n v="612"/>
    <x v="0"/>
  </r>
  <r>
    <x v="170"/>
    <s v="DICIEMBRE"/>
    <x v="29"/>
    <s v="VIERNES"/>
    <n v="256677"/>
    <x v="10"/>
    <n v="10800"/>
    <n v="120"/>
    <n v="1836.0000000000002"/>
    <x v="0"/>
  </r>
  <r>
    <x v="170"/>
    <s v="DICIEMBRE"/>
    <x v="29"/>
    <s v="VIERNES"/>
    <n v="256678"/>
    <x v="11"/>
    <n v="3600"/>
    <n v="90"/>
    <n v="612"/>
    <x v="0"/>
  </r>
  <r>
    <x v="170"/>
    <s v="DICIEMBRE"/>
    <x v="29"/>
    <s v="VIERNES"/>
    <n v="256682"/>
    <x v="20"/>
    <n v="720"/>
    <n v="90"/>
    <n v="122.4"/>
    <x v="0"/>
  </r>
  <r>
    <x v="170"/>
    <s v="DICIEMBRE"/>
    <x v="29"/>
    <s v="VIERNES"/>
    <n v="256679"/>
    <x v="23"/>
    <n v="1800"/>
    <n v="90"/>
    <n v="306"/>
    <x v="0"/>
  </r>
  <r>
    <x v="170"/>
    <s v="DICIEMBRE"/>
    <x v="29"/>
    <s v="VIERNES"/>
    <n v="256680"/>
    <x v="26"/>
    <n v="1800"/>
    <n v="90"/>
    <n v="306"/>
    <x v="0"/>
  </r>
  <r>
    <x v="170"/>
    <s v="DICIEMBRE"/>
    <x v="29"/>
    <s v="VIERNES"/>
    <n v="256652"/>
    <x v="9"/>
    <n v="360"/>
    <n v="90"/>
    <n v="61.2"/>
    <x v="0"/>
  </r>
  <r>
    <x v="170"/>
    <s v="DICIEMBRE"/>
    <x v="29"/>
    <s v="VIERNES"/>
    <n v="256677"/>
    <x v="10"/>
    <n v="480"/>
    <n v="120"/>
    <n v="81.600000000000009"/>
    <x v="0"/>
  </r>
  <r>
    <x v="170"/>
    <s v="DICIEMBRE"/>
    <x v="29"/>
    <s v="VIERNES"/>
    <n v="256679"/>
    <x v="23"/>
    <n v="1170"/>
    <n v="90"/>
    <n v="198.9"/>
    <x v="0"/>
  </r>
  <r>
    <x v="170"/>
    <s v="DICIEMBRE"/>
    <x v="29"/>
    <s v="VIERNES"/>
    <n v="256652"/>
    <x v="9"/>
    <n v="180"/>
    <n v="90"/>
    <n v="30.6"/>
    <x v="0"/>
  </r>
  <r>
    <x v="170"/>
    <s v="DICIEMBRE"/>
    <x v="29"/>
    <s v="VIERNES"/>
    <n v="256678"/>
    <x v="11"/>
    <n v="4230"/>
    <n v="90"/>
    <n v="719.1"/>
    <x v="0"/>
  </r>
  <r>
    <x v="171"/>
    <s v="DICIEMBRE"/>
    <x v="30"/>
    <s v="SÁBADO"/>
    <n v="256381"/>
    <x v="13"/>
    <n v="180"/>
    <n v="30"/>
    <n v="72"/>
    <x v="0"/>
  </r>
  <r>
    <x v="171"/>
    <s v="DICIEMBRE"/>
    <x v="30"/>
    <s v="SÁBADO"/>
    <n v="256379"/>
    <x v="15"/>
    <n v="150"/>
    <n v="50"/>
    <n v="60"/>
    <x v="0"/>
  </r>
  <r>
    <x v="171"/>
    <s v="DICIEMBRE"/>
    <x v="30"/>
    <s v="SÁBADO"/>
    <n v="256685"/>
    <x v="38"/>
    <n v="336"/>
    <n v="112"/>
    <n v="134.4"/>
    <x v="0"/>
  </r>
  <r>
    <x v="171"/>
    <s v="DICIEMBRE"/>
    <x v="30"/>
    <s v="SÁBADO"/>
    <n v="251633"/>
    <x v="16"/>
    <n v="1440"/>
    <n v="180"/>
    <n v="604.79999999999995"/>
    <x v="0"/>
  </r>
  <r>
    <x v="171"/>
    <s v="DICIEMBRE"/>
    <x v="30"/>
    <s v="SÁBADO"/>
    <n v="251406"/>
    <x v="1"/>
    <n v="1944"/>
    <n v="198"/>
    <n v="330.48"/>
    <x v="0"/>
  </r>
  <r>
    <x v="171"/>
    <s v="DICIEMBRE"/>
    <x v="30"/>
    <s v="SÁBADO"/>
    <n v="254853"/>
    <x v="2"/>
    <n v="2160"/>
    <n v="198"/>
    <n v="367.20000000000005"/>
    <x v="0"/>
  </r>
  <r>
    <x v="171"/>
    <s v="DICIEMBRE"/>
    <x v="30"/>
    <s v="SÁBADO"/>
    <n v="256617"/>
    <x v="3"/>
    <n v="990"/>
    <n v="198"/>
    <n v="168.3"/>
    <x v="0"/>
  </r>
  <r>
    <x v="171"/>
    <s v="DICIEMBRE"/>
    <x v="30"/>
    <s v="SÁBADO"/>
    <n v="256488"/>
    <x v="6"/>
    <n v="2400"/>
    <n v="120"/>
    <n v="408.00000000000006"/>
    <x v="0"/>
  </r>
  <r>
    <x v="171"/>
    <s v="DICIEMBRE"/>
    <x v="30"/>
    <s v="SÁBADO"/>
    <n v="256675"/>
    <x v="8"/>
    <n v="1944"/>
    <n v="198"/>
    <n v="330.48"/>
    <x v="0"/>
  </r>
  <r>
    <x v="171"/>
    <s v="DICIEMBRE"/>
    <x v="30"/>
    <s v="SÁBADO"/>
    <n v="256652"/>
    <x v="9"/>
    <n v="720"/>
    <n v="90"/>
    <n v="122.4"/>
    <x v="0"/>
  </r>
  <r>
    <x v="171"/>
    <s v="DICIEMBRE"/>
    <x v="30"/>
    <s v="SÁBADO"/>
    <n v="256677"/>
    <x v="10"/>
    <n v="5040"/>
    <n v="120"/>
    <n v="856.80000000000007"/>
    <x v="0"/>
  </r>
  <r>
    <x v="171"/>
    <s v="DICIEMBRE"/>
    <x v="30"/>
    <s v="SÁBADO"/>
    <n v="256682"/>
    <x v="20"/>
    <n v="450"/>
    <n v="90"/>
    <n v="76.5"/>
    <x v="0"/>
  </r>
  <r>
    <x v="171"/>
    <s v="DICIEMBRE"/>
    <x v="30"/>
    <s v="SÁBADO"/>
    <n v="256695"/>
    <x v="25"/>
    <n v="1350"/>
    <n v="225"/>
    <n v="567"/>
    <x v="0"/>
  </r>
  <r>
    <x v="171"/>
    <s v="DICIEMBRE"/>
    <x v="30"/>
    <s v="SÁBADO"/>
    <n v="256720"/>
    <x v="42"/>
    <n v="500"/>
    <n v="420"/>
    <n v="210"/>
    <x v="0"/>
  </r>
  <r>
    <x v="171"/>
    <s v="DICIEMBRE"/>
    <x v="30"/>
    <s v="SÁBADO"/>
    <n v="751315"/>
    <x v="24"/>
    <n v="1680"/>
    <n v="420"/>
    <n v="705.6"/>
    <x v="0"/>
  </r>
  <r>
    <x v="171"/>
    <s v="DICIEMBRE"/>
    <x v="30"/>
    <s v="SÁBADO"/>
    <n v="256677"/>
    <x v="10"/>
    <n v="4080"/>
    <n v="120"/>
    <n v="693.6"/>
    <x v="0"/>
  </r>
  <r>
    <x v="171"/>
    <s v="DICIEMBRE"/>
    <x v="30"/>
    <s v="SÁBADO"/>
    <n v="256678"/>
    <x v="11"/>
    <n v="4500"/>
    <n v="90"/>
    <n v="765"/>
    <x v="0"/>
  </r>
  <r>
    <x v="171"/>
    <s v="DICIEMBRE"/>
    <x v="30"/>
    <s v="SÁBADO"/>
    <n v="256682"/>
    <x v="20"/>
    <n v="2880"/>
    <n v="90"/>
    <n v="489.6"/>
    <x v="0"/>
  </r>
  <r>
    <x v="171"/>
    <s v="DICIEMBRE"/>
    <x v="30"/>
    <s v="SÁBADO"/>
    <n v="256679"/>
    <x v="23"/>
    <n v="1800"/>
    <n v="90"/>
    <n v="306"/>
    <x v="0"/>
  </r>
  <r>
    <x v="171"/>
    <s v="DICIEMBRE"/>
    <x v="30"/>
    <s v="SÁBADO"/>
    <n v="256652"/>
    <x v="9"/>
    <n v="720"/>
    <n v="90"/>
    <n v="122.4"/>
    <x v="0"/>
  </r>
  <r>
    <x v="171"/>
    <s v="DICIEMBRE"/>
    <x v="30"/>
    <s v="SÁBADO"/>
    <n v="256679"/>
    <x v="23"/>
    <n v="180"/>
    <n v="90"/>
    <n v="30.6"/>
    <x v="0"/>
  </r>
  <r>
    <x v="171"/>
    <s v="DICIEMBRE"/>
    <x v="30"/>
    <s v="SÁBADO"/>
    <n v="256678"/>
    <x v="11"/>
    <n v="990"/>
    <n v="90"/>
    <n v="168.3"/>
    <x v="0"/>
  </r>
  <r>
    <x v="171"/>
    <s v="DICIEMBRE"/>
    <x v="30"/>
    <s v="SÁBADO"/>
    <n v="256679"/>
    <x v="23"/>
    <n v="630"/>
    <n v="90"/>
    <n v="107.10000000000001"/>
    <x v="0"/>
  </r>
  <r>
    <x v="172"/>
    <s v="DICIEMBRE"/>
    <x v="30"/>
    <s v="DOMINGO"/>
    <n v="751315"/>
    <x v="24"/>
    <n v="840"/>
    <n v="420"/>
    <n v="352.8"/>
    <x v="0"/>
  </r>
  <r>
    <x v="172"/>
    <s v="DICIEMBRE"/>
    <x v="30"/>
    <s v="DOMINGO"/>
    <n v="751544"/>
    <x v="39"/>
    <n v="1260"/>
    <n v="420"/>
    <n v="529.19999999999993"/>
    <x v="0"/>
  </r>
  <r>
    <x v="172"/>
    <s v="DICIEMBRE"/>
    <x v="30"/>
    <s v="DOMINGO"/>
    <n v="751315"/>
    <x v="24"/>
    <n v="2520"/>
    <n v="420"/>
    <n v="1058.3999999999999"/>
    <x v="0"/>
  </r>
  <r>
    <x v="172"/>
    <s v="DICIEMBRE"/>
    <x v="30"/>
    <s v="DOMINGO"/>
    <n v="751544"/>
    <x v="39"/>
    <n v="840"/>
    <n v="420"/>
    <n v="352.8"/>
    <x v="0"/>
  </r>
  <r>
    <x v="173"/>
    <s v="DICIEMBRE"/>
    <x v="30"/>
    <s v="LUNES"/>
    <n v="252436"/>
    <x v="36"/>
    <n v="450"/>
    <n v="90"/>
    <n v="180"/>
    <x v="0"/>
  </r>
  <r>
    <x v="173"/>
    <s v="DICIEMBRE"/>
    <x v="30"/>
    <s v="LUNES"/>
    <n v="751315"/>
    <x v="24"/>
    <n v="2940"/>
    <n v="420"/>
    <n v="1234.8"/>
    <x v="0"/>
  </r>
  <r>
    <x v="173"/>
    <s v="DICIEMBRE"/>
    <x v="30"/>
    <s v="LUNES"/>
    <n v="254853"/>
    <x v="2"/>
    <n v="2376"/>
    <n v="198"/>
    <n v="403.92"/>
    <x v="0"/>
  </r>
  <r>
    <x v="173"/>
    <s v="DICIEMBRE"/>
    <x v="30"/>
    <s v="LUNES"/>
    <n v="256488"/>
    <x v="6"/>
    <n v="3600"/>
    <n v="120"/>
    <n v="612"/>
    <x v="0"/>
  </r>
  <r>
    <x v="173"/>
    <s v="DICIEMBRE"/>
    <x v="30"/>
    <s v="LUNES"/>
    <n v="256676"/>
    <x v="17"/>
    <n v="1200"/>
    <n v="120"/>
    <n v="204.00000000000003"/>
    <x v="0"/>
  </r>
  <r>
    <x v="173"/>
    <s v="DICIEMBRE"/>
    <x v="30"/>
    <s v="LUNES"/>
    <n v="256674"/>
    <x v="7"/>
    <n v="2160"/>
    <n v="198"/>
    <n v="367.20000000000005"/>
    <x v="0"/>
  </r>
  <r>
    <x v="173"/>
    <s v="DICIEMBRE"/>
    <x v="30"/>
    <s v="LUNES"/>
    <n v="256652"/>
    <x v="9"/>
    <n v="450"/>
    <n v="90"/>
    <n v="76.5"/>
    <x v="0"/>
  </r>
  <r>
    <x v="173"/>
    <s v="DICIEMBRE"/>
    <x v="30"/>
    <s v="LUNES"/>
    <n v="256677"/>
    <x v="10"/>
    <n v="3600"/>
    <n v="120"/>
    <n v="612"/>
    <x v="0"/>
  </r>
  <r>
    <x v="173"/>
    <s v="DICIEMBRE"/>
    <x v="30"/>
    <s v="LUNES"/>
    <n v="256708"/>
    <x v="12"/>
    <n v="450"/>
    <n v="225"/>
    <n v="180"/>
    <x v="0"/>
  </r>
  <r>
    <x v="173"/>
    <s v="DICIEMBRE"/>
    <x v="30"/>
    <s v="LUNES"/>
    <n v="256720"/>
    <x v="42"/>
    <n v="750"/>
    <n v="420"/>
    <n v="315"/>
    <x v="0"/>
  </r>
  <r>
    <x v="173"/>
    <s v="DICIEMBRE"/>
    <x v="30"/>
    <s v="LUNES"/>
    <n v="256488"/>
    <x v="6"/>
    <n v="1320"/>
    <n v="120"/>
    <n v="224.4"/>
    <x v="0"/>
  </r>
  <r>
    <x v="173"/>
    <s v="DICIEMBRE"/>
    <x v="30"/>
    <s v="LUNES"/>
    <n v="256652"/>
    <x v="9"/>
    <n v="1260"/>
    <n v="90"/>
    <n v="214.20000000000002"/>
    <x v="0"/>
  </r>
  <r>
    <x v="173"/>
    <s v="DICIEMBRE"/>
    <x v="30"/>
    <s v="LUNES"/>
    <n v="256679"/>
    <x v="23"/>
    <n v="180"/>
    <n v="90"/>
    <n v="30.6"/>
    <x v="0"/>
  </r>
  <r>
    <x v="173"/>
    <s v="DICIEMBRE"/>
    <x v="30"/>
    <s v="LUNES"/>
    <n v="256678"/>
    <x v="11"/>
    <n v="5850"/>
    <n v="90"/>
    <n v="994.50000000000011"/>
    <x v="0"/>
  </r>
  <r>
    <x v="173"/>
    <s v="DICIEMBRE"/>
    <x v="30"/>
    <s v="LUNES"/>
    <n v="256682"/>
    <x v="20"/>
    <n v="1800"/>
    <n v="90"/>
    <n v="306"/>
    <x v="0"/>
  </r>
  <r>
    <x v="173"/>
    <s v="DICIEMBRE"/>
    <x v="30"/>
    <s v="LUNES"/>
    <n v="256677"/>
    <x v="10"/>
    <n v="2880"/>
    <n v="120"/>
    <n v="489.6"/>
    <x v="0"/>
  </r>
  <r>
    <x v="173"/>
    <s v="DICIEMBRE"/>
    <x v="30"/>
    <s v="LUNES"/>
    <n v="256680"/>
    <x v="26"/>
    <n v="1800"/>
    <n v="90"/>
    <n v="306"/>
    <x v="0"/>
  </r>
  <r>
    <x v="174"/>
    <s v="DICIEMBRE"/>
    <x v="30"/>
    <s v="MARTES"/>
    <n v="256379"/>
    <x v="15"/>
    <n v="350"/>
    <n v="50"/>
    <n v="140"/>
    <x v="0"/>
  </r>
  <r>
    <x v="174"/>
    <s v="DICIEMBRE"/>
    <x v="30"/>
    <s v="MARTES"/>
    <n v="751544"/>
    <x v="39"/>
    <n v="420"/>
    <n v="420"/>
    <n v="176.4"/>
    <x v="0"/>
  </r>
  <r>
    <x v="174"/>
    <s v="DICIEMBRE"/>
    <x v="30"/>
    <s v="MARTES"/>
    <n v="256383"/>
    <x v="28"/>
    <n v="240"/>
    <n v="30"/>
    <n v="55.2"/>
    <x v="0"/>
  </r>
  <r>
    <x v="174"/>
    <s v="DICIEMBRE"/>
    <x v="30"/>
    <s v="MARTES"/>
    <n v="256381"/>
    <x v="13"/>
    <n v="1500"/>
    <n v="30"/>
    <n v="600"/>
    <x v="0"/>
  </r>
  <r>
    <x v="174"/>
    <s v="DICIEMBRE"/>
    <x v="30"/>
    <s v="MARTES"/>
    <n v="256380"/>
    <x v="14"/>
    <n v="240"/>
    <n v="40"/>
    <n v="55.2"/>
    <x v="0"/>
  </r>
  <r>
    <x v="174"/>
    <s v="DICIEMBRE"/>
    <x v="30"/>
    <s v="MARTES"/>
    <n v="256379"/>
    <x v="15"/>
    <n v="150"/>
    <n v="50"/>
    <n v="60"/>
    <x v="0"/>
  </r>
  <r>
    <x v="174"/>
    <s v="DICIEMBRE"/>
    <x v="30"/>
    <s v="MARTES"/>
    <n v="252436"/>
    <x v="36"/>
    <n v="270"/>
    <n v="90"/>
    <n v="108"/>
    <x v="0"/>
  </r>
  <r>
    <x v="174"/>
    <s v="DICIEMBRE"/>
    <x v="30"/>
    <s v="MARTES"/>
    <n v="251429"/>
    <x v="0"/>
    <n v="960"/>
    <n v="48"/>
    <n v="384"/>
    <x v="0"/>
  </r>
  <r>
    <x v="174"/>
    <s v="DICIEMBRE"/>
    <x v="30"/>
    <s v="MARTES"/>
    <n v="751315"/>
    <x v="24"/>
    <n v="2100"/>
    <n v="420"/>
    <n v="882"/>
    <x v="0"/>
  </r>
  <r>
    <x v="174"/>
    <s v="DICIEMBRE"/>
    <x v="30"/>
    <s v="MARTES"/>
    <n v="751544"/>
    <x v="39"/>
    <n v="420"/>
    <n v="420"/>
    <n v="176.4"/>
    <x v="0"/>
  </r>
  <r>
    <x v="174"/>
    <s v="DICIEMBRE"/>
    <x v="30"/>
    <s v="MARTES"/>
    <n v="251406"/>
    <x v="1"/>
    <n v="2160"/>
    <n v="198"/>
    <n v="367.20000000000005"/>
    <x v="0"/>
  </r>
  <r>
    <x v="174"/>
    <s v="DICIEMBRE"/>
    <x v="30"/>
    <s v="MARTES"/>
    <n v="256548"/>
    <x v="34"/>
    <n v="648"/>
    <n v="198"/>
    <n v="110.16000000000001"/>
    <x v="0"/>
  </r>
  <r>
    <x v="174"/>
    <s v="DICIEMBRE"/>
    <x v="30"/>
    <s v="MARTES"/>
    <n v="256549"/>
    <x v="29"/>
    <n v="216"/>
    <n v="198"/>
    <n v="36.720000000000006"/>
    <x v="0"/>
  </r>
  <r>
    <x v="174"/>
    <s v="DICIEMBRE"/>
    <x v="30"/>
    <s v="MARTES"/>
    <n v="256616"/>
    <x v="22"/>
    <n v="594"/>
    <n v="198"/>
    <n v="100.98"/>
    <x v="0"/>
  </r>
  <r>
    <x v="174"/>
    <s v="DICIEMBRE"/>
    <x v="30"/>
    <s v="MARTES"/>
    <n v="256666"/>
    <x v="4"/>
    <n v="972"/>
    <n v="162"/>
    <n v="165.24"/>
    <x v="0"/>
  </r>
  <r>
    <x v="174"/>
    <s v="DICIEMBRE"/>
    <x v="30"/>
    <s v="MARTES"/>
    <n v="256601"/>
    <x v="5"/>
    <n v="810"/>
    <n v="162"/>
    <n v="137.70000000000002"/>
    <x v="0"/>
  </r>
  <r>
    <x v="174"/>
    <s v="DICIEMBRE"/>
    <x v="30"/>
    <s v="MARTES"/>
    <n v="256617"/>
    <x v="3"/>
    <n v="594"/>
    <n v="198"/>
    <n v="100.98"/>
    <x v="0"/>
  </r>
  <r>
    <x v="174"/>
    <s v="DICIEMBRE"/>
    <x v="30"/>
    <s v="MARTES"/>
    <n v="256676"/>
    <x v="17"/>
    <n v="1200"/>
    <n v="120"/>
    <n v="204.00000000000003"/>
    <x v="0"/>
  </r>
  <r>
    <x v="174"/>
    <s v="DICIEMBRE"/>
    <x v="30"/>
    <s v="MARTES"/>
    <n v="256677"/>
    <x v="10"/>
    <n v="3720"/>
    <n v="120"/>
    <n v="632.40000000000009"/>
    <x v="0"/>
  </r>
  <r>
    <x v="174"/>
    <s v="DICIEMBRE"/>
    <x v="30"/>
    <s v="MARTES"/>
    <n v="256674"/>
    <x v="7"/>
    <n v="990"/>
    <n v="198"/>
    <n v="168.3"/>
    <x v="0"/>
  </r>
  <r>
    <x v="174"/>
    <s v="DICIEMBRE"/>
    <x v="30"/>
    <s v="MARTES"/>
    <n v="256678"/>
    <x v="11"/>
    <n v="5490"/>
    <n v="90"/>
    <n v="933.30000000000007"/>
    <x v="0"/>
  </r>
  <r>
    <x v="174"/>
    <s v="DICIEMBRE"/>
    <x v="30"/>
    <s v="MARTES"/>
    <n v="256682"/>
    <x v="20"/>
    <n v="360"/>
    <n v="90"/>
    <n v="61.2"/>
    <x v="0"/>
  </r>
  <r>
    <x v="174"/>
    <s v="DICIEMBRE"/>
    <x v="30"/>
    <s v="MARTES"/>
    <n v="256695"/>
    <x v="25"/>
    <n v="1350"/>
    <n v="225"/>
    <n v="567"/>
    <x v="0"/>
  </r>
  <r>
    <x v="174"/>
    <s v="DICIEMBRE"/>
    <x v="30"/>
    <s v="MARTES"/>
    <n v="256488"/>
    <x v="6"/>
    <n v="1920"/>
    <n v="120"/>
    <n v="326.40000000000003"/>
    <x v="0"/>
  </r>
  <r>
    <x v="174"/>
    <s v="DICIEMBRE"/>
    <x v="30"/>
    <s v="MARTES"/>
    <n v="256678"/>
    <x v="11"/>
    <n v="540"/>
    <n v="90"/>
    <n v="91.800000000000011"/>
    <x v="0"/>
  </r>
  <r>
    <x v="174"/>
    <s v="DICIEMBRE"/>
    <x v="30"/>
    <s v="MARTES"/>
    <n v="256677"/>
    <x v="10"/>
    <n v="3480"/>
    <n v="120"/>
    <n v="591.6"/>
    <x v="0"/>
  </r>
  <r>
    <x v="175"/>
    <s v="DICIEMBRE"/>
    <x v="30"/>
    <s v="MIÉRCOLES"/>
    <n v="254762"/>
    <x v="40"/>
    <n v="448"/>
    <n v="240"/>
    <n v="179.20000000000002"/>
    <x v="0"/>
  </r>
  <r>
    <x v="175"/>
    <s v="DICIEMBRE"/>
    <x v="30"/>
    <s v="MIÉRCOLES"/>
    <n v="256685"/>
    <x v="38"/>
    <n v="784"/>
    <n v="112"/>
    <n v="313.60000000000002"/>
    <x v="0"/>
  </r>
  <r>
    <x v="175"/>
    <s v="DICIEMBRE"/>
    <x v="30"/>
    <s v="MIÉRCOLES"/>
    <n v="251429"/>
    <x v="0"/>
    <n v="2400"/>
    <n v="48"/>
    <n v="960"/>
    <x v="0"/>
  </r>
  <r>
    <x v="175"/>
    <s v="DICIEMBRE"/>
    <x v="30"/>
    <s v="MIÉRCOLES"/>
    <n v="751315"/>
    <x v="24"/>
    <n v="4200"/>
    <n v="420"/>
    <n v="1764"/>
    <x v="0"/>
  </r>
  <r>
    <x v="175"/>
    <s v="DICIEMBRE"/>
    <x v="30"/>
    <s v="MIÉRCOLES"/>
    <n v="256616"/>
    <x v="22"/>
    <n v="1386"/>
    <n v="198"/>
    <n v="235.62"/>
    <x v="0"/>
  </r>
  <r>
    <x v="175"/>
    <s v="DICIEMBRE"/>
    <x v="30"/>
    <s v="MIÉRCOLES"/>
    <n v="256617"/>
    <x v="3"/>
    <n v="990"/>
    <n v="198"/>
    <n v="168.3"/>
    <x v="0"/>
  </r>
  <r>
    <x v="175"/>
    <s v="DICIEMBRE"/>
    <x v="30"/>
    <s v="MIÉRCOLES"/>
    <n v="256488"/>
    <x v="6"/>
    <n v="960"/>
    <n v="120"/>
    <n v="163.20000000000002"/>
    <x v="0"/>
  </r>
  <r>
    <x v="175"/>
    <s v="DICIEMBRE"/>
    <x v="30"/>
    <s v="MIÉRCOLES"/>
    <n v="256675"/>
    <x v="8"/>
    <n v="864"/>
    <n v="198"/>
    <n v="146.88000000000002"/>
    <x v="0"/>
  </r>
  <r>
    <x v="175"/>
    <s v="DICIEMBRE"/>
    <x v="30"/>
    <s v="MIÉRCOLES"/>
    <n v="256677"/>
    <x v="10"/>
    <n v="1920"/>
    <n v="120"/>
    <n v="326.40000000000003"/>
    <x v="0"/>
  </r>
  <r>
    <x v="175"/>
    <s v="DICIEMBRE"/>
    <x v="30"/>
    <s v="MIÉRCOLES"/>
    <n v="256682"/>
    <x v="20"/>
    <n v="270"/>
    <n v="90"/>
    <n v="45.900000000000006"/>
    <x v="0"/>
  </r>
  <r>
    <x v="175"/>
    <s v="DICIEMBRE"/>
    <x v="30"/>
    <s v="MIÉRCOLES"/>
    <n v="256720"/>
    <x v="42"/>
    <n v="1250"/>
    <n v="420"/>
    <n v="525"/>
    <x v="0"/>
  </r>
  <r>
    <x v="175"/>
    <s v="DICIEMBRE"/>
    <x v="30"/>
    <s v="MIÉRCOLES"/>
    <n v="751544"/>
    <x v="39"/>
    <n v="840"/>
    <n v="420"/>
    <n v="352.8"/>
    <x v="0"/>
  </r>
  <r>
    <x v="175"/>
    <s v="DICIEMBRE"/>
    <x v="30"/>
    <s v="MIÉRCOLES"/>
    <n v="256682"/>
    <x v="20"/>
    <n v="90"/>
    <n v="90"/>
    <n v="15.3"/>
    <x v="0"/>
  </r>
  <r>
    <x v="175"/>
    <s v="DICIEMBRE"/>
    <x v="30"/>
    <s v="MIÉRCOLES"/>
    <n v="256652"/>
    <x v="9"/>
    <n v="270"/>
    <n v="90"/>
    <n v="45.900000000000006"/>
    <x v="0"/>
  </r>
  <r>
    <x v="175"/>
    <s v="DICIEMBRE"/>
    <x v="30"/>
    <s v="MIÉRCOLES"/>
    <n v="251406"/>
    <x v="1"/>
    <n v="1944"/>
    <n v="198"/>
    <n v="330.48"/>
    <x v="0"/>
  </r>
  <r>
    <x v="175"/>
    <s v="DICIEMBRE"/>
    <x v="30"/>
    <s v="MIÉRCOLES"/>
    <n v="256677"/>
    <x v="10"/>
    <n v="1440"/>
    <n v="120"/>
    <n v="244.8"/>
    <x v="0"/>
  </r>
  <r>
    <x v="175"/>
    <s v="DICIEMBRE"/>
    <x v="30"/>
    <s v="MIÉRCOLES"/>
    <n v="251406"/>
    <x v="1"/>
    <n v="1080"/>
    <n v="198"/>
    <n v="183.60000000000002"/>
    <x v="0"/>
  </r>
  <r>
    <x v="175"/>
    <s v="DICIEMBRE"/>
    <x v="30"/>
    <s v="MIÉRCOLES"/>
    <n v="256488"/>
    <x v="6"/>
    <n v="1680"/>
    <n v="120"/>
    <n v="285.60000000000002"/>
    <x v="0"/>
  </r>
  <r>
    <x v="175"/>
    <s v="DICIEMBRE"/>
    <x v="30"/>
    <s v="MIÉRCOLES"/>
    <n v="256677"/>
    <x v="10"/>
    <n v="6960"/>
    <n v="120"/>
    <n v="1183.2"/>
    <x v="0"/>
  </r>
  <r>
    <x v="175"/>
    <s v="DICIEMBRE"/>
    <x v="30"/>
    <s v="MIÉRCOLES"/>
    <n v="256678"/>
    <x v="11"/>
    <n v="2250"/>
    <n v="90"/>
    <n v="382.5"/>
    <x v="0"/>
  </r>
  <r>
    <x v="175"/>
    <s v="DICIEMBRE"/>
    <x v="30"/>
    <s v="MIÉRCOLES"/>
    <n v="256680"/>
    <x v="26"/>
    <n v="1260"/>
    <n v="90"/>
    <n v="214.20000000000002"/>
    <x v="0"/>
  </r>
  <r>
    <x v="176"/>
    <s v="DICIEMBRE"/>
    <x v="30"/>
    <s v="JUEVES"/>
    <n v="256381"/>
    <x v="13"/>
    <n v="270"/>
    <n v="30"/>
    <n v="108"/>
    <x v="0"/>
  </r>
  <r>
    <x v="176"/>
    <s v="DICIEMBRE"/>
    <x v="30"/>
    <s v="JUEVES"/>
    <n v="256379"/>
    <x v="15"/>
    <n v="350"/>
    <n v="50"/>
    <n v="140"/>
    <x v="0"/>
  </r>
  <r>
    <x v="176"/>
    <s v="DICIEMBRE"/>
    <x v="30"/>
    <s v="JUEVES"/>
    <n v="252436"/>
    <x v="36"/>
    <n v="450"/>
    <n v="90"/>
    <n v="180"/>
    <x v="0"/>
  </r>
  <r>
    <x v="176"/>
    <s v="DICIEMBRE"/>
    <x v="30"/>
    <s v="JUEVES"/>
    <n v="751315"/>
    <x v="24"/>
    <n v="1680"/>
    <n v="420"/>
    <n v="705.6"/>
    <x v="0"/>
  </r>
  <r>
    <x v="176"/>
    <s v="DICIEMBRE"/>
    <x v="30"/>
    <s v="JUEVES"/>
    <n v="251633"/>
    <x v="16"/>
    <n v="720"/>
    <n v="180"/>
    <n v="302.39999999999998"/>
    <x v="0"/>
  </r>
  <r>
    <x v="176"/>
    <s v="DICIEMBRE"/>
    <x v="30"/>
    <s v="JUEVES"/>
    <n v="256549"/>
    <x v="29"/>
    <n v="216"/>
    <n v="198"/>
    <n v="36.720000000000006"/>
    <x v="0"/>
  </r>
  <r>
    <x v="176"/>
    <s v="DICIEMBRE"/>
    <x v="30"/>
    <s v="JUEVES"/>
    <n v="256616"/>
    <x v="22"/>
    <n v="396"/>
    <n v="198"/>
    <n v="67.320000000000007"/>
    <x v="0"/>
  </r>
  <r>
    <x v="176"/>
    <s v="DICIEMBRE"/>
    <x v="30"/>
    <s v="JUEVES"/>
    <n v="256617"/>
    <x v="3"/>
    <n v="594"/>
    <n v="198"/>
    <n v="100.98"/>
    <x v="0"/>
  </r>
  <r>
    <x v="176"/>
    <s v="DICIEMBRE"/>
    <x v="30"/>
    <s v="JUEVES"/>
    <n v="256666"/>
    <x v="4"/>
    <n v="1458"/>
    <n v="162"/>
    <n v="247.86"/>
    <x v="0"/>
  </r>
  <r>
    <x v="176"/>
    <s v="DICIEMBRE"/>
    <x v="30"/>
    <s v="JUEVES"/>
    <n v="256601"/>
    <x v="5"/>
    <n v="1620"/>
    <n v="162"/>
    <n v="275.40000000000003"/>
    <x v="0"/>
  </r>
  <r>
    <x v="176"/>
    <s v="DICIEMBRE"/>
    <x v="30"/>
    <s v="JUEVES"/>
    <n v="256488"/>
    <x v="6"/>
    <n v="1080"/>
    <n v="120"/>
    <n v="183.60000000000002"/>
    <x v="0"/>
  </r>
  <r>
    <x v="176"/>
    <s v="DICIEMBRE"/>
    <x v="30"/>
    <s v="JUEVES"/>
    <n v="256652"/>
    <x v="9"/>
    <n v="900"/>
    <n v="90"/>
    <n v="153"/>
    <x v="0"/>
  </r>
  <r>
    <x v="176"/>
    <s v="DICIEMBRE"/>
    <x v="30"/>
    <s v="JUEVES"/>
    <n v="256680"/>
    <x v="26"/>
    <n v="180"/>
    <n v="90"/>
    <n v="30.6"/>
    <x v="0"/>
  </r>
  <r>
    <x v="176"/>
    <s v="DICIEMBRE"/>
    <x v="30"/>
    <s v="JUEVES"/>
    <n v="256679"/>
    <x v="23"/>
    <n v="1440"/>
    <n v="90"/>
    <n v="244.8"/>
    <x v="0"/>
  </r>
  <r>
    <x v="176"/>
    <s v="DICIEMBRE"/>
    <x v="30"/>
    <s v="JUEVES"/>
    <n v="256682"/>
    <x v="20"/>
    <n v="450"/>
    <n v="90"/>
    <n v="76.5"/>
    <x v="0"/>
  </r>
  <r>
    <x v="176"/>
    <s v="DICIEMBRE"/>
    <x v="30"/>
    <s v="JUEVES"/>
    <n v="256695"/>
    <x v="25"/>
    <n v="450"/>
    <n v="225"/>
    <n v="189"/>
    <x v="0"/>
  </r>
  <r>
    <x v="176"/>
    <s v="DICIEMBRE"/>
    <x v="30"/>
    <s v="JUEVES"/>
    <n v="256708"/>
    <x v="12"/>
    <n v="1125"/>
    <n v="225"/>
    <n v="450"/>
    <x v="0"/>
  </r>
  <r>
    <x v="176"/>
    <s v="DICIEMBRE"/>
    <x v="30"/>
    <s v="JUEVES"/>
    <n v="256709"/>
    <x v="19"/>
    <n v="675"/>
    <n v="225"/>
    <n v="270"/>
    <x v="0"/>
  </r>
  <r>
    <x v="176"/>
    <s v="DICIEMBRE"/>
    <x v="30"/>
    <s v="JUEVES"/>
    <n v="256720"/>
    <x v="42"/>
    <n v="500"/>
    <n v="420"/>
    <n v="210"/>
    <x v="0"/>
  </r>
  <r>
    <x v="176"/>
    <s v="DICIEMBRE"/>
    <x v="30"/>
    <s v="JUEVES"/>
    <n v="256721"/>
    <x v="43"/>
    <n v="750"/>
    <n v="420"/>
    <n v="315"/>
    <x v="0"/>
  </r>
  <r>
    <x v="176"/>
    <s v="DICIEMBRE"/>
    <x v="30"/>
    <s v="JUEVES"/>
    <n v="256721"/>
    <x v="43"/>
    <n v="500"/>
    <n v="420"/>
    <n v="210"/>
    <x v="0"/>
  </r>
  <r>
    <x v="176"/>
    <s v="DICIEMBRE"/>
    <x v="30"/>
    <s v="JUEVES"/>
    <n v="751315"/>
    <x v="24"/>
    <n v="420"/>
    <n v="420"/>
    <n v="176.4"/>
    <x v="0"/>
  </r>
  <r>
    <x v="176"/>
    <s v="DICIEMBRE"/>
    <x v="30"/>
    <s v="JUEVES"/>
    <n v="256695"/>
    <x v="25"/>
    <n v="900"/>
    <n v="225"/>
    <n v="378"/>
    <x v="0"/>
  </r>
  <r>
    <x v="177"/>
    <s v="DICIEMBRE"/>
    <x v="30"/>
    <s v="VIERNES"/>
    <n v="256695"/>
    <x v="25"/>
    <n v="2250"/>
    <n v="225"/>
    <n v="945"/>
    <x v="0"/>
  </r>
  <r>
    <x v="177"/>
    <s v="DICIEMBRE"/>
    <x v="30"/>
    <s v="VIERNES"/>
    <n v="256678"/>
    <x v="11"/>
    <n v="2160"/>
    <n v="90"/>
    <n v="367.20000000000005"/>
    <x v="0"/>
  </r>
  <r>
    <x v="177"/>
    <s v="DICIEMBRE"/>
    <x v="30"/>
    <s v="VIERNES"/>
    <n v="256679"/>
    <x v="23"/>
    <n v="450"/>
    <n v="90"/>
    <n v="76.5"/>
    <x v="0"/>
  </r>
  <r>
    <x v="177"/>
    <s v="DICIEMBRE"/>
    <x v="30"/>
    <s v="VIERNES"/>
    <n v="256680"/>
    <x v="26"/>
    <n v="180"/>
    <n v="90"/>
    <n v="30.6"/>
    <x v="0"/>
  </r>
  <r>
    <x v="177"/>
    <s v="DICIEMBRE"/>
    <x v="30"/>
    <s v="VIERNES"/>
    <n v="256677"/>
    <x v="10"/>
    <n v="2160"/>
    <n v="120"/>
    <n v="367.20000000000005"/>
    <x v="0"/>
  </r>
  <r>
    <x v="177"/>
    <s v="DICIEMBRE"/>
    <x v="30"/>
    <s v="VIERNES"/>
    <n v="256674"/>
    <x v="7"/>
    <n v="1296"/>
    <n v="198"/>
    <n v="220.32000000000002"/>
    <x v="0"/>
  </r>
  <r>
    <x v="177"/>
    <s v="DICIEMBRE"/>
    <x v="30"/>
    <s v="VIERNES"/>
    <n v="256616"/>
    <x v="22"/>
    <n v="1188"/>
    <n v="198"/>
    <n v="201.96"/>
    <x v="0"/>
  </r>
  <r>
    <x v="177"/>
    <s v="DICIEMBRE"/>
    <x v="30"/>
    <s v="VIERNES"/>
    <n v="251406"/>
    <x v="1"/>
    <n v="1296"/>
    <n v="198"/>
    <n v="220.32000000000002"/>
    <x v="0"/>
  </r>
  <r>
    <x v="177"/>
    <s v="DICIEMBRE"/>
    <x v="30"/>
    <s v="VIERNES"/>
    <n v="251633"/>
    <x v="16"/>
    <n v="900"/>
    <n v="180"/>
    <n v="378"/>
    <x v="0"/>
  </r>
  <r>
    <x v="177"/>
    <s v="DICIEMBRE"/>
    <x v="30"/>
    <s v="VIERNES"/>
    <n v="251429"/>
    <x v="0"/>
    <n v="720"/>
    <n v="48"/>
    <n v="288"/>
    <x v="0"/>
  </r>
  <r>
    <x v="177"/>
    <s v="DICIEMBRE"/>
    <x v="30"/>
    <s v="VIERNES"/>
    <n v="252436"/>
    <x v="36"/>
    <n v="990"/>
    <n v="90"/>
    <n v="396"/>
    <x v="0"/>
  </r>
  <r>
    <x v="177"/>
    <s v="DICIEMBRE"/>
    <x v="30"/>
    <s v="VIERNES"/>
    <n v="256380"/>
    <x v="14"/>
    <n v="160"/>
    <n v="40"/>
    <n v="36.800000000000004"/>
    <x v="0"/>
  </r>
  <r>
    <x v="177"/>
    <s v="DICIEMBRE"/>
    <x v="30"/>
    <s v="VIERNES"/>
    <n v="256381"/>
    <x v="13"/>
    <n v="240"/>
    <n v="30"/>
    <n v="96"/>
    <x v="0"/>
  </r>
  <r>
    <x v="177"/>
    <s v="DICIEMBRE"/>
    <x v="30"/>
    <s v="VIERNES"/>
    <n v="256383"/>
    <x v="28"/>
    <n v="240"/>
    <n v="30"/>
    <n v="55.2"/>
    <x v="0"/>
  </r>
  <r>
    <x v="177"/>
    <s v="DICIEMBRE"/>
    <x v="30"/>
    <s v="VIERNES"/>
    <n v="256382"/>
    <x v="33"/>
    <n v="200"/>
    <n v="40"/>
    <n v="46"/>
    <x v="0"/>
  </r>
  <r>
    <x v="177"/>
    <s v="DICIEMBRE"/>
    <x v="30"/>
    <s v="VIERNES"/>
    <n v="256616"/>
    <x v="22"/>
    <n v="330"/>
    <n v="198"/>
    <n v="56.1"/>
    <x v="0"/>
  </r>
  <r>
    <x v="178"/>
    <s v="DICIEMBRE"/>
    <x v="31"/>
    <s v="SÁBADO"/>
    <n v="252436"/>
    <x v="36"/>
    <n v="1620"/>
    <n v="90"/>
    <n v="648"/>
    <x v="0"/>
  </r>
  <r>
    <x v="178"/>
    <s v="DICIEMBRE"/>
    <x v="31"/>
    <s v="SÁBADO"/>
    <n v="251406"/>
    <x v="1"/>
    <n v="1296"/>
    <n v="198"/>
    <n v="220.32000000000002"/>
    <x v="0"/>
  </r>
  <r>
    <x v="178"/>
    <s v="DICIEMBRE"/>
    <x v="31"/>
    <s v="SÁBADO"/>
    <n v="254853"/>
    <x v="2"/>
    <n v="432"/>
    <n v="198"/>
    <n v="73.440000000000012"/>
    <x v="0"/>
  </r>
  <r>
    <x v="178"/>
    <s v="DICIEMBRE"/>
    <x v="31"/>
    <s v="SÁBADO"/>
    <n v="256548"/>
    <x v="34"/>
    <n v="648"/>
    <n v="198"/>
    <n v="110.16000000000001"/>
    <x v="0"/>
  </r>
  <r>
    <x v="178"/>
    <s v="DICIEMBRE"/>
    <x v="31"/>
    <s v="SÁBADO"/>
    <n v="256549"/>
    <x v="29"/>
    <n v="432"/>
    <n v="198"/>
    <n v="73.440000000000012"/>
    <x v="0"/>
  </r>
  <r>
    <x v="178"/>
    <s v="DICIEMBRE"/>
    <x v="31"/>
    <s v="SÁBADO"/>
    <n v="256616"/>
    <x v="22"/>
    <n v="792"/>
    <n v="198"/>
    <n v="134.64000000000001"/>
    <x v="0"/>
  </r>
  <r>
    <x v="178"/>
    <s v="DICIEMBRE"/>
    <x v="31"/>
    <s v="SÁBADO"/>
    <n v="256617"/>
    <x v="3"/>
    <n v="396"/>
    <n v="198"/>
    <n v="67.320000000000007"/>
    <x v="0"/>
  </r>
  <r>
    <x v="178"/>
    <s v="DICIEMBRE"/>
    <x v="31"/>
    <s v="SÁBADO"/>
    <n v="256601"/>
    <x v="5"/>
    <n v="810"/>
    <n v="162"/>
    <n v="137.70000000000002"/>
    <x v="0"/>
  </r>
  <r>
    <x v="178"/>
    <s v="DICIEMBRE"/>
    <x v="31"/>
    <s v="SÁBADO"/>
    <n v="256488"/>
    <x v="6"/>
    <n v="1440"/>
    <n v="120"/>
    <n v="244.8"/>
    <x v="0"/>
  </r>
  <r>
    <x v="178"/>
    <s v="DICIEMBRE"/>
    <x v="31"/>
    <s v="SÁBADO"/>
    <n v="256674"/>
    <x v="7"/>
    <n v="864"/>
    <n v="198"/>
    <n v="146.88000000000002"/>
    <x v="0"/>
  </r>
  <r>
    <x v="178"/>
    <s v="DICIEMBRE"/>
    <x v="31"/>
    <s v="SÁBADO"/>
    <n v="256675"/>
    <x v="8"/>
    <n v="432"/>
    <n v="198"/>
    <n v="73.440000000000012"/>
    <x v="0"/>
  </r>
  <r>
    <x v="178"/>
    <s v="DICIEMBRE"/>
    <x v="31"/>
    <s v="SÁBADO"/>
    <n v="256652"/>
    <x v="9"/>
    <n v="450"/>
    <n v="90"/>
    <n v="76.5"/>
    <x v="0"/>
  </r>
  <r>
    <x v="178"/>
    <s v="DICIEMBRE"/>
    <x v="31"/>
    <s v="SÁBADO"/>
    <n v="256680"/>
    <x v="26"/>
    <n v="720"/>
    <n v="90"/>
    <n v="122.4"/>
    <x v="0"/>
  </r>
  <r>
    <x v="178"/>
    <s v="DICIEMBRE"/>
    <x v="31"/>
    <s v="SÁBADO"/>
    <n v="256679"/>
    <x v="23"/>
    <n v="1440"/>
    <n v="90"/>
    <n v="244.8"/>
    <x v="0"/>
  </r>
  <r>
    <x v="178"/>
    <s v="DICIEMBRE"/>
    <x v="31"/>
    <s v="SÁBADO"/>
    <n v="256682"/>
    <x v="20"/>
    <n v="450"/>
    <n v="90"/>
    <n v="76.5"/>
    <x v="0"/>
  </r>
  <r>
    <x v="178"/>
    <s v="DICIEMBRE"/>
    <x v="31"/>
    <s v="SÁBADO"/>
    <n v="256695"/>
    <x v="25"/>
    <n v="2250"/>
    <n v="225"/>
    <n v="945"/>
    <x v="0"/>
  </r>
  <r>
    <x v="178"/>
    <s v="DICIEMBRE"/>
    <x v="31"/>
    <s v="SÁBADO"/>
    <n v="256708"/>
    <x v="12"/>
    <n v="450"/>
    <n v="225"/>
    <n v="180"/>
    <x v="0"/>
  </r>
  <r>
    <x v="179"/>
    <s v="DICIEMBRE"/>
    <x v="31"/>
    <s v="DOMINGO"/>
    <n v="751315"/>
    <x v="24"/>
    <n v="840"/>
    <n v="420"/>
    <n v="352.8"/>
    <x v="0"/>
  </r>
  <r>
    <x v="179"/>
    <s v="DICIEMBRE"/>
    <x v="31"/>
    <s v="DOMINGO"/>
    <n v="252436"/>
    <x v="36"/>
    <n v="720"/>
    <n v="90"/>
    <n v="288"/>
    <x v="0"/>
  </r>
  <r>
    <x v="179"/>
    <s v="DICIEMBRE"/>
    <x v="31"/>
    <s v="DOMINGO"/>
    <n v="751315"/>
    <x v="24"/>
    <n v="420"/>
    <n v="420"/>
    <n v="176.4"/>
    <x v="0"/>
  </r>
  <r>
    <x v="179"/>
    <s v="DICIEMBRE"/>
    <x v="31"/>
    <s v="DOMINGO"/>
    <n v="252436"/>
    <x v="36"/>
    <n v="450"/>
    <n v="90"/>
    <n v="180"/>
    <x v="0"/>
  </r>
  <r>
    <x v="180"/>
    <s v="DICIEMBRE"/>
    <x v="31"/>
    <s v="LUNES"/>
    <n v="256488"/>
    <x v="6"/>
    <n v="600"/>
    <n v="120"/>
    <n v="102.00000000000001"/>
    <x v="0"/>
  </r>
  <r>
    <x v="180"/>
    <s v="DICIEMBRE"/>
    <x v="31"/>
    <s v="LUNES"/>
    <n v="252436"/>
    <x v="36"/>
    <n v="360"/>
    <n v="90"/>
    <n v="144"/>
    <x v="0"/>
  </r>
  <r>
    <x v="180"/>
    <s v="DICIEMBRE"/>
    <x v="31"/>
    <s v="LUNES"/>
    <n v="256383"/>
    <x v="28"/>
    <n v="210"/>
    <n v="30"/>
    <n v="48.300000000000004"/>
    <x v="0"/>
  </r>
  <r>
    <x v="180"/>
    <s v="DICIEMBRE"/>
    <x v="31"/>
    <s v="LUNES"/>
    <n v="256381"/>
    <x v="13"/>
    <n v="240"/>
    <n v="30"/>
    <n v="96"/>
    <x v="0"/>
  </r>
  <r>
    <x v="180"/>
    <s v="DICIEMBRE"/>
    <x v="31"/>
    <s v="LUNES"/>
    <n v="256380"/>
    <x v="14"/>
    <n v="80"/>
    <n v="40"/>
    <n v="18.400000000000002"/>
    <x v="0"/>
  </r>
  <r>
    <x v="180"/>
    <s v="DICIEMBRE"/>
    <x v="31"/>
    <s v="LUNES"/>
    <n v="252436"/>
    <x v="36"/>
    <n v="630"/>
    <n v="90"/>
    <n v="252"/>
    <x v="0"/>
  </r>
  <r>
    <x v="180"/>
    <s v="DICIEMBRE"/>
    <x v="31"/>
    <s v="LUNES"/>
    <n v="256685"/>
    <x v="38"/>
    <n v="672"/>
    <n v="112"/>
    <n v="268.8"/>
    <x v="0"/>
  </r>
  <r>
    <x v="180"/>
    <s v="DICIEMBRE"/>
    <x v="31"/>
    <s v="LUNES"/>
    <n v="251429"/>
    <x v="0"/>
    <n v="960"/>
    <n v="48"/>
    <n v="384"/>
    <x v="0"/>
  </r>
  <r>
    <x v="180"/>
    <s v="DICIEMBRE"/>
    <x v="31"/>
    <s v="LUNES"/>
    <n v="251633"/>
    <x v="16"/>
    <n v="720"/>
    <n v="180"/>
    <n v="302.39999999999998"/>
    <x v="0"/>
  </r>
  <r>
    <x v="180"/>
    <s v="DICIEMBRE"/>
    <x v="31"/>
    <s v="LUNES"/>
    <n v="251406"/>
    <x v="1"/>
    <n v="864"/>
    <n v="198"/>
    <n v="146.88000000000002"/>
    <x v="0"/>
  </r>
  <r>
    <x v="180"/>
    <s v="DICIEMBRE"/>
    <x v="31"/>
    <s v="LUNES"/>
    <n v="254853"/>
    <x v="2"/>
    <n v="864"/>
    <n v="198"/>
    <n v="146.88000000000002"/>
    <x v="0"/>
  </r>
  <r>
    <x v="180"/>
    <s v="DICIEMBRE"/>
    <x v="31"/>
    <s v="LUNES"/>
    <n v="256666"/>
    <x v="4"/>
    <n v="810"/>
    <n v="162"/>
    <n v="137.70000000000002"/>
    <x v="0"/>
  </r>
  <r>
    <x v="180"/>
    <s v="DICIEMBRE"/>
    <x v="31"/>
    <s v="LUNES"/>
    <n v="256601"/>
    <x v="5"/>
    <n v="810"/>
    <n v="162"/>
    <n v="137.70000000000002"/>
    <x v="0"/>
  </r>
  <r>
    <x v="180"/>
    <s v="DICIEMBRE"/>
    <x v="31"/>
    <s v="LUNES"/>
    <n v="256488"/>
    <x v="6"/>
    <n v="2760"/>
    <n v="120"/>
    <n v="469.20000000000005"/>
    <x v="0"/>
  </r>
  <r>
    <x v="180"/>
    <s v="DICIEMBRE"/>
    <x v="31"/>
    <s v="LUNES"/>
    <n v="256679"/>
    <x v="23"/>
    <n v="720"/>
    <n v="90"/>
    <n v="122.4"/>
    <x v="0"/>
  </r>
  <r>
    <x v="180"/>
    <s v="DICIEMBRE"/>
    <x v="31"/>
    <s v="LUNES"/>
    <n v="256682"/>
    <x v="20"/>
    <n v="450"/>
    <n v="90"/>
    <n v="76.5"/>
    <x v="0"/>
  </r>
  <r>
    <x v="180"/>
    <s v="DICIEMBRE"/>
    <x v="31"/>
    <s v="LUNES"/>
    <n v="256708"/>
    <x v="12"/>
    <n v="675"/>
    <n v="225"/>
    <n v="270"/>
    <x v="0"/>
  </r>
  <r>
    <x v="180"/>
    <s v="DICIEMBRE"/>
    <x v="31"/>
    <s v="LUNES"/>
    <n v="751544"/>
    <x v="39"/>
    <n v="1260"/>
    <n v="420"/>
    <n v="529.19999999999993"/>
    <x v="0"/>
  </r>
  <r>
    <x v="180"/>
    <s v="DICIEMBRE"/>
    <x v="31"/>
    <s v="LUNES"/>
    <n v="751315"/>
    <x v="24"/>
    <n v="2940"/>
    <n v="420"/>
    <n v="1234.8"/>
    <x v="0"/>
  </r>
  <r>
    <x v="181"/>
    <s v="DICIEMBRE"/>
    <x v="31"/>
    <s v="MARTES"/>
    <n v="256383"/>
    <x v="28"/>
    <n v="150"/>
    <n v="30"/>
    <n v="34.5"/>
    <x v="0"/>
  </r>
  <r>
    <x v="181"/>
    <s v="DICIEMBRE"/>
    <x v="31"/>
    <s v="MARTES"/>
    <n v="256382"/>
    <x v="33"/>
    <n v="160"/>
    <n v="40"/>
    <n v="36.800000000000004"/>
    <x v="0"/>
  </r>
  <r>
    <x v="181"/>
    <s v="DICIEMBRE"/>
    <x v="31"/>
    <s v="MARTES"/>
    <n v="256379"/>
    <x v="15"/>
    <n v="450"/>
    <n v="50"/>
    <n v="180"/>
    <x v="0"/>
  </r>
  <r>
    <x v="181"/>
    <s v="DICIEMBRE"/>
    <x v="31"/>
    <s v="MARTES"/>
    <n v="252436"/>
    <x v="36"/>
    <n v="540"/>
    <n v="90"/>
    <n v="216"/>
    <x v="0"/>
  </r>
  <r>
    <x v="181"/>
    <s v="DICIEMBRE"/>
    <x v="31"/>
    <s v="MARTES"/>
    <n v="254762"/>
    <x v="40"/>
    <n v="448"/>
    <n v="240"/>
    <n v="179.20000000000002"/>
    <x v="0"/>
  </r>
  <r>
    <x v="181"/>
    <s v="DICIEMBRE"/>
    <x v="31"/>
    <s v="MARTES"/>
    <n v="251429"/>
    <x v="0"/>
    <n v="480"/>
    <n v="48"/>
    <n v="192"/>
    <x v="0"/>
  </r>
  <r>
    <x v="181"/>
    <s v="DICIEMBRE"/>
    <x v="31"/>
    <s v="MARTES"/>
    <n v="751315"/>
    <x v="24"/>
    <n v="1260"/>
    <n v="420"/>
    <n v="529.19999999999993"/>
    <x v="0"/>
  </r>
  <r>
    <x v="181"/>
    <s v="DICIEMBRE"/>
    <x v="31"/>
    <s v="MARTES"/>
    <n v="751544"/>
    <x v="39"/>
    <n v="420"/>
    <n v="420"/>
    <n v="176.4"/>
    <x v="0"/>
  </r>
  <r>
    <x v="181"/>
    <s v="DICIEMBRE"/>
    <x v="31"/>
    <s v="MARTES"/>
    <n v="256616"/>
    <x v="22"/>
    <n v="594"/>
    <n v="198"/>
    <n v="100.98"/>
    <x v="0"/>
  </r>
  <r>
    <x v="181"/>
    <s v="DICIEMBRE"/>
    <x v="31"/>
    <s v="MARTES"/>
    <n v="256617"/>
    <x v="3"/>
    <n v="198"/>
    <n v="198"/>
    <n v="33.660000000000004"/>
    <x v="0"/>
  </r>
  <r>
    <x v="181"/>
    <s v="DICIEMBRE"/>
    <x v="31"/>
    <s v="MARTES"/>
    <n v="256666"/>
    <x v="4"/>
    <n v="486"/>
    <n v="162"/>
    <n v="82.62"/>
    <x v="0"/>
  </r>
  <r>
    <x v="181"/>
    <s v="DICIEMBRE"/>
    <x v="31"/>
    <s v="MARTES"/>
    <n v="256488"/>
    <x v="6"/>
    <n v="2400"/>
    <n v="120"/>
    <n v="408.00000000000006"/>
    <x v="0"/>
  </r>
  <r>
    <x v="181"/>
    <s v="DICIEMBRE"/>
    <x v="31"/>
    <s v="MARTES"/>
    <n v="256676"/>
    <x v="17"/>
    <n v="480"/>
    <n v="120"/>
    <n v="81.600000000000009"/>
    <x v="0"/>
  </r>
  <r>
    <x v="181"/>
    <s v="DICIEMBRE"/>
    <x v="31"/>
    <s v="MARTES"/>
    <n v="256674"/>
    <x v="7"/>
    <n v="864"/>
    <n v="198"/>
    <n v="146.88000000000002"/>
    <x v="0"/>
  </r>
  <r>
    <x v="181"/>
    <s v="DICIEMBRE"/>
    <x v="31"/>
    <s v="MARTES"/>
    <n v="256652"/>
    <x v="9"/>
    <n v="720"/>
    <n v="90"/>
    <n v="122.4"/>
    <x v="0"/>
  </r>
  <r>
    <x v="181"/>
    <s v="DICIEMBRE"/>
    <x v="31"/>
    <s v="MARTES"/>
    <n v="256680"/>
    <x v="26"/>
    <n v="720"/>
    <n v="90"/>
    <n v="122.4"/>
    <x v="0"/>
  </r>
  <r>
    <x v="181"/>
    <s v="DICIEMBRE"/>
    <x v="31"/>
    <s v="MARTES"/>
    <n v="256679"/>
    <x v="23"/>
    <n v="720"/>
    <n v="90"/>
    <n v="122.4"/>
    <x v="0"/>
  </r>
  <r>
    <x v="181"/>
    <s v="DICIEMBRE"/>
    <x v="31"/>
    <s v="MARTES"/>
    <n v="256678"/>
    <x v="11"/>
    <n v="2160"/>
    <n v="90"/>
    <n v="367.20000000000005"/>
    <x v="0"/>
  </r>
  <r>
    <x v="181"/>
    <s v="DICIEMBRE"/>
    <x v="31"/>
    <s v="MARTES"/>
    <n v="256708"/>
    <x v="12"/>
    <n v="450"/>
    <n v="225"/>
    <n v="180"/>
    <x v="0"/>
  </r>
  <r>
    <x v="181"/>
    <s v="DICIEMBRE"/>
    <x v="31"/>
    <s v="MARTES"/>
    <n v="256709"/>
    <x v="19"/>
    <n v="900"/>
    <n v="225"/>
    <n v="360"/>
    <x v="0"/>
  </r>
  <r>
    <x v="181"/>
    <s v="DICIEMBRE"/>
    <x v="31"/>
    <s v="MARTES"/>
    <n v="256720"/>
    <x v="42"/>
    <n v="750"/>
    <n v="420"/>
    <n v="315"/>
    <x v="0"/>
  </r>
  <r>
    <x v="181"/>
    <s v="DICIEMBRE"/>
    <x v="31"/>
    <s v="MARTES"/>
    <n v="256685"/>
    <x v="38"/>
    <n v="672"/>
    <n v="112"/>
    <n v="268.8"/>
    <x v="0"/>
  </r>
  <r>
    <x v="181"/>
    <s v="DICIEMBRE"/>
    <x v="31"/>
    <s v="MARTES"/>
    <n v="252436"/>
    <x v="36"/>
    <n v="1800"/>
    <n v="90"/>
    <n v="720"/>
    <x v="0"/>
  </r>
  <r>
    <x v="181"/>
    <s v="DICIEMBRE"/>
    <x v="31"/>
    <s v="MARTES"/>
    <n v="254762"/>
    <x v="40"/>
    <n v="224"/>
    <n v="240"/>
    <n v="89.600000000000009"/>
    <x v="0"/>
  </r>
  <r>
    <x v="182"/>
    <s v="DICIEMBRE"/>
    <x v="31"/>
    <s v="MIÉRCOLES"/>
    <n v="252436"/>
    <x v="36"/>
    <n v="1440"/>
    <n v="90"/>
    <n v="576"/>
    <x v="0"/>
  </r>
  <r>
    <x v="182"/>
    <s v="DICIEMBRE"/>
    <x v="28"/>
    <m/>
    <n v="256488"/>
    <x v="6"/>
    <n v="1200"/>
    <n v="120"/>
    <n v="204.00000000000003"/>
    <x v="0"/>
  </r>
  <r>
    <x v="182"/>
    <s v="DICIEMBRE"/>
    <x v="31"/>
    <s v="MIÉRCOLES"/>
    <n v="256383"/>
    <x v="28"/>
    <n v="210"/>
    <n v="30"/>
    <n v="48.300000000000004"/>
    <x v="0"/>
  </r>
  <r>
    <x v="182"/>
    <s v="DICIEMBRE"/>
    <x v="31"/>
    <s v="MIÉRCOLES"/>
    <n v="256381"/>
    <x v="13"/>
    <n v="300"/>
    <n v="30"/>
    <n v="120"/>
    <x v="0"/>
  </r>
  <r>
    <x v="182"/>
    <s v="DICIEMBRE"/>
    <x v="31"/>
    <s v="MIÉRCOLES"/>
    <n v="256380"/>
    <x v="14"/>
    <n v="80"/>
    <n v="40"/>
    <n v="18.400000000000002"/>
    <x v="0"/>
  </r>
  <r>
    <x v="182"/>
    <s v="DICIEMBRE"/>
    <x v="31"/>
    <s v="MIÉRCOLES"/>
    <n v="256379"/>
    <x v="15"/>
    <n v="300"/>
    <n v="50"/>
    <n v="120"/>
    <x v="0"/>
  </r>
  <r>
    <x v="182"/>
    <s v="DICIEMBRE"/>
    <x v="31"/>
    <s v="MIÉRCOLES"/>
    <n v="252436"/>
    <x v="36"/>
    <n v="1800"/>
    <n v="90"/>
    <n v="720"/>
    <x v="0"/>
  </r>
  <r>
    <x v="182"/>
    <s v="DICIEMBRE"/>
    <x v="31"/>
    <s v="MIÉRCOLES"/>
    <n v="251429"/>
    <x v="0"/>
    <n v="1056"/>
    <n v="48"/>
    <n v="422.40000000000003"/>
    <x v="0"/>
  </r>
  <r>
    <x v="182"/>
    <s v="DICIEMBRE"/>
    <x v="31"/>
    <s v="MIÉRCOLES"/>
    <n v="251633"/>
    <x v="16"/>
    <n v="180"/>
    <n v="180"/>
    <n v="75.599999999999994"/>
    <x v="0"/>
  </r>
  <r>
    <x v="182"/>
    <s v="DICIEMBRE"/>
    <x v="31"/>
    <s v="MIÉRCOLES"/>
    <n v="254853"/>
    <x v="2"/>
    <n v="1296"/>
    <n v="198"/>
    <n v="220.32000000000002"/>
    <x v="0"/>
  </r>
  <r>
    <x v="182"/>
    <s v="DICIEMBRE"/>
    <x v="31"/>
    <s v="MIÉRCOLES"/>
    <n v="256616"/>
    <x v="22"/>
    <n v="1188"/>
    <n v="198"/>
    <n v="201.96"/>
    <x v="0"/>
  </r>
  <r>
    <x v="182"/>
    <s v="DICIEMBRE"/>
    <x v="31"/>
    <s v="MIÉRCOLES"/>
    <n v="256617"/>
    <x v="3"/>
    <n v="1584"/>
    <n v="198"/>
    <n v="269.28000000000003"/>
    <x v="0"/>
  </r>
  <r>
    <x v="182"/>
    <s v="DICIEMBRE"/>
    <x v="31"/>
    <s v="MIÉRCOLES"/>
    <n v="256666"/>
    <x v="4"/>
    <n v="810"/>
    <n v="162"/>
    <n v="137.70000000000002"/>
    <x v="0"/>
  </r>
  <r>
    <x v="182"/>
    <s v="DICIEMBRE"/>
    <x v="31"/>
    <s v="MIÉRCOLES"/>
    <n v="256601"/>
    <x v="5"/>
    <n v="972"/>
    <n v="162"/>
    <n v="165.24"/>
    <x v="0"/>
  </r>
  <r>
    <x v="182"/>
    <s v="DICIEMBRE"/>
    <x v="31"/>
    <s v="MIÉRCOLES"/>
    <n v="256676"/>
    <x v="17"/>
    <n v="1200"/>
    <n v="120"/>
    <n v="204.00000000000003"/>
    <x v="0"/>
  </r>
  <r>
    <x v="182"/>
    <s v="DICIEMBRE"/>
    <x v="31"/>
    <s v="MIÉRCOLES"/>
    <n v="256674"/>
    <x v="7"/>
    <n v="2808"/>
    <n v="198"/>
    <n v="477.36"/>
    <x v="0"/>
  </r>
  <r>
    <x v="182"/>
    <s v="DICIEMBRE"/>
    <x v="31"/>
    <s v="MIÉRCOLES"/>
    <n v="256675"/>
    <x v="8"/>
    <n v="1728"/>
    <n v="198"/>
    <n v="293.76000000000005"/>
    <x v="0"/>
  </r>
  <r>
    <x v="182"/>
    <s v="DICIEMBRE"/>
    <x v="31"/>
    <s v="MIÉRCOLES"/>
    <n v="256677"/>
    <x v="10"/>
    <n v="2640"/>
    <n v="120"/>
    <n v="448.8"/>
    <x v="0"/>
  </r>
  <r>
    <x v="182"/>
    <s v="DICIEMBRE"/>
    <x v="31"/>
    <s v="MIÉRCOLES"/>
    <n v="256708"/>
    <x v="12"/>
    <n v="900"/>
    <n v="225"/>
    <n v="360"/>
    <x v="0"/>
  </r>
  <r>
    <x v="182"/>
    <s v="DICIEMBRE"/>
    <x v="31"/>
    <s v="MIÉRCOLES"/>
    <n v="256709"/>
    <x v="19"/>
    <n v="450"/>
    <n v="225"/>
    <n v="180"/>
    <x v="0"/>
  </r>
  <r>
    <x v="182"/>
    <s v="DICIEMBRE"/>
    <x v="31"/>
    <s v="MIÉRCOLES"/>
    <n v="256720"/>
    <x v="42"/>
    <n v="500"/>
    <n v="420"/>
    <n v="210"/>
    <x v="0"/>
  </r>
  <r>
    <x v="182"/>
    <s v="DICIEMBRE"/>
    <x v="31"/>
    <s v="MIÉRCOLES"/>
    <n v="256488"/>
    <x v="6"/>
    <n v="1200"/>
    <n v="120"/>
    <n v="204.00000000000003"/>
    <x v="0"/>
  </r>
  <r>
    <x v="183"/>
    <s v="DICIEMBRE"/>
    <x v="31"/>
    <s v="JUEVES"/>
    <n v="251429"/>
    <x v="0"/>
    <n v="960"/>
    <n v="48"/>
    <n v="384"/>
    <x v="0"/>
  </r>
  <r>
    <x v="183"/>
    <s v="DICIEMBRE"/>
    <x v="31"/>
    <s v="JUEVES"/>
    <n v="251633"/>
    <x v="16"/>
    <n v="900"/>
    <n v="180"/>
    <n v="378"/>
    <x v="0"/>
  </r>
  <r>
    <x v="183"/>
    <s v="DICIEMBRE"/>
    <x v="31"/>
    <s v="JUEVES"/>
    <n v="251406"/>
    <x v="1"/>
    <n v="2376"/>
    <n v="198"/>
    <n v="403.92"/>
    <x v="0"/>
  </r>
  <r>
    <x v="183"/>
    <s v="DICIEMBRE"/>
    <x v="31"/>
    <s v="JUEVES"/>
    <n v="254853"/>
    <x v="2"/>
    <n v="2376"/>
    <n v="198"/>
    <n v="403.92"/>
    <x v="0"/>
  </r>
  <r>
    <x v="183"/>
    <s v="DICIEMBRE"/>
    <x v="31"/>
    <s v="JUEVES"/>
    <n v="256616"/>
    <x v="22"/>
    <n v="1980"/>
    <n v="198"/>
    <n v="336.6"/>
    <x v="0"/>
  </r>
  <r>
    <x v="183"/>
    <s v="DICIEMBRE"/>
    <x v="31"/>
    <s v="JUEVES"/>
    <n v="256617"/>
    <x v="3"/>
    <n v="990"/>
    <n v="198"/>
    <n v="168.3"/>
    <x v="0"/>
  </r>
  <r>
    <x v="183"/>
    <s v="DICIEMBRE"/>
    <x v="31"/>
    <s v="JUEVES"/>
    <n v="256666"/>
    <x v="4"/>
    <n v="1296"/>
    <n v="162"/>
    <n v="220.32000000000002"/>
    <x v="0"/>
  </r>
  <r>
    <x v="183"/>
    <s v="DICIEMBRE"/>
    <x v="31"/>
    <s v="JUEVES"/>
    <n v="256676"/>
    <x v="17"/>
    <n v="1560"/>
    <n v="120"/>
    <n v="265.20000000000005"/>
    <x v="0"/>
  </r>
  <r>
    <x v="183"/>
    <s v="DICIEMBRE"/>
    <x v="31"/>
    <s v="JUEVES"/>
    <n v="256674"/>
    <x v="7"/>
    <n v="2592"/>
    <n v="198"/>
    <n v="440.64000000000004"/>
    <x v="0"/>
  </r>
  <r>
    <x v="183"/>
    <s v="DICIEMBRE"/>
    <x v="31"/>
    <s v="JUEVES"/>
    <n v="256675"/>
    <x v="8"/>
    <n v="1728"/>
    <n v="198"/>
    <n v="293.76000000000005"/>
    <x v="0"/>
  </r>
  <r>
    <x v="183"/>
    <s v="DICIEMBRE"/>
    <x v="31"/>
    <s v="JUEVES"/>
    <n v="256677"/>
    <x v="10"/>
    <n v="6000"/>
    <n v="120"/>
    <n v="1020.0000000000001"/>
    <x v="0"/>
  </r>
  <r>
    <x v="183"/>
    <s v="DICIEMBRE"/>
    <x v="31"/>
    <s v="JUEVES"/>
    <n v="256678"/>
    <x v="11"/>
    <n v="2880"/>
    <n v="90"/>
    <n v="489.6"/>
    <x v="0"/>
  </r>
  <r>
    <x v="183"/>
    <s v="DICIEMBRE"/>
    <x v="31"/>
    <s v="JUEVES"/>
    <n v="256695"/>
    <x v="25"/>
    <n v="2250"/>
    <n v="225"/>
    <n v="945"/>
    <x v="0"/>
  </r>
  <r>
    <x v="183"/>
    <s v="DICIEMBRE"/>
    <x v="31"/>
    <s v="JUEVES"/>
    <n v="256488"/>
    <x v="6"/>
    <n v="2880"/>
    <n v="120"/>
    <n v="489.6"/>
    <x v="0"/>
  </r>
  <r>
    <x v="183"/>
    <s v="DICIEMBRE"/>
    <x v="31"/>
    <s v="JUEVES"/>
    <n v="252436"/>
    <x v="36"/>
    <n v="900"/>
    <n v="90"/>
    <n v="360"/>
    <x v="0"/>
  </r>
  <r>
    <x v="183"/>
    <s v="DICIEMBRE"/>
    <x v="31"/>
    <s v="JUEVES"/>
    <n v="256679"/>
    <x v="23"/>
    <n v="450"/>
    <n v="90"/>
    <n v="76.5"/>
    <x v="0"/>
  </r>
  <r>
    <x v="183"/>
    <s v="DICIEMBRE"/>
    <x v="31"/>
    <s v="JUEVES"/>
    <n v="256678"/>
    <x v="11"/>
    <n v="270"/>
    <n v="90"/>
    <n v="45.900000000000006"/>
    <x v="0"/>
  </r>
  <r>
    <x v="183"/>
    <s v="DICIEMBRE"/>
    <x v="31"/>
    <s v="JUEVES"/>
    <n v="256682"/>
    <x v="20"/>
    <n v="270"/>
    <n v="90"/>
    <n v="45.900000000000006"/>
    <x v="0"/>
  </r>
  <r>
    <x v="183"/>
    <s v="DICIEMBRE"/>
    <x v="31"/>
    <s v="JUEVES"/>
    <n v="254853"/>
    <x v="2"/>
    <n v="432"/>
    <n v="198"/>
    <n v="73.440000000000012"/>
    <x v="0"/>
  </r>
  <r>
    <x v="183"/>
    <s v="DICIEMBRE"/>
    <x v="31"/>
    <s v="JUEVES"/>
    <n v="256676"/>
    <x v="17"/>
    <n v="240"/>
    <n v="120"/>
    <n v="40.800000000000004"/>
    <x v="0"/>
  </r>
  <r>
    <x v="183"/>
    <s v="DICIEMBRE"/>
    <x v="31"/>
    <s v="JUEVES"/>
    <n v="256601"/>
    <x v="5"/>
    <n v="972"/>
    <n v="162"/>
    <n v="165.24"/>
    <x v="0"/>
  </r>
  <r>
    <x v="183"/>
    <s v="DICIEMBRE"/>
    <x v="31"/>
    <s v="JUEVES"/>
    <n v="256617"/>
    <x v="3"/>
    <n v="396"/>
    <n v="198"/>
    <n v="67.320000000000007"/>
    <x v="0"/>
  </r>
  <r>
    <x v="184"/>
    <s v="DICIEMBRE"/>
    <x v="31"/>
    <s v="VIERNES"/>
    <n v="256382"/>
    <x v="33"/>
    <n v="80"/>
    <n v="40"/>
    <n v="18.400000000000002"/>
    <x v="0"/>
  </r>
  <r>
    <x v="184"/>
    <s v="DICIEMBRE"/>
    <x v="31"/>
    <s v="VIERNES"/>
    <n v="256381"/>
    <x v="13"/>
    <n v="300"/>
    <n v="30"/>
    <n v="120"/>
    <x v="0"/>
  </r>
  <r>
    <x v="184"/>
    <s v="DICIEMBRE"/>
    <x v="31"/>
    <s v="VIERNES"/>
    <n v="251633"/>
    <x v="16"/>
    <n v="1440"/>
    <n v="180"/>
    <n v="604.79999999999995"/>
    <x v="0"/>
  </r>
  <r>
    <x v="184"/>
    <s v="DICIEMBRE"/>
    <x v="31"/>
    <s v="VIERNES"/>
    <n v="256617"/>
    <x v="3"/>
    <n v="1188"/>
    <n v="198"/>
    <n v="201.96"/>
    <x v="0"/>
  </r>
  <r>
    <x v="184"/>
    <s v="DICIEMBRE"/>
    <x v="31"/>
    <s v="VIERNES"/>
    <n v="256666"/>
    <x v="4"/>
    <n v="324"/>
    <n v="162"/>
    <n v="55.080000000000005"/>
    <x v="0"/>
  </r>
  <r>
    <x v="184"/>
    <s v="DICIEMBRE"/>
    <x v="31"/>
    <s v="VIERNES"/>
    <n v="256488"/>
    <x v="6"/>
    <n v="4080"/>
    <n v="120"/>
    <n v="693.6"/>
    <x v="0"/>
  </r>
  <r>
    <x v="184"/>
    <s v="DICIEMBRE"/>
    <x v="31"/>
    <s v="VIERNES"/>
    <n v="256674"/>
    <x v="7"/>
    <n v="1080"/>
    <n v="198"/>
    <n v="183.60000000000002"/>
    <x v="0"/>
  </r>
  <r>
    <x v="184"/>
    <s v="DICIEMBRE"/>
    <x v="31"/>
    <s v="VIERNES"/>
    <n v="256675"/>
    <x v="8"/>
    <n v="2160"/>
    <n v="198"/>
    <n v="367.20000000000005"/>
    <x v="0"/>
  </r>
  <r>
    <x v="184"/>
    <s v="DICIEMBRE"/>
    <x v="31"/>
    <s v="VIERNES"/>
    <n v="256652"/>
    <x v="9"/>
    <n v="900"/>
    <n v="90"/>
    <n v="153"/>
    <x v="0"/>
  </r>
  <r>
    <x v="184"/>
    <s v="DICIEMBRE"/>
    <x v="31"/>
    <s v="VIERNES"/>
    <n v="256677"/>
    <x v="10"/>
    <n v="4800"/>
    <n v="120"/>
    <n v="816.00000000000011"/>
    <x v="0"/>
  </r>
  <r>
    <x v="184"/>
    <s v="DICIEMBRE"/>
    <x v="31"/>
    <s v="VIERNES"/>
    <n v="256679"/>
    <x v="23"/>
    <n v="990"/>
    <n v="90"/>
    <n v="168.3"/>
    <x v="0"/>
  </r>
  <r>
    <x v="184"/>
    <s v="DICIEMBRE"/>
    <x v="31"/>
    <s v="VIERNES"/>
    <n v="256695"/>
    <x v="25"/>
    <n v="900"/>
    <n v="225"/>
    <n v="378"/>
    <x v="0"/>
  </r>
  <r>
    <x v="184"/>
    <s v="DICIEMBRE"/>
    <x v="31"/>
    <s v="VIERNES"/>
    <n v="751315"/>
    <x v="24"/>
    <n v="420"/>
    <n v="420"/>
    <n v="176.4"/>
    <x v="0"/>
  </r>
  <r>
    <x v="184"/>
    <s v="DICIEMBRE"/>
    <x v="31"/>
    <s v="VIERNES"/>
    <n v="256678"/>
    <x v="11"/>
    <n v="2160"/>
    <n v="90"/>
    <n v="367.20000000000005"/>
    <x v="0"/>
  </r>
  <r>
    <x v="185"/>
    <s v="DICIEMBRE"/>
    <x v="32"/>
    <s v="LUNES"/>
    <n v="256382"/>
    <x v="33"/>
    <n v="80"/>
    <n v="40"/>
    <n v="18.400000000000002"/>
    <x v="0"/>
  </r>
  <r>
    <x v="185"/>
    <s v="DICIEMBRE"/>
    <x v="32"/>
    <s v="LUNES"/>
    <n v="254762"/>
    <x v="40"/>
    <n v="448"/>
    <n v="240"/>
    <n v="179.20000000000002"/>
    <x v="0"/>
  </r>
  <r>
    <x v="185"/>
    <s v="DICIEMBRE"/>
    <x v="32"/>
    <s v="LUNES"/>
    <n v="251429"/>
    <x v="0"/>
    <n v="960"/>
    <n v="48"/>
    <n v="384"/>
    <x v="0"/>
  </r>
  <r>
    <x v="185"/>
    <s v="DICIEMBRE"/>
    <x v="32"/>
    <s v="LUNES"/>
    <n v="256488"/>
    <x v="6"/>
    <n v="3360"/>
    <n v="120"/>
    <n v="571.20000000000005"/>
    <x v="0"/>
  </r>
  <r>
    <x v="185"/>
    <s v="DICIEMBRE"/>
    <x v="32"/>
    <s v="LUNES"/>
    <n v="256652"/>
    <x v="9"/>
    <n v="2160"/>
    <n v="90"/>
    <n v="367.20000000000005"/>
    <x v="0"/>
  </r>
  <r>
    <x v="185"/>
    <s v="DICIEMBRE"/>
    <x v="32"/>
    <s v="LUNES"/>
    <n v="256677"/>
    <x v="10"/>
    <n v="2160"/>
    <n v="120"/>
    <n v="367.20000000000005"/>
    <x v="0"/>
  </r>
  <r>
    <x v="185"/>
    <s v="DICIEMBRE"/>
    <x v="32"/>
    <s v="LUNES"/>
    <n v="256674"/>
    <x v="7"/>
    <n v="1440"/>
    <n v="198"/>
    <n v="244.8"/>
    <x v="0"/>
  </r>
  <r>
    <x v="185"/>
    <s v="DICIEMBRE"/>
    <x v="32"/>
    <s v="LUNES"/>
    <n v="256678"/>
    <x v="11"/>
    <n v="3690"/>
    <n v="90"/>
    <n v="627.30000000000007"/>
    <x v="0"/>
  </r>
  <r>
    <x v="185"/>
    <s v="DICIEMBRE"/>
    <x v="32"/>
    <s v="LUNES"/>
    <n v="256695"/>
    <x v="25"/>
    <n v="1350"/>
    <n v="225"/>
    <n v="567"/>
    <x v="0"/>
  </r>
  <r>
    <x v="185"/>
    <s v="DICIEMBRE"/>
    <x v="32"/>
    <s v="LUNES"/>
    <n v="256721"/>
    <x v="43"/>
    <n v="1500"/>
    <n v="420"/>
    <n v="630"/>
    <x v="0"/>
  </r>
  <r>
    <x v="185"/>
    <s v="DICIEMBRE"/>
    <x v="32"/>
    <s v="LUNES"/>
    <n v="255430"/>
    <x v="30"/>
    <n v="1440"/>
    <n v="250"/>
    <n v="331.2"/>
    <x v="0"/>
  </r>
  <r>
    <x v="185"/>
    <s v="DICIEMBRE"/>
    <x v="32"/>
    <s v="LUNES"/>
    <n v="256677"/>
    <x v="10"/>
    <n v="8640"/>
    <n v="120"/>
    <n v="1468.8000000000002"/>
    <x v="0"/>
  </r>
  <r>
    <x v="185"/>
    <s v="DICIEMBRE"/>
    <x v="32"/>
    <s v="LUNES"/>
    <n v="256488"/>
    <x v="6"/>
    <n v="240"/>
    <n v="120"/>
    <n v="40.800000000000004"/>
    <x v="0"/>
  </r>
  <r>
    <x v="185"/>
    <s v="DICIEMBRE"/>
    <x v="32"/>
    <s v="LUNES"/>
    <n v="256678"/>
    <x v="11"/>
    <n v="810"/>
    <n v="90"/>
    <n v="137.70000000000002"/>
    <x v="0"/>
  </r>
  <r>
    <x v="185"/>
    <s v="DICIEMBRE"/>
    <x v="32"/>
    <s v="LUNES"/>
    <n v="255430"/>
    <x v="30"/>
    <n v="250"/>
    <n v="250"/>
    <n v="57.5"/>
    <x v="0"/>
  </r>
  <r>
    <x v="186"/>
    <s v="DICIEMBRE"/>
    <x v="32"/>
    <s v="MARTES"/>
    <n v="256383"/>
    <x v="28"/>
    <n v="150"/>
    <n v="30"/>
    <n v="34.5"/>
    <x v="0"/>
  </r>
  <r>
    <x v="186"/>
    <s v="DICIEMBRE"/>
    <x v="32"/>
    <s v="MARTES"/>
    <n v="256685"/>
    <x v="38"/>
    <n v="1120"/>
    <n v="112"/>
    <n v="448"/>
    <x v="0"/>
  </r>
  <r>
    <x v="186"/>
    <s v="DICIEMBRE"/>
    <x v="32"/>
    <s v="MARTES"/>
    <n v="251429"/>
    <x v="0"/>
    <n v="1920"/>
    <n v="48"/>
    <n v="768"/>
    <x v="0"/>
  </r>
  <r>
    <x v="186"/>
    <s v="DICIEMBRE"/>
    <x v="32"/>
    <s v="MARTES"/>
    <n v="751315"/>
    <x v="24"/>
    <n v="420"/>
    <n v="420"/>
    <n v="176.4"/>
    <x v="0"/>
  </r>
  <r>
    <x v="186"/>
    <s v="DICIEMBRE"/>
    <x v="32"/>
    <s v="MARTES"/>
    <n v="751544"/>
    <x v="39"/>
    <n v="420"/>
    <n v="420"/>
    <n v="176.4"/>
    <x v="0"/>
  </r>
  <r>
    <x v="186"/>
    <s v="DICIEMBRE"/>
    <x v="32"/>
    <s v="MARTES"/>
    <n v="256617"/>
    <x v="3"/>
    <n v="396"/>
    <n v="198"/>
    <n v="67.320000000000007"/>
    <x v="0"/>
  </r>
  <r>
    <x v="186"/>
    <s v="DICIEMBRE"/>
    <x v="32"/>
    <s v="MARTES"/>
    <n v="256488"/>
    <x v="6"/>
    <n v="1080"/>
    <n v="120"/>
    <n v="183.60000000000002"/>
    <x v="0"/>
  </r>
  <r>
    <x v="186"/>
    <s v="DICIEMBRE"/>
    <x v="32"/>
    <s v="MARTES"/>
    <n v="256676"/>
    <x v="17"/>
    <n v="3000"/>
    <n v="120"/>
    <n v="510.00000000000006"/>
    <x v="0"/>
  </r>
  <r>
    <x v="186"/>
    <s v="DICIEMBRE"/>
    <x v="32"/>
    <s v="MARTES"/>
    <n v="256675"/>
    <x v="8"/>
    <n v="1080"/>
    <n v="198"/>
    <n v="183.60000000000002"/>
    <x v="0"/>
  </r>
  <r>
    <x v="186"/>
    <s v="DICIEMBRE"/>
    <x v="32"/>
    <s v="MARTES"/>
    <n v="256652"/>
    <x v="9"/>
    <n v="1440"/>
    <n v="90"/>
    <n v="244.8"/>
    <x v="0"/>
  </r>
  <r>
    <x v="186"/>
    <s v="DICIEMBRE"/>
    <x v="32"/>
    <s v="MARTES"/>
    <n v="256677"/>
    <x v="10"/>
    <n v="3840"/>
    <n v="120"/>
    <n v="652.80000000000007"/>
    <x v="0"/>
  </r>
  <r>
    <x v="186"/>
    <s v="DICIEMBRE"/>
    <x v="32"/>
    <s v="MARTES"/>
    <n v="256678"/>
    <x v="11"/>
    <n v="2160"/>
    <n v="90"/>
    <n v="367.20000000000005"/>
    <x v="0"/>
  </r>
  <r>
    <x v="186"/>
    <s v="DICIEMBRE"/>
    <x v="32"/>
    <s v="MARTES"/>
    <n v="256682"/>
    <x v="20"/>
    <n v="2160"/>
    <n v="90"/>
    <n v="367.20000000000005"/>
    <x v="0"/>
  </r>
  <r>
    <x v="186"/>
    <s v="DICIEMBRE"/>
    <x v="32"/>
    <s v="MARTES"/>
    <n v="256708"/>
    <x v="12"/>
    <n v="900"/>
    <n v="225"/>
    <n v="360"/>
    <x v="0"/>
  </r>
  <r>
    <x v="186"/>
    <s v="DICIEMBRE"/>
    <x v="32"/>
    <s v="MARTES"/>
    <n v="256720"/>
    <x v="42"/>
    <n v="750"/>
    <n v="420"/>
    <n v="315"/>
    <x v="0"/>
  </r>
  <r>
    <x v="186"/>
    <s v="DICIEMBRE"/>
    <x v="32"/>
    <s v="MARTES"/>
    <n v="256753"/>
    <x v="48"/>
    <n v="360"/>
    <n v="30"/>
    <n v="75.599999999999994"/>
    <x v="0"/>
  </r>
  <r>
    <x v="186"/>
    <s v="DICIEMBRE"/>
    <x v="32"/>
    <s v="MARTES"/>
    <n v="255430"/>
    <x v="30"/>
    <n v="750"/>
    <n v="250"/>
    <n v="172.5"/>
    <x v="0"/>
  </r>
  <r>
    <x v="187"/>
    <s v="DICIEMBRE"/>
    <x v="32"/>
    <s v="MIÉRCOLES"/>
    <n v="256678"/>
    <x v="11"/>
    <n v="2160"/>
    <n v="90"/>
    <n v="367.20000000000005"/>
    <x v="0"/>
  </r>
  <r>
    <x v="187"/>
    <s v="DICIEMBRE"/>
    <x v="32"/>
    <s v="MIÉRCOLES"/>
    <n v="256383"/>
    <x v="28"/>
    <n v="150"/>
    <n v="30"/>
    <n v="34.5"/>
    <x v="0"/>
  </r>
  <r>
    <x v="187"/>
    <s v="DICIEMBRE"/>
    <x v="32"/>
    <s v="MIÉRCOLES"/>
    <n v="256381"/>
    <x v="13"/>
    <n v="150"/>
    <n v="30"/>
    <n v="60"/>
    <x v="0"/>
  </r>
  <r>
    <x v="187"/>
    <s v="DICIEMBRE"/>
    <x v="32"/>
    <s v="MIÉRCOLES"/>
    <n v="256379"/>
    <x v="15"/>
    <n v="500"/>
    <n v="50"/>
    <n v="200"/>
    <x v="0"/>
  </r>
  <r>
    <x v="187"/>
    <s v="DICIEMBRE"/>
    <x v="32"/>
    <s v="MIÉRCOLES"/>
    <n v="251633"/>
    <x v="16"/>
    <n v="1800"/>
    <n v="180"/>
    <n v="756"/>
    <x v="0"/>
  </r>
  <r>
    <x v="187"/>
    <s v="DICIEMBRE"/>
    <x v="32"/>
    <s v="MIÉRCOLES"/>
    <n v="256488"/>
    <x v="6"/>
    <n v="720"/>
    <n v="120"/>
    <n v="122.4"/>
    <x v="0"/>
  </r>
  <r>
    <x v="187"/>
    <s v="DICIEMBRE"/>
    <x v="32"/>
    <s v="MIÉRCOLES"/>
    <n v="256652"/>
    <x v="9"/>
    <n v="2160"/>
    <n v="90"/>
    <n v="367.20000000000005"/>
    <x v="0"/>
  </r>
  <r>
    <x v="187"/>
    <s v="DICIEMBRE"/>
    <x v="32"/>
    <s v="MIÉRCOLES"/>
    <n v="256677"/>
    <x v="10"/>
    <n v="11040"/>
    <n v="120"/>
    <n v="1876.8000000000002"/>
    <x v="0"/>
  </r>
  <r>
    <x v="187"/>
    <s v="DICIEMBRE"/>
    <x v="32"/>
    <s v="MIÉRCOLES"/>
    <n v="256679"/>
    <x v="23"/>
    <n v="2610"/>
    <n v="90"/>
    <n v="443.70000000000005"/>
    <x v="0"/>
  </r>
  <r>
    <x v="187"/>
    <s v="DICIEMBRE"/>
    <x v="32"/>
    <s v="MIÉRCOLES"/>
    <n v="256678"/>
    <x v="11"/>
    <n v="9360"/>
    <n v="90"/>
    <n v="1591.2"/>
    <x v="0"/>
  </r>
  <r>
    <x v="187"/>
    <s v="DICIEMBRE"/>
    <x v="32"/>
    <s v="MIÉRCOLES"/>
    <n v="256708"/>
    <x v="12"/>
    <n v="675"/>
    <n v="225"/>
    <n v="270"/>
    <x v="0"/>
  </r>
  <r>
    <x v="187"/>
    <s v="DICIEMBRE"/>
    <x v="32"/>
    <s v="MIÉRCOLES"/>
    <n v="256709"/>
    <x v="19"/>
    <n v="450"/>
    <n v="225"/>
    <n v="180"/>
    <x v="0"/>
  </r>
  <r>
    <x v="187"/>
    <s v="DICIEMBRE"/>
    <x v="32"/>
    <s v="MIÉRCOLES"/>
    <n v="256721"/>
    <x v="43"/>
    <n v="1250"/>
    <n v="420"/>
    <n v="525"/>
    <x v="0"/>
  </r>
  <r>
    <x v="187"/>
    <s v="DICIEMBRE"/>
    <x v="32"/>
    <s v="MIÉRCOLES"/>
    <n v="256753"/>
    <x v="48"/>
    <n v="360"/>
    <n v="30"/>
    <n v="75.599999999999994"/>
    <x v="0"/>
  </r>
  <r>
    <x v="188"/>
    <s v="DICIEMBRE"/>
    <x v="32"/>
    <s v="JUEVES"/>
    <n v="256381"/>
    <x v="13"/>
    <n v="210"/>
    <n v="30"/>
    <n v="84"/>
    <x v="0"/>
  </r>
  <r>
    <x v="188"/>
    <s v="DICIEMBRE"/>
    <x v="32"/>
    <s v="JUEVES"/>
    <n v="256379"/>
    <x v="15"/>
    <n v="250"/>
    <n v="50"/>
    <n v="100"/>
    <x v="0"/>
  </r>
  <r>
    <x v="188"/>
    <s v="DICIEMBRE"/>
    <x v="32"/>
    <s v="JUEVES"/>
    <n v="256685"/>
    <x v="38"/>
    <n v="560"/>
    <n v="112"/>
    <n v="224"/>
    <x v="0"/>
  </r>
  <r>
    <x v="188"/>
    <s v="DICIEMBRE"/>
    <x v="32"/>
    <s v="JUEVES"/>
    <n v="256488"/>
    <x v="6"/>
    <n v="1800"/>
    <n v="120"/>
    <n v="306"/>
    <x v="0"/>
  </r>
  <r>
    <x v="188"/>
    <s v="DICIEMBRE"/>
    <x v="32"/>
    <s v="JUEVES"/>
    <n v="256676"/>
    <x v="17"/>
    <n v="4800"/>
    <n v="120"/>
    <n v="816.00000000000011"/>
    <x v="0"/>
  </r>
  <r>
    <x v="188"/>
    <s v="DICIEMBRE"/>
    <x v="32"/>
    <s v="JUEVES"/>
    <n v="256652"/>
    <x v="9"/>
    <n v="1440"/>
    <n v="90"/>
    <n v="244.8"/>
    <x v="0"/>
  </r>
  <r>
    <x v="188"/>
    <s v="DICIEMBRE"/>
    <x v="32"/>
    <s v="JUEVES"/>
    <n v="256677"/>
    <x v="10"/>
    <n v="1920"/>
    <n v="120"/>
    <n v="326.40000000000003"/>
    <x v="0"/>
  </r>
  <r>
    <x v="188"/>
    <s v="DICIEMBRE"/>
    <x v="32"/>
    <s v="JUEVES"/>
    <n v="256679"/>
    <x v="23"/>
    <n v="2880"/>
    <n v="90"/>
    <n v="489.6"/>
    <x v="0"/>
  </r>
  <r>
    <x v="188"/>
    <s v="DICIEMBRE"/>
    <x v="32"/>
    <s v="JUEVES"/>
    <n v="256678"/>
    <x v="11"/>
    <n v="5760"/>
    <n v="90"/>
    <n v="979.2"/>
    <x v="0"/>
  </r>
  <r>
    <x v="188"/>
    <s v="DICIEMBRE"/>
    <x v="32"/>
    <s v="JUEVES"/>
    <n v="256695"/>
    <x v="25"/>
    <n v="1350"/>
    <n v="225"/>
    <n v="567"/>
    <x v="0"/>
  </r>
  <r>
    <x v="188"/>
    <s v="DICIEMBRE"/>
    <x v="32"/>
    <s v="JUEVES"/>
    <n v="256720"/>
    <x v="42"/>
    <n v="1250"/>
    <n v="420"/>
    <n v="525"/>
    <x v="0"/>
  </r>
  <r>
    <x v="188"/>
    <s v="DICIEMBRE"/>
    <x v="32"/>
    <s v="JUEVES"/>
    <n v="256753"/>
    <x v="48"/>
    <n v="360"/>
    <n v="30"/>
    <n v="75.599999999999994"/>
    <x v="0"/>
  </r>
  <r>
    <x v="189"/>
    <s v="DICIEMBRE"/>
    <x v="32"/>
    <s v="VIERNES"/>
    <n v="254853"/>
    <x v="2"/>
    <n v="2160"/>
    <n v="198"/>
    <n v="367.20000000000005"/>
    <x v="0"/>
  </r>
  <r>
    <x v="189"/>
    <s v="DICIEMBRE"/>
    <x v="32"/>
    <s v="VIERNES"/>
    <n v="256666"/>
    <x v="4"/>
    <n v="972"/>
    <n v="162"/>
    <n v="165.24"/>
    <x v="0"/>
  </r>
  <r>
    <x v="189"/>
    <s v="DICIEMBRE"/>
    <x v="32"/>
    <s v="VIERNES"/>
    <n v="256488"/>
    <x v="6"/>
    <n v="4920"/>
    <n v="120"/>
    <n v="836.40000000000009"/>
    <x v="0"/>
  </r>
  <r>
    <x v="189"/>
    <s v="DICIEMBRE"/>
    <x v="32"/>
    <s v="VIERNES"/>
    <n v="256675"/>
    <x v="8"/>
    <n v="216"/>
    <n v="198"/>
    <n v="36.720000000000006"/>
    <x v="0"/>
  </r>
  <r>
    <x v="189"/>
    <s v="DICIEMBRE"/>
    <x v="32"/>
    <s v="VIERNES"/>
    <n v="256652"/>
    <x v="9"/>
    <n v="1080"/>
    <n v="90"/>
    <n v="183.60000000000002"/>
    <x v="0"/>
  </r>
  <r>
    <x v="189"/>
    <s v="DICIEMBRE"/>
    <x v="32"/>
    <s v="VIERNES"/>
    <n v="256679"/>
    <x v="23"/>
    <n v="810"/>
    <n v="90"/>
    <n v="137.70000000000002"/>
    <x v="0"/>
  </r>
  <r>
    <x v="189"/>
    <s v="DICIEMBRE"/>
    <x v="32"/>
    <s v="VIERNES"/>
    <n v="256678"/>
    <x v="11"/>
    <n v="4500"/>
    <n v="90"/>
    <n v="765"/>
    <x v="0"/>
  </r>
  <r>
    <x v="189"/>
    <s v="DICIEMBRE"/>
    <x v="32"/>
    <s v="VIERNES"/>
    <n v="256720"/>
    <x v="42"/>
    <n v="1250"/>
    <n v="420"/>
    <n v="525"/>
    <x v="0"/>
  </r>
  <r>
    <x v="189"/>
    <s v="DICIEMBRE"/>
    <x v="32"/>
    <s v="VIERNES"/>
    <n v="256721"/>
    <x v="43"/>
    <n v="250"/>
    <n v="420"/>
    <n v="105"/>
    <x v="0"/>
  </r>
  <r>
    <x v="190"/>
    <s v="ENERO"/>
    <x v="22"/>
    <s v="LUNES"/>
    <n v="256616"/>
    <x v="22"/>
    <n v="396"/>
    <n v="198"/>
    <n v="67.320000000000007"/>
    <x v="3"/>
  </r>
  <r>
    <x v="190"/>
    <s v="ENERO"/>
    <x v="22"/>
    <s v="LUNES"/>
    <n v="256488"/>
    <x v="6"/>
    <n v="4320"/>
    <n v="120"/>
    <n v="734.40000000000009"/>
    <x v="3"/>
  </r>
  <r>
    <x v="190"/>
    <s v="ENERO"/>
    <x v="22"/>
    <s v="LUNES"/>
    <n v="256676"/>
    <x v="17"/>
    <n v="3600"/>
    <n v="120"/>
    <n v="612"/>
    <x v="3"/>
  </r>
  <r>
    <x v="190"/>
    <s v="ENERO"/>
    <x v="22"/>
    <s v="LUNES"/>
    <n v="256678"/>
    <x v="11"/>
    <n v="4320"/>
    <n v="90"/>
    <n v="734.40000000000009"/>
    <x v="3"/>
  </r>
  <r>
    <x v="190"/>
    <s v="ENERO"/>
    <x v="22"/>
    <s v="LUNES"/>
    <n v="256708"/>
    <x v="12"/>
    <n v="900"/>
    <n v="225"/>
    <n v="360"/>
    <x v="3"/>
  </r>
  <r>
    <x v="190"/>
    <s v="ENERO"/>
    <x v="22"/>
    <s v="LUNES"/>
    <n v="256709"/>
    <x v="19"/>
    <n v="675"/>
    <n v="225"/>
    <n v="270"/>
    <x v="3"/>
  </r>
  <r>
    <x v="190"/>
    <s v="ENERO"/>
    <x v="22"/>
    <s v="LUNES"/>
    <n v="256721"/>
    <x v="43"/>
    <n v="750"/>
    <n v="420"/>
    <n v="315"/>
    <x v="3"/>
  </r>
  <r>
    <x v="190"/>
    <s v="ENERO"/>
    <x v="22"/>
    <s v="LUNES"/>
    <n v="256695"/>
    <x v="25"/>
    <n v="1350"/>
    <n v="225"/>
    <n v="567"/>
    <x v="3"/>
  </r>
  <r>
    <x v="190"/>
    <s v="ENERO"/>
    <x v="22"/>
    <s v="LUNES"/>
    <n v="251633"/>
    <x v="16"/>
    <n v="900"/>
    <n v="180"/>
    <n v="378"/>
    <x v="3"/>
  </r>
  <r>
    <x v="191"/>
    <s v="ENERO"/>
    <x v="22"/>
    <s v="MARTES"/>
    <n v="256695"/>
    <x v="25"/>
    <n v="2250"/>
    <n v="225"/>
    <n v="945"/>
    <x v="3"/>
  </r>
  <r>
    <x v="191"/>
    <s v="ENERO"/>
    <x v="22"/>
    <s v="MARTES"/>
    <n v="256708"/>
    <x v="12"/>
    <n v="1125"/>
    <n v="225"/>
    <n v="450"/>
    <x v="3"/>
  </r>
  <r>
    <x v="191"/>
    <s v="ENERO"/>
    <x v="22"/>
    <s v="MARTES"/>
    <n v="256709"/>
    <x v="19"/>
    <n v="450"/>
    <n v="225"/>
    <n v="180"/>
    <x v="3"/>
  </r>
  <r>
    <x v="191"/>
    <s v="ENERO"/>
    <x v="22"/>
    <s v="MARTES"/>
    <n v="256383"/>
    <x v="28"/>
    <n v="240"/>
    <n v="30"/>
    <n v="55.2"/>
    <x v="3"/>
  </r>
  <r>
    <x v="191"/>
    <s v="ENERO"/>
    <x v="22"/>
    <s v="MARTES"/>
    <n v="256380"/>
    <x v="14"/>
    <n v="200"/>
    <n v="40"/>
    <n v="46"/>
    <x v="3"/>
  </r>
  <r>
    <x v="191"/>
    <s v="ENERO"/>
    <x v="22"/>
    <s v="MARTES"/>
    <n v="254762"/>
    <x v="40"/>
    <n v="672"/>
    <n v="240"/>
    <n v="268.8"/>
    <x v="3"/>
  </r>
  <r>
    <x v="191"/>
    <s v="ENERO"/>
    <x v="22"/>
    <s v="MARTES"/>
    <n v="256685"/>
    <x v="38"/>
    <n v="448"/>
    <n v="112"/>
    <n v="179.20000000000002"/>
    <x v="3"/>
  </r>
  <r>
    <x v="191"/>
    <s v="ENERO"/>
    <x v="22"/>
    <s v="MARTES"/>
    <n v="251429"/>
    <x v="0"/>
    <n v="1248"/>
    <n v="48"/>
    <n v="499.20000000000005"/>
    <x v="3"/>
  </r>
  <r>
    <x v="191"/>
    <s v="ENERO"/>
    <x v="22"/>
    <s v="MARTES"/>
    <n v="251633"/>
    <x v="16"/>
    <n v="1260"/>
    <n v="180"/>
    <n v="529.19999999999993"/>
    <x v="3"/>
  </r>
  <r>
    <x v="191"/>
    <s v="ENERO"/>
    <x v="22"/>
    <s v="MARTES"/>
    <n v="251406"/>
    <x v="1"/>
    <n v="6480"/>
    <n v="198"/>
    <n v="1101.6000000000001"/>
    <x v="3"/>
  </r>
  <r>
    <x v="191"/>
    <s v="ENERO"/>
    <x v="22"/>
    <s v="MARTES"/>
    <n v="256617"/>
    <x v="3"/>
    <n v="396"/>
    <n v="198"/>
    <n v="67.320000000000007"/>
    <x v="3"/>
  </r>
  <r>
    <x v="191"/>
    <s v="ENERO"/>
    <x v="22"/>
    <s v="MARTES"/>
    <n v="256488"/>
    <x v="6"/>
    <n v="4800"/>
    <n v="120"/>
    <n v="816.00000000000011"/>
    <x v="3"/>
  </r>
  <r>
    <x v="191"/>
    <s v="ENERO"/>
    <x v="22"/>
    <s v="MARTES"/>
    <n v="256676"/>
    <x v="17"/>
    <n v="4800"/>
    <n v="120"/>
    <n v="816.00000000000011"/>
    <x v="3"/>
  </r>
  <r>
    <x v="191"/>
    <s v="ENERO"/>
    <x v="22"/>
    <s v="MARTES"/>
    <n v="256675"/>
    <x v="8"/>
    <n v="1296"/>
    <n v="198"/>
    <n v="220.32000000000002"/>
    <x v="3"/>
  </r>
  <r>
    <x v="191"/>
    <s v="ENERO"/>
    <x v="22"/>
    <s v="MARTES"/>
    <n v="256652"/>
    <x v="9"/>
    <n v="540"/>
    <n v="90"/>
    <n v="91.800000000000011"/>
    <x v="3"/>
  </r>
  <r>
    <x v="191"/>
    <s v="ENERO"/>
    <x v="22"/>
    <s v="MARTES"/>
    <n v="256677"/>
    <x v="10"/>
    <n v="960"/>
    <n v="120"/>
    <n v="163.20000000000002"/>
    <x v="3"/>
  </r>
  <r>
    <x v="191"/>
    <s v="ENERO"/>
    <x v="22"/>
    <s v="MARTES"/>
    <n v="256679"/>
    <x v="23"/>
    <n v="2880"/>
    <n v="90"/>
    <n v="489.6"/>
    <x v="3"/>
  </r>
  <r>
    <x v="191"/>
    <s v="ENERO"/>
    <x v="22"/>
    <s v="MARTES"/>
    <n v="256682"/>
    <x v="20"/>
    <n v="900"/>
    <n v="90"/>
    <n v="153"/>
    <x v="3"/>
  </r>
  <r>
    <x v="192"/>
    <s v="ENERO"/>
    <x v="22"/>
    <s v="MIÉRCOLES"/>
    <n v="256383"/>
    <x v="28"/>
    <n v="150"/>
    <n v="30"/>
    <n v="34.5"/>
    <x v="3"/>
  </r>
  <r>
    <x v="192"/>
    <s v="ENERO"/>
    <x v="22"/>
    <s v="MIÉRCOLES"/>
    <n v="256381"/>
    <x v="13"/>
    <n v="240"/>
    <n v="30"/>
    <n v="96"/>
    <x v="3"/>
  </r>
  <r>
    <x v="192"/>
    <s v="ENERO"/>
    <x v="22"/>
    <s v="MIÉRCOLES"/>
    <n v="256379"/>
    <x v="15"/>
    <n v="300"/>
    <n v="50"/>
    <n v="120"/>
    <x v="3"/>
  </r>
  <r>
    <x v="192"/>
    <s v="ENERO"/>
    <x v="22"/>
    <s v="MIÉRCOLES"/>
    <n v="256685"/>
    <x v="38"/>
    <n v="448"/>
    <n v="112"/>
    <n v="179.20000000000002"/>
    <x v="3"/>
  </r>
  <r>
    <x v="192"/>
    <s v="ENERO"/>
    <x v="22"/>
    <s v="MIÉRCOLES"/>
    <n v="251429"/>
    <x v="0"/>
    <n v="912"/>
    <n v="48"/>
    <n v="364.8"/>
    <x v="3"/>
  </r>
  <r>
    <x v="192"/>
    <s v="ENERO"/>
    <x v="22"/>
    <s v="MIÉRCOLES"/>
    <n v="251406"/>
    <x v="1"/>
    <n v="4320"/>
    <n v="198"/>
    <n v="734.40000000000009"/>
    <x v="3"/>
  </r>
  <r>
    <x v="192"/>
    <s v="ENERO"/>
    <x v="22"/>
    <s v="MIÉRCOLES"/>
    <n v="254853"/>
    <x v="2"/>
    <n v="2160"/>
    <n v="198"/>
    <n v="367.20000000000005"/>
    <x v="3"/>
  </r>
  <r>
    <x v="192"/>
    <s v="ENERO"/>
    <x v="22"/>
    <s v="MIÉRCOLES"/>
    <n v="256616"/>
    <x v="22"/>
    <n v="1386"/>
    <n v="198"/>
    <n v="235.62"/>
    <x v="3"/>
  </r>
  <r>
    <x v="192"/>
    <s v="ENERO"/>
    <x v="22"/>
    <s v="MIÉRCOLES"/>
    <n v="256617"/>
    <x v="3"/>
    <n v="3960"/>
    <n v="198"/>
    <n v="673.2"/>
    <x v="3"/>
  </r>
  <r>
    <x v="192"/>
    <s v="ENERO"/>
    <x v="22"/>
    <s v="MIÉRCOLES"/>
    <n v="256666"/>
    <x v="4"/>
    <n v="1620"/>
    <n v="162"/>
    <n v="275.40000000000003"/>
    <x v="3"/>
  </r>
  <r>
    <x v="192"/>
    <s v="ENERO"/>
    <x v="22"/>
    <s v="MIÉRCOLES"/>
    <n v="256601"/>
    <x v="5"/>
    <n v="1134"/>
    <n v="162"/>
    <n v="192.78"/>
    <x v="3"/>
  </r>
  <r>
    <x v="192"/>
    <s v="ENERO"/>
    <x v="22"/>
    <s v="MIÉRCOLES"/>
    <n v="256674"/>
    <x v="7"/>
    <n v="3672"/>
    <n v="198"/>
    <n v="624.24"/>
    <x v="3"/>
  </r>
  <r>
    <x v="192"/>
    <s v="ENERO"/>
    <x v="22"/>
    <s v="MIÉRCOLES"/>
    <n v="256675"/>
    <x v="8"/>
    <n v="3024"/>
    <n v="198"/>
    <n v="514.08000000000004"/>
    <x v="3"/>
  </r>
  <r>
    <x v="192"/>
    <s v="ENERO"/>
    <x v="22"/>
    <s v="MIÉRCOLES"/>
    <n v="256652"/>
    <x v="9"/>
    <n v="900"/>
    <n v="90"/>
    <n v="153"/>
    <x v="3"/>
  </r>
  <r>
    <x v="192"/>
    <s v="ENERO"/>
    <x v="22"/>
    <s v="MIÉRCOLES"/>
    <n v="256677"/>
    <x v="10"/>
    <n v="600"/>
    <n v="120"/>
    <n v="102.00000000000001"/>
    <x v="3"/>
  </r>
  <r>
    <x v="192"/>
    <s v="ENERO"/>
    <x v="22"/>
    <s v="MIÉRCOLES"/>
    <n v="256680"/>
    <x v="26"/>
    <n v="270"/>
    <n v="90"/>
    <n v="45.900000000000006"/>
    <x v="3"/>
  </r>
  <r>
    <x v="192"/>
    <s v="ENERO"/>
    <x v="22"/>
    <s v="MIÉRCOLES"/>
    <n v="256679"/>
    <x v="23"/>
    <n v="360"/>
    <n v="90"/>
    <n v="61.2"/>
    <x v="3"/>
  </r>
  <r>
    <x v="192"/>
    <s v="ENERO"/>
    <x v="22"/>
    <s v="MIÉRCOLES"/>
    <n v="256678"/>
    <x v="11"/>
    <n v="1350"/>
    <n v="90"/>
    <n v="229.50000000000003"/>
    <x v="3"/>
  </r>
  <r>
    <x v="192"/>
    <s v="ENERO"/>
    <x v="22"/>
    <s v="MIÉRCOLES"/>
    <n v="256682"/>
    <x v="20"/>
    <n v="450"/>
    <n v="90"/>
    <n v="76.5"/>
    <x v="3"/>
  </r>
  <r>
    <x v="192"/>
    <s v="ENERO"/>
    <x v="22"/>
    <s v="MIÉRCOLES"/>
    <n v="256695"/>
    <x v="25"/>
    <n v="450"/>
    <n v="225"/>
    <n v="189"/>
    <x v="3"/>
  </r>
  <r>
    <x v="192"/>
    <s v="ENERO"/>
    <x v="22"/>
    <s v="MIÉRCOLES"/>
    <n v="256708"/>
    <x v="12"/>
    <n v="675"/>
    <n v="225"/>
    <n v="270"/>
    <x v="3"/>
  </r>
  <r>
    <x v="192"/>
    <s v="ENERO"/>
    <x v="22"/>
    <s v="MIÉRCOLES"/>
    <n v="256720"/>
    <x v="42"/>
    <n v="750"/>
    <n v="420"/>
    <n v="315"/>
    <x v="3"/>
  </r>
  <r>
    <x v="193"/>
    <s v="ENERO"/>
    <x v="22"/>
    <s v="JUEVES"/>
    <n v="256383"/>
    <x v="28"/>
    <n v="300"/>
    <n v="30"/>
    <n v="69"/>
    <x v="3"/>
  </r>
  <r>
    <x v="193"/>
    <s v="ENERO"/>
    <x v="22"/>
    <s v="JUEVES"/>
    <n v="256381"/>
    <x v="13"/>
    <n v="300"/>
    <n v="30"/>
    <n v="120"/>
    <x v="3"/>
  </r>
  <r>
    <x v="193"/>
    <s v="ENERO"/>
    <x v="22"/>
    <s v="JUEVES"/>
    <n v="256379"/>
    <x v="15"/>
    <n v="100"/>
    <n v="50"/>
    <n v="40"/>
    <x v="3"/>
  </r>
  <r>
    <x v="193"/>
    <s v="ENERO"/>
    <x v="22"/>
    <s v="JUEVES"/>
    <n v="251633"/>
    <x v="16"/>
    <n v="900"/>
    <n v="180"/>
    <n v="378"/>
    <x v="3"/>
  </r>
  <r>
    <x v="193"/>
    <s v="ENERO"/>
    <x v="22"/>
    <s v="JUEVES"/>
    <n v="251406"/>
    <x v="1"/>
    <n v="4320"/>
    <n v="198"/>
    <n v="734.40000000000009"/>
    <x v="3"/>
  </r>
  <r>
    <x v="193"/>
    <s v="ENERO"/>
    <x v="22"/>
    <s v="JUEVES"/>
    <n v="254853"/>
    <x v="2"/>
    <n v="2160"/>
    <n v="198"/>
    <n v="367.20000000000005"/>
    <x v="3"/>
  </r>
  <r>
    <x v="193"/>
    <s v="ENERO"/>
    <x v="22"/>
    <s v="JUEVES"/>
    <n v="256666"/>
    <x v="4"/>
    <n v="1620"/>
    <n v="162"/>
    <n v="275.40000000000003"/>
    <x v="3"/>
  </r>
  <r>
    <x v="193"/>
    <s v="ENERO"/>
    <x v="22"/>
    <s v="JUEVES"/>
    <n v="256601"/>
    <x v="5"/>
    <n v="1458"/>
    <n v="162"/>
    <n v="247.86"/>
    <x v="3"/>
  </r>
  <r>
    <x v="193"/>
    <s v="ENERO"/>
    <x v="22"/>
    <s v="JUEVES"/>
    <n v="256676"/>
    <x v="17"/>
    <n v="2880"/>
    <n v="120"/>
    <n v="489.6"/>
    <x v="3"/>
  </r>
  <r>
    <x v="193"/>
    <s v="ENERO"/>
    <x v="22"/>
    <s v="JUEVES"/>
    <n v="256674"/>
    <x v="7"/>
    <n v="2160"/>
    <n v="198"/>
    <n v="367.20000000000005"/>
    <x v="3"/>
  </r>
  <r>
    <x v="193"/>
    <s v="ENERO"/>
    <x v="22"/>
    <s v="JUEVES"/>
    <n v="256652"/>
    <x v="9"/>
    <n v="1440"/>
    <n v="90"/>
    <n v="244.8"/>
    <x v="3"/>
  </r>
  <r>
    <x v="193"/>
    <s v="ENERO"/>
    <x v="22"/>
    <s v="JUEVES"/>
    <n v="256677"/>
    <x v="10"/>
    <n v="720"/>
    <n v="120"/>
    <n v="122.4"/>
    <x v="3"/>
  </r>
  <r>
    <x v="193"/>
    <s v="ENERO"/>
    <x v="22"/>
    <s v="JUEVES"/>
    <n v="256680"/>
    <x v="26"/>
    <n v="1440"/>
    <n v="90"/>
    <n v="244.8"/>
    <x v="3"/>
  </r>
  <r>
    <x v="193"/>
    <s v="ENERO"/>
    <x v="22"/>
    <s v="JUEVES"/>
    <n v="256679"/>
    <x v="23"/>
    <n v="2160"/>
    <n v="90"/>
    <n v="367.20000000000005"/>
    <x v="3"/>
  </r>
  <r>
    <x v="193"/>
    <s v="ENERO"/>
    <x v="22"/>
    <s v="JUEVES"/>
    <n v="256678"/>
    <x v="11"/>
    <n v="2880"/>
    <n v="90"/>
    <n v="489.6"/>
    <x v="3"/>
  </r>
  <r>
    <x v="193"/>
    <s v="ENERO"/>
    <x v="22"/>
    <s v="JUEVES"/>
    <n v="256682"/>
    <x v="20"/>
    <n v="720"/>
    <n v="90"/>
    <n v="122.4"/>
    <x v="3"/>
  </r>
  <r>
    <x v="193"/>
    <s v="ENERO"/>
    <x v="22"/>
    <s v="JUEVES"/>
    <n v="256695"/>
    <x v="25"/>
    <n v="1350"/>
    <n v="225"/>
    <n v="567"/>
    <x v="3"/>
  </r>
  <r>
    <x v="193"/>
    <s v="ENERO"/>
    <x v="22"/>
    <s v="JUEVES"/>
    <n v="256721"/>
    <x v="43"/>
    <n v="1000"/>
    <n v="420"/>
    <n v="420"/>
    <x v="3"/>
  </r>
  <r>
    <x v="194"/>
    <s v="ENERO"/>
    <x v="22"/>
    <s v="VIERNES"/>
    <n v="256383"/>
    <x v="28"/>
    <n v="150"/>
    <n v="30"/>
    <n v="34.5"/>
    <x v="3"/>
  </r>
  <r>
    <x v="194"/>
    <s v="ENERO"/>
    <x v="22"/>
    <s v="VIERNES"/>
    <n v="256382"/>
    <x v="33"/>
    <n v="240"/>
    <n v="40"/>
    <n v="55.2"/>
    <x v="3"/>
  </r>
  <r>
    <x v="194"/>
    <s v="ENERO"/>
    <x v="22"/>
    <s v="VIERNES"/>
    <n v="256381"/>
    <x v="13"/>
    <n v="270"/>
    <n v="30"/>
    <n v="108"/>
    <x v="3"/>
  </r>
  <r>
    <x v="194"/>
    <s v="ENERO"/>
    <x v="22"/>
    <s v="VIERNES"/>
    <n v="256380"/>
    <x v="14"/>
    <n v="120"/>
    <n v="40"/>
    <n v="27.6"/>
    <x v="3"/>
  </r>
  <r>
    <x v="194"/>
    <s v="ENERO"/>
    <x v="22"/>
    <s v="VIERNES"/>
    <n v="256379"/>
    <x v="15"/>
    <n v="100"/>
    <n v="50"/>
    <n v="40"/>
    <x v="3"/>
  </r>
  <r>
    <x v="194"/>
    <s v="ENERO"/>
    <x v="22"/>
    <s v="VIERNES"/>
    <n v="251429"/>
    <x v="0"/>
    <n v="960"/>
    <n v="48"/>
    <n v="384"/>
    <x v="3"/>
  </r>
  <r>
    <x v="194"/>
    <s v="ENERO"/>
    <x v="22"/>
    <s v="VIERNES"/>
    <n v="251406"/>
    <x v="1"/>
    <n v="2160"/>
    <n v="198"/>
    <n v="367.20000000000005"/>
    <x v="3"/>
  </r>
  <r>
    <x v="194"/>
    <s v="ENERO"/>
    <x v="22"/>
    <s v="VIERNES"/>
    <n v="254853"/>
    <x v="2"/>
    <n v="2160"/>
    <n v="198"/>
    <n v="367.20000000000005"/>
    <x v="3"/>
  </r>
  <r>
    <x v="194"/>
    <s v="ENERO"/>
    <x v="22"/>
    <s v="VIERNES"/>
    <n v="256549"/>
    <x v="29"/>
    <n v="216"/>
    <n v="198"/>
    <n v="36.720000000000006"/>
    <x v="3"/>
  </r>
  <r>
    <x v="194"/>
    <s v="ENERO"/>
    <x v="22"/>
    <s v="VIERNES"/>
    <n v="256666"/>
    <x v="4"/>
    <n v="972"/>
    <n v="162"/>
    <n v="165.24"/>
    <x v="3"/>
  </r>
  <r>
    <x v="194"/>
    <s v="ENERO"/>
    <x v="22"/>
    <s v="VIERNES"/>
    <n v="256601"/>
    <x v="5"/>
    <n v="972"/>
    <n v="162"/>
    <n v="165.24"/>
    <x v="3"/>
  </r>
  <r>
    <x v="194"/>
    <s v="ENERO"/>
    <x v="22"/>
    <s v="VIERNES"/>
    <n v="256674"/>
    <x v="7"/>
    <n v="2160"/>
    <n v="198"/>
    <n v="367.20000000000005"/>
    <x v="3"/>
  </r>
  <r>
    <x v="194"/>
    <s v="ENERO"/>
    <x v="22"/>
    <s v="VIERNES"/>
    <n v="256652"/>
    <x v="9"/>
    <n v="450"/>
    <n v="90"/>
    <n v="76.5"/>
    <x v="3"/>
  </r>
  <r>
    <x v="194"/>
    <s v="ENERO"/>
    <x v="22"/>
    <s v="VIERNES"/>
    <n v="256678"/>
    <x v="11"/>
    <n v="2880"/>
    <n v="90"/>
    <n v="489.6"/>
    <x v="3"/>
  </r>
  <r>
    <x v="194"/>
    <s v="ENERO"/>
    <x v="22"/>
    <s v="VIERNES"/>
    <n v="254852"/>
    <x v="37"/>
    <n v="1000"/>
    <n v="225"/>
    <n v="420"/>
    <x v="3"/>
  </r>
  <r>
    <x v="194"/>
    <s v="ENERO"/>
    <x v="22"/>
    <s v="VIERNES"/>
    <n v="751315"/>
    <x v="24"/>
    <n v="2520"/>
    <n v="420"/>
    <n v="1058.3999999999999"/>
    <x v="3"/>
  </r>
  <r>
    <x v="194"/>
    <s v="ENERO"/>
    <x v="22"/>
    <s v="VIERNES"/>
    <n v="251633"/>
    <x v="16"/>
    <n v="900"/>
    <n v="180"/>
    <n v="378"/>
    <x v="3"/>
  </r>
  <r>
    <x v="194"/>
    <s v="ENERO"/>
    <x v="22"/>
    <s v="VIERNES"/>
    <n v="256708"/>
    <x v="12"/>
    <n v="675"/>
    <n v="225"/>
    <n v="270"/>
    <x v="3"/>
  </r>
  <r>
    <x v="194"/>
    <s v="ENERO"/>
    <x v="22"/>
    <s v="VIERNES"/>
    <n v="256709"/>
    <x v="19"/>
    <n v="225"/>
    <n v="225"/>
    <n v="90"/>
    <x v="3"/>
  </r>
  <r>
    <x v="194"/>
    <s v="ENERO"/>
    <x v="22"/>
    <s v="VIERNES"/>
    <n v="254852"/>
    <x v="37"/>
    <n v="2000"/>
    <n v="225"/>
    <n v="840"/>
    <x v="3"/>
  </r>
  <r>
    <x v="194"/>
    <s v="ENERO"/>
    <x v="22"/>
    <s v="VIERNES"/>
    <n v="251151"/>
    <x v="46"/>
    <n v="2500"/>
    <n v="250"/>
    <n v="1050"/>
    <x v="3"/>
  </r>
  <r>
    <x v="194"/>
    <s v="ENERO"/>
    <x v="22"/>
    <s v="VIERNES"/>
    <n v="256720"/>
    <x v="42"/>
    <n v="750"/>
    <n v="420"/>
    <n v="315"/>
    <x v="3"/>
  </r>
  <r>
    <x v="195"/>
    <s v="ENERO"/>
    <x v="33"/>
    <s v="SÁBADO"/>
    <n v="256652"/>
    <x v="9"/>
    <n v="1440"/>
    <n v="90"/>
    <n v="244.8"/>
    <x v="3"/>
  </r>
  <r>
    <x v="195"/>
    <s v="ENERO"/>
    <x v="33"/>
    <s v="SÁBADO"/>
    <n v="256677"/>
    <x v="10"/>
    <n v="960"/>
    <n v="120"/>
    <n v="163.20000000000002"/>
    <x v="3"/>
  </r>
  <r>
    <x v="195"/>
    <s v="ENERO"/>
    <x v="33"/>
    <s v="SÁBADO"/>
    <n v="256678"/>
    <x v="11"/>
    <n v="900"/>
    <n v="90"/>
    <n v="153"/>
    <x v="3"/>
  </r>
  <r>
    <x v="195"/>
    <s v="ENERO"/>
    <x v="33"/>
    <s v="SÁBADO"/>
    <n v="256695"/>
    <x v="25"/>
    <n v="675"/>
    <n v="225"/>
    <n v="283.5"/>
    <x v="3"/>
  </r>
  <r>
    <x v="195"/>
    <s v="ENERO"/>
    <x v="33"/>
    <s v="SÁBADO"/>
    <n v="256709"/>
    <x v="19"/>
    <n v="450"/>
    <n v="225"/>
    <n v="180"/>
    <x v="3"/>
  </r>
  <r>
    <x v="195"/>
    <s v="ENERO"/>
    <x v="33"/>
    <s v="SÁBADO"/>
    <n v="254852"/>
    <x v="37"/>
    <n v="500"/>
    <n v="225"/>
    <n v="210"/>
    <x v="3"/>
  </r>
  <r>
    <x v="195"/>
    <s v="ENERO"/>
    <x v="33"/>
    <s v="SÁBADO"/>
    <n v="256721"/>
    <x v="43"/>
    <n v="1000"/>
    <n v="420"/>
    <n v="420"/>
    <x v="3"/>
  </r>
  <r>
    <x v="195"/>
    <s v="ENERO"/>
    <x v="33"/>
    <s v="SÁBADO"/>
    <n v="256383"/>
    <x v="28"/>
    <n v="240"/>
    <n v="30"/>
    <n v="55.2"/>
    <x v="3"/>
  </r>
  <r>
    <x v="195"/>
    <s v="ENERO"/>
    <x v="33"/>
    <s v="SÁBADO"/>
    <n v="256382"/>
    <x v="33"/>
    <n v="240"/>
    <n v="40"/>
    <n v="55.2"/>
    <x v="3"/>
  </r>
  <r>
    <x v="195"/>
    <s v="ENERO"/>
    <x v="33"/>
    <s v="SÁBADO"/>
    <n v="256381"/>
    <x v="13"/>
    <n v="300"/>
    <n v="30"/>
    <n v="120"/>
    <x v="3"/>
  </r>
  <r>
    <x v="195"/>
    <s v="ENERO"/>
    <x v="33"/>
    <s v="SÁBADO"/>
    <n v="256380"/>
    <x v="14"/>
    <n v="200"/>
    <n v="40"/>
    <n v="46"/>
    <x v="3"/>
  </r>
  <r>
    <x v="195"/>
    <s v="ENERO"/>
    <x v="33"/>
    <s v="SÁBADO"/>
    <n v="251429"/>
    <x v="0"/>
    <n v="960"/>
    <n v="48"/>
    <n v="384"/>
    <x v="3"/>
  </r>
  <r>
    <x v="195"/>
    <s v="ENERO"/>
    <x v="33"/>
    <s v="SÁBADO"/>
    <n v="251406"/>
    <x v="1"/>
    <n v="2160"/>
    <n v="198"/>
    <n v="367.20000000000005"/>
    <x v="3"/>
  </r>
  <r>
    <x v="195"/>
    <s v="ENERO"/>
    <x v="33"/>
    <s v="SÁBADO"/>
    <n v="254853"/>
    <x v="2"/>
    <n v="2160"/>
    <n v="198"/>
    <n v="367.20000000000005"/>
    <x v="3"/>
  </r>
  <r>
    <x v="195"/>
    <s v="ENERO"/>
    <x v="33"/>
    <s v="SÁBADO"/>
    <n v="256548"/>
    <x v="34"/>
    <n v="432"/>
    <n v="198"/>
    <n v="73.440000000000012"/>
    <x v="3"/>
  </r>
  <r>
    <x v="195"/>
    <s v="ENERO"/>
    <x v="33"/>
    <s v="SÁBADO"/>
    <n v="256549"/>
    <x v="29"/>
    <n v="216"/>
    <n v="198"/>
    <n v="36.720000000000006"/>
    <x v="3"/>
  </r>
  <r>
    <x v="195"/>
    <s v="ENERO"/>
    <x v="33"/>
    <s v="SÁBADO"/>
    <n v="256616"/>
    <x v="22"/>
    <n v="792"/>
    <n v="198"/>
    <n v="134.64000000000001"/>
    <x v="3"/>
  </r>
  <r>
    <x v="195"/>
    <s v="ENERO"/>
    <x v="33"/>
    <s v="SÁBADO"/>
    <n v="256666"/>
    <x v="4"/>
    <n v="648"/>
    <n v="162"/>
    <n v="110.16000000000001"/>
    <x v="3"/>
  </r>
  <r>
    <x v="195"/>
    <s v="ENERO"/>
    <x v="33"/>
    <s v="SÁBADO"/>
    <n v="256601"/>
    <x v="5"/>
    <n v="810"/>
    <n v="162"/>
    <n v="137.70000000000002"/>
    <x v="3"/>
  </r>
  <r>
    <x v="195"/>
    <s v="ENERO"/>
    <x v="33"/>
    <s v="SÁBADO"/>
    <n v="256676"/>
    <x v="17"/>
    <n v="240"/>
    <n v="120"/>
    <n v="40.800000000000004"/>
    <x v="3"/>
  </r>
  <r>
    <x v="195"/>
    <s v="ENERO"/>
    <x v="33"/>
    <s v="SÁBADO"/>
    <n v="256674"/>
    <x v="7"/>
    <n v="648"/>
    <n v="198"/>
    <n v="110.16000000000001"/>
    <x v="3"/>
  </r>
  <r>
    <x v="195"/>
    <s v="ENERO"/>
    <x v="33"/>
    <s v="SÁBADO"/>
    <n v="256675"/>
    <x v="8"/>
    <n v="648"/>
    <n v="198"/>
    <n v="110.16000000000001"/>
    <x v="3"/>
  </r>
  <r>
    <x v="192"/>
    <s v="ENERO"/>
    <x v="22"/>
    <s v="MIÉRCOLES"/>
    <n v="256680"/>
    <x v="26"/>
    <n v="450"/>
    <n v="90"/>
    <n v="76.5"/>
    <x v="3"/>
  </r>
  <r>
    <x v="192"/>
    <s v="ENERO"/>
    <x v="22"/>
    <s v="MIÉRCOLES"/>
    <n v="256677"/>
    <x v="10"/>
    <n v="840"/>
    <n v="120"/>
    <n v="142.80000000000001"/>
    <x v="3"/>
  </r>
  <r>
    <x v="192"/>
    <s v="ENERO"/>
    <x v="22"/>
    <s v="MIÉRCOLES"/>
    <n v="256679"/>
    <x v="23"/>
    <n v="90"/>
    <n v="90"/>
    <n v="15.3"/>
    <x v="3"/>
  </r>
  <r>
    <x v="192"/>
    <s v="ENERO"/>
    <x v="22"/>
    <s v="MIÉRCOLES"/>
    <n v="256678"/>
    <x v="11"/>
    <n v="450"/>
    <n v="90"/>
    <n v="76.5"/>
    <x v="3"/>
  </r>
  <r>
    <x v="196"/>
    <s v="ENERO"/>
    <x v="33"/>
    <s v="DOMINGO"/>
    <n v="751315"/>
    <x v="24"/>
    <n v="4620"/>
    <n v="420"/>
    <n v="1940.3999999999999"/>
    <x v="3"/>
  </r>
  <r>
    <x v="195"/>
    <s v="ENERO"/>
    <x v="33"/>
    <s v="SÁBADO"/>
    <n v="256685"/>
    <x v="38"/>
    <n v="560"/>
    <n v="112"/>
    <n v="224"/>
    <x v="3"/>
  </r>
  <r>
    <x v="195"/>
    <s v="ENERO"/>
    <x v="33"/>
    <s v="SÁBADO"/>
    <n v="251633"/>
    <x v="16"/>
    <n v="900"/>
    <n v="180"/>
    <n v="378"/>
    <x v="3"/>
  </r>
  <r>
    <x v="195"/>
    <s v="ENERO"/>
    <x v="33"/>
    <s v="SÁBADO"/>
    <n v="256695"/>
    <x v="25"/>
    <n v="1575"/>
    <n v="225"/>
    <n v="661.5"/>
    <x v="3"/>
  </r>
  <r>
    <x v="195"/>
    <s v="ENERO"/>
    <x v="33"/>
    <s v="SÁBADO"/>
    <n v="256708"/>
    <x v="12"/>
    <n v="675"/>
    <n v="225"/>
    <n v="270"/>
    <x v="3"/>
  </r>
  <r>
    <x v="195"/>
    <s v="ENERO"/>
    <x v="33"/>
    <s v="SÁBADO"/>
    <n v="256709"/>
    <x v="19"/>
    <n v="225"/>
    <n v="225"/>
    <n v="90"/>
    <x v="3"/>
  </r>
  <r>
    <x v="197"/>
    <s v="ENERO"/>
    <x v="33"/>
    <s v="LUNES"/>
    <n v="256720"/>
    <x v="42"/>
    <n v="750"/>
    <n v="420"/>
    <n v="315"/>
    <x v="3"/>
  </r>
  <r>
    <x v="197"/>
    <s v="ENERO"/>
    <x v="33"/>
    <s v="LUNES"/>
    <n v="256383"/>
    <x v="28"/>
    <n v="150"/>
    <n v="30"/>
    <n v="34.5"/>
    <x v="3"/>
  </r>
  <r>
    <x v="197"/>
    <s v="ENERO"/>
    <x v="33"/>
    <s v="LUNES"/>
    <n v="256381"/>
    <x v="13"/>
    <n v="90"/>
    <n v="30"/>
    <n v="36"/>
    <x v="3"/>
  </r>
  <r>
    <x v="197"/>
    <s v="ENERO"/>
    <x v="33"/>
    <s v="LUNES"/>
    <n v="256379"/>
    <x v="15"/>
    <n v="450"/>
    <n v="50"/>
    <n v="180"/>
    <x v="3"/>
  </r>
  <r>
    <x v="197"/>
    <s v="ENERO"/>
    <x v="33"/>
    <s v="LUNES"/>
    <n v="251429"/>
    <x v="0"/>
    <n v="384"/>
    <n v="48"/>
    <n v="153.60000000000002"/>
    <x v="3"/>
  </r>
  <r>
    <x v="197"/>
    <s v="ENERO"/>
    <x v="33"/>
    <s v="LUNES"/>
    <n v="751315"/>
    <x v="24"/>
    <n v="3780"/>
    <n v="420"/>
    <n v="1587.6"/>
    <x v="3"/>
  </r>
  <r>
    <x v="197"/>
    <s v="ENERO"/>
    <x v="33"/>
    <s v="LUNES"/>
    <n v="751468"/>
    <x v="32"/>
    <n v="1260"/>
    <n v="420"/>
    <n v="529.19999999999993"/>
    <x v="3"/>
  </r>
  <r>
    <x v="197"/>
    <s v="ENERO"/>
    <x v="33"/>
    <s v="LUNES"/>
    <n v="251406"/>
    <x v="1"/>
    <n v="1296"/>
    <n v="198"/>
    <n v="220.32000000000002"/>
    <x v="3"/>
  </r>
  <r>
    <x v="197"/>
    <s v="ENERO"/>
    <x v="33"/>
    <s v="LUNES"/>
    <n v="254853"/>
    <x v="2"/>
    <n v="432"/>
    <n v="198"/>
    <n v="73.440000000000012"/>
    <x v="3"/>
  </r>
  <r>
    <x v="197"/>
    <s v="ENERO"/>
    <x v="33"/>
    <s v="LUNES"/>
    <n v="256676"/>
    <x v="17"/>
    <n v="480"/>
    <n v="120"/>
    <n v="81.600000000000009"/>
    <x v="3"/>
  </r>
  <r>
    <x v="197"/>
    <s v="ENERO"/>
    <x v="33"/>
    <s v="LUNES"/>
    <n v="256675"/>
    <x v="8"/>
    <n v="432"/>
    <n v="198"/>
    <n v="73.440000000000012"/>
    <x v="3"/>
  </r>
  <r>
    <x v="197"/>
    <s v="ENERO"/>
    <x v="33"/>
    <s v="LUNES"/>
    <n v="256652"/>
    <x v="9"/>
    <n v="450"/>
    <n v="90"/>
    <n v="76.5"/>
    <x v="3"/>
  </r>
  <r>
    <x v="197"/>
    <s v="ENERO"/>
    <x v="33"/>
    <s v="LUNES"/>
    <n v="256682"/>
    <x v="20"/>
    <n v="450"/>
    <n v="90"/>
    <n v="76.5"/>
    <x v="3"/>
  </r>
  <r>
    <x v="197"/>
    <s v="ENERO"/>
    <x v="33"/>
    <s v="LUNES"/>
    <n v="256695"/>
    <x v="25"/>
    <n v="1350"/>
    <n v="225"/>
    <n v="567"/>
    <x v="3"/>
  </r>
  <r>
    <x v="197"/>
    <s v="ENERO"/>
    <x v="33"/>
    <s v="LUNES"/>
    <n v="256708"/>
    <x v="12"/>
    <n v="225"/>
    <n v="225"/>
    <n v="90"/>
    <x v="3"/>
  </r>
  <r>
    <x v="197"/>
    <s v="ENERO"/>
    <x v="33"/>
    <s v="LUNES"/>
    <n v="256709"/>
    <x v="19"/>
    <n v="225"/>
    <n v="225"/>
    <n v="90"/>
    <x v="3"/>
  </r>
  <r>
    <x v="198"/>
    <s v="ENERO"/>
    <x v="33"/>
    <s v="MARTES"/>
    <n v="256379"/>
    <x v="15"/>
    <n v="250"/>
    <n v="50"/>
    <n v="100"/>
    <x v="3"/>
  </r>
  <r>
    <x v="198"/>
    <s v="ENERO"/>
    <x v="33"/>
    <s v="MARTES"/>
    <n v="252436"/>
    <x v="36"/>
    <n v="450"/>
    <n v="90"/>
    <n v="180"/>
    <x v="3"/>
  </r>
  <r>
    <x v="198"/>
    <s v="ENERO"/>
    <x v="33"/>
    <s v="MARTES"/>
    <n v="251429"/>
    <x v="0"/>
    <n v="960"/>
    <n v="48"/>
    <n v="384"/>
    <x v="3"/>
  </r>
  <r>
    <x v="198"/>
    <s v="ENERO"/>
    <x v="33"/>
    <s v="MARTES"/>
    <n v="751315"/>
    <x v="24"/>
    <n v="4200"/>
    <n v="420"/>
    <n v="1764"/>
    <x v="3"/>
  </r>
  <r>
    <x v="198"/>
    <s v="ENERO"/>
    <x v="33"/>
    <s v="MARTES"/>
    <n v="251406"/>
    <x v="1"/>
    <n v="1512"/>
    <n v="198"/>
    <n v="257.04000000000002"/>
    <x v="3"/>
  </r>
  <r>
    <x v="198"/>
    <s v="ENERO"/>
    <x v="33"/>
    <s v="MARTES"/>
    <n v="254853"/>
    <x v="2"/>
    <n v="1944"/>
    <n v="198"/>
    <n v="330.48"/>
    <x v="3"/>
  </r>
  <r>
    <x v="198"/>
    <s v="ENERO"/>
    <x v="33"/>
    <s v="MARTES"/>
    <n v="256616"/>
    <x v="22"/>
    <n v="792"/>
    <n v="198"/>
    <n v="134.64000000000001"/>
    <x v="3"/>
  </r>
  <r>
    <x v="198"/>
    <s v="ENERO"/>
    <x v="33"/>
    <s v="MARTES"/>
    <n v="256617"/>
    <x v="3"/>
    <n v="1188"/>
    <n v="198"/>
    <n v="201.96"/>
    <x v="3"/>
  </r>
  <r>
    <x v="198"/>
    <s v="ENERO"/>
    <x v="33"/>
    <s v="MARTES"/>
    <n v="256674"/>
    <x v="7"/>
    <n v="864"/>
    <n v="198"/>
    <n v="146.88000000000002"/>
    <x v="3"/>
  </r>
  <r>
    <x v="198"/>
    <s v="ENERO"/>
    <x v="33"/>
    <s v="MARTES"/>
    <n v="256675"/>
    <x v="8"/>
    <n v="648"/>
    <n v="198"/>
    <n v="110.16000000000001"/>
    <x v="3"/>
  </r>
  <r>
    <x v="198"/>
    <s v="ENERO"/>
    <x v="33"/>
    <s v="MARTES"/>
    <n v="256652"/>
    <x v="9"/>
    <n v="720"/>
    <n v="90"/>
    <n v="122.4"/>
    <x v="3"/>
  </r>
  <r>
    <x v="198"/>
    <s v="ENERO"/>
    <x v="33"/>
    <s v="MARTES"/>
    <n v="256677"/>
    <x v="10"/>
    <n v="3360"/>
    <n v="120"/>
    <n v="571.20000000000005"/>
    <x v="3"/>
  </r>
  <r>
    <x v="198"/>
    <s v="ENERO"/>
    <x v="33"/>
    <s v="MARTES"/>
    <n v="256682"/>
    <x v="20"/>
    <n v="720"/>
    <n v="90"/>
    <n v="122.4"/>
    <x v="3"/>
  </r>
  <r>
    <x v="198"/>
    <s v="ENERO"/>
    <x v="33"/>
    <s v="MARTES"/>
    <n v="256695"/>
    <x v="25"/>
    <n v="1350"/>
    <n v="225"/>
    <n v="567"/>
    <x v="3"/>
  </r>
  <r>
    <x v="199"/>
    <s v="ENERO"/>
    <x v="33"/>
    <s v="MIÉRCOLES"/>
    <n v="256383"/>
    <x v="28"/>
    <n v="300"/>
    <n v="30"/>
    <n v="69"/>
    <x v="3"/>
  </r>
  <r>
    <x v="199"/>
    <s v="ENERO"/>
    <x v="33"/>
    <s v="MIÉRCOLES"/>
    <n v="256379"/>
    <x v="15"/>
    <n v="150"/>
    <n v="50"/>
    <n v="60"/>
    <x v="3"/>
  </r>
  <r>
    <x v="199"/>
    <s v="ENERO"/>
    <x v="33"/>
    <s v="MIÉRCOLES"/>
    <n v="252436"/>
    <x v="36"/>
    <n v="360"/>
    <n v="90"/>
    <n v="144"/>
    <x v="3"/>
  </r>
  <r>
    <x v="199"/>
    <s v="ENERO"/>
    <x v="33"/>
    <s v="MIÉRCOLES"/>
    <n v="251429"/>
    <x v="0"/>
    <n v="1344"/>
    <n v="48"/>
    <n v="537.6"/>
    <x v="3"/>
  </r>
  <r>
    <x v="199"/>
    <s v="ENERO"/>
    <x v="33"/>
    <s v="MIÉRCOLES"/>
    <n v="751315"/>
    <x v="24"/>
    <n v="4200"/>
    <n v="420"/>
    <n v="1764"/>
    <x v="3"/>
  </r>
  <r>
    <x v="199"/>
    <s v="ENERO"/>
    <x v="28"/>
    <m/>
    <n v="256674"/>
    <x v="7"/>
    <n v="2160"/>
    <n v="198"/>
    <n v="367.20000000000005"/>
    <x v="3"/>
  </r>
  <r>
    <x v="199"/>
    <s v="ENERO"/>
    <x v="33"/>
    <s v="MIÉRCOLES"/>
    <n v="256677"/>
    <x v="10"/>
    <n v="2640"/>
    <n v="120"/>
    <n v="448.8"/>
    <x v="3"/>
  </r>
  <r>
    <x v="199"/>
    <s v="ENERO"/>
    <x v="33"/>
    <s v="MIÉRCOLES"/>
    <n v="256695"/>
    <x v="25"/>
    <n v="1350"/>
    <n v="225"/>
    <n v="567"/>
    <x v="3"/>
  </r>
  <r>
    <x v="199"/>
    <s v="ENERO"/>
    <x v="33"/>
    <s v="MIÉRCOLES"/>
    <n v="251151"/>
    <x v="46"/>
    <n v="250"/>
    <n v="250"/>
    <n v="105"/>
    <x v="3"/>
  </r>
  <r>
    <x v="200"/>
    <s v="ENERO"/>
    <x v="33"/>
    <s v="JUEVES"/>
    <n v="256381"/>
    <x v="13"/>
    <n v="270"/>
    <n v="30"/>
    <n v="108"/>
    <x v="3"/>
  </r>
  <r>
    <x v="200"/>
    <s v="ENERO"/>
    <x v="33"/>
    <s v="JUEVES"/>
    <n v="252436"/>
    <x v="36"/>
    <n v="720"/>
    <n v="90"/>
    <n v="288"/>
    <x v="3"/>
  </r>
  <r>
    <x v="200"/>
    <s v="ENERO"/>
    <x v="33"/>
    <s v="JUEVES"/>
    <n v="251429"/>
    <x v="0"/>
    <n v="1440"/>
    <n v="48"/>
    <n v="576"/>
    <x v="3"/>
  </r>
  <r>
    <x v="200"/>
    <s v="ENERO"/>
    <x v="33"/>
    <s v="JUEVES"/>
    <n v="751544"/>
    <x v="39"/>
    <n v="4200"/>
    <n v="420"/>
    <n v="1764"/>
    <x v="3"/>
  </r>
  <r>
    <x v="200"/>
    <s v="ENERO"/>
    <x v="33"/>
    <s v="JUEVES"/>
    <n v="251406"/>
    <x v="1"/>
    <n v="2160"/>
    <n v="198"/>
    <n v="367.20000000000005"/>
    <x v="3"/>
  </r>
  <r>
    <x v="200"/>
    <s v="ENERO"/>
    <x v="33"/>
    <s v="JUEVES"/>
    <n v="256616"/>
    <x v="22"/>
    <n v="594"/>
    <n v="198"/>
    <n v="100.98"/>
    <x v="3"/>
  </r>
  <r>
    <x v="200"/>
    <s v="ENERO"/>
    <x v="33"/>
    <s v="JUEVES"/>
    <n v="256617"/>
    <x v="3"/>
    <n v="990"/>
    <n v="198"/>
    <n v="168.3"/>
    <x v="3"/>
  </r>
  <r>
    <x v="200"/>
    <s v="ENERO"/>
    <x v="33"/>
    <s v="JUEVES"/>
    <n v="256488"/>
    <x v="6"/>
    <n v="1800"/>
    <n v="120"/>
    <n v="306"/>
    <x v="3"/>
  </r>
  <r>
    <x v="200"/>
    <s v="ENERO"/>
    <x v="33"/>
    <s v="JUEVES"/>
    <n v="256676"/>
    <x v="17"/>
    <n v="600"/>
    <n v="120"/>
    <n v="102.00000000000001"/>
    <x v="3"/>
  </r>
  <r>
    <x v="200"/>
    <s v="ENERO"/>
    <x v="33"/>
    <s v="JUEVES"/>
    <n v="256674"/>
    <x v="7"/>
    <n v="1728"/>
    <n v="198"/>
    <n v="293.76000000000005"/>
    <x v="3"/>
  </r>
  <r>
    <x v="200"/>
    <s v="ENERO"/>
    <x v="33"/>
    <s v="JUEVES"/>
    <n v="256675"/>
    <x v="8"/>
    <n v="1728"/>
    <n v="198"/>
    <n v="293.76000000000005"/>
    <x v="3"/>
  </r>
  <r>
    <x v="200"/>
    <s v="ENERO"/>
    <x v="33"/>
    <s v="JUEVES"/>
    <n v="256695"/>
    <x v="25"/>
    <n v="900"/>
    <n v="225"/>
    <n v="378"/>
    <x v="3"/>
  </r>
  <r>
    <x v="200"/>
    <s v="ENERO"/>
    <x v="33"/>
    <s v="JUEVES"/>
    <n v="256709"/>
    <x v="19"/>
    <n v="225"/>
    <n v="225"/>
    <n v="90"/>
    <x v="3"/>
  </r>
  <r>
    <x v="200"/>
    <s v="ENERO"/>
    <x v="33"/>
    <s v="JUEVES"/>
    <n v="251151"/>
    <x v="46"/>
    <n v="1500"/>
    <n v="250"/>
    <n v="630"/>
    <x v="3"/>
  </r>
  <r>
    <x v="200"/>
    <s v="ENERO"/>
    <x v="33"/>
    <s v="JUEVES"/>
    <n v="256721"/>
    <x v="43"/>
    <n v="750"/>
    <n v="420"/>
    <n v="315"/>
    <x v="3"/>
  </r>
  <r>
    <x v="200"/>
    <s v="ENERO"/>
    <x v="33"/>
    <s v="JUEVES"/>
    <n v="251151"/>
    <x v="46"/>
    <n v="1750"/>
    <n v="250"/>
    <n v="735"/>
    <x v="3"/>
  </r>
  <r>
    <x v="201"/>
    <s v="ENERO"/>
    <x v="33"/>
    <s v="VIERNES"/>
    <n v="256721"/>
    <x v="43"/>
    <n v="1000"/>
    <n v="420"/>
    <n v="420"/>
    <x v="3"/>
  </r>
  <r>
    <x v="201"/>
    <s v="ENERO"/>
    <x v="33"/>
    <s v="VIERNES"/>
    <n v="256753"/>
    <x v="48"/>
    <n v="600"/>
    <n v="30"/>
    <n v="126"/>
    <x v="3"/>
  </r>
  <r>
    <x v="201"/>
    <s v="ENERO"/>
    <x v="33"/>
    <s v="VIERNES"/>
    <n v="256383"/>
    <x v="28"/>
    <n v="360"/>
    <n v="30"/>
    <n v="82.8"/>
    <x v="3"/>
  </r>
  <r>
    <x v="201"/>
    <s v="ENERO"/>
    <x v="33"/>
    <s v="VIERNES"/>
    <n v="256382"/>
    <x v="33"/>
    <n v="120"/>
    <n v="40"/>
    <n v="27.6"/>
    <x v="3"/>
  </r>
  <r>
    <x v="201"/>
    <s v="ENERO"/>
    <x v="33"/>
    <s v="VIERNES"/>
    <n v="256381"/>
    <x v="13"/>
    <n v="390"/>
    <n v="30"/>
    <n v="156"/>
    <x v="3"/>
  </r>
  <r>
    <x v="201"/>
    <s v="ENERO"/>
    <x v="33"/>
    <s v="VIERNES"/>
    <n v="256380"/>
    <x v="14"/>
    <n v="600"/>
    <n v="40"/>
    <n v="138"/>
    <x v="3"/>
  </r>
  <r>
    <x v="201"/>
    <s v="ENERO"/>
    <x v="33"/>
    <s v="VIERNES"/>
    <n v="256379"/>
    <x v="15"/>
    <n v="500"/>
    <n v="50"/>
    <n v="200"/>
    <x v="3"/>
  </r>
  <r>
    <x v="201"/>
    <s v="ENERO"/>
    <x v="33"/>
    <s v="VIERNES"/>
    <n v="252436"/>
    <x v="36"/>
    <n v="450"/>
    <n v="90"/>
    <n v="180"/>
    <x v="3"/>
  </r>
  <r>
    <x v="201"/>
    <s v="ENERO"/>
    <x v="33"/>
    <s v="VIERNES"/>
    <n v="251429"/>
    <x v="0"/>
    <n v="1344"/>
    <n v="48"/>
    <n v="537.6"/>
    <x v="3"/>
  </r>
  <r>
    <x v="201"/>
    <s v="ENERO"/>
    <x v="33"/>
    <s v="VIERNES"/>
    <n v="751544"/>
    <x v="39"/>
    <n v="2520"/>
    <n v="420"/>
    <n v="1058.3999999999999"/>
    <x v="3"/>
  </r>
  <r>
    <x v="201"/>
    <s v="ENERO"/>
    <x v="33"/>
    <s v="VIERNES"/>
    <n v="256548"/>
    <x v="34"/>
    <n v="216"/>
    <n v="198"/>
    <n v="36.720000000000006"/>
    <x v="3"/>
  </r>
  <r>
    <x v="201"/>
    <s v="ENERO"/>
    <x v="33"/>
    <s v="VIERNES"/>
    <n v="256549"/>
    <x v="29"/>
    <n v="432"/>
    <n v="198"/>
    <n v="73.440000000000012"/>
    <x v="3"/>
  </r>
  <r>
    <x v="201"/>
    <s v="ENERO"/>
    <x v="33"/>
    <s v="VIERNES"/>
    <n v="256680"/>
    <x v="26"/>
    <n v="900"/>
    <n v="90"/>
    <n v="153"/>
    <x v="3"/>
  </r>
  <r>
    <x v="201"/>
    <s v="ENERO"/>
    <x v="33"/>
    <s v="VIERNES"/>
    <n v="256708"/>
    <x v="12"/>
    <n v="900"/>
    <n v="225"/>
    <n v="360"/>
    <x v="3"/>
  </r>
  <r>
    <x v="201"/>
    <s v="ENERO"/>
    <x v="33"/>
    <s v="VIERNES"/>
    <n v="256709"/>
    <x v="19"/>
    <n v="450"/>
    <n v="225"/>
    <n v="180"/>
    <x v="3"/>
  </r>
  <r>
    <x v="201"/>
    <s v="ENERO"/>
    <x v="33"/>
    <s v="VIERNES"/>
    <n v="251151"/>
    <x v="46"/>
    <n v="1750"/>
    <n v="250"/>
    <n v="735"/>
    <x v="3"/>
  </r>
  <r>
    <x v="201"/>
    <s v="ENERO"/>
    <x v="33"/>
    <s v="VIERNES"/>
    <n v="256720"/>
    <x v="42"/>
    <n v="1000"/>
    <n v="420"/>
    <n v="420"/>
    <x v="3"/>
  </r>
  <r>
    <x v="201"/>
    <s v="ENERO"/>
    <x v="33"/>
    <s v="VIERNES"/>
    <n v="251151"/>
    <x v="46"/>
    <n v="1250"/>
    <n v="250"/>
    <n v="525"/>
    <x v="3"/>
  </r>
  <r>
    <x v="202"/>
    <s v="ENERO"/>
    <x v="34"/>
    <s v="SÁBADO"/>
    <n v="256753"/>
    <x v="48"/>
    <n v="240"/>
    <n v="30"/>
    <n v="50.4"/>
    <x v="3"/>
  </r>
  <r>
    <x v="202"/>
    <s v="ENERO"/>
    <x v="34"/>
    <s v="SÁBADO"/>
    <n v="256381"/>
    <x v="13"/>
    <n v="300"/>
    <n v="30"/>
    <n v="120"/>
    <x v="3"/>
  </r>
  <r>
    <x v="202"/>
    <s v="ENERO"/>
    <x v="34"/>
    <s v="SÁBADO"/>
    <n v="252436"/>
    <x v="36"/>
    <n v="180"/>
    <n v="90"/>
    <n v="72"/>
    <x v="3"/>
  </r>
  <r>
    <x v="202"/>
    <s v="ENERO"/>
    <x v="34"/>
    <s v="SÁBADO"/>
    <n v="251429"/>
    <x v="0"/>
    <n v="240"/>
    <n v="48"/>
    <n v="96"/>
    <x v="3"/>
  </r>
  <r>
    <x v="202"/>
    <s v="ENERO"/>
    <x v="34"/>
    <s v="SÁBADO"/>
    <n v="251633"/>
    <x v="16"/>
    <n v="180"/>
    <n v="180"/>
    <n v="75.599999999999994"/>
    <x v="3"/>
  </r>
  <r>
    <x v="202"/>
    <s v="ENERO"/>
    <x v="34"/>
    <s v="SÁBADO"/>
    <n v="254853"/>
    <x v="2"/>
    <n v="1080"/>
    <n v="198"/>
    <n v="183.60000000000002"/>
    <x v="3"/>
  </r>
  <r>
    <x v="202"/>
    <s v="ENERO"/>
    <x v="34"/>
    <s v="SÁBADO"/>
    <n v="256616"/>
    <x v="22"/>
    <n v="1188"/>
    <n v="198"/>
    <n v="201.96"/>
    <x v="3"/>
  </r>
  <r>
    <x v="202"/>
    <s v="ENERO"/>
    <x v="34"/>
    <s v="SÁBADO"/>
    <n v="256617"/>
    <x v="3"/>
    <n v="396"/>
    <n v="198"/>
    <n v="67.320000000000007"/>
    <x v="3"/>
  </r>
  <r>
    <x v="202"/>
    <s v="ENERO"/>
    <x v="34"/>
    <s v="SÁBADO"/>
    <n v="256675"/>
    <x v="8"/>
    <n v="1728"/>
    <n v="198"/>
    <n v="293.76000000000005"/>
    <x v="3"/>
  </r>
  <r>
    <x v="202"/>
    <s v="ENERO"/>
    <x v="34"/>
    <s v="SÁBADO"/>
    <n v="256677"/>
    <x v="10"/>
    <n v="5760"/>
    <n v="120"/>
    <n v="979.2"/>
    <x v="3"/>
  </r>
  <r>
    <x v="202"/>
    <s v="ENERO"/>
    <x v="34"/>
    <s v="SÁBADO"/>
    <n v="256679"/>
    <x v="23"/>
    <n v="270"/>
    <n v="90"/>
    <n v="45.900000000000006"/>
    <x v="3"/>
  </r>
  <r>
    <x v="202"/>
    <s v="ENERO"/>
    <x v="34"/>
    <s v="SÁBADO"/>
    <n v="256678"/>
    <x v="11"/>
    <n v="540"/>
    <n v="90"/>
    <n v="91.800000000000011"/>
    <x v="3"/>
  </r>
  <r>
    <x v="202"/>
    <s v="ENERO"/>
    <x v="34"/>
    <s v="SÁBADO"/>
    <n v="256695"/>
    <x v="25"/>
    <n v="900"/>
    <n v="225"/>
    <n v="378"/>
    <x v="3"/>
  </r>
  <r>
    <x v="202"/>
    <s v="ENERO"/>
    <x v="34"/>
    <s v="SÁBADO"/>
    <n v="251151"/>
    <x v="46"/>
    <n v="1750"/>
    <n v="250"/>
    <n v="735"/>
    <x v="3"/>
  </r>
  <r>
    <x v="202"/>
    <s v="ENERO"/>
    <x v="34"/>
    <s v="SÁBADO"/>
    <n v="256720"/>
    <x v="42"/>
    <n v="500"/>
    <n v="420"/>
    <n v="210"/>
    <x v="3"/>
  </r>
  <r>
    <x v="202"/>
    <s v="ENERO"/>
    <x v="34"/>
    <s v="SÁBADO"/>
    <n v="256721"/>
    <x v="43"/>
    <n v="500"/>
    <n v="420"/>
    <n v="210"/>
    <x v="3"/>
  </r>
  <r>
    <x v="203"/>
    <s v="ENERO"/>
    <x v="34"/>
    <s v="LUNES"/>
    <n v="256753"/>
    <x v="48"/>
    <n v="1410"/>
    <n v="30"/>
    <n v="296.09999999999997"/>
    <x v="3"/>
  </r>
  <r>
    <x v="203"/>
    <s v="ENERO"/>
    <x v="34"/>
    <s v="LUNES"/>
    <n v="256383"/>
    <x v="28"/>
    <n v="300"/>
    <n v="30"/>
    <n v="69"/>
    <x v="3"/>
  </r>
  <r>
    <x v="203"/>
    <s v="ENERO"/>
    <x v="34"/>
    <s v="LUNES"/>
    <n v="256382"/>
    <x v="33"/>
    <n v="120"/>
    <n v="40"/>
    <n v="27.6"/>
    <x v="3"/>
  </r>
  <r>
    <x v="203"/>
    <s v="ENERO"/>
    <x v="34"/>
    <s v="LUNES"/>
    <n v="256381"/>
    <x v="13"/>
    <n v="450"/>
    <n v="30"/>
    <n v="180"/>
    <x v="3"/>
  </r>
  <r>
    <x v="203"/>
    <s v="ENERO"/>
    <x v="34"/>
    <s v="LUNES"/>
    <n v="256379"/>
    <x v="15"/>
    <n v="350"/>
    <n v="50"/>
    <n v="140"/>
    <x v="3"/>
  </r>
  <r>
    <x v="203"/>
    <s v="ENERO"/>
    <x v="34"/>
    <s v="LUNES"/>
    <n v="252436"/>
    <x v="36"/>
    <n v="900"/>
    <n v="90"/>
    <n v="360"/>
    <x v="3"/>
  </r>
  <r>
    <x v="203"/>
    <s v="ENERO"/>
    <x v="34"/>
    <s v="LUNES"/>
    <n v="254762"/>
    <x v="40"/>
    <n v="112"/>
    <n v="240"/>
    <n v="44.800000000000004"/>
    <x v="3"/>
  </r>
  <r>
    <x v="203"/>
    <s v="ENERO"/>
    <x v="34"/>
    <s v="LUNES"/>
    <n v="256685"/>
    <x v="38"/>
    <n v="336"/>
    <n v="112"/>
    <n v="134.4"/>
    <x v="3"/>
  </r>
  <r>
    <x v="203"/>
    <s v="ENERO"/>
    <x v="34"/>
    <s v="LUNES"/>
    <n v="251429"/>
    <x v="0"/>
    <n v="1632"/>
    <n v="48"/>
    <n v="652.80000000000007"/>
    <x v="3"/>
  </r>
  <r>
    <x v="203"/>
    <s v="ENERO"/>
    <x v="34"/>
    <s v="LUNES"/>
    <n v="254853"/>
    <x v="2"/>
    <n v="2160"/>
    <n v="198"/>
    <n v="367.20000000000005"/>
    <x v="3"/>
  </r>
  <r>
    <x v="203"/>
    <s v="ENERO"/>
    <x v="34"/>
    <s v="LUNES"/>
    <n v="256675"/>
    <x v="8"/>
    <n v="1080"/>
    <n v="198"/>
    <n v="183.60000000000002"/>
    <x v="3"/>
  </r>
  <r>
    <x v="203"/>
    <s v="ENERO"/>
    <x v="34"/>
    <s v="LUNES"/>
    <n v="256680"/>
    <x v="26"/>
    <n v="450"/>
    <n v="90"/>
    <n v="76.5"/>
    <x v="3"/>
  </r>
  <r>
    <x v="203"/>
    <s v="ENERO"/>
    <x v="34"/>
    <s v="LUNES"/>
    <n v="256678"/>
    <x v="11"/>
    <n v="720"/>
    <n v="90"/>
    <n v="122.4"/>
    <x v="3"/>
  </r>
  <r>
    <x v="203"/>
    <s v="ENERO"/>
    <x v="34"/>
    <s v="LUNES"/>
    <n v="256695"/>
    <x v="25"/>
    <n v="1350"/>
    <n v="225"/>
    <n v="567"/>
    <x v="3"/>
  </r>
  <r>
    <x v="203"/>
    <s v="ENERO"/>
    <x v="34"/>
    <s v="LUNES"/>
    <n v="256720"/>
    <x v="42"/>
    <n v="500"/>
    <n v="420"/>
    <n v="210"/>
    <x v="3"/>
  </r>
  <r>
    <x v="203"/>
    <s v="ENERO"/>
    <x v="34"/>
    <s v="LUNES"/>
    <n v="256721"/>
    <x v="43"/>
    <n v="250"/>
    <n v="420"/>
    <n v="105"/>
    <x v="3"/>
  </r>
  <r>
    <x v="203"/>
    <s v="ENERO"/>
    <x v="34"/>
    <s v="LUNES"/>
    <n v="256753"/>
    <x v="48"/>
    <n v="390"/>
    <n v="30"/>
    <n v="81.899999999999991"/>
    <x v="3"/>
  </r>
  <r>
    <x v="204"/>
    <s v="ENERO"/>
    <x v="34"/>
    <s v="MARTES"/>
    <n v="256720"/>
    <x v="42"/>
    <n v="500"/>
    <n v="420"/>
    <n v="210"/>
    <x v="3"/>
  </r>
  <r>
    <x v="204"/>
    <s v="ENERO"/>
    <x v="34"/>
    <s v="MARTES"/>
    <n v="256721"/>
    <x v="43"/>
    <n v="1000"/>
    <n v="420"/>
    <n v="420"/>
    <x v="3"/>
  </r>
  <r>
    <x v="204"/>
    <s v="ENERO"/>
    <x v="34"/>
    <s v="MARTES"/>
    <n v="256753"/>
    <x v="48"/>
    <n v="1560"/>
    <n v="30"/>
    <n v="327.59999999999997"/>
    <x v="3"/>
  </r>
  <r>
    <x v="204"/>
    <s v="ENERO"/>
    <x v="34"/>
    <s v="MARTES"/>
    <n v="256383"/>
    <x v="28"/>
    <n v="150"/>
    <n v="30"/>
    <n v="34.5"/>
    <x v="3"/>
  </r>
  <r>
    <x v="204"/>
    <s v="ENERO"/>
    <x v="34"/>
    <s v="MARTES"/>
    <n v="256381"/>
    <x v="13"/>
    <n v="150"/>
    <n v="30"/>
    <n v="60"/>
    <x v="3"/>
  </r>
  <r>
    <x v="204"/>
    <s v="ENERO"/>
    <x v="34"/>
    <s v="MARTES"/>
    <n v="256380"/>
    <x v="14"/>
    <n v="400"/>
    <n v="40"/>
    <n v="92"/>
    <x v="3"/>
  </r>
  <r>
    <x v="204"/>
    <s v="ENERO"/>
    <x v="34"/>
    <s v="MARTES"/>
    <n v="252436"/>
    <x v="36"/>
    <n v="1170"/>
    <n v="90"/>
    <n v="468"/>
    <x v="3"/>
  </r>
  <r>
    <x v="204"/>
    <s v="ENERO"/>
    <x v="34"/>
    <s v="MARTES"/>
    <n v="251429"/>
    <x v="0"/>
    <n v="2400"/>
    <n v="48"/>
    <n v="960"/>
    <x v="3"/>
  </r>
  <r>
    <x v="204"/>
    <s v="ENERO"/>
    <x v="34"/>
    <s v="MARTES"/>
    <n v="251633"/>
    <x v="16"/>
    <n v="900"/>
    <n v="180"/>
    <n v="378"/>
    <x v="3"/>
  </r>
  <r>
    <x v="204"/>
    <s v="ENERO"/>
    <x v="34"/>
    <s v="MARTES"/>
    <n v="256616"/>
    <x v="22"/>
    <n v="990"/>
    <n v="198"/>
    <n v="168.3"/>
    <x v="3"/>
  </r>
  <r>
    <x v="204"/>
    <s v="ENERO"/>
    <x v="34"/>
    <s v="MARTES"/>
    <n v="256617"/>
    <x v="3"/>
    <n v="990"/>
    <n v="198"/>
    <n v="168.3"/>
    <x v="3"/>
  </r>
  <r>
    <x v="204"/>
    <s v="ENERO"/>
    <x v="34"/>
    <s v="MARTES"/>
    <n v="256666"/>
    <x v="4"/>
    <n v="648"/>
    <n v="162"/>
    <n v="110.16000000000001"/>
    <x v="3"/>
  </r>
  <r>
    <x v="204"/>
    <s v="ENERO"/>
    <x v="34"/>
    <s v="MARTES"/>
    <n v="256601"/>
    <x v="5"/>
    <n v="324"/>
    <n v="162"/>
    <n v="55.080000000000005"/>
    <x v="3"/>
  </r>
  <r>
    <x v="204"/>
    <s v="ENERO"/>
    <x v="34"/>
    <s v="MARTES"/>
    <n v="256677"/>
    <x v="10"/>
    <n v="3360"/>
    <n v="120"/>
    <n v="571.20000000000005"/>
    <x v="3"/>
  </r>
  <r>
    <x v="204"/>
    <s v="ENERO"/>
    <x v="34"/>
    <s v="MARTES"/>
    <n v="256678"/>
    <x v="11"/>
    <n v="900"/>
    <n v="90"/>
    <n v="153"/>
    <x v="3"/>
  </r>
  <r>
    <x v="204"/>
    <s v="ENERO"/>
    <x v="34"/>
    <s v="MARTES"/>
    <n v="256708"/>
    <x v="12"/>
    <n v="900"/>
    <n v="225"/>
    <n v="360"/>
    <x v="3"/>
  </r>
  <r>
    <x v="204"/>
    <s v="ENERO"/>
    <x v="34"/>
    <s v="MARTES"/>
    <n v="256709"/>
    <x v="19"/>
    <n v="450"/>
    <n v="225"/>
    <n v="180"/>
    <x v="3"/>
  </r>
  <r>
    <x v="204"/>
    <s v="ENERO"/>
    <x v="34"/>
    <s v="MARTES"/>
    <n v="251151"/>
    <x v="46"/>
    <n v="2500"/>
    <n v="250"/>
    <n v="1050"/>
    <x v="3"/>
  </r>
  <r>
    <x v="204"/>
    <s v="ENERO"/>
    <x v="34"/>
    <s v="MARTES"/>
    <n v="251151"/>
    <x v="46"/>
    <n v="1250"/>
    <n v="250"/>
    <n v="525"/>
    <x v="3"/>
  </r>
  <r>
    <x v="205"/>
    <s v="ENERO"/>
    <x v="34"/>
    <s v="MIÉRCOLES"/>
    <n v="256753"/>
    <x v="48"/>
    <n v="960"/>
    <n v="30"/>
    <n v="201.6"/>
    <x v="3"/>
  </r>
  <r>
    <x v="205"/>
    <s v="ENERO"/>
    <x v="34"/>
    <s v="MIÉRCOLES"/>
    <n v="256381"/>
    <x v="13"/>
    <n v="150"/>
    <n v="30"/>
    <n v="60"/>
    <x v="3"/>
  </r>
  <r>
    <x v="205"/>
    <s v="ENERO"/>
    <x v="34"/>
    <s v="MIÉRCOLES"/>
    <n v="256380"/>
    <x v="14"/>
    <n v="400"/>
    <n v="40"/>
    <n v="92"/>
    <x v="3"/>
  </r>
  <r>
    <x v="205"/>
    <s v="ENERO"/>
    <x v="34"/>
    <s v="MIÉRCOLES"/>
    <n v="256379"/>
    <x v="15"/>
    <n v="300"/>
    <n v="50"/>
    <n v="120"/>
    <x v="3"/>
  </r>
  <r>
    <x v="205"/>
    <s v="ENERO"/>
    <x v="34"/>
    <s v="MIÉRCOLES"/>
    <n v="252436"/>
    <x v="36"/>
    <n v="1350"/>
    <n v="90"/>
    <n v="540"/>
    <x v="3"/>
  </r>
  <r>
    <x v="205"/>
    <s v="ENERO"/>
    <x v="34"/>
    <s v="MIÉRCOLES"/>
    <n v="254762"/>
    <x v="40"/>
    <n v="560"/>
    <n v="240"/>
    <n v="224"/>
    <x v="3"/>
  </r>
  <r>
    <x v="205"/>
    <s v="ENERO"/>
    <x v="34"/>
    <s v="MIÉRCOLES"/>
    <n v="256685"/>
    <x v="38"/>
    <n v="560"/>
    <n v="112"/>
    <n v="224"/>
    <x v="3"/>
  </r>
  <r>
    <x v="205"/>
    <s v="ENERO"/>
    <x v="34"/>
    <s v="MIÉRCOLES"/>
    <n v="251429"/>
    <x v="0"/>
    <n v="1920"/>
    <n v="48"/>
    <n v="768"/>
    <x v="3"/>
  </r>
  <r>
    <x v="205"/>
    <s v="ENERO"/>
    <x v="34"/>
    <s v="MIÉRCOLES"/>
    <n v="256617"/>
    <x v="3"/>
    <n v="792"/>
    <n v="198"/>
    <n v="134.64000000000001"/>
    <x v="3"/>
  </r>
  <r>
    <x v="205"/>
    <s v="ENERO"/>
    <x v="34"/>
    <s v="MIÉRCOLES"/>
    <n v="256601"/>
    <x v="5"/>
    <n v="648"/>
    <n v="162"/>
    <n v="110.16000000000001"/>
    <x v="3"/>
  </r>
  <r>
    <x v="205"/>
    <s v="ENERO"/>
    <x v="34"/>
    <s v="MIÉRCOLES"/>
    <n v="256652"/>
    <x v="9"/>
    <n v="1440"/>
    <n v="90"/>
    <n v="244.8"/>
    <x v="3"/>
  </r>
  <r>
    <x v="205"/>
    <s v="ENERO"/>
    <x v="34"/>
    <s v="MIÉRCOLES"/>
    <n v="256695"/>
    <x v="25"/>
    <n v="1350"/>
    <n v="225"/>
    <n v="567"/>
    <x v="3"/>
  </r>
  <r>
    <x v="205"/>
    <s v="ENERO"/>
    <x v="34"/>
    <s v="MIÉRCOLES"/>
    <n v="256708"/>
    <x v="12"/>
    <n v="450"/>
    <n v="225"/>
    <n v="180"/>
    <x v="3"/>
  </r>
  <r>
    <x v="205"/>
    <s v="ENERO"/>
    <x v="34"/>
    <s v="MIÉRCOLES"/>
    <n v="256709"/>
    <x v="19"/>
    <n v="450"/>
    <n v="225"/>
    <n v="180"/>
    <x v="3"/>
  </r>
  <r>
    <x v="205"/>
    <s v="ENERO"/>
    <x v="34"/>
    <s v="MIÉRCOLES"/>
    <n v="251151"/>
    <x v="46"/>
    <n v="1500"/>
    <n v="250"/>
    <n v="630"/>
    <x v="3"/>
  </r>
  <r>
    <x v="205"/>
    <s v="ENERO"/>
    <x v="34"/>
    <s v="MIÉRCOLES"/>
    <n v="256720"/>
    <x v="42"/>
    <n v="500"/>
    <n v="420"/>
    <n v="210"/>
    <x v="3"/>
  </r>
  <r>
    <x v="206"/>
    <s v="ENERO"/>
    <x v="34"/>
    <s v="JUEVES"/>
    <n v="256709"/>
    <x v="19"/>
    <n v="450"/>
    <n v="225"/>
    <n v="180"/>
    <x v="3"/>
  </r>
  <r>
    <x v="206"/>
    <s v="ENERO"/>
    <x v="34"/>
    <s v="JUEVES"/>
    <n v="251151"/>
    <x v="46"/>
    <n v="500"/>
    <n v="250"/>
    <n v="210"/>
    <x v="3"/>
  </r>
  <r>
    <x v="206"/>
    <s v="ENERO"/>
    <x v="34"/>
    <s v="JUEVES"/>
    <n v="256720"/>
    <x v="42"/>
    <n v="250"/>
    <n v="420"/>
    <n v="105"/>
    <x v="3"/>
  </r>
  <r>
    <x v="206"/>
    <s v="ENERO"/>
    <x v="34"/>
    <s v="JUEVES"/>
    <n v="256721"/>
    <x v="43"/>
    <n v="500"/>
    <n v="420"/>
    <n v="210"/>
    <x v="3"/>
  </r>
  <r>
    <x v="206"/>
    <s v="ENERO"/>
    <x v="34"/>
    <s v="JUEVES"/>
    <n v="256381"/>
    <x v="13"/>
    <n v="150"/>
    <n v="30"/>
    <n v="60"/>
    <x v="3"/>
  </r>
  <r>
    <x v="206"/>
    <s v="ENERO"/>
    <x v="34"/>
    <s v="JUEVES"/>
    <n v="256379"/>
    <x v="15"/>
    <n v="200"/>
    <n v="50"/>
    <n v="80"/>
    <x v="3"/>
  </r>
  <r>
    <x v="206"/>
    <s v="ENERO"/>
    <x v="34"/>
    <s v="JUEVES"/>
    <n v="252436"/>
    <x v="36"/>
    <n v="540"/>
    <n v="90"/>
    <n v="216"/>
    <x v="3"/>
  </r>
  <r>
    <x v="206"/>
    <s v="ENERO"/>
    <x v="34"/>
    <s v="JUEVES"/>
    <n v="256685"/>
    <x v="38"/>
    <n v="224"/>
    <n v="112"/>
    <n v="89.600000000000009"/>
    <x v="3"/>
  </r>
  <r>
    <x v="206"/>
    <s v="ENERO"/>
    <x v="34"/>
    <s v="JUEVES"/>
    <n v="751315"/>
    <x v="24"/>
    <n v="840"/>
    <n v="420"/>
    <n v="352.8"/>
    <x v="3"/>
  </r>
  <r>
    <x v="206"/>
    <s v="ENERO"/>
    <x v="34"/>
    <s v="JUEVES"/>
    <n v="751544"/>
    <x v="39"/>
    <n v="4200"/>
    <n v="420"/>
    <n v="1764"/>
    <x v="3"/>
  </r>
  <r>
    <x v="206"/>
    <s v="ENERO"/>
    <x v="34"/>
    <s v="JUEVES"/>
    <n v="251633"/>
    <x v="16"/>
    <n v="1080"/>
    <n v="180"/>
    <n v="453.59999999999997"/>
    <x v="3"/>
  </r>
  <r>
    <x v="206"/>
    <s v="ENERO"/>
    <x v="34"/>
    <s v="JUEVES"/>
    <n v="251406"/>
    <x v="1"/>
    <n v="1080"/>
    <n v="198"/>
    <n v="183.60000000000002"/>
    <x v="3"/>
  </r>
  <r>
    <x v="206"/>
    <s v="ENERO"/>
    <x v="34"/>
    <s v="JUEVES"/>
    <n v="256616"/>
    <x v="22"/>
    <n v="990"/>
    <n v="198"/>
    <n v="168.3"/>
    <x v="3"/>
  </r>
  <r>
    <x v="206"/>
    <s v="ENERO"/>
    <x v="34"/>
    <s v="JUEVES"/>
    <n v="256666"/>
    <x v="4"/>
    <n v="810"/>
    <n v="162"/>
    <n v="137.70000000000002"/>
    <x v="3"/>
  </r>
  <r>
    <x v="206"/>
    <s v="ENERO"/>
    <x v="34"/>
    <s v="JUEVES"/>
    <n v="256488"/>
    <x v="6"/>
    <n v="6600"/>
    <n v="120"/>
    <n v="1122"/>
    <x v="3"/>
  </r>
  <r>
    <x v="206"/>
    <s v="ENERO"/>
    <x v="34"/>
    <s v="JUEVES"/>
    <n v="256677"/>
    <x v="10"/>
    <n v="5520"/>
    <n v="120"/>
    <n v="938.40000000000009"/>
    <x v="3"/>
  </r>
  <r>
    <x v="206"/>
    <s v="ENERO"/>
    <x v="34"/>
    <s v="JUEVES"/>
    <n v="256680"/>
    <x v="26"/>
    <n v="900"/>
    <n v="90"/>
    <n v="153"/>
    <x v="3"/>
  </r>
  <r>
    <x v="206"/>
    <s v="ENERO"/>
    <x v="34"/>
    <s v="JUEVES"/>
    <n v="256679"/>
    <x v="23"/>
    <n v="1440"/>
    <n v="90"/>
    <n v="244.8"/>
    <x v="3"/>
  </r>
  <r>
    <x v="206"/>
    <s v="ENERO"/>
    <x v="34"/>
    <s v="JUEVES"/>
    <n v="256708"/>
    <x v="12"/>
    <n v="225"/>
    <n v="225"/>
    <n v="90"/>
    <x v="3"/>
  </r>
  <r>
    <x v="207"/>
    <s v="ENERO"/>
    <x v="35"/>
    <s v="SÁBADO"/>
    <n v="252436"/>
    <x v="36"/>
    <n v="1260"/>
    <n v="90"/>
    <n v="504"/>
    <x v="3"/>
  </r>
  <r>
    <x v="207"/>
    <s v="ENERO"/>
    <x v="35"/>
    <s v="SÁBADO"/>
    <n v="256685"/>
    <x v="38"/>
    <n v="336"/>
    <n v="112"/>
    <n v="134.4"/>
    <x v="3"/>
  </r>
  <r>
    <x v="207"/>
    <s v="ENERO"/>
    <x v="35"/>
    <s v="SÁBADO"/>
    <n v="251429"/>
    <x v="0"/>
    <n v="1296"/>
    <n v="48"/>
    <n v="518.4"/>
    <x v="3"/>
  </r>
  <r>
    <x v="207"/>
    <s v="ENERO"/>
    <x v="35"/>
    <s v="SÁBADO"/>
    <n v="751315"/>
    <x v="24"/>
    <n v="1260"/>
    <n v="420"/>
    <n v="529.19999999999993"/>
    <x v="3"/>
  </r>
  <r>
    <x v="207"/>
    <s v="ENERO"/>
    <x v="35"/>
    <s v="SÁBADO"/>
    <n v="751544"/>
    <x v="39"/>
    <n v="2100"/>
    <n v="420"/>
    <n v="882"/>
    <x v="3"/>
  </r>
  <r>
    <x v="207"/>
    <s v="ENERO"/>
    <x v="35"/>
    <s v="SÁBADO"/>
    <n v="251633"/>
    <x v="16"/>
    <n v="900"/>
    <n v="180"/>
    <n v="378"/>
    <x v="3"/>
  </r>
  <r>
    <x v="207"/>
    <s v="ENERO"/>
    <x v="35"/>
    <s v="SÁBADO"/>
    <n v="251406"/>
    <x v="1"/>
    <n v="2160"/>
    <n v="198"/>
    <n v="367.20000000000005"/>
    <x v="3"/>
  </r>
  <r>
    <x v="207"/>
    <s v="ENERO"/>
    <x v="35"/>
    <s v="SÁBADO"/>
    <n v="256676"/>
    <x v="17"/>
    <n v="4200"/>
    <n v="120"/>
    <n v="714"/>
    <x v="3"/>
  </r>
  <r>
    <x v="207"/>
    <s v="ENERO"/>
    <x v="35"/>
    <s v="SÁBADO"/>
    <n v="256677"/>
    <x v="10"/>
    <n v="2400"/>
    <n v="120"/>
    <n v="408.00000000000006"/>
    <x v="3"/>
  </r>
  <r>
    <x v="207"/>
    <s v="ENERO"/>
    <x v="35"/>
    <s v="SÁBADO"/>
    <n v="256679"/>
    <x v="23"/>
    <n v="720"/>
    <n v="90"/>
    <n v="122.4"/>
    <x v="3"/>
  </r>
  <r>
    <x v="207"/>
    <s v="ENERO"/>
    <x v="35"/>
    <s v="SÁBADO"/>
    <n v="256678"/>
    <x v="11"/>
    <n v="2160"/>
    <n v="90"/>
    <n v="367.20000000000005"/>
    <x v="3"/>
  </r>
  <r>
    <x v="207"/>
    <s v="ENERO"/>
    <x v="35"/>
    <s v="SÁBADO"/>
    <n v="256708"/>
    <x v="12"/>
    <n v="900"/>
    <n v="225"/>
    <n v="360"/>
    <x v="3"/>
  </r>
  <r>
    <x v="207"/>
    <s v="ENERO"/>
    <x v="35"/>
    <s v="SÁBADO"/>
    <n v="256709"/>
    <x v="19"/>
    <n v="450"/>
    <n v="225"/>
    <n v="180"/>
    <x v="3"/>
  </r>
  <r>
    <x v="207"/>
    <s v="ENERO"/>
    <x v="35"/>
    <s v="SÁBADO"/>
    <n v="256721"/>
    <x v="43"/>
    <n v="250"/>
    <n v="420"/>
    <n v="105"/>
    <x v="3"/>
  </r>
  <r>
    <x v="208"/>
    <s v="ENERO"/>
    <x v="34"/>
    <s v="VIERNES"/>
    <n v="252436"/>
    <x v="36"/>
    <n v="900"/>
    <n v="90"/>
    <n v="360"/>
    <x v="3"/>
  </r>
  <r>
    <x v="208"/>
    <s v="ENERO"/>
    <x v="34"/>
    <s v="VIERNES"/>
    <n v="251429"/>
    <x v="0"/>
    <n v="2400"/>
    <n v="48"/>
    <n v="960"/>
    <x v="3"/>
  </r>
  <r>
    <x v="208"/>
    <s v="ENERO"/>
    <x v="34"/>
    <s v="VIERNES"/>
    <n v="751315"/>
    <x v="24"/>
    <n v="840"/>
    <n v="420"/>
    <n v="352.8"/>
    <x v="3"/>
  </r>
  <r>
    <x v="208"/>
    <s v="ENERO"/>
    <x v="34"/>
    <s v="VIERNES"/>
    <n v="251633"/>
    <x v="16"/>
    <n v="1800"/>
    <n v="180"/>
    <n v="756"/>
    <x v="3"/>
  </r>
  <r>
    <x v="208"/>
    <s v="ENERO"/>
    <x v="34"/>
    <s v="VIERNES"/>
    <n v="251406"/>
    <x v="1"/>
    <n v="1296"/>
    <n v="198"/>
    <n v="220.32000000000002"/>
    <x v="3"/>
  </r>
  <r>
    <x v="208"/>
    <s v="ENERO"/>
    <x v="34"/>
    <s v="VIERNES"/>
    <n v="254853"/>
    <x v="2"/>
    <n v="216"/>
    <n v="198"/>
    <n v="36.720000000000006"/>
    <x v="3"/>
  </r>
  <r>
    <x v="208"/>
    <s v="ENERO"/>
    <x v="34"/>
    <s v="VIERNES"/>
    <n v="256548"/>
    <x v="34"/>
    <n v="432"/>
    <n v="198"/>
    <n v="73.440000000000012"/>
    <x v="3"/>
  </r>
  <r>
    <x v="208"/>
    <s v="ENERO"/>
    <x v="34"/>
    <s v="VIERNES"/>
    <n v="256617"/>
    <x v="3"/>
    <n v="990"/>
    <n v="198"/>
    <n v="168.3"/>
    <x v="3"/>
  </r>
  <r>
    <x v="208"/>
    <s v="ENERO"/>
    <x v="34"/>
    <s v="VIERNES"/>
    <n v="256601"/>
    <x v="5"/>
    <n v="324"/>
    <n v="162"/>
    <n v="55.080000000000005"/>
    <x v="3"/>
  </r>
  <r>
    <x v="208"/>
    <s v="ENERO"/>
    <x v="34"/>
    <s v="VIERNES"/>
    <n v="256676"/>
    <x v="17"/>
    <n v="4320"/>
    <n v="120"/>
    <n v="734.40000000000009"/>
    <x v="3"/>
  </r>
  <r>
    <x v="208"/>
    <s v="ENERO"/>
    <x v="34"/>
    <s v="VIERNES"/>
    <n v="256674"/>
    <x v="7"/>
    <n v="2376"/>
    <n v="198"/>
    <n v="403.92"/>
    <x v="3"/>
  </r>
  <r>
    <x v="208"/>
    <s v="ENERO"/>
    <x v="34"/>
    <s v="VIERNES"/>
    <n v="256675"/>
    <x v="8"/>
    <n v="1080"/>
    <n v="198"/>
    <n v="183.60000000000002"/>
    <x v="3"/>
  </r>
  <r>
    <x v="208"/>
    <s v="ENERO"/>
    <x v="34"/>
    <s v="VIERNES"/>
    <n v="256652"/>
    <x v="9"/>
    <n v="900"/>
    <n v="90"/>
    <n v="153"/>
    <x v="3"/>
  </r>
  <r>
    <x v="208"/>
    <s v="ENERO"/>
    <x v="34"/>
    <s v="VIERNES"/>
    <n v="256678"/>
    <x v="11"/>
    <n v="3600"/>
    <n v="90"/>
    <n v="612"/>
    <x v="3"/>
  </r>
  <r>
    <x v="208"/>
    <s v="ENERO"/>
    <x v="34"/>
    <s v="VIERNES"/>
    <n v="256682"/>
    <x v="20"/>
    <n v="900"/>
    <n v="90"/>
    <n v="153"/>
    <x v="3"/>
  </r>
  <r>
    <x v="208"/>
    <s v="ENERO"/>
    <x v="34"/>
    <s v="VIERNES"/>
    <n v="256695"/>
    <x v="25"/>
    <n v="1350"/>
    <n v="225"/>
    <n v="567"/>
    <x v="3"/>
  </r>
  <r>
    <x v="208"/>
    <s v="ENERO"/>
    <x v="34"/>
    <s v="VIERNES"/>
    <n v="256708"/>
    <x v="12"/>
    <n v="450"/>
    <n v="225"/>
    <n v="180"/>
    <x v="3"/>
  </r>
  <r>
    <x v="209"/>
    <s v="ENERO"/>
    <x v="35"/>
    <s v="LUNES"/>
    <n v="252436"/>
    <x v="36"/>
    <n v="450"/>
    <n v="90"/>
    <n v="180"/>
    <x v="3"/>
  </r>
  <r>
    <x v="209"/>
    <s v="ENERO"/>
    <x v="35"/>
    <s v="LUNES"/>
    <n v="256685"/>
    <x v="38"/>
    <n v="224"/>
    <n v="112"/>
    <n v="89.600000000000009"/>
    <x v="3"/>
  </r>
  <r>
    <x v="209"/>
    <s v="ENERO"/>
    <x v="35"/>
    <s v="LUNES"/>
    <n v="251429"/>
    <x v="0"/>
    <n v="1440"/>
    <n v="48"/>
    <n v="576"/>
    <x v="3"/>
  </r>
  <r>
    <x v="209"/>
    <s v="ENERO"/>
    <x v="35"/>
    <s v="LUNES"/>
    <n v="751544"/>
    <x v="39"/>
    <n v="2100"/>
    <n v="420"/>
    <n v="882"/>
    <x v="3"/>
  </r>
  <r>
    <x v="209"/>
    <s v="ENERO"/>
    <x v="35"/>
    <s v="LUNES"/>
    <n v="256616"/>
    <x v="22"/>
    <n v="792"/>
    <n v="198"/>
    <n v="134.64000000000001"/>
    <x v="3"/>
  </r>
  <r>
    <x v="209"/>
    <s v="ENERO"/>
    <x v="35"/>
    <s v="LUNES"/>
    <n v="256488"/>
    <x v="6"/>
    <n v="360"/>
    <n v="120"/>
    <n v="61.2"/>
    <x v="3"/>
  </r>
  <r>
    <x v="209"/>
    <s v="ENERO"/>
    <x v="35"/>
    <s v="LUNES"/>
    <n v="256652"/>
    <x v="9"/>
    <n v="720"/>
    <n v="90"/>
    <n v="122.4"/>
    <x v="3"/>
  </r>
  <r>
    <x v="209"/>
    <s v="ENERO"/>
    <x v="35"/>
    <s v="LUNES"/>
    <n v="256679"/>
    <x v="23"/>
    <n v="720"/>
    <n v="90"/>
    <n v="122.4"/>
    <x v="3"/>
  </r>
  <r>
    <x v="209"/>
    <s v="ENERO"/>
    <x v="35"/>
    <s v="LUNES"/>
    <n v="256678"/>
    <x v="11"/>
    <n v="2160"/>
    <n v="90"/>
    <n v="367.20000000000005"/>
    <x v="3"/>
  </r>
  <r>
    <x v="209"/>
    <s v="ENERO"/>
    <x v="35"/>
    <s v="LUNES"/>
    <n v="256695"/>
    <x v="25"/>
    <n v="2250"/>
    <n v="225"/>
    <n v="945"/>
    <x v="3"/>
  </r>
  <r>
    <x v="209"/>
    <s v="ENERO"/>
    <x v="35"/>
    <s v="LUNES"/>
    <n v="256708"/>
    <x v="12"/>
    <n v="675"/>
    <n v="225"/>
    <n v="270"/>
    <x v="3"/>
  </r>
  <r>
    <x v="209"/>
    <s v="ENERO"/>
    <x v="35"/>
    <s v="LUNES"/>
    <n v="256709"/>
    <x v="19"/>
    <n v="225"/>
    <n v="225"/>
    <n v="90"/>
    <x v="3"/>
  </r>
  <r>
    <x v="209"/>
    <s v="ENERO"/>
    <x v="35"/>
    <s v="LUNES"/>
    <n v="254852"/>
    <x v="37"/>
    <n v="1250"/>
    <n v="225"/>
    <n v="525"/>
    <x v="3"/>
  </r>
  <r>
    <x v="209"/>
    <s v="ENERO"/>
    <x v="35"/>
    <s v="LUNES"/>
    <n v="256753"/>
    <x v="48"/>
    <n v="600"/>
    <n v="30"/>
    <n v="126"/>
    <x v="3"/>
  </r>
  <r>
    <x v="210"/>
    <s v="ENERO"/>
    <x v="35"/>
    <s v="MARTES"/>
    <n v="256753"/>
    <x v="48"/>
    <n v="600"/>
    <n v="30"/>
    <n v="126"/>
    <x v="3"/>
  </r>
  <r>
    <x v="210"/>
    <s v="ENERO"/>
    <x v="35"/>
    <s v="MARTES"/>
    <n v="251429"/>
    <x v="0"/>
    <n v="1200"/>
    <n v="48"/>
    <n v="480"/>
    <x v="3"/>
  </r>
  <r>
    <x v="210"/>
    <s v="ENERO"/>
    <x v="35"/>
    <s v="MARTES"/>
    <n v="751544"/>
    <x v="39"/>
    <n v="2100"/>
    <n v="420"/>
    <n v="882"/>
    <x v="3"/>
  </r>
  <r>
    <x v="210"/>
    <s v="ENERO"/>
    <x v="35"/>
    <s v="MARTES"/>
    <n v="251406"/>
    <x v="1"/>
    <n v="4320"/>
    <n v="198"/>
    <n v="734.40000000000009"/>
    <x v="3"/>
  </r>
  <r>
    <x v="210"/>
    <s v="ENERO"/>
    <x v="35"/>
    <s v="MARTES"/>
    <n v="254853"/>
    <x v="2"/>
    <n v="1728"/>
    <n v="198"/>
    <n v="293.76000000000005"/>
    <x v="3"/>
  </r>
  <r>
    <x v="210"/>
    <s v="ENERO"/>
    <x v="35"/>
    <s v="MARTES"/>
    <n v="256616"/>
    <x v="22"/>
    <n v="990"/>
    <n v="198"/>
    <n v="168.3"/>
    <x v="3"/>
  </r>
  <r>
    <x v="210"/>
    <s v="ENERO"/>
    <x v="35"/>
    <s v="MARTES"/>
    <n v="256488"/>
    <x v="6"/>
    <n v="2520"/>
    <n v="120"/>
    <n v="428.40000000000003"/>
    <x v="3"/>
  </r>
  <r>
    <x v="210"/>
    <s v="ENERO"/>
    <x v="35"/>
    <s v="MARTES"/>
    <n v="256676"/>
    <x v="17"/>
    <n v="120"/>
    <n v="120"/>
    <n v="20.400000000000002"/>
    <x v="3"/>
  </r>
  <r>
    <x v="210"/>
    <s v="ENERO"/>
    <x v="35"/>
    <s v="MARTES"/>
    <n v="256674"/>
    <x v="7"/>
    <n v="2160"/>
    <n v="198"/>
    <n v="367.20000000000005"/>
    <x v="3"/>
  </r>
  <r>
    <x v="210"/>
    <s v="ENERO"/>
    <x v="35"/>
    <s v="MARTES"/>
    <n v="256675"/>
    <x v="8"/>
    <n v="1080"/>
    <n v="198"/>
    <n v="183.60000000000002"/>
    <x v="3"/>
  </r>
  <r>
    <x v="210"/>
    <s v="ENERO"/>
    <x v="35"/>
    <s v="MARTES"/>
    <n v="256652"/>
    <x v="9"/>
    <n v="900"/>
    <n v="90"/>
    <n v="153"/>
    <x v="3"/>
  </r>
  <r>
    <x v="210"/>
    <s v="ENERO"/>
    <x v="35"/>
    <s v="MARTES"/>
    <n v="256679"/>
    <x v="23"/>
    <n v="900"/>
    <n v="90"/>
    <n v="153"/>
    <x v="3"/>
  </r>
  <r>
    <x v="210"/>
    <s v="ENERO"/>
    <x v="35"/>
    <s v="MARTES"/>
    <n v="256678"/>
    <x v="11"/>
    <n v="900"/>
    <n v="90"/>
    <n v="153"/>
    <x v="3"/>
  </r>
  <r>
    <x v="210"/>
    <s v="ENERO"/>
    <x v="35"/>
    <s v="MARTES"/>
    <n v="256695"/>
    <x v="25"/>
    <n v="1350"/>
    <n v="225"/>
    <n v="567"/>
    <x v="3"/>
  </r>
  <r>
    <x v="210"/>
    <s v="ENERO"/>
    <x v="35"/>
    <s v="MARTES"/>
    <n v="256708"/>
    <x v="12"/>
    <n v="675"/>
    <n v="225"/>
    <n v="270"/>
    <x v="3"/>
  </r>
  <r>
    <x v="210"/>
    <s v="ENERO"/>
    <x v="35"/>
    <s v="MARTES"/>
    <n v="256720"/>
    <x v="42"/>
    <n v="500"/>
    <n v="420"/>
    <n v="210"/>
    <x v="3"/>
  </r>
  <r>
    <x v="211"/>
    <s v="ENERO"/>
    <x v="35"/>
    <s v="MIÉRCOLES"/>
    <n v="256721"/>
    <x v="43"/>
    <n v="500"/>
    <n v="420"/>
    <n v="210"/>
    <x v="3"/>
  </r>
  <r>
    <x v="211"/>
    <s v="ENERO"/>
    <x v="35"/>
    <s v="MIÉRCOLES"/>
    <n v="256383"/>
    <x v="28"/>
    <n v="210"/>
    <n v="30"/>
    <n v="48.300000000000004"/>
    <x v="3"/>
  </r>
  <r>
    <x v="211"/>
    <s v="ENERO"/>
    <x v="35"/>
    <s v="MIÉRCOLES"/>
    <n v="256381"/>
    <x v="13"/>
    <n v="200"/>
    <n v="30"/>
    <n v="80"/>
    <x v="3"/>
  </r>
  <r>
    <x v="211"/>
    <s v="ENERO"/>
    <x v="35"/>
    <s v="MIÉRCOLES"/>
    <n v="256379"/>
    <x v="15"/>
    <n v="200"/>
    <n v="50"/>
    <n v="80"/>
    <x v="3"/>
  </r>
  <r>
    <x v="211"/>
    <s v="ENERO"/>
    <x v="35"/>
    <s v="MIÉRCOLES"/>
    <n v="252436"/>
    <x v="36"/>
    <n v="900"/>
    <n v="90"/>
    <n v="360"/>
    <x v="3"/>
  </r>
  <r>
    <x v="211"/>
    <s v="ENERO"/>
    <x v="35"/>
    <s v="MIÉRCOLES"/>
    <n v="256685"/>
    <x v="38"/>
    <n v="336"/>
    <n v="112"/>
    <n v="134.4"/>
    <x v="3"/>
  </r>
  <r>
    <x v="211"/>
    <s v="ENERO"/>
    <x v="35"/>
    <s v="MIÉRCOLES"/>
    <n v="251429"/>
    <x v="0"/>
    <n v="1440"/>
    <n v="48"/>
    <n v="576"/>
    <x v="3"/>
  </r>
  <r>
    <x v="211"/>
    <s v="ENERO"/>
    <x v="35"/>
    <s v="MIÉRCOLES"/>
    <n v="751315"/>
    <x v="24"/>
    <n v="3360"/>
    <n v="420"/>
    <n v="1411.2"/>
    <x v="3"/>
  </r>
  <r>
    <x v="211"/>
    <s v="ENERO"/>
    <x v="35"/>
    <s v="MIÉRCOLES"/>
    <n v="751468"/>
    <x v="32"/>
    <n v="4200"/>
    <n v="420"/>
    <n v="1764"/>
    <x v="3"/>
  </r>
  <r>
    <x v="211"/>
    <s v="ENERO"/>
    <x v="35"/>
    <s v="MIÉRCOLES"/>
    <n v="256617"/>
    <x v="3"/>
    <n v="990"/>
    <n v="198"/>
    <n v="168.3"/>
    <x v="3"/>
  </r>
  <r>
    <x v="211"/>
    <s v="ENERO"/>
    <x v="35"/>
    <s v="MIÉRCOLES"/>
    <n v="256488"/>
    <x v="6"/>
    <n v="3000"/>
    <n v="120"/>
    <n v="510.00000000000006"/>
    <x v="3"/>
  </r>
  <r>
    <x v="211"/>
    <s v="ENERO"/>
    <x v="35"/>
    <s v="MIÉRCOLES"/>
    <n v="256675"/>
    <x v="8"/>
    <n v="1512"/>
    <n v="198"/>
    <n v="257.04000000000002"/>
    <x v="3"/>
  </r>
  <r>
    <x v="211"/>
    <s v="ENERO"/>
    <x v="35"/>
    <s v="MIÉRCOLES"/>
    <n v="256678"/>
    <x v="11"/>
    <n v="2880"/>
    <n v="90"/>
    <n v="489.6"/>
    <x v="3"/>
  </r>
  <r>
    <x v="211"/>
    <s v="ENERO"/>
    <x v="35"/>
    <s v="MIÉRCOLES"/>
    <n v="256682"/>
    <x v="20"/>
    <n v="450"/>
    <n v="90"/>
    <n v="76.5"/>
    <x v="3"/>
  </r>
  <r>
    <x v="211"/>
    <s v="ENERO"/>
    <x v="35"/>
    <s v="MIÉRCOLES"/>
    <n v="256709"/>
    <x v="19"/>
    <n v="450"/>
    <n v="225"/>
    <n v="180"/>
    <x v="3"/>
  </r>
  <r>
    <x v="211"/>
    <s v="ENERO"/>
    <x v="35"/>
    <s v="MIÉRCOLES"/>
    <n v="256720"/>
    <x v="42"/>
    <n v="500"/>
    <n v="420"/>
    <n v="210"/>
    <x v="3"/>
  </r>
  <r>
    <x v="211"/>
    <s v="ENERO"/>
    <x v="35"/>
    <s v="MIÉRCOLES"/>
    <n v="254762"/>
    <x v="40"/>
    <n v="112"/>
    <n v="240"/>
    <n v="44.800000000000004"/>
    <x v="3"/>
  </r>
  <r>
    <x v="211"/>
    <s v="ENERO"/>
    <x v="35"/>
    <s v="MIÉRCOLES"/>
    <n v="751315"/>
    <x v="24"/>
    <n v="840"/>
    <n v="420"/>
    <n v="352.8"/>
    <x v="3"/>
  </r>
  <r>
    <x v="211"/>
    <s v="ENERO"/>
    <x v="35"/>
    <s v="MIÉRCOLES"/>
    <n v="251633"/>
    <x v="16"/>
    <n v="900"/>
    <n v="180"/>
    <n v="378"/>
    <x v="3"/>
  </r>
  <r>
    <x v="212"/>
    <s v="ENERO"/>
    <x v="35"/>
    <s v="JUEVES"/>
    <n v="751315"/>
    <x v="24"/>
    <n v="2940"/>
    <n v="420"/>
    <n v="1234.8"/>
    <x v="3"/>
  </r>
  <r>
    <x v="212"/>
    <s v="ENERO"/>
    <x v="35"/>
    <s v="JUEVES"/>
    <n v="751468"/>
    <x v="32"/>
    <n v="2940"/>
    <n v="420"/>
    <n v="1234.8"/>
    <x v="3"/>
  </r>
  <r>
    <x v="212"/>
    <s v="ENERO"/>
    <x v="35"/>
    <s v="JUEVES"/>
    <n v="256383"/>
    <x v="28"/>
    <n v="180"/>
    <n v="30"/>
    <n v="41.4"/>
    <x v="3"/>
  </r>
  <r>
    <x v="212"/>
    <s v="ENERO"/>
    <x v="35"/>
    <s v="JUEVES"/>
    <n v="256381"/>
    <x v="13"/>
    <n v="150"/>
    <n v="30"/>
    <n v="60"/>
    <x v="3"/>
  </r>
  <r>
    <x v="212"/>
    <s v="ENERO"/>
    <x v="35"/>
    <s v="JUEVES"/>
    <n v="256379"/>
    <x v="15"/>
    <n v="250"/>
    <n v="50"/>
    <n v="100"/>
    <x v="3"/>
  </r>
  <r>
    <x v="212"/>
    <s v="ENERO"/>
    <x v="35"/>
    <s v="JUEVES"/>
    <n v="252436"/>
    <x v="36"/>
    <n v="450"/>
    <n v="90"/>
    <n v="180"/>
    <x v="3"/>
  </r>
  <r>
    <x v="212"/>
    <s v="ENERO"/>
    <x v="35"/>
    <s v="JUEVES"/>
    <n v="256685"/>
    <x v="38"/>
    <n v="224"/>
    <n v="112"/>
    <n v="89.600000000000009"/>
    <x v="3"/>
  </r>
  <r>
    <x v="212"/>
    <s v="ENERO"/>
    <x v="35"/>
    <s v="JUEVES"/>
    <n v="751315"/>
    <x v="24"/>
    <n v="5880"/>
    <n v="420"/>
    <n v="2469.6"/>
    <x v="3"/>
  </r>
  <r>
    <x v="212"/>
    <s v="ENERO"/>
    <x v="35"/>
    <s v="JUEVES"/>
    <n v="751468"/>
    <x v="32"/>
    <n v="3360"/>
    <n v="420"/>
    <n v="1411.2"/>
    <x v="3"/>
  </r>
  <r>
    <x v="212"/>
    <s v="ENERO"/>
    <x v="35"/>
    <s v="JUEVES"/>
    <n v="251633"/>
    <x v="16"/>
    <n v="540"/>
    <n v="180"/>
    <n v="226.79999999999998"/>
    <x v="3"/>
  </r>
  <r>
    <x v="212"/>
    <s v="ENERO"/>
    <x v="35"/>
    <s v="JUEVES"/>
    <n v="256617"/>
    <x v="3"/>
    <n v="990"/>
    <n v="198"/>
    <n v="168.3"/>
    <x v="3"/>
  </r>
  <r>
    <x v="212"/>
    <s v="ENERO"/>
    <x v="35"/>
    <s v="JUEVES"/>
    <n v="256666"/>
    <x v="4"/>
    <n v="1296"/>
    <n v="162"/>
    <n v="220.32000000000002"/>
    <x v="3"/>
  </r>
  <r>
    <x v="212"/>
    <s v="ENERO"/>
    <x v="35"/>
    <s v="JUEVES"/>
    <n v="256601"/>
    <x v="5"/>
    <n v="648"/>
    <n v="162"/>
    <n v="110.16000000000001"/>
    <x v="3"/>
  </r>
  <r>
    <x v="212"/>
    <s v="ENERO"/>
    <x v="35"/>
    <s v="JUEVES"/>
    <n v="256488"/>
    <x v="6"/>
    <n v="2400"/>
    <n v="120"/>
    <n v="408.00000000000006"/>
    <x v="3"/>
  </r>
  <r>
    <x v="212"/>
    <s v="ENERO"/>
    <x v="35"/>
    <s v="JUEVES"/>
    <n v="256676"/>
    <x v="17"/>
    <n v="2400"/>
    <n v="120"/>
    <n v="408.00000000000006"/>
    <x v="3"/>
  </r>
  <r>
    <x v="212"/>
    <s v="ENERO"/>
    <x v="35"/>
    <s v="JUEVES"/>
    <n v="256674"/>
    <x v="7"/>
    <n v="1080"/>
    <n v="198"/>
    <n v="183.60000000000002"/>
    <x v="3"/>
  </r>
  <r>
    <x v="212"/>
    <s v="ENERO"/>
    <x v="35"/>
    <s v="JUEVES"/>
    <n v="256678"/>
    <x v="11"/>
    <n v="900"/>
    <n v="90"/>
    <n v="153"/>
    <x v="3"/>
  </r>
  <r>
    <x v="212"/>
    <s v="ENERO"/>
    <x v="35"/>
    <s v="JUEVES"/>
    <n v="256682"/>
    <x v="20"/>
    <n v="450"/>
    <n v="90"/>
    <n v="76.5"/>
    <x v="3"/>
  </r>
  <r>
    <x v="212"/>
    <s v="ENERO"/>
    <x v="35"/>
    <s v="JUEVES"/>
    <n v="256695"/>
    <x v="25"/>
    <n v="1350"/>
    <n v="225"/>
    <n v="567"/>
    <x v="3"/>
  </r>
  <r>
    <x v="212"/>
    <s v="ENERO"/>
    <x v="35"/>
    <s v="JUEVES"/>
    <n v="256720"/>
    <x v="42"/>
    <n v="250"/>
    <n v="420"/>
    <n v="105"/>
    <x v="3"/>
  </r>
  <r>
    <x v="212"/>
    <s v="ENERO"/>
    <x v="35"/>
    <s v="JUEVES"/>
    <n v="256721"/>
    <x v="43"/>
    <n v="500"/>
    <n v="420"/>
    <n v="210"/>
    <x v="3"/>
  </r>
  <r>
    <x v="213"/>
    <s v="ENERO"/>
    <x v="35"/>
    <s v="VIERNES"/>
    <n v="751468"/>
    <x v="32"/>
    <n v="2940"/>
    <n v="420"/>
    <n v="1234.8"/>
    <x v="3"/>
  </r>
  <r>
    <x v="213"/>
    <s v="ENERO"/>
    <x v="35"/>
    <s v="VIERNES"/>
    <n v="251406"/>
    <x v="1"/>
    <n v="864"/>
    <n v="198"/>
    <n v="146.88000000000002"/>
    <x v="3"/>
  </r>
  <r>
    <x v="213"/>
    <s v="ENERO"/>
    <x v="35"/>
    <s v="VIERNES"/>
    <n v="256616"/>
    <x v="22"/>
    <n v="396"/>
    <n v="198"/>
    <n v="67.320000000000007"/>
    <x v="3"/>
  </r>
  <r>
    <x v="213"/>
    <s v="ENERO"/>
    <x v="35"/>
    <s v="VIERNES"/>
    <n v="256721"/>
    <x v="43"/>
    <n v="500"/>
    <n v="420"/>
    <n v="210"/>
    <x v="3"/>
  </r>
  <r>
    <x v="213"/>
    <s v="ENERO"/>
    <x v="35"/>
    <s v="VIERNES"/>
    <n v="255429"/>
    <x v="49"/>
    <n v="2000"/>
    <n v="250"/>
    <n v="460"/>
    <x v="3"/>
  </r>
  <r>
    <x v="213"/>
    <s v="ENERO"/>
    <x v="35"/>
    <s v="VIERNES"/>
    <n v="252436"/>
    <x v="36"/>
    <n v="450"/>
    <n v="90"/>
    <n v="180"/>
    <x v="3"/>
  </r>
  <r>
    <x v="213"/>
    <s v="ENERO"/>
    <x v="35"/>
    <s v="VIERNES"/>
    <n v="254762"/>
    <x v="40"/>
    <n v="224"/>
    <n v="240"/>
    <n v="89.600000000000009"/>
    <x v="3"/>
  </r>
  <r>
    <x v="213"/>
    <s v="ENERO"/>
    <x v="35"/>
    <s v="VIERNES"/>
    <n v="251429"/>
    <x v="0"/>
    <n v="1920"/>
    <n v="48"/>
    <n v="768"/>
    <x v="3"/>
  </r>
  <r>
    <x v="213"/>
    <s v="ENERO"/>
    <x v="35"/>
    <s v="VIERNES"/>
    <n v="751315"/>
    <x v="24"/>
    <n v="3360"/>
    <n v="420"/>
    <n v="1411.2"/>
    <x v="3"/>
  </r>
  <r>
    <x v="213"/>
    <s v="ENERO"/>
    <x v="35"/>
    <s v="VIERNES"/>
    <n v="251406"/>
    <x v="1"/>
    <n v="1296"/>
    <n v="198"/>
    <n v="220.32000000000002"/>
    <x v="3"/>
  </r>
  <r>
    <x v="213"/>
    <s v="ENERO"/>
    <x v="35"/>
    <s v="VIERNES"/>
    <n v="254853"/>
    <x v="2"/>
    <n v="2160"/>
    <n v="198"/>
    <n v="367.20000000000005"/>
    <x v="3"/>
  </r>
  <r>
    <x v="213"/>
    <s v="ENERO"/>
    <x v="35"/>
    <s v="VIERNES"/>
    <n v="256616"/>
    <x v="22"/>
    <n v="594"/>
    <n v="198"/>
    <n v="100.98"/>
    <x v="3"/>
  </r>
  <r>
    <x v="213"/>
    <s v="ENERO"/>
    <x v="35"/>
    <s v="VIERNES"/>
    <n v="256488"/>
    <x v="6"/>
    <n v="6000"/>
    <n v="120"/>
    <n v="1020.0000000000001"/>
    <x v="3"/>
  </r>
  <r>
    <x v="213"/>
    <s v="ENERO"/>
    <x v="35"/>
    <s v="VIERNES"/>
    <n v="256675"/>
    <x v="8"/>
    <n v="2160"/>
    <n v="198"/>
    <n v="367.20000000000005"/>
    <x v="3"/>
  </r>
  <r>
    <x v="213"/>
    <s v="ENERO"/>
    <x v="35"/>
    <s v="VIERNES"/>
    <n v="256652"/>
    <x v="9"/>
    <n v="1440"/>
    <n v="90"/>
    <n v="244.8"/>
    <x v="3"/>
  </r>
  <r>
    <x v="213"/>
    <s v="ENERO"/>
    <x v="35"/>
    <s v="VIERNES"/>
    <n v="256679"/>
    <x v="23"/>
    <n v="1440"/>
    <n v="90"/>
    <n v="244.8"/>
    <x v="3"/>
  </r>
  <r>
    <x v="213"/>
    <s v="ENERO"/>
    <x v="35"/>
    <s v="VIERNES"/>
    <n v="256695"/>
    <x v="25"/>
    <n v="1800"/>
    <n v="225"/>
    <n v="756"/>
    <x v="3"/>
  </r>
  <r>
    <x v="213"/>
    <s v="ENERO"/>
    <x v="35"/>
    <s v="VIERNES"/>
    <n v="256708"/>
    <x v="12"/>
    <n v="900"/>
    <n v="225"/>
    <n v="360"/>
    <x v="3"/>
  </r>
  <r>
    <x v="213"/>
    <s v="ENERO"/>
    <x v="35"/>
    <s v="VIERNES"/>
    <n v="256709"/>
    <x v="19"/>
    <n v="675"/>
    <n v="225"/>
    <n v="270"/>
    <x v="3"/>
  </r>
  <r>
    <x v="213"/>
    <s v="ENERO"/>
    <x v="35"/>
    <s v="VIERNES"/>
    <n v="256720"/>
    <x v="42"/>
    <n v="500"/>
    <n v="420"/>
    <n v="210"/>
    <x v="3"/>
  </r>
  <r>
    <x v="214"/>
    <s v="ENERO"/>
    <x v="36"/>
    <s v="SÁBADO"/>
    <n v="256383"/>
    <x v="28"/>
    <n v="120"/>
    <n v="30"/>
    <n v="27.6"/>
    <x v="3"/>
  </r>
  <r>
    <x v="214"/>
    <s v="ENERO"/>
    <x v="36"/>
    <s v="SÁBADO"/>
    <n v="252436"/>
    <x v="36"/>
    <n v="540"/>
    <n v="90"/>
    <n v="216"/>
    <x v="3"/>
  </r>
  <r>
    <x v="214"/>
    <s v="ENERO"/>
    <x v="36"/>
    <s v="SÁBADO"/>
    <n v="256488"/>
    <x v="6"/>
    <n v="4800"/>
    <n v="120"/>
    <n v="816.00000000000011"/>
    <x v="3"/>
  </r>
  <r>
    <x v="214"/>
    <s v="ENERO"/>
    <x v="36"/>
    <s v="SÁBADO"/>
    <n v="256676"/>
    <x v="17"/>
    <n v="4080"/>
    <n v="120"/>
    <n v="693.6"/>
    <x v="3"/>
  </r>
  <r>
    <x v="214"/>
    <s v="ENERO"/>
    <x v="36"/>
    <s v="SÁBADO"/>
    <n v="256652"/>
    <x v="9"/>
    <n v="720"/>
    <n v="90"/>
    <n v="122.4"/>
    <x v="3"/>
  </r>
  <r>
    <x v="214"/>
    <s v="ENERO"/>
    <x v="36"/>
    <s v="SÁBADO"/>
    <n v="256677"/>
    <x v="10"/>
    <n v="480"/>
    <n v="120"/>
    <n v="81.600000000000009"/>
    <x v="3"/>
  </r>
  <r>
    <x v="214"/>
    <s v="ENERO"/>
    <x v="36"/>
    <s v="SÁBADO"/>
    <n v="256695"/>
    <x v="25"/>
    <n v="1350"/>
    <n v="225"/>
    <n v="567"/>
    <x v="3"/>
  </r>
  <r>
    <x v="214"/>
    <s v="ENERO"/>
    <x v="36"/>
    <s v="SÁBADO"/>
    <n v="256708"/>
    <x v="12"/>
    <n v="450"/>
    <n v="225"/>
    <n v="180"/>
    <x v="3"/>
  </r>
  <r>
    <x v="214"/>
    <s v="ENERO"/>
    <x v="36"/>
    <s v="SÁBADO"/>
    <n v="256720"/>
    <x v="42"/>
    <n v="500"/>
    <n v="420"/>
    <n v="210"/>
    <x v="3"/>
  </r>
  <r>
    <x v="214"/>
    <s v="ENERO"/>
    <x v="36"/>
    <s v="SÁBADO"/>
    <n v="255430"/>
    <x v="30"/>
    <n v="1500"/>
    <n v="250"/>
    <n v="345"/>
    <x v="3"/>
  </r>
  <r>
    <x v="214"/>
    <s v="ENERO"/>
    <x v="36"/>
    <s v="SÁBADO"/>
    <s v="A"/>
    <x v="50"/>
    <n v="800"/>
    <n v="200"/>
    <n v="336"/>
    <x v="3"/>
  </r>
  <r>
    <x v="214"/>
    <s v="ENERO"/>
    <x v="36"/>
    <s v="SÁBADO"/>
    <s v="F"/>
    <x v="51"/>
    <n v="360"/>
    <n v="180"/>
    <n v="151.19999999999999"/>
    <x v="3"/>
  </r>
  <r>
    <x v="214"/>
    <s v="ENERO"/>
    <x v="36"/>
    <s v="SÁBADO"/>
    <n v="256368"/>
    <x v="52"/>
    <n v="1000"/>
    <n v="250"/>
    <n v="420"/>
    <x v="3"/>
  </r>
  <r>
    <x v="214"/>
    <s v="ENERO"/>
    <x v="36"/>
    <s v="SÁBADO"/>
    <s v="C"/>
    <x v="53"/>
    <n v="240"/>
    <n v="60"/>
    <n v="165.6"/>
    <x v="3"/>
  </r>
  <r>
    <x v="214"/>
    <s v="ENERO"/>
    <x v="36"/>
    <s v="SÁBADO"/>
    <s v="G"/>
    <x v="54"/>
    <n v="360"/>
    <n v="180"/>
    <n v="151.19999999999999"/>
    <x v="3"/>
  </r>
  <r>
    <x v="214"/>
    <s v="ENERO"/>
    <x v="36"/>
    <s v="SÁBADO"/>
    <s v="B"/>
    <x v="55"/>
    <n v="180"/>
    <n v="60"/>
    <n v="124.19999999999999"/>
    <x v="3"/>
  </r>
  <r>
    <x v="214"/>
    <s v="ENERO"/>
    <x v="36"/>
    <s v="SÁBADO"/>
    <s v="D"/>
    <x v="56"/>
    <n v="250"/>
    <n v="250"/>
    <n v="105"/>
    <x v="3"/>
  </r>
  <r>
    <x v="214"/>
    <s v="ENERO"/>
    <x v="36"/>
    <s v="SÁBADO"/>
    <s v="C"/>
    <x v="53"/>
    <n v="240"/>
    <n v="60"/>
    <n v="165.6"/>
    <x v="3"/>
  </r>
  <r>
    <x v="214"/>
    <s v="ENERO"/>
    <x v="36"/>
    <s v="SÁBADO"/>
    <s v="D"/>
    <x v="56"/>
    <n v="500"/>
    <n v="250"/>
    <n v="210"/>
    <x v="3"/>
  </r>
  <r>
    <x v="215"/>
    <s v="ENERO"/>
    <x v="36"/>
    <s v="LUNES"/>
    <n v="256379"/>
    <x v="15"/>
    <n v="250"/>
    <n v="50"/>
    <n v="100"/>
    <x v="3"/>
  </r>
  <r>
    <x v="215"/>
    <s v="ENERO"/>
    <x v="36"/>
    <s v="LUNES"/>
    <n v="252436"/>
    <x v="36"/>
    <n v="450"/>
    <n v="90"/>
    <n v="180"/>
    <x v="3"/>
  </r>
  <r>
    <x v="215"/>
    <s v="ENERO"/>
    <x v="36"/>
    <s v="LUNES"/>
    <n v="256685"/>
    <x v="38"/>
    <n v="448"/>
    <n v="112"/>
    <n v="179.20000000000002"/>
    <x v="3"/>
  </r>
  <r>
    <x v="215"/>
    <s v="ENERO"/>
    <x v="36"/>
    <s v="LUNES"/>
    <n v="251429"/>
    <x v="0"/>
    <n v="1440"/>
    <n v="48"/>
    <n v="576"/>
    <x v="3"/>
  </r>
  <r>
    <x v="215"/>
    <s v="ENERO"/>
    <x v="36"/>
    <s v="LUNES"/>
    <n v="251633"/>
    <x v="16"/>
    <n v="720"/>
    <n v="180"/>
    <n v="302.39999999999998"/>
    <x v="3"/>
  </r>
  <r>
    <x v="215"/>
    <s v="ENERO"/>
    <x v="36"/>
    <s v="LUNES"/>
    <n v="251406"/>
    <x v="1"/>
    <n v="2592"/>
    <n v="198"/>
    <n v="440.64000000000004"/>
    <x v="3"/>
  </r>
  <r>
    <x v="215"/>
    <s v="ENERO"/>
    <x v="36"/>
    <s v="LUNES"/>
    <n v="256616"/>
    <x v="22"/>
    <n v="198"/>
    <n v="198"/>
    <n v="33.660000000000004"/>
    <x v="3"/>
  </r>
  <r>
    <x v="215"/>
    <s v="ENERO"/>
    <x v="36"/>
    <s v="LUNES"/>
    <n v="256488"/>
    <x v="6"/>
    <n v="2400"/>
    <n v="120"/>
    <n v="408.00000000000006"/>
    <x v="3"/>
  </r>
  <r>
    <x v="215"/>
    <s v="ENERO"/>
    <x v="36"/>
    <s v="LUNES"/>
    <n v="256676"/>
    <x v="17"/>
    <n v="840"/>
    <n v="120"/>
    <n v="142.80000000000001"/>
    <x v="3"/>
  </r>
  <r>
    <x v="215"/>
    <s v="ENERO"/>
    <x v="36"/>
    <s v="LUNES"/>
    <n v="256675"/>
    <x v="8"/>
    <n v="1080"/>
    <n v="198"/>
    <n v="183.60000000000002"/>
    <x v="3"/>
  </r>
  <r>
    <x v="215"/>
    <s v="ENERO"/>
    <x v="36"/>
    <s v="LUNES"/>
    <n v="256652"/>
    <x v="9"/>
    <n v="450"/>
    <n v="90"/>
    <n v="76.5"/>
    <x v="3"/>
  </r>
  <r>
    <x v="215"/>
    <s v="ENERO"/>
    <x v="36"/>
    <s v="LUNES"/>
    <n v="256677"/>
    <x v="10"/>
    <n v="240"/>
    <n v="120"/>
    <n v="40.800000000000004"/>
    <x v="3"/>
  </r>
  <r>
    <x v="215"/>
    <s v="ENERO"/>
    <x v="36"/>
    <s v="LUNES"/>
    <n v="256695"/>
    <x v="25"/>
    <n v="1350"/>
    <n v="225"/>
    <n v="567"/>
    <x v="3"/>
  </r>
  <r>
    <x v="215"/>
    <s v="ENERO"/>
    <x v="36"/>
    <s v="LUNES"/>
    <n v="256721"/>
    <x v="43"/>
    <n v="750"/>
    <n v="420"/>
    <n v="315"/>
    <x v="3"/>
  </r>
  <r>
    <x v="215"/>
    <s v="ENERO"/>
    <x v="36"/>
    <s v="LUNES"/>
    <n v="255430"/>
    <x v="30"/>
    <n v="2000"/>
    <n v="250"/>
    <n v="460"/>
    <x v="3"/>
  </r>
  <r>
    <x v="215"/>
    <s v="ENERO"/>
    <x v="36"/>
    <s v="LUNES"/>
    <n v="256358"/>
    <x v="57"/>
    <n v="5250"/>
    <n v="350"/>
    <n v="1207.5"/>
    <x v="3"/>
  </r>
  <r>
    <x v="215"/>
    <s v="ENERO"/>
    <x v="36"/>
    <s v="LUNES"/>
    <n v="256368"/>
    <x v="52"/>
    <n v="2500"/>
    <n v="250"/>
    <n v="1050"/>
    <x v="3"/>
  </r>
  <r>
    <x v="215"/>
    <s v="ENERO"/>
    <x v="36"/>
    <s v="LUNES"/>
    <s v="A"/>
    <x v="50"/>
    <n v="800"/>
    <n v="200"/>
    <n v="336"/>
    <x v="3"/>
  </r>
  <r>
    <x v="215"/>
    <s v="ENERO"/>
    <x v="36"/>
    <s v="LUNES"/>
    <s v="B"/>
    <x v="55"/>
    <n v="240"/>
    <n v="60"/>
    <n v="165.6"/>
    <x v="3"/>
  </r>
  <r>
    <x v="215"/>
    <s v="ENERO"/>
    <x v="36"/>
    <s v="LUNES"/>
    <s v="C"/>
    <x v="53"/>
    <n v="360"/>
    <n v="60"/>
    <n v="248.39999999999998"/>
    <x v="3"/>
  </r>
  <r>
    <x v="215"/>
    <s v="ENERO"/>
    <x v="36"/>
    <s v="LUNES"/>
    <n v="251632"/>
    <x v="35"/>
    <n v="1080"/>
    <n v="180"/>
    <n v="453.59999999999997"/>
    <x v="3"/>
  </r>
  <r>
    <x v="215"/>
    <s v="ENERO"/>
    <x v="36"/>
    <s v="LUNES"/>
    <s v="C"/>
    <x v="53"/>
    <n v="120"/>
    <n v="60"/>
    <n v="82.8"/>
    <x v="3"/>
  </r>
  <r>
    <x v="215"/>
    <s v="ENERO"/>
    <x v="36"/>
    <s v="LUNES"/>
    <s v="D"/>
    <x v="56"/>
    <n v="750"/>
    <n v="250"/>
    <n v="315"/>
    <x v="3"/>
  </r>
  <r>
    <x v="215"/>
    <s v="ENERO"/>
    <x v="36"/>
    <s v="LUNES"/>
    <s v="F"/>
    <x v="51"/>
    <n v="360"/>
    <n v="180"/>
    <n v="151.19999999999999"/>
    <x v="3"/>
  </r>
  <r>
    <x v="215"/>
    <s v="ENERO"/>
    <x v="36"/>
    <s v="LUNES"/>
    <s v="E"/>
    <x v="58"/>
    <n v="350"/>
    <n v="175"/>
    <n v="308"/>
    <x v="3"/>
  </r>
  <r>
    <x v="216"/>
    <s v="FEBRERO"/>
    <x v="36"/>
    <s v="MARTES"/>
    <n v="255430"/>
    <x v="30"/>
    <n v="1250"/>
    <n v="250"/>
    <n v="287.5"/>
    <x v="3"/>
  </r>
  <r>
    <x v="216"/>
    <s v="FEBRERO"/>
    <x v="36"/>
    <s v="MARTES"/>
    <n v="256358"/>
    <x v="57"/>
    <n v="1750"/>
    <n v="350"/>
    <n v="402.5"/>
    <x v="3"/>
  </r>
  <r>
    <x v="216"/>
    <s v="FEBRERO"/>
    <x v="36"/>
    <s v="MARTES"/>
    <n v="251429"/>
    <x v="0"/>
    <n v="480"/>
    <n v="48"/>
    <n v="192"/>
    <x v="3"/>
  </r>
  <r>
    <x v="216"/>
    <s v="FEBRERO"/>
    <x v="36"/>
    <s v="MARTES"/>
    <n v="751315"/>
    <x v="24"/>
    <n v="2000"/>
    <n v="420"/>
    <n v="840"/>
    <x v="3"/>
  </r>
  <r>
    <x v="216"/>
    <s v="FEBRERO"/>
    <x v="36"/>
    <s v="MARTES"/>
    <n v="751544"/>
    <x v="39"/>
    <n v="2000"/>
    <n v="420"/>
    <n v="840"/>
    <x v="3"/>
  </r>
  <r>
    <x v="216"/>
    <s v="FEBRERO"/>
    <x v="36"/>
    <s v="MARTES"/>
    <n v="254853"/>
    <x v="2"/>
    <n v="1080"/>
    <n v="198"/>
    <n v="183.60000000000002"/>
    <x v="3"/>
  </r>
  <r>
    <x v="216"/>
    <s v="FEBRERO"/>
    <x v="36"/>
    <s v="MARTES"/>
    <n v="256676"/>
    <x v="17"/>
    <n v="2400"/>
    <n v="120"/>
    <n v="408.00000000000006"/>
    <x v="3"/>
  </r>
  <r>
    <x v="216"/>
    <s v="FEBRERO"/>
    <x v="36"/>
    <s v="MARTES"/>
    <n v="256674"/>
    <x v="7"/>
    <n v="864"/>
    <n v="198"/>
    <n v="146.88000000000002"/>
    <x v="3"/>
  </r>
  <r>
    <x v="216"/>
    <s v="FEBRERO"/>
    <x v="36"/>
    <s v="MARTES"/>
    <n v="256675"/>
    <x v="8"/>
    <n v="216"/>
    <n v="198"/>
    <n v="36.720000000000006"/>
    <x v="3"/>
  </r>
  <r>
    <x v="216"/>
    <s v="FEBRERO"/>
    <x v="36"/>
    <s v="MARTES"/>
    <n v="256652"/>
    <x v="9"/>
    <n v="1170"/>
    <n v="90"/>
    <n v="198.9"/>
    <x v="3"/>
  </r>
  <r>
    <x v="216"/>
    <s v="FEBRERO"/>
    <x v="36"/>
    <s v="MARTES"/>
    <n v="256679"/>
    <x v="23"/>
    <n v="360"/>
    <n v="90"/>
    <n v="61.2"/>
    <x v="3"/>
  </r>
  <r>
    <x v="216"/>
    <s v="FEBRERO"/>
    <x v="36"/>
    <s v="MARTES"/>
    <n v="256678"/>
    <x v="11"/>
    <n v="3060"/>
    <n v="90"/>
    <n v="520.20000000000005"/>
    <x v="3"/>
  </r>
  <r>
    <x v="216"/>
    <s v="FEBRERO"/>
    <x v="36"/>
    <s v="MARTES"/>
    <n v="256682"/>
    <x v="20"/>
    <n v="180"/>
    <n v="90"/>
    <n v="30.6"/>
    <x v="3"/>
  </r>
  <r>
    <x v="216"/>
    <s v="FEBRERO"/>
    <x v="36"/>
    <s v="MARTES"/>
    <n v="256695"/>
    <x v="25"/>
    <n v="2250"/>
    <n v="225"/>
    <n v="945"/>
    <x v="3"/>
  </r>
  <r>
    <x v="216"/>
    <s v="FEBRERO"/>
    <x v="36"/>
    <s v="MARTES"/>
    <n v="256708"/>
    <x v="12"/>
    <n v="1350"/>
    <n v="225"/>
    <n v="540"/>
    <x v="3"/>
  </r>
  <r>
    <x v="216"/>
    <s v="FEBRERO"/>
    <x v="36"/>
    <s v="MARTES"/>
    <n v="256709"/>
    <x v="19"/>
    <n v="675"/>
    <n v="225"/>
    <n v="270"/>
    <x v="3"/>
  </r>
  <r>
    <x v="216"/>
    <s v="FEBRERO"/>
    <x v="36"/>
    <s v="MARTES"/>
    <n v="256720"/>
    <x v="42"/>
    <n v="250"/>
    <n v="420"/>
    <n v="105"/>
    <x v="3"/>
  </r>
  <r>
    <x v="216"/>
    <s v="FEBRERO"/>
    <x v="36"/>
    <s v="MARTES"/>
    <n v="252436"/>
    <x v="36"/>
    <n v="540"/>
    <n v="90"/>
    <n v="216"/>
    <x v="3"/>
  </r>
  <r>
    <x v="216"/>
    <s v="FEBRERO"/>
    <x v="36"/>
    <s v="MARTES"/>
    <n v="251633"/>
    <x v="16"/>
    <n v="1080"/>
    <n v="180"/>
    <n v="453.59999999999997"/>
    <x v="3"/>
  </r>
  <r>
    <x v="216"/>
    <s v="FEBRERO"/>
    <x v="36"/>
    <s v="MARTES"/>
    <n v="256695"/>
    <x v="25"/>
    <n v="450"/>
    <n v="225"/>
    <n v="189"/>
    <x v="3"/>
  </r>
  <r>
    <x v="216"/>
    <s v="FEBRERO"/>
    <x v="36"/>
    <s v="MARTES"/>
    <n v="251632"/>
    <x v="35"/>
    <n v="720"/>
    <n v="180"/>
    <n v="302.39999999999998"/>
    <x v="3"/>
  </r>
  <r>
    <x v="216"/>
    <s v="FEBRERO"/>
    <x v="36"/>
    <s v="MARTES"/>
    <n v="255430"/>
    <x v="30"/>
    <n v="750"/>
    <n v="250"/>
    <n v="172.5"/>
    <x v="3"/>
  </r>
  <r>
    <x v="217"/>
    <s v="FEBRERO"/>
    <x v="36"/>
    <s v="MIÉRCOLES"/>
    <n v="256383"/>
    <x v="28"/>
    <n v="150"/>
    <n v="30"/>
    <n v="34.5"/>
    <x v="3"/>
  </r>
  <r>
    <x v="217"/>
    <s v="FEBRERO"/>
    <x v="36"/>
    <s v="MIÉRCOLES"/>
    <n v="256381"/>
    <x v="13"/>
    <n v="150"/>
    <n v="30"/>
    <n v="60"/>
    <x v="3"/>
  </r>
  <r>
    <x v="217"/>
    <s v="FEBRERO"/>
    <x v="36"/>
    <s v="MIÉRCOLES"/>
    <n v="256379"/>
    <x v="15"/>
    <n v="200"/>
    <n v="50"/>
    <n v="80"/>
    <x v="3"/>
  </r>
  <r>
    <x v="217"/>
    <s v="FEBRERO"/>
    <x v="36"/>
    <s v="MIÉRCOLES"/>
    <n v="256685"/>
    <x v="38"/>
    <n v="448"/>
    <n v="112"/>
    <n v="179.20000000000002"/>
    <x v="3"/>
  </r>
  <r>
    <x v="217"/>
    <s v="FEBRERO"/>
    <x v="36"/>
    <s v="MIÉRCOLES"/>
    <n v="251429"/>
    <x v="0"/>
    <n v="2400"/>
    <n v="48"/>
    <n v="960"/>
    <x v="3"/>
  </r>
  <r>
    <x v="217"/>
    <s v="FEBRERO"/>
    <x v="36"/>
    <s v="MIÉRCOLES"/>
    <n v="751315"/>
    <x v="24"/>
    <n v="2100"/>
    <n v="420"/>
    <n v="882"/>
    <x v="3"/>
  </r>
  <r>
    <x v="217"/>
    <s v="FEBRERO"/>
    <x v="36"/>
    <s v="MIÉRCOLES"/>
    <n v="751468"/>
    <x v="32"/>
    <n v="840"/>
    <n v="420"/>
    <n v="352.8"/>
    <x v="3"/>
  </r>
  <r>
    <x v="217"/>
    <s v="FEBRERO"/>
    <x v="36"/>
    <s v="MIÉRCOLES"/>
    <n v="251633"/>
    <x v="16"/>
    <n v="720"/>
    <n v="180"/>
    <n v="302.39999999999998"/>
    <x v="3"/>
  </r>
  <r>
    <x v="217"/>
    <s v="FEBRERO"/>
    <x v="36"/>
    <s v="MIÉRCOLES"/>
    <n v="256695"/>
    <x v="25"/>
    <n v="1350"/>
    <n v="225"/>
    <n v="567"/>
    <x v="3"/>
  </r>
  <r>
    <x v="217"/>
    <s v="FEBRERO"/>
    <x v="36"/>
    <s v="MIÉRCOLES"/>
    <n v="256709"/>
    <x v="19"/>
    <n v="450"/>
    <n v="225"/>
    <n v="180"/>
    <x v="3"/>
  </r>
  <r>
    <x v="217"/>
    <s v="FEBRERO"/>
    <x v="36"/>
    <s v="MIÉRCOLES"/>
    <n v="256721"/>
    <x v="43"/>
    <n v="500"/>
    <n v="420"/>
    <n v="210"/>
    <x v="3"/>
  </r>
  <r>
    <x v="217"/>
    <s v="FEBRERO"/>
    <x v="36"/>
    <s v="MIÉRCOLES"/>
    <s v="C"/>
    <x v="53"/>
    <n v="420"/>
    <n v="60"/>
    <n v="289.79999999999995"/>
    <x v="3"/>
  </r>
  <r>
    <x v="217"/>
    <s v="FEBRERO"/>
    <x v="36"/>
    <s v="MIÉRCOLES"/>
    <s v="D"/>
    <x v="56"/>
    <n v="500"/>
    <n v="250"/>
    <n v="210"/>
    <x v="3"/>
  </r>
  <r>
    <x v="217"/>
    <s v="FEBRERO"/>
    <x v="36"/>
    <s v="MIÉRCOLES"/>
    <n v="252436"/>
    <x v="36"/>
    <n v="720"/>
    <n v="90"/>
    <n v="288"/>
    <x v="3"/>
  </r>
  <r>
    <x v="217"/>
    <s v="FEBRERO"/>
    <x v="36"/>
    <s v="MIÉRCOLES"/>
    <n v="251632"/>
    <x v="35"/>
    <n v="720"/>
    <n v="180"/>
    <n v="302.39999999999998"/>
    <x v="3"/>
  </r>
  <r>
    <x v="217"/>
    <s v="FEBRERO"/>
    <x v="36"/>
    <s v="MIÉRCOLES"/>
    <n v="255430"/>
    <x v="30"/>
    <n v="500"/>
    <n v="250"/>
    <n v="115"/>
    <x v="3"/>
  </r>
  <r>
    <x v="217"/>
    <s v="FEBRERO"/>
    <x v="36"/>
    <s v="MIÉRCOLES"/>
    <n v="256358"/>
    <x v="57"/>
    <n v="1750"/>
    <n v="350"/>
    <n v="402.5"/>
    <x v="3"/>
  </r>
  <r>
    <x v="217"/>
    <s v="FEBRERO"/>
    <x v="36"/>
    <s v="MIÉRCOLES"/>
    <s v="A"/>
    <x v="50"/>
    <n v="800"/>
    <n v="200"/>
    <n v="336"/>
    <x v="3"/>
  </r>
  <r>
    <x v="217"/>
    <s v="FEBRERO"/>
    <x v="36"/>
    <s v="MIÉRCOLES"/>
    <s v="B"/>
    <x v="55"/>
    <n v="180"/>
    <n v="60"/>
    <n v="124.19999999999999"/>
    <x v="3"/>
  </r>
  <r>
    <x v="217"/>
    <s v="FEBRERO"/>
    <x v="36"/>
    <s v="MIÉRCOLES"/>
    <s v="C"/>
    <x v="53"/>
    <n v="60"/>
    <n v="60"/>
    <n v="41.4"/>
    <x v="3"/>
  </r>
  <r>
    <x v="217"/>
    <s v="FEBRERO"/>
    <x v="36"/>
    <s v="MIÉRCOLES"/>
    <s v="D"/>
    <x v="56"/>
    <n v="250"/>
    <n v="250"/>
    <n v="105"/>
    <x v="3"/>
  </r>
  <r>
    <x v="217"/>
    <s v="FEBRERO"/>
    <x v="36"/>
    <s v="MIÉRCOLES"/>
    <s v="F"/>
    <x v="51"/>
    <n v="360"/>
    <n v="180"/>
    <n v="151.19999999999999"/>
    <x v="3"/>
  </r>
  <r>
    <x v="217"/>
    <s v="FEBRERO"/>
    <x v="36"/>
    <s v="MIÉRCOLES"/>
    <s v="E"/>
    <x v="58"/>
    <n v="350"/>
    <n v="175"/>
    <n v="308"/>
    <x v="3"/>
  </r>
  <r>
    <x v="216"/>
    <s v="FEBRERO"/>
    <x v="36"/>
    <s v="MARTES"/>
    <s v="A"/>
    <x v="50"/>
    <n v="800"/>
    <n v="200"/>
    <n v="336"/>
    <x v="3"/>
  </r>
  <r>
    <x v="216"/>
    <s v="FEBRERO"/>
    <x v="36"/>
    <s v="MARTES"/>
    <s v="B"/>
    <x v="55"/>
    <n v="180"/>
    <n v="60"/>
    <n v="124.19999999999999"/>
    <x v="3"/>
  </r>
  <r>
    <x v="216"/>
    <s v="FEBRERO"/>
    <x v="36"/>
    <s v="MARTES"/>
    <s v="C"/>
    <x v="53"/>
    <n v="480"/>
    <n v="60"/>
    <n v="331.2"/>
    <x v="3"/>
  </r>
  <r>
    <x v="216"/>
    <s v="FEBRERO"/>
    <x v="36"/>
    <s v="MARTES"/>
    <s v="D"/>
    <x v="56"/>
    <n v="750"/>
    <n v="250"/>
    <n v="315"/>
    <x v="3"/>
  </r>
  <r>
    <x v="216"/>
    <s v="FEBRERO"/>
    <x v="36"/>
    <s v="MARTES"/>
    <s v="F"/>
    <x v="51"/>
    <n v="360"/>
    <n v="180"/>
    <n v="151.19999999999999"/>
    <x v="3"/>
  </r>
  <r>
    <x v="216"/>
    <s v="FEBRERO"/>
    <x v="36"/>
    <s v="MARTES"/>
    <s v="E"/>
    <x v="58"/>
    <n v="350"/>
    <n v="175"/>
    <n v="308"/>
    <x v="3"/>
  </r>
  <r>
    <x v="217"/>
    <s v="FEBRERO"/>
    <x v="36"/>
    <s v="MIÉRCOLES"/>
    <s v="B"/>
    <x v="55"/>
    <n v="60"/>
    <n v="60"/>
    <n v="41.4"/>
    <x v="3"/>
  </r>
  <r>
    <x v="218"/>
    <s v="FEBRERO"/>
    <x v="36"/>
    <s v="JUEVES"/>
    <n v="256383"/>
    <x v="28"/>
    <n v="120"/>
    <n v="30"/>
    <n v="27.6"/>
    <x v="3"/>
  </r>
  <r>
    <x v="218"/>
    <s v="FEBRERO"/>
    <x v="36"/>
    <s v="JUEVES"/>
    <n v="256382"/>
    <x v="33"/>
    <n v="150"/>
    <n v="40"/>
    <n v="34.5"/>
    <x v="3"/>
  </r>
  <r>
    <x v="218"/>
    <s v="FEBRERO"/>
    <x v="36"/>
    <s v="JUEVES"/>
    <n v="256379"/>
    <x v="15"/>
    <n v="300"/>
    <n v="50"/>
    <n v="120"/>
    <x v="3"/>
  </r>
  <r>
    <x v="218"/>
    <s v="FEBRERO"/>
    <x v="36"/>
    <s v="JUEVES"/>
    <n v="254762"/>
    <x v="40"/>
    <n v="224"/>
    <n v="240"/>
    <n v="89.600000000000009"/>
    <x v="3"/>
  </r>
  <r>
    <x v="218"/>
    <s v="FEBRERO"/>
    <x v="36"/>
    <s v="JUEVES"/>
    <n v="256685"/>
    <x v="38"/>
    <n v="448"/>
    <n v="112"/>
    <n v="179.20000000000002"/>
    <x v="3"/>
  </r>
  <r>
    <x v="218"/>
    <s v="FEBRERO"/>
    <x v="36"/>
    <s v="JUEVES"/>
    <n v="251429"/>
    <x v="0"/>
    <n v="2400"/>
    <n v="48"/>
    <n v="960"/>
    <x v="3"/>
  </r>
  <r>
    <x v="218"/>
    <s v="FEBRERO"/>
    <x v="36"/>
    <s v="JUEVES"/>
    <n v="751315"/>
    <x v="24"/>
    <n v="2100"/>
    <n v="420"/>
    <n v="882"/>
    <x v="3"/>
  </r>
  <r>
    <x v="218"/>
    <s v="FEBRERO"/>
    <x v="36"/>
    <s v="JUEVES"/>
    <n v="256695"/>
    <x v="25"/>
    <n v="900"/>
    <n v="225"/>
    <n v="378"/>
    <x v="3"/>
  </r>
  <r>
    <x v="218"/>
    <s v="FEBRERO"/>
    <x v="36"/>
    <s v="JUEVES"/>
    <n v="256709"/>
    <x v="19"/>
    <n v="675"/>
    <n v="225"/>
    <n v="270"/>
    <x v="3"/>
  </r>
  <r>
    <x v="218"/>
    <s v="FEBRERO"/>
    <x v="36"/>
    <s v="JUEVES"/>
    <n v="256720"/>
    <x v="42"/>
    <n v="500"/>
    <n v="420"/>
    <n v="210"/>
    <x v="3"/>
  </r>
  <r>
    <x v="218"/>
    <s v="FEBRERO"/>
    <x v="36"/>
    <s v="JUEVES"/>
    <n v="256355"/>
    <x v="47"/>
    <n v="5250"/>
    <n v="350"/>
    <n v="1207.5"/>
    <x v="3"/>
  </r>
  <r>
    <x v="218"/>
    <s v="FEBRERO"/>
    <x v="36"/>
    <s v="JUEVES"/>
    <n v="256765"/>
    <x v="59"/>
    <n v="900"/>
    <n v="225"/>
    <n v="378"/>
    <x v="3"/>
  </r>
  <r>
    <x v="218"/>
    <s v="FEBRERO"/>
    <x v="36"/>
    <s v="JUEVES"/>
    <s v="E"/>
    <x v="58"/>
    <n v="175"/>
    <n v="175"/>
    <n v="154"/>
    <x v="3"/>
  </r>
  <r>
    <x v="218"/>
    <s v="FEBRERO"/>
    <x v="36"/>
    <s v="JUEVES"/>
    <n v="252436"/>
    <x v="36"/>
    <n v="540"/>
    <n v="90"/>
    <n v="216"/>
    <x v="3"/>
  </r>
  <r>
    <x v="218"/>
    <s v="FEBRERO"/>
    <x v="36"/>
    <s v="JUEVES"/>
    <n v="251632"/>
    <x v="35"/>
    <n v="720"/>
    <n v="180"/>
    <n v="302.39999999999998"/>
    <x v="3"/>
  </r>
  <r>
    <x v="218"/>
    <s v="FEBRERO"/>
    <x v="36"/>
    <s v="JUEVES"/>
    <n v="256764"/>
    <x v="60"/>
    <n v="360"/>
    <n v="180"/>
    <n v="151.19999999999999"/>
    <x v="3"/>
  </r>
  <r>
    <x v="218"/>
    <s v="FEBRERO"/>
    <x v="36"/>
    <s v="JUEVES"/>
    <s v="G"/>
    <x v="54"/>
    <n v="360"/>
    <n v="180"/>
    <n v="151.19999999999999"/>
    <x v="3"/>
  </r>
  <r>
    <x v="218"/>
    <s v="FEBRERO"/>
    <x v="36"/>
    <s v="JUEVES"/>
    <s v="E"/>
    <x v="58"/>
    <n v="175"/>
    <n v="175"/>
    <n v="154"/>
    <x v="3"/>
  </r>
  <r>
    <x v="218"/>
    <s v="FEBRERO"/>
    <x v="36"/>
    <s v="JUEVES"/>
    <n v="256767"/>
    <x v="61"/>
    <n v="500"/>
    <n v="125"/>
    <n v="355"/>
    <x v="3"/>
  </r>
  <r>
    <x v="219"/>
    <s v="FEBRERO"/>
    <x v="37"/>
    <s v="SÁBADO"/>
    <n v="256709"/>
    <x v="19"/>
    <n v="225"/>
    <n v="225"/>
    <n v="90"/>
    <x v="3"/>
  </r>
  <r>
    <x v="219"/>
    <s v="FEBRERO"/>
    <x v="37"/>
    <s v="SÁBADO"/>
    <n v="256382"/>
    <x v="33"/>
    <n v="80"/>
    <n v="40"/>
    <n v="18.400000000000002"/>
    <x v="3"/>
  </r>
  <r>
    <x v="219"/>
    <s v="FEBRERO"/>
    <x v="37"/>
    <s v="SÁBADO"/>
    <n v="256381"/>
    <x v="13"/>
    <n v="120"/>
    <n v="30"/>
    <n v="48"/>
    <x v="3"/>
  </r>
  <r>
    <x v="219"/>
    <s v="FEBRERO"/>
    <x v="37"/>
    <s v="SÁBADO"/>
    <n v="252436"/>
    <x v="36"/>
    <n v="1440"/>
    <n v="90"/>
    <n v="576"/>
    <x v="3"/>
  </r>
  <r>
    <x v="219"/>
    <s v="FEBRERO"/>
    <x v="37"/>
    <s v="SÁBADO"/>
    <n v="256685"/>
    <x v="38"/>
    <n v="224"/>
    <n v="112"/>
    <n v="89.600000000000009"/>
    <x v="3"/>
  </r>
  <r>
    <x v="219"/>
    <s v="FEBRERO"/>
    <x v="37"/>
    <s v="SÁBADO"/>
    <n v="251429"/>
    <x v="0"/>
    <n v="1584"/>
    <n v="48"/>
    <n v="633.6"/>
    <x v="3"/>
  </r>
  <r>
    <x v="219"/>
    <s v="FEBRERO"/>
    <x v="37"/>
    <s v="SÁBADO"/>
    <n v="751315"/>
    <x v="24"/>
    <n v="4200"/>
    <n v="420"/>
    <n v="1764"/>
    <x v="3"/>
  </r>
  <r>
    <x v="219"/>
    <s v="FEBRERO"/>
    <x v="37"/>
    <s v="SÁBADO"/>
    <n v="751544"/>
    <x v="39"/>
    <n v="1260"/>
    <n v="420"/>
    <n v="529.19999999999993"/>
    <x v="3"/>
  </r>
  <r>
    <x v="219"/>
    <s v="FEBRERO"/>
    <x v="37"/>
    <s v="SÁBADO"/>
    <n v="256548"/>
    <x v="34"/>
    <n v="216"/>
    <n v="198"/>
    <n v="36.720000000000006"/>
    <x v="3"/>
  </r>
  <r>
    <x v="219"/>
    <s v="FEBRERO"/>
    <x v="37"/>
    <s v="SÁBADO"/>
    <n v="256616"/>
    <x v="22"/>
    <n v="792"/>
    <n v="198"/>
    <n v="134.64000000000001"/>
    <x v="3"/>
  </r>
  <r>
    <x v="219"/>
    <s v="FEBRERO"/>
    <x v="37"/>
    <s v="SÁBADO"/>
    <n v="256617"/>
    <x v="3"/>
    <n v="1188"/>
    <n v="198"/>
    <n v="201.96"/>
    <x v="3"/>
  </r>
  <r>
    <x v="219"/>
    <s v="FEBRERO"/>
    <x v="37"/>
    <s v="SÁBADO"/>
    <n v="256488"/>
    <x v="6"/>
    <n v="3120"/>
    <n v="120"/>
    <n v="530.40000000000009"/>
    <x v="3"/>
  </r>
  <r>
    <x v="219"/>
    <s v="FEBRERO"/>
    <x v="37"/>
    <s v="SÁBADO"/>
    <n v="256652"/>
    <x v="9"/>
    <n v="1440"/>
    <n v="90"/>
    <n v="244.8"/>
    <x v="3"/>
  </r>
  <r>
    <x v="219"/>
    <s v="FEBRERO"/>
    <x v="37"/>
    <s v="SÁBADO"/>
    <n v="256682"/>
    <x v="20"/>
    <n v="450"/>
    <n v="90"/>
    <n v="76.5"/>
    <x v="3"/>
  </r>
  <r>
    <x v="219"/>
    <s v="FEBRERO"/>
    <x v="37"/>
    <s v="SÁBADO"/>
    <n v="256695"/>
    <x v="25"/>
    <n v="900"/>
    <n v="225"/>
    <n v="378"/>
    <x v="3"/>
  </r>
  <r>
    <x v="219"/>
    <s v="FEBRERO"/>
    <x v="37"/>
    <s v="SÁBADO"/>
    <n v="256708"/>
    <x v="12"/>
    <n v="450"/>
    <n v="225"/>
    <n v="180"/>
    <x v="3"/>
  </r>
  <r>
    <x v="220"/>
    <s v="FEBRERO"/>
    <x v="36"/>
    <s v="VIERNES"/>
    <n v="256679"/>
    <x v="23"/>
    <n v="900"/>
    <n v="90"/>
    <n v="153"/>
    <x v="3"/>
  </r>
  <r>
    <x v="220"/>
    <s v="FEBRERO"/>
    <x v="36"/>
    <s v="VIERNES"/>
    <n v="256678"/>
    <x v="11"/>
    <n v="1800"/>
    <n v="90"/>
    <n v="306"/>
    <x v="3"/>
  </r>
  <r>
    <x v="220"/>
    <s v="FEBRERO"/>
    <x v="36"/>
    <s v="VIERNES"/>
    <n v="256695"/>
    <x v="25"/>
    <n v="1350"/>
    <n v="225"/>
    <n v="567"/>
    <x v="3"/>
  </r>
  <r>
    <x v="220"/>
    <s v="FEBRERO"/>
    <x v="36"/>
    <s v="VIERNES"/>
    <n v="256708"/>
    <x v="12"/>
    <n v="1125"/>
    <n v="225"/>
    <n v="450"/>
    <x v="3"/>
  </r>
  <r>
    <x v="220"/>
    <s v="FEBRERO"/>
    <x v="36"/>
    <s v="VIERNES"/>
    <n v="256709"/>
    <x v="19"/>
    <n v="450"/>
    <n v="225"/>
    <n v="180"/>
    <x v="3"/>
  </r>
  <r>
    <x v="220"/>
    <s v="FEBRERO"/>
    <x v="36"/>
    <s v="VIERNES"/>
    <n v="256720"/>
    <x v="42"/>
    <n v="750"/>
    <n v="420"/>
    <n v="315"/>
    <x v="3"/>
  </r>
  <r>
    <x v="220"/>
    <s v="FEBRERO"/>
    <x v="36"/>
    <s v="VIERNES"/>
    <n v="256721"/>
    <x v="43"/>
    <n v="750"/>
    <n v="420"/>
    <n v="315"/>
    <x v="3"/>
  </r>
  <r>
    <x v="220"/>
    <s v="FEBRERO"/>
    <x v="36"/>
    <s v="VIERNES"/>
    <n v="256383"/>
    <x v="28"/>
    <n v="180"/>
    <n v="30"/>
    <n v="41.4"/>
    <x v="3"/>
  </r>
  <r>
    <x v="220"/>
    <s v="FEBRERO"/>
    <x v="36"/>
    <s v="VIERNES"/>
    <n v="256381"/>
    <x v="13"/>
    <n v="240"/>
    <n v="30"/>
    <n v="96"/>
    <x v="3"/>
  </r>
  <r>
    <x v="220"/>
    <s v="FEBRERO"/>
    <x v="36"/>
    <s v="VIERNES"/>
    <n v="252436"/>
    <x v="36"/>
    <n v="900"/>
    <n v="90"/>
    <n v="360"/>
    <x v="3"/>
  </r>
  <r>
    <x v="220"/>
    <s v="FEBRERO"/>
    <x v="36"/>
    <s v="VIERNES"/>
    <n v="254762"/>
    <x v="40"/>
    <n v="336"/>
    <n v="240"/>
    <n v="134.4"/>
    <x v="3"/>
  </r>
  <r>
    <x v="220"/>
    <s v="FEBRERO"/>
    <x v="36"/>
    <s v="VIERNES"/>
    <n v="256685"/>
    <x v="38"/>
    <n v="336"/>
    <n v="112"/>
    <n v="134.4"/>
    <x v="3"/>
  </r>
  <r>
    <x v="220"/>
    <s v="FEBRERO"/>
    <x v="36"/>
    <s v="VIERNES"/>
    <n v="251429"/>
    <x v="0"/>
    <n v="1920"/>
    <n v="48"/>
    <n v="768"/>
    <x v="3"/>
  </r>
  <r>
    <x v="220"/>
    <s v="FEBRERO"/>
    <x v="36"/>
    <s v="VIERNES"/>
    <n v="751315"/>
    <x v="24"/>
    <n v="2100"/>
    <n v="420"/>
    <n v="882"/>
    <x v="3"/>
  </r>
  <r>
    <x v="220"/>
    <s v="FEBRERO"/>
    <x v="36"/>
    <s v="VIERNES"/>
    <n v="251633"/>
    <x v="16"/>
    <n v="1080"/>
    <n v="180"/>
    <n v="453.59999999999997"/>
    <x v="3"/>
  </r>
  <r>
    <x v="220"/>
    <s v="FEBRERO"/>
    <x v="36"/>
    <s v="VIERNES"/>
    <n v="251406"/>
    <x v="1"/>
    <n v="864"/>
    <n v="198"/>
    <n v="146.88000000000002"/>
    <x v="3"/>
  </r>
  <r>
    <x v="220"/>
    <s v="FEBRERO"/>
    <x v="36"/>
    <s v="VIERNES"/>
    <n v="256666"/>
    <x v="4"/>
    <n v="648"/>
    <n v="162"/>
    <n v="110.16000000000001"/>
    <x v="3"/>
  </r>
  <r>
    <x v="220"/>
    <s v="FEBRERO"/>
    <x v="36"/>
    <s v="VIERNES"/>
    <n v="256601"/>
    <x v="5"/>
    <n v="810"/>
    <n v="162"/>
    <n v="137.70000000000002"/>
    <x v="3"/>
  </r>
  <r>
    <x v="220"/>
    <s v="FEBRERO"/>
    <x v="36"/>
    <s v="VIERNES"/>
    <n v="256676"/>
    <x v="17"/>
    <n v="2400"/>
    <n v="120"/>
    <n v="408.00000000000006"/>
    <x v="3"/>
  </r>
  <r>
    <x v="220"/>
    <s v="FEBRERO"/>
    <x v="36"/>
    <s v="VIERNES"/>
    <n v="256674"/>
    <x v="7"/>
    <n v="1296"/>
    <n v="198"/>
    <n v="220.32000000000002"/>
    <x v="3"/>
  </r>
  <r>
    <x v="220"/>
    <s v="FEBRERO"/>
    <x v="36"/>
    <s v="VIERNES"/>
    <n v="256652"/>
    <x v="9"/>
    <n v="900"/>
    <n v="90"/>
    <n v="153"/>
    <x v="3"/>
  </r>
  <r>
    <x v="220"/>
    <s v="FEBRERO"/>
    <x v="36"/>
    <s v="VIERNES"/>
    <n v="256680"/>
    <x v="26"/>
    <n v="720"/>
    <n v="90"/>
    <n v="122.4"/>
    <x v="3"/>
  </r>
  <r>
    <x v="221"/>
    <s v="FEBRERO"/>
    <x v="37"/>
    <s v="LUNES"/>
    <n v="251429"/>
    <x v="0"/>
    <n v="1440"/>
    <n v="48"/>
    <n v="576"/>
    <x v="3"/>
  </r>
  <r>
    <x v="221"/>
    <s v="FEBRERO"/>
    <x v="37"/>
    <s v="LUNES"/>
    <n v="256708"/>
    <x v="12"/>
    <n v="225"/>
    <n v="225"/>
    <n v="90"/>
    <x v="3"/>
  </r>
  <r>
    <x v="221"/>
    <s v="FEBRERO"/>
    <x v="37"/>
    <s v="LUNES"/>
    <n v="256677"/>
    <x v="10"/>
    <n v="3600"/>
    <n v="120"/>
    <n v="612"/>
    <x v="3"/>
  </r>
  <r>
    <x v="221"/>
    <s v="FEBRERO"/>
    <x v="37"/>
    <s v="LUNES"/>
    <n v="256679"/>
    <x v="23"/>
    <n v="720"/>
    <n v="90"/>
    <n v="122.4"/>
    <x v="3"/>
  </r>
  <r>
    <x v="221"/>
    <s v="FEBRERO"/>
    <x v="37"/>
    <s v="LUNES"/>
    <n v="256678"/>
    <x v="11"/>
    <n v="2160"/>
    <n v="90"/>
    <n v="367.20000000000005"/>
    <x v="3"/>
  </r>
  <r>
    <x v="221"/>
    <s v="FEBRERO"/>
    <x v="37"/>
    <s v="LUNES"/>
    <n v="251151"/>
    <x v="46"/>
    <n v="250"/>
    <n v="250"/>
    <n v="105"/>
    <x v="3"/>
  </r>
  <r>
    <x v="221"/>
    <s v="FEBRERO"/>
    <x v="37"/>
    <s v="LUNES"/>
    <n v="256720"/>
    <x v="42"/>
    <n v="750"/>
    <n v="420"/>
    <n v="315"/>
    <x v="3"/>
  </r>
  <r>
    <x v="221"/>
    <s v="FEBRERO"/>
    <x v="37"/>
    <s v="LUNES"/>
    <n v="256721"/>
    <x v="43"/>
    <n v="750"/>
    <n v="420"/>
    <n v="315"/>
    <x v="3"/>
  </r>
  <r>
    <x v="221"/>
    <s v="FEBRERO"/>
    <x v="37"/>
    <s v="LUNES"/>
    <n v="256383"/>
    <x v="28"/>
    <n v="120"/>
    <n v="30"/>
    <n v="27.6"/>
    <x v="3"/>
  </r>
  <r>
    <x v="221"/>
    <s v="FEBRERO"/>
    <x v="37"/>
    <s v="LUNES"/>
    <n v="256382"/>
    <x v="33"/>
    <n v="160"/>
    <n v="40"/>
    <n v="36.800000000000004"/>
    <x v="3"/>
  </r>
  <r>
    <x v="221"/>
    <s v="FEBRERO"/>
    <x v="37"/>
    <s v="LUNES"/>
    <n v="256381"/>
    <x v="13"/>
    <n v="120"/>
    <n v="30"/>
    <n v="48"/>
    <x v="3"/>
  </r>
  <r>
    <x v="221"/>
    <s v="FEBRERO"/>
    <x v="37"/>
    <s v="LUNES"/>
    <n v="256379"/>
    <x v="15"/>
    <n v="200"/>
    <n v="50"/>
    <n v="80"/>
    <x v="3"/>
  </r>
  <r>
    <x v="221"/>
    <s v="FEBRERO"/>
    <x v="37"/>
    <s v="LUNES"/>
    <n v="252436"/>
    <x v="36"/>
    <n v="450"/>
    <n v="90"/>
    <n v="180"/>
    <x v="3"/>
  </r>
  <r>
    <x v="221"/>
    <s v="FEBRERO"/>
    <x v="37"/>
    <s v="LUNES"/>
    <n v="256685"/>
    <x v="38"/>
    <n v="336"/>
    <n v="112"/>
    <n v="134.4"/>
    <x v="3"/>
  </r>
  <r>
    <x v="221"/>
    <s v="FEBRERO"/>
    <x v="37"/>
    <s v="LUNES"/>
    <n v="751315"/>
    <x v="24"/>
    <n v="4200"/>
    <n v="420"/>
    <n v="1764"/>
    <x v="3"/>
  </r>
  <r>
    <x v="221"/>
    <s v="FEBRERO"/>
    <x v="37"/>
    <s v="LUNES"/>
    <n v="251633"/>
    <x v="16"/>
    <n v="900"/>
    <n v="180"/>
    <n v="378"/>
    <x v="3"/>
  </r>
  <r>
    <x v="221"/>
    <s v="FEBRERO"/>
    <x v="37"/>
    <s v="LUNES"/>
    <n v="251406"/>
    <x v="1"/>
    <n v="3240"/>
    <n v="198"/>
    <n v="550.80000000000007"/>
    <x v="3"/>
  </r>
  <r>
    <x v="221"/>
    <s v="FEBRERO"/>
    <x v="37"/>
    <s v="LUNES"/>
    <n v="254853"/>
    <x v="2"/>
    <n v="3240"/>
    <n v="198"/>
    <n v="550.80000000000007"/>
    <x v="3"/>
  </r>
  <r>
    <x v="221"/>
    <s v="FEBRERO"/>
    <x v="37"/>
    <s v="LUNES"/>
    <n v="256601"/>
    <x v="5"/>
    <n v="810"/>
    <n v="162"/>
    <n v="137.70000000000002"/>
    <x v="3"/>
  </r>
  <r>
    <x v="221"/>
    <s v="FEBRERO"/>
    <x v="37"/>
    <s v="LUNES"/>
    <n v="256488"/>
    <x v="6"/>
    <n v="3600"/>
    <n v="120"/>
    <n v="612"/>
    <x v="3"/>
  </r>
  <r>
    <x v="221"/>
    <s v="FEBRERO"/>
    <x v="37"/>
    <s v="LUNES"/>
    <n v="256676"/>
    <x v="17"/>
    <n v="1800"/>
    <n v="120"/>
    <n v="306"/>
    <x v="3"/>
  </r>
  <r>
    <x v="221"/>
    <s v="FEBRERO"/>
    <x v="37"/>
    <s v="LUNES"/>
    <n v="256674"/>
    <x v="7"/>
    <n v="2100"/>
    <n v="198"/>
    <n v="357"/>
    <x v="3"/>
  </r>
  <r>
    <x v="221"/>
    <s v="FEBRERO"/>
    <x v="37"/>
    <s v="LUNES"/>
    <n v="256675"/>
    <x v="8"/>
    <n v="1050"/>
    <n v="198"/>
    <n v="178.5"/>
    <x v="3"/>
  </r>
  <r>
    <x v="222"/>
    <s v="FEBRERO"/>
    <x v="37"/>
    <s v="MARTES"/>
    <n v="254905"/>
    <x v="62"/>
    <n v="3750"/>
    <n v="250"/>
    <n v="1575"/>
    <x v="3"/>
  </r>
  <r>
    <x v="222"/>
    <s v="FEBRERO"/>
    <x v="37"/>
    <s v="MARTES"/>
    <n v="251429"/>
    <x v="0"/>
    <n v="2400"/>
    <n v="48"/>
    <n v="960"/>
    <x v="3"/>
  </r>
  <r>
    <x v="222"/>
    <s v="FEBRERO"/>
    <x v="37"/>
    <s v="MARTES"/>
    <n v="751315"/>
    <x v="24"/>
    <n v="4200"/>
    <n v="420"/>
    <n v="1764"/>
    <x v="3"/>
  </r>
  <r>
    <x v="222"/>
    <s v="FEBRERO"/>
    <x v="37"/>
    <s v="MARTES"/>
    <n v="751544"/>
    <x v="39"/>
    <n v="2100"/>
    <n v="420"/>
    <n v="882"/>
    <x v="3"/>
  </r>
  <r>
    <x v="222"/>
    <s v="FEBRERO"/>
    <x v="37"/>
    <s v="MARTES"/>
    <n v="251406"/>
    <x v="1"/>
    <n v="3240"/>
    <n v="198"/>
    <n v="550.80000000000007"/>
    <x v="3"/>
  </r>
  <r>
    <x v="222"/>
    <s v="FEBRERO"/>
    <x v="37"/>
    <s v="MARTES"/>
    <n v="256548"/>
    <x v="34"/>
    <n v="216"/>
    <n v="198"/>
    <n v="36.720000000000006"/>
    <x v="3"/>
  </r>
  <r>
    <x v="222"/>
    <s v="FEBRERO"/>
    <x v="37"/>
    <s v="MARTES"/>
    <n v="256652"/>
    <x v="9"/>
    <n v="1440"/>
    <n v="90"/>
    <n v="244.8"/>
    <x v="3"/>
  </r>
  <r>
    <x v="222"/>
    <s v="FEBRERO"/>
    <x v="37"/>
    <s v="MARTES"/>
    <n v="256677"/>
    <x v="10"/>
    <n v="3600"/>
    <n v="120"/>
    <n v="612"/>
    <x v="3"/>
  </r>
  <r>
    <x v="222"/>
    <s v="FEBRERO"/>
    <x v="37"/>
    <s v="MARTES"/>
    <n v="256678"/>
    <x v="11"/>
    <n v="1440"/>
    <n v="90"/>
    <n v="244.8"/>
    <x v="3"/>
  </r>
  <r>
    <x v="222"/>
    <s v="FEBRERO"/>
    <x v="37"/>
    <s v="MARTES"/>
    <n v="256695"/>
    <x v="25"/>
    <n v="1350"/>
    <n v="225"/>
    <n v="567"/>
    <x v="3"/>
  </r>
  <r>
    <x v="222"/>
    <s v="FEBRERO"/>
    <x v="37"/>
    <s v="MARTES"/>
    <n v="256709"/>
    <x v="19"/>
    <n v="450"/>
    <n v="225"/>
    <n v="180"/>
    <x v="3"/>
  </r>
  <r>
    <x v="222"/>
    <s v="FEBRERO"/>
    <x v="37"/>
    <s v="MARTES"/>
    <n v="256368"/>
    <x v="52"/>
    <n v="1250"/>
    <n v="250"/>
    <n v="525"/>
    <x v="3"/>
  </r>
  <r>
    <x v="223"/>
    <s v="FEBRERO"/>
    <x v="37"/>
    <s v="MIÉRCOLES"/>
    <n v="256767"/>
    <x v="61"/>
    <n v="125"/>
    <n v="125"/>
    <n v="88.75"/>
    <x v="3"/>
  </r>
  <r>
    <x v="223"/>
    <s v="FEBRERO"/>
    <x v="37"/>
    <s v="MIÉRCOLES"/>
    <n v="254852"/>
    <x v="37"/>
    <n v="1250"/>
    <n v="225"/>
    <n v="525"/>
    <x v="3"/>
  </r>
  <r>
    <x v="223"/>
    <s v="FEBRERO"/>
    <x v="37"/>
    <s v="MIÉRCOLES"/>
    <n v="256383"/>
    <x v="28"/>
    <n v="150"/>
    <n v="30"/>
    <n v="34.5"/>
    <x v="3"/>
  </r>
  <r>
    <x v="223"/>
    <s v="FEBRERO"/>
    <x v="37"/>
    <s v="MIÉRCOLES"/>
    <n v="256381"/>
    <x v="13"/>
    <n v="150"/>
    <n v="30"/>
    <n v="60"/>
    <x v="3"/>
  </r>
  <r>
    <x v="223"/>
    <s v="FEBRERO"/>
    <x v="37"/>
    <s v="MIÉRCOLES"/>
    <n v="256379"/>
    <x v="15"/>
    <n v="350"/>
    <n v="50"/>
    <n v="140"/>
    <x v="3"/>
  </r>
  <r>
    <x v="223"/>
    <s v="FEBRERO"/>
    <x v="37"/>
    <s v="MIÉRCOLES"/>
    <n v="751544"/>
    <x v="39"/>
    <n v="3360"/>
    <n v="420"/>
    <n v="1411.2"/>
    <x v="3"/>
  </r>
  <r>
    <x v="223"/>
    <s v="FEBRERO"/>
    <x v="37"/>
    <s v="MIÉRCOLES"/>
    <n v="251633"/>
    <x v="16"/>
    <n v="900"/>
    <n v="180"/>
    <n v="378"/>
    <x v="3"/>
  </r>
  <r>
    <x v="223"/>
    <s v="FEBRERO"/>
    <x v="37"/>
    <s v="MIÉRCOLES"/>
    <n v="251406"/>
    <x v="1"/>
    <n v="2160"/>
    <n v="198"/>
    <n v="367.20000000000005"/>
    <x v="3"/>
  </r>
  <r>
    <x v="223"/>
    <s v="FEBRERO"/>
    <x v="37"/>
    <s v="MIÉRCOLES"/>
    <n v="254853"/>
    <x v="2"/>
    <n v="2160"/>
    <n v="198"/>
    <n v="367.20000000000005"/>
    <x v="3"/>
  </r>
  <r>
    <x v="223"/>
    <s v="FEBRERO"/>
    <x v="37"/>
    <s v="MIÉRCOLES"/>
    <n v="256549"/>
    <x v="29"/>
    <n v="216"/>
    <n v="198"/>
    <n v="36.720000000000006"/>
    <x v="3"/>
  </r>
  <r>
    <x v="223"/>
    <s v="FEBRERO"/>
    <x v="37"/>
    <s v="MIÉRCOLES"/>
    <n v="256616"/>
    <x v="22"/>
    <n v="1386"/>
    <n v="198"/>
    <n v="235.62"/>
    <x v="3"/>
  </r>
  <r>
    <x v="223"/>
    <s v="FEBRERO"/>
    <x v="37"/>
    <s v="MIÉRCOLES"/>
    <n v="256488"/>
    <x v="6"/>
    <n v="3600"/>
    <n v="120"/>
    <n v="612"/>
    <x v="3"/>
  </r>
  <r>
    <x v="223"/>
    <s v="FEBRERO"/>
    <x v="37"/>
    <s v="MIÉRCOLES"/>
    <n v="256676"/>
    <x v="17"/>
    <n v="1800"/>
    <n v="120"/>
    <n v="306"/>
    <x v="3"/>
  </r>
  <r>
    <x v="223"/>
    <s v="FEBRERO"/>
    <x v="37"/>
    <s v="MIÉRCOLES"/>
    <n v="256674"/>
    <x v="7"/>
    <n v="3240"/>
    <n v="198"/>
    <n v="550.80000000000007"/>
    <x v="3"/>
  </r>
  <r>
    <x v="223"/>
    <s v="FEBRERO"/>
    <x v="37"/>
    <s v="MIÉRCOLES"/>
    <n v="256675"/>
    <x v="8"/>
    <n v="2160"/>
    <n v="198"/>
    <n v="367.20000000000005"/>
    <x v="3"/>
  </r>
  <r>
    <x v="223"/>
    <s v="FEBRERO"/>
    <x v="37"/>
    <s v="MIÉRCOLES"/>
    <n v="256677"/>
    <x v="10"/>
    <n v="6000"/>
    <n v="120"/>
    <n v="1020.0000000000001"/>
    <x v="3"/>
  </r>
  <r>
    <x v="223"/>
    <s v="FEBRERO"/>
    <x v="37"/>
    <s v="MIÉRCOLES"/>
    <n v="256678"/>
    <x v="11"/>
    <n v="2160"/>
    <n v="90"/>
    <n v="367.20000000000005"/>
    <x v="3"/>
  </r>
  <r>
    <x v="223"/>
    <s v="FEBRERO"/>
    <x v="37"/>
    <s v="MIÉRCOLES"/>
    <n v="256695"/>
    <x v="25"/>
    <n v="1350"/>
    <n v="225"/>
    <n v="567"/>
    <x v="3"/>
  </r>
  <r>
    <x v="223"/>
    <s v="FEBRERO"/>
    <x v="37"/>
    <s v="MIÉRCOLES"/>
    <n v="256709"/>
    <x v="19"/>
    <n v="450"/>
    <n v="225"/>
    <n v="180"/>
    <x v="3"/>
  </r>
  <r>
    <x v="223"/>
    <s v="FEBRERO"/>
    <x v="37"/>
    <s v="MIÉRCOLES"/>
    <n v="254852"/>
    <x v="37"/>
    <n v="1250"/>
    <n v="225"/>
    <n v="525"/>
    <x v="3"/>
  </r>
  <r>
    <x v="223"/>
    <s v="FEBRERO"/>
    <x v="37"/>
    <s v="MIÉRCOLES"/>
    <n v="256720"/>
    <x v="42"/>
    <n v="500"/>
    <n v="420"/>
    <n v="210"/>
    <x v="3"/>
  </r>
  <r>
    <x v="223"/>
    <s v="FEBRERO"/>
    <x v="37"/>
    <s v="MIÉRCOLES"/>
    <n v="256721"/>
    <x v="43"/>
    <n v="750"/>
    <n v="420"/>
    <n v="315"/>
    <x v="3"/>
  </r>
  <r>
    <x v="223"/>
    <s v="FEBRERO"/>
    <x v="37"/>
    <s v="MIÉRCOLES"/>
    <n v="256767"/>
    <x v="61"/>
    <n v="500"/>
    <n v="125"/>
    <n v="355"/>
    <x v="3"/>
  </r>
  <r>
    <x v="224"/>
    <s v="FEBRERO"/>
    <x v="37"/>
    <s v="JUEVES"/>
    <n v="256708"/>
    <x v="12"/>
    <n v="1125"/>
    <n v="225"/>
    <n v="450"/>
    <x v="3"/>
  </r>
  <r>
    <x v="224"/>
    <s v="FEBRERO"/>
    <x v="37"/>
    <s v="JUEVES"/>
    <n v="254852"/>
    <x v="37"/>
    <n v="1250"/>
    <n v="225"/>
    <n v="525"/>
    <x v="3"/>
  </r>
  <r>
    <x v="224"/>
    <s v="FEBRERO"/>
    <x v="37"/>
    <s v="JUEVES"/>
    <n v="256720"/>
    <x v="42"/>
    <n v="500"/>
    <n v="420"/>
    <n v="210"/>
    <x v="3"/>
  </r>
  <r>
    <x v="224"/>
    <s v="FEBRERO"/>
    <x v="37"/>
    <s v="JUEVES"/>
    <n v="256721"/>
    <x v="43"/>
    <n v="1000"/>
    <n v="420"/>
    <n v="420"/>
    <x v="3"/>
  </r>
  <r>
    <x v="224"/>
    <s v="FEBRERO"/>
    <x v="37"/>
    <s v="JUEVES"/>
    <n v="256767"/>
    <x v="61"/>
    <n v="750"/>
    <n v="125"/>
    <n v="532.5"/>
    <x v="3"/>
  </r>
  <r>
    <x v="224"/>
    <s v="FEBRERO"/>
    <x v="37"/>
    <s v="JUEVES"/>
    <n v="256379"/>
    <x v="15"/>
    <n v="250"/>
    <n v="50"/>
    <n v="100"/>
    <x v="3"/>
  </r>
  <r>
    <x v="224"/>
    <s v="FEBRERO"/>
    <x v="37"/>
    <s v="JUEVES"/>
    <n v="254762"/>
    <x v="40"/>
    <n v="112"/>
    <n v="240"/>
    <n v="44.800000000000004"/>
    <x v="3"/>
  </r>
  <r>
    <x v="224"/>
    <s v="FEBRERO"/>
    <x v="37"/>
    <s v="JUEVES"/>
    <n v="251429"/>
    <x v="0"/>
    <n v="960"/>
    <n v="48"/>
    <n v="384"/>
    <x v="3"/>
  </r>
  <r>
    <x v="224"/>
    <s v="FEBRERO"/>
    <x v="37"/>
    <s v="JUEVES"/>
    <n v="751315"/>
    <x v="24"/>
    <n v="2100"/>
    <n v="420"/>
    <n v="882"/>
    <x v="3"/>
  </r>
  <r>
    <x v="224"/>
    <s v="FEBRERO"/>
    <x v="37"/>
    <s v="JUEVES"/>
    <n v="251633"/>
    <x v="16"/>
    <n v="900"/>
    <n v="180"/>
    <n v="378"/>
    <x v="3"/>
  </r>
  <r>
    <x v="224"/>
    <s v="FEBRERO"/>
    <x v="37"/>
    <s v="JUEVES"/>
    <n v="256549"/>
    <x v="29"/>
    <n v="216"/>
    <n v="198"/>
    <n v="36.720000000000006"/>
    <x v="3"/>
  </r>
  <r>
    <x v="224"/>
    <s v="FEBRERO"/>
    <x v="37"/>
    <s v="JUEVES"/>
    <n v="256617"/>
    <x v="3"/>
    <n v="990"/>
    <n v="198"/>
    <n v="168.3"/>
    <x v="3"/>
  </r>
  <r>
    <x v="224"/>
    <s v="FEBRERO"/>
    <x v="37"/>
    <s v="JUEVES"/>
    <n v="256666"/>
    <x v="4"/>
    <n v="648"/>
    <n v="162"/>
    <n v="110.16000000000001"/>
    <x v="3"/>
  </r>
  <r>
    <x v="224"/>
    <s v="FEBRERO"/>
    <x v="37"/>
    <s v="JUEVES"/>
    <n v="256488"/>
    <x v="6"/>
    <n v="3600"/>
    <n v="120"/>
    <n v="612"/>
    <x v="3"/>
  </r>
  <r>
    <x v="224"/>
    <s v="FEBRERO"/>
    <x v="37"/>
    <s v="JUEVES"/>
    <n v="256676"/>
    <x v="17"/>
    <n v="2400"/>
    <n v="120"/>
    <n v="408.00000000000006"/>
    <x v="3"/>
  </r>
  <r>
    <x v="224"/>
    <s v="FEBRERO"/>
    <x v="37"/>
    <s v="JUEVES"/>
    <n v="256652"/>
    <x v="9"/>
    <n v="900"/>
    <n v="90"/>
    <n v="153"/>
    <x v="3"/>
  </r>
  <r>
    <x v="224"/>
    <s v="FEBRERO"/>
    <x v="37"/>
    <s v="JUEVES"/>
    <n v="256677"/>
    <x v="10"/>
    <n v="6000"/>
    <n v="120"/>
    <n v="1020.0000000000001"/>
    <x v="3"/>
  </r>
  <r>
    <x v="224"/>
    <s v="FEBRERO"/>
    <x v="37"/>
    <s v="JUEVES"/>
    <n v="256679"/>
    <x v="23"/>
    <n v="900"/>
    <n v="90"/>
    <n v="153"/>
    <x v="3"/>
  </r>
  <r>
    <x v="224"/>
    <s v="FEBRERO"/>
    <x v="37"/>
    <s v="JUEVES"/>
    <n v="256682"/>
    <x v="20"/>
    <n v="720"/>
    <n v="90"/>
    <n v="122.4"/>
    <x v="3"/>
  </r>
  <r>
    <x v="224"/>
    <s v="FEBRERO"/>
    <x v="37"/>
    <s v="JUEVES"/>
    <n v="256695"/>
    <x v="25"/>
    <n v="900"/>
    <n v="225"/>
    <n v="378"/>
    <x v="3"/>
  </r>
  <r>
    <x v="225"/>
    <s v="FEBRERO"/>
    <x v="37"/>
    <s v="VIERNES"/>
    <n v="256382"/>
    <x v="33"/>
    <n v="40"/>
    <n v="40"/>
    <n v="9.2000000000000011"/>
    <x v="3"/>
  </r>
  <r>
    <x v="225"/>
    <s v="FEBRERO"/>
    <x v="37"/>
    <s v="VIERNES"/>
    <n v="256685"/>
    <x v="38"/>
    <n v="336"/>
    <n v="112"/>
    <n v="134.4"/>
    <x v="3"/>
  </r>
  <r>
    <x v="225"/>
    <s v="FEBRERO"/>
    <x v="37"/>
    <s v="VIERNES"/>
    <n v="751315"/>
    <x v="24"/>
    <n v="2100"/>
    <n v="420"/>
    <n v="882"/>
    <x v="3"/>
  </r>
  <r>
    <x v="225"/>
    <s v="FEBRERO"/>
    <x v="37"/>
    <s v="VIERNES"/>
    <n v="251406"/>
    <x v="1"/>
    <n v="3240"/>
    <n v="198"/>
    <n v="550.80000000000007"/>
    <x v="3"/>
  </r>
  <r>
    <x v="225"/>
    <s v="FEBRERO"/>
    <x v="37"/>
    <s v="VIERNES"/>
    <n v="254853"/>
    <x v="2"/>
    <n v="1512"/>
    <n v="198"/>
    <n v="257.04000000000002"/>
    <x v="3"/>
  </r>
  <r>
    <x v="225"/>
    <s v="FEBRERO"/>
    <x v="37"/>
    <s v="VIERNES"/>
    <n v="256677"/>
    <x v="10"/>
    <n v="7200"/>
    <n v="120"/>
    <n v="1224"/>
    <x v="3"/>
  </r>
  <r>
    <x v="225"/>
    <s v="FEBRERO"/>
    <x v="37"/>
    <s v="VIERNES"/>
    <n v="256679"/>
    <x v="23"/>
    <n v="720"/>
    <n v="90"/>
    <n v="122.4"/>
    <x v="3"/>
  </r>
  <r>
    <x v="225"/>
    <s v="FEBRERO"/>
    <x v="37"/>
    <s v="VIERNES"/>
    <n v="256678"/>
    <x v="11"/>
    <n v="2880"/>
    <n v="90"/>
    <n v="489.6"/>
    <x v="3"/>
  </r>
  <r>
    <x v="225"/>
    <s v="FEBRERO"/>
    <x v="37"/>
    <s v="VIERNES"/>
    <n v="256695"/>
    <x v="25"/>
    <n v="1350"/>
    <n v="225"/>
    <n v="567"/>
    <x v="3"/>
  </r>
  <r>
    <x v="225"/>
    <s v="FEBRERO"/>
    <x v="37"/>
    <s v="VIERNES"/>
    <n v="256767"/>
    <x v="61"/>
    <n v="750"/>
    <n v="125"/>
    <n v="532.5"/>
    <x v="3"/>
  </r>
  <r>
    <x v="226"/>
    <s v="FEBRERO"/>
    <x v="38"/>
    <s v="SÁBADO"/>
    <n v="256381"/>
    <x v="13"/>
    <n v="150"/>
    <n v="30"/>
    <n v="60"/>
    <x v="3"/>
  </r>
  <r>
    <x v="226"/>
    <s v="FEBRERO"/>
    <x v="38"/>
    <s v="SÁBADO"/>
    <n v="254762"/>
    <x v="40"/>
    <n v="112"/>
    <n v="240"/>
    <n v="44.800000000000004"/>
    <x v="3"/>
  </r>
  <r>
    <x v="226"/>
    <s v="FEBRERO"/>
    <x v="38"/>
    <s v="SÁBADO"/>
    <n v="256685"/>
    <x v="38"/>
    <n v="448"/>
    <n v="112"/>
    <n v="179.20000000000002"/>
    <x v="3"/>
  </r>
  <r>
    <x v="226"/>
    <s v="FEBRERO"/>
    <x v="38"/>
    <s v="SÁBADO"/>
    <n v="251429"/>
    <x v="0"/>
    <n v="1920"/>
    <n v="48"/>
    <n v="768"/>
    <x v="3"/>
  </r>
  <r>
    <x v="226"/>
    <s v="FEBRERO"/>
    <x v="38"/>
    <s v="SÁBADO"/>
    <n v="256616"/>
    <x v="22"/>
    <n v="1584"/>
    <n v="198"/>
    <n v="269.28000000000003"/>
    <x v="3"/>
  </r>
  <r>
    <x v="226"/>
    <s v="FEBRERO"/>
    <x v="38"/>
    <s v="SÁBADO"/>
    <n v="256488"/>
    <x v="6"/>
    <n v="6000"/>
    <n v="120"/>
    <n v="1020.0000000000001"/>
    <x v="3"/>
  </r>
  <r>
    <x v="226"/>
    <s v="FEBRERO"/>
    <x v="38"/>
    <s v="SÁBADO"/>
    <n v="256676"/>
    <x v="17"/>
    <n v="2400"/>
    <n v="120"/>
    <n v="408.00000000000006"/>
    <x v="3"/>
  </r>
  <r>
    <x v="226"/>
    <s v="FEBRERO"/>
    <x v="38"/>
    <s v="SÁBADO"/>
    <n v="256677"/>
    <x v="10"/>
    <n v="3600"/>
    <n v="120"/>
    <n v="612"/>
    <x v="3"/>
  </r>
  <r>
    <x v="226"/>
    <s v="FEBRERO"/>
    <x v="38"/>
    <s v="SÁBADO"/>
    <n v="256679"/>
    <x v="23"/>
    <n v="720"/>
    <n v="90"/>
    <n v="122.4"/>
    <x v="3"/>
  </r>
  <r>
    <x v="226"/>
    <s v="FEBRERO"/>
    <x v="38"/>
    <s v="SÁBADO"/>
    <n v="256708"/>
    <x v="12"/>
    <n v="675"/>
    <n v="225"/>
    <n v="270"/>
    <x v="3"/>
  </r>
  <r>
    <x v="226"/>
    <s v="FEBRERO"/>
    <x v="38"/>
    <s v="SÁBADO"/>
    <n v="256709"/>
    <x v="19"/>
    <n v="225"/>
    <n v="225"/>
    <n v="90"/>
    <x v="3"/>
  </r>
  <r>
    <x v="226"/>
    <s v="FEBRERO"/>
    <x v="38"/>
    <s v="SÁBADO"/>
    <n v="251151"/>
    <x v="46"/>
    <n v="3000"/>
    <n v="250"/>
    <n v="1260"/>
    <x v="3"/>
  </r>
  <r>
    <x v="226"/>
    <s v="FEBRERO"/>
    <x v="38"/>
    <s v="SÁBADO"/>
    <n v="256720"/>
    <x v="42"/>
    <n v="500"/>
    <n v="420"/>
    <n v="210"/>
    <x v="3"/>
  </r>
  <r>
    <x v="226"/>
    <s v="FEBRERO"/>
    <x v="38"/>
    <s v="SÁBADO"/>
    <n v="256721"/>
    <x v="43"/>
    <n v="500"/>
    <n v="420"/>
    <n v="210"/>
    <x v="3"/>
  </r>
  <r>
    <x v="226"/>
    <s v="FEBRERO"/>
    <x v="38"/>
    <s v="SÁBADO"/>
    <n v="255430"/>
    <x v="30"/>
    <n v="750"/>
    <n v="250"/>
    <n v="172.5"/>
    <x v="3"/>
  </r>
  <r>
    <x v="227"/>
    <s v="FEBRERO"/>
    <x v="38"/>
    <s v="LUNES"/>
    <n v="256677"/>
    <x v="10"/>
    <n v="3360"/>
    <n v="120"/>
    <n v="571.20000000000005"/>
    <x v="3"/>
  </r>
  <r>
    <x v="227"/>
    <s v="FEBRERO"/>
    <x v="38"/>
    <s v="LUNES"/>
    <n v="256680"/>
    <x v="26"/>
    <n v="450"/>
    <n v="90"/>
    <n v="76.5"/>
    <x v="3"/>
  </r>
  <r>
    <x v="227"/>
    <s v="FEBRERO"/>
    <x v="38"/>
    <s v="LUNES"/>
    <n v="256679"/>
    <x v="23"/>
    <n v="900"/>
    <n v="90"/>
    <n v="153"/>
    <x v="3"/>
  </r>
  <r>
    <x v="227"/>
    <s v="FEBRERO"/>
    <x v="38"/>
    <s v="LUNES"/>
    <n v="256678"/>
    <x v="11"/>
    <n v="2880"/>
    <n v="90"/>
    <n v="489.6"/>
    <x v="3"/>
  </r>
  <r>
    <x v="227"/>
    <s v="FEBRERO"/>
    <x v="38"/>
    <s v="LUNES"/>
    <n v="256682"/>
    <x v="20"/>
    <n v="450"/>
    <n v="90"/>
    <n v="76.5"/>
    <x v="3"/>
  </r>
  <r>
    <x v="227"/>
    <s v="FEBRERO"/>
    <x v="38"/>
    <s v="LUNES"/>
    <n v="256695"/>
    <x v="25"/>
    <n v="2250"/>
    <n v="225"/>
    <n v="945"/>
    <x v="3"/>
  </r>
  <r>
    <x v="227"/>
    <s v="FEBRERO"/>
    <x v="38"/>
    <s v="LUNES"/>
    <n v="256720"/>
    <x v="42"/>
    <n v="250"/>
    <n v="420"/>
    <n v="105"/>
    <x v="3"/>
  </r>
  <r>
    <x v="227"/>
    <s v="FEBRERO"/>
    <x v="38"/>
    <s v="LUNES"/>
    <n v="256721"/>
    <x v="43"/>
    <n v="500"/>
    <n v="420"/>
    <n v="210"/>
    <x v="3"/>
  </r>
  <r>
    <x v="227"/>
    <s v="FEBRERO"/>
    <x v="38"/>
    <s v="LUNES"/>
    <n v="256767"/>
    <x v="61"/>
    <n v="750"/>
    <n v="125"/>
    <n v="532.5"/>
    <x v="3"/>
  </r>
  <r>
    <x v="227"/>
    <s v="FEBRERO"/>
    <x v="38"/>
    <s v="LUNES"/>
    <n v="256383"/>
    <x v="28"/>
    <n v="270"/>
    <n v="30"/>
    <n v="62.1"/>
    <x v="3"/>
  </r>
  <r>
    <x v="227"/>
    <s v="FEBRERO"/>
    <x v="38"/>
    <s v="LUNES"/>
    <n v="256382"/>
    <x v="33"/>
    <n v="120"/>
    <n v="40"/>
    <n v="27.6"/>
    <x v="3"/>
  </r>
  <r>
    <x v="227"/>
    <s v="FEBRERO"/>
    <x v="38"/>
    <s v="LUNES"/>
    <n v="256381"/>
    <x v="13"/>
    <n v="300"/>
    <n v="30"/>
    <n v="120"/>
    <x v="3"/>
  </r>
  <r>
    <x v="227"/>
    <s v="FEBRERO"/>
    <x v="38"/>
    <s v="LUNES"/>
    <n v="256379"/>
    <x v="15"/>
    <n v="400"/>
    <n v="50"/>
    <n v="160"/>
    <x v="3"/>
  </r>
  <r>
    <x v="227"/>
    <s v="FEBRERO"/>
    <x v="38"/>
    <s v="LUNES"/>
    <n v="251429"/>
    <x v="0"/>
    <n v="1920"/>
    <n v="48"/>
    <n v="768"/>
    <x v="3"/>
  </r>
  <r>
    <x v="227"/>
    <s v="FEBRERO"/>
    <x v="38"/>
    <s v="LUNES"/>
    <n v="751315"/>
    <x v="24"/>
    <n v="2520"/>
    <n v="420"/>
    <n v="1058.3999999999999"/>
    <x v="3"/>
  </r>
  <r>
    <x v="227"/>
    <s v="FEBRERO"/>
    <x v="38"/>
    <s v="LUNES"/>
    <n v="251633"/>
    <x v="16"/>
    <n v="1080"/>
    <n v="180"/>
    <n v="453.59999999999997"/>
    <x v="3"/>
  </r>
  <r>
    <x v="227"/>
    <s v="FEBRERO"/>
    <x v="38"/>
    <s v="LUNES"/>
    <n v="251406"/>
    <x v="1"/>
    <n v="4320"/>
    <n v="198"/>
    <n v="734.40000000000009"/>
    <x v="3"/>
  </r>
  <r>
    <x v="227"/>
    <s v="FEBRERO"/>
    <x v="38"/>
    <s v="LUNES"/>
    <n v="256548"/>
    <x v="34"/>
    <n v="216"/>
    <n v="198"/>
    <n v="36.720000000000006"/>
    <x v="3"/>
  </r>
  <r>
    <x v="227"/>
    <s v="FEBRERO"/>
    <x v="38"/>
    <s v="LUNES"/>
    <n v="256549"/>
    <x v="29"/>
    <n v="216"/>
    <n v="198"/>
    <n v="36.720000000000006"/>
    <x v="3"/>
  </r>
  <r>
    <x v="227"/>
    <s v="FEBRERO"/>
    <x v="38"/>
    <s v="LUNES"/>
    <n v="256617"/>
    <x v="3"/>
    <n v="990"/>
    <n v="198"/>
    <n v="168.3"/>
    <x v="3"/>
  </r>
  <r>
    <x v="227"/>
    <s v="FEBRERO"/>
    <x v="38"/>
    <s v="LUNES"/>
    <n v="256666"/>
    <x v="4"/>
    <n v="810"/>
    <n v="162"/>
    <n v="137.70000000000002"/>
    <x v="3"/>
  </r>
  <r>
    <x v="227"/>
    <s v="FEBRERO"/>
    <x v="38"/>
    <s v="LUNES"/>
    <n v="256601"/>
    <x v="5"/>
    <n v="486"/>
    <n v="162"/>
    <n v="82.62"/>
    <x v="3"/>
  </r>
  <r>
    <x v="227"/>
    <s v="FEBRERO"/>
    <x v="38"/>
    <s v="LUNES"/>
    <n v="256488"/>
    <x v="6"/>
    <n v="2400"/>
    <n v="120"/>
    <n v="408.00000000000006"/>
    <x v="3"/>
  </r>
  <r>
    <x v="227"/>
    <s v="FEBRERO"/>
    <x v="38"/>
    <s v="LUNES"/>
    <n v="256674"/>
    <x v="7"/>
    <n v="2160"/>
    <n v="198"/>
    <n v="367.20000000000005"/>
    <x v="3"/>
  </r>
  <r>
    <x v="228"/>
    <s v="FEBRERO"/>
    <x v="38"/>
    <s v="MARTES"/>
    <n v="256383"/>
    <x v="28"/>
    <n v="120"/>
    <n v="30"/>
    <n v="27.6"/>
    <x v="3"/>
  </r>
  <r>
    <x v="228"/>
    <s v="FEBRERO"/>
    <x v="38"/>
    <s v="MARTES"/>
    <n v="256381"/>
    <x v="13"/>
    <n v="150"/>
    <n v="30"/>
    <n v="60"/>
    <x v="3"/>
  </r>
  <r>
    <x v="228"/>
    <s v="FEBRERO"/>
    <x v="38"/>
    <s v="MARTES"/>
    <n v="256379"/>
    <x v="15"/>
    <n v="200"/>
    <n v="50"/>
    <n v="80"/>
    <x v="3"/>
  </r>
  <r>
    <x v="228"/>
    <s v="FEBRERO"/>
    <x v="38"/>
    <s v="MARTES"/>
    <n v="256685"/>
    <x v="38"/>
    <n v="672"/>
    <n v="112"/>
    <n v="268.8"/>
    <x v="3"/>
  </r>
  <r>
    <x v="228"/>
    <s v="FEBRERO"/>
    <x v="38"/>
    <s v="MARTES"/>
    <n v="251429"/>
    <x v="0"/>
    <n v="2400"/>
    <n v="48"/>
    <n v="960"/>
    <x v="3"/>
  </r>
  <r>
    <x v="228"/>
    <s v="FEBRERO"/>
    <x v="38"/>
    <s v="MARTES"/>
    <n v="751315"/>
    <x v="24"/>
    <n v="2520"/>
    <n v="420"/>
    <n v="1058.3999999999999"/>
    <x v="3"/>
  </r>
  <r>
    <x v="228"/>
    <s v="FEBRERO"/>
    <x v="38"/>
    <s v="MARTES"/>
    <n v="251406"/>
    <x v="1"/>
    <n v="2160"/>
    <n v="198"/>
    <n v="367.20000000000005"/>
    <x v="3"/>
  </r>
  <r>
    <x v="228"/>
    <s v="FEBRERO"/>
    <x v="38"/>
    <s v="MARTES"/>
    <n v="256601"/>
    <x v="5"/>
    <n v="648"/>
    <n v="162"/>
    <n v="110.16000000000001"/>
    <x v="3"/>
  </r>
  <r>
    <x v="228"/>
    <s v="FEBRERO"/>
    <x v="38"/>
    <s v="MARTES"/>
    <n v="256488"/>
    <x v="6"/>
    <n v="2400"/>
    <n v="120"/>
    <n v="408.00000000000006"/>
    <x v="3"/>
  </r>
  <r>
    <x v="228"/>
    <s v="FEBRERO"/>
    <x v="38"/>
    <s v="MARTES"/>
    <n v="256676"/>
    <x v="17"/>
    <n v="2400"/>
    <n v="120"/>
    <n v="408.00000000000006"/>
    <x v="3"/>
  </r>
  <r>
    <x v="228"/>
    <s v="FEBRERO"/>
    <x v="38"/>
    <s v="MARTES"/>
    <n v="256674"/>
    <x v="7"/>
    <n v="2160"/>
    <n v="198"/>
    <n v="367.20000000000005"/>
    <x v="3"/>
  </r>
  <r>
    <x v="228"/>
    <s v="FEBRERO"/>
    <x v="38"/>
    <s v="MARTES"/>
    <n v="256675"/>
    <x v="8"/>
    <n v="1728"/>
    <n v="198"/>
    <n v="293.76000000000005"/>
    <x v="3"/>
  </r>
  <r>
    <x v="228"/>
    <s v="FEBRERO"/>
    <x v="38"/>
    <s v="MARTES"/>
    <n v="256652"/>
    <x v="9"/>
    <n v="900"/>
    <n v="90"/>
    <n v="153"/>
    <x v="3"/>
  </r>
  <r>
    <x v="228"/>
    <s v="FEBRERO"/>
    <x v="38"/>
    <s v="MARTES"/>
    <n v="256677"/>
    <x v="10"/>
    <n v="2880"/>
    <n v="120"/>
    <n v="489.6"/>
    <x v="3"/>
  </r>
  <r>
    <x v="228"/>
    <s v="FEBRERO"/>
    <x v="38"/>
    <s v="MARTES"/>
    <n v="256679"/>
    <x v="23"/>
    <n v="450"/>
    <n v="90"/>
    <n v="76.5"/>
    <x v="3"/>
  </r>
  <r>
    <x v="228"/>
    <s v="FEBRERO"/>
    <x v="38"/>
    <s v="MARTES"/>
    <n v="252436"/>
    <x v="36"/>
    <n v="1350"/>
    <n v="90"/>
    <n v="540"/>
    <x v="3"/>
  </r>
  <r>
    <x v="228"/>
    <s v="FEBRERO"/>
    <x v="38"/>
    <s v="MARTES"/>
    <n v="256678"/>
    <x v="11"/>
    <n v="1890"/>
    <n v="90"/>
    <n v="321.3"/>
    <x v="3"/>
  </r>
  <r>
    <x v="228"/>
    <s v="FEBRERO"/>
    <x v="38"/>
    <s v="MARTES"/>
    <n v="256695"/>
    <x v="25"/>
    <n v="1350"/>
    <n v="225"/>
    <n v="567"/>
    <x v="3"/>
  </r>
  <r>
    <x v="228"/>
    <s v="FEBRERO"/>
    <x v="38"/>
    <s v="MARTES"/>
    <n v="256708"/>
    <x v="12"/>
    <n v="450"/>
    <n v="225"/>
    <n v="180"/>
    <x v="3"/>
  </r>
  <r>
    <x v="228"/>
    <s v="FEBRERO"/>
    <x v="38"/>
    <s v="MARTES"/>
    <n v="256720"/>
    <x v="42"/>
    <n v="250"/>
    <n v="420"/>
    <n v="105"/>
    <x v="3"/>
  </r>
  <r>
    <x v="228"/>
    <s v="FEBRERO"/>
    <x v="38"/>
    <s v="MARTES"/>
    <n v="256721"/>
    <x v="43"/>
    <n v="250"/>
    <n v="420"/>
    <n v="105"/>
    <x v="3"/>
  </r>
  <r>
    <x v="228"/>
    <s v="FEBRERO"/>
    <x v="38"/>
    <s v="MARTES"/>
    <n v="751468"/>
    <x v="32"/>
    <n v="4200"/>
    <n v="420"/>
    <n v="1764"/>
    <x v="3"/>
  </r>
  <r>
    <x v="229"/>
    <s v="FEBRERO"/>
    <x v="38"/>
    <s v="MIÉRCOLES"/>
    <n v="256383"/>
    <x v="28"/>
    <n v="270"/>
    <n v="30"/>
    <n v="62.1"/>
    <x v="3"/>
  </r>
  <r>
    <x v="229"/>
    <s v="FEBRERO"/>
    <x v="38"/>
    <s v="MIÉRCOLES"/>
    <n v="256382"/>
    <x v="33"/>
    <n v="40"/>
    <n v="40"/>
    <n v="9.2000000000000011"/>
    <x v="3"/>
  </r>
  <r>
    <x v="229"/>
    <s v="FEBRERO"/>
    <x v="38"/>
    <s v="MIÉRCOLES"/>
    <n v="252436"/>
    <x v="36"/>
    <n v="1350"/>
    <n v="90"/>
    <n v="540"/>
    <x v="3"/>
  </r>
  <r>
    <x v="229"/>
    <s v="FEBRERO"/>
    <x v="38"/>
    <s v="MIÉRCOLES"/>
    <n v="254762"/>
    <x v="40"/>
    <n v="336"/>
    <n v="240"/>
    <n v="134.4"/>
    <x v="3"/>
  </r>
  <r>
    <x v="229"/>
    <s v="FEBRERO"/>
    <x v="38"/>
    <s v="MIÉRCOLES"/>
    <n v="251429"/>
    <x v="0"/>
    <n v="2400"/>
    <n v="48"/>
    <n v="960"/>
    <x v="3"/>
  </r>
  <r>
    <x v="229"/>
    <s v="FEBRERO"/>
    <x v="38"/>
    <s v="MIÉRCOLES"/>
    <n v="751468"/>
    <x v="32"/>
    <n v="4200"/>
    <n v="420"/>
    <n v="1764"/>
    <x v="3"/>
  </r>
  <r>
    <x v="229"/>
    <s v="FEBRERO"/>
    <x v="38"/>
    <s v="MIÉRCOLES"/>
    <n v="751544"/>
    <x v="39"/>
    <n v="2100"/>
    <n v="420"/>
    <n v="882"/>
    <x v="3"/>
  </r>
  <r>
    <x v="229"/>
    <s v="FEBRERO"/>
    <x v="38"/>
    <s v="MIÉRCOLES"/>
    <n v="254853"/>
    <x v="2"/>
    <n v="864"/>
    <n v="198"/>
    <n v="146.88000000000002"/>
    <x v="3"/>
  </r>
  <r>
    <x v="229"/>
    <s v="FEBRERO"/>
    <x v="38"/>
    <s v="MIÉRCOLES"/>
    <n v="256616"/>
    <x v="22"/>
    <n v="990"/>
    <n v="198"/>
    <n v="168.3"/>
    <x v="3"/>
  </r>
  <r>
    <x v="229"/>
    <s v="FEBRERO"/>
    <x v="38"/>
    <s v="MIÉRCOLES"/>
    <n v="256666"/>
    <x v="4"/>
    <n v="648"/>
    <n v="162"/>
    <n v="110.16000000000001"/>
    <x v="3"/>
  </r>
  <r>
    <x v="229"/>
    <s v="FEBRERO"/>
    <x v="38"/>
    <s v="MIÉRCOLES"/>
    <n v="256674"/>
    <x v="7"/>
    <n v="2160"/>
    <n v="198"/>
    <n v="367.20000000000005"/>
    <x v="3"/>
  </r>
  <r>
    <x v="229"/>
    <s v="FEBRERO"/>
    <x v="38"/>
    <s v="MIÉRCOLES"/>
    <n v="256675"/>
    <x v="8"/>
    <n v="1080"/>
    <n v="198"/>
    <n v="183.60000000000002"/>
    <x v="3"/>
  </r>
  <r>
    <x v="229"/>
    <s v="FEBRERO"/>
    <x v="38"/>
    <s v="MIÉRCOLES"/>
    <n v="256652"/>
    <x v="9"/>
    <n v="900"/>
    <n v="90"/>
    <n v="153"/>
    <x v="3"/>
  </r>
  <r>
    <x v="229"/>
    <s v="FEBRERO"/>
    <x v="38"/>
    <s v="MIÉRCOLES"/>
    <n v="256678"/>
    <x v="11"/>
    <n v="1440"/>
    <n v="90"/>
    <n v="244.8"/>
    <x v="3"/>
  </r>
  <r>
    <x v="229"/>
    <s v="FEBRERO"/>
    <x v="38"/>
    <s v="MIÉRCOLES"/>
    <n v="256682"/>
    <x v="20"/>
    <n v="180"/>
    <n v="90"/>
    <n v="30.6"/>
    <x v="3"/>
  </r>
  <r>
    <x v="229"/>
    <s v="FEBRERO"/>
    <x v="38"/>
    <s v="MIÉRCOLES"/>
    <n v="256695"/>
    <x v="25"/>
    <n v="1350"/>
    <n v="225"/>
    <n v="567"/>
    <x v="3"/>
  </r>
  <r>
    <x v="229"/>
    <s v="FEBRERO"/>
    <x v="38"/>
    <s v="MIÉRCOLES"/>
    <n v="256721"/>
    <x v="43"/>
    <n v="250"/>
    <n v="420"/>
    <n v="105"/>
    <x v="3"/>
  </r>
  <r>
    <x v="230"/>
    <s v="FEBRERO"/>
    <x v="38"/>
    <s v="JUEVES"/>
    <n v="256682"/>
    <x v="20"/>
    <n v="450"/>
    <n v="90"/>
    <n v="76.5"/>
    <x v="3"/>
  </r>
  <r>
    <x v="230"/>
    <s v="FEBRERO"/>
    <x v="38"/>
    <s v="JUEVES"/>
    <n v="256695"/>
    <x v="25"/>
    <n v="675"/>
    <n v="225"/>
    <n v="283.5"/>
    <x v="3"/>
  </r>
  <r>
    <x v="230"/>
    <s v="FEBRERO"/>
    <x v="38"/>
    <s v="JUEVES"/>
    <n v="256720"/>
    <x v="42"/>
    <n v="250"/>
    <n v="420"/>
    <n v="105"/>
    <x v="3"/>
  </r>
  <r>
    <x v="230"/>
    <s v="FEBRERO"/>
    <x v="38"/>
    <s v="JUEVES"/>
    <n v="256753"/>
    <x v="48"/>
    <n v="600"/>
    <n v="30"/>
    <n v="126"/>
    <x v="3"/>
  </r>
  <r>
    <x v="230"/>
    <s v="FEBRERO"/>
    <x v="38"/>
    <s v="JUEVES"/>
    <n v="256381"/>
    <x v="13"/>
    <n v="300"/>
    <n v="30"/>
    <n v="120"/>
    <x v="3"/>
  </r>
  <r>
    <x v="230"/>
    <s v="FEBRERO"/>
    <x v="38"/>
    <s v="JUEVES"/>
    <n v="256379"/>
    <x v="15"/>
    <n v="400"/>
    <n v="50"/>
    <n v="160"/>
    <x v="3"/>
  </r>
  <r>
    <x v="230"/>
    <s v="FEBRERO"/>
    <x v="38"/>
    <s v="JUEVES"/>
    <n v="252436"/>
    <x v="36"/>
    <n v="5400"/>
    <n v="90"/>
    <n v="2160"/>
    <x v="3"/>
  </r>
  <r>
    <x v="230"/>
    <s v="FEBRERO"/>
    <x v="38"/>
    <s v="JUEVES"/>
    <n v="256685"/>
    <x v="38"/>
    <n v="448"/>
    <n v="112"/>
    <n v="179.20000000000002"/>
    <x v="3"/>
  </r>
  <r>
    <x v="230"/>
    <s v="FEBRERO"/>
    <x v="38"/>
    <s v="JUEVES"/>
    <n v="251429"/>
    <x v="0"/>
    <n v="1920"/>
    <n v="48"/>
    <n v="768"/>
    <x v="3"/>
  </r>
  <r>
    <x v="230"/>
    <s v="FEBRERO"/>
    <x v="38"/>
    <s v="JUEVES"/>
    <n v="256548"/>
    <x v="34"/>
    <n v="432"/>
    <n v="198"/>
    <n v="73.440000000000012"/>
    <x v="3"/>
  </r>
  <r>
    <x v="230"/>
    <s v="FEBRERO"/>
    <x v="38"/>
    <s v="JUEVES"/>
    <n v="256617"/>
    <x v="3"/>
    <n v="1782"/>
    <n v="198"/>
    <n v="302.94"/>
    <x v="3"/>
  </r>
  <r>
    <x v="230"/>
    <s v="FEBRERO"/>
    <x v="38"/>
    <s v="JUEVES"/>
    <n v="256488"/>
    <x v="6"/>
    <n v="4800"/>
    <n v="120"/>
    <n v="816.00000000000011"/>
    <x v="3"/>
  </r>
  <r>
    <x v="230"/>
    <s v="FEBRERO"/>
    <x v="38"/>
    <s v="JUEVES"/>
    <n v="256676"/>
    <x v="17"/>
    <n v="2400"/>
    <n v="120"/>
    <n v="408.00000000000006"/>
    <x v="3"/>
  </r>
  <r>
    <x v="230"/>
    <s v="FEBRERO"/>
    <x v="38"/>
    <s v="JUEVES"/>
    <n v="256674"/>
    <x v="7"/>
    <n v="1080"/>
    <n v="198"/>
    <n v="183.60000000000002"/>
    <x v="3"/>
  </r>
  <r>
    <x v="230"/>
    <s v="FEBRERO"/>
    <x v="38"/>
    <s v="JUEVES"/>
    <n v="256652"/>
    <x v="9"/>
    <n v="900"/>
    <n v="90"/>
    <n v="153"/>
    <x v="3"/>
  </r>
  <r>
    <x v="230"/>
    <s v="FEBRERO"/>
    <x v="38"/>
    <s v="JUEVES"/>
    <n v="256677"/>
    <x v="10"/>
    <n v="9120"/>
    <n v="120"/>
    <n v="1550.4"/>
    <x v="3"/>
  </r>
  <r>
    <x v="230"/>
    <s v="FEBRERO"/>
    <x v="38"/>
    <s v="JUEVES"/>
    <n v="256680"/>
    <x v="26"/>
    <n v="900"/>
    <n v="90"/>
    <n v="153"/>
    <x v="3"/>
  </r>
  <r>
    <x v="230"/>
    <s v="FEBRERO"/>
    <x v="38"/>
    <s v="JUEVES"/>
    <n v="256679"/>
    <x v="23"/>
    <n v="2160"/>
    <n v="90"/>
    <n v="367.20000000000005"/>
    <x v="3"/>
  </r>
  <r>
    <x v="230"/>
    <s v="FEBRERO"/>
    <x v="38"/>
    <s v="JUEVES"/>
    <n v="256678"/>
    <x v="11"/>
    <n v="3600"/>
    <n v="90"/>
    <n v="612"/>
    <x v="3"/>
  </r>
  <r>
    <x v="229"/>
    <s v="FEBRERO"/>
    <x v="38"/>
    <s v="MIÉRCOLES"/>
    <n v="251406"/>
    <x v="1"/>
    <n v="3240"/>
    <n v="198"/>
    <n v="550.80000000000007"/>
    <x v="3"/>
  </r>
  <r>
    <x v="229"/>
    <s v="FEBRERO"/>
    <x v="38"/>
    <s v="MIÉRCOLES"/>
    <n v="254853"/>
    <x v="2"/>
    <n v="1296"/>
    <n v="198"/>
    <n v="220.32000000000002"/>
    <x v="3"/>
  </r>
  <r>
    <x v="230"/>
    <s v="FEBRERO"/>
    <x v="38"/>
    <s v="JUEVES"/>
    <n v="751315"/>
    <x v="24"/>
    <n v="2100"/>
    <n v="420"/>
    <n v="882"/>
    <x v="3"/>
  </r>
  <r>
    <x v="230"/>
    <s v="FEBRERO"/>
    <x v="38"/>
    <s v="JUEVES"/>
    <n v="256720"/>
    <x v="42"/>
    <n v="750"/>
    <n v="420"/>
    <n v="315"/>
    <x v="3"/>
  </r>
  <r>
    <x v="231"/>
    <s v="FEBRERO"/>
    <x v="38"/>
    <s v="VIERNES"/>
    <n v="256695"/>
    <x v="25"/>
    <n v="675"/>
    <n v="225"/>
    <n v="283.5"/>
    <x v="3"/>
  </r>
  <r>
    <x v="231"/>
    <s v="FEBRERO"/>
    <x v="38"/>
    <s v="VIERNES"/>
    <n v="256680"/>
    <x v="26"/>
    <n v="720"/>
    <n v="90"/>
    <n v="122.4"/>
    <x v="3"/>
  </r>
  <r>
    <x v="231"/>
    <s v="FEBRERO"/>
    <x v="38"/>
    <s v="VIERNES"/>
    <n v="256679"/>
    <x v="23"/>
    <n v="2160"/>
    <n v="90"/>
    <n v="367.20000000000005"/>
    <x v="3"/>
  </r>
  <r>
    <x v="231"/>
    <s v="FEBRERO"/>
    <x v="38"/>
    <s v="VIERNES"/>
    <n v="256682"/>
    <x v="20"/>
    <n v="450"/>
    <n v="90"/>
    <n v="76.5"/>
    <x v="3"/>
  </r>
  <r>
    <x v="231"/>
    <s v="FEBRERO"/>
    <x v="38"/>
    <s v="VIERNES"/>
    <n v="256695"/>
    <x v="25"/>
    <n v="1350"/>
    <n v="225"/>
    <n v="567"/>
    <x v="3"/>
  </r>
  <r>
    <x v="231"/>
    <s v="FEBRERO"/>
    <x v="38"/>
    <s v="VIERNES"/>
    <n v="256708"/>
    <x v="12"/>
    <n v="450"/>
    <n v="225"/>
    <n v="180"/>
    <x v="3"/>
  </r>
  <r>
    <x v="231"/>
    <s v="FEBRERO"/>
    <x v="38"/>
    <s v="VIERNES"/>
    <n v="256721"/>
    <x v="43"/>
    <n v="1000"/>
    <n v="420"/>
    <n v="420"/>
    <x v="3"/>
  </r>
  <r>
    <x v="231"/>
    <s v="FEBRERO"/>
    <x v="38"/>
    <s v="VIERNES"/>
    <n v="256753"/>
    <x v="48"/>
    <n v="600"/>
    <n v="30"/>
    <n v="126"/>
    <x v="3"/>
  </r>
  <r>
    <x v="231"/>
    <s v="FEBRERO"/>
    <x v="38"/>
    <s v="VIERNES"/>
    <n v="256383"/>
    <x v="28"/>
    <n v="300"/>
    <n v="30"/>
    <n v="69"/>
    <x v="3"/>
  </r>
  <r>
    <x v="231"/>
    <s v="FEBRERO"/>
    <x v="38"/>
    <s v="VIERNES"/>
    <n v="256382"/>
    <x v="33"/>
    <n v="80"/>
    <n v="40"/>
    <n v="18.400000000000002"/>
    <x v="3"/>
  </r>
  <r>
    <x v="231"/>
    <s v="FEBRERO"/>
    <x v="38"/>
    <s v="VIERNES"/>
    <n v="256379"/>
    <x v="15"/>
    <n v="250"/>
    <n v="50"/>
    <n v="100"/>
    <x v="3"/>
  </r>
  <r>
    <x v="231"/>
    <s v="FEBRERO"/>
    <x v="38"/>
    <s v="VIERNES"/>
    <n v="252436"/>
    <x v="36"/>
    <n v="900"/>
    <n v="90"/>
    <n v="360"/>
    <x v="3"/>
  </r>
  <r>
    <x v="231"/>
    <s v="FEBRERO"/>
    <x v="38"/>
    <s v="VIERNES"/>
    <n v="254762"/>
    <x v="40"/>
    <n v="112"/>
    <n v="240"/>
    <n v="44.800000000000004"/>
    <x v="3"/>
  </r>
  <r>
    <x v="231"/>
    <s v="FEBRERO"/>
    <x v="38"/>
    <s v="VIERNES"/>
    <n v="751315"/>
    <x v="24"/>
    <n v="4200"/>
    <n v="420"/>
    <n v="1764"/>
    <x v="3"/>
  </r>
  <r>
    <x v="231"/>
    <s v="FEBRERO"/>
    <x v="38"/>
    <s v="VIERNES"/>
    <n v="751544"/>
    <x v="39"/>
    <n v="2100"/>
    <n v="420"/>
    <n v="882"/>
    <x v="3"/>
  </r>
  <r>
    <x v="231"/>
    <s v="FEBRERO"/>
    <x v="38"/>
    <s v="VIERNES"/>
    <n v="251633"/>
    <x v="16"/>
    <n v="900"/>
    <n v="180"/>
    <n v="378"/>
    <x v="3"/>
  </r>
  <r>
    <x v="231"/>
    <s v="FEBRERO"/>
    <x v="38"/>
    <s v="VIERNES"/>
    <n v="251406"/>
    <x v="1"/>
    <n v="2160"/>
    <n v="198"/>
    <n v="367.20000000000005"/>
    <x v="3"/>
  </r>
  <r>
    <x v="231"/>
    <s v="FEBRERO"/>
    <x v="38"/>
    <s v="VIERNES"/>
    <n v="254853"/>
    <x v="2"/>
    <n v="3240"/>
    <n v="198"/>
    <n v="550.80000000000007"/>
    <x v="3"/>
  </r>
  <r>
    <x v="231"/>
    <s v="FEBRERO"/>
    <x v="38"/>
    <s v="VIERNES"/>
    <n v="256601"/>
    <x v="5"/>
    <n v="324"/>
    <n v="162"/>
    <n v="55.080000000000005"/>
    <x v="3"/>
  </r>
  <r>
    <x v="231"/>
    <s v="FEBRERO"/>
    <x v="38"/>
    <s v="VIERNES"/>
    <n v="256674"/>
    <x v="7"/>
    <n v="3240"/>
    <n v="198"/>
    <n v="550.80000000000007"/>
    <x v="3"/>
  </r>
  <r>
    <x v="231"/>
    <s v="FEBRERO"/>
    <x v="38"/>
    <s v="VIERNES"/>
    <n v="256675"/>
    <x v="8"/>
    <n v="1728"/>
    <n v="198"/>
    <n v="293.76000000000005"/>
    <x v="3"/>
  </r>
  <r>
    <x v="231"/>
    <s v="FEBRERO"/>
    <x v="38"/>
    <s v="VIERNES"/>
    <n v="256652"/>
    <x v="9"/>
    <n v="1440"/>
    <n v="90"/>
    <n v="244.8"/>
    <x v="3"/>
  </r>
  <r>
    <x v="231"/>
    <s v="FEBRERO"/>
    <x v="38"/>
    <s v="VIERNES"/>
    <n v="256677"/>
    <x v="10"/>
    <n v="3600"/>
    <n v="120"/>
    <n v="612"/>
    <x v="3"/>
  </r>
  <r>
    <x v="232"/>
    <s v="FEBRERO"/>
    <x v="39"/>
    <s v="SÁBADO"/>
    <n v="256720"/>
    <x v="42"/>
    <n v="500"/>
    <n v="420"/>
    <n v="210"/>
    <x v="3"/>
  </r>
  <r>
    <x v="232"/>
    <s v="FEBRERO"/>
    <x v="39"/>
    <s v="SÁBADO"/>
    <n v="256383"/>
    <x v="28"/>
    <n v="150"/>
    <n v="30"/>
    <n v="34.5"/>
    <x v="3"/>
  </r>
  <r>
    <x v="232"/>
    <s v="FEBRERO"/>
    <x v="39"/>
    <s v="SÁBADO"/>
    <n v="256381"/>
    <x v="13"/>
    <n v="300"/>
    <n v="30"/>
    <n v="120"/>
    <x v="3"/>
  </r>
  <r>
    <x v="232"/>
    <s v="FEBRERO"/>
    <x v="39"/>
    <s v="SÁBADO"/>
    <n v="751315"/>
    <x v="24"/>
    <n v="4200"/>
    <n v="420"/>
    <n v="1764"/>
    <x v="3"/>
  </r>
  <r>
    <x v="232"/>
    <s v="FEBRERO"/>
    <x v="39"/>
    <s v="SÁBADO"/>
    <n v="256616"/>
    <x v="22"/>
    <n v="396"/>
    <n v="198"/>
    <n v="67.320000000000007"/>
    <x v="3"/>
  </r>
  <r>
    <x v="232"/>
    <s v="FEBRERO"/>
    <x v="39"/>
    <s v="SÁBADO"/>
    <n v="256617"/>
    <x v="3"/>
    <n v="1188"/>
    <n v="198"/>
    <n v="201.96"/>
    <x v="3"/>
  </r>
  <r>
    <x v="232"/>
    <s v="FEBRERO"/>
    <x v="39"/>
    <s v="SÁBADO"/>
    <n v="256666"/>
    <x v="4"/>
    <n v="972"/>
    <n v="162"/>
    <n v="165.24"/>
    <x v="3"/>
  </r>
  <r>
    <x v="232"/>
    <s v="FEBRERO"/>
    <x v="39"/>
    <s v="SÁBADO"/>
    <n v="256601"/>
    <x v="5"/>
    <n v="324"/>
    <n v="162"/>
    <n v="55.080000000000005"/>
    <x v="3"/>
  </r>
  <r>
    <x v="232"/>
    <s v="FEBRERO"/>
    <x v="39"/>
    <s v="SÁBADO"/>
    <n v="256488"/>
    <x v="6"/>
    <n v="2400"/>
    <n v="120"/>
    <n v="408.00000000000006"/>
    <x v="3"/>
  </r>
  <r>
    <x v="232"/>
    <s v="FEBRERO"/>
    <x v="39"/>
    <s v="SÁBADO"/>
    <n v="256675"/>
    <x v="8"/>
    <n v="2160"/>
    <n v="198"/>
    <n v="367.20000000000005"/>
    <x v="3"/>
  </r>
  <r>
    <x v="232"/>
    <s v="FEBRERO"/>
    <x v="39"/>
    <s v="SÁBADO"/>
    <n v="256677"/>
    <x v="10"/>
    <n v="12000"/>
    <n v="120"/>
    <n v="2040.0000000000002"/>
    <x v="3"/>
  </r>
  <r>
    <x v="232"/>
    <s v="FEBRERO"/>
    <x v="39"/>
    <s v="SÁBADO"/>
    <n v="256679"/>
    <x v="23"/>
    <n v="2160"/>
    <n v="90"/>
    <n v="367.20000000000005"/>
    <x v="3"/>
  </r>
  <r>
    <x v="232"/>
    <s v="FEBRERO"/>
    <x v="39"/>
    <s v="SÁBADO"/>
    <n v="256678"/>
    <x v="11"/>
    <n v="900"/>
    <n v="90"/>
    <n v="153"/>
    <x v="3"/>
  </r>
  <r>
    <x v="232"/>
    <s v="FEBRERO"/>
    <x v="39"/>
    <s v="SÁBADO"/>
    <n v="256695"/>
    <x v="25"/>
    <n v="450"/>
    <n v="225"/>
    <n v="189"/>
    <x v="3"/>
  </r>
  <r>
    <x v="232"/>
    <s v="FEBRERO"/>
    <x v="39"/>
    <s v="SÁBADO"/>
    <n v="256709"/>
    <x v="19"/>
    <n v="450"/>
    <n v="225"/>
    <n v="180"/>
    <x v="3"/>
  </r>
  <r>
    <x v="232"/>
    <s v="FEBRERO"/>
    <x v="39"/>
    <s v="SÁBADO"/>
    <n v="254852"/>
    <x v="37"/>
    <n v="1500"/>
    <n v="225"/>
    <n v="630"/>
    <x v="3"/>
  </r>
  <r>
    <x v="233"/>
    <s v="FEBRERO"/>
    <x v="39"/>
    <s v="LUNES"/>
    <n v="256383"/>
    <x v="28"/>
    <n v="210"/>
    <n v="30"/>
    <n v="48.300000000000004"/>
    <x v="3"/>
  </r>
  <r>
    <x v="233"/>
    <s v="FEBRERO"/>
    <x v="39"/>
    <s v="LUNES"/>
    <n v="256381"/>
    <x v="13"/>
    <n v="150"/>
    <n v="30"/>
    <n v="60"/>
    <x v="3"/>
  </r>
  <r>
    <x v="233"/>
    <s v="FEBRERO"/>
    <x v="39"/>
    <s v="LUNES"/>
    <n v="256382"/>
    <x v="33"/>
    <n v="120"/>
    <n v="40"/>
    <n v="27.6"/>
    <x v="3"/>
  </r>
  <r>
    <x v="233"/>
    <s v="FEBRERO"/>
    <x v="39"/>
    <s v="LUNES"/>
    <n v="254762"/>
    <x v="40"/>
    <n v="224"/>
    <n v="240"/>
    <n v="89.600000000000009"/>
    <x v="3"/>
  </r>
  <r>
    <x v="233"/>
    <s v="FEBRERO"/>
    <x v="39"/>
    <s v="LUNES"/>
    <n v="256685"/>
    <x v="38"/>
    <n v="224"/>
    <n v="112"/>
    <n v="89.600000000000009"/>
    <x v="3"/>
  </r>
  <r>
    <x v="233"/>
    <s v="FEBRERO"/>
    <x v="39"/>
    <s v="LUNES"/>
    <n v="751544"/>
    <x v="39"/>
    <n v="2100"/>
    <n v="420"/>
    <n v="882"/>
    <x v="3"/>
  </r>
  <r>
    <x v="233"/>
    <s v="FEBRERO"/>
    <x v="39"/>
    <s v="LUNES"/>
    <n v="251633"/>
    <x v="16"/>
    <n v="1440"/>
    <n v="180"/>
    <n v="604.79999999999995"/>
    <x v="3"/>
  </r>
  <r>
    <x v="233"/>
    <s v="FEBRERO"/>
    <x v="39"/>
    <s v="LUNES"/>
    <n v="251406"/>
    <x v="1"/>
    <n v="4320"/>
    <n v="198"/>
    <n v="734.40000000000009"/>
    <x v="3"/>
  </r>
  <r>
    <x v="233"/>
    <s v="FEBRERO"/>
    <x v="39"/>
    <s v="LUNES"/>
    <n v="254853"/>
    <x v="2"/>
    <n v="5400"/>
    <n v="198"/>
    <n v="918.00000000000011"/>
    <x v="3"/>
  </r>
  <r>
    <x v="233"/>
    <s v="FEBRERO"/>
    <x v="39"/>
    <s v="LUNES"/>
    <n v="256616"/>
    <x v="22"/>
    <n v="1980"/>
    <n v="198"/>
    <n v="336.6"/>
    <x v="3"/>
  </r>
  <r>
    <x v="233"/>
    <s v="FEBRERO"/>
    <x v="39"/>
    <s v="LUNES"/>
    <n v="256617"/>
    <x v="3"/>
    <n v="1980"/>
    <n v="198"/>
    <n v="336.6"/>
    <x v="3"/>
  </r>
  <r>
    <x v="233"/>
    <s v="FEBRERO"/>
    <x v="39"/>
    <s v="LUNES"/>
    <n v="256488"/>
    <x v="6"/>
    <n v="3600"/>
    <n v="120"/>
    <n v="612"/>
    <x v="3"/>
  </r>
  <r>
    <x v="233"/>
    <s v="FEBRERO"/>
    <x v="39"/>
    <s v="LUNES"/>
    <n v="256674"/>
    <x v="7"/>
    <n v="3240"/>
    <n v="198"/>
    <n v="550.80000000000007"/>
    <x v="3"/>
  </r>
  <r>
    <x v="233"/>
    <s v="FEBRERO"/>
    <x v="39"/>
    <s v="LUNES"/>
    <n v="256652"/>
    <x v="9"/>
    <n v="900"/>
    <n v="90"/>
    <n v="153"/>
    <x v="3"/>
  </r>
  <r>
    <x v="233"/>
    <s v="FEBRERO"/>
    <x v="39"/>
    <s v="LUNES"/>
    <n v="256677"/>
    <x v="10"/>
    <n v="12000"/>
    <n v="120"/>
    <n v="2040.0000000000002"/>
    <x v="3"/>
  </r>
  <r>
    <x v="233"/>
    <s v="FEBRERO"/>
    <x v="39"/>
    <s v="LUNES"/>
    <n v="256680"/>
    <x v="26"/>
    <n v="900"/>
    <n v="90"/>
    <n v="153"/>
    <x v="3"/>
  </r>
  <r>
    <x v="233"/>
    <s v="FEBRERO"/>
    <x v="39"/>
    <s v="LUNES"/>
    <n v="256678"/>
    <x v="11"/>
    <n v="1800"/>
    <n v="90"/>
    <n v="306"/>
    <x v="3"/>
  </r>
  <r>
    <x v="233"/>
    <s v="FEBRERO"/>
    <x v="39"/>
    <s v="LUNES"/>
    <n v="256682"/>
    <x v="20"/>
    <n v="720"/>
    <n v="90"/>
    <n v="122.4"/>
    <x v="3"/>
  </r>
  <r>
    <x v="233"/>
    <s v="FEBRERO"/>
    <x v="39"/>
    <s v="LUNES"/>
    <n v="256695"/>
    <x v="25"/>
    <n v="1350"/>
    <n v="225"/>
    <n v="567"/>
    <x v="3"/>
  </r>
  <r>
    <x v="233"/>
    <s v="FEBRERO"/>
    <x v="39"/>
    <s v="LUNES"/>
    <n v="256708"/>
    <x v="12"/>
    <n v="1125"/>
    <n v="225"/>
    <n v="450"/>
    <x v="3"/>
  </r>
  <r>
    <x v="233"/>
    <s v="FEBRERO"/>
    <x v="39"/>
    <s v="LUNES"/>
    <n v="256721"/>
    <x v="43"/>
    <n v="500"/>
    <n v="420"/>
    <n v="210"/>
    <x v="3"/>
  </r>
  <r>
    <x v="233"/>
    <s v="FEBRERO"/>
    <x v="39"/>
    <s v="LUNES"/>
    <n v="256753"/>
    <x v="48"/>
    <n v="330"/>
    <n v="30"/>
    <n v="69.3"/>
    <x v="3"/>
  </r>
  <r>
    <x v="234"/>
    <s v="FEBRERO"/>
    <x v="39"/>
    <s v="MARTES"/>
    <n v="256616"/>
    <x v="22"/>
    <n v="990"/>
    <n v="198"/>
    <n v="168.3"/>
    <x v="3"/>
  </r>
  <r>
    <x v="234"/>
    <s v="FEBRERO"/>
    <x v="39"/>
    <s v="MARTES"/>
    <n v="256617"/>
    <x v="3"/>
    <n v="990"/>
    <n v="198"/>
    <n v="168.3"/>
    <x v="3"/>
  </r>
  <r>
    <x v="234"/>
    <s v="FEBRERO"/>
    <x v="39"/>
    <s v="MARTES"/>
    <n v="256674"/>
    <x v="7"/>
    <n v="3456"/>
    <n v="198"/>
    <n v="587.5200000000001"/>
    <x v="3"/>
  </r>
  <r>
    <x v="234"/>
    <s v="FEBRERO"/>
    <x v="39"/>
    <s v="MARTES"/>
    <n v="256679"/>
    <x v="23"/>
    <n v="900"/>
    <n v="90"/>
    <n v="153"/>
    <x v="3"/>
  </r>
  <r>
    <x v="234"/>
    <s v="FEBRERO"/>
    <x v="39"/>
    <s v="MARTES"/>
    <n v="256695"/>
    <x v="25"/>
    <n v="4050"/>
    <n v="225"/>
    <n v="1701"/>
    <x v="3"/>
  </r>
  <r>
    <x v="234"/>
    <s v="FEBRERO"/>
    <x v="39"/>
    <s v="MARTES"/>
    <n v="256379"/>
    <x v="15"/>
    <n v="250"/>
    <n v="50"/>
    <n v="100"/>
    <x v="3"/>
  </r>
  <r>
    <x v="234"/>
    <s v="FEBRERO"/>
    <x v="39"/>
    <s v="MARTES"/>
    <n v="252436"/>
    <x v="36"/>
    <n v="900"/>
    <n v="90"/>
    <n v="360"/>
    <x v="3"/>
  </r>
  <r>
    <x v="234"/>
    <s v="FEBRERO"/>
    <x v="39"/>
    <s v="MARTES"/>
    <n v="251429"/>
    <x v="0"/>
    <n v="1440"/>
    <n v="48"/>
    <n v="576"/>
    <x v="3"/>
  </r>
  <r>
    <x v="234"/>
    <s v="FEBRERO"/>
    <x v="39"/>
    <s v="MARTES"/>
    <n v="251406"/>
    <x v="1"/>
    <n v="1728"/>
    <n v="198"/>
    <n v="293.76000000000005"/>
    <x v="3"/>
  </r>
  <r>
    <x v="234"/>
    <s v="FEBRERO"/>
    <x v="39"/>
    <s v="MARTES"/>
    <n v="256666"/>
    <x v="4"/>
    <n v="648"/>
    <n v="162"/>
    <n v="110.16000000000001"/>
    <x v="3"/>
  </r>
  <r>
    <x v="234"/>
    <s v="FEBRERO"/>
    <x v="39"/>
    <s v="MARTES"/>
    <n v="256488"/>
    <x v="6"/>
    <n v="10800"/>
    <n v="120"/>
    <n v="1836.0000000000002"/>
    <x v="3"/>
  </r>
  <r>
    <x v="234"/>
    <s v="FEBRERO"/>
    <x v="39"/>
    <s v="MARTES"/>
    <n v="256676"/>
    <x v="17"/>
    <n v="4800"/>
    <n v="120"/>
    <n v="816.00000000000011"/>
    <x v="3"/>
  </r>
  <r>
    <x v="234"/>
    <s v="FEBRERO"/>
    <x v="39"/>
    <s v="MARTES"/>
    <n v="256677"/>
    <x v="10"/>
    <n v="9600"/>
    <n v="120"/>
    <n v="1632.0000000000002"/>
    <x v="3"/>
  </r>
  <r>
    <x v="234"/>
    <s v="FEBRERO"/>
    <x v="39"/>
    <s v="MARTES"/>
    <n v="256679"/>
    <x v="23"/>
    <n v="2160"/>
    <n v="90"/>
    <n v="367.20000000000005"/>
    <x v="3"/>
  </r>
  <r>
    <x v="234"/>
    <s v="FEBRERO"/>
    <x v="39"/>
    <s v="MARTES"/>
    <n v="256678"/>
    <x v="11"/>
    <n v="2880"/>
    <n v="90"/>
    <n v="489.6"/>
    <x v="3"/>
  </r>
  <r>
    <x v="234"/>
    <s v="FEBRERO"/>
    <x v="39"/>
    <s v="MARTES"/>
    <n v="256682"/>
    <x v="20"/>
    <n v="180"/>
    <n v="90"/>
    <n v="30.6"/>
    <x v="3"/>
  </r>
  <r>
    <x v="234"/>
    <s v="FEBRERO"/>
    <x v="39"/>
    <s v="MARTES"/>
    <n v="256708"/>
    <x v="12"/>
    <n v="450"/>
    <n v="225"/>
    <n v="180"/>
    <x v="3"/>
  </r>
  <r>
    <x v="234"/>
    <s v="FEBRERO"/>
    <x v="39"/>
    <s v="MARTES"/>
    <n v="256709"/>
    <x v="19"/>
    <n v="225"/>
    <n v="225"/>
    <n v="90"/>
    <x v="3"/>
  </r>
  <r>
    <x v="234"/>
    <s v="FEBRERO"/>
    <x v="39"/>
    <s v="MARTES"/>
    <n v="256721"/>
    <x v="43"/>
    <n v="250"/>
    <n v="420"/>
    <n v="105"/>
    <x v="3"/>
  </r>
  <r>
    <x v="235"/>
    <s v="FEBRERO"/>
    <x v="39"/>
    <s v="MIÉRCOLES"/>
    <n v="256721"/>
    <x v="43"/>
    <n v="750"/>
    <n v="420"/>
    <n v="315"/>
    <x v="3"/>
  </r>
  <r>
    <x v="235"/>
    <s v="FEBRERO"/>
    <x v="39"/>
    <s v="MIÉRCOLES"/>
    <n v="256382"/>
    <x v="33"/>
    <n v="160"/>
    <n v="40"/>
    <n v="36.800000000000004"/>
    <x v="3"/>
  </r>
  <r>
    <x v="235"/>
    <s v="FEBRERO"/>
    <x v="39"/>
    <s v="MIÉRCOLES"/>
    <n v="256381"/>
    <x v="13"/>
    <n v="300"/>
    <n v="30"/>
    <n v="120"/>
    <x v="3"/>
  </r>
  <r>
    <x v="235"/>
    <s v="FEBRERO"/>
    <x v="39"/>
    <s v="MIÉRCOLES"/>
    <n v="256380"/>
    <x v="14"/>
    <n v="120"/>
    <n v="40"/>
    <n v="27.6"/>
    <x v="3"/>
  </r>
  <r>
    <x v="235"/>
    <s v="FEBRERO"/>
    <x v="39"/>
    <s v="MIÉRCOLES"/>
    <n v="254762"/>
    <x v="40"/>
    <n v="224"/>
    <n v="240"/>
    <n v="89.600000000000009"/>
    <x v="3"/>
  </r>
  <r>
    <x v="235"/>
    <s v="FEBRERO"/>
    <x v="39"/>
    <s v="MIÉRCOLES"/>
    <n v="751315"/>
    <x v="24"/>
    <n v="2940"/>
    <n v="420"/>
    <n v="1234.8"/>
    <x v="3"/>
  </r>
  <r>
    <x v="235"/>
    <s v="FEBRERO"/>
    <x v="39"/>
    <s v="MIÉRCOLES"/>
    <n v="251633"/>
    <x v="16"/>
    <n v="900"/>
    <n v="180"/>
    <n v="378"/>
    <x v="3"/>
  </r>
  <r>
    <x v="235"/>
    <s v="FEBRERO"/>
    <x v="39"/>
    <s v="MIÉRCOLES"/>
    <n v="254853"/>
    <x v="2"/>
    <n v="2160"/>
    <n v="198"/>
    <n v="367.20000000000005"/>
    <x v="3"/>
  </r>
  <r>
    <x v="235"/>
    <s v="FEBRERO"/>
    <x v="39"/>
    <s v="MIÉRCOLES"/>
    <n v="256601"/>
    <x v="5"/>
    <n v="324"/>
    <n v="162"/>
    <n v="55.080000000000005"/>
    <x v="3"/>
  </r>
  <r>
    <x v="235"/>
    <s v="FEBRERO"/>
    <x v="39"/>
    <s v="MIÉRCOLES"/>
    <n v="256676"/>
    <x v="17"/>
    <n v="1800"/>
    <n v="120"/>
    <n v="306"/>
    <x v="3"/>
  </r>
  <r>
    <x v="235"/>
    <s v="FEBRERO"/>
    <x v="39"/>
    <s v="MIÉRCOLES"/>
    <n v="256675"/>
    <x v="8"/>
    <n v="2160"/>
    <n v="198"/>
    <n v="367.20000000000005"/>
    <x v="3"/>
  </r>
  <r>
    <x v="235"/>
    <s v="FEBRERO"/>
    <x v="39"/>
    <s v="MIÉRCOLES"/>
    <n v="256652"/>
    <x v="9"/>
    <n v="450"/>
    <n v="90"/>
    <n v="76.5"/>
    <x v="3"/>
  </r>
  <r>
    <x v="235"/>
    <s v="FEBRERO"/>
    <x v="39"/>
    <s v="MIÉRCOLES"/>
    <n v="256677"/>
    <x v="10"/>
    <n v="12000"/>
    <n v="120"/>
    <n v="2040.0000000000002"/>
    <x v="3"/>
  </r>
  <r>
    <x v="235"/>
    <s v="FEBRERO"/>
    <x v="39"/>
    <s v="MIÉRCOLES"/>
    <n v="256680"/>
    <x v="26"/>
    <n v="900"/>
    <n v="90"/>
    <n v="153"/>
    <x v="3"/>
  </r>
  <r>
    <x v="235"/>
    <s v="FEBRERO"/>
    <x v="39"/>
    <s v="MIÉRCOLES"/>
    <n v="256678"/>
    <x v="11"/>
    <n v="3600"/>
    <n v="90"/>
    <n v="612"/>
    <x v="3"/>
  </r>
  <r>
    <x v="235"/>
    <s v="FEBRERO"/>
    <x v="39"/>
    <s v="MIÉRCOLES"/>
    <n v="256720"/>
    <x v="42"/>
    <n v="500"/>
    <n v="420"/>
    <n v="210"/>
    <x v="3"/>
  </r>
  <r>
    <x v="236"/>
    <s v="FEBRERO"/>
    <x v="39"/>
    <s v="JUEVES"/>
    <n v="256383"/>
    <x v="28"/>
    <n v="210"/>
    <n v="30"/>
    <n v="48.300000000000004"/>
    <x v="3"/>
  </r>
  <r>
    <x v="236"/>
    <s v="FEBRERO"/>
    <x v="39"/>
    <s v="JUEVES"/>
    <n v="256381"/>
    <x v="13"/>
    <n v="60"/>
    <n v="30"/>
    <n v="24"/>
    <x v="3"/>
  </r>
  <r>
    <x v="236"/>
    <s v="FEBRERO"/>
    <x v="39"/>
    <s v="JUEVES"/>
    <n v="256379"/>
    <x v="15"/>
    <n v="450"/>
    <n v="50"/>
    <n v="180"/>
    <x v="3"/>
  </r>
  <r>
    <x v="236"/>
    <s v="FEBRERO"/>
    <x v="39"/>
    <s v="JUEVES"/>
    <n v="751315"/>
    <x v="24"/>
    <n v="840"/>
    <n v="420"/>
    <n v="352.8"/>
    <x v="3"/>
  </r>
  <r>
    <x v="236"/>
    <s v="FEBRERO"/>
    <x v="39"/>
    <s v="JUEVES"/>
    <n v="254853"/>
    <x v="2"/>
    <n v="1296"/>
    <n v="198"/>
    <n v="220.32000000000002"/>
    <x v="3"/>
  </r>
  <r>
    <x v="236"/>
    <s v="FEBRERO"/>
    <x v="39"/>
    <s v="JUEVES"/>
    <n v="256488"/>
    <x v="6"/>
    <n v="3600"/>
    <n v="120"/>
    <n v="612"/>
    <x v="3"/>
  </r>
  <r>
    <x v="236"/>
    <s v="FEBRERO"/>
    <x v="39"/>
    <s v="JUEVES"/>
    <n v="256676"/>
    <x v="17"/>
    <n v="2400"/>
    <n v="120"/>
    <n v="408.00000000000006"/>
    <x v="3"/>
  </r>
  <r>
    <x v="236"/>
    <s v="FEBRERO"/>
    <x v="39"/>
    <s v="JUEVES"/>
    <n v="256652"/>
    <x v="9"/>
    <n v="720"/>
    <n v="90"/>
    <n v="122.4"/>
    <x v="3"/>
  </r>
  <r>
    <x v="236"/>
    <s v="FEBRERO"/>
    <x v="39"/>
    <s v="JUEVES"/>
    <n v="256677"/>
    <x v="10"/>
    <n v="12000"/>
    <n v="120"/>
    <n v="2040.0000000000002"/>
    <x v="3"/>
  </r>
  <r>
    <x v="236"/>
    <s v="FEBRERO"/>
    <x v="39"/>
    <s v="JUEVES"/>
    <n v="256768"/>
    <x v="63"/>
    <n v="1925"/>
    <n v="175"/>
    <n v="1694"/>
    <x v="3"/>
  </r>
  <r>
    <x v="236"/>
    <s v="FEBRERO"/>
    <x v="39"/>
    <s v="JUEVES"/>
    <n v="256695"/>
    <x v="25"/>
    <n v="1350"/>
    <n v="225"/>
    <n v="567"/>
    <x v="3"/>
  </r>
  <r>
    <x v="235"/>
    <s v="FEBRERO"/>
    <x v="39"/>
    <s v="MIÉRCOLES"/>
    <n v="251429"/>
    <x v="0"/>
    <n v="1440"/>
    <n v="48"/>
    <n v="576"/>
    <x v="3"/>
  </r>
  <r>
    <x v="235"/>
    <s v="FEBRERO"/>
    <x v="39"/>
    <s v="MIÉRCOLES"/>
    <n v="751315"/>
    <x v="24"/>
    <n v="1260"/>
    <n v="420"/>
    <n v="529.19999999999993"/>
    <x v="3"/>
  </r>
  <r>
    <x v="235"/>
    <s v="FEBRERO"/>
    <x v="39"/>
    <s v="MIÉRCOLES"/>
    <n v="751468"/>
    <x v="32"/>
    <n v="840"/>
    <n v="420"/>
    <n v="352.8"/>
    <x v="3"/>
  </r>
  <r>
    <x v="235"/>
    <s v="FEBRERO"/>
    <x v="39"/>
    <s v="MIÉRCOLES"/>
    <n v="254853"/>
    <x v="2"/>
    <n v="864"/>
    <n v="198"/>
    <n v="146.88000000000002"/>
    <x v="3"/>
  </r>
  <r>
    <x v="235"/>
    <s v="FEBRERO"/>
    <x v="39"/>
    <s v="MIÉRCOLES"/>
    <n v="256488"/>
    <x v="6"/>
    <n v="2400"/>
    <n v="120"/>
    <n v="408.00000000000006"/>
    <x v="3"/>
  </r>
  <r>
    <x v="235"/>
    <s v="FEBRERO"/>
    <x v="39"/>
    <s v="MIÉRCOLES"/>
    <n v="256680"/>
    <x v="26"/>
    <n v="450"/>
    <n v="90"/>
    <n v="76.5"/>
    <x v="3"/>
  </r>
  <r>
    <x v="235"/>
    <s v="FEBRERO"/>
    <x v="39"/>
    <s v="MIÉRCOLES"/>
    <n v="256682"/>
    <x v="20"/>
    <n v="450"/>
    <n v="90"/>
    <n v="76.5"/>
    <x v="3"/>
  </r>
  <r>
    <x v="235"/>
    <s v="FEBRERO"/>
    <x v="39"/>
    <s v="MIÉRCOLES"/>
    <n v="256695"/>
    <x v="25"/>
    <n v="675"/>
    <n v="225"/>
    <n v="283.5"/>
    <x v="3"/>
  </r>
  <r>
    <x v="235"/>
    <s v="FEBRERO"/>
    <x v="39"/>
    <s v="MIÉRCOLES"/>
    <n v="256720"/>
    <x v="42"/>
    <n v="500"/>
    <n v="420"/>
    <n v="210"/>
    <x v="3"/>
  </r>
  <r>
    <x v="235"/>
    <s v="FEBRERO"/>
    <x v="39"/>
    <s v="MIÉRCOLES"/>
    <n v="256721"/>
    <x v="43"/>
    <n v="250"/>
    <n v="420"/>
    <n v="105"/>
    <x v="3"/>
  </r>
  <r>
    <x v="237"/>
    <s v="FEBRERO"/>
    <x v="39"/>
    <s v="VIERNES"/>
    <n v="256381"/>
    <x v="13"/>
    <n v="150"/>
    <n v="30"/>
    <n v="60"/>
    <x v="3"/>
  </r>
  <r>
    <x v="237"/>
    <s v="FEBRERO"/>
    <x v="39"/>
    <s v="VIERNES"/>
    <n v="256380"/>
    <x v="14"/>
    <n v="80"/>
    <n v="40"/>
    <n v="18.400000000000002"/>
    <x v="3"/>
  </r>
  <r>
    <x v="237"/>
    <s v="FEBRERO"/>
    <x v="39"/>
    <s v="VIERNES"/>
    <n v="256379"/>
    <x v="15"/>
    <n v="350"/>
    <n v="50"/>
    <n v="140"/>
    <x v="3"/>
  </r>
  <r>
    <x v="237"/>
    <s v="FEBRERO"/>
    <x v="39"/>
    <s v="VIERNES"/>
    <n v="256616"/>
    <x v="22"/>
    <n v="1386"/>
    <n v="198"/>
    <n v="235.62"/>
    <x v="3"/>
  </r>
  <r>
    <x v="237"/>
    <s v="FEBRERO"/>
    <x v="39"/>
    <s v="VIERNES"/>
    <n v="256617"/>
    <x v="3"/>
    <n v="396"/>
    <n v="198"/>
    <n v="67.320000000000007"/>
    <x v="3"/>
  </r>
  <r>
    <x v="237"/>
    <s v="FEBRERO"/>
    <x v="39"/>
    <s v="VIERNES"/>
    <n v="256674"/>
    <x v="7"/>
    <n v="2376"/>
    <n v="198"/>
    <n v="403.92"/>
    <x v="3"/>
  </r>
  <r>
    <x v="237"/>
    <s v="FEBRERO"/>
    <x v="39"/>
    <s v="VIERNES"/>
    <n v="256675"/>
    <x v="8"/>
    <n v="1944"/>
    <n v="198"/>
    <n v="330.48"/>
    <x v="3"/>
  </r>
  <r>
    <x v="237"/>
    <s v="FEBRERO"/>
    <x v="39"/>
    <s v="VIERNES"/>
    <n v="256652"/>
    <x v="9"/>
    <n v="360"/>
    <n v="90"/>
    <n v="61.2"/>
    <x v="3"/>
  </r>
  <r>
    <x v="237"/>
    <s v="FEBRERO"/>
    <x v="39"/>
    <s v="VIERNES"/>
    <n v="256677"/>
    <x v="10"/>
    <n v="12000"/>
    <n v="120"/>
    <n v="2040.0000000000002"/>
    <x v="3"/>
  </r>
  <r>
    <x v="237"/>
    <s v="FEBRERO"/>
    <x v="39"/>
    <s v="VIERNES"/>
    <n v="256680"/>
    <x v="26"/>
    <n v="450"/>
    <n v="90"/>
    <n v="76.5"/>
    <x v="3"/>
  </r>
  <r>
    <x v="237"/>
    <s v="FEBRERO"/>
    <x v="39"/>
    <s v="VIERNES"/>
    <n v="256678"/>
    <x v="11"/>
    <n v="1800"/>
    <n v="90"/>
    <n v="306"/>
    <x v="3"/>
  </r>
  <r>
    <x v="237"/>
    <s v="FEBRERO"/>
    <x v="39"/>
    <s v="VIERNES"/>
    <n v="256695"/>
    <x v="25"/>
    <n v="2025"/>
    <n v="225"/>
    <n v="850.5"/>
    <x v="3"/>
  </r>
  <r>
    <x v="237"/>
    <s v="FEBRERO"/>
    <x v="39"/>
    <s v="VIERNES"/>
    <n v="256708"/>
    <x v="12"/>
    <n v="225"/>
    <n v="225"/>
    <n v="90"/>
    <x v="3"/>
  </r>
  <r>
    <x v="237"/>
    <s v="FEBRERO"/>
    <x v="39"/>
    <s v="VIERNES"/>
    <n v="256768"/>
    <x v="63"/>
    <n v="1750"/>
    <n v="175"/>
    <n v="1540"/>
    <x v="3"/>
  </r>
  <r>
    <x v="236"/>
    <s v="FEBRERO"/>
    <x v="39"/>
    <s v="JUEVES"/>
    <n v="251633"/>
    <x v="16"/>
    <n v="900"/>
    <n v="180"/>
    <n v="378"/>
    <x v="3"/>
  </r>
  <r>
    <x v="236"/>
    <s v="FEBRERO"/>
    <x v="39"/>
    <s v="JUEVES"/>
    <n v="256617"/>
    <x v="3"/>
    <n v="1386"/>
    <n v="198"/>
    <n v="235.62"/>
    <x v="3"/>
  </r>
  <r>
    <x v="236"/>
    <s v="FEBRERO"/>
    <x v="39"/>
    <s v="JUEVES"/>
    <n v="256666"/>
    <x v="4"/>
    <n v="648"/>
    <n v="162"/>
    <n v="110.16000000000001"/>
    <x v="3"/>
  </r>
  <r>
    <x v="236"/>
    <s v="FEBRERO"/>
    <x v="39"/>
    <s v="JUEVES"/>
    <n v="256601"/>
    <x v="5"/>
    <n v="486"/>
    <n v="162"/>
    <n v="82.62"/>
    <x v="3"/>
  </r>
  <r>
    <x v="236"/>
    <s v="FEBRERO"/>
    <x v="39"/>
    <s v="JUEVES"/>
    <n v="256488"/>
    <x v="6"/>
    <n v="2400"/>
    <n v="120"/>
    <n v="408.00000000000006"/>
    <x v="3"/>
  </r>
  <r>
    <x v="236"/>
    <s v="FEBRERO"/>
    <x v="39"/>
    <s v="JUEVES"/>
    <n v="256674"/>
    <x v="7"/>
    <n v="864"/>
    <n v="198"/>
    <n v="146.88000000000002"/>
    <x v="3"/>
  </r>
  <r>
    <x v="236"/>
    <s v="FEBRERO"/>
    <x v="39"/>
    <s v="JUEVES"/>
    <n v="256652"/>
    <x v="9"/>
    <n v="540"/>
    <n v="90"/>
    <n v="91.800000000000011"/>
    <x v="3"/>
  </r>
  <r>
    <x v="236"/>
    <s v="FEBRERO"/>
    <x v="39"/>
    <s v="JUEVES"/>
    <n v="256674"/>
    <x v="7"/>
    <n v="900"/>
    <n v="198"/>
    <n v="153"/>
    <x v="3"/>
  </r>
  <r>
    <x v="236"/>
    <s v="FEBRERO"/>
    <x v="39"/>
    <s v="JUEVES"/>
    <n v="256695"/>
    <x v="25"/>
    <n v="1575"/>
    <n v="225"/>
    <n v="661.5"/>
    <x v="3"/>
  </r>
  <r>
    <x v="236"/>
    <s v="FEBRERO"/>
    <x v="39"/>
    <s v="JUEVES"/>
    <n v="256708"/>
    <x v="12"/>
    <n v="1350"/>
    <n v="225"/>
    <n v="540"/>
    <x v="3"/>
  </r>
  <r>
    <x v="236"/>
    <s v="FEBRERO"/>
    <x v="39"/>
    <s v="JUEVES"/>
    <n v="256720"/>
    <x v="42"/>
    <n v="500"/>
    <n v="420"/>
    <n v="210"/>
    <x v="3"/>
  </r>
  <r>
    <x v="237"/>
    <s v="FEBRERO"/>
    <x v="39"/>
    <s v="VIERNES"/>
    <n v="251429"/>
    <x v="0"/>
    <n v="960"/>
    <n v="48"/>
    <n v="384"/>
    <x v="3"/>
  </r>
  <r>
    <x v="237"/>
    <s v="FEBRERO"/>
    <x v="39"/>
    <s v="VIERNES"/>
    <n v="251406"/>
    <x v="1"/>
    <n v="3240"/>
    <n v="198"/>
    <n v="550.80000000000007"/>
    <x v="3"/>
  </r>
  <r>
    <x v="237"/>
    <s v="FEBRERO"/>
    <x v="39"/>
    <s v="VIERNES"/>
    <n v="254853"/>
    <x v="2"/>
    <n v="432"/>
    <n v="198"/>
    <n v="73.440000000000012"/>
    <x v="3"/>
  </r>
  <r>
    <x v="237"/>
    <s v="FEBRERO"/>
    <x v="39"/>
    <s v="VIERNES"/>
    <n v="256677"/>
    <x v="10"/>
    <n v="720"/>
    <n v="120"/>
    <n v="122.4"/>
    <x v="3"/>
  </r>
  <r>
    <x v="237"/>
    <s v="FEBRERO"/>
    <x v="39"/>
    <s v="VIERNES"/>
    <n v="256679"/>
    <x v="23"/>
    <n v="2160"/>
    <n v="90"/>
    <n v="367.20000000000005"/>
    <x v="3"/>
  </r>
  <r>
    <x v="238"/>
    <s v="FEBRERO"/>
    <x v="40"/>
    <s v="SÁBADO"/>
    <n v="256381"/>
    <x v="13"/>
    <n v="150"/>
    <n v="30"/>
    <n v="60"/>
    <x v="3"/>
  </r>
  <r>
    <x v="238"/>
    <s v="FEBRERO"/>
    <x v="40"/>
    <s v="SÁBADO"/>
    <n v="256379"/>
    <x v="15"/>
    <n v="200"/>
    <n v="50"/>
    <n v="80"/>
    <x v="3"/>
  </r>
  <r>
    <x v="238"/>
    <s v="FEBRERO"/>
    <x v="40"/>
    <s v="SÁBADO"/>
    <n v="254762"/>
    <x v="40"/>
    <n v="112"/>
    <n v="240"/>
    <n v="44.800000000000004"/>
    <x v="3"/>
  </r>
  <r>
    <x v="238"/>
    <s v="FEBRERO"/>
    <x v="40"/>
    <s v="SÁBADO"/>
    <n v="256685"/>
    <x v="38"/>
    <n v="448"/>
    <n v="112"/>
    <n v="179.20000000000002"/>
    <x v="3"/>
  </r>
  <r>
    <x v="238"/>
    <s v="FEBRERO"/>
    <x v="40"/>
    <s v="SÁBADO"/>
    <n v="751315"/>
    <x v="24"/>
    <n v="2940"/>
    <n v="420"/>
    <n v="1234.8"/>
    <x v="3"/>
  </r>
  <r>
    <x v="238"/>
    <s v="FEBRERO"/>
    <x v="40"/>
    <s v="SÁBADO"/>
    <n v="254853"/>
    <x v="2"/>
    <n v="1728"/>
    <n v="198"/>
    <n v="293.76000000000005"/>
    <x v="3"/>
  </r>
  <r>
    <x v="238"/>
    <s v="FEBRERO"/>
    <x v="40"/>
    <s v="SÁBADO"/>
    <n v="256676"/>
    <x v="17"/>
    <n v="2400"/>
    <n v="120"/>
    <n v="408.00000000000006"/>
    <x v="3"/>
  </r>
  <r>
    <x v="238"/>
    <s v="FEBRERO"/>
    <x v="40"/>
    <s v="SÁBADO"/>
    <n v="256674"/>
    <x v="7"/>
    <n v="1080"/>
    <n v="198"/>
    <n v="183.60000000000002"/>
    <x v="3"/>
  </r>
  <r>
    <x v="238"/>
    <s v="FEBRERO"/>
    <x v="40"/>
    <s v="SÁBADO"/>
    <n v="256652"/>
    <x v="9"/>
    <n v="450"/>
    <n v="90"/>
    <n v="76.5"/>
    <x v="3"/>
  </r>
  <r>
    <x v="238"/>
    <s v="FEBRERO"/>
    <x v="40"/>
    <s v="SÁBADO"/>
    <n v="256677"/>
    <x v="10"/>
    <n v="5040"/>
    <n v="120"/>
    <n v="856.80000000000007"/>
    <x v="3"/>
  </r>
  <r>
    <x v="238"/>
    <s v="FEBRERO"/>
    <x v="40"/>
    <s v="SÁBADO"/>
    <n v="256679"/>
    <x v="23"/>
    <n v="720"/>
    <n v="90"/>
    <n v="122.4"/>
    <x v="3"/>
  </r>
  <r>
    <x v="238"/>
    <s v="FEBRERO"/>
    <x v="40"/>
    <s v="SÁBADO"/>
    <n v="256680"/>
    <x v="26"/>
    <n v="1440"/>
    <n v="90"/>
    <n v="244.8"/>
    <x v="3"/>
  </r>
  <r>
    <x v="238"/>
    <s v="FEBRERO"/>
    <x v="40"/>
    <s v="SÁBADO"/>
    <n v="256682"/>
    <x v="20"/>
    <n v="450"/>
    <n v="90"/>
    <n v="76.5"/>
    <x v="3"/>
  </r>
  <r>
    <x v="238"/>
    <s v="FEBRERO"/>
    <x v="40"/>
    <s v="SÁBADO"/>
    <n v="256695"/>
    <x v="25"/>
    <n v="3600"/>
    <n v="225"/>
    <n v="1512"/>
    <x v="3"/>
  </r>
  <r>
    <x v="238"/>
    <s v="FEBRERO"/>
    <x v="40"/>
    <s v="SÁBADO"/>
    <n v="256709"/>
    <x v="19"/>
    <n v="450"/>
    <n v="225"/>
    <n v="180"/>
    <x v="3"/>
  </r>
  <r>
    <x v="238"/>
    <s v="FEBRERO"/>
    <x v="40"/>
    <s v="SÁBADO"/>
    <n v="256768"/>
    <x v="63"/>
    <n v="1750"/>
    <n v="175"/>
    <n v="1540"/>
    <x v="3"/>
  </r>
  <r>
    <x v="239"/>
    <s v="FEBRERO"/>
    <x v="40"/>
    <s v="DOMINGO"/>
    <n v="256685"/>
    <x v="38"/>
    <n v="448"/>
    <n v="112"/>
    <n v="179.20000000000002"/>
    <x v="3"/>
  </r>
  <r>
    <x v="239"/>
    <s v="FEBRERO"/>
    <x v="40"/>
    <s v="DOMINGO"/>
    <n v="256601"/>
    <x v="5"/>
    <n v="648"/>
    <n v="162"/>
    <n v="110.16000000000001"/>
    <x v="3"/>
  </r>
  <r>
    <x v="239"/>
    <s v="FEBRERO"/>
    <x v="40"/>
    <s v="DOMINGO"/>
    <n v="256488"/>
    <x v="6"/>
    <n v="2400"/>
    <n v="120"/>
    <n v="408.00000000000006"/>
    <x v="3"/>
  </r>
  <r>
    <x v="239"/>
    <s v="FEBRERO"/>
    <x v="40"/>
    <s v="DOMINGO"/>
    <n v="256652"/>
    <x v="9"/>
    <n v="180"/>
    <n v="90"/>
    <n v="30.6"/>
    <x v="3"/>
  </r>
  <r>
    <x v="239"/>
    <s v="FEBRERO"/>
    <x v="40"/>
    <s v="DOMINGO"/>
    <n v="256680"/>
    <x v="26"/>
    <n v="720"/>
    <n v="90"/>
    <n v="122.4"/>
    <x v="3"/>
  </r>
  <r>
    <x v="239"/>
    <s v="FEBRERO"/>
    <x v="40"/>
    <s v="DOMINGO"/>
    <n v="256679"/>
    <x v="23"/>
    <n v="1890"/>
    <n v="90"/>
    <n v="321.3"/>
    <x v="3"/>
  </r>
  <r>
    <x v="239"/>
    <s v="FEBRERO"/>
    <x v="40"/>
    <s v="DOMINGO"/>
    <n v="256682"/>
    <x v="20"/>
    <n v="180"/>
    <n v="90"/>
    <n v="30.6"/>
    <x v="3"/>
  </r>
  <r>
    <x v="239"/>
    <s v="FEBRERO"/>
    <x v="40"/>
    <s v="DOMINGO"/>
    <n v="256709"/>
    <x v="19"/>
    <n v="450"/>
    <n v="225"/>
    <n v="180"/>
    <x v="3"/>
  </r>
  <r>
    <x v="239"/>
    <s v="FEBRERO"/>
    <x v="40"/>
    <s v="DOMINGO"/>
    <n v="256720"/>
    <x v="42"/>
    <n v="500"/>
    <n v="420"/>
    <n v="210"/>
    <x v="3"/>
  </r>
  <r>
    <x v="239"/>
    <s v="FEBRERO"/>
    <x v="40"/>
    <s v="DOMINGO"/>
    <n v="256721"/>
    <x v="43"/>
    <n v="1000"/>
    <n v="420"/>
    <n v="420"/>
    <x v="3"/>
  </r>
  <r>
    <x v="240"/>
    <s v="FEBRERO"/>
    <x v="40"/>
    <s v="LUNES"/>
    <n v="256383"/>
    <x v="28"/>
    <n v="210"/>
    <n v="30"/>
    <n v="48.300000000000004"/>
    <x v="3"/>
  </r>
  <r>
    <x v="240"/>
    <s v="FEBRERO"/>
    <x v="40"/>
    <s v="LUNES"/>
    <n v="256381"/>
    <x v="13"/>
    <n v="210"/>
    <n v="30"/>
    <n v="84"/>
    <x v="3"/>
  </r>
  <r>
    <x v="240"/>
    <s v="FEBRERO"/>
    <x v="40"/>
    <s v="LUNES"/>
    <n v="254762"/>
    <x v="40"/>
    <n v="224"/>
    <n v="240"/>
    <n v="89.600000000000009"/>
    <x v="3"/>
  </r>
  <r>
    <x v="240"/>
    <s v="FEBRERO"/>
    <x v="40"/>
    <s v="LUNES"/>
    <n v="256685"/>
    <x v="38"/>
    <n v="112"/>
    <n v="112"/>
    <n v="44.800000000000004"/>
    <x v="3"/>
  </r>
  <r>
    <x v="240"/>
    <s v="FEBRERO"/>
    <x v="40"/>
    <s v="LUNES"/>
    <n v="251633"/>
    <x v="16"/>
    <n v="900"/>
    <n v="180"/>
    <n v="378"/>
    <x v="3"/>
  </r>
  <r>
    <x v="240"/>
    <s v="FEBRERO"/>
    <x v="40"/>
    <s v="LUNES"/>
    <n v="251406"/>
    <x v="1"/>
    <n v="2160"/>
    <n v="198"/>
    <n v="367.20000000000005"/>
    <x v="3"/>
  </r>
  <r>
    <x v="240"/>
    <s v="FEBRERO"/>
    <x v="40"/>
    <s v="LUNES"/>
    <n v="256666"/>
    <x v="4"/>
    <n v="1296"/>
    <n v="162"/>
    <n v="220.32000000000002"/>
    <x v="3"/>
  </r>
  <r>
    <x v="240"/>
    <s v="FEBRERO"/>
    <x v="40"/>
    <s v="LUNES"/>
    <n v="256488"/>
    <x v="6"/>
    <n v="1200"/>
    <n v="120"/>
    <n v="204.00000000000003"/>
    <x v="3"/>
  </r>
  <r>
    <x v="240"/>
    <s v="FEBRERO"/>
    <x v="40"/>
    <s v="LUNES"/>
    <n v="256676"/>
    <x v="17"/>
    <n v="1800"/>
    <n v="120"/>
    <n v="306"/>
    <x v="3"/>
  </r>
  <r>
    <x v="240"/>
    <s v="FEBRERO"/>
    <x v="40"/>
    <s v="LUNES"/>
    <n v="256674"/>
    <x v="7"/>
    <n v="2160"/>
    <n v="198"/>
    <n v="367.20000000000005"/>
    <x v="3"/>
  </r>
  <r>
    <x v="240"/>
    <s v="FEBRERO"/>
    <x v="40"/>
    <s v="LUNES"/>
    <n v="256675"/>
    <x v="8"/>
    <n v="2160"/>
    <n v="198"/>
    <n v="367.20000000000005"/>
    <x v="3"/>
  </r>
  <r>
    <x v="240"/>
    <s v="FEBRERO"/>
    <x v="40"/>
    <s v="LUNES"/>
    <n v="256652"/>
    <x v="9"/>
    <n v="540"/>
    <n v="90"/>
    <n v="91.800000000000011"/>
    <x v="3"/>
  </r>
  <r>
    <x v="240"/>
    <s v="FEBRERO"/>
    <x v="40"/>
    <s v="LUNES"/>
    <n v="256677"/>
    <x v="10"/>
    <n v="12000"/>
    <n v="120"/>
    <n v="2040.0000000000002"/>
    <x v="3"/>
  </r>
  <r>
    <x v="240"/>
    <s v="FEBRERO"/>
    <x v="40"/>
    <s v="LUNES"/>
    <n v="256678"/>
    <x v="11"/>
    <n v="1440"/>
    <n v="90"/>
    <n v="244.8"/>
    <x v="3"/>
  </r>
  <r>
    <x v="240"/>
    <s v="FEBRERO"/>
    <x v="40"/>
    <s v="LUNES"/>
    <n v="256768"/>
    <x v="63"/>
    <n v="1750"/>
    <n v="175"/>
    <n v="1540"/>
    <x v="3"/>
  </r>
  <r>
    <x v="241"/>
    <s v="MARZO"/>
    <x v="40"/>
    <s v="MARTES"/>
    <n v="254853"/>
    <x v="2"/>
    <n v="2160"/>
    <n v="198"/>
    <n v="367.20000000000005"/>
    <x v="3"/>
  </r>
  <r>
    <x v="241"/>
    <s v="MARZO"/>
    <x v="40"/>
    <s v="MARTES"/>
    <n v="256548"/>
    <x v="34"/>
    <n v="432"/>
    <n v="198"/>
    <n v="73.440000000000012"/>
    <x v="3"/>
  </r>
  <r>
    <x v="241"/>
    <s v="MARZO"/>
    <x v="40"/>
    <s v="MARTES"/>
    <n v="256549"/>
    <x v="29"/>
    <n v="432"/>
    <n v="198"/>
    <n v="73.440000000000012"/>
    <x v="3"/>
  </r>
  <r>
    <x v="241"/>
    <s v="MARZO"/>
    <x v="40"/>
    <s v="MARTES"/>
    <n v="254762"/>
    <x v="40"/>
    <n v="224"/>
    <n v="240"/>
    <n v="89.600000000000009"/>
    <x v="3"/>
  </r>
  <r>
    <x v="241"/>
    <s v="MARZO"/>
    <x v="40"/>
    <s v="MARTES"/>
    <n v="256685"/>
    <x v="38"/>
    <n v="448"/>
    <n v="112"/>
    <n v="179.20000000000002"/>
    <x v="3"/>
  </r>
  <r>
    <x v="241"/>
    <s v="MARZO"/>
    <x v="40"/>
    <s v="MARTES"/>
    <n v="251633"/>
    <x v="16"/>
    <n v="540"/>
    <n v="180"/>
    <n v="226.79999999999998"/>
    <x v="3"/>
  </r>
  <r>
    <x v="241"/>
    <s v="MARZO"/>
    <x v="40"/>
    <s v="MARTES"/>
    <n v="251406"/>
    <x v="1"/>
    <n v="2160"/>
    <n v="198"/>
    <n v="367.20000000000005"/>
    <x v="3"/>
  </r>
  <r>
    <x v="241"/>
    <s v="MARZO"/>
    <x v="40"/>
    <s v="MARTES"/>
    <n v="256616"/>
    <x v="22"/>
    <n v="792"/>
    <n v="198"/>
    <n v="134.64000000000001"/>
    <x v="3"/>
  </r>
  <r>
    <x v="241"/>
    <s v="MARZO"/>
    <x v="40"/>
    <s v="MARTES"/>
    <n v="256617"/>
    <x v="3"/>
    <n v="990"/>
    <n v="198"/>
    <n v="168.3"/>
    <x v="3"/>
  </r>
  <r>
    <x v="241"/>
    <s v="MARZO"/>
    <x v="40"/>
    <s v="MARTES"/>
    <n v="256666"/>
    <x v="4"/>
    <n v="324"/>
    <n v="162"/>
    <n v="55.080000000000005"/>
    <x v="3"/>
  </r>
  <r>
    <x v="241"/>
    <s v="MARZO"/>
    <x v="40"/>
    <s v="MARTES"/>
    <n v="256676"/>
    <x v="17"/>
    <n v="1440"/>
    <n v="120"/>
    <n v="244.8"/>
    <x v="3"/>
  </r>
  <r>
    <x v="241"/>
    <s v="MARZO"/>
    <x v="40"/>
    <s v="MARTES"/>
    <n v="256674"/>
    <x v="7"/>
    <n v="1080"/>
    <n v="198"/>
    <n v="183.60000000000002"/>
    <x v="3"/>
  </r>
  <r>
    <x v="241"/>
    <s v="MARZO"/>
    <x v="40"/>
    <s v="MARTES"/>
    <n v="256675"/>
    <x v="8"/>
    <n v="864"/>
    <n v="198"/>
    <n v="146.88000000000002"/>
    <x v="3"/>
  </r>
  <r>
    <x v="241"/>
    <s v="MARZO"/>
    <x v="40"/>
    <s v="MARTES"/>
    <n v="256721"/>
    <x v="43"/>
    <n v="250"/>
    <n v="420"/>
    <n v="105"/>
    <x v="3"/>
  </r>
  <r>
    <x v="241"/>
    <s v="MARZO"/>
    <x v="40"/>
    <s v="MARTES"/>
    <n v="256368"/>
    <x v="52"/>
    <n v="1000"/>
    <n v="250"/>
    <n v="420"/>
    <x v="3"/>
  </r>
  <r>
    <x v="241"/>
    <s v="MARZO"/>
    <x v="40"/>
    <s v="MARTES"/>
    <n v="256767"/>
    <x v="61"/>
    <n v="125"/>
    <n v="125"/>
    <n v="88.75"/>
    <x v="3"/>
  </r>
  <r>
    <x v="241"/>
    <s v="MARZO"/>
    <x v="40"/>
    <s v="MARTES"/>
    <n v="256666"/>
    <x v="4"/>
    <n v="324"/>
    <n v="162"/>
    <n v="55.080000000000005"/>
    <x v="3"/>
  </r>
  <r>
    <x v="241"/>
    <s v="MARZO"/>
    <x v="40"/>
    <s v="MARTES"/>
    <n v="256675"/>
    <x v="8"/>
    <n v="1296"/>
    <n v="198"/>
    <n v="220.32000000000002"/>
    <x v="3"/>
  </r>
  <r>
    <x v="241"/>
    <s v="MARZO"/>
    <x v="40"/>
    <s v="MARTES"/>
    <n v="256652"/>
    <x v="9"/>
    <n v="450"/>
    <n v="90"/>
    <n v="76.5"/>
    <x v="3"/>
  </r>
  <r>
    <x v="241"/>
    <s v="MARZO"/>
    <x v="40"/>
    <s v="MARTES"/>
    <n v="256677"/>
    <x v="10"/>
    <n v="3840"/>
    <n v="120"/>
    <n v="652.80000000000007"/>
    <x v="3"/>
  </r>
  <r>
    <x v="241"/>
    <s v="MARZO"/>
    <x v="40"/>
    <s v="MARTES"/>
    <n v="256680"/>
    <x v="26"/>
    <n v="720"/>
    <n v="90"/>
    <n v="122.4"/>
    <x v="3"/>
  </r>
  <r>
    <x v="241"/>
    <s v="MARZO"/>
    <x v="40"/>
    <s v="MARTES"/>
    <n v="256678"/>
    <x v="11"/>
    <n v="2880"/>
    <n v="90"/>
    <n v="489.6"/>
    <x v="3"/>
  </r>
  <r>
    <x v="241"/>
    <s v="MARZO"/>
    <x v="40"/>
    <s v="MARTES"/>
    <n v="256682"/>
    <x v="20"/>
    <n v="450"/>
    <n v="90"/>
    <n v="76.5"/>
    <x v="3"/>
  </r>
  <r>
    <x v="241"/>
    <s v="MARZO"/>
    <x v="40"/>
    <s v="MARTES"/>
    <n v="256753"/>
    <x v="48"/>
    <n v="360"/>
    <n v="30"/>
    <n v="75.599999999999994"/>
    <x v="3"/>
  </r>
  <r>
    <x v="241"/>
    <s v="MARZO"/>
    <x v="40"/>
    <s v="MARTES"/>
    <n v="256767"/>
    <x v="61"/>
    <n v="625"/>
    <n v="125"/>
    <n v="443.75"/>
    <x v="3"/>
  </r>
  <r>
    <x v="241"/>
    <s v="MARZO"/>
    <x v="40"/>
    <s v="MARTES"/>
    <n v="256383"/>
    <x v="28"/>
    <n v="150"/>
    <n v="30"/>
    <n v="34.5"/>
    <x v="3"/>
  </r>
  <r>
    <x v="241"/>
    <s v="MARZO"/>
    <x v="40"/>
    <s v="MARTES"/>
    <n v="256488"/>
    <x v="6"/>
    <n v="4800"/>
    <n v="120"/>
    <n v="816.00000000000011"/>
    <x v="3"/>
  </r>
  <r>
    <x v="241"/>
    <s v="MARZO"/>
    <x v="40"/>
    <s v="MARTES"/>
    <n v="256676"/>
    <x v="17"/>
    <n v="960"/>
    <n v="120"/>
    <n v="163.20000000000002"/>
    <x v="3"/>
  </r>
  <r>
    <x v="241"/>
    <s v="MARZO"/>
    <x v="40"/>
    <s v="MARTES"/>
    <n v="256652"/>
    <x v="9"/>
    <n v="450"/>
    <n v="90"/>
    <n v="76.5"/>
    <x v="3"/>
  </r>
  <r>
    <x v="241"/>
    <s v="MARZO"/>
    <x v="40"/>
    <s v="MARTES"/>
    <n v="256677"/>
    <x v="10"/>
    <n v="3360"/>
    <n v="120"/>
    <n v="571.20000000000005"/>
    <x v="3"/>
  </r>
  <r>
    <x v="241"/>
    <s v="MARZO"/>
    <x v="40"/>
    <s v="MARTES"/>
    <n v="256753"/>
    <x v="48"/>
    <n v="120"/>
    <n v="30"/>
    <n v="25.2"/>
    <x v="3"/>
  </r>
  <r>
    <x v="241"/>
    <s v="MARZO"/>
    <x v="40"/>
    <s v="MARTES"/>
    <n v="256767"/>
    <x v="61"/>
    <n v="500"/>
    <n v="125"/>
    <n v="355"/>
    <x v="3"/>
  </r>
  <r>
    <x v="241"/>
    <s v="MARZO"/>
    <x v="40"/>
    <s v="MARTES"/>
    <n v="256767"/>
    <x v="61"/>
    <n v="250"/>
    <n v="125"/>
    <n v="177.5"/>
    <x v="3"/>
  </r>
  <r>
    <x v="241"/>
    <s v="MARZO"/>
    <x v="40"/>
    <s v="MARTES"/>
    <n v="256737"/>
    <x v="44"/>
    <n v="1750"/>
    <n v="420"/>
    <n v="735"/>
    <x v="3"/>
  </r>
  <r>
    <x v="241"/>
    <s v="MARZO"/>
    <x v="40"/>
    <s v="MARTES"/>
    <n v="251406"/>
    <x v="1"/>
    <n v="2808"/>
    <n v="198"/>
    <n v="477.36"/>
    <x v="3"/>
  </r>
  <r>
    <x v="241"/>
    <s v="MARZO"/>
    <x v="40"/>
    <s v="MARTES"/>
    <n v="256678"/>
    <x v="11"/>
    <n v="720"/>
    <n v="90"/>
    <n v="122.4"/>
    <x v="3"/>
  </r>
  <r>
    <x v="241"/>
    <s v="MARZO"/>
    <x v="40"/>
    <s v="MARTES"/>
    <n v="256617"/>
    <x v="3"/>
    <n v="396"/>
    <n v="198"/>
    <n v="67.320000000000007"/>
    <x v="3"/>
  </r>
  <r>
    <x v="241"/>
    <s v="MARZO"/>
    <x v="40"/>
    <s v="MARTES"/>
    <n v="256682"/>
    <x v="20"/>
    <n v="450"/>
    <n v="90"/>
    <n v="76.5"/>
    <x v="3"/>
  </r>
  <r>
    <x v="241"/>
    <s v="MARZO"/>
    <x v="40"/>
    <s v="MARTES"/>
    <n v="254853"/>
    <x v="2"/>
    <n v="1512"/>
    <n v="198"/>
    <n v="257.04000000000002"/>
    <x v="3"/>
  </r>
  <r>
    <x v="241"/>
    <s v="MARZO"/>
    <x v="40"/>
    <s v="MARTES"/>
    <n v="256652"/>
    <x v="9"/>
    <n v="180"/>
    <n v="90"/>
    <n v="30.6"/>
    <x v="3"/>
  </r>
  <r>
    <x v="241"/>
    <s v="MARZO"/>
    <x v="40"/>
    <s v="MARTES"/>
    <n v="256679"/>
    <x v="23"/>
    <n v="180"/>
    <n v="90"/>
    <n v="30.6"/>
    <x v="3"/>
  </r>
  <r>
    <x v="242"/>
    <s v="MARZO"/>
    <x v="40"/>
    <s v="MIÉRCOLES"/>
    <n v="251429"/>
    <x v="0"/>
    <n v="1392"/>
    <n v="48"/>
    <n v="556.80000000000007"/>
    <x v="3"/>
  </r>
  <r>
    <x v="242"/>
    <s v="MARZO"/>
    <x v="40"/>
    <s v="MIÉRCOLES"/>
    <n v="251406"/>
    <x v="1"/>
    <n v="432"/>
    <n v="198"/>
    <n v="73.440000000000012"/>
    <x v="3"/>
  </r>
  <r>
    <x v="242"/>
    <s v="MARZO"/>
    <x v="40"/>
    <s v="MIÉRCOLES"/>
    <n v="256617"/>
    <x v="3"/>
    <n v="396"/>
    <n v="198"/>
    <n v="67.320000000000007"/>
    <x v="3"/>
  </r>
  <r>
    <x v="242"/>
    <s v="MARZO"/>
    <x v="40"/>
    <s v="MIÉRCOLES"/>
    <n v="256601"/>
    <x v="5"/>
    <n v="810"/>
    <n v="162"/>
    <n v="137.70000000000002"/>
    <x v="3"/>
  </r>
  <r>
    <x v="242"/>
    <s v="MARZO"/>
    <x v="40"/>
    <s v="MIÉRCOLES"/>
    <n v="256674"/>
    <x v="7"/>
    <n v="1080"/>
    <n v="198"/>
    <n v="183.60000000000002"/>
    <x v="3"/>
  </r>
  <r>
    <x v="242"/>
    <s v="MARZO"/>
    <x v="40"/>
    <s v="MIÉRCOLES"/>
    <n v="256677"/>
    <x v="10"/>
    <n v="5280"/>
    <n v="120"/>
    <n v="897.6"/>
    <x v="3"/>
  </r>
  <r>
    <x v="242"/>
    <s v="MARZO"/>
    <x v="40"/>
    <s v="MIÉRCOLES"/>
    <n v="256679"/>
    <x v="23"/>
    <n v="270"/>
    <n v="90"/>
    <n v="45.900000000000006"/>
    <x v="3"/>
  </r>
  <r>
    <x v="242"/>
    <s v="MARZO"/>
    <x v="40"/>
    <s v="MIÉRCOLES"/>
    <n v="256678"/>
    <x v="11"/>
    <n v="720"/>
    <n v="90"/>
    <n v="122.4"/>
    <x v="3"/>
  </r>
  <r>
    <x v="242"/>
    <s v="MARZO"/>
    <x v="40"/>
    <s v="MIÉRCOLES"/>
    <n v="256695"/>
    <x v="25"/>
    <n v="900"/>
    <n v="225"/>
    <n v="378"/>
    <x v="3"/>
  </r>
  <r>
    <x v="242"/>
    <s v="MARZO"/>
    <x v="40"/>
    <s v="MIÉRCOLES"/>
    <n v="256720"/>
    <x v="42"/>
    <n v="250"/>
    <n v="420"/>
    <n v="105"/>
    <x v="3"/>
  </r>
  <r>
    <x v="242"/>
    <s v="MARZO"/>
    <x v="40"/>
    <s v="MIÉRCOLES"/>
    <n v="256721"/>
    <x v="43"/>
    <n v="1000"/>
    <n v="420"/>
    <n v="420"/>
    <x v="3"/>
  </r>
  <r>
    <x v="242"/>
    <s v="MARZO"/>
    <x v="40"/>
    <s v="MIÉRCOLES"/>
    <n v="256737"/>
    <x v="44"/>
    <n v="125"/>
    <n v="420"/>
    <n v="52.5"/>
    <x v="3"/>
  </r>
  <r>
    <x v="242"/>
    <s v="MARZO"/>
    <x v="40"/>
    <s v="MIÉRCOLES"/>
    <n v="256383"/>
    <x v="28"/>
    <n v="150"/>
    <n v="30"/>
    <n v="34.5"/>
    <x v="3"/>
  </r>
  <r>
    <x v="242"/>
    <s v="MARZO"/>
    <x v="40"/>
    <s v="MIÉRCOLES"/>
    <n v="256382"/>
    <x v="33"/>
    <n v="200"/>
    <n v="40"/>
    <n v="46"/>
    <x v="3"/>
  </r>
  <r>
    <x v="242"/>
    <s v="MARZO"/>
    <x v="40"/>
    <s v="MIÉRCOLES"/>
    <n v="256380"/>
    <x v="14"/>
    <n v="80"/>
    <n v="40"/>
    <n v="18.400000000000002"/>
    <x v="3"/>
  </r>
  <r>
    <x v="242"/>
    <s v="MARZO"/>
    <x v="40"/>
    <s v="MIÉRCOLES"/>
    <n v="256379"/>
    <x v="15"/>
    <n v="500"/>
    <n v="50"/>
    <n v="200"/>
    <x v="3"/>
  </r>
  <r>
    <x v="242"/>
    <s v="MARZO"/>
    <x v="40"/>
    <s v="MIÉRCOLES"/>
    <n v="251429"/>
    <x v="0"/>
    <n v="528"/>
    <n v="48"/>
    <n v="211.20000000000002"/>
    <x v="3"/>
  </r>
  <r>
    <x v="242"/>
    <s v="MARZO"/>
    <x v="40"/>
    <s v="MIÉRCOLES"/>
    <n v="256677"/>
    <x v="10"/>
    <n v="6720"/>
    <n v="120"/>
    <n v="1142.4000000000001"/>
    <x v="3"/>
  </r>
  <r>
    <x v="242"/>
    <s v="MARZO"/>
    <x v="40"/>
    <s v="MIÉRCOLES"/>
    <n v="256767"/>
    <x v="61"/>
    <n v="2625"/>
    <n v="125"/>
    <n v="1863.75"/>
    <x v="3"/>
  </r>
  <r>
    <x v="243"/>
    <s v="MARZO"/>
    <x v="40"/>
    <s v="JUEVES"/>
    <n v="751315"/>
    <x v="24"/>
    <n v="840"/>
    <n v="420"/>
    <n v="352.8"/>
    <x v="3"/>
  </r>
  <r>
    <x v="243"/>
    <s v="MARZO"/>
    <x v="40"/>
    <s v="JUEVES"/>
    <n v="256652"/>
    <x v="9"/>
    <n v="180"/>
    <n v="90"/>
    <n v="30.6"/>
    <x v="3"/>
  </r>
  <r>
    <x v="243"/>
    <s v="MARZO"/>
    <x v="40"/>
    <s v="JUEVES"/>
    <n v="256677"/>
    <x v="10"/>
    <n v="8880"/>
    <n v="120"/>
    <n v="1509.6000000000001"/>
    <x v="3"/>
  </r>
  <r>
    <x v="243"/>
    <s v="MARZO"/>
    <x v="40"/>
    <s v="JUEVES"/>
    <n v="256678"/>
    <x v="11"/>
    <n v="1440"/>
    <n v="90"/>
    <n v="244.8"/>
    <x v="3"/>
  </r>
  <r>
    <x v="242"/>
    <s v="MARZO"/>
    <x v="40"/>
    <s v="MIÉRCOLES"/>
    <n v="256721"/>
    <x v="43"/>
    <n v="500"/>
    <n v="420"/>
    <n v="210"/>
    <x v="3"/>
  </r>
  <r>
    <x v="242"/>
    <s v="MARZO"/>
    <x v="40"/>
    <s v="MIÉRCOLES"/>
    <n v="256708"/>
    <x v="12"/>
    <n v="225"/>
    <n v="225"/>
    <n v="90"/>
    <x v="3"/>
  </r>
  <r>
    <x v="242"/>
    <s v="MARZO"/>
    <x v="40"/>
    <s v="MIÉRCOLES"/>
    <n v="256709"/>
    <x v="19"/>
    <n v="225"/>
    <n v="225"/>
    <n v="90"/>
    <x v="3"/>
  </r>
  <r>
    <x v="242"/>
    <s v="MARZO"/>
    <x v="40"/>
    <s v="MIÉRCOLES"/>
    <n v="751315"/>
    <x v="24"/>
    <n v="1680"/>
    <n v="420"/>
    <n v="705.6"/>
    <x v="3"/>
  </r>
  <r>
    <x v="242"/>
    <s v="MARZO"/>
    <x v="40"/>
    <s v="MIÉRCOLES"/>
    <n v="256674"/>
    <x v="7"/>
    <n v="1080"/>
    <n v="198"/>
    <n v="183.60000000000002"/>
    <x v="3"/>
  </r>
  <r>
    <x v="242"/>
    <s v="MARZO"/>
    <x v="40"/>
    <s v="MIÉRCOLES"/>
    <n v="256676"/>
    <x v="17"/>
    <n v="2400"/>
    <n v="120"/>
    <n v="408.00000000000006"/>
    <x v="3"/>
  </r>
  <r>
    <x v="242"/>
    <s v="MARZO"/>
    <x v="40"/>
    <s v="MIÉRCOLES"/>
    <n v="256488"/>
    <x v="6"/>
    <n v="2400"/>
    <n v="120"/>
    <n v="408.00000000000006"/>
    <x v="3"/>
  </r>
  <r>
    <x v="242"/>
    <s v="MARZO"/>
    <x v="40"/>
    <s v="MIÉRCOLES"/>
    <n v="251406"/>
    <x v="1"/>
    <n v="1080"/>
    <n v="198"/>
    <n v="183.60000000000002"/>
    <x v="3"/>
  </r>
  <r>
    <x v="242"/>
    <s v="MARZO"/>
    <x v="40"/>
    <s v="MIÉRCOLES"/>
    <n v="256675"/>
    <x v="8"/>
    <n v="864"/>
    <n v="198"/>
    <n v="146.88000000000002"/>
    <x v="3"/>
  </r>
  <r>
    <x v="242"/>
    <s v="MARZO"/>
    <x v="40"/>
    <s v="MIÉRCOLES"/>
    <n v="254853"/>
    <x v="2"/>
    <n v="1080"/>
    <n v="198"/>
    <n v="183.60000000000002"/>
    <x v="3"/>
  </r>
  <r>
    <x v="242"/>
    <s v="MARZO"/>
    <x v="40"/>
    <s v="MIÉRCOLES"/>
    <n v="256677"/>
    <x v="10"/>
    <n v="240"/>
    <n v="120"/>
    <n v="40.800000000000004"/>
    <x v="3"/>
  </r>
  <r>
    <x v="243"/>
    <s v="MARZO"/>
    <x v="40"/>
    <s v="JUEVES"/>
    <n v="256381"/>
    <x v="13"/>
    <n v="120"/>
    <n v="30"/>
    <n v="48"/>
    <x v="3"/>
  </r>
  <r>
    <x v="243"/>
    <s v="MARZO"/>
    <x v="40"/>
    <s v="JUEVES"/>
    <n v="256379"/>
    <x v="15"/>
    <n v="200"/>
    <n v="50"/>
    <n v="80"/>
    <x v="3"/>
  </r>
  <r>
    <x v="243"/>
    <s v="MARZO"/>
    <x v="40"/>
    <s v="JUEVES"/>
    <n v="256685"/>
    <x v="38"/>
    <n v="560"/>
    <n v="112"/>
    <n v="224"/>
    <x v="3"/>
  </r>
  <r>
    <x v="243"/>
    <s v="MARZO"/>
    <x v="40"/>
    <s v="JUEVES"/>
    <n v="751315"/>
    <x v="24"/>
    <n v="1680"/>
    <n v="420"/>
    <n v="705.6"/>
    <x v="3"/>
  </r>
  <r>
    <x v="243"/>
    <s v="MARZO"/>
    <x v="40"/>
    <s v="JUEVES"/>
    <n v="256488"/>
    <x v="6"/>
    <n v="2640"/>
    <n v="120"/>
    <n v="448.8"/>
    <x v="3"/>
  </r>
  <r>
    <x v="243"/>
    <s v="MARZO"/>
    <x v="40"/>
    <s v="JUEVES"/>
    <n v="256677"/>
    <x v="10"/>
    <n v="2880"/>
    <n v="120"/>
    <n v="489.6"/>
    <x v="3"/>
  </r>
  <r>
    <x v="243"/>
    <s v="MARZO"/>
    <x v="40"/>
    <s v="JUEVES"/>
    <n v="256680"/>
    <x v="26"/>
    <n v="1440"/>
    <n v="90"/>
    <n v="244.8"/>
    <x v="3"/>
  </r>
  <r>
    <x v="243"/>
    <s v="MARZO"/>
    <x v="40"/>
    <s v="JUEVES"/>
    <n v="256679"/>
    <x v="23"/>
    <n v="2880"/>
    <n v="90"/>
    <n v="489.6"/>
    <x v="3"/>
  </r>
  <r>
    <x v="243"/>
    <s v="MARZO"/>
    <x v="40"/>
    <s v="JUEVES"/>
    <n v="256678"/>
    <x v="11"/>
    <n v="720"/>
    <n v="90"/>
    <n v="122.4"/>
    <x v="3"/>
  </r>
  <r>
    <x v="243"/>
    <s v="MARZO"/>
    <x v="40"/>
    <s v="JUEVES"/>
    <n v="256695"/>
    <x v="25"/>
    <n v="1350"/>
    <n v="225"/>
    <n v="567"/>
    <x v="3"/>
  </r>
  <r>
    <x v="244"/>
    <s v="MARZO"/>
    <x v="40"/>
    <s v="VIERNES"/>
    <n v="751315"/>
    <x v="24"/>
    <n v="4200"/>
    <n v="420"/>
    <n v="1764"/>
    <x v="3"/>
  </r>
  <r>
    <x v="244"/>
    <s v="MARZO"/>
    <x v="40"/>
    <s v="VIERNES"/>
    <n v="251406"/>
    <x v="1"/>
    <n v="4320"/>
    <n v="198"/>
    <n v="734.40000000000009"/>
    <x v="3"/>
  </r>
  <r>
    <x v="244"/>
    <s v="MARZO"/>
    <x v="40"/>
    <s v="VIERNES"/>
    <n v="256675"/>
    <x v="8"/>
    <n v="1080"/>
    <n v="198"/>
    <n v="183.60000000000002"/>
    <x v="3"/>
  </r>
  <r>
    <x v="244"/>
    <s v="MARZO"/>
    <x v="40"/>
    <s v="VIERNES"/>
    <n v="256652"/>
    <x v="9"/>
    <n v="450"/>
    <n v="90"/>
    <n v="76.5"/>
    <x v="3"/>
  </r>
  <r>
    <x v="244"/>
    <s v="MARZO"/>
    <x v="40"/>
    <s v="VIERNES"/>
    <n v="256677"/>
    <x v="10"/>
    <n v="3840"/>
    <n v="120"/>
    <n v="652.80000000000007"/>
    <x v="3"/>
  </r>
  <r>
    <x v="244"/>
    <s v="MARZO"/>
    <x v="40"/>
    <s v="VIERNES"/>
    <n v="256680"/>
    <x v="26"/>
    <n v="450"/>
    <n v="90"/>
    <n v="76.5"/>
    <x v="3"/>
  </r>
  <r>
    <x v="244"/>
    <s v="MARZO"/>
    <x v="40"/>
    <s v="VIERNES"/>
    <n v="256679"/>
    <x v="23"/>
    <n v="720"/>
    <n v="90"/>
    <n v="122.4"/>
    <x v="3"/>
  </r>
  <r>
    <x v="244"/>
    <s v="MARZO"/>
    <x v="40"/>
    <s v="VIERNES"/>
    <n v="256678"/>
    <x v="11"/>
    <n v="3600"/>
    <n v="90"/>
    <n v="612"/>
    <x v="3"/>
  </r>
  <r>
    <x v="244"/>
    <s v="MARZO"/>
    <x v="40"/>
    <s v="VIERNES"/>
    <n v="256720"/>
    <x v="42"/>
    <n v="750"/>
    <n v="420"/>
    <n v="315"/>
    <x v="3"/>
  </r>
  <r>
    <x v="243"/>
    <s v="MARZO"/>
    <x v="40"/>
    <s v="JUEVES"/>
    <n v="256616"/>
    <x v="22"/>
    <n v="990"/>
    <n v="198"/>
    <n v="168.3"/>
    <x v="3"/>
  </r>
  <r>
    <x v="243"/>
    <s v="MARZO"/>
    <x v="40"/>
    <s v="JUEVES"/>
    <n v="256617"/>
    <x v="3"/>
    <n v="990"/>
    <n v="198"/>
    <n v="168.3"/>
    <x v="3"/>
  </r>
  <r>
    <x v="243"/>
    <s v="MARZO"/>
    <x v="40"/>
    <s v="JUEVES"/>
    <n v="256488"/>
    <x v="6"/>
    <n v="2400"/>
    <n v="120"/>
    <n v="408.00000000000006"/>
    <x v="3"/>
  </r>
  <r>
    <x v="243"/>
    <s v="MARZO"/>
    <x v="40"/>
    <s v="JUEVES"/>
    <n v="256674"/>
    <x v="7"/>
    <n v="2160"/>
    <n v="198"/>
    <n v="367.20000000000005"/>
    <x v="3"/>
  </r>
  <r>
    <x v="243"/>
    <s v="MARZO"/>
    <x v="40"/>
    <s v="JUEVES"/>
    <n v="256679"/>
    <x v="23"/>
    <n v="180"/>
    <n v="90"/>
    <n v="30.6"/>
    <x v="3"/>
  </r>
  <r>
    <x v="243"/>
    <s v="MARZO"/>
    <x v="40"/>
    <s v="JUEVES"/>
    <n v="256737"/>
    <x v="44"/>
    <n v="125"/>
    <n v="420"/>
    <n v="52.5"/>
    <x v="3"/>
  </r>
  <r>
    <x v="243"/>
    <s v="MARZO"/>
    <x v="40"/>
    <s v="JUEVES"/>
    <n v="256737"/>
    <x v="44"/>
    <n v="1875"/>
    <n v="420"/>
    <n v="787.5"/>
    <x v="3"/>
  </r>
  <r>
    <x v="244"/>
    <s v="MARZO"/>
    <x v="40"/>
    <s v="VIERNES"/>
    <n v="256737"/>
    <x v="44"/>
    <n v="875"/>
    <n v="420"/>
    <n v="367.5"/>
    <x v="3"/>
  </r>
  <r>
    <x v="244"/>
    <s v="MARZO"/>
    <x v="40"/>
    <s v="VIERNES"/>
    <n v="256677"/>
    <x v="10"/>
    <n v="4560"/>
    <n v="120"/>
    <n v="775.2"/>
    <x v="3"/>
  </r>
  <r>
    <x v="244"/>
    <s v="MARZO"/>
    <x v="40"/>
    <s v="VIERNES"/>
    <n v="256695"/>
    <x v="25"/>
    <n v="1350"/>
    <n v="225"/>
    <n v="567"/>
    <x v="3"/>
  </r>
  <r>
    <x v="244"/>
    <s v="MARZO"/>
    <x v="40"/>
    <s v="VIERNES"/>
    <n v="256737"/>
    <x v="44"/>
    <n v="875"/>
    <n v="420"/>
    <n v="367.5"/>
    <x v="3"/>
  </r>
  <r>
    <x v="245"/>
    <s v="MARZO"/>
    <x v="41"/>
    <s v="SÁBADO"/>
    <n v="256383"/>
    <x v="28"/>
    <n v="120"/>
    <n v="30"/>
    <n v="27.6"/>
    <x v="3"/>
  </r>
  <r>
    <x v="245"/>
    <s v="MARZO"/>
    <x v="41"/>
    <s v="SÁBADO"/>
    <n v="256381"/>
    <x v="13"/>
    <n v="300"/>
    <n v="30"/>
    <n v="120"/>
    <x v="3"/>
  </r>
  <r>
    <x v="245"/>
    <s v="MARZO"/>
    <x v="41"/>
    <s v="SÁBADO"/>
    <n v="256379"/>
    <x v="15"/>
    <n v="150"/>
    <n v="50"/>
    <n v="60"/>
    <x v="3"/>
  </r>
  <r>
    <x v="245"/>
    <s v="MARZO"/>
    <x v="41"/>
    <s v="SÁBADO"/>
    <n v="751315"/>
    <x v="24"/>
    <n v="2100"/>
    <n v="420"/>
    <n v="882"/>
    <x v="3"/>
  </r>
  <r>
    <x v="245"/>
    <s v="MARZO"/>
    <x v="41"/>
    <s v="SÁBADO"/>
    <n v="751468"/>
    <x v="32"/>
    <n v="1260"/>
    <n v="420"/>
    <n v="529.19999999999993"/>
    <x v="3"/>
  </r>
  <r>
    <x v="245"/>
    <s v="MARZO"/>
    <x v="41"/>
    <s v="SÁBADO"/>
    <n v="254853"/>
    <x v="2"/>
    <n v="1296"/>
    <n v="198"/>
    <n v="220.32000000000002"/>
    <x v="3"/>
  </r>
  <r>
    <x v="245"/>
    <s v="MARZO"/>
    <x v="41"/>
    <s v="SÁBADO"/>
    <n v="256666"/>
    <x v="4"/>
    <n v="810"/>
    <n v="162"/>
    <n v="137.70000000000002"/>
    <x v="3"/>
  </r>
  <r>
    <x v="245"/>
    <s v="MARZO"/>
    <x v="41"/>
    <s v="SÁBADO"/>
    <n v="256601"/>
    <x v="5"/>
    <n v="486"/>
    <n v="162"/>
    <n v="82.62"/>
    <x v="3"/>
  </r>
  <r>
    <x v="245"/>
    <s v="MARZO"/>
    <x v="41"/>
    <s v="SÁBADO"/>
    <n v="256676"/>
    <x v="17"/>
    <n v="720"/>
    <n v="120"/>
    <n v="122.4"/>
    <x v="3"/>
  </r>
  <r>
    <x v="245"/>
    <s v="MARZO"/>
    <x v="41"/>
    <s v="SÁBADO"/>
    <n v="256675"/>
    <x v="8"/>
    <n v="1296"/>
    <n v="198"/>
    <n v="220.32000000000002"/>
    <x v="3"/>
  </r>
  <r>
    <x v="245"/>
    <s v="MARZO"/>
    <x v="41"/>
    <s v="SÁBADO"/>
    <n v="256652"/>
    <x v="9"/>
    <n v="450"/>
    <n v="90"/>
    <n v="76.5"/>
    <x v="3"/>
  </r>
  <r>
    <x v="245"/>
    <s v="MARZO"/>
    <x v="41"/>
    <s v="SÁBADO"/>
    <n v="256677"/>
    <x v="10"/>
    <n v="7920"/>
    <n v="120"/>
    <n v="1346.4"/>
    <x v="3"/>
  </r>
  <r>
    <x v="245"/>
    <s v="MARZO"/>
    <x v="41"/>
    <s v="SÁBADO"/>
    <n v="256708"/>
    <x v="12"/>
    <n v="675"/>
    <n v="225"/>
    <n v="270"/>
    <x v="3"/>
  </r>
  <r>
    <x v="245"/>
    <s v="MARZO"/>
    <x v="41"/>
    <s v="SÁBADO"/>
    <n v="256709"/>
    <x v="19"/>
    <n v="450"/>
    <n v="225"/>
    <n v="180"/>
    <x v="3"/>
  </r>
  <r>
    <x v="245"/>
    <s v="MARZO"/>
    <x v="41"/>
    <s v="SÁBADO"/>
    <n v="256720"/>
    <x v="42"/>
    <n v="500"/>
    <n v="420"/>
    <n v="210"/>
    <x v="3"/>
  </r>
  <r>
    <x v="244"/>
    <s v="MARZO"/>
    <x v="40"/>
    <s v="VIERNES"/>
    <n v="256675"/>
    <x v="8"/>
    <n v="864"/>
    <n v="198"/>
    <n v="146.88000000000002"/>
    <x v="3"/>
  </r>
  <r>
    <x v="244"/>
    <s v="MARZO"/>
    <x v="40"/>
    <s v="VIERNES"/>
    <n v="256676"/>
    <x v="17"/>
    <n v="1680"/>
    <n v="120"/>
    <n v="285.60000000000002"/>
    <x v="3"/>
  </r>
  <r>
    <x v="244"/>
    <s v="MARZO"/>
    <x v="40"/>
    <s v="VIERNES"/>
    <n v="256682"/>
    <x v="20"/>
    <n v="450"/>
    <n v="90"/>
    <n v="76.5"/>
    <x v="3"/>
  </r>
  <r>
    <x v="244"/>
    <s v="MARZO"/>
    <x v="40"/>
    <s v="VIERNES"/>
    <n v="254853"/>
    <x v="2"/>
    <n v="1944"/>
    <n v="198"/>
    <n v="330.48"/>
    <x v="3"/>
  </r>
  <r>
    <x v="244"/>
    <s v="MARZO"/>
    <x v="40"/>
    <s v="VIERNES"/>
    <n v="256737"/>
    <x v="44"/>
    <n v="750"/>
    <n v="420"/>
    <n v="315"/>
    <x v="3"/>
  </r>
  <r>
    <x v="244"/>
    <s v="MARZO"/>
    <x v="40"/>
    <s v="VIERNES"/>
    <n v="256617"/>
    <x v="3"/>
    <n v="554"/>
    <n v="198"/>
    <n v="94.18"/>
    <x v="3"/>
  </r>
  <r>
    <x v="246"/>
    <s v="MARZO"/>
    <x v="41"/>
    <s v="LUNES"/>
    <n v="256721"/>
    <x v="43"/>
    <n v="250"/>
    <n v="420"/>
    <n v="105"/>
    <x v="3"/>
  </r>
  <r>
    <x v="246"/>
    <s v="MARZO"/>
    <x v="41"/>
    <s v="LUNES"/>
    <n v="254762"/>
    <x v="40"/>
    <n v="224"/>
    <n v="240"/>
    <n v="89.600000000000009"/>
    <x v="3"/>
  </r>
  <r>
    <x v="246"/>
    <s v="MARZO"/>
    <x v="41"/>
    <s v="LUNES"/>
    <n v="256685"/>
    <x v="38"/>
    <n v="336"/>
    <n v="112"/>
    <n v="134.4"/>
    <x v="3"/>
  </r>
  <r>
    <x v="246"/>
    <s v="MARZO"/>
    <x v="41"/>
    <s v="LUNES"/>
    <n v="251633"/>
    <x v="16"/>
    <n v="540"/>
    <n v="180"/>
    <n v="226.79999999999998"/>
    <x v="3"/>
  </r>
  <r>
    <x v="246"/>
    <s v="MARZO"/>
    <x v="41"/>
    <s v="LUNES"/>
    <n v="256616"/>
    <x v="22"/>
    <n v="1782"/>
    <n v="198"/>
    <n v="302.94"/>
    <x v="3"/>
  </r>
  <r>
    <x v="246"/>
    <s v="MARZO"/>
    <x v="41"/>
    <s v="LUNES"/>
    <n v="256617"/>
    <x v="3"/>
    <n v="1980"/>
    <n v="198"/>
    <n v="336.6"/>
    <x v="3"/>
  </r>
  <r>
    <x v="246"/>
    <s v="MARZO"/>
    <x v="41"/>
    <s v="LUNES"/>
    <n v="256666"/>
    <x v="4"/>
    <n v="1134"/>
    <n v="162"/>
    <n v="192.78"/>
    <x v="3"/>
  </r>
  <r>
    <x v="246"/>
    <s v="MARZO"/>
    <x v="41"/>
    <s v="LUNES"/>
    <n v="256601"/>
    <x v="5"/>
    <n v="810"/>
    <n v="162"/>
    <n v="137.70000000000002"/>
    <x v="3"/>
  </r>
  <r>
    <x v="246"/>
    <s v="MARZO"/>
    <x v="41"/>
    <s v="LUNES"/>
    <n v="256488"/>
    <x v="6"/>
    <n v="480"/>
    <n v="120"/>
    <n v="81.600000000000009"/>
    <x v="3"/>
  </r>
  <r>
    <x v="246"/>
    <s v="MARZO"/>
    <x v="41"/>
    <s v="LUNES"/>
    <n v="256676"/>
    <x v="17"/>
    <n v="1080"/>
    <n v="120"/>
    <n v="183.60000000000002"/>
    <x v="3"/>
  </r>
  <r>
    <x v="246"/>
    <s v="MARZO"/>
    <x v="41"/>
    <s v="LUNES"/>
    <n v="256674"/>
    <x v="7"/>
    <n v="432"/>
    <n v="198"/>
    <n v="73.440000000000012"/>
    <x v="3"/>
  </r>
  <r>
    <x v="246"/>
    <s v="MARZO"/>
    <x v="41"/>
    <s v="LUNES"/>
    <n v="256675"/>
    <x v="8"/>
    <n v="2376"/>
    <n v="198"/>
    <n v="403.92"/>
    <x v="3"/>
  </r>
  <r>
    <x v="246"/>
    <s v="MARZO"/>
    <x v="41"/>
    <s v="LUNES"/>
    <n v="256652"/>
    <x v="9"/>
    <n v="630"/>
    <n v="90"/>
    <n v="107.10000000000001"/>
    <x v="3"/>
  </r>
  <r>
    <x v="246"/>
    <s v="MARZO"/>
    <x v="41"/>
    <s v="LUNES"/>
    <n v="256695"/>
    <x v="25"/>
    <n v="1350"/>
    <n v="225"/>
    <n v="567"/>
    <x v="3"/>
  </r>
  <r>
    <x v="246"/>
    <s v="MARZO"/>
    <x v="41"/>
    <s v="LUNES"/>
    <n v="256708"/>
    <x v="12"/>
    <n v="225"/>
    <n v="225"/>
    <n v="90"/>
    <x v="3"/>
  </r>
  <r>
    <x v="246"/>
    <s v="MARZO"/>
    <x v="41"/>
    <s v="LUNES"/>
    <n v="256720"/>
    <x v="42"/>
    <n v="500"/>
    <n v="420"/>
    <n v="210"/>
    <x v="3"/>
  </r>
  <r>
    <x v="246"/>
    <s v="MARZO"/>
    <x v="41"/>
    <s v="LUNES"/>
    <n v="256381"/>
    <x v="13"/>
    <n v="150"/>
    <n v="30"/>
    <n v="60"/>
    <x v="3"/>
  </r>
  <r>
    <x v="246"/>
    <s v="MARZO"/>
    <x v="41"/>
    <s v="LUNES"/>
    <n v="256379"/>
    <x v="15"/>
    <n v="50"/>
    <n v="50"/>
    <n v="20"/>
    <x v="3"/>
  </r>
  <r>
    <x v="246"/>
    <s v="MARZO"/>
    <x v="41"/>
    <s v="LUNES"/>
    <n v="256677"/>
    <x v="10"/>
    <n v="4320"/>
    <n v="120"/>
    <n v="734.40000000000009"/>
    <x v="3"/>
  </r>
  <r>
    <x v="246"/>
    <s v="MARZO"/>
    <x v="41"/>
    <s v="LUNES"/>
    <s v="D"/>
    <x v="56"/>
    <n v="500"/>
    <n v="250"/>
    <n v="210"/>
    <x v="3"/>
  </r>
  <r>
    <x v="246"/>
    <s v="MARZO"/>
    <x v="41"/>
    <s v="LUNES"/>
    <n v="256383"/>
    <x v="28"/>
    <n v="240"/>
    <n v="30"/>
    <n v="55.2"/>
    <x v="3"/>
  </r>
  <r>
    <x v="246"/>
    <s v="MARZO"/>
    <x v="41"/>
    <s v="LUNES"/>
    <n v="256379"/>
    <x v="15"/>
    <n v="200"/>
    <n v="50"/>
    <n v="80"/>
    <x v="3"/>
  </r>
  <r>
    <x v="246"/>
    <s v="MARZO"/>
    <x v="41"/>
    <s v="LUNES"/>
    <n v="254853"/>
    <x v="2"/>
    <n v="432"/>
    <n v="198"/>
    <n v="73.440000000000012"/>
    <x v="3"/>
  </r>
  <r>
    <x v="246"/>
    <s v="MARZO"/>
    <x v="41"/>
    <s v="LUNES"/>
    <n v="256677"/>
    <x v="10"/>
    <n v="6480"/>
    <n v="120"/>
    <n v="1101.6000000000001"/>
    <x v="3"/>
  </r>
  <r>
    <x v="246"/>
    <s v="MARZO"/>
    <x v="41"/>
    <s v="LUNES"/>
    <n v="256678"/>
    <x v="11"/>
    <n v="1440"/>
    <n v="90"/>
    <n v="244.8"/>
    <x v="3"/>
  </r>
  <r>
    <x v="246"/>
    <s v="MARZO"/>
    <x v="41"/>
    <s v="LUNES"/>
    <n v="256708"/>
    <x v="12"/>
    <n v="450"/>
    <n v="225"/>
    <n v="180"/>
    <x v="3"/>
  </r>
  <r>
    <x v="246"/>
    <s v="MARZO"/>
    <x v="41"/>
    <s v="LUNES"/>
    <s v="A"/>
    <x v="50"/>
    <n v="800"/>
    <n v="200"/>
    <n v="336"/>
    <x v="3"/>
  </r>
  <r>
    <x v="246"/>
    <s v="MARZO"/>
    <x v="41"/>
    <s v="LUNES"/>
    <n v="256737"/>
    <x v="44"/>
    <n v="750"/>
    <n v="420"/>
    <n v="315"/>
    <x v="3"/>
  </r>
  <r>
    <x v="247"/>
    <s v="MARZO"/>
    <x v="41"/>
    <s v="DOMINGO"/>
    <n v="251633"/>
    <x v="16"/>
    <n v="1080"/>
    <n v="180"/>
    <n v="453.59999999999997"/>
    <x v="3"/>
  </r>
  <r>
    <x v="247"/>
    <s v="MARZO"/>
    <x v="41"/>
    <s v="DOMINGO"/>
    <n v="251406"/>
    <x v="1"/>
    <n v="2160"/>
    <n v="198"/>
    <n v="367.20000000000005"/>
    <x v="3"/>
  </r>
  <r>
    <x v="247"/>
    <s v="MARZO"/>
    <x v="41"/>
    <s v="DOMINGO"/>
    <n v="254853"/>
    <x v="2"/>
    <n v="648"/>
    <n v="198"/>
    <n v="110.16000000000001"/>
    <x v="3"/>
  </r>
  <r>
    <x v="247"/>
    <s v="MARZO"/>
    <x v="41"/>
    <s v="DOMINGO"/>
    <n v="256677"/>
    <x v="10"/>
    <n v="1200"/>
    <n v="120"/>
    <n v="204.00000000000003"/>
    <x v="3"/>
  </r>
  <r>
    <x v="247"/>
    <s v="MARZO"/>
    <x v="41"/>
    <s v="DOMINGO"/>
    <n v="256678"/>
    <x v="11"/>
    <n v="720"/>
    <n v="90"/>
    <n v="122.4"/>
    <x v="3"/>
  </r>
  <r>
    <x v="247"/>
    <s v="MARZO"/>
    <x v="41"/>
    <s v="DOMINGO"/>
    <n v="256708"/>
    <x v="12"/>
    <n v="225"/>
    <n v="225"/>
    <n v="90"/>
    <x v="3"/>
  </r>
  <r>
    <x v="247"/>
    <s v="MARZO"/>
    <x v="41"/>
    <s v="DOMINGO"/>
    <n v="256720"/>
    <x v="42"/>
    <n v="250"/>
    <n v="420"/>
    <n v="105"/>
    <x v="3"/>
  </r>
  <r>
    <x v="247"/>
    <s v="MARZO"/>
    <x v="41"/>
    <s v="DOMINGO"/>
    <n v="256721"/>
    <x v="43"/>
    <n v="750"/>
    <n v="420"/>
    <n v="315"/>
    <x v="3"/>
  </r>
  <r>
    <x v="245"/>
    <s v="MARZO"/>
    <x v="41"/>
    <s v="SÁBADO"/>
    <n v="251633"/>
    <x v="16"/>
    <n v="720"/>
    <n v="180"/>
    <n v="302.39999999999998"/>
    <x v="3"/>
  </r>
  <r>
    <x v="245"/>
    <s v="MARZO"/>
    <x v="41"/>
    <s v="SÁBADO"/>
    <n v="256677"/>
    <x v="10"/>
    <n v="2880"/>
    <n v="120"/>
    <n v="489.6"/>
    <x v="3"/>
  </r>
  <r>
    <x v="245"/>
    <s v="MARZO"/>
    <x v="41"/>
    <s v="SÁBADO"/>
    <n v="256737"/>
    <x v="44"/>
    <n v="1125"/>
    <n v="420"/>
    <n v="472.5"/>
    <x v="3"/>
  </r>
  <r>
    <x v="248"/>
    <s v="MARZO"/>
    <x v="41"/>
    <s v="MARTES"/>
    <n v="256677"/>
    <x v="10"/>
    <n v="3600"/>
    <n v="120"/>
    <n v="612"/>
    <x v="3"/>
  </r>
  <r>
    <x v="248"/>
    <s v="MARZO"/>
    <x v="41"/>
    <s v="MARTES"/>
    <s v="D"/>
    <x v="56"/>
    <n v="500"/>
    <n v="250"/>
    <n v="210"/>
    <x v="3"/>
  </r>
  <r>
    <x v="248"/>
    <s v="MARZO"/>
    <x v="41"/>
    <s v="MARTES"/>
    <n v="256382"/>
    <x v="33"/>
    <n v="80"/>
    <n v="40"/>
    <n v="18.400000000000002"/>
    <x v="3"/>
  </r>
  <r>
    <x v="248"/>
    <s v="MARZO"/>
    <x v="41"/>
    <s v="MARTES"/>
    <n v="256381"/>
    <x v="13"/>
    <n v="150"/>
    <n v="30"/>
    <n v="60"/>
    <x v="3"/>
  </r>
  <r>
    <x v="248"/>
    <s v="MARZO"/>
    <x v="41"/>
    <s v="MARTES"/>
    <n v="256488"/>
    <x v="6"/>
    <n v="4320"/>
    <n v="120"/>
    <n v="734.40000000000009"/>
    <x v="3"/>
  </r>
  <r>
    <x v="248"/>
    <s v="MARZO"/>
    <x v="41"/>
    <s v="MARTES"/>
    <n v="256676"/>
    <x v="17"/>
    <n v="1320"/>
    <n v="120"/>
    <n v="224.4"/>
    <x v="3"/>
  </r>
  <r>
    <x v="248"/>
    <s v="MARZO"/>
    <x v="41"/>
    <s v="MARTES"/>
    <n v="256674"/>
    <x v="7"/>
    <n v="2808"/>
    <n v="198"/>
    <n v="477.36"/>
    <x v="3"/>
  </r>
  <r>
    <x v="248"/>
    <s v="MARZO"/>
    <x v="41"/>
    <s v="MARTES"/>
    <n v="256675"/>
    <x v="8"/>
    <n v="864"/>
    <n v="198"/>
    <n v="146.88000000000002"/>
    <x v="3"/>
  </r>
  <r>
    <x v="248"/>
    <s v="MARZO"/>
    <x v="41"/>
    <s v="MARTES"/>
    <n v="256652"/>
    <x v="9"/>
    <n v="810"/>
    <n v="90"/>
    <n v="137.70000000000002"/>
    <x v="3"/>
  </r>
  <r>
    <x v="248"/>
    <s v="MARZO"/>
    <x v="41"/>
    <s v="MARTES"/>
    <n v="256677"/>
    <x v="10"/>
    <n v="10800"/>
    <n v="120"/>
    <n v="1836.0000000000002"/>
    <x v="3"/>
  </r>
  <r>
    <x v="248"/>
    <s v="MARZO"/>
    <x v="41"/>
    <s v="MARTES"/>
    <n v="751315"/>
    <x v="24"/>
    <n v="1680"/>
    <n v="420"/>
    <n v="705.6"/>
    <x v="3"/>
  </r>
  <r>
    <x v="248"/>
    <s v="MARZO"/>
    <x v="41"/>
    <s v="MARTES"/>
    <n v="251406"/>
    <x v="1"/>
    <n v="216"/>
    <n v="198"/>
    <n v="36.720000000000006"/>
    <x v="3"/>
  </r>
  <r>
    <x v="248"/>
    <s v="MARZO"/>
    <x v="41"/>
    <s v="MARTES"/>
    <n v="254853"/>
    <x v="2"/>
    <n v="432"/>
    <n v="198"/>
    <n v="73.440000000000012"/>
    <x v="3"/>
  </r>
  <r>
    <x v="248"/>
    <s v="MARZO"/>
    <x v="41"/>
    <s v="MARTES"/>
    <n v="256548"/>
    <x v="34"/>
    <n v="432"/>
    <n v="198"/>
    <n v="73.440000000000012"/>
    <x v="3"/>
  </r>
  <r>
    <x v="248"/>
    <s v="MARZO"/>
    <x v="41"/>
    <s v="MARTES"/>
    <n v="256549"/>
    <x v="29"/>
    <n v="432"/>
    <n v="198"/>
    <n v="73.440000000000012"/>
    <x v="3"/>
  </r>
  <r>
    <x v="248"/>
    <s v="MARZO"/>
    <x v="41"/>
    <s v="MARTES"/>
    <n v="256488"/>
    <x v="6"/>
    <n v="3600"/>
    <n v="120"/>
    <n v="612"/>
    <x v="3"/>
  </r>
  <r>
    <x v="248"/>
    <s v="MARZO"/>
    <x v="41"/>
    <s v="MARTES"/>
    <n v="256674"/>
    <x v="7"/>
    <n v="1728"/>
    <n v="198"/>
    <n v="293.76000000000005"/>
    <x v="3"/>
  </r>
  <r>
    <x v="248"/>
    <s v="MARZO"/>
    <x v="41"/>
    <s v="MARTES"/>
    <n v="256678"/>
    <x v="11"/>
    <n v="900"/>
    <n v="90"/>
    <n v="153"/>
    <x v="3"/>
  </r>
  <r>
    <x v="248"/>
    <s v="MARZO"/>
    <x v="41"/>
    <s v="MARTES"/>
    <n v="256695"/>
    <x v="25"/>
    <n v="1350"/>
    <n v="225"/>
    <n v="567"/>
    <x v="3"/>
  </r>
  <r>
    <x v="248"/>
    <s v="MARZO"/>
    <x v="41"/>
    <s v="MARTES"/>
    <n v="256709"/>
    <x v="19"/>
    <n v="225"/>
    <n v="225"/>
    <n v="90"/>
    <x v="3"/>
  </r>
  <r>
    <x v="248"/>
    <s v="MARZO"/>
    <x v="41"/>
    <s v="MARTES"/>
    <n v="256682"/>
    <x v="20"/>
    <n v="360"/>
    <n v="90"/>
    <n v="61.2"/>
    <x v="3"/>
  </r>
  <r>
    <x v="249"/>
    <s v="MARZO"/>
    <x v="41"/>
    <s v="MIÉRCOLES"/>
    <n v="256382"/>
    <x v="33"/>
    <n v="80"/>
    <n v="40"/>
    <n v="18.400000000000002"/>
    <x v="3"/>
  </r>
  <r>
    <x v="249"/>
    <s v="MARZO"/>
    <x v="41"/>
    <s v="MIÉRCOLES"/>
    <n v="256380"/>
    <x v="14"/>
    <n v="120"/>
    <n v="40"/>
    <n v="27.6"/>
    <x v="3"/>
  </r>
  <r>
    <x v="249"/>
    <s v="MARZO"/>
    <x v="41"/>
    <s v="MIÉRCOLES"/>
    <n v="256379"/>
    <x v="15"/>
    <n v="250"/>
    <n v="50"/>
    <n v="100"/>
    <x v="3"/>
  </r>
  <r>
    <x v="249"/>
    <s v="MARZO"/>
    <x v="41"/>
    <s v="MIÉRCOLES"/>
    <n v="251406"/>
    <x v="1"/>
    <n v="3024"/>
    <n v="198"/>
    <n v="514.08000000000004"/>
    <x v="3"/>
  </r>
  <r>
    <x v="249"/>
    <s v="MARZO"/>
    <x v="41"/>
    <s v="MIÉRCOLES"/>
    <n v="254853"/>
    <x v="2"/>
    <n v="1728"/>
    <n v="198"/>
    <n v="293.76000000000005"/>
    <x v="3"/>
  </r>
  <r>
    <x v="249"/>
    <s v="MARZO"/>
    <x v="41"/>
    <s v="MIÉRCOLES"/>
    <n v="256488"/>
    <x v="6"/>
    <n v="2400"/>
    <n v="120"/>
    <n v="408.00000000000006"/>
    <x v="3"/>
  </r>
  <r>
    <x v="249"/>
    <s v="MARZO"/>
    <x v="41"/>
    <s v="MIÉRCOLES"/>
    <n v="256676"/>
    <x v="17"/>
    <n v="1200"/>
    <n v="120"/>
    <n v="204.00000000000003"/>
    <x v="3"/>
  </r>
  <r>
    <x v="249"/>
    <s v="MARZO"/>
    <x v="41"/>
    <s v="MIÉRCOLES"/>
    <n v="256674"/>
    <x v="7"/>
    <n v="432"/>
    <n v="198"/>
    <n v="73.440000000000012"/>
    <x v="3"/>
  </r>
  <r>
    <x v="249"/>
    <s v="MARZO"/>
    <x v="41"/>
    <s v="MIÉRCOLES"/>
    <n v="256677"/>
    <x v="10"/>
    <n v="10080"/>
    <n v="120"/>
    <n v="1713.6000000000001"/>
    <x v="3"/>
  </r>
  <r>
    <x v="249"/>
    <s v="MARZO"/>
    <x v="41"/>
    <s v="MIÉRCOLES"/>
    <n v="256678"/>
    <x v="11"/>
    <n v="1260"/>
    <n v="90"/>
    <n v="214.20000000000002"/>
    <x v="3"/>
  </r>
  <r>
    <x v="249"/>
    <s v="MARZO"/>
    <x v="41"/>
    <s v="MIÉRCOLES"/>
    <n v="256682"/>
    <x v="20"/>
    <n v="360"/>
    <n v="90"/>
    <n v="61.2"/>
    <x v="3"/>
  </r>
  <r>
    <x v="249"/>
    <s v="MARZO"/>
    <x v="41"/>
    <s v="MIÉRCOLES"/>
    <n v="254853"/>
    <x v="2"/>
    <n v="864"/>
    <n v="198"/>
    <n v="146.88000000000002"/>
    <x v="3"/>
  </r>
  <r>
    <x v="249"/>
    <s v="MARZO"/>
    <x v="41"/>
    <s v="MIÉRCOLES"/>
    <n v="256601"/>
    <x v="5"/>
    <n v="972"/>
    <n v="162"/>
    <n v="165.24"/>
    <x v="3"/>
  </r>
  <r>
    <x v="249"/>
    <s v="MARZO"/>
    <x v="41"/>
    <s v="MIÉRCOLES"/>
    <n v="256488"/>
    <x v="6"/>
    <n v="2400"/>
    <n v="120"/>
    <n v="408.00000000000006"/>
    <x v="3"/>
  </r>
  <r>
    <x v="249"/>
    <s v="MARZO"/>
    <x v="41"/>
    <s v="MIÉRCOLES"/>
    <n v="256676"/>
    <x v="17"/>
    <n v="1200"/>
    <n v="120"/>
    <n v="204.00000000000003"/>
    <x v="3"/>
  </r>
  <r>
    <x v="249"/>
    <s v="MARZO"/>
    <x v="41"/>
    <s v="MIÉRCOLES"/>
    <n v="256674"/>
    <x v="7"/>
    <n v="1080"/>
    <n v="198"/>
    <n v="183.60000000000002"/>
    <x v="3"/>
  </r>
  <r>
    <x v="249"/>
    <s v="MARZO"/>
    <x v="41"/>
    <s v="MIÉRCOLES"/>
    <n v="256675"/>
    <x v="8"/>
    <n v="1512"/>
    <n v="198"/>
    <n v="257.04000000000002"/>
    <x v="3"/>
  </r>
  <r>
    <x v="249"/>
    <s v="MARZO"/>
    <x v="41"/>
    <s v="MIÉRCOLES"/>
    <n v="256652"/>
    <x v="9"/>
    <n v="450"/>
    <n v="90"/>
    <n v="76.5"/>
    <x v="3"/>
  </r>
  <r>
    <x v="249"/>
    <s v="MARZO"/>
    <x v="41"/>
    <s v="MIÉRCOLES"/>
    <n v="256679"/>
    <x v="23"/>
    <n v="1440"/>
    <n v="90"/>
    <n v="244.8"/>
    <x v="3"/>
  </r>
  <r>
    <x v="249"/>
    <s v="MARZO"/>
    <x v="41"/>
    <s v="MIÉRCOLES"/>
    <n v="256753"/>
    <x v="48"/>
    <n v="960"/>
    <n v="30"/>
    <n v="201.6"/>
    <x v="3"/>
  </r>
  <r>
    <x v="250"/>
    <s v="MARZO"/>
    <x v="41"/>
    <s v="VIERNES"/>
    <n v="251406"/>
    <x v="1"/>
    <n v="432"/>
    <n v="198"/>
    <n v="73.440000000000012"/>
    <x v="3"/>
  </r>
  <r>
    <x v="250"/>
    <s v="MARZO"/>
    <x v="41"/>
    <s v="VIERNES"/>
    <n v="254853"/>
    <x v="2"/>
    <n v="1080"/>
    <n v="198"/>
    <n v="183.60000000000002"/>
    <x v="3"/>
  </r>
  <r>
    <x v="250"/>
    <s v="MARZO"/>
    <x v="41"/>
    <s v="VIERNES"/>
    <n v="256548"/>
    <x v="34"/>
    <n v="432"/>
    <n v="198"/>
    <n v="73.440000000000012"/>
    <x v="3"/>
  </r>
  <r>
    <x v="250"/>
    <s v="MARZO"/>
    <x v="41"/>
    <s v="VIERNES"/>
    <n v="256616"/>
    <x v="22"/>
    <n v="792"/>
    <n v="198"/>
    <n v="134.64000000000001"/>
    <x v="3"/>
  </r>
  <r>
    <x v="250"/>
    <s v="MARZO"/>
    <x v="41"/>
    <s v="VIERNES"/>
    <n v="256617"/>
    <x v="3"/>
    <n v="990"/>
    <n v="198"/>
    <n v="168.3"/>
    <x v="3"/>
  </r>
  <r>
    <x v="250"/>
    <s v="MARZO"/>
    <x v="41"/>
    <s v="VIERNES"/>
    <n v="256666"/>
    <x v="4"/>
    <n v="972"/>
    <n v="162"/>
    <n v="165.24"/>
    <x v="3"/>
  </r>
  <r>
    <x v="250"/>
    <s v="MARZO"/>
    <x v="41"/>
    <s v="VIERNES"/>
    <n v="256488"/>
    <x v="6"/>
    <n v="2400"/>
    <n v="120"/>
    <n v="408.00000000000006"/>
    <x v="3"/>
  </r>
  <r>
    <x v="250"/>
    <s v="MARZO"/>
    <x v="41"/>
    <s v="VIERNES"/>
    <n v="256676"/>
    <x v="17"/>
    <n v="1800"/>
    <n v="120"/>
    <n v="306"/>
    <x v="3"/>
  </r>
  <r>
    <x v="250"/>
    <s v="MARZO"/>
    <x v="41"/>
    <s v="VIERNES"/>
    <n v="256677"/>
    <x v="10"/>
    <n v="2160"/>
    <n v="120"/>
    <n v="367.20000000000005"/>
    <x v="3"/>
  </r>
  <r>
    <x v="250"/>
    <s v="MARZO"/>
    <x v="41"/>
    <s v="VIERNES"/>
    <n v="256680"/>
    <x v="26"/>
    <n v="900"/>
    <n v="90"/>
    <n v="153"/>
    <x v="3"/>
  </r>
  <r>
    <x v="250"/>
    <s v="MARZO"/>
    <x v="41"/>
    <s v="VIERNES"/>
    <n v="256682"/>
    <x v="20"/>
    <n v="450"/>
    <n v="90"/>
    <n v="76.5"/>
    <x v="3"/>
  </r>
  <r>
    <x v="250"/>
    <s v="MARZO"/>
    <x v="41"/>
    <s v="VIERNES"/>
    <n v="256383"/>
    <x v="28"/>
    <n v="150"/>
    <n v="30"/>
    <n v="34.5"/>
    <x v="3"/>
  </r>
  <r>
    <x v="250"/>
    <s v="MARZO"/>
    <x v="41"/>
    <s v="VIERNES"/>
    <n v="256382"/>
    <x v="33"/>
    <n v="160"/>
    <n v="40"/>
    <n v="36.800000000000004"/>
    <x v="3"/>
  </r>
  <r>
    <x v="250"/>
    <s v="MARZO"/>
    <x v="41"/>
    <s v="VIERNES"/>
    <n v="256380"/>
    <x v="14"/>
    <n v="160"/>
    <n v="40"/>
    <n v="36.800000000000004"/>
    <x v="3"/>
  </r>
  <r>
    <x v="250"/>
    <s v="MARZO"/>
    <x v="41"/>
    <s v="VIERNES"/>
    <n v="751468"/>
    <x v="32"/>
    <n v="840"/>
    <n v="420"/>
    <n v="352.8"/>
    <x v="3"/>
  </r>
  <r>
    <x v="250"/>
    <s v="MARZO"/>
    <x v="41"/>
    <s v="VIERNES"/>
    <n v="254853"/>
    <x v="2"/>
    <n v="864"/>
    <n v="198"/>
    <n v="146.88000000000002"/>
    <x v="3"/>
  </r>
  <r>
    <x v="250"/>
    <s v="MARZO"/>
    <x v="41"/>
    <s v="VIERNES"/>
    <n v="256616"/>
    <x v="22"/>
    <n v="396"/>
    <n v="198"/>
    <n v="67.320000000000007"/>
    <x v="3"/>
  </r>
  <r>
    <x v="250"/>
    <s v="MARZO"/>
    <x v="41"/>
    <s v="VIERNES"/>
    <n v="256617"/>
    <x v="3"/>
    <n v="1188"/>
    <n v="198"/>
    <n v="201.96"/>
    <x v="3"/>
  </r>
  <r>
    <x v="250"/>
    <s v="MARZO"/>
    <x v="41"/>
    <s v="VIERNES"/>
    <n v="256677"/>
    <x v="10"/>
    <n v="480"/>
    <n v="120"/>
    <n v="81.600000000000009"/>
    <x v="3"/>
  </r>
  <r>
    <x v="250"/>
    <s v="MARZO"/>
    <x v="41"/>
    <s v="VIERNES"/>
    <n v="256721"/>
    <x v="43"/>
    <n v="750"/>
    <n v="420"/>
    <n v="315"/>
    <x v="3"/>
  </r>
  <r>
    <x v="250"/>
    <s v="MARZO"/>
    <x v="41"/>
    <s v="VIERNES"/>
    <s v="G"/>
    <x v="54"/>
    <n v="360"/>
    <n v="180"/>
    <n v="151.19999999999999"/>
    <x v="3"/>
  </r>
  <r>
    <x v="250"/>
    <s v="MARZO"/>
    <x v="41"/>
    <s v="VIERNES"/>
    <n v="256381"/>
    <x v="13"/>
    <n v="300"/>
    <n v="30"/>
    <n v="120"/>
    <x v="3"/>
  </r>
  <r>
    <x v="250"/>
    <s v="MARZO"/>
    <x v="41"/>
    <s v="VIERNES"/>
    <n v="256379"/>
    <x v="15"/>
    <n v="150"/>
    <n v="50"/>
    <n v="60"/>
    <x v="3"/>
  </r>
  <r>
    <x v="250"/>
    <s v="MARZO"/>
    <x v="41"/>
    <s v="VIERNES"/>
    <n v="751315"/>
    <x v="24"/>
    <n v="2100"/>
    <n v="420"/>
    <n v="882"/>
    <x v="3"/>
  </r>
  <r>
    <x v="250"/>
    <s v="MARZO"/>
    <x v="41"/>
    <s v="VIERNES"/>
    <n v="751468"/>
    <x v="32"/>
    <n v="420"/>
    <n v="420"/>
    <n v="176.4"/>
    <x v="3"/>
  </r>
  <r>
    <x v="250"/>
    <s v="MARZO"/>
    <x v="41"/>
    <s v="VIERNES"/>
    <n v="251406"/>
    <x v="1"/>
    <n v="432"/>
    <n v="198"/>
    <n v="73.440000000000012"/>
    <x v="3"/>
  </r>
  <r>
    <x v="250"/>
    <s v="MARZO"/>
    <x v="41"/>
    <s v="VIERNES"/>
    <n v="254853"/>
    <x v="2"/>
    <n v="1296"/>
    <n v="198"/>
    <n v="220.32000000000002"/>
    <x v="3"/>
  </r>
  <r>
    <x v="250"/>
    <s v="MARZO"/>
    <x v="41"/>
    <s v="VIERNES"/>
    <n v="256488"/>
    <x v="6"/>
    <n v="2400"/>
    <n v="120"/>
    <n v="408.00000000000006"/>
    <x v="3"/>
  </r>
  <r>
    <x v="250"/>
    <s v="MARZO"/>
    <x v="41"/>
    <s v="VIERNES"/>
    <n v="256674"/>
    <x v="7"/>
    <n v="2596"/>
    <n v="198"/>
    <n v="441.32000000000005"/>
    <x v="3"/>
  </r>
  <r>
    <x v="250"/>
    <s v="MARZO"/>
    <x v="41"/>
    <s v="VIERNES"/>
    <n v="256675"/>
    <x v="8"/>
    <n v="1728"/>
    <n v="198"/>
    <n v="293.76000000000005"/>
    <x v="3"/>
  </r>
  <r>
    <x v="250"/>
    <s v="MARZO"/>
    <x v="41"/>
    <s v="VIERNES"/>
    <n v="256677"/>
    <x v="10"/>
    <n v="1440"/>
    <n v="120"/>
    <n v="244.8"/>
    <x v="3"/>
  </r>
  <r>
    <x v="250"/>
    <s v="MARZO"/>
    <x v="41"/>
    <s v="VIERNES"/>
    <n v="256678"/>
    <x v="11"/>
    <n v="3240"/>
    <n v="90"/>
    <n v="550.80000000000007"/>
    <x v="3"/>
  </r>
  <r>
    <x v="251"/>
    <s v="MARZO"/>
    <x v="41"/>
    <s v="JUEVES"/>
    <n v="251429"/>
    <x v="0"/>
    <n v="144"/>
    <n v="48"/>
    <n v="57.6"/>
    <x v="3"/>
  </r>
  <r>
    <x v="251"/>
    <s v="MARZO"/>
    <x v="41"/>
    <s v="JUEVES"/>
    <n v="251406"/>
    <x v="1"/>
    <n v="1728"/>
    <n v="198"/>
    <n v="293.76000000000005"/>
    <x v="3"/>
  </r>
  <r>
    <x v="251"/>
    <s v="MARZO"/>
    <x v="41"/>
    <s v="JUEVES"/>
    <n v="254853"/>
    <x v="2"/>
    <n v="1080"/>
    <n v="198"/>
    <n v="183.60000000000002"/>
    <x v="3"/>
  </r>
  <r>
    <x v="251"/>
    <s v="MARZO"/>
    <x v="41"/>
    <s v="JUEVES"/>
    <n v="256674"/>
    <x v="7"/>
    <n v="1728"/>
    <n v="198"/>
    <n v="293.76000000000005"/>
    <x v="3"/>
  </r>
  <r>
    <x v="251"/>
    <s v="MARZO"/>
    <x v="41"/>
    <s v="JUEVES"/>
    <n v="256675"/>
    <x v="8"/>
    <n v="432"/>
    <n v="198"/>
    <n v="73.440000000000012"/>
    <x v="3"/>
  </r>
  <r>
    <x v="251"/>
    <s v="MARZO"/>
    <x v="41"/>
    <s v="JUEVES"/>
    <n v="256652"/>
    <x v="9"/>
    <n v="900"/>
    <n v="90"/>
    <n v="153"/>
    <x v="3"/>
  </r>
  <r>
    <x v="251"/>
    <s v="MARZO"/>
    <x v="41"/>
    <s v="JUEVES"/>
    <n v="256679"/>
    <x v="23"/>
    <n v="500"/>
    <n v="90"/>
    <n v="85"/>
    <x v="3"/>
  </r>
  <r>
    <x v="251"/>
    <s v="MARZO"/>
    <x v="41"/>
    <s v="JUEVES"/>
    <n v="256678"/>
    <x v="11"/>
    <n v="1260"/>
    <n v="90"/>
    <n v="214.20000000000002"/>
    <x v="3"/>
  </r>
  <r>
    <x v="251"/>
    <s v="MARZO"/>
    <x v="41"/>
    <s v="JUEVES"/>
    <n v="256379"/>
    <x v="15"/>
    <n v="250"/>
    <n v="50"/>
    <n v="100"/>
    <x v="3"/>
  </r>
  <r>
    <x v="251"/>
    <s v="MARZO"/>
    <x v="41"/>
    <s v="JUEVES"/>
    <n v="251406"/>
    <x v="1"/>
    <n v="864"/>
    <n v="198"/>
    <n v="146.88000000000002"/>
    <x v="3"/>
  </r>
  <r>
    <x v="251"/>
    <s v="MARZO"/>
    <x v="41"/>
    <s v="JUEVES"/>
    <n v="256616"/>
    <x v="22"/>
    <n v="594"/>
    <n v="198"/>
    <n v="100.98"/>
    <x v="3"/>
  </r>
  <r>
    <x v="251"/>
    <s v="MARZO"/>
    <x v="41"/>
    <s v="JUEVES"/>
    <n v="256617"/>
    <x v="3"/>
    <n v="198"/>
    <n v="198"/>
    <n v="33.660000000000004"/>
    <x v="3"/>
  </r>
  <r>
    <x v="251"/>
    <s v="MARZO"/>
    <x v="41"/>
    <s v="JUEVES"/>
    <n v="256674"/>
    <x v="7"/>
    <n v="648"/>
    <n v="198"/>
    <n v="110.16000000000001"/>
    <x v="3"/>
  </r>
  <r>
    <x v="251"/>
    <s v="MARZO"/>
    <x v="41"/>
    <s v="JUEVES"/>
    <n v="256652"/>
    <x v="9"/>
    <n v="450"/>
    <n v="90"/>
    <n v="76.5"/>
    <x v="3"/>
  </r>
  <r>
    <x v="251"/>
    <s v="MARZO"/>
    <x v="41"/>
    <s v="JUEVES"/>
    <n v="256695"/>
    <x v="25"/>
    <n v="1800"/>
    <n v="225"/>
    <n v="756"/>
    <x v="3"/>
  </r>
  <r>
    <x v="251"/>
    <s v="MARZO"/>
    <x v="41"/>
    <s v="JUEVES"/>
    <n v="256383"/>
    <x v="28"/>
    <n v="150"/>
    <n v="30"/>
    <n v="34.5"/>
    <x v="3"/>
  </r>
  <r>
    <x v="251"/>
    <s v="MARZO"/>
    <x v="41"/>
    <s v="JUEVES"/>
    <n v="256382"/>
    <x v="33"/>
    <n v="80"/>
    <n v="40"/>
    <n v="18.400000000000002"/>
    <x v="3"/>
  </r>
  <r>
    <x v="251"/>
    <s v="MARZO"/>
    <x v="41"/>
    <s v="JUEVES"/>
    <n v="256380"/>
    <x v="14"/>
    <n v="80"/>
    <n v="40"/>
    <n v="18.400000000000002"/>
    <x v="3"/>
  </r>
  <r>
    <x v="251"/>
    <s v="MARZO"/>
    <x v="41"/>
    <s v="JUEVES"/>
    <n v="254762"/>
    <x v="40"/>
    <n v="336"/>
    <n v="240"/>
    <n v="134.4"/>
    <x v="3"/>
  </r>
  <r>
    <x v="251"/>
    <s v="MARZO"/>
    <x v="41"/>
    <s v="JUEVES"/>
    <n v="256685"/>
    <x v="38"/>
    <n v="224"/>
    <n v="112"/>
    <n v="89.600000000000009"/>
    <x v="3"/>
  </r>
  <r>
    <x v="251"/>
    <s v="MARZO"/>
    <x v="41"/>
    <s v="JUEVES"/>
    <n v="751468"/>
    <x v="32"/>
    <n v="1680"/>
    <n v="420"/>
    <n v="705.6"/>
    <x v="3"/>
  </r>
  <r>
    <x v="251"/>
    <s v="MARZO"/>
    <x v="41"/>
    <s v="JUEVES"/>
    <n v="251406"/>
    <x v="1"/>
    <n v="1080"/>
    <n v="198"/>
    <n v="183.60000000000002"/>
    <x v="3"/>
  </r>
  <r>
    <x v="251"/>
    <s v="MARZO"/>
    <x v="41"/>
    <s v="JUEVES"/>
    <n v="254853"/>
    <x v="2"/>
    <n v="432"/>
    <n v="198"/>
    <n v="73.440000000000012"/>
    <x v="3"/>
  </r>
  <r>
    <x v="251"/>
    <s v="MARZO"/>
    <x v="41"/>
    <s v="JUEVES"/>
    <n v="256617"/>
    <x v="3"/>
    <n v="396"/>
    <n v="198"/>
    <n v="67.320000000000007"/>
    <x v="3"/>
  </r>
  <r>
    <x v="251"/>
    <s v="MARZO"/>
    <x v="41"/>
    <s v="JUEVES"/>
    <n v="256666"/>
    <x v="4"/>
    <n v="486"/>
    <n v="162"/>
    <n v="82.62"/>
    <x v="3"/>
  </r>
  <r>
    <x v="251"/>
    <s v="MARZO"/>
    <x v="41"/>
    <s v="JUEVES"/>
    <n v="256677"/>
    <x v="10"/>
    <n v="12000"/>
    <n v="120"/>
    <n v="2040.0000000000002"/>
    <x v="3"/>
  </r>
  <r>
    <x v="251"/>
    <s v="MARZO"/>
    <x v="41"/>
    <s v="JUEVES"/>
    <n v="256708"/>
    <x v="12"/>
    <n v="450"/>
    <n v="225"/>
    <n v="180"/>
    <x v="3"/>
  </r>
  <r>
    <x v="251"/>
    <s v="MARZO"/>
    <x v="41"/>
    <s v="JUEVES"/>
    <n v="256709"/>
    <x v="19"/>
    <n v="675"/>
    <n v="225"/>
    <n v="270"/>
    <x v="3"/>
  </r>
  <r>
    <x v="251"/>
    <s v="MARZO"/>
    <x v="41"/>
    <s v="JUEVES"/>
    <n v="256720"/>
    <x v="42"/>
    <n v="500"/>
    <n v="420"/>
    <n v="210"/>
    <x v="3"/>
  </r>
  <r>
    <x v="252"/>
    <s v="MARZO"/>
    <x v="42"/>
    <s v="SÁBADO"/>
    <n v="256381"/>
    <x v="13"/>
    <n v="300"/>
    <n v="30"/>
    <n v="120"/>
    <x v="3"/>
  </r>
  <r>
    <x v="252"/>
    <s v="MARZO"/>
    <x v="42"/>
    <s v="SÁBADO"/>
    <n v="751315"/>
    <x v="24"/>
    <n v="840"/>
    <n v="420"/>
    <n v="352.8"/>
    <x v="3"/>
  </r>
  <r>
    <x v="252"/>
    <s v="MARZO"/>
    <x v="42"/>
    <s v="SÁBADO"/>
    <n v="751468"/>
    <x v="32"/>
    <n v="2100"/>
    <n v="420"/>
    <n v="882"/>
    <x v="3"/>
  </r>
  <r>
    <x v="252"/>
    <s v="MARZO"/>
    <x v="42"/>
    <s v="SÁBADO"/>
    <n v="251406"/>
    <x v="1"/>
    <n v="1728"/>
    <n v="198"/>
    <n v="293.76000000000005"/>
    <x v="3"/>
  </r>
  <r>
    <x v="252"/>
    <s v="MARZO"/>
    <x v="42"/>
    <s v="SÁBADO"/>
    <n v="256601"/>
    <x v="5"/>
    <n v="648"/>
    <n v="162"/>
    <n v="110.16000000000001"/>
    <x v="3"/>
  </r>
  <r>
    <x v="252"/>
    <s v="MARZO"/>
    <x v="42"/>
    <s v="SÁBADO"/>
    <n v="256677"/>
    <x v="10"/>
    <n v="12960"/>
    <n v="120"/>
    <n v="2203.2000000000003"/>
    <x v="3"/>
  </r>
  <r>
    <x v="252"/>
    <s v="MARZO"/>
    <x v="42"/>
    <s v="SÁBADO"/>
    <n v="256708"/>
    <x v="12"/>
    <n v="900"/>
    <n v="225"/>
    <n v="360"/>
    <x v="3"/>
  </r>
  <r>
    <x v="252"/>
    <s v="MARZO"/>
    <x v="42"/>
    <s v="SÁBADO"/>
    <n v="256709"/>
    <x v="19"/>
    <n v="450"/>
    <n v="225"/>
    <n v="180"/>
    <x v="3"/>
  </r>
  <r>
    <x v="252"/>
    <s v="MARZO"/>
    <x v="42"/>
    <s v="SÁBADO"/>
    <n v="254762"/>
    <x v="40"/>
    <n v="336"/>
    <n v="240"/>
    <n v="134.4"/>
    <x v="3"/>
  </r>
  <r>
    <x v="252"/>
    <s v="MARZO"/>
    <x v="42"/>
    <s v="SÁBADO"/>
    <n v="256685"/>
    <x v="38"/>
    <n v="448"/>
    <n v="112"/>
    <n v="179.20000000000002"/>
    <x v="3"/>
  </r>
  <r>
    <x v="252"/>
    <s v="MARZO"/>
    <x v="42"/>
    <s v="SÁBADO"/>
    <n v="751315"/>
    <x v="24"/>
    <n v="1260"/>
    <n v="420"/>
    <n v="529.19999999999993"/>
    <x v="3"/>
  </r>
  <r>
    <x v="252"/>
    <s v="MARZO"/>
    <x v="42"/>
    <s v="SÁBADO"/>
    <n v="251633"/>
    <x v="16"/>
    <n v="1260"/>
    <n v="180"/>
    <n v="529.19999999999993"/>
    <x v="3"/>
  </r>
  <r>
    <x v="252"/>
    <s v="MARZO"/>
    <x v="42"/>
    <s v="SÁBADO"/>
    <n v="256677"/>
    <x v="10"/>
    <n v="2880"/>
    <n v="120"/>
    <n v="489.6"/>
    <x v="3"/>
  </r>
  <r>
    <x v="252"/>
    <s v="MARZO"/>
    <x v="42"/>
    <s v="SÁBADO"/>
    <n v="256721"/>
    <x v="43"/>
    <n v="500"/>
    <n v="420"/>
    <n v="210"/>
    <x v="3"/>
  </r>
  <r>
    <x v="253"/>
    <s v="MARZO"/>
    <x v="42"/>
    <s v="LUNES"/>
    <n v="256685"/>
    <x v="38"/>
    <n v="448"/>
    <n v="112"/>
    <n v="179.20000000000002"/>
    <x v="3"/>
  </r>
  <r>
    <x v="253"/>
    <s v="MARZO"/>
    <x v="42"/>
    <s v="LUNES"/>
    <n v="251633"/>
    <x v="16"/>
    <n v="540"/>
    <n v="180"/>
    <n v="226.79999999999998"/>
    <x v="3"/>
  </r>
  <r>
    <x v="253"/>
    <s v="MARZO"/>
    <x v="42"/>
    <s v="LUNES"/>
    <n v="251406"/>
    <x v="1"/>
    <n v="2160"/>
    <n v="198"/>
    <n v="367.20000000000005"/>
    <x v="3"/>
  </r>
  <r>
    <x v="253"/>
    <s v="MARZO"/>
    <x v="42"/>
    <s v="LUNES"/>
    <n v="254853"/>
    <x v="2"/>
    <n v="2160"/>
    <n v="198"/>
    <n v="367.20000000000005"/>
    <x v="3"/>
  </r>
  <r>
    <x v="253"/>
    <s v="MARZO"/>
    <x v="42"/>
    <s v="LUNES"/>
    <n v="256616"/>
    <x v="22"/>
    <n v="792"/>
    <n v="198"/>
    <n v="134.64000000000001"/>
    <x v="3"/>
  </r>
  <r>
    <x v="253"/>
    <s v="MARZO"/>
    <x v="42"/>
    <s v="LUNES"/>
    <n v="256617"/>
    <x v="3"/>
    <n v="792"/>
    <n v="198"/>
    <n v="134.64000000000001"/>
    <x v="3"/>
  </r>
  <r>
    <x v="253"/>
    <s v="MARZO"/>
    <x v="42"/>
    <s v="LUNES"/>
    <n v="256666"/>
    <x v="4"/>
    <n v="324"/>
    <n v="162"/>
    <n v="55.080000000000005"/>
    <x v="3"/>
  </r>
  <r>
    <x v="253"/>
    <s v="MARZO"/>
    <x v="42"/>
    <s v="LUNES"/>
    <n v="256488"/>
    <x v="6"/>
    <n v="4800"/>
    <n v="120"/>
    <n v="816.00000000000011"/>
    <x v="3"/>
  </r>
  <r>
    <x v="253"/>
    <s v="MARZO"/>
    <x v="42"/>
    <s v="LUNES"/>
    <n v="256676"/>
    <x v="17"/>
    <n v="840"/>
    <n v="120"/>
    <n v="142.80000000000001"/>
    <x v="3"/>
  </r>
  <r>
    <x v="253"/>
    <s v="MARZO"/>
    <x v="42"/>
    <s v="LUNES"/>
    <n v="256674"/>
    <x v="7"/>
    <n v="1080"/>
    <n v="198"/>
    <n v="183.60000000000002"/>
    <x v="3"/>
  </r>
  <r>
    <x v="253"/>
    <s v="MARZO"/>
    <x v="42"/>
    <s v="LUNES"/>
    <n v="256675"/>
    <x v="8"/>
    <n v="1512"/>
    <n v="198"/>
    <n v="257.04000000000002"/>
    <x v="3"/>
  </r>
  <r>
    <x v="253"/>
    <s v="MARZO"/>
    <x v="42"/>
    <s v="LUNES"/>
    <n v="256679"/>
    <x v="23"/>
    <n v="900"/>
    <n v="90"/>
    <n v="153"/>
    <x v="3"/>
  </r>
  <r>
    <x v="253"/>
    <s v="MARZO"/>
    <x v="42"/>
    <s v="LUNES"/>
    <n v="256695"/>
    <x v="25"/>
    <n v="1800"/>
    <n v="225"/>
    <n v="756"/>
    <x v="3"/>
  </r>
  <r>
    <x v="253"/>
    <s v="MARZO"/>
    <x v="42"/>
    <s v="LUNES"/>
    <n v="256721"/>
    <x v="43"/>
    <n v="1000"/>
    <n v="420"/>
    <n v="420"/>
    <x v="3"/>
  </r>
  <r>
    <x v="253"/>
    <s v="MARZO"/>
    <x v="42"/>
    <s v="LUNES"/>
    <n v="751315"/>
    <x v="24"/>
    <n v="1260"/>
    <n v="420"/>
    <n v="529.19999999999993"/>
    <x v="3"/>
  </r>
  <r>
    <x v="254"/>
    <s v="MARZO"/>
    <x v="42"/>
    <s v="DOMINGO"/>
    <n v="256695"/>
    <x v="25"/>
    <n v="2250"/>
    <n v="225"/>
    <n v="945"/>
    <x v="3"/>
  </r>
  <r>
    <x v="253"/>
    <s v="MARZO"/>
    <x v="42"/>
    <s v="LUNES"/>
    <n v="256383"/>
    <x v="28"/>
    <n v="240"/>
    <n v="30"/>
    <n v="55.2"/>
    <x v="3"/>
  </r>
  <r>
    <x v="253"/>
    <s v="MARZO"/>
    <x v="42"/>
    <s v="LUNES"/>
    <n v="256379"/>
    <x v="15"/>
    <n v="300"/>
    <n v="50"/>
    <n v="120"/>
    <x v="3"/>
  </r>
  <r>
    <x v="253"/>
    <s v="MARZO"/>
    <x v="42"/>
    <s v="LUNES"/>
    <n v="251429"/>
    <x v="0"/>
    <n v="960"/>
    <n v="48"/>
    <n v="384"/>
    <x v="3"/>
  </r>
  <r>
    <x v="253"/>
    <s v="MARZO"/>
    <x v="42"/>
    <s v="LUNES"/>
    <n v="751315"/>
    <x v="24"/>
    <n v="840"/>
    <n v="420"/>
    <n v="352.8"/>
    <x v="3"/>
  </r>
  <r>
    <x v="253"/>
    <s v="MARZO"/>
    <x v="42"/>
    <s v="LUNES"/>
    <n v="256676"/>
    <x v="17"/>
    <n v="360"/>
    <n v="120"/>
    <n v="61.2"/>
    <x v="3"/>
  </r>
  <r>
    <x v="253"/>
    <s v="MARZO"/>
    <x v="42"/>
    <s v="LUNES"/>
    <n v="256675"/>
    <x v="8"/>
    <n v="648"/>
    <n v="198"/>
    <n v="110.16000000000001"/>
    <x v="3"/>
  </r>
  <r>
    <x v="253"/>
    <s v="MARZO"/>
    <x v="42"/>
    <s v="LUNES"/>
    <n v="256677"/>
    <x v="10"/>
    <n v="3360"/>
    <n v="120"/>
    <n v="571.20000000000005"/>
    <x v="3"/>
  </r>
  <r>
    <x v="253"/>
    <s v="MARZO"/>
    <x v="42"/>
    <s v="LUNES"/>
    <n v="256679"/>
    <x v="23"/>
    <n v="900"/>
    <n v="90"/>
    <n v="153"/>
    <x v="3"/>
  </r>
  <r>
    <x v="253"/>
    <s v="MARZO"/>
    <x v="42"/>
    <s v="LUNES"/>
    <n v="256678"/>
    <x v="11"/>
    <n v="3690"/>
    <n v="90"/>
    <n v="627.30000000000007"/>
    <x v="3"/>
  </r>
  <r>
    <x v="253"/>
    <s v="MARZO"/>
    <x v="42"/>
    <s v="LUNES"/>
    <n v="256652"/>
    <x v="9"/>
    <n v="900"/>
    <n v="90"/>
    <n v="153"/>
    <x v="3"/>
  </r>
  <r>
    <x v="253"/>
    <s v="MARZO"/>
    <x v="42"/>
    <s v="LUNES"/>
    <n v="256677"/>
    <x v="10"/>
    <n v="5760"/>
    <n v="120"/>
    <n v="979.2"/>
    <x v="3"/>
  </r>
  <r>
    <x v="253"/>
    <s v="MARZO"/>
    <x v="42"/>
    <s v="LUNES"/>
    <n v="256678"/>
    <x v="11"/>
    <n v="2160"/>
    <n v="90"/>
    <n v="367.20000000000005"/>
    <x v="3"/>
  </r>
  <r>
    <x v="253"/>
    <s v="MARZO"/>
    <x v="42"/>
    <s v="LUNES"/>
    <n v="256720"/>
    <x v="42"/>
    <n v="250"/>
    <n v="420"/>
    <n v="105"/>
    <x v="3"/>
  </r>
  <r>
    <x v="253"/>
    <s v="MARZO"/>
    <x v="42"/>
    <s v="LUNES"/>
    <n v="256678"/>
    <x v="11"/>
    <n v="360"/>
    <n v="90"/>
    <n v="61.2"/>
    <x v="3"/>
  </r>
  <r>
    <x v="253"/>
    <s v="MARZO"/>
    <x v="42"/>
    <s v="LUNES"/>
    <n v="256695"/>
    <x v="25"/>
    <n v="225"/>
    <n v="225"/>
    <n v="94.5"/>
    <x v="3"/>
  </r>
  <r>
    <x v="255"/>
    <s v="MARZO"/>
    <x v="42"/>
    <s v="MARTES"/>
    <n v="254762"/>
    <x v="40"/>
    <n v="224"/>
    <n v="240"/>
    <n v="89.600000000000009"/>
    <x v="3"/>
  </r>
  <r>
    <x v="255"/>
    <s v="MARZO"/>
    <x v="42"/>
    <s v="MARTES"/>
    <n v="256666"/>
    <x v="4"/>
    <n v="648"/>
    <n v="162"/>
    <n v="110.16000000000001"/>
    <x v="3"/>
  </r>
  <r>
    <x v="255"/>
    <s v="MARZO"/>
    <x v="42"/>
    <s v="MARTES"/>
    <n v="256601"/>
    <x v="5"/>
    <n v="810"/>
    <n v="162"/>
    <n v="137.70000000000002"/>
    <x v="3"/>
  </r>
  <r>
    <x v="255"/>
    <s v="MARZO"/>
    <x v="42"/>
    <s v="MARTES"/>
    <n v="256488"/>
    <x v="6"/>
    <n v="3000"/>
    <n v="120"/>
    <n v="510.00000000000006"/>
    <x v="3"/>
  </r>
  <r>
    <x v="255"/>
    <s v="MARZO"/>
    <x v="42"/>
    <s v="MARTES"/>
    <n v="256676"/>
    <x v="17"/>
    <n v="1800"/>
    <n v="120"/>
    <n v="306"/>
    <x v="3"/>
  </r>
  <r>
    <x v="255"/>
    <s v="MARZO"/>
    <x v="42"/>
    <s v="MARTES"/>
    <n v="256675"/>
    <x v="8"/>
    <n v="1080"/>
    <n v="198"/>
    <n v="183.60000000000002"/>
    <x v="3"/>
  </r>
  <r>
    <x v="255"/>
    <s v="MARZO"/>
    <x v="42"/>
    <s v="MARTES"/>
    <n v="256652"/>
    <x v="9"/>
    <n v="450"/>
    <n v="90"/>
    <n v="76.5"/>
    <x v="3"/>
  </r>
  <r>
    <x v="255"/>
    <s v="MARZO"/>
    <x v="42"/>
    <s v="MARTES"/>
    <n v="256679"/>
    <x v="23"/>
    <n v="720"/>
    <n v="90"/>
    <n v="122.4"/>
    <x v="3"/>
  </r>
  <r>
    <x v="255"/>
    <s v="MARZO"/>
    <x v="42"/>
    <s v="MARTES"/>
    <n v="256678"/>
    <x v="11"/>
    <n v="900"/>
    <n v="90"/>
    <n v="153"/>
    <x v="3"/>
  </r>
  <r>
    <x v="255"/>
    <s v="MARZO"/>
    <x v="42"/>
    <s v="MARTES"/>
    <n v="256383"/>
    <x v="28"/>
    <n v="240"/>
    <n v="30"/>
    <n v="55.2"/>
    <x v="3"/>
  </r>
  <r>
    <x v="255"/>
    <s v="MARZO"/>
    <x v="42"/>
    <s v="MARTES"/>
    <n v="256381"/>
    <x v="13"/>
    <n v="300"/>
    <n v="30"/>
    <n v="120"/>
    <x v="3"/>
  </r>
  <r>
    <x v="255"/>
    <s v="MARZO"/>
    <x v="42"/>
    <s v="MARTES"/>
    <n v="254762"/>
    <x v="40"/>
    <n v="112"/>
    <n v="240"/>
    <n v="44.800000000000004"/>
    <x v="3"/>
  </r>
  <r>
    <x v="255"/>
    <s v="MARZO"/>
    <x v="42"/>
    <s v="MARTES"/>
    <n v="251429"/>
    <x v="0"/>
    <n v="480"/>
    <n v="48"/>
    <n v="192"/>
    <x v="3"/>
  </r>
  <r>
    <x v="255"/>
    <s v="MARZO"/>
    <x v="42"/>
    <s v="MARTES"/>
    <n v="751315"/>
    <x v="24"/>
    <n v="3360"/>
    <n v="420"/>
    <n v="1411.2"/>
    <x v="3"/>
  </r>
  <r>
    <x v="255"/>
    <s v="MARZO"/>
    <x v="42"/>
    <s v="MARTES"/>
    <n v="256652"/>
    <x v="9"/>
    <n v="270"/>
    <n v="90"/>
    <n v="45.900000000000006"/>
    <x v="3"/>
  </r>
  <r>
    <x v="255"/>
    <s v="MARZO"/>
    <x v="42"/>
    <s v="MARTES"/>
    <n v="256677"/>
    <x v="10"/>
    <n v="4800"/>
    <n v="120"/>
    <n v="816.00000000000011"/>
    <x v="3"/>
  </r>
  <r>
    <x v="255"/>
    <s v="MARZO"/>
    <x v="42"/>
    <s v="MARTES"/>
    <n v="751315"/>
    <x v="24"/>
    <n v="2940"/>
    <n v="420"/>
    <n v="1234.8"/>
    <x v="3"/>
  </r>
  <r>
    <x v="255"/>
    <s v="MARZO"/>
    <x v="42"/>
    <s v="MARTES"/>
    <n v="256677"/>
    <x v="10"/>
    <n v="7200"/>
    <n v="120"/>
    <n v="1224"/>
    <x v="3"/>
  </r>
  <r>
    <x v="255"/>
    <s v="MARZO"/>
    <x v="42"/>
    <s v="MARTES"/>
    <n v="256708"/>
    <x v="12"/>
    <n v="450"/>
    <n v="225"/>
    <n v="180"/>
    <x v="3"/>
  </r>
  <r>
    <x v="255"/>
    <s v="MARZO"/>
    <x v="42"/>
    <s v="MARTES"/>
    <n v="256709"/>
    <x v="19"/>
    <n v="225"/>
    <n v="225"/>
    <n v="90"/>
    <x v="3"/>
  </r>
  <r>
    <x v="255"/>
    <s v="MARZO"/>
    <x v="42"/>
    <s v="MARTES"/>
    <s v="G"/>
    <x v="54"/>
    <n v="540"/>
    <n v="180"/>
    <n v="226.79999999999998"/>
    <x v="3"/>
  </r>
  <r>
    <x v="255"/>
    <s v="MARZO"/>
    <x v="42"/>
    <s v="MARTES"/>
    <n v="256720"/>
    <x v="42"/>
    <n v="250"/>
    <n v="420"/>
    <n v="105"/>
    <x v="3"/>
  </r>
  <r>
    <x v="256"/>
    <s v="MARZO"/>
    <x v="42"/>
    <s v="MIÉRCOLES"/>
    <n v="252436"/>
    <x v="36"/>
    <n v="720"/>
    <n v="90"/>
    <n v="288"/>
    <x v="3"/>
  </r>
  <r>
    <x v="256"/>
    <s v="MARZO"/>
    <x v="42"/>
    <s v="MIÉRCOLES"/>
    <n v="256685"/>
    <x v="38"/>
    <n v="336"/>
    <n v="112"/>
    <n v="134.4"/>
    <x v="3"/>
  </r>
  <r>
    <x v="256"/>
    <s v="MARZO"/>
    <x v="42"/>
    <s v="MIÉRCOLES"/>
    <n v="256548"/>
    <x v="34"/>
    <n v="216"/>
    <n v="198"/>
    <n v="36.720000000000006"/>
    <x v="3"/>
  </r>
  <r>
    <x v="256"/>
    <s v="MARZO"/>
    <x v="42"/>
    <s v="MIÉRCOLES"/>
    <n v="256616"/>
    <x v="22"/>
    <n v="990"/>
    <n v="198"/>
    <n v="168.3"/>
    <x v="3"/>
  </r>
  <r>
    <x v="256"/>
    <s v="MARZO"/>
    <x v="42"/>
    <s v="MIÉRCOLES"/>
    <n v="256617"/>
    <x v="3"/>
    <n v="990"/>
    <n v="198"/>
    <n v="168.3"/>
    <x v="3"/>
  </r>
  <r>
    <x v="256"/>
    <s v="MARZO"/>
    <x v="42"/>
    <s v="MIÉRCOLES"/>
    <n v="256488"/>
    <x v="6"/>
    <n v="2400"/>
    <n v="120"/>
    <n v="408.00000000000006"/>
    <x v="3"/>
  </r>
  <r>
    <x v="256"/>
    <s v="MARZO"/>
    <x v="42"/>
    <s v="MIÉRCOLES"/>
    <n v="256674"/>
    <x v="7"/>
    <n v="3240"/>
    <n v="198"/>
    <n v="550.80000000000007"/>
    <x v="3"/>
  </r>
  <r>
    <x v="256"/>
    <s v="MARZO"/>
    <x v="42"/>
    <s v="MIÉRCOLES"/>
    <n v="256675"/>
    <x v="8"/>
    <n v="1296"/>
    <n v="198"/>
    <n v="220.32000000000002"/>
    <x v="3"/>
  </r>
  <r>
    <x v="256"/>
    <s v="MARZO"/>
    <x v="42"/>
    <s v="MIÉRCOLES"/>
    <n v="256680"/>
    <x v="26"/>
    <n v="450"/>
    <n v="90"/>
    <n v="76.5"/>
    <x v="3"/>
  </r>
  <r>
    <x v="256"/>
    <s v="MARZO"/>
    <x v="42"/>
    <s v="MIÉRCOLES"/>
    <n v="256679"/>
    <x v="23"/>
    <n v="450"/>
    <n v="90"/>
    <n v="76.5"/>
    <x v="3"/>
  </r>
  <r>
    <x v="256"/>
    <s v="MARZO"/>
    <x v="42"/>
    <s v="MIÉRCOLES"/>
    <n v="256682"/>
    <x v="20"/>
    <n v="450"/>
    <n v="90"/>
    <n v="76.5"/>
    <x v="3"/>
  </r>
  <r>
    <x v="256"/>
    <s v="MARZO"/>
    <x v="42"/>
    <s v="MIÉRCOLES"/>
    <n v="256720"/>
    <x v="42"/>
    <n v="750"/>
    <n v="420"/>
    <n v="315"/>
    <x v="3"/>
  </r>
  <r>
    <x v="256"/>
    <s v="MARZO"/>
    <x v="42"/>
    <s v="MIÉRCOLES"/>
    <n v="256737"/>
    <x v="44"/>
    <n v="375"/>
    <n v="420"/>
    <n v="157.5"/>
    <x v="3"/>
  </r>
  <r>
    <x v="257"/>
    <s v="MARZO"/>
    <x v="42"/>
    <s v="VIERNES"/>
    <n v="256383"/>
    <x v="28"/>
    <n v="180"/>
    <n v="30"/>
    <n v="41.4"/>
    <x v="3"/>
  </r>
  <r>
    <x v="257"/>
    <s v="MARZO"/>
    <x v="42"/>
    <s v="VIERNES"/>
    <n v="256381"/>
    <x v="13"/>
    <n v="180"/>
    <n v="30"/>
    <n v="72"/>
    <x v="3"/>
  </r>
  <r>
    <x v="257"/>
    <s v="MARZO"/>
    <x v="42"/>
    <s v="VIERNES"/>
    <n v="252436"/>
    <x v="36"/>
    <n v="180"/>
    <n v="90"/>
    <n v="72"/>
    <x v="3"/>
  </r>
  <r>
    <x v="257"/>
    <s v="MARZO"/>
    <x v="42"/>
    <s v="VIERNES"/>
    <n v="251429"/>
    <x v="0"/>
    <n v="960"/>
    <n v="48"/>
    <n v="384"/>
    <x v="3"/>
  </r>
  <r>
    <x v="257"/>
    <s v="MARZO"/>
    <x v="42"/>
    <s v="VIERNES"/>
    <n v="256616"/>
    <x v="22"/>
    <n v="396"/>
    <n v="198"/>
    <n v="67.320000000000007"/>
    <x v="3"/>
  </r>
  <r>
    <x v="257"/>
    <s v="MARZO"/>
    <x v="42"/>
    <s v="VIERNES"/>
    <n v="256617"/>
    <x v="3"/>
    <n v="396"/>
    <n v="198"/>
    <n v="67.320000000000007"/>
    <x v="3"/>
  </r>
  <r>
    <x v="257"/>
    <s v="MARZO"/>
    <x v="42"/>
    <s v="VIERNES"/>
    <n v="256666"/>
    <x v="4"/>
    <n v="810"/>
    <n v="162"/>
    <n v="137.70000000000002"/>
    <x v="3"/>
  </r>
  <r>
    <x v="257"/>
    <s v="MARZO"/>
    <x v="42"/>
    <s v="VIERNES"/>
    <n v="256601"/>
    <x v="5"/>
    <n v="324"/>
    <n v="162"/>
    <n v="55.080000000000005"/>
    <x v="3"/>
  </r>
  <r>
    <x v="257"/>
    <s v="MARZO"/>
    <x v="42"/>
    <s v="VIERNES"/>
    <n v="256676"/>
    <x v="17"/>
    <n v="1800"/>
    <n v="120"/>
    <n v="306"/>
    <x v="3"/>
  </r>
  <r>
    <x v="257"/>
    <s v="MARZO"/>
    <x v="42"/>
    <s v="VIERNES"/>
    <n v="256674"/>
    <x v="7"/>
    <n v="1440"/>
    <n v="198"/>
    <n v="244.8"/>
    <x v="3"/>
  </r>
  <r>
    <x v="257"/>
    <s v="MARZO"/>
    <x v="42"/>
    <s v="VIERNES"/>
    <n v="256678"/>
    <x v="11"/>
    <n v="1440"/>
    <n v="90"/>
    <n v="244.8"/>
    <x v="3"/>
  </r>
  <r>
    <x v="257"/>
    <s v="MARZO"/>
    <x v="42"/>
    <s v="VIERNES"/>
    <n v="251632"/>
    <x v="35"/>
    <n v="1800"/>
    <n v="180"/>
    <n v="756"/>
    <x v="3"/>
  </r>
  <r>
    <x v="257"/>
    <s v="MARZO"/>
    <x v="42"/>
    <s v="VIERNES"/>
    <s v="C"/>
    <x v="53"/>
    <n v="180"/>
    <n v="60"/>
    <n v="124.19999999999999"/>
    <x v="3"/>
  </r>
  <r>
    <x v="257"/>
    <s v="MARZO"/>
    <x v="42"/>
    <s v="VIERNES"/>
    <n v="252436"/>
    <x v="36"/>
    <n v="720"/>
    <n v="90"/>
    <n v="288"/>
    <x v="3"/>
  </r>
  <r>
    <x v="257"/>
    <s v="MARZO"/>
    <x v="42"/>
    <s v="VIERNES"/>
    <n v="751315"/>
    <x v="24"/>
    <n v="2100"/>
    <n v="420"/>
    <n v="882"/>
    <x v="3"/>
  </r>
  <r>
    <x v="257"/>
    <s v="MARZO"/>
    <x v="42"/>
    <s v="VIERNES"/>
    <n v="256709"/>
    <x v="19"/>
    <n v="225"/>
    <n v="225"/>
    <n v="90"/>
    <x v="3"/>
  </r>
  <r>
    <x v="257"/>
    <s v="MARZO"/>
    <x v="42"/>
    <s v="VIERNES"/>
    <n v="256720"/>
    <x v="42"/>
    <n v="750"/>
    <n v="420"/>
    <n v="315"/>
    <x v="3"/>
  </r>
  <r>
    <x v="257"/>
    <s v="MARZO"/>
    <x v="42"/>
    <s v="VIERNES"/>
    <s v="C"/>
    <x v="53"/>
    <n v="120"/>
    <n v="60"/>
    <n v="82.8"/>
    <x v="3"/>
  </r>
  <r>
    <x v="258"/>
    <s v="MARZO"/>
    <x v="42"/>
    <s v="JUEVES"/>
    <n v="256685"/>
    <x v="38"/>
    <n v="560"/>
    <n v="112"/>
    <n v="224"/>
    <x v="3"/>
  </r>
  <r>
    <x v="258"/>
    <s v="MARZO"/>
    <x v="42"/>
    <s v="JUEVES"/>
    <n v="751468"/>
    <x v="32"/>
    <n v="1260"/>
    <n v="420"/>
    <n v="529.19999999999993"/>
    <x v="3"/>
  </r>
  <r>
    <x v="258"/>
    <s v="MARZO"/>
    <x v="42"/>
    <s v="JUEVES"/>
    <n v="251633"/>
    <x v="16"/>
    <n v="900"/>
    <n v="180"/>
    <n v="378"/>
    <x v="3"/>
  </r>
  <r>
    <x v="258"/>
    <s v="MARZO"/>
    <x v="42"/>
    <s v="JUEVES"/>
    <n v="256677"/>
    <x v="10"/>
    <n v="2400"/>
    <n v="120"/>
    <n v="408.00000000000006"/>
    <x v="3"/>
  </r>
  <r>
    <x v="258"/>
    <s v="MARZO"/>
    <x v="42"/>
    <s v="JUEVES"/>
    <n v="256695"/>
    <x v="25"/>
    <n v="1350"/>
    <n v="225"/>
    <n v="567"/>
    <x v="3"/>
  </r>
  <r>
    <x v="258"/>
    <s v="MARZO"/>
    <x v="42"/>
    <s v="JUEVES"/>
    <n v="256709"/>
    <x v="19"/>
    <n v="225"/>
    <n v="225"/>
    <n v="90"/>
    <x v="3"/>
  </r>
  <r>
    <x v="258"/>
    <s v="MARZO"/>
    <x v="42"/>
    <s v="JUEVES"/>
    <n v="256721"/>
    <x v="43"/>
    <n v="1000"/>
    <n v="420"/>
    <n v="420"/>
    <x v="3"/>
  </r>
  <r>
    <x v="258"/>
    <s v="MARZO"/>
    <x v="42"/>
    <s v="JUEVES"/>
    <n v="256379"/>
    <x v="15"/>
    <n v="200"/>
    <n v="50"/>
    <n v="80"/>
    <x v="3"/>
  </r>
  <r>
    <x v="258"/>
    <s v="MARZO"/>
    <x v="42"/>
    <s v="JUEVES"/>
    <n v="251406"/>
    <x v="1"/>
    <n v="216"/>
    <n v="198"/>
    <n v="36.720000000000006"/>
    <x v="3"/>
  </r>
  <r>
    <x v="258"/>
    <s v="MARZO"/>
    <x v="42"/>
    <s v="JUEVES"/>
    <n v="254853"/>
    <x v="2"/>
    <n v="1728"/>
    <n v="198"/>
    <n v="293.76000000000005"/>
    <x v="3"/>
  </r>
  <r>
    <x v="258"/>
    <s v="MARZO"/>
    <x v="42"/>
    <s v="JUEVES"/>
    <n v="256674"/>
    <x v="7"/>
    <n v="1080"/>
    <n v="198"/>
    <n v="183.60000000000002"/>
    <x v="3"/>
  </r>
  <r>
    <x v="258"/>
    <s v="MARZO"/>
    <x v="42"/>
    <s v="JUEVES"/>
    <n v="256677"/>
    <x v="10"/>
    <n v="8160"/>
    <n v="120"/>
    <n v="1387.2"/>
    <x v="3"/>
  </r>
  <r>
    <x v="258"/>
    <s v="MARZO"/>
    <x v="42"/>
    <s v="JUEVES"/>
    <n v="256678"/>
    <x v="11"/>
    <n v="810"/>
    <n v="90"/>
    <n v="137.70000000000002"/>
    <x v="3"/>
  </r>
  <r>
    <x v="258"/>
    <s v="MARZO"/>
    <x v="42"/>
    <s v="JUEVES"/>
    <n v="256720"/>
    <x v="42"/>
    <n v="250"/>
    <n v="420"/>
    <n v="105"/>
    <x v="3"/>
  </r>
  <r>
    <x v="258"/>
    <s v="MARZO"/>
    <x v="42"/>
    <s v="JUEVES"/>
    <n v="256753"/>
    <x v="48"/>
    <n v="240"/>
    <n v="30"/>
    <n v="50.4"/>
    <x v="3"/>
  </r>
  <r>
    <x v="258"/>
    <s v="MARZO"/>
    <x v="42"/>
    <s v="JUEVES"/>
    <n v="751315"/>
    <x v="24"/>
    <n v="1680"/>
    <n v="420"/>
    <n v="705.6"/>
    <x v="3"/>
  </r>
  <r>
    <x v="258"/>
    <s v="MARZO"/>
    <x v="42"/>
    <s v="JUEVES"/>
    <n v="256695"/>
    <x v="25"/>
    <n v="1800"/>
    <n v="225"/>
    <n v="756"/>
    <x v="3"/>
  </r>
  <r>
    <x v="258"/>
    <s v="MARZO"/>
    <x v="42"/>
    <s v="JUEVES"/>
    <n v="256721"/>
    <x v="43"/>
    <n v="1000"/>
    <n v="420"/>
    <n v="420"/>
    <x v="3"/>
  </r>
  <r>
    <x v="258"/>
    <s v="MARZO"/>
    <x v="42"/>
    <s v="JUEVES"/>
    <n v="751315"/>
    <x v="24"/>
    <n v="2520"/>
    <n v="420"/>
    <n v="1058.3999999999999"/>
    <x v="3"/>
  </r>
  <r>
    <x v="258"/>
    <s v="MARZO"/>
    <x v="42"/>
    <s v="JUEVES"/>
    <n v="251406"/>
    <x v="1"/>
    <n v="3024"/>
    <n v="198"/>
    <n v="514.08000000000004"/>
    <x v="3"/>
  </r>
  <r>
    <x v="258"/>
    <s v="MARZO"/>
    <x v="42"/>
    <s v="JUEVES"/>
    <n v="254853"/>
    <x v="2"/>
    <n v="432"/>
    <n v="198"/>
    <n v="73.440000000000012"/>
    <x v="3"/>
  </r>
  <r>
    <x v="258"/>
    <s v="MARZO"/>
    <x v="42"/>
    <s v="JUEVES"/>
    <n v="256488"/>
    <x v="6"/>
    <n v="3600"/>
    <n v="120"/>
    <n v="612"/>
    <x v="3"/>
  </r>
  <r>
    <x v="258"/>
    <s v="MARZO"/>
    <x v="42"/>
    <s v="JUEVES"/>
    <n v="256676"/>
    <x v="17"/>
    <n v="1800"/>
    <n v="120"/>
    <n v="306"/>
    <x v="3"/>
  </r>
  <r>
    <x v="258"/>
    <s v="MARZO"/>
    <x v="42"/>
    <s v="JUEVES"/>
    <n v="256652"/>
    <x v="9"/>
    <n v="450"/>
    <n v="90"/>
    <n v="76.5"/>
    <x v="3"/>
  </r>
  <r>
    <x v="258"/>
    <s v="MARZO"/>
    <x v="42"/>
    <s v="JUEVES"/>
    <n v="256677"/>
    <x v="10"/>
    <n v="1440"/>
    <n v="120"/>
    <n v="244.8"/>
    <x v="3"/>
  </r>
  <r>
    <x v="258"/>
    <s v="MARZO"/>
    <x v="42"/>
    <s v="JUEVES"/>
    <n v="256680"/>
    <x v="26"/>
    <n v="450"/>
    <n v="90"/>
    <n v="76.5"/>
    <x v="3"/>
  </r>
  <r>
    <x v="258"/>
    <s v="MARZO"/>
    <x v="42"/>
    <s v="JUEVES"/>
    <n v="256678"/>
    <x v="11"/>
    <n v="1080"/>
    <n v="90"/>
    <n v="183.60000000000002"/>
    <x v="3"/>
  </r>
  <r>
    <x v="256"/>
    <s v="MARZO"/>
    <x v="42"/>
    <s v="MIÉRCOLES"/>
    <n v="751468"/>
    <x v="32"/>
    <n v="1260"/>
    <n v="420"/>
    <n v="529.19999999999993"/>
    <x v="3"/>
  </r>
  <r>
    <x v="256"/>
    <s v="MARZO"/>
    <x v="42"/>
    <s v="MIÉRCOLES"/>
    <n v="751544"/>
    <x v="39"/>
    <n v="2100"/>
    <n v="420"/>
    <n v="882"/>
    <x v="3"/>
  </r>
  <r>
    <x v="256"/>
    <s v="MARZO"/>
    <x v="42"/>
    <s v="MIÉRCOLES"/>
    <n v="251406"/>
    <x v="1"/>
    <n v="864"/>
    <n v="198"/>
    <n v="146.88000000000002"/>
    <x v="3"/>
  </r>
  <r>
    <x v="256"/>
    <s v="MARZO"/>
    <x v="42"/>
    <s v="MIÉRCOLES"/>
    <n v="254853"/>
    <x v="2"/>
    <n v="864"/>
    <n v="198"/>
    <n v="146.88000000000002"/>
    <x v="3"/>
  </r>
  <r>
    <x v="256"/>
    <s v="MARZO"/>
    <x v="42"/>
    <s v="MIÉRCOLES"/>
    <n v="256677"/>
    <x v="10"/>
    <n v="1200"/>
    <n v="120"/>
    <n v="204.00000000000003"/>
    <x v="3"/>
  </r>
  <r>
    <x v="256"/>
    <s v="MARZO"/>
    <x v="42"/>
    <s v="MIÉRCOLES"/>
    <n v="256678"/>
    <x v="11"/>
    <n v="720"/>
    <n v="90"/>
    <n v="122.4"/>
    <x v="3"/>
  </r>
  <r>
    <x v="256"/>
    <s v="MARZO"/>
    <x v="42"/>
    <s v="MIÉRCOLES"/>
    <n v="251632"/>
    <x v="35"/>
    <n v="900"/>
    <n v="180"/>
    <n v="378"/>
    <x v="3"/>
  </r>
  <r>
    <x v="256"/>
    <s v="MARZO"/>
    <x v="42"/>
    <s v="MIÉRCOLES"/>
    <n v="751468"/>
    <x v="32"/>
    <n v="840"/>
    <n v="420"/>
    <n v="352.8"/>
    <x v="3"/>
  </r>
  <r>
    <x v="256"/>
    <s v="MARZO"/>
    <x v="42"/>
    <s v="MIÉRCOLES"/>
    <n v="251633"/>
    <x v="16"/>
    <n v="1440"/>
    <n v="180"/>
    <n v="604.79999999999995"/>
    <x v="3"/>
  </r>
  <r>
    <x v="256"/>
    <s v="MARZO"/>
    <x v="42"/>
    <s v="MIÉRCOLES"/>
    <n v="251406"/>
    <x v="1"/>
    <n v="1296"/>
    <n v="198"/>
    <n v="220.32000000000002"/>
    <x v="3"/>
  </r>
  <r>
    <x v="256"/>
    <s v="MARZO"/>
    <x v="42"/>
    <s v="MIÉRCOLES"/>
    <n v="254853"/>
    <x v="2"/>
    <n v="1296"/>
    <n v="198"/>
    <n v="220.32000000000002"/>
    <x v="3"/>
  </r>
  <r>
    <x v="256"/>
    <s v="MARZO"/>
    <x v="42"/>
    <s v="MIÉRCOLES"/>
    <n v="256652"/>
    <x v="9"/>
    <n v="450"/>
    <n v="90"/>
    <n v="76.5"/>
    <x v="3"/>
  </r>
  <r>
    <x v="256"/>
    <s v="MARZO"/>
    <x v="42"/>
    <s v="MIÉRCOLES"/>
    <n v="256677"/>
    <x v="10"/>
    <n v="10800"/>
    <n v="120"/>
    <n v="1836.0000000000002"/>
    <x v="3"/>
  </r>
  <r>
    <x v="256"/>
    <s v="MARZO"/>
    <x v="42"/>
    <s v="MIÉRCOLES"/>
    <n v="256678"/>
    <x v="11"/>
    <n v="1440"/>
    <n v="90"/>
    <n v="244.8"/>
    <x v="3"/>
  </r>
  <r>
    <x v="256"/>
    <s v="MARZO"/>
    <x v="42"/>
    <s v="MIÉRCOLES"/>
    <n v="256709"/>
    <x v="19"/>
    <n v="450"/>
    <n v="225"/>
    <n v="180"/>
    <x v="3"/>
  </r>
  <r>
    <x v="259"/>
    <s v="MARZO"/>
    <x v="43"/>
    <s v="MARTES"/>
    <n v="251429"/>
    <x v="0"/>
    <n v="288"/>
    <n v="48"/>
    <n v="115.2"/>
    <x v="3"/>
  </r>
  <r>
    <x v="259"/>
    <s v="MARZO"/>
    <x v="43"/>
    <s v="MARTES"/>
    <n v="256678"/>
    <x v="11"/>
    <n v="450"/>
    <n v="90"/>
    <n v="76.5"/>
    <x v="3"/>
  </r>
  <r>
    <x v="259"/>
    <s v="MARZO"/>
    <x v="43"/>
    <s v="MARTES"/>
    <n v="256682"/>
    <x v="20"/>
    <n v="450"/>
    <n v="90"/>
    <n v="76.5"/>
    <x v="3"/>
  </r>
  <r>
    <x v="259"/>
    <s v="MARZO"/>
    <x v="43"/>
    <s v="MARTES"/>
    <n v="256753"/>
    <x v="48"/>
    <n v="240"/>
    <n v="30"/>
    <n v="50.4"/>
    <x v="3"/>
  </r>
  <r>
    <x v="259"/>
    <s v="MARZO"/>
    <x v="43"/>
    <s v="MARTES"/>
    <s v="D"/>
    <x v="56"/>
    <n v="1250"/>
    <n v="250"/>
    <n v="525"/>
    <x v="3"/>
  </r>
  <r>
    <x v="259"/>
    <s v="MARZO"/>
    <x v="43"/>
    <s v="MARTES"/>
    <n v="256737"/>
    <x v="44"/>
    <n v="750"/>
    <n v="420"/>
    <n v="315"/>
    <x v="3"/>
  </r>
  <r>
    <x v="259"/>
    <s v="MARZO"/>
    <x v="43"/>
    <s v="MARTES"/>
    <n v="252436"/>
    <x v="36"/>
    <n v="450"/>
    <n v="90"/>
    <n v="180"/>
    <x v="3"/>
  </r>
  <r>
    <x v="259"/>
    <s v="MARZO"/>
    <x v="43"/>
    <s v="MARTES"/>
    <n v="251429"/>
    <x v="0"/>
    <n v="1152"/>
    <n v="48"/>
    <n v="460.8"/>
    <x v="3"/>
  </r>
  <r>
    <x v="259"/>
    <s v="MARZO"/>
    <x v="43"/>
    <s v="MARTES"/>
    <n v="251633"/>
    <x v="16"/>
    <n v="540"/>
    <n v="180"/>
    <n v="226.79999999999998"/>
    <x v="3"/>
  </r>
  <r>
    <x v="259"/>
    <s v="MARZO"/>
    <x v="43"/>
    <s v="MARTES"/>
    <n v="256488"/>
    <x v="6"/>
    <n v="720"/>
    <n v="120"/>
    <n v="122.4"/>
    <x v="3"/>
  </r>
  <r>
    <x v="259"/>
    <s v="MARZO"/>
    <x v="43"/>
    <s v="MARTES"/>
    <n v="256676"/>
    <x v="17"/>
    <n v="360"/>
    <n v="120"/>
    <n v="61.2"/>
    <x v="3"/>
  </r>
  <r>
    <x v="259"/>
    <s v="MARZO"/>
    <x v="43"/>
    <s v="MARTES"/>
    <n v="256677"/>
    <x v="10"/>
    <n v="4320"/>
    <n v="120"/>
    <n v="734.40000000000009"/>
    <x v="3"/>
  </r>
  <r>
    <x v="259"/>
    <s v="MARZO"/>
    <x v="43"/>
    <s v="MARTES"/>
    <n v="256678"/>
    <x v="11"/>
    <n v="1440"/>
    <n v="90"/>
    <n v="244.8"/>
    <x v="3"/>
  </r>
  <r>
    <x v="259"/>
    <s v="MARZO"/>
    <x v="43"/>
    <s v="MARTES"/>
    <n v="256753"/>
    <x v="48"/>
    <n v="360"/>
    <n v="30"/>
    <n v="75.599999999999994"/>
    <x v="3"/>
  </r>
  <r>
    <x v="259"/>
    <s v="MARZO"/>
    <x v="43"/>
    <s v="MARTES"/>
    <s v="A"/>
    <x v="50"/>
    <n v="1200"/>
    <n v="200"/>
    <n v="504"/>
    <x v="3"/>
  </r>
  <r>
    <x v="259"/>
    <s v="MARZO"/>
    <x v="43"/>
    <s v="MARTES"/>
    <n v="254762"/>
    <x v="40"/>
    <n v="336"/>
    <n v="240"/>
    <n v="134.4"/>
    <x v="3"/>
  </r>
  <r>
    <x v="259"/>
    <s v="MARZO"/>
    <x v="43"/>
    <s v="MARTES"/>
    <n v="751315"/>
    <x v="24"/>
    <n v="2100"/>
    <n v="420"/>
    <n v="882"/>
    <x v="3"/>
  </r>
  <r>
    <x v="259"/>
    <s v="MARZO"/>
    <x v="43"/>
    <s v="MARTES"/>
    <n v="251406"/>
    <x v="1"/>
    <n v="1080"/>
    <n v="198"/>
    <n v="183.60000000000002"/>
    <x v="3"/>
  </r>
  <r>
    <x v="259"/>
    <s v="MARZO"/>
    <x v="43"/>
    <s v="MARTES"/>
    <n v="256666"/>
    <x v="4"/>
    <n v="486"/>
    <n v="162"/>
    <n v="82.62"/>
    <x v="3"/>
  </r>
  <r>
    <x v="259"/>
    <s v="MARZO"/>
    <x v="43"/>
    <s v="MARTES"/>
    <n v="256601"/>
    <x v="5"/>
    <n v="324"/>
    <n v="162"/>
    <n v="55.080000000000005"/>
    <x v="3"/>
  </r>
  <r>
    <x v="259"/>
    <s v="MARZO"/>
    <x v="43"/>
    <s v="MARTES"/>
    <n v="256488"/>
    <x v="6"/>
    <n v="2880"/>
    <n v="120"/>
    <n v="489.6"/>
    <x v="3"/>
  </r>
  <r>
    <x v="259"/>
    <s v="MARZO"/>
    <x v="43"/>
    <s v="MARTES"/>
    <n v="256676"/>
    <x v="17"/>
    <n v="1440"/>
    <n v="120"/>
    <n v="244.8"/>
    <x v="3"/>
  </r>
  <r>
    <x v="259"/>
    <s v="MARZO"/>
    <x v="43"/>
    <s v="MARTES"/>
    <n v="256674"/>
    <x v="7"/>
    <n v="1080"/>
    <n v="198"/>
    <n v="183.60000000000002"/>
    <x v="3"/>
  </r>
  <r>
    <x v="259"/>
    <s v="MARZO"/>
    <x v="43"/>
    <s v="MARTES"/>
    <n v="256675"/>
    <x v="8"/>
    <n v="1080"/>
    <n v="198"/>
    <n v="183.60000000000002"/>
    <x v="3"/>
  </r>
  <r>
    <x v="259"/>
    <s v="MARZO"/>
    <x v="43"/>
    <s v="MARTES"/>
    <n v="256677"/>
    <x v="10"/>
    <n v="2880"/>
    <n v="120"/>
    <n v="489.6"/>
    <x v="3"/>
  </r>
  <r>
    <x v="259"/>
    <s v="MARZO"/>
    <x v="43"/>
    <s v="MARTES"/>
    <n v="256695"/>
    <x v="25"/>
    <n v="900"/>
    <n v="225"/>
    <n v="378"/>
    <x v="3"/>
  </r>
  <r>
    <x v="259"/>
    <s v="MARZO"/>
    <x v="43"/>
    <s v="MARTES"/>
    <n v="256708"/>
    <x v="12"/>
    <n v="225"/>
    <n v="225"/>
    <n v="90"/>
    <x v="3"/>
  </r>
  <r>
    <x v="259"/>
    <s v="MARZO"/>
    <x v="43"/>
    <s v="MARTES"/>
    <n v="256709"/>
    <x v="19"/>
    <n v="450"/>
    <n v="225"/>
    <n v="180"/>
    <x v="3"/>
  </r>
  <r>
    <x v="259"/>
    <s v="MARZO"/>
    <x v="43"/>
    <s v="MARTES"/>
    <n v="256720"/>
    <x v="42"/>
    <n v="250"/>
    <n v="420"/>
    <n v="105"/>
    <x v="3"/>
  </r>
  <r>
    <x v="259"/>
    <s v="MARZO"/>
    <x v="43"/>
    <s v="MARTES"/>
    <n v="256721"/>
    <x v="43"/>
    <n v="250"/>
    <n v="420"/>
    <n v="105"/>
    <x v="3"/>
  </r>
  <r>
    <x v="260"/>
    <s v="MARZO"/>
    <x v="43"/>
    <s v="LUNES"/>
    <n v="256383"/>
    <x v="28"/>
    <n v="120"/>
    <n v="30"/>
    <n v="27.6"/>
    <x v="3"/>
  </r>
  <r>
    <x v="260"/>
    <s v="MARZO"/>
    <x v="43"/>
    <s v="LUNES"/>
    <n v="256382"/>
    <x v="33"/>
    <n v="80"/>
    <n v="40"/>
    <n v="18.400000000000002"/>
    <x v="3"/>
  </r>
  <r>
    <x v="260"/>
    <s v="MARZO"/>
    <x v="43"/>
    <s v="LUNES"/>
    <n v="256380"/>
    <x v="14"/>
    <n v="80"/>
    <n v="40"/>
    <n v="18.400000000000002"/>
    <x v="3"/>
  </r>
  <r>
    <x v="260"/>
    <s v="MARZO"/>
    <x v="43"/>
    <s v="LUNES"/>
    <n v="256379"/>
    <x v="15"/>
    <n v="400"/>
    <n v="50"/>
    <n v="160"/>
    <x v="3"/>
  </r>
  <r>
    <x v="260"/>
    <s v="MARZO"/>
    <x v="43"/>
    <s v="LUNES"/>
    <n v="251406"/>
    <x v="1"/>
    <n v="1296"/>
    <n v="198"/>
    <n v="220.32000000000002"/>
    <x v="3"/>
  </r>
  <r>
    <x v="260"/>
    <s v="MARZO"/>
    <x v="43"/>
    <s v="LUNES"/>
    <n v="256617"/>
    <x v="3"/>
    <n v="1950"/>
    <n v="198"/>
    <n v="331.5"/>
    <x v="3"/>
  </r>
  <r>
    <x v="260"/>
    <s v="MARZO"/>
    <x v="43"/>
    <s v="LUNES"/>
    <n v="256674"/>
    <x v="7"/>
    <n v="1728"/>
    <n v="198"/>
    <n v="293.76000000000005"/>
    <x v="3"/>
  </r>
  <r>
    <x v="260"/>
    <s v="MARZO"/>
    <x v="43"/>
    <s v="LUNES"/>
    <n v="256675"/>
    <x v="8"/>
    <n v="864"/>
    <n v="198"/>
    <n v="146.88000000000002"/>
    <x v="3"/>
  </r>
  <r>
    <x v="260"/>
    <s v="MARZO"/>
    <x v="43"/>
    <s v="LUNES"/>
    <n v="256652"/>
    <x v="9"/>
    <n v="450"/>
    <n v="90"/>
    <n v="76.5"/>
    <x v="3"/>
  </r>
  <r>
    <x v="260"/>
    <s v="MARZO"/>
    <x v="43"/>
    <s v="LUNES"/>
    <n v="256677"/>
    <x v="10"/>
    <n v="4320"/>
    <n v="120"/>
    <n v="734.40000000000009"/>
    <x v="3"/>
  </r>
  <r>
    <x v="260"/>
    <s v="MARZO"/>
    <x v="43"/>
    <s v="LUNES"/>
    <n v="256680"/>
    <x v="26"/>
    <n v="180"/>
    <n v="90"/>
    <n v="30.6"/>
    <x v="3"/>
  </r>
  <r>
    <x v="260"/>
    <s v="MARZO"/>
    <x v="43"/>
    <s v="LUNES"/>
    <n v="256678"/>
    <x v="11"/>
    <n v="1440"/>
    <n v="90"/>
    <n v="244.8"/>
    <x v="3"/>
  </r>
  <r>
    <x v="260"/>
    <s v="MARZO"/>
    <x v="43"/>
    <s v="LUNES"/>
    <n v="256682"/>
    <x v="20"/>
    <n v="180"/>
    <n v="90"/>
    <n v="30.6"/>
    <x v="3"/>
  </r>
  <r>
    <x v="260"/>
    <s v="MARZO"/>
    <x v="43"/>
    <s v="LUNES"/>
    <n v="256721"/>
    <x v="43"/>
    <n v="500"/>
    <n v="420"/>
    <n v="210"/>
    <x v="3"/>
  </r>
  <r>
    <x v="260"/>
    <s v="MARZO"/>
    <x v="43"/>
    <s v="LUNES"/>
    <n v="256753"/>
    <x v="48"/>
    <n v="240"/>
    <n v="30"/>
    <n v="50.4"/>
    <x v="3"/>
  </r>
  <r>
    <x v="260"/>
    <s v="MARZO"/>
    <x v="43"/>
    <s v="LUNES"/>
    <n v="256381"/>
    <x v="13"/>
    <n v="240"/>
    <n v="30"/>
    <n v="96"/>
    <x v="3"/>
  </r>
  <r>
    <x v="260"/>
    <s v="MARZO"/>
    <x v="43"/>
    <s v="LUNES"/>
    <n v="251633"/>
    <x v="16"/>
    <n v="900"/>
    <n v="180"/>
    <n v="378"/>
    <x v="3"/>
  </r>
  <r>
    <x v="260"/>
    <s v="MARZO"/>
    <x v="43"/>
    <s v="LUNES"/>
    <n v="251406"/>
    <x v="1"/>
    <n v="1944"/>
    <n v="198"/>
    <n v="330.48"/>
    <x v="3"/>
  </r>
  <r>
    <x v="260"/>
    <s v="MARZO"/>
    <x v="43"/>
    <s v="LUNES"/>
    <n v="254853"/>
    <x v="2"/>
    <n v="1728"/>
    <n v="198"/>
    <n v="293.76000000000005"/>
    <x v="3"/>
  </r>
  <r>
    <x v="260"/>
    <s v="MARZO"/>
    <x v="43"/>
    <s v="LUNES"/>
    <n v="256616"/>
    <x v="22"/>
    <n v="990"/>
    <n v="198"/>
    <n v="168.3"/>
    <x v="3"/>
  </r>
  <r>
    <x v="260"/>
    <s v="MARZO"/>
    <x v="43"/>
    <s v="LUNES"/>
    <n v="256674"/>
    <x v="7"/>
    <n v="432"/>
    <n v="198"/>
    <n v="73.440000000000012"/>
    <x v="3"/>
  </r>
  <r>
    <x v="260"/>
    <s v="MARZO"/>
    <x v="43"/>
    <s v="LUNES"/>
    <n v="256675"/>
    <x v="8"/>
    <n v="1296"/>
    <n v="198"/>
    <n v="220.32000000000002"/>
    <x v="3"/>
  </r>
  <r>
    <x v="260"/>
    <s v="MARZO"/>
    <x v="43"/>
    <s v="LUNES"/>
    <n v="256652"/>
    <x v="9"/>
    <n v="990"/>
    <n v="90"/>
    <n v="168.3"/>
    <x v="3"/>
  </r>
  <r>
    <x v="260"/>
    <s v="MARZO"/>
    <x v="43"/>
    <s v="LUNES"/>
    <n v="256679"/>
    <x v="23"/>
    <n v="720"/>
    <n v="90"/>
    <n v="122.4"/>
    <x v="3"/>
  </r>
  <r>
    <x v="260"/>
    <s v="MARZO"/>
    <x v="43"/>
    <s v="LUNES"/>
    <n v="256678"/>
    <x v="11"/>
    <n v="1440"/>
    <n v="90"/>
    <n v="244.8"/>
    <x v="3"/>
  </r>
  <r>
    <x v="260"/>
    <s v="MARZO"/>
    <x v="43"/>
    <s v="LUNES"/>
    <n v="256682"/>
    <x v="20"/>
    <n v="720"/>
    <n v="90"/>
    <n v="122.4"/>
    <x v="3"/>
  </r>
  <r>
    <x v="260"/>
    <s v="MARZO"/>
    <x v="43"/>
    <s v="LUNES"/>
    <n v="256708"/>
    <x v="12"/>
    <n v="1125"/>
    <n v="225"/>
    <n v="450"/>
    <x v="3"/>
  </r>
  <r>
    <x v="260"/>
    <s v="MARZO"/>
    <x v="43"/>
    <s v="LUNES"/>
    <n v="256709"/>
    <x v="19"/>
    <n v="225"/>
    <n v="225"/>
    <n v="90"/>
    <x v="3"/>
  </r>
  <r>
    <x v="260"/>
    <s v="MARZO"/>
    <x v="43"/>
    <s v="LUNES"/>
    <n v="256720"/>
    <x v="42"/>
    <n v="750"/>
    <n v="420"/>
    <n v="315"/>
    <x v="3"/>
  </r>
  <r>
    <x v="260"/>
    <s v="MARZO"/>
    <x v="43"/>
    <s v="LUNES"/>
    <n v="256721"/>
    <x v="43"/>
    <n v="500"/>
    <n v="420"/>
    <n v="210"/>
    <x v="3"/>
  </r>
  <r>
    <x v="260"/>
    <s v="MARZO"/>
    <x v="43"/>
    <s v="LUNES"/>
    <n v="751315"/>
    <x v="24"/>
    <n v="4200"/>
    <n v="420"/>
    <n v="1764"/>
    <x v="3"/>
  </r>
  <r>
    <x v="260"/>
    <s v="MARZO"/>
    <x v="43"/>
    <s v="LUNES"/>
    <n v="256652"/>
    <x v="9"/>
    <n v="720"/>
    <n v="90"/>
    <n v="122.4"/>
    <x v="3"/>
  </r>
  <r>
    <x v="260"/>
    <s v="MARZO"/>
    <x v="43"/>
    <s v="LUNES"/>
    <n v="256680"/>
    <x v="26"/>
    <n v="720"/>
    <n v="90"/>
    <n v="122.4"/>
    <x v="3"/>
  </r>
  <r>
    <x v="260"/>
    <s v="MARZO"/>
    <x v="43"/>
    <s v="LUNES"/>
    <n v="256679"/>
    <x v="23"/>
    <n v="1440"/>
    <n v="90"/>
    <n v="244.8"/>
    <x v="3"/>
  </r>
  <r>
    <x v="260"/>
    <s v="MARZO"/>
    <x v="43"/>
    <s v="LUNES"/>
    <n v="256695"/>
    <x v="25"/>
    <n v="2250"/>
    <n v="225"/>
    <n v="945"/>
    <x v="3"/>
  </r>
  <r>
    <x v="260"/>
    <s v="MARZO"/>
    <x v="43"/>
    <s v="LUNES"/>
    <n v="256709"/>
    <x v="19"/>
    <n v="225"/>
    <n v="225"/>
    <n v="90"/>
    <x v="3"/>
  </r>
  <r>
    <x v="261"/>
    <s v="MARZO"/>
    <x v="43"/>
    <s v="SÁBADO"/>
    <n v="256379"/>
    <x v="15"/>
    <n v="100"/>
    <n v="50"/>
    <n v="40"/>
    <x v="3"/>
  </r>
  <r>
    <x v="261"/>
    <s v="MARZO"/>
    <x v="43"/>
    <s v="SÁBADO"/>
    <n v="252436"/>
    <x v="36"/>
    <n v="1350"/>
    <n v="90"/>
    <n v="540"/>
    <x v="3"/>
  </r>
  <r>
    <x v="261"/>
    <s v="MARZO"/>
    <x v="43"/>
    <s v="SÁBADO"/>
    <n v="251429"/>
    <x v="0"/>
    <n v="960"/>
    <n v="48"/>
    <n v="384"/>
    <x v="3"/>
  </r>
  <r>
    <x v="261"/>
    <s v="MARZO"/>
    <x v="43"/>
    <s v="SÁBADO"/>
    <n v="251406"/>
    <x v="1"/>
    <n v="2160"/>
    <n v="198"/>
    <n v="367.20000000000005"/>
    <x v="3"/>
  </r>
  <r>
    <x v="261"/>
    <s v="MARZO"/>
    <x v="43"/>
    <s v="SÁBADO"/>
    <n v="254853"/>
    <x v="2"/>
    <n v="1512"/>
    <n v="198"/>
    <n v="257.04000000000002"/>
    <x v="3"/>
  </r>
  <r>
    <x v="261"/>
    <s v="MARZO"/>
    <x v="43"/>
    <s v="SÁBADO"/>
    <n v="256548"/>
    <x v="34"/>
    <n v="432"/>
    <n v="198"/>
    <n v="73.440000000000012"/>
    <x v="3"/>
  </r>
  <r>
    <x v="261"/>
    <s v="MARZO"/>
    <x v="43"/>
    <s v="SÁBADO"/>
    <n v="256616"/>
    <x v="22"/>
    <n v="792"/>
    <n v="198"/>
    <n v="134.64000000000001"/>
    <x v="3"/>
  </r>
  <r>
    <x v="261"/>
    <s v="MARZO"/>
    <x v="43"/>
    <s v="SÁBADO"/>
    <n v="256617"/>
    <x v="3"/>
    <n v="990"/>
    <n v="198"/>
    <n v="168.3"/>
    <x v="3"/>
  </r>
  <r>
    <x v="261"/>
    <s v="MARZO"/>
    <x v="43"/>
    <s v="SÁBADO"/>
    <n v="256666"/>
    <x v="4"/>
    <n v="1134"/>
    <n v="162"/>
    <n v="192.78"/>
    <x v="3"/>
  </r>
  <r>
    <x v="261"/>
    <s v="MARZO"/>
    <x v="43"/>
    <s v="SÁBADO"/>
    <n v="256601"/>
    <x v="5"/>
    <n v="972"/>
    <n v="162"/>
    <n v="165.24"/>
    <x v="3"/>
  </r>
  <r>
    <x v="261"/>
    <s v="MARZO"/>
    <x v="43"/>
    <s v="SÁBADO"/>
    <n v="256676"/>
    <x v="17"/>
    <n v="3000"/>
    <n v="120"/>
    <n v="510.00000000000006"/>
    <x v="3"/>
  </r>
  <r>
    <x v="261"/>
    <s v="MARZO"/>
    <x v="43"/>
    <s v="SÁBADO"/>
    <n v="256674"/>
    <x v="7"/>
    <n v="1080"/>
    <n v="198"/>
    <n v="183.60000000000002"/>
    <x v="3"/>
  </r>
  <r>
    <x v="261"/>
    <s v="MARZO"/>
    <x v="43"/>
    <s v="SÁBADO"/>
    <n v="256675"/>
    <x v="8"/>
    <n v="1080"/>
    <n v="198"/>
    <n v="183.60000000000002"/>
    <x v="3"/>
  </r>
  <r>
    <x v="261"/>
    <s v="MARZO"/>
    <x v="43"/>
    <s v="SÁBADO"/>
    <n v="256652"/>
    <x v="9"/>
    <n v="900"/>
    <n v="90"/>
    <n v="153"/>
    <x v="3"/>
  </r>
  <r>
    <x v="261"/>
    <s v="MARZO"/>
    <x v="43"/>
    <s v="SÁBADO"/>
    <n v="256680"/>
    <x v="26"/>
    <n v="900"/>
    <n v="90"/>
    <n v="153"/>
    <x v="3"/>
  </r>
  <r>
    <x v="261"/>
    <s v="MARZO"/>
    <x v="43"/>
    <s v="SÁBADO"/>
    <n v="256679"/>
    <x v="23"/>
    <n v="1170"/>
    <n v="90"/>
    <n v="198.9"/>
    <x v="3"/>
  </r>
  <r>
    <x v="261"/>
    <s v="MARZO"/>
    <x v="43"/>
    <s v="SÁBADO"/>
    <n v="256678"/>
    <x v="11"/>
    <n v="2340"/>
    <n v="90"/>
    <n v="397.8"/>
    <x v="3"/>
  </r>
  <r>
    <x v="261"/>
    <s v="MARZO"/>
    <x v="43"/>
    <s v="SÁBADO"/>
    <n v="256682"/>
    <x v="20"/>
    <n v="450"/>
    <n v="90"/>
    <n v="76.5"/>
    <x v="3"/>
  </r>
  <r>
    <x v="261"/>
    <s v="MARZO"/>
    <x v="43"/>
    <s v="SÁBADO"/>
    <n v="256695"/>
    <x v="25"/>
    <n v="2250"/>
    <n v="225"/>
    <n v="945"/>
    <x v="3"/>
  </r>
  <r>
    <x v="261"/>
    <s v="MARZO"/>
    <x v="43"/>
    <s v="SÁBADO"/>
    <n v="256708"/>
    <x v="12"/>
    <n v="450"/>
    <n v="225"/>
    <n v="180"/>
    <x v="3"/>
  </r>
  <r>
    <x v="261"/>
    <s v="MARZO"/>
    <x v="43"/>
    <s v="SÁBADO"/>
    <s v="C"/>
    <x v="53"/>
    <n v="480"/>
    <n v="60"/>
    <n v="331.2"/>
    <x v="3"/>
  </r>
  <r>
    <x v="257"/>
    <s v="MARZO"/>
    <x v="42"/>
    <s v="VIERNES"/>
    <n v="256682"/>
    <x v="20"/>
    <n v="180"/>
    <n v="90"/>
    <n v="30.6"/>
    <x v="3"/>
  </r>
  <r>
    <x v="257"/>
    <s v="MARZO"/>
    <x v="42"/>
    <s v="VIERNES"/>
    <n v="256695"/>
    <x v="25"/>
    <n v="1350"/>
    <n v="225"/>
    <n v="567"/>
    <x v="3"/>
  </r>
  <r>
    <x v="257"/>
    <s v="MARZO"/>
    <x v="42"/>
    <s v="VIERNES"/>
    <s v="C"/>
    <x v="53"/>
    <n v="660"/>
    <n v="60"/>
    <n v="455.4"/>
    <x v="3"/>
  </r>
  <r>
    <x v="257"/>
    <s v="MARZO"/>
    <x v="42"/>
    <s v="VIERNES"/>
    <n v="256617"/>
    <x v="3"/>
    <n v="594"/>
    <n v="198"/>
    <n v="100.98"/>
    <x v="3"/>
  </r>
  <r>
    <x v="257"/>
    <s v="MARZO"/>
    <x v="42"/>
    <s v="VIERNES"/>
    <n v="256383"/>
    <x v="28"/>
    <n v="180"/>
    <n v="30"/>
    <n v="41.4"/>
    <x v="3"/>
  </r>
  <r>
    <x v="257"/>
    <s v="MARZO"/>
    <x v="42"/>
    <s v="VIERNES"/>
    <n v="256382"/>
    <x v="33"/>
    <n v="120"/>
    <n v="40"/>
    <n v="27.6"/>
    <x v="3"/>
  </r>
  <r>
    <x v="257"/>
    <s v="MARZO"/>
    <x v="42"/>
    <s v="VIERNES"/>
    <n v="256381"/>
    <x v="13"/>
    <n v="210"/>
    <n v="30"/>
    <n v="84"/>
    <x v="3"/>
  </r>
  <r>
    <x v="257"/>
    <s v="MARZO"/>
    <x v="42"/>
    <s v="VIERNES"/>
    <n v="256380"/>
    <x v="14"/>
    <n v="120"/>
    <n v="40"/>
    <n v="27.6"/>
    <x v="3"/>
  </r>
  <r>
    <x v="257"/>
    <s v="MARZO"/>
    <x v="42"/>
    <s v="VIERNES"/>
    <n v="256379"/>
    <x v="15"/>
    <n v="250"/>
    <n v="50"/>
    <n v="100"/>
    <x v="3"/>
  </r>
  <r>
    <x v="257"/>
    <s v="MARZO"/>
    <x v="42"/>
    <s v="VIERNES"/>
    <n v="251429"/>
    <x v="0"/>
    <n v="480"/>
    <n v="48"/>
    <n v="192"/>
    <x v="3"/>
  </r>
  <r>
    <x v="257"/>
    <s v="MARZO"/>
    <x v="42"/>
    <s v="VIERNES"/>
    <n v="751315"/>
    <x v="24"/>
    <n v="4200"/>
    <n v="420"/>
    <n v="1764"/>
    <x v="3"/>
  </r>
  <r>
    <x v="257"/>
    <s v="MARZO"/>
    <x v="42"/>
    <s v="VIERNES"/>
    <n v="751468"/>
    <x v="32"/>
    <n v="840"/>
    <n v="420"/>
    <n v="352.8"/>
    <x v="3"/>
  </r>
  <r>
    <x v="257"/>
    <s v="MARZO"/>
    <x v="42"/>
    <s v="VIERNES"/>
    <n v="251406"/>
    <x v="1"/>
    <n v="2160"/>
    <n v="198"/>
    <n v="367.20000000000005"/>
    <x v="3"/>
  </r>
  <r>
    <x v="257"/>
    <s v="MARZO"/>
    <x v="42"/>
    <s v="VIERNES"/>
    <n v="254853"/>
    <x v="2"/>
    <n v="1728"/>
    <n v="198"/>
    <n v="293.76000000000005"/>
    <x v="3"/>
  </r>
  <r>
    <x v="257"/>
    <s v="MARZO"/>
    <x v="42"/>
    <s v="VIERNES"/>
    <n v="256616"/>
    <x v="22"/>
    <n v="198"/>
    <n v="198"/>
    <n v="33.660000000000004"/>
    <x v="3"/>
  </r>
  <r>
    <x v="257"/>
    <s v="MARZO"/>
    <x v="42"/>
    <s v="VIERNES"/>
    <n v="256674"/>
    <x v="7"/>
    <n v="216"/>
    <n v="198"/>
    <n v="36.720000000000006"/>
    <x v="3"/>
  </r>
  <r>
    <x v="257"/>
    <s v="MARZO"/>
    <x v="42"/>
    <s v="VIERNES"/>
    <n v="256652"/>
    <x v="9"/>
    <n v="720"/>
    <n v="90"/>
    <n v="122.4"/>
    <x v="3"/>
  </r>
  <r>
    <x v="257"/>
    <s v="MARZO"/>
    <x v="42"/>
    <s v="VIERNES"/>
    <n v="256680"/>
    <x v="26"/>
    <n v="450"/>
    <n v="90"/>
    <n v="76.5"/>
    <x v="3"/>
  </r>
  <r>
    <x v="257"/>
    <s v="MARZO"/>
    <x v="42"/>
    <s v="VIERNES"/>
    <n v="256679"/>
    <x v="23"/>
    <n v="450"/>
    <n v="90"/>
    <n v="76.5"/>
    <x v="3"/>
  </r>
  <r>
    <x v="259"/>
    <s v="MARZO"/>
    <x v="43"/>
    <s v="MARTES"/>
    <n v="256737"/>
    <x v="44"/>
    <n v="500"/>
    <n v="420"/>
    <n v="210"/>
    <x v="3"/>
  </r>
  <r>
    <x v="262"/>
    <s v="MARZO"/>
    <x v="43"/>
    <s v="MIÉRCOLES"/>
    <n v="254762"/>
    <x v="40"/>
    <n v="448"/>
    <n v="240"/>
    <n v="179.20000000000002"/>
    <x v="3"/>
  </r>
  <r>
    <x v="262"/>
    <s v="MARZO"/>
    <x v="43"/>
    <s v="MIÉRCOLES"/>
    <n v="256685"/>
    <x v="38"/>
    <n v="448"/>
    <n v="112"/>
    <n v="179.20000000000002"/>
    <x v="3"/>
  </r>
  <r>
    <x v="262"/>
    <s v="MARZO"/>
    <x v="43"/>
    <s v="MIÉRCOLES"/>
    <n v="251429"/>
    <x v="0"/>
    <n v="480"/>
    <n v="48"/>
    <n v="192"/>
    <x v="3"/>
  </r>
  <r>
    <x v="262"/>
    <s v="MARZO"/>
    <x v="43"/>
    <s v="MIÉRCOLES"/>
    <n v="256666"/>
    <x v="4"/>
    <n v="810"/>
    <n v="162"/>
    <n v="137.70000000000002"/>
    <x v="3"/>
  </r>
  <r>
    <x v="262"/>
    <s v="MARZO"/>
    <x v="43"/>
    <s v="MIÉRCOLES"/>
    <n v="256601"/>
    <x v="5"/>
    <n v="486"/>
    <n v="162"/>
    <n v="82.62"/>
    <x v="3"/>
  </r>
  <r>
    <x v="262"/>
    <s v="MARZO"/>
    <x v="43"/>
    <s v="MIÉRCOLES"/>
    <n v="256488"/>
    <x v="6"/>
    <n v="2640"/>
    <n v="120"/>
    <n v="448.8"/>
    <x v="3"/>
  </r>
  <r>
    <x v="262"/>
    <s v="MARZO"/>
    <x v="43"/>
    <s v="MIÉRCOLES"/>
    <n v="256678"/>
    <x v="11"/>
    <n v="2160"/>
    <n v="90"/>
    <n v="367.20000000000005"/>
    <x v="3"/>
  </r>
  <r>
    <x v="262"/>
    <s v="MARZO"/>
    <x v="43"/>
    <s v="MIÉRCOLES"/>
    <n v="256695"/>
    <x v="25"/>
    <n v="1350"/>
    <n v="225"/>
    <n v="567"/>
    <x v="3"/>
  </r>
  <r>
    <x v="263"/>
    <s v="MARZO"/>
    <x v="43"/>
    <s v="JUEVES"/>
    <n v="256382"/>
    <x v="33"/>
    <n v="80"/>
    <n v="40"/>
    <n v="18.400000000000002"/>
    <x v="3"/>
  </r>
  <r>
    <x v="263"/>
    <s v="MARZO"/>
    <x v="43"/>
    <s v="JUEVES"/>
    <n v="256379"/>
    <x v="15"/>
    <n v="250"/>
    <n v="50"/>
    <n v="100"/>
    <x v="3"/>
  </r>
  <r>
    <x v="263"/>
    <s v="MARZO"/>
    <x v="43"/>
    <s v="JUEVES"/>
    <n v="256617"/>
    <x v="3"/>
    <n v="396"/>
    <n v="198"/>
    <n v="67.320000000000007"/>
    <x v="3"/>
  </r>
  <r>
    <x v="263"/>
    <s v="MARZO"/>
    <x v="43"/>
    <s v="JUEVES"/>
    <n v="256488"/>
    <x v="6"/>
    <n v="480"/>
    <n v="120"/>
    <n v="81.600000000000009"/>
    <x v="3"/>
  </r>
  <r>
    <x v="263"/>
    <s v="MARZO"/>
    <x v="43"/>
    <s v="JUEVES"/>
    <n v="256675"/>
    <x v="8"/>
    <n v="1080"/>
    <n v="198"/>
    <n v="183.60000000000002"/>
    <x v="3"/>
  </r>
  <r>
    <x v="263"/>
    <s v="MARZO"/>
    <x v="43"/>
    <s v="JUEVES"/>
    <n v="256677"/>
    <x v="10"/>
    <n v="7200"/>
    <n v="120"/>
    <n v="1224"/>
    <x v="3"/>
  </r>
  <r>
    <x v="263"/>
    <s v="MARZO"/>
    <x v="43"/>
    <s v="JUEVES"/>
    <n v="256680"/>
    <x v="26"/>
    <n v="450"/>
    <n v="90"/>
    <n v="76.5"/>
    <x v="3"/>
  </r>
  <r>
    <x v="263"/>
    <s v="MARZO"/>
    <x v="43"/>
    <s v="JUEVES"/>
    <n v="256679"/>
    <x v="23"/>
    <n v="900"/>
    <n v="90"/>
    <n v="153"/>
    <x v="3"/>
  </r>
  <r>
    <x v="263"/>
    <s v="MARZO"/>
    <x v="43"/>
    <s v="JUEVES"/>
    <n v="256678"/>
    <x v="11"/>
    <n v="3960"/>
    <n v="90"/>
    <n v="673.2"/>
    <x v="3"/>
  </r>
  <r>
    <x v="263"/>
    <s v="MARZO"/>
    <x v="43"/>
    <s v="JUEVES"/>
    <n v="256682"/>
    <x v="20"/>
    <n v="450"/>
    <n v="90"/>
    <n v="76.5"/>
    <x v="3"/>
  </r>
  <r>
    <x v="263"/>
    <s v="MARZO"/>
    <x v="43"/>
    <s v="JUEVES"/>
    <n v="256753"/>
    <x v="48"/>
    <n v="120"/>
    <n v="30"/>
    <n v="25.2"/>
    <x v="3"/>
  </r>
  <r>
    <x v="263"/>
    <s v="MARZO"/>
    <x v="43"/>
    <s v="JUEVES"/>
    <n v="256685"/>
    <x v="38"/>
    <n v="896"/>
    <n v="112"/>
    <n v="358.40000000000003"/>
    <x v="3"/>
  </r>
  <r>
    <x v="263"/>
    <s v="MARZO"/>
    <x v="43"/>
    <s v="JUEVES"/>
    <n v="251406"/>
    <x v="1"/>
    <n v="2160"/>
    <n v="198"/>
    <n v="367.20000000000005"/>
    <x v="3"/>
  </r>
  <r>
    <x v="263"/>
    <s v="MARZO"/>
    <x v="43"/>
    <s v="JUEVES"/>
    <n v="254853"/>
    <x v="2"/>
    <n v="2160"/>
    <n v="198"/>
    <n v="367.20000000000005"/>
    <x v="3"/>
  </r>
  <r>
    <x v="263"/>
    <s v="MARZO"/>
    <x v="43"/>
    <s v="JUEVES"/>
    <n v="256616"/>
    <x v="22"/>
    <n v="792"/>
    <n v="198"/>
    <n v="134.64000000000001"/>
    <x v="3"/>
  </r>
  <r>
    <x v="263"/>
    <s v="MARZO"/>
    <x v="43"/>
    <s v="JUEVES"/>
    <n v="256488"/>
    <x v="6"/>
    <n v="5520"/>
    <n v="120"/>
    <n v="938.40000000000009"/>
    <x v="3"/>
  </r>
  <r>
    <x v="263"/>
    <s v="MARZO"/>
    <x v="43"/>
    <s v="JUEVES"/>
    <n v="256674"/>
    <x v="7"/>
    <n v="1080"/>
    <n v="198"/>
    <n v="183.60000000000002"/>
    <x v="3"/>
  </r>
  <r>
    <x v="263"/>
    <s v="MARZO"/>
    <x v="43"/>
    <s v="JUEVES"/>
    <n v="256677"/>
    <x v="10"/>
    <n v="480"/>
    <n v="120"/>
    <n v="81.600000000000009"/>
    <x v="3"/>
  </r>
  <r>
    <x v="263"/>
    <s v="MARZO"/>
    <x v="43"/>
    <s v="JUEVES"/>
    <n v="256678"/>
    <x v="11"/>
    <n v="540"/>
    <n v="90"/>
    <n v="91.800000000000011"/>
    <x v="3"/>
  </r>
  <r>
    <x v="263"/>
    <s v="MARZO"/>
    <x v="43"/>
    <s v="JUEVES"/>
    <n v="256695"/>
    <x v="25"/>
    <n v="1350"/>
    <n v="225"/>
    <n v="567"/>
    <x v="3"/>
  </r>
  <r>
    <x v="262"/>
    <s v="MARZO"/>
    <x v="43"/>
    <s v="MIÉRCOLES"/>
    <n v="256381"/>
    <x v="13"/>
    <n v="240"/>
    <n v="30"/>
    <n v="96"/>
    <x v="3"/>
  </r>
  <r>
    <x v="262"/>
    <s v="MARZO"/>
    <x v="43"/>
    <s v="MIÉRCOLES"/>
    <n v="252436"/>
    <x v="36"/>
    <n v="270"/>
    <n v="90"/>
    <n v="108"/>
    <x v="3"/>
  </r>
  <r>
    <x v="262"/>
    <s v="MARZO"/>
    <x v="43"/>
    <s v="MIÉRCOLES"/>
    <n v="251429"/>
    <x v="0"/>
    <n v="336"/>
    <n v="48"/>
    <n v="134.4"/>
    <x v="3"/>
  </r>
  <r>
    <x v="262"/>
    <s v="MARZO"/>
    <x v="43"/>
    <s v="MIÉRCOLES"/>
    <n v="256677"/>
    <x v="10"/>
    <n v="4320"/>
    <n v="120"/>
    <n v="734.40000000000009"/>
    <x v="3"/>
  </r>
  <r>
    <x v="262"/>
    <s v="MARZO"/>
    <x v="43"/>
    <s v="MIÉRCOLES"/>
    <n v="256753"/>
    <x v="48"/>
    <n v="450"/>
    <n v="30"/>
    <n v="94.5"/>
    <x v="3"/>
  </r>
  <r>
    <x v="262"/>
    <s v="MARZO"/>
    <x v="43"/>
    <s v="MIÉRCOLES"/>
    <n v="256383"/>
    <x v="28"/>
    <n v="300"/>
    <n v="30"/>
    <n v="69"/>
    <x v="3"/>
  </r>
  <r>
    <x v="262"/>
    <s v="MARZO"/>
    <x v="43"/>
    <s v="MIÉRCOLES"/>
    <n v="252436"/>
    <x v="36"/>
    <n v="810"/>
    <n v="90"/>
    <n v="324"/>
    <x v="3"/>
  </r>
  <r>
    <x v="262"/>
    <s v="MARZO"/>
    <x v="43"/>
    <s v="MIÉRCOLES"/>
    <n v="251429"/>
    <x v="0"/>
    <n v="1104"/>
    <n v="48"/>
    <n v="441.6"/>
    <x v="3"/>
  </r>
  <r>
    <x v="262"/>
    <s v="MARZO"/>
    <x v="43"/>
    <s v="MIÉRCOLES"/>
    <n v="256488"/>
    <x v="6"/>
    <n v="3360"/>
    <n v="120"/>
    <n v="571.20000000000005"/>
    <x v="3"/>
  </r>
  <r>
    <x v="262"/>
    <s v="MARZO"/>
    <x v="43"/>
    <s v="MIÉRCOLES"/>
    <n v="256677"/>
    <x v="10"/>
    <n v="7680"/>
    <n v="120"/>
    <n v="1305.6000000000001"/>
    <x v="3"/>
  </r>
  <r>
    <x v="262"/>
    <s v="MARZO"/>
    <x v="43"/>
    <s v="MIÉRCOLES"/>
    <n v="256753"/>
    <x v="48"/>
    <n v="510"/>
    <n v="30"/>
    <n v="107.1"/>
    <x v="3"/>
  </r>
  <r>
    <x v="263"/>
    <s v="MARZO"/>
    <x v="43"/>
    <s v="JUEVES"/>
    <n v="256675"/>
    <x v="8"/>
    <n v="1080"/>
    <n v="198"/>
    <n v="183.60000000000002"/>
    <x v="3"/>
  </r>
  <r>
    <x v="263"/>
    <s v="MARZO"/>
    <x v="43"/>
    <s v="JUEVES"/>
    <n v="256677"/>
    <x v="10"/>
    <n v="4320"/>
    <n v="120"/>
    <n v="734.40000000000009"/>
    <x v="3"/>
  </r>
  <r>
    <x v="263"/>
    <s v="MARZO"/>
    <x v="43"/>
    <s v="JUEVES"/>
    <n v="256753"/>
    <x v="48"/>
    <n v="360"/>
    <n v="30"/>
    <n v="75.599999999999994"/>
    <x v="3"/>
  </r>
  <r>
    <x v="264"/>
    <s v="MARZO"/>
    <x v="43"/>
    <s v="VIERNES"/>
    <n v="751468"/>
    <x v="32"/>
    <n v="2100"/>
    <n v="420"/>
    <n v="882"/>
    <x v="3"/>
  </r>
  <r>
    <x v="264"/>
    <s v="MARZO"/>
    <x v="43"/>
    <s v="VIERNES"/>
    <n v="751544"/>
    <x v="39"/>
    <n v="420"/>
    <n v="420"/>
    <n v="176.4"/>
    <x v="3"/>
  </r>
  <r>
    <x v="264"/>
    <s v="MARZO"/>
    <x v="43"/>
    <s v="VIERNES"/>
    <n v="251406"/>
    <x v="1"/>
    <n v="3240"/>
    <n v="198"/>
    <n v="550.80000000000007"/>
    <x v="3"/>
  </r>
  <r>
    <x v="264"/>
    <s v="MARZO"/>
    <x v="43"/>
    <s v="VIERNES"/>
    <n v="254853"/>
    <x v="2"/>
    <n v="3024"/>
    <n v="198"/>
    <n v="514.08000000000004"/>
    <x v="3"/>
  </r>
  <r>
    <x v="264"/>
    <s v="MARZO"/>
    <x v="43"/>
    <s v="VIERNES"/>
    <n v="256616"/>
    <x v="22"/>
    <n v="198"/>
    <n v="198"/>
    <n v="33.660000000000004"/>
    <x v="3"/>
  </r>
  <r>
    <x v="264"/>
    <s v="MARZO"/>
    <x v="43"/>
    <s v="VIERNES"/>
    <n v="256617"/>
    <x v="3"/>
    <n v="1782"/>
    <n v="198"/>
    <n v="302.94"/>
    <x v="3"/>
  </r>
  <r>
    <x v="264"/>
    <s v="MARZO"/>
    <x v="43"/>
    <s v="VIERNES"/>
    <n v="256676"/>
    <x v="17"/>
    <n v="2400"/>
    <n v="120"/>
    <n v="408.00000000000006"/>
    <x v="3"/>
  </r>
  <r>
    <x v="264"/>
    <s v="MARZO"/>
    <x v="43"/>
    <s v="VIERNES"/>
    <n v="256674"/>
    <x v="7"/>
    <n v="1728"/>
    <n v="198"/>
    <n v="293.76000000000005"/>
    <x v="3"/>
  </r>
  <r>
    <x v="264"/>
    <s v="MARZO"/>
    <x v="43"/>
    <s v="VIERNES"/>
    <n v="256675"/>
    <x v="8"/>
    <n v="216"/>
    <n v="198"/>
    <n v="36.720000000000006"/>
    <x v="3"/>
  </r>
  <r>
    <x v="264"/>
    <s v="MARZO"/>
    <x v="43"/>
    <s v="VIERNES"/>
    <n v="256382"/>
    <x v="33"/>
    <n v="80"/>
    <n v="40"/>
    <n v="18.400000000000002"/>
    <x v="3"/>
  </r>
  <r>
    <x v="264"/>
    <s v="MARZO"/>
    <x v="43"/>
    <s v="VIERNES"/>
    <n v="256381"/>
    <x v="13"/>
    <n v="300"/>
    <n v="30"/>
    <n v="120"/>
    <x v="3"/>
  </r>
  <r>
    <x v="264"/>
    <s v="MARZO"/>
    <x v="43"/>
    <s v="VIERNES"/>
    <n v="256380"/>
    <x v="14"/>
    <n v="160"/>
    <n v="40"/>
    <n v="36.800000000000004"/>
    <x v="3"/>
  </r>
  <r>
    <x v="264"/>
    <s v="MARZO"/>
    <x v="43"/>
    <s v="VIERNES"/>
    <n v="256379"/>
    <x v="15"/>
    <n v="500"/>
    <n v="50"/>
    <n v="200"/>
    <x v="3"/>
  </r>
  <r>
    <x v="264"/>
    <s v="MARZO"/>
    <x v="43"/>
    <s v="VIERNES"/>
    <n v="252436"/>
    <x v="36"/>
    <n v="180"/>
    <n v="90"/>
    <n v="72"/>
    <x v="3"/>
  </r>
  <r>
    <x v="264"/>
    <s v="MARZO"/>
    <x v="43"/>
    <s v="VIERNES"/>
    <n v="751315"/>
    <x v="24"/>
    <n v="2520"/>
    <n v="420"/>
    <n v="1058.3999999999999"/>
    <x v="3"/>
  </r>
  <r>
    <x v="264"/>
    <s v="MARZO"/>
    <x v="43"/>
    <s v="VIERNES"/>
    <n v="751544"/>
    <x v="39"/>
    <n v="1260"/>
    <n v="420"/>
    <n v="529.19999999999993"/>
    <x v="3"/>
  </r>
  <r>
    <x v="264"/>
    <s v="MARZO"/>
    <x v="43"/>
    <s v="VIERNES"/>
    <n v="256488"/>
    <x v="6"/>
    <n v="3600"/>
    <n v="120"/>
    <n v="612"/>
    <x v="3"/>
  </r>
  <r>
    <x v="264"/>
    <s v="MARZO"/>
    <x v="43"/>
    <s v="VIERNES"/>
    <n v="256676"/>
    <x v="17"/>
    <n v="120"/>
    <n v="120"/>
    <n v="20.400000000000002"/>
    <x v="3"/>
  </r>
  <r>
    <x v="264"/>
    <s v="MARZO"/>
    <x v="43"/>
    <s v="VIERNES"/>
    <n v="256674"/>
    <x v="7"/>
    <n v="1080"/>
    <n v="198"/>
    <n v="183.60000000000002"/>
    <x v="3"/>
  </r>
  <r>
    <x v="264"/>
    <s v="MARZO"/>
    <x v="43"/>
    <s v="VIERNES"/>
    <n v="256675"/>
    <x v="8"/>
    <n v="864"/>
    <n v="198"/>
    <n v="146.88000000000002"/>
    <x v="3"/>
  </r>
  <r>
    <x v="264"/>
    <s v="MARZO"/>
    <x v="43"/>
    <s v="VIERNES"/>
    <n v="256652"/>
    <x v="9"/>
    <n v="540"/>
    <n v="90"/>
    <n v="91.800000000000011"/>
    <x v="3"/>
  </r>
  <r>
    <x v="264"/>
    <s v="MARZO"/>
    <x v="43"/>
    <s v="VIERNES"/>
    <n v="256679"/>
    <x v="23"/>
    <n v="360"/>
    <n v="90"/>
    <n v="61.2"/>
    <x v="3"/>
  </r>
  <r>
    <x v="264"/>
    <s v="MARZO"/>
    <x v="43"/>
    <s v="VIERNES"/>
    <n v="256695"/>
    <x v="25"/>
    <n v="900"/>
    <n v="225"/>
    <n v="378"/>
    <x v="3"/>
  </r>
  <r>
    <x v="264"/>
    <s v="MARZO"/>
    <x v="43"/>
    <s v="VIERNES"/>
    <n v="252436"/>
    <x v="36"/>
    <n v="360"/>
    <n v="90"/>
    <n v="144"/>
    <x v="3"/>
  </r>
  <r>
    <x v="264"/>
    <s v="MARZO"/>
    <x v="43"/>
    <s v="VIERNES"/>
    <n v="254762"/>
    <x v="40"/>
    <n v="336"/>
    <n v="240"/>
    <n v="134.4"/>
    <x v="3"/>
  </r>
  <r>
    <x v="264"/>
    <s v="MARZO"/>
    <x v="43"/>
    <s v="VIERNES"/>
    <n v="751544"/>
    <x v="39"/>
    <n v="420"/>
    <n v="420"/>
    <n v="176.4"/>
    <x v="3"/>
  </r>
  <r>
    <x v="264"/>
    <s v="MARZO"/>
    <x v="43"/>
    <s v="VIERNES"/>
    <n v="251633"/>
    <x v="16"/>
    <n v="900"/>
    <n v="180"/>
    <n v="378"/>
    <x v="3"/>
  </r>
  <r>
    <x v="264"/>
    <s v="MARZO"/>
    <x v="43"/>
    <s v="VIERNES"/>
    <n v="256616"/>
    <x v="22"/>
    <n v="792"/>
    <n v="198"/>
    <n v="134.64000000000001"/>
    <x v="3"/>
  </r>
  <r>
    <x v="264"/>
    <s v="MARZO"/>
    <x v="43"/>
    <s v="VIERNES"/>
    <n v="256676"/>
    <x v="17"/>
    <n v="480"/>
    <n v="120"/>
    <n v="81.600000000000009"/>
    <x v="3"/>
  </r>
  <r>
    <x v="264"/>
    <s v="MARZO"/>
    <x v="43"/>
    <s v="VIERNES"/>
    <n v="256674"/>
    <x v="7"/>
    <n v="2592"/>
    <n v="198"/>
    <n v="440.64000000000004"/>
    <x v="3"/>
  </r>
  <r>
    <x v="264"/>
    <s v="MARZO"/>
    <x v="43"/>
    <s v="VIERNES"/>
    <n v="256675"/>
    <x v="8"/>
    <n v="2160"/>
    <n v="198"/>
    <n v="367.20000000000005"/>
    <x v="3"/>
  </r>
  <r>
    <x v="264"/>
    <s v="MARZO"/>
    <x v="43"/>
    <s v="VIERNES"/>
    <n v="256652"/>
    <x v="9"/>
    <n v="1800"/>
    <n v="90"/>
    <n v="306"/>
    <x v="3"/>
  </r>
  <r>
    <x v="264"/>
    <s v="MARZO"/>
    <x v="43"/>
    <s v="VIERNES"/>
    <n v="256680"/>
    <x v="26"/>
    <n v="720"/>
    <n v="90"/>
    <n v="122.4"/>
    <x v="3"/>
  </r>
  <r>
    <x v="264"/>
    <s v="MARZO"/>
    <x v="43"/>
    <s v="VIERNES"/>
    <n v="256679"/>
    <x v="23"/>
    <n v="1080"/>
    <n v="90"/>
    <n v="183.60000000000002"/>
    <x v="3"/>
  </r>
  <r>
    <x v="264"/>
    <s v="MARZO"/>
    <x v="43"/>
    <s v="VIERNES"/>
    <n v="256695"/>
    <x v="25"/>
    <n v="450"/>
    <n v="225"/>
    <n v="189"/>
    <x v="3"/>
  </r>
  <r>
    <x v="264"/>
    <s v="MARZO"/>
    <x v="43"/>
    <s v="VIERNES"/>
    <n v="256708"/>
    <x v="12"/>
    <n v="675"/>
    <n v="225"/>
    <n v="270"/>
    <x v="3"/>
  </r>
  <r>
    <x v="264"/>
    <s v="MARZO"/>
    <x v="43"/>
    <s v="VIERNES"/>
    <n v="256709"/>
    <x v="19"/>
    <n v="450"/>
    <n v="225"/>
    <n v="180"/>
    <x v="3"/>
  </r>
  <r>
    <x v="264"/>
    <s v="MARZO"/>
    <x v="43"/>
    <s v="VIERNES"/>
    <n v="256720"/>
    <x v="42"/>
    <n v="750"/>
    <n v="420"/>
    <n v="315"/>
    <x v="3"/>
  </r>
  <r>
    <x v="264"/>
    <s v="MARZO"/>
    <x v="43"/>
    <s v="VIERNES"/>
    <n v="252436"/>
    <x v="36"/>
    <n v="360"/>
    <n v="90"/>
    <n v="144"/>
    <x v="3"/>
  </r>
  <r>
    <x v="264"/>
    <s v="MARZO"/>
    <x v="43"/>
    <s v="VIERNES"/>
    <n v="254762"/>
    <x v="40"/>
    <n v="336"/>
    <n v="240"/>
    <n v="134.4"/>
    <x v="3"/>
  </r>
  <r>
    <x v="264"/>
    <s v="MARZO"/>
    <x v="43"/>
    <s v="VIERNES"/>
    <n v="751544"/>
    <x v="39"/>
    <n v="420"/>
    <n v="420"/>
    <n v="176.4"/>
    <x v="3"/>
  </r>
  <r>
    <x v="264"/>
    <s v="MARZO"/>
    <x v="43"/>
    <s v="VIERNES"/>
    <n v="251633"/>
    <x v="16"/>
    <n v="900"/>
    <n v="180"/>
    <n v="378"/>
    <x v="3"/>
  </r>
  <r>
    <x v="264"/>
    <s v="MARZO"/>
    <x v="43"/>
    <s v="VIERNES"/>
    <n v="256616"/>
    <x v="22"/>
    <n v="792"/>
    <n v="198"/>
    <n v="134.64000000000001"/>
    <x v="3"/>
  </r>
  <r>
    <x v="264"/>
    <s v="MARZO"/>
    <x v="43"/>
    <s v="VIERNES"/>
    <n v="256676"/>
    <x v="17"/>
    <n v="480"/>
    <n v="120"/>
    <n v="81.600000000000009"/>
    <x v="3"/>
  </r>
  <r>
    <x v="264"/>
    <s v="MARZO"/>
    <x v="43"/>
    <s v="VIERNES"/>
    <n v="256674"/>
    <x v="7"/>
    <n v="2592"/>
    <n v="198"/>
    <n v="440.64000000000004"/>
    <x v="3"/>
  </r>
  <r>
    <x v="264"/>
    <s v="MARZO"/>
    <x v="43"/>
    <s v="VIERNES"/>
    <n v="256675"/>
    <x v="8"/>
    <n v="2160"/>
    <n v="198"/>
    <n v="367.20000000000005"/>
    <x v="3"/>
  </r>
  <r>
    <x v="264"/>
    <s v="MARZO"/>
    <x v="43"/>
    <s v="VIERNES"/>
    <n v="256652"/>
    <x v="9"/>
    <n v="1800"/>
    <n v="90"/>
    <n v="306"/>
    <x v="3"/>
  </r>
  <r>
    <x v="264"/>
    <s v="MARZO"/>
    <x v="43"/>
    <s v="VIERNES"/>
    <n v="256680"/>
    <x v="26"/>
    <n v="720"/>
    <n v="90"/>
    <n v="122.4"/>
    <x v="3"/>
  </r>
  <r>
    <x v="264"/>
    <s v="MARZO"/>
    <x v="43"/>
    <s v="VIERNES"/>
    <n v="256679"/>
    <x v="23"/>
    <n v="1080"/>
    <n v="90"/>
    <n v="183.60000000000002"/>
    <x v="3"/>
  </r>
  <r>
    <x v="264"/>
    <s v="MARZO"/>
    <x v="43"/>
    <s v="VIERNES"/>
    <n v="256695"/>
    <x v="25"/>
    <n v="450"/>
    <n v="225"/>
    <n v="189"/>
    <x v="3"/>
  </r>
  <r>
    <x v="264"/>
    <s v="MARZO"/>
    <x v="43"/>
    <s v="VIERNES"/>
    <n v="256708"/>
    <x v="12"/>
    <n v="675"/>
    <n v="225"/>
    <n v="270"/>
    <x v="3"/>
  </r>
  <r>
    <x v="264"/>
    <s v="MARZO"/>
    <x v="43"/>
    <s v="VIERNES"/>
    <n v="256709"/>
    <x v="19"/>
    <n v="450"/>
    <n v="225"/>
    <n v="180"/>
    <x v="3"/>
  </r>
  <r>
    <x v="264"/>
    <s v="MARZO"/>
    <x v="43"/>
    <s v="VIERNES"/>
    <n v="256720"/>
    <x v="42"/>
    <n v="750"/>
    <n v="420"/>
    <n v="315"/>
    <x v="3"/>
  </r>
  <r>
    <x v="264"/>
    <s v="MARZO"/>
    <x v="43"/>
    <s v="VIERNES"/>
    <n v="254853"/>
    <x v="2"/>
    <n v="1296"/>
    <n v="198"/>
    <n v="220.32000000000002"/>
    <x v="3"/>
  </r>
  <r>
    <x v="265"/>
    <s v="MARZO"/>
    <x v="44"/>
    <s v="SÁBADO"/>
    <n v="256685"/>
    <x v="38"/>
    <n v="560"/>
    <n v="112"/>
    <n v="224"/>
    <x v="3"/>
  </r>
  <r>
    <x v="265"/>
    <s v="MARZO"/>
    <x v="44"/>
    <s v="SÁBADO"/>
    <n v="256616"/>
    <x v="22"/>
    <n v="594"/>
    <n v="198"/>
    <n v="100.98"/>
    <x v="3"/>
  </r>
  <r>
    <x v="265"/>
    <s v="MARZO"/>
    <x v="44"/>
    <s v="SÁBADO"/>
    <n v="256666"/>
    <x v="4"/>
    <n v="1296"/>
    <n v="162"/>
    <n v="220.32000000000002"/>
    <x v="3"/>
  </r>
  <r>
    <x v="265"/>
    <s v="MARZO"/>
    <x v="44"/>
    <s v="SÁBADO"/>
    <n v="256601"/>
    <x v="5"/>
    <n v="162"/>
    <n v="162"/>
    <n v="27.540000000000003"/>
    <x v="3"/>
  </r>
  <r>
    <x v="265"/>
    <s v="MARZO"/>
    <x v="44"/>
    <s v="SÁBADO"/>
    <n v="256488"/>
    <x v="6"/>
    <n v="960"/>
    <n v="120"/>
    <n v="163.20000000000002"/>
    <x v="3"/>
  </r>
  <r>
    <x v="265"/>
    <s v="MARZO"/>
    <x v="44"/>
    <s v="SÁBADO"/>
    <n v="256675"/>
    <x v="8"/>
    <n v="864"/>
    <n v="198"/>
    <n v="146.88000000000002"/>
    <x v="3"/>
  </r>
  <r>
    <x v="265"/>
    <s v="MARZO"/>
    <x v="44"/>
    <s v="SÁBADO"/>
    <n v="256680"/>
    <x v="26"/>
    <n v="900"/>
    <n v="90"/>
    <n v="153"/>
    <x v="3"/>
  </r>
  <r>
    <x v="265"/>
    <s v="MARZO"/>
    <x v="44"/>
    <s v="SÁBADO"/>
    <n v="256679"/>
    <x v="23"/>
    <n v="900"/>
    <n v="90"/>
    <n v="153"/>
    <x v="3"/>
  </r>
  <r>
    <x v="265"/>
    <s v="MARZO"/>
    <x v="44"/>
    <s v="SÁBADO"/>
    <n v="256678"/>
    <x v="11"/>
    <n v="1800"/>
    <n v="90"/>
    <n v="306"/>
    <x v="3"/>
  </r>
  <r>
    <x v="265"/>
    <s v="MARZO"/>
    <x v="44"/>
    <s v="SÁBADO"/>
    <n v="256695"/>
    <x v="25"/>
    <n v="225"/>
    <n v="225"/>
    <n v="94.5"/>
    <x v="3"/>
  </r>
  <r>
    <x v="265"/>
    <s v="MARZO"/>
    <x v="44"/>
    <s v="SÁBADO"/>
    <n v="256708"/>
    <x v="12"/>
    <n v="450"/>
    <n v="225"/>
    <n v="180"/>
    <x v="3"/>
  </r>
  <r>
    <x v="265"/>
    <s v="MARZO"/>
    <x v="44"/>
    <s v="SÁBADO"/>
    <n v="256709"/>
    <x v="19"/>
    <n v="225"/>
    <n v="225"/>
    <n v="90"/>
    <x v="3"/>
  </r>
  <r>
    <x v="265"/>
    <s v="MARZO"/>
    <x v="44"/>
    <s v="SÁBADO"/>
    <n v="256721"/>
    <x v="43"/>
    <n v="750"/>
    <n v="420"/>
    <n v="315"/>
    <x v="3"/>
  </r>
  <r>
    <x v="265"/>
    <s v="MARZO"/>
    <x v="44"/>
    <s v="SÁBADO"/>
    <n v="256382"/>
    <x v="33"/>
    <n v="120"/>
    <n v="40"/>
    <n v="27.6"/>
    <x v="3"/>
  </r>
  <r>
    <x v="265"/>
    <s v="MARZO"/>
    <x v="44"/>
    <s v="SÁBADO"/>
    <n v="256380"/>
    <x v="14"/>
    <n v="320"/>
    <n v="40"/>
    <n v="73.600000000000009"/>
    <x v="3"/>
  </r>
  <r>
    <x v="265"/>
    <s v="MARZO"/>
    <x v="44"/>
    <s v="SÁBADO"/>
    <n v="252436"/>
    <x v="36"/>
    <n v="540"/>
    <n v="90"/>
    <n v="216"/>
    <x v="3"/>
  </r>
  <r>
    <x v="265"/>
    <s v="MARZO"/>
    <x v="44"/>
    <s v="SÁBADO"/>
    <n v="751315"/>
    <x v="24"/>
    <n v="1260"/>
    <n v="420"/>
    <n v="529.19999999999993"/>
    <x v="3"/>
  </r>
  <r>
    <x v="265"/>
    <s v="MARZO"/>
    <x v="44"/>
    <s v="SÁBADO"/>
    <n v="256616"/>
    <x v="22"/>
    <n v="396"/>
    <n v="198"/>
    <n v="67.320000000000007"/>
    <x v="3"/>
  </r>
  <r>
    <x v="265"/>
    <s v="MARZO"/>
    <x v="44"/>
    <s v="SÁBADO"/>
    <n v="256601"/>
    <x v="5"/>
    <n v="648"/>
    <n v="162"/>
    <n v="110.16000000000001"/>
    <x v="3"/>
  </r>
  <r>
    <x v="265"/>
    <s v="MARZO"/>
    <x v="44"/>
    <s v="SÁBADO"/>
    <n v="256488"/>
    <x v="6"/>
    <n v="3840"/>
    <n v="120"/>
    <n v="652.80000000000007"/>
    <x v="3"/>
  </r>
  <r>
    <x v="265"/>
    <s v="MARZO"/>
    <x v="44"/>
    <s v="SÁBADO"/>
    <n v="256675"/>
    <x v="8"/>
    <n v="1296"/>
    <n v="198"/>
    <n v="220.32000000000002"/>
    <x v="3"/>
  </r>
  <r>
    <x v="265"/>
    <s v="MARZO"/>
    <x v="44"/>
    <s v="SÁBADO"/>
    <n v="256677"/>
    <x v="10"/>
    <n v="1440"/>
    <n v="120"/>
    <n v="244.8"/>
    <x v="3"/>
  </r>
  <r>
    <x v="265"/>
    <s v="MARZO"/>
    <x v="44"/>
    <s v="SÁBADO"/>
    <n v="256695"/>
    <x v="25"/>
    <n v="2025"/>
    <n v="225"/>
    <n v="850.5"/>
    <x v="3"/>
  </r>
  <r>
    <x v="265"/>
    <s v="MARZO"/>
    <x v="44"/>
    <s v="SÁBADO"/>
    <n v="256678"/>
    <x v="11"/>
    <n v="1080"/>
    <n v="90"/>
    <n v="183.60000000000002"/>
    <x v="3"/>
  </r>
  <r>
    <x v="265"/>
    <s v="MARZO"/>
    <x v="44"/>
    <s v="SÁBADO"/>
    <n v="751315"/>
    <x v="24"/>
    <n v="840"/>
    <n v="420"/>
    <n v="352.8"/>
    <x v="3"/>
  </r>
  <r>
    <x v="265"/>
    <s v="MARZO"/>
    <x v="44"/>
    <s v="SÁBADO"/>
    <n v="751468"/>
    <x v="32"/>
    <n v="1680"/>
    <n v="420"/>
    <n v="705.6"/>
    <x v="3"/>
  </r>
  <r>
    <x v="265"/>
    <s v="MARZO"/>
    <x v="44"/>
    <s v="SÁBADO"/>
    <n v="751544"/>
    <x v="39"/>
    <n v="2100"/>
    <n v="420"/>
    <n v="882"/>
    <x v="3"/>
  </r>
  <r>
    <x v="265"/>
    <s v="MARZO"/>
    <x v="44"/>
    <s v="SÁBADO"/>
    <n v="256677"/>
    <x v="10"/>
    <n v="480"/>
    <n v="120"/>
    <n v="81.600000000000009"/>
    <x v="3"/>
  </r>
  <r>
    <x v="265"/>
    <s v="MARZO"/>
    <x v="44"/>
    <s v="SÁBADO"/>
    <n v="256682"/>
    <x v="20"/>
    <n v="180"/>
    <n v="90"/>
    <n v="30.6"/>
    <x v="3"/>
  </r>
  <r>
    <x v="266"/>
    <s v="MARZO"/>
    <x v="44"/>
    <s v="LUNES"/>
    <n v="256381"/>
    <x v="13"/>
    <n v="60"/>
    <n v="30"/>
    <n v="24"/>
    <x v="3"/>
  </r>
  <r>
    <x v="266"/>
    <s v="MARZO"/>
    <x v="44"/>
    <s v="LUNES"/>
    <n v="251633"/>
    <x v="16"/>
    <n v="360"/>
    <n v="180"/>
    <n v="151.19999999999999"/>
    <x v="3"/>
  </r>
  <r>
    <x v="266"/>
    <s v="MARZO"/>
    <x v="44"/>
    <s v="LUNES"/>
    <n v="256677"/>
    <x v="10"/>
    <n v="6480"/>
    <n v="120"/>
    <n v="1101.6000000000001"/>
    <x v="3"/>
  </r>
  <r>
    <x v="266"/>
    <s v="MARZO"/>
    <x v="44"/>
    <s v="LUNES"/>
    <n v="256679"/>
    <x v="23"/>
    <n v="720"/>
    <n v="90"/>
    <n v="122.4"/>
    <x v="3"/>
  </r>
  <r>
    <x v="266"/>
    <s v="MARZO"/>
    <x v="44"/>
    <s v="LUNES"/>
    <n v="256678"/>
    <x v="11"/>
    <n v="2520"/>
    <n v="90"/>
    <n v="428.40000000000003"/>
    <x v="3"/>
  </r>
  <r>
    <x v="266"/>
    <s v="MARZO"/>
    <x v="44"/>
    <s v="LUNES"/>
    <n v="256685"/>
    <x v="38"/>
    <n v="448"/>
    <n v="112"/>
    <n v="179.20000000000002"/>
    <x v="3"/>
  </r>
  <r>
    <x v="266"/>
    <s v="MARZO"/>
    <x v="44"/>
    <s v="LUNES"/>
    <n v="251633"/>
    <x v="16"/>
    <n v="540"/>
    <n v="180"/>
    <n v="226.79999999999998"/>
    <x v="3"/>
  </r>
  <r>
    <x v="266"/>
    <s v="MARZO"/>
    <x v="44"/>
    <s v="LUNES"/>
    <n v="251406"/>
    <x v="1"/>
    <n v="1296"/>
    <n v="198"/>
    <n v="220.32000000000002"/>
    <x v="3"/>
  </r>
  <r>
    <x v="266"/>
    <s v="MARZO"/>
    <x v="44"/>
    <s v="LUNES"/>
    <n v="256548"/>
    <x v="34"/>
    <n v="216"/>
    <n v="198"/>
    <n v="36.720000000000006"/>
    <x v="3"/>
  </r>
  <r>
    <x v="266"/>
    <s v="MARZO"/>
    <x v="44"/>
    <s v="LUNES"/>
    <n v="256616"/>
    <x v="22"/>
    <n v="396"/>
    <n v="198"/>
    <n v="67.320000000000007"/>
    <x v="3"/>
  </r>
  <r>
    <x v="266"/>
    <s v="MARZO"/>
    <x v="44"/>
    <s v="LUNES"/>
    <n v="256617"/>
    <x v="3"/>
    <n v="792"/>
    <n v="198"/>
    <n v="134.64000000000001"/>
    <x v="3"/>
  </r>
  <r>
    <x v="266"/>
    <s v="MARZO"/>
    <x v="44"/>
    <s v="LUNES"/>
    <n v="256488"/>
    <x v="6"/>
    <n v="3600"/>
    <n v="120"/>
    <n v="612"/>
    <x v="3"/>
  </r>
  <r>
    <x v="266"/>
    <s v="MARZO"/>
    <x v="44"/>
    <s v="LUNES"/>
    <n v="256680"/>
    <x v="26"/>
    <n v="540"/>
    <n v="90"/>
    <n v="91.800000000000011"/>
    <x v="3"/>
  </r>
  <r>
    <x v="266"/>
    <s v="MARZO"/>
    <x v="44"/>
    <s v="LUNES"/>
    <n v="256679"/>
    <x v="23"/>
    <n v="540"/>
    <n v="90"/>
    <n v="91.800000000000011"/>
    <x v="3"/>
  </r>
  <r>
    <x v="266"/>
    <s v="MARZO"/>
    <x v="44"/>
    <s v="LUNES"/>
    <n v="256678"/>
    <x v="11"/>
    <n v="900"/>
    <n v="90"/>
    <n v="153"/>
    <x v="3"/>
  </r>
  <r>
    <x v="266"/>
    <s v="MARZO"/>
    <x v="44"/>
    <s v="LUNES"/>
    <n v="256709"/>
    <x v="19"/>
    <n v="450"/>
    <n v="225"/>
    <n v="180"/>
    <x v="3"/>
  </r>
  <r>
    <x v="267"/>
    <s v="MARZO"/>
    <x v="44"/>
    <s v="DOMINGO"/>
    <n v="751315"/>
    <x v="24"/>
    <n v="2940"/>
    <n v="420"/>
    <n v="1234.8"/>
    <x v="3"/>
  </r>
  <r>
    <x v="267"/>
    <s v="MARZO"/>
    <x v="44"/>
    <s v="DOMINGO"/>
    <n v="251406"/>
    <x v="1"/>
    <n v="1728"/>
    <n v="198"/>
    <n v="293.76000000000005"/>
    <x v="3"/>
  </r>
  <r>
    <x v="267"/>
    <s v="MARZO"/>
    <x v="44"/>
    <s v="DOMINGO"/>
    <n v="254853"/>
    <x v="2"/>
    <n v="1512"/>
    <n v="198"/>
    <n v="257.04000000000002"/>
    <x v="3"/>
  </r>
  <r>
    <x v="267"/>
    <s v="MARZO"/>
    <x v="44"/>
    <s v="DOMINGO"/>
    <n v="256601"/>
    <x v="5"/>
    <n v="162"/>
    <n v="162"/>
    <n v="27.540000000000003"/>
    <x v="3"/>
  </r>
  <r>
    <x v="267"/>
    <s v="MARZO"/>
    <x v="44"/>
    <s v="DOMINGO"/>
    <n v="256488"/>
    <x v="6"/>
    <n v="2400"/>
    <n v="120"/>
    <n v="408.00000000000006"/>
    <x v="3"/>
  </r>
  <r>
    <x v="267"/>
    <s v="MARZO"/>
    <x v="44"/>
    <s v="DOMINGO"/>
    <n v="256676"/>
    <x v="17"/>
    <n v="1200"/>
    <n v="120"/>
    <n v="204.00000000000003"/>
    <x v="3"/>
  </r>
  <r>
    <x v="267"/>
    <s v="MARZO"/>
    <x v="44"/>
    <s v="DOMINGO"/>
    <n v="256674"/>
    <x v="7"/>
    <n v="3456"/>
    <n v="198"/>
    <n v="587.5200000000001"/>
    <x v="3"/>
  </r>
  <r>
    <x v="267"/>
    <s v="MARZO"/>
    <x v="44"/>
    <s v="DOMINGO"/>
    <n v="256677"/>
    <x v="10"/>
    <n v="1440"/>
    <n v="120"/>
    <n v="244.8"/>
    <x v="3"/>
  </r>
  <r>
    <x v="266"/>
    <s v="MARZO"/>
    <x v="44"/>
    <s v="LUNES"/>
    <n v="256383"/>
    <x v="28"/>
    <n v="300"/>
    <n v="30"/>
    <n v="69"/>
    <x v="3"/>
  </r>
  <r>
    <x v="266"/>
    <s v="MARZO"/>
    <x v="44"/>
    <s v="LUNES"/>
    <n v="256381"/>
    <x v="13"/>
    <n v="90"/>
    <n v="30"/>
    <n v="36"/>
    <x v="3"/>
  </r>
  <r>
    <x v="266"/>
    <s v="MARZO"/>
    <x v="44"/>
    <s v="LUNES"/>
    <n v="256379"/>
    <x v="15"/>
    <n v="250"/>
    <n v="50"/>
    <n v="100"/>
    <x v="3"/>
  </r>
  <r>
    <x v="266"/>
    <s v="MARZO"/>
    <x v="44"/>
    <s v="LUNES"/>
    <n v="252436"/>
    <x v="36"/>
    <n v="450"/>
    <n v="90"/>
    <n v="180"/>
    <x v="3"/>
  </r>
  <r>
    <x v="266"/>
    <s v="MARZO"/>
    <x v="44"/>
    <s v="LUNES"/>
    <n v="751315"/>
    <x v="24"/>
    <n v="840"/>
    <n v="420"/>
    <n v="352.8"/>
    <x v="3"/>
  </r>
  <r>
    <x v="266"/>
    <s v="MARZO"/>
    <x v="44"/>
    <s v="LUNES"/>
    <n v="251406"/>
    <x v="1"/>
    <n v="2592"/>
    <n v="198"/>
    <n v="440.64000000000004"/>
    <x v="3"/>
  </r>
  <r>
    <x v="266"/>
    <s v="MARZO"/>
    <x v="44"/>
    <s v="LUNES"/>
    <n v="254853"/>
    <x v="2"/>
    <n v="1728"/>
    <n v="198"/>
    <n v="293.76000000000005"/>
    <x v="3"/>
  </r>
  <r>
    <x v="266"/>
    <s v="MARZO"/>
    <x v="44"/>
    <s v="LUNES"/>
    <n v="256674"/>
    <x v="7"/>
    <n v="864"/>
    <n v="198"/>
    <n v="146.88000000000002"/>
    <x v="3"/>
  </r>
  <r>
    <x v="266"/>
    <s v="MARZO"/>
    <x v="44"/>
    <s v="LUNES"/>
    <n v="256677"/>
    <x v="10"/>
    <n v="3600"/>
    <n v="120"/>
    <n v="612"/>
    <x v="3"/>
  </r>
  <r>
    <x v="266"/>
    <s v="MARZO"/>
    <x v="44"/>
    <s v="LUNES"/>
    <n v="256674"/>
    <x v="7"/>
    <n v="1440"/>
    <n v="198"/>
    <n v="244.8"/>
    <x v="3"/>
  </r>
  <r>
    <x v="266"/>
    <s v="MARZO"/>
    <x v="44"/>
    <s v="LUNES"/>
    <n v="256678"/>
    <x v="11"/>
    <n v="720"/>
    <n v="90"/>
    <n v="122.4"/>
    <x v="3"/>
  </r>
  <r>
    <x v="266"/>
    <s v="MARZO"/>
    <x v="44"/>
    <s v="LUNES"/>
    <n v="751315"/>
    <x v="24"/>
    <n v="420"/>
    <n v="420"/>
    <n v="176.4"/>
    <x v="3"/>
  </r>
  <r>
    <x v="266"/>
    <s v="MARZO"/>
    <x v="44"/>
    <s v="LUNES"/>
    <n v="251633"/>
    <x v="16"/>
    <n v="540"/>
    <n v="180"/>
    <n v="226.79999999999998"/>
    <x v="3"/>
  </r>
  <r>
    <x v="266"/>
    <s v="MARZO"/>
    <x v="44"/>
    <s v="LUNES"/>
    <n v="256677"/>
    <x v="10"/>
    <n v="480"/>
    <n v="120"/>
    <n v="81.600000000000009"/>
    <x v="3"/>
  </r>
  <r>
    <x v="266"/>
    <s v="MARZO"/>
    <x v="44"/>
    <s v="LUNES"/>
    <n v="256678"/>
    <x v="11"/>
    <n v="360"/>
    <n v="90"/>
    <n v="61.2"/>
    <x v="3"/>
  </r>
  <r>
    <x v="268"/>
    <s v="MARZO"/>
    <x v="44"/>
    <s v="MARTES"/>
    <n v="252436"/>
    <x v="36"/>
    <n v="810"/>
    <n v="90"/>
    <n v="324"/>
    <x v="3"/>
  </r>
  <r>
    <x v="268"/>
    <s v="MARZO"/>
    <x v="44"/>
    <s v="MARTES"/>
    <n v="751468"/>
    <x v="32"/>
    <n v="2100"/>
    <n v="420"/>
    <n v="882"/>
    <x v="3"/>
  </r>
  <r>
    <x v="268"/>
    <s v="MARZO"/>
    <x v="44"/>
    <s v="MARTES"/>
    <n v="256616"/>
    <x v="22"/>
    <n v="396"/>
    <n v="198"/>
    <n v="67.320000000000007"/>
    <x v="3"/>
  </r>
  <r>
    <x v="268"/>
    <s v="MARZO"/>
    <x v="44"/>
    <s v="MARTES"/>
    <n v="256617"/>
    <x v="3"/>
    <n v="396"/>
    <n v="198"/>
    <n v="67.320000000000007"/>
    <x v="3"/>
  </r>
  <r>
    <x v="268"/>
    <s v="MARZO"/>
    <x v="44"/>
    <s v="MARTES"/>
    <n v="256652"/>
    <x v="9"/>
    <n v="450"/>
    <n v="90"/>
    <n v="76.5"/>
    <x v="3"/>
  </r>
  <r>
    <x v="268"/>
    <s v="MARZO"/>
    <x v="44"/>
    <s v="MARTES"/>
    <n v="256677"/>
    <x v="10"/>
    <n v="4320"/>
    <n v="120"/>
    <n v="734.40000000000009"/>
    <x v="3"/>
  </r>
  <r>
    <x v="268"/>
    <s v="MARZO"/>
    <x v="44"/>
    <s v="MARTES"/>
    <n v="256680"/>
    <x v="26"/>
    <n v="180"/>
    <n v="90"/>
    <n v="30.6"/>
    <x v="3"/>
  </r>
  <r>
    <x v="268"/>
    <s v="MARZO"/>
    <x v="44"/>
    <s v="MARTES"/>
    <n v="256679"/>
    <x v="23"/>
    <n v="360"/>
    <n v="90"/>
    <n v="61.2"/>
    <x v="3"/>
  </r>
  <r>
    <x v="268"/>
    <s v="MARZO"/>
    <x v="44"/>
    <s v="MARTES"/>
    <n v="256678"/>
    <x v="11"/>
    <n v="1980"/>
    <n v="90"/>
    <n v="336.6"/>
    <x v="3"/>
  </r>
  <r>
    <x v="268"/>
    <s v="MARZO"/>
    <x v="44"/>
    <s v="MARTES"/>
    <n v="256682"/>
    <x v="20"/>
    <n v="450"/>
    <n v="90"/>
    <n v="76.5"/>
    <x v="3"/>
  </r>
  <r>
    <x v="268"/>
    <s v="MARZO"/>
    <x v="44"/>
    <s v="MARTES"/>
    <n v="256720"/>
    <x v="42"/>
    <n v="750"/>
    <n v="420"/>
    <n v="315"/>
    <x v="3"/>
  </r>
  <r>
    <x v="268"/>
    <s v="MARZO"/>
    <x v="44"/>
    <s v="MARTES"/>
    <n v="256721"/>
    <x v="43"/>
    <n v="1000"/>
    <n v="420"/>
    <n v="420"/>
    <x v="3"/>
  </r>
  <r>
    <x v="268"/>
    <s v="MARZO"/>
    <x v="44"/>
    <s v="MARTES"/>
    <n v="256685"/>
    <x v="38"/>
    <n v="112"/>
    <n v="112"/>
    <n v="44.800000000000004"/>
    <x v="3"/>
  </r>
  <r>
    <x v="268"/>
    <s v="MARZO"/>
    <x v="44"/>
    <s v="MARTES"/>
    <n v="251406"/>
    <x v="1"/>
    <n v="864"/>
    <n v="198"/>
    <n v="146.88000000000002"/>
    <x v="3"/>
  </r>
  <r>
    <x v="268"/>
    <s v="MARZO"/>
    <x v="44"/>
    <s v="MARTES"/>
    <n v="254853"/>
    <x v="2"/>
    <n v="1080"/>
    <n v="198"/>
    <n v="183.60000000000002"/>
    <x v="3"/>
  </r>
  <r>
    <x v="268"/>
    <s v="MARZO"/>
    <x v="44"/>
    <s v="MARTES"/>
    <n v="256549"/>
    <x v="29"/>
    <n v="432"/>
    <n v="198"/>
    <n v="73.440000000000012"/>
    <x v="3"/>
  </r>
  <r>
    <x v="268"/>
    <s v="MARZO"/>
    <x v="44"/>
    <s v="MARTES"/>
    <n v="256677"/>
    <x v="10"/>
    <n v="11520"/>
    <n v="120"/>
    <n v="1958.4"/>
    <x v="3"/>
  </r>
  <r>
    <x v="268"/>
    <s v="MARZO"/>
    <x v="44"/>
    <s v="MARTES"/>
    <n v="256695"/>
    <x v="25"/>
    <n v="900"/>
    <n v="225"/>
    <n v="378"/>
    <x v="3"/>
  </r>
  <r>
    <x v="269"/>
    <s v="MARZO"/>
    <x v="44"/>
    <s v="MIÉRCOLES"/>
    <n v="252436"/>
    <x v="36"/>
    <n v="720"/>
    <n v="90"/>
    <n v="288"/>
    <x v="3"/>
  </r>
  <r>
    <x v="269"/>
    <s v="MARZO"/>
    <x v="44"/>
    <s v="MIÉRCOLES"/>
    <n v="256685"/>
    <x v="38"/>
    <n v="336"/>
    <n v="112"/>
    <n v="134.4"/>
    <x v="3"/>
  </r>
  <r>
    <x v="269"/>
    <s v="MARZO"/>
    <x v="44"/>
    <s v="MIÉRCOLES"/>
    <n v="251429"/>
    <x v="0"/>
    <n v="480"/>
    <n v="48"/>
    <n v="192"/>
    <x v="3"/>
  </r>
  <r>
    <x v="269"/>
    <s v="MARZO"/>
    <x v="44"/>
    <s v="MIÉRCOLES"/>
    <n v="256488"/>
    <x v="6"/>
    <n v="2400"/>
    <n v="120"/>
    <n v="408.00000000000006"/>
    <x v="3"/>
  </r>
  <r>
    <x v="269"/>
    <s v="MARZO"/>
    <x v="44"/>
    <s v="MIÉRCOLES"/>
    <n v="256676"/>
    <x v="17"/>
    <n v="1800"/>
    <n v="120"/>
    <n v="306"/>
    <x v="3"/>
  </r>
  <r>
    <x v="269"/>
    <s v="MARZO"/>
    <x v="44"/>
    <s v="MIÉRCOLES"/>
    <n v="256680"/>
    <x v="26"/>
    <n v="900"/>
    <n v="90"/>
    <n v="153"/>
    <x v="3"/>
  </r>
  <r>
    <x v="269"/>
    <s v="MARZO"/>
    <x v="44"/>
    <s v="MIÉRCOLES"/>
    <n v="256679"/>
    <x v="23"/>
    <n v="1440"/>
    <n v="90"/>
    <n v="244.8"/>
    <x v="3"/>
  </r>
  <r>
    <x v="269"/>
    <s v="MARZO"/>
    <x v="44"/>
    <s v="MIÉRCOLES"/>
    <n v="256678"/>
    <x v="11"/>
    <n v="900"/>
    <n v="90"/>
    <n v="153"/>
    <x v="3"/>
  </r>
  <r>
    <x v="269"/>
    <s v="MARZO"/>
    <x v="44"/>
    <s v="MIÉRCOLES"/>
    <n v="256720"/>
    <x v="42"/>
    <n v="500"/>
    <n v="420"/>
    <n v="210"/>
    <x v="3"/>
  </r>
  <r>
    <x v="268"/>
    <s v="MARZO"/>
    <x v="44"/>
    <s v="MARTES"/>
    <n v="751315"/>
    <x v="24"/>
    <n v="1260"/>
    <n v="420"/>
    <n v="529.19999999999993"/>
    <x v="3"/>
  </r>
  <r>
    <x v="268"/>
    <s v="MARZO"/>
    <x v="44"/>
    <s v="MARTES"/>
    <n v="751468"/>
    <x v="32"/>
    <n v="1260"/>
    <n v="420"/>
    <n v="529.19999999999993"/>
    <x v="3"/>
  </r>
  <r>
    <x v="268"/>
    <s v="MARZO"/>
    <x v="44"/>
    <s v="MARTES"/>
    <n v="751544"/>
    <x v="39"/>
    <n v="840"/>
    <n v="420"/>
    <n v="352.8"/>
    <x v="3"/>
  </r>
  <r>
    <x v="268"/>
    <s v="MARZO"/>
    <x v="44"/>
    <s v="MARTES"/>
    <n v="256666"/>
    <x v="4"/>
    <n v="486"/>
    <n v="162"/>
    <n v="82.62"/>
    <x v="3"/>
  </r>
  <r>
    <x v="268"/>
    <s v="MARZO"/>
    <x v="44"/>
    <s v="MARTES"/>
    <n v="256601"/>
    <x v="5"/>
    <n v="648"/>
    <n v="162"/>
    <n v="110.16000000000001"/>
    <x v="3"/>
  </r>
  <r>
    <x v="268"/>
    <s v="MARZO"/>
    <x v="44"/>
    <s v="MARTES"/>
    <n v="256674"/>
    <x v="7"/>
    <n v="1296"/>
    <n v="198"/>
    <n v="220.32000000000002"/>
    <x v="3"/>
  </r>
  <r>
    <x v="268"/>
    <s v="MARZO"/>
    <x v="44"/>
    <s v="MARTES"/>
    <n v="256675"/>
    <x v="8"/>
    <n v="1728"/>
    <n v="198"/>
    <n v="293.76000000000005"/>
    <x v="3"/>
  </r>
  <r>
    <x v="268"/>
    <s v="MARZO"/>
    <x v="44"/>
    <s v="MARTES"/>
    <n v="256652"/>
    <x v="9"/>
    <n v="900"/>
    <n v="90"/>
    <n v="153"/>
    <x v="3"/>
  </r>
  <r>
    <x v="268"/>
    <s v="MARZO"/>
    <x v="44"/>
    <s v="MARTES"/>
    <n v="256677"/>
    <x v="10"/>
    <n v="6240"/>
    <n v="120"/>
    <n v="1060.8000000000002"/>
    <x v="3"/>
  </r>
  <r>
    <x v="268"/>
    <s v="MARZO"/>
    <x v="44"/>
    <s v="MARTES"/>
    <n v="256708"/>
    <x v="12"/>
    <n v="450"/>
    <n v="225"/>
    <n v="180"/>
    <x v="3"/>
  </r>
  <r>
    <x v="269"/>
    <s v="MARZO"/>
    <x v="44"/>
    <s v="MIÉRCOLES"/>
    <n v="256381"/>
    <x v="13"/>
    <n v="90"/>
    <n v="30"/>
    <n v="36"/>
    <x v="3"/>
  </r>
  <r>
    <x v="269"/>
    <s v="MARZO"/>
    <x v="44"/>
    <s v="MIÉRCOLES"/>
    <n v="256379"/>
    <x v="15"/>
    <n v="200"/>
    <n v="50"/>
    <n v="80"/>
    <x v="3"/>
  </r>
  <r>
    <x v="269"/>
    <s v="MARZO"/>
    <x v="44"/>
    <s v="MIÉRCOLES"/>
    <n v="251429"/>
    <x v="0"/>
    <n v="1152"/>
    <n v="48"/>
    <n v="460.8"/>
    <x v="3"/>
  </r>
  <r>
    <x v="269"/>
    <s v="MARZO"/>
    <x v="44"/>
    <s v="MIÉRCOLES"/>
    <n v="751315"/>
    <x v="24"/>
    <n v="840"/>
    <n v="420"/>
    <n v="352.8"/>
    <x v="3"/>
  </r>
  <r>
    <x v="269"/>
    <s v="MARZO"/>
    <x v="44"/>
    <s v="MIÉRCOLES"/>
    <n v="751544"/>
    <x v="39"/>
    <n v="420"/>
    <n v="420"/>
    <n v="176.4"/>
    <x v="3"/>
  </r>
  <r>
    <x v="269"/>
    <s v="MARZO"/>
    <x v="44"/>
    <s v="MIÉRCOLES"/>
    <n v="256677"/>
    <x v="10"/>
    <n v="4560"/>
    <n v="120"/>
    <n v="775.2"/>
    <x v="3"/>
  </r>
  <r>
    <x v="269"/>
    <s v="MARZO"/>
    <x v="44"/>
    <s v="MIÉRCOLES"/>
    <n v="256753"/>
    <x v="48"/>
    <n v="390"/>
    <n v="30"/>
    <n v="81.899999999999991"/>
    <x v="3"/>
  </r>
  <r>
    <x v="269"/>
    <s v="MARZO"/>
    <x v="44"/>
    <s v="MIÉRCOLES"/>
    <n v="256381"/>
    <x v="13"/>
    <n v="180"/>
    <n v="30"/>
    <n v="72"/>
    <x v="3"/>
  </r>
  <r>
    <x v="269"/>
    <s v="MARZO"/>
    <x v="44"/>
    <s v="MIÉRCOLES"/>
    <n v="256677"/>
    <x v="10"/>
    <n v="1200"/>
    <n v="120"/>
    <n v="204.00000000000003"/>
    <x v="3"/>
  </r>
  <r>
    <x v="269"/>
    <s v="MARZO"/>
    <x v="44"/>
    <s v="MIÉRCOLES"/>
    <n v="256680"/>
    <x v="26"/>
    <n v="1440"/>
    <n v="90"/>
    <n v="244.8"/>
    <x v="3"/>
  </r>
  <r>
    <x v="269"/>
    <s v="MARZO"/>
    <x v="44"/>
    <s v="MIÉRCOLES"/>
    <n v="256753"/>
    <x v="48"/>
    <n v="210"/>
    <n v="30"/>
    <n v="44.1"/>
    <x v="3"/>
  </r>
  <r>
    <x v="270"/>
    <s v="MARZO"/>
    <x v="44"/>
    <s v="JUEVES"/>
    <n v="256383"/>
    <x v="28"/>
    <n v="120"/>
    <n v="30"/>
    <n v="27.6"/>
    <x v="3"/>
  </r>
  <r>
    <x v="270"/>
    <s v="MARZO"/>
    <x v="44"/>
    <s v="JUEVES"/>
    <n v="256379"/>
    <x v="15"/>
    <n v="100"/>
    <n v="50"/>
    <n v="40"/>
    <x v="3"/>
  </r>
  <r>
    <x v="270"/>
    <s v="MARZO"/>
    <x v="44"/>
    <s v="JUEVES"/>
    <n v="751315"/>
    <x v="24"/>
    <n v="2100"/>
    <n v="420"/>
    <n v="882"/>
    <x v="3"/>
  </r>
  <r>
    <x v="270"/>
    <s v="MARZO"/>
    <x v="44"/>
    <s v="JUEVES"/>
    <n v="256753"/>
    <x v="48"/>
    <n v="360"/>
    <n v="30"/>
    <n v="75.599999999999994"/>
    <x v="3"/>
  </r>
  <r>
    <x v="271"/>
    <s v="ABRIL"/>
    <x v="44"/>
    <s v="VIERNES"/>
    <n v="256677"/>
    <x v="10"/>
    <n v="6000"/>
    <n v="120"/>
    <n v="1020.0000000000001"/>
    <x v="3"/>
  </r>
  <r>
    <x v="270"/>
    <s v="MARZO"/>
    <x v="44"/>
    <s v="JUEVES"/>
    <n v="251429"/>
    <x v="0"/>
    <n v="576"/>
    <n v="48"/>
    <n v="230.4"/>
    <x v="3"/>
  </r>
  <r>
    <x v="270"/>
    <s v="MARZO"/>
    <x v="44"/>
    <s v="JUEVES"/>
    <n v="251406"/>
    <x v="1"/>
    <n v="5184"/>
    <n v="198"/>
    <n v="881.28000000000009"/>
    <x v="3"/>
  </r>
  <r>
    <x v="270"/>
    <s v="MARZO"/>
    <x v="44"/>
    <s v="JUEVES"/>
    <n v="254853"/>
    <x v="2"/>
    <n v="3456"/>
    <n v="198"/>
    <n v="587.5200000000001"/>
    <x v="3"/>
  </r>
  <r>
    <x v="270"/>
    <s v="MARZO"/>
    <x v="44"/>
    <s v="JUEVES"/>
    <n v="256616"/>
    <x v="22"/>
    <n v="594"/>
    <n v="198"/>
    <n v="100.98"/>
    <x v="3"/>
  </r>
  <r>
    <x v="270"/>
    <s v="MARZO"/>
    <x v="44"/>
    <s v="JUEVES"/>
    <n v="256674"/>
    <x v="7"/>
    <n v="1728"/>
    <n v="198"/>
    <n v="293.76000000000005"/>
    <x v="3"/>
  </r>
  <r>
    <x v="270"/>
    <s v="MARZO"/>
    <x v="44"/>
    <s v="JUEVES"/>
    <n v="256675"/>
    <x v="8"/>
    <n v="1080"/>
    <n v="198"/>
    <n v="183.60000000000002"/>
    <x v="3"/>
  </r>
  <r>
    <x v="270"/>
    <s v="MARZO"/>
    <x v="44"/>
    <s v="JUEVES"/>
    <n v="256721"/>
    <x v="43"/>
    <n v="500"/>
    <n v="420"/>
    <n v="210"/>
    <x v="3"/>
  </r>
  <r>
    <x v="271"/>
    <s v="ABRIL"/>
    <x v="44"/>
    <s v="VIERNES"/>
    <n v="256383"/>
    <x v="28"/>
    <n v="180"/>
    <n v="30"/>
    <n v="41.4"/>
    <x v="3"/>
  </r>
  <r>
    <x v="271"/>
    <s v="ABRIL"/>
    <x v="44"/>
    <s v="VIERNES"/>
    <n v="256382"/>
    <x v="33"/>
    <n v="80"/>
    <n v="40"/>
    <n v="18.400000000000002"/>
    <x v="3"/>
  </r>
  <r>
    <x v="271"/>
    <s v="ABRIL"/>
    <x v="44"/>
    <s v="VIERNES"/>
    <n v="256379"/>
    <x v="15"/>
    <n v="300"/>
    <n v="50"/>
    <n v="120"/>
    <x v="3"/>
  </r>
  <r>
    <x v="271"/>
    <s v="ABRIL"/>
    <x v="44"/>
    <s v="VIERNES"/>
    <n v="251633"/>
    <x v="16"/>
    <n v="900"/>
    <n v="180"/>
    <n v="378"/>
    <x v="3"/>
  </r>
  <r>
    <x v="271"/>
    <s v="ABRIL"/>
    <x v="44"/>
    <s v="VIERNES"/>
    <n v="251406"/>
    <x v="1"/>
    <n v="432"/>
    <n v="198"/>
    <n v="73.440000000000012"/>
    <x v="3"/>
  </r>
  <r>
    <x v="271"/>
    <s v="ABRIL"/>
    <x v="44"/>
    <s v="VIERNES"/>
    <n v="256601"/>
    <x v="5"/>
    <n v="324"/>
    <n v="162"/>
    <n v="55.080000000000005"/>
    <x v="3"/>
  </r>
  <r>
    <x v="271"/>
    <s v="ABRIL"/>
    <x v="44"/>
    <s v="VIERNES"/>
    <n v="256675"/>
    <x v="8"/>
    <n v="1728"/>
    <n v="198"/>
    <n v="293.76000000000005"/>
    <x v="3"/>
  </r>
  <r>
    <x v="271"/>
    <s v="ABRIL"/>
    <x v="44"/>
    <s v="VIERNES"/>
    <n v="256682"/>
    <x v="20"/>
    <n v="450"/>
    <n v="90"/>
    <n v="76.5"/>
    <x v="3"/>
  </r>
  <r>
    <x v="271"/>
    <s v="ABRIL"/>
    <x v="44"/>
    <s v="VIERNES"/>
    <n v="256695"/>
    <x v="25"/>
    <n v="1800"/>
    <n v="225"/>
    <n v="756"/>
    <x v="3"/>
  </r>
  <r>
    <x v="271"/>
    <s v="ABRIL"/>
    <x v="44"/>
    <s v="VIERNES"/>
    <n v="256383"/>
    <x v="28"/>
    <n v="30"/>
    <n v="30"/>
    <n v="6.9"/>
    <x v="3"/>
  </r>
  <r>
    <x v="271"/>
    <s v="ABRIL"/>
    <x v="44"/>
    <s v="VIERNES"/>
    <n v="256677"/>
    <x v="10"/>
    <n v="4320"/>
    <n v="120"/>
    <n v="734.40000000000009"/>
    <x v="3"/>
  </r>
  <r>
    <x v="271"/>
    <s v="ABRIL"/>
    <x v="44"/>
    <s v="VIERNES"/>
    <n v="252436"/>
    <x v="36"/>
    <n v="540"/>
    <n v="90"/>
    <n v="216"/>
    <x v="3"/>
  </r>
  <r>
    <x v="271"/>
    <s v="ABRIL"/>
    <x v="44"/>
    <s v="VIERNES"/>
    <n v="254762"/>
    <x v="40"/>
    <n v="224"/>
    <n v="240"/>
    <n v="89.600000000000009"/>
    <x v="3"/>
  </r>
  <r>
    <x v="271"/>
    <s v="ABRIL"/>
    <x v="44"/>
    <s v="VIERNES"/>
    <n v="256677"/>
    <x v="10"/>
    <n v="1680"/>
    <n v="120"/>
    <n v="285.60000000000002"/>
    <x v="3"/>
  </r>
  <r>
    <x v="271"/>
    <s v="ABRIL"/>
    <x v="44"/>
    <s v="VIERNES"/>
    <n v="256720"/>
    <x v="42"/>
    <n v="250"/>
    <n v="420"/>
    <n v="105"/>
    <x v="3"/>
  </r>
  <r>
    <x v="271"/>
    <s v="ABRIL"/>
    <x v="44"/>
    <s v="VIERNES"/>
    <n v="256721"/>
    <x v="43"/>
    <n v="250"/>
    <n v="420"/>
    <n v="105"/>
    <x v="3"/>
  </r>
  <r>
    <x v="271"/>
    <s v="ABRIL"/>
    <x v="44"/>
    <s v="VIERNES"/>
    <n v="751315"/>
    <x v="24"/>
    <n v="4200"/>
    <n v="420"/>
    <n v="1764"/>
    <x v="3"/>
  </r>
  <r>
    <x v="271"/>
    <s v="ABRIL"/>
    <x v="44"/>
    <s v="VIERNES"/>
    <n v="251633"/>
    <x v="16"/>
    <n v="180"/>
    <n v="180"/>
    <n v="75.599999999999994"/>
    <x v="3"/>
  </r>
  <r>
    <x v="271"/>
    <s v="ABRIL"/>
    <x v="44"/>
    <s v="VIERNES"/>
    <n v="256601"/>
    <x v="5"/>
    <n v="162"/>
    <n v="162"/>
    <n v="27.540000000000003"/>
    <x v="3"/>
  </r>
  <r>
    <x v="271"/>
    <s v="ABRIL"/>
    <x v="44"/>
    <s v="VIERNES"/>
    <n v="256488"/>
    <x v="6"/>
    <n v="2880"/>
    <n v="120"/>
    <n v="489.6"/>
    <x v="3"/>
  </r>
  <r>
    <x v="271"/>
    <s v="ABRIL"/>
    <x v="44"/>
    <s v="VIERNES"/>
    <n v="256676"/>
    <x v="17"/>
    <n v="720"/>
    <n v="120"/>
    <n v="122.4"/>
    <x v="3"/>
  </r>
  <r>
    <x v="271"/>
    <s v="ABRIL"/>
    <x v="44"/>
    <s v="VIERNES"/>
    <n v="256677"/>
    <x v="10"/>
    <n v="720"/>
    <n v="120"/>
    <n v="122.4"/>
    <x v="3"/>
  </r>
  <r>
    <x v="271"/>
    <s v="ABRIL"/>
    <x v="44"/>
    <s v="VIERNES"/>
    <n v="256679"/>
    <x v="23"/>
    <n v="1800"/>
    <n v="90"/>
    <n v="306"/>
    <x v="3"/>
  </r>
  <r>
    <x v="271"/>
    <s v="ABRIL"/>
    <x v="44"/>
    <s v="VIERNES"/>
    <n v="256678"/>
    <x v="11"/>
    <n v="1440"/>
    <n v="90"/>
    <n v="244.8"/>
    <x v="3"/>
  </r>
  <r>
    <x v="272"/>
    <s v="ABRIL"/>
    <x v="45"/>
    <s v="SÁBADO"/>
    <n v="256677"/>
    <x v="10"/>
    <n v="3840"/>
    <n v="120"/>
    <n v="652.80000000000007"/>
    <x v="3"/>
  </r>
  <r>
    <x v="272"/>
    <s v="ABRIL"/>
    <x v="45"/>
    <s v="SÁBADO"/>
    <n v="256677"/>
    <x v="10"/>
    <n v="960"/>
    <n v="120"/>
    <n v="163.20000000000002"/>
    <x v="3"/>
  </r>
  <r>
    <x v="272"/>
    <s v="ABRIL"/>
    <x v="45"/>
    <s v="SÁBADO"/>
    <n v="256383"/>
    <x v="28"/>
    <n v="120"/>
    <n v="30"/>
    <n v="27.6"/>
    <x v="3"/>
  </r>
  <r>
    <x v="272"/>
    <s v="ABRIL"/>
    <x v="45"/>
    <s v="SÁBADO"/>
    <n v="256381"/>
    <x v="13"/>
    <n v="180"/>
    <n v="30"/>
    <n v="72"/>
    <x v="3"/>
  </r>
  <r>
    <x v="272"/>
    <s v="ABRIL"/>
    <x v="45"/>
    <s v="SÁBADO"/>
    <n v="256379"/>
    <x v="15"/>
    <n v="100"/>
    <n v="50"/>
    <n v="40"/>
    <x v="3"/>
  </r>
  <r>
    <x v="272"/>
    <s v="ABRIL"/>
    <x v="45"/>
    <s v="SÁBADO"/>
    <n v="256616"/>
    <x v="22"/>
    <n v="792"/>
    <n v="198"/>
    <n v="134.64000000000001"/>
    <x v="3"/>
  </r>
  <r>
    <x v="272"/>
    <s v="ABRIL"/>
    <x v="45"/>
    <s v="SÁBADO"/>
    <n v="256666"/>
    <x v="4"/>
    <n v="486"/>
    <n v="162"/>
    <n v="82.62"/>
    <x v="3"/>
  </r>
  <r>
    <x v="272"/>
    <s v="ABRIL"/>
    <x v="45"/>
    <s v="SÁBADO"/>
    <n v="256601"/>
    <x v="5"/>
    <n v="324"/>
    <n v="162"/>
    <n v="55.080000000000005"/>
    <x v="3"/>
  </r>
  <r>
    <x v="272"/>
    <s v="ABRIL"/>
    <x v="45"/>
    <s v="SÁBADO"/>
    <n v="256488"/>
    <x v="6"/>
    <n v="120"/>
    <n v="120"/>
    <n v="20.400000000000002"/>
    <x v="3"/>
  </r>
  <r>
    <x v="272"/>
    <s v="ABRIL"/>
    <x v="45"/>
    <s v="SÁBADO"/>
    <n v="256676"/>
    <x v="17"/>
    <n v="1080"/>
    <n v="120"/>
    <n v="183.60000000000002"/>
    <x v="3"/>
  </r>
  <r>
    <x v="272"/>
    <s v="ABRIL"/>
    <x v="45"/>
    <s v="SÁBADO"/>
    <n v="256677"/>
    <x v="10"/>
    <n v="2880"/>
    <n v="120"/>
    <n v="489.6"/>
    <x v="3"/>
  </r>
  <r>
    <x v="272"/>
    <s v="ABRIL"/>
    <x v="45"/>
    <s v="SÁBADO"/>
    <n v="256679"/>
    <x v="23"/>
    <n v="90"/>
    <n v="90"/>
    <n v="15.3"/>
    <x v="3"/>
  </r>
  <r>
    <x v="272"/>
    <s v="ABRIL"/>
    <x v="45"/>
    <s v="SÁBADO"/>
    <n v="256678"/>
    <x v="11"/>
    <n v="900"/>
    <n v="90"/>
    <n v="153"/>
    <x v="3"/>
  </r>
  <r>
    <x v="273"/>
    <s v="ABRIL"/>
    <x v="45"/>
    <s v="LUNES"/>
    <n v="254762"/>
    <x v="40"/>
    <n v="112"/>
    <n v="240"/>
    <n v="44.800000000000004"/>
    <x v="3"/>
  </r>
  <r>
    <x v="273"/>
    <s v="ABRIL"/>
    <x v="45"/>
    <s v="LUNES"/>
    <n v="256685"/>
    <x v="38"/>
    <n v="224"/>
    <n v="112"/>
    <n v="89.600000000000009"/>
    <x v="3"/>
  </r>
  <r>
    <x v="273"/>
    <s v="ABRIL"/>
    <x v="45"/>
    <s v="LUNES"/>
    <n v="251429"/>
    <x v="0"/>
    <n v="960"/>
    <n v="48"/>
    <n v="384"/>
    <x v="3"/>
  </r>
  <r>
    <x v="273"/>
    <s v="ABRIL"/>
    <x v="45"/>
    <s v="LUNES"/>
    <n v="251633"/>
    <x v="16"/>
    <n v="1080"/>
    <n v="180"/>
    <n v="453.59999999999997"/>
    <x v="3"/>
  </r>
  <r>
    <x v="273"/>
    <s v="ABRIL"/>
    <x v="45"/>
    <s v="LUNES"/>
    <n v="251406"/>
    <x v="1"/>
    <n v="1080"/>
    <n v="198"/>
    <n v="183.60000000000002"/>
    <x v="3"/>
  </r>
  <r>
    <x v="273"/>
    <s v="ABRIL"/>
    <x v="45"/>
    <s v="LUNES"/>
    <n v="254853"/>
    <x v="2"/>
    <n v="2160"/>
    <n v="198"/>
    <n v="367.20000000000005"/>
    <x v="3"/>
  </r>
  <r>
    <x v="273"/>
    <s v="ABRIL"/>
    <x v="45"/>
    <s v="LUNES"/>
    <n v="256488"/>
    <x v="6"/>
    <n v="1680"/>
    <n v="120"/>
    <n v="285.60000000000002"/>
    <x v="3"/>
  </r>
  <r>
    <x v="273"/>
    <s v="ABRIL"/>
    <x v="45"/>
    <s v="LUNES"/>
    <n v="256674"/>
    <x v="7"/>
    <n v="1080"/>
    <n v="198"/>
    <n v="183.60000000000002"/>
    <x v="3"/>
  </r>
  <r>
    <x v="273"/>
    <s v="ABRIL"/>
    <x v="45"/>
    <s v="LUNES"/>
    <n v="256675"/>
    <x v="8"/>
    <n v="1080"/>
    <n v="198"/>
    <n v="183.60000000000002"/>
    <x v="3"/>
  </r>
  <r>
    <x v="273"/>
    <s v="ABRIL"/>
    <x v="45"/>
    <s v="LUNES"/>
    <n v="256677"/>
    <x v="10"/>
    <n v="240"/>
    <n v="120"/>
    <n v="40.800000000000004"/>
    <x v="3"/>
  </r>
  <r>
    <x v="273"/>
    <s v="ABRIL"/>
    <x v="45"/>
    <s v="LUNES"/>
    <n v="256708"/>
    <x v="12"/>
    <n v="450"/>
    <n v="225"/>
    <n v="180"/>
    <x v="3"/>
  </r>
  <r>
    <x v="273"/>
    <s v="ABRIL"/>
    <x v="45"/>
    <s v="LUNES"/>
    <n v="256382"/>
    <x v="33"/>
    <n v="120"/>
    <n v="40"/>
    <n v="27.6"/>
    <x v="3"/>
  </r>
  <r>
    <x v="273"/>
    <s v="ABRIL"/>
    <x v="45"/>
    <s v="LUNES"/>
    <n v="256381"/>
    <x v="13"/>
    <n v="210"/>
    <n v="30"/>
    <n v="84"/>
    <x v="3"/>
  </r>
  <r>
    <x v="273"/>
    <s v="ABRIL"/>
    <x v="45"/>
    <s v="LUNES"/>
    <n v="256380"/>
    <x v="14"/>
    <n v="80"/>
    <n v="40"/>
    <n v="18.400000000000002"/>
    <x v="3"/>
  </r>
  <r>
    <x v="273"/>
    <s v="ABRIL"/>
    <x v="45"/>
    <s v="LUNES"/>
    <n v="256379"/>
    <x v="15"/>
    <n v="350"/>
    <n v="50"/>
    <n v="140"/>
    <x v="3"/>
  </r>
  <r>
    <x v="273"/>
    <s v="ABRIL"/>
    <x v="45"/>
    <s v="LUNES"/>
    <n v="751315"/>
    <x v="24"/>
    <n v="2100"/>
    <n v="420"/>
    <n v="882"/>
    <x v="3"/>
  </r>
  <r>
    <x v="273"/>
    <s v="ABRIL"/>
    <x v="45"/>
    <s v="LUNES"/>
    <n v="251633"/>
    <x v="16"/>
    <n v="180"/>
    <n v="180"/>
    <n v="75.599999999999994"/>
    <x v="3"/>
  </r>
  <r>
    <x v="273"/>
    <s v="ABRIL"/>
    <x v="45"/>
    <s v="LUNES"/>
    <n v="256666"/>
    <x v="4"/>
    <n v="486"/>
    <n v="162"/>
    <n v="82.62"/>
    <x v="3"/>
  </r>
  <r>
    <x v="273"/>
    <s v="ABRIL"/>
    <x v="45"/>
    <s v="LUNES"/>
    <n v="256488"/>
    <x v="6"/>
    <n v="720"/>
    <n v="120"/>
    <n v="122.4"/>
    <x v="3"/>
  </r>
  <r>
    <x v="273"/>
    <s v="ABRIL"/>
    <x v="45"/>
    <s v="LUNES"/>
    <n v="256652"/>
    <x v="9"/>
    <n v="900"/>
    <n v="90"/>
    <n v="153"/>
    <x v="3"/>
  </r>
  <r>
    <x v="273"/>
    <s v="ABRIL"/>
    <x v="45"/>
    <s v="LUNES"/>
    <n v="256677"/>
    <x v="10"/>
    <n v="960"/>
    <n v="120"/>
    <n v="163.20000000000002"/>
    <x v="3"/>
  </r>
  <r>
    <x v="273"/>
    <s v="ABRIL"/>
    <x v="45"/>
    <s v="LUNES"/>
    <n v="256680"/>
    <x v="26"/>
    <n v="900"/>
    <n v="90"/>
    <n v="153"/>
    <x v="3"/>
  </r>
  <r>
    <x v="273"/>
    <s v="ABRIL"/>
    <x v="45"/>
    <s v="LUNES"/>
    <n v="256682"/>
    <x v="20"/>
    <n v="450"/>
    <n v="90"/>
    <n v="76.5"/>
    <x v="3"/>
  </r>
  <r>
    <x v="273"/>
    <s v="ABRIL"/>
    <x v="45"/>
    <s v="LUNES"/>
    <n v="256695"/>
    <x v="25"/>
    <n v="1350"/>
    <n v="225"/>
    <n v="567"/>
    <x v="3"/>
  </r>
  <r>
    <x v="274"/>
    <s v="ABRIL"/>
    <x v="45"/>
    <s v="MIÉRCOLES"/>
    <n v="256677"/>
    <x v="10"/>
    <n v="6000"/>
    <n v="120"/>
    <n v="1020.0000000000001"/>
    <x v="3"/>
  </r>
  <r>
    <x v="275"/>
    <s v="ABRIL"/>
    <x v="45"/>
    <s v="MARTES"/>
    <n v="256695"/>
    <x v="25"/>
    <n v="900"/>
    <n v="225"/>
    <n v="378"/>
    <x v="3"/>
  </r>
  <r>
    <x v="275"/>
    <s v="ABRIL"/>
    <x v="45"/>
    <s v="MARTES"/>
    <n v="256720"/>
    <x v="42"/>
    <n v="500"/>
    <n v="420"/>
    <n v="210"/>
    <x v="3"/>
  </r>
  <r>
    <x v="275"/>
    <s v="ABRIL"/>
    <x v="45"/>
    <s v="MARTES"/>
    <n v="256721"/>
    <x v="43"/>
    <n v="750"/>
    <n v="420"/>
    <n v="315"/>
    <x v="3"/>
  </r>
  <r>
    <x v="275"/>
    <s v="ABRIL"/>
    <x v="45"/>
    <s v="MARTES"/>
    <n v="256753"/>
    <x v="48"/>
    <n v="360"/>
    <n v="30"/>
    <n v="75.599999999999994"/>
    <x v="3"/>
  </r>
  <r>
    <x v="275"/>
    <s v="ABRIL"/>
    <x v="45"/>
    <s v="MARTES"/>
    <n v="256381"/>
    <x v="13"/>
    <n v="210"/>
    <n v="30"/>
    <n v="84"/>
    <x v="3"/>
  </r>
  <r>
    <x v="275"/>
    <s v="ABRIL"/>
    <x v="45"/>
    <s v="MARTES"/>
    <n v="252436"/>
    <x v="36"/>
    <n v="900"/>
    <n v="90"/>
    <n v="360"/>
    <x v="3"/>
  </r>
  <r>
    <x v="275"/>
    <s v="ABRIL"/>
    <x v="45"/>
    <s v="MARTES"/>
    <n v="256685"/>
    <x v="38"/>
    <n v="560"/>
    <n v="112"/>
    <n v="224"/>
    <x v="3"/>
  </r>
  <r>
    <x v="275"/>
    <s v="ABRIL"/>
    <x v="45"/>
    <s v="MARTES"/>
    <n v="251429"/>
    <x v="0"/>
    <n v="960"/>
    <n v="48"/>
    <n v="384"/>
    <x v="3"/>
  </r>
  <r>
    <x v="275"/>
    <s v="ABRIL"/>
    <x v="45"/>
    <s v="MARTES"/>
    <n v="751315"/>
    <x v="24"/>
    <n v="840"/>
    <n v="420"/>
    <n v="352.8"/>
    <x v="3"/>
  </r>
  <r>
    <x v="275"/>
    <s v="ABRIL"/>
    <x v="45"/>
    <s v="MARTES"/>
    <n v="751468"/>
    <x v="32"/>
    <n v="420"/>
    <n v="420"/>
    <n v="176.4"/>
    <x v="3"/>
  </r>
  <r>
    <x v="275"/>
    <s v="ABRIL"/>
    <x v="45"/>
    <s v="MARTES"/>
    <n v="251406"/>
    <x v="1"/>
    <n v="1080"/>
    <n v="198"/>
    <n v="183.60000000000002"/>
    <x v="3"/>
  </r>
  <r>
    <x v="275"/>
    <s v="ABRIL"/>
    <x v="45"/>
    <s v="MARTES"/>
    <n v="256616"/>
    <x v="22"/>
    <n v="792"/>
    <n v="198"/>
    <n v="134.64000000000001"/>
    <x v="3"/>
  </r>
  <r>
    <x v="275"/>
    <s v="ABRIL"/>
    <x v="45"/>
    <s v="MARTES"/>
    <n v="256601"/>
    <x v="5"/>
    <n v="648"/>
    <n v="162"/>
    <n v="110.16000000000001"/>
    <x v="3"/>
  </r>
  <r>
    <x v="275"/>
    <s v="ABRIL"/>
    <x v="45"/>
    <s v="MARTES"/>
    <n v="256674"/>
    <x v="7"/>
    <n v="2160"/>
    <n v="198"/>
    <n v="367.20000000000005"/>
    <x v="3"/>
  </r>
  <r>
    <x v="275"/>
    <s v="ABRIL"/>
    <x v="45"/>
    <s v="MARTES"/>
    <n v="256675"/>
    <x v="8"/>
    <n v="1080"/>
    <n v="198"/>
    <n v="183.60000000000002"/>
    <x v="3"/>
  </r>
  <r>
    <x v="275"/>
    <s v="ABRIL"/>
    <x v="45"/>
    <s v="MARTES"/>
    <n v="256652"/>
    <x v="9"/>
    <n v="720"/>
    <n v="90"/>
    <n v="122.4"/>
    <x v="3"/>
  </r>
  <r>
    <x v="275"/>
    <s v="ABRIL"/>
    <x v="45"/>
    <s v="MARTES"/>
    <n v="256680"/>
    <x v="26"/>
    <n v="720"/>
    <n v="90"/>
    <n v="122.4"/>
    <x v="3"/>
  </r>
  <r>
    <x v="275"/>
    <s v="ABRIL"/>
    <x v="45"/>
    <s v="MARTES"/>
    <n v="256679"/>
    <x v="23"/>
    <n v="1440"/>
    <n v="90"/>
    <n v="244.8"/>
    <x v="3"/>
  </r>
  <r>
    <x v="275"/>
    <s v="ABRIL"/>
    <x v="45"/>
    <s v="MARTES"/>
    <n v="256682"/>
    <x v="20"/>
    <n v="450"/>
    <n v="90"/>
    <n v="76.5"/>
    <x v="3"/>
  </r>
  <r>
    <x v="274"/>
    <s v="ABRIL"/>
    <x v="45"/>
    <s v="MIÉRCOLES"/>
    <n v="256616"/>
    <x v="22"/>
    <n v="396"/>
    <n v="198"/>
    <n v="67.320000000000007"/>
    <x v="3"/>
  </r>
  <r>
    <x v="274"/>
    <s v="ABRIL"/>
    <x v="45"/>
    <s v="MIÉRCOLES"/>
    <n v="256488"/>
    <x v="6"/>
    <n v="2520"/>
    <n v="120"/>
    <n v="428.40000000000003"/>
    <x v="3"/>
  </r>
  <r>
    <x v="274"/>
    <s v="ABRIL"/>
    <x v="45"/>
    <s v="MIÉRCOLES"/>
    <n v="256676"/>
    <x v="17"/>
    <n v="3000"/>
    <n v="120"/>
    <n v="510.00000000000006"/>
    <x v="3"/>
  </r>
  <r>
    <x v="274"/>
    <s v="ABRIL"/>
    <x v="45"/>
    <s v="MIÉRCOLES"/>
    <n v="256677"/>
    <x v="10"/>
    <n v="6000"/>
    <n v="120"/>
    <n v="1020.0000000000001"/>
    <x v="3"/>
  </r>
  <r>
    <x v="274"/>
    <s v="ABRIL"/>
    <x v="45"/>
    <s v="MIÉRCOLES"/>
    <n v="256678"/>
    <x v="11"/>
    <n v="1800"/>
    <n v="90"/>
    <n v="306"/>
    <x v="3"/>
  </r>
  <r>
    <x v="276"/>
    <s v="ABRIL"/>
    <x v="45"/>
    <s v="JUEVES"/>
    <n v="256383"/>
    <x v="28"/>
    <n v="180"/>
    <n v="30"/>
    <n v="41.4"/>
    <x v="3"/>
  </r>
  <r>
    <x v="276"/>
    <s v="ABRIL"/>
    <x v="45"/>
    <s v="JUEVES"/>
    <n v="256381"/>
    <x v="13"/>
    <n v="120"/>
    <n v="30"/>
    <n v="48"/>
    <x v="3"/>
  </r>
  <r>
    <x v="276"/>
    <s v="ABRIL"/>
    <x v="45"/>
    <s v="JUEVES"/>
    <n v="256379"/>
    <x v="15"/>
    <n v="250"/>
    <n v="50"/>
    <n v="100"/>
    <x v="3"/>
  </r>
  <r>
    <x v="276"/>
    <s v="ABRIL"/>
    <x v="45"/>
    <s v="JUEVES"/>
    <n v="254853"/>
    <x v="2"/>
    <n v="1296"/>
    <n v="198"/>
    <n v="220.32000000000002"/>
    <x v="3"/>
  </r>
  <r>
    <x v="276"/>
    <s v="ABRIL"/>
    <x v="45"/>
    <s v="JUEVES"/>
    <n v="256652"/>
    <x v="9"/>
    <n v="1260"/>
    <n v="90"/>
    <n v="214.20000000000002"/>
    <x v="3"/>
  </r>
  <r>
    <x v="276"/>
    <s v="ABRIL"/>
    <x v="45"/>
    <s v="JUEVES"/>
    <n v="256383"/>
    <x v="28"/>
    <n v="120"/>
    <n v="30"/>
    <n v="27.6"/>
    <x v="3"/>
  </r>
  <r>
    <x v="276"/>
    <s v="ABRIL"/>
    <x v="45"/>
    <s v="JUEVES"/>
    <n v="256381"/>
    <x v="13"/>
    <n v="120"/>
    <n v="30"/>
    <n v="48"/>
    <x v="3"/>
  </r>
  <r>
    <x v="276"/>
    <s v="ABRIL"/>
    <x v="45"/>
    <s v="JUEVES"/>
    <n v="251429"/>
    <x v="0"/>
    <n v="960"/>
    <n v="48"/>
    <n v="384"/>
    <x v="3"/>
  </r>
  <r>
    <x v="276"/>
    <s v="ABRIL"/>
    <x v="45"/>
    <s v="JUEVES"/>
    <n v="254853"/>
    <x v="2"/>
    <n v="864"/>
    <n v="198"/>
    <n v="146.88000000000002"/>
    <x v="3"/>
  </r>
  <r>
    <x v="276"/>
    <s v="ABRIL"/>
    <x v="45"/>
    <s v="JUEVES"/>
    <n v="256548"/>
    <x v="34"/>
    <n v="216"/>
    <n v="198"/>
    <n v="36.720000000000006"/>
    <x v="3"/>
  </r>
  <r>
    <x v="276"/>
    <s v="ABRIL"/>
    <x v="45"/>
    <s v="JUEVES"/>
    <n v="256617"/>
    <x v="3"/>
    <n v="1584"/>
    <n v="198"/>
    <n v="269.28000000000003"/>
    <x v="3"/>
  </r>
  <r>
    <x v="276"/>
    <s v="ABRIL"/>
    <x v="45"/>
    <s v="JUEVES"/>
    <n v="256666"/>
    <x v="4"/>
    <n v="810"/>
    <n v="162"/>
    <n v="137.70000000000002"/>
    <x v="3"/>
  </r>
  <r>
    <x v="276"/>
    <s v="ABRIL"/>
    <x v="45"/>
    <s v="JUEVES"/>
    <n v="256674"/>
    <x v="7"/>
    <n v="1728"/>
    <n v="198"/>
    <n v="293.76000000000005"/>
    <x v="3"/>
  </r>
  <r>
    <x v="276"/>
    <s v="ABRIL"/>
    <x v="45"/>
    <s v="JUEVES"/>
    <n v="256652"/>
    <x v="9"/>
    <n v="1080"/>
    <n v="90"/>
    <n v="183.60000000000002"/>
    <x v="3"/>
  </r>
  <r>
    <x v="276"/>
    <s v="ABRIL"/>
    <x v="45"/>
    <s v="JUEVES"/>
    <n v="256679"/>
    <x v="23"/>
    <n v="3600"/>
    <n v="90"/>
    <n v="612"/>
    <x v="3"/>
  </r>
  <r>
    <x v="276"/>
    <s v="ABRIL"/>
    <x v="45"/>
    <s v="JUEVES"/>
    <n v="256695"/>
    <x v="25"/>
    <n v="2250"/>
    <n v="225"/>
    <n v="945"/>
    <x v="3"/>
  </r>
  <r>
    <x v="276"/>
    <s v="ABRIL"/>
    <x v="45"/>
    <s v="JUEVES"/>
    <n v="256721"/>
    <x v="43"/>
    <n v="500"/>
    <n v="420"/>
    <n v="210"/>
    <x v="3"/>
  </r>
  <r>
    <x v="274"/>
    <s v="ABRIL"/>
    <x v="45"/>
    <s v="MIÉRCOLES"/>
    <n v="256616"/>
    <x v="22"/>
    <n v="792"/>
    <n v="198"/>
    <n v="134.64000000000001"/>
    <x v="3"/>
  </r>
  <r>
    <x v="274"/>
    <s v="ABRIL"/>
    <x v="45"/>
    <s v="MIÉRCOLES"/>
    <n v="256488"/>
    <x v="6"/>
    <n v="480"/>
    <n v="120"/>
    <n v="81.600000000000009"/>
    <x v="3"/>
  </r>
  <r>
    <x v="274"/>
    <s v="ABRIL"/>
    <x v="45"/>
    <s v="MIÉRCOLES"/>
    <n v="256675"/>
    <x v="8"/>
    <n v="1080"/>
    <n v="198"/>
    <n v="183.60000000000002"/>
    <x v="3"/>
  </r>
  <r>
    <x v="274"/>
    <s v="ABRIL"/>
    <x v="45"/>
    <s v="MIÉRCOLES"/>
    <n v="256679"/>
    <x v="23"/>
    <n v="900"/>
    <n v="90"/>
    <n v="153"/>
    <x v="3"/>
  </r>
  <r>
    <x v="274"/>
    <s v="ABRIL"/>
    <x v="45"/>
    <s v="MIÉRCOLES"/>
    <n v="256678"/>
    <x v="11"/>
    <n v="3690"/>
    <n v="90"/>
    <n v="627.30000000000007"/>
    <x v="3"/>
  </r>
  <r>
    <x v="274"/>
    <s v="ABRIL"/>
    <x v="45"/>
    <s v="MIÉRCOLES"/>
    <n v="256708"/>
    <x v="12"/>
    <n v="900"/>
    <n v="225"/>
    <n v="360"/>
    <x v="3"/>
  </r>
  <r>
    <x v="276"/>
    <s v="ABRIL"/>
    <x v="45"/>
    <s v="JUEVES"/>
    <n v="251429"/>
    <x v="0"/>
    <n v="480"/>
    <n v="48"/>
    <n v="192"/>
    <x v="3"/>
  </r>
  <r>
    <x v="276"/>
    <s v="ABRIL"/>
    <x v="45"/>
    <s v="JUEVES"/>
    <n v="251406"/>
    <x v="1"/>
    <n v="5400"/>
    <n v="198"/>
    <n v="918.00000000000011"/>
    <x v="3"/>
  </r>
  <r>
    <x v="276"/>
    <s v="ABRIL"/>
    <x v="45"/>
    <s v="JUEVES"/>
    <n v="256674"/>
    <x v="7"/>
    <n v="1728"/>
    <n v="198"/>
    <n v="293.76000000000005"/>
    <x v="3"/>
  </r>
  <r>
    <x v="276"/>
    <s v="ABRIL"/>
    <x v="45"/>
    <s v="JUEVES"/>
    <n v="256675"/>
    <x v="8"/>
    <n v="648"/>
    <n v="198"/>
    <n v="110.16000000000001"/>
    <x v="3"/>
  </r>
  <r>
    <x v="276"/>
    <s v="ABRIL"/>
    <x v="45"/>
    <s v="JUEVES"/>
    <n v="256680"/>
    <x v="26"/>
    <n v="1800"/>
    <n v="90"/>
    <n v="306"/>
    <x v="3"/>
  </r>
  <r>
    <x v="276"/>
    <s v="ABRIL"/>
    <x v="45"/>
    <s v="JUEVES"/>
    <n v="256682"/>
    <x v="20"/>
    <n v="720"/>
    <n v="90"/>
    <n v="122.4"/>
    <x v="3"/>
  </r>
  <r>
    <x v="277"/>
    <s v="ABRIL"/>
    <x v="45"/>
    <s v="VIERNES"/>
    <n v="256379"/>
    <x v="15"/>
    <n v="200"/>
    <n v="50"/>
    <n v="80"/>
    <x v="3"/>
  </r>
  <r>
    <x v="277"/>
    <s v="ABRIL"/>
    <x v="45"/>
    <s v="VIERNES"/>
    <n v="252436"/>
    <x v="36"/>
    <n v="900"/>
    <n v="90"/>
    <n v="360"/>
    <x v="3"/>
  </r>
  <r>
    <x v="277"/>
    <s v="ABRIL"/>
    <x v="45"/>
    <s v="VIERNES"/>
    <n v="251429"/>
    <x v="0"/>
    <n v="480"/>
    <n v="48"/>
    <n v="192"/>
    <x v="3"/>
  </r>
  <r>
    <x v="277"/>
    <s v="ABRIL"/>
    <x v="45"/>
    <s v="VIERNES"/>
    <n v="751315"/>
    <x v="24"/>
    <n v="1680"/>
    <n v="420"/>
    <n v="705.6"/>
    <x v="3"/>
  </r>
  <r>
    <x v="277"/>
    <s v="ABRIL"/>
    <x v="45"/>
    <s v="VIERNES"/>
    <n v="254853"/>
    <x v="2"/>
    <n v="3240"/>
    <n v="198"/>
    <n v="550.80000000000007"/>
    <x v="3"/>
  </r>
  <r>
    <x v="277"/>
    <s v="ABRIL"/>
    <x v="45"/>
    <s v="VIERNES"/>
    <n v="256617"/>
    <x v="3"/>
    <n v="594"/>
    <n v="198"/>
    <n v="100.98"/>
    <x v="3"/>
  </r>
  <r>
    <x v="277"/>
    <s v="ABRIL"/>
    <x v="45"/>
    <s v="VIERNES"/>
    <n v="256666"/>
    <x v="4"/>
    <n v="648"/>
    <n v="162"/>
    <n v="110.16000000000001"/>
    <x v="3"/>
  </r>
  <r>
    <x v="277"/>
    <s v="ABRIL"/>
    <x v="45"/>
    <s v="VIERNES"/>
    <n v="256674"/>
    <x v="7"/>
    <n v="2592"/>
    <n v="198"/>
    <n v="440.64000000000004"/>
    <x v="3"/>
  </r>
  <r>
    <x v="277"/>
    <s v="ABRIL"/>
    <x v="45"/>
    <s v="VIERNES"/>
    <n v="256675"/>
    <x v="8"/>
    <n v="864"/>
    <n v="198"/>
    <n v="146.88000000000002"/>
    <x v="3"/>
  </r>
  <r>
    <x v="277"/>
    <s v="ABRIL"/>
    <x v="45"/>
    <s v="VIERNES"/>
    <n v="256682"/>
    <x v="20"/>
    <n v="720"/>
    <n v="90"/>
    <n v="122.4"/>
    <x v="3"/>
  </r>
  <r>
    <x v="277"/>
    <s v="ABRIL"/>
    <x v="45"/>
    <s v="VIERNES"/>
    <n v="256708"/>
    <x v="12"/>
    <n v="450"/>
    <n v="225"/>
    <n v="180"/>
    <x v="3"/>
  </r>
  <r>
    <x v="277"/>
    <s v="ABRIL"/>
    <x v="45"/>
    <s v="VIERNES"/>
    <n v="256709"/>
    <x v="19"/>
    <n v="450"/>
    <n v="225"/>
    <n v="180"/>
    <x v="3"/>
  </r>
  <r>
    <x v="277"/>
    <s v="ABRIL"/>
    <x v="45"/>
    <s v="VIERNES"/>
    <n v="256720"/>
    <x v="42"/>
    <n v="750"/>
    <n v="420"/>
    <n v="315"/>
    <x v="3"/>
  </r>
  <r>
    <x v="277"/>
    <s v="ABRIL"/>
    <x v="45"/>
    <s v="VIERNES"/>
    <n v="254762"/>
    <x v="40"/>
    <n v="224"/>
    <n v="240"/>
    <n v="89.600000000000009"/>
    <x v="3"/>
  </r>
  <r>
    <x v="277"/>
    <s v="ABRIL"/>
    <x v="45"/>
    <s v="VIERNES"/>
    <n v="256685"/>
    <x v="38"/>
    <n v="448"/>
    <n v="112"/>
    <n v="179.20000000000002"/>
    <x v="3"/>
  </r>
  <r>
    <x v="277"/>
    <s v="ABRIL"/>
    <x v="45"/>
    <s v="VIERNES"/>
    <n v="251633"/>
    <x v="16"/>
    <n v="720"/>
    <n v="180"/>
    <n v="302.39999999999998"/>
    <x v="3"/>
  </r>
  <r>
    <x v="277"/>
    <s v="ABRIL"/>
    <x v="45"/>
    <s v="VIERNES"/>
    <n v="256617"/>
    <x v="3"/>
    <n v="1188"/>
    <n v="198"/>
    <n v="201.96"/>
    <x v="3"/>
  </r>
  <r>
    <x v="277"/>
    <s v="ABRIL"/>
    <x v="45"/>
    <s v="VIERNES"/>
    <n v="256675"/>
    <x v="8"/>
    <n v="1728"/>
    <n v="198"/>
    <n v="293.76000000000005"/>
    <x v="3"/>
  </r>
  <r>
    <x v="277"/>
    <s v="ABRIL"/>
    <x v="45"/>
    <s v="VIERNES"/>
    <n v="254762"/>
    <x v="40"/>
    <n v="224"/>
    <n v="240"/>
    <n v="89.600000000000009"/>
    <x v="3"/>
  </r>
  <r>
    <x v="277"/>
    <s v="ABRIL"/>
    <x v="45"/>
    <s v="VIERNES"/>
    <n v="256685"/>
    <x v="38"/>
    <n v="336"/>
    <n v="112"/>
    <n v="134.4"/>
    <x v="3"/>
  </r>
  <r>
    <x v="277"/>
    <s v="ABRIL"/>
    <x v="45"/>
    <s v="VIERNES"/>
    <n v="751315"/>
    <x v="24"/>
    <n v="2520"/>
    <n v="420"/>
    <n v="1058.3999999999999"/>
    <x v="3"/>
  </r>
  <r>
    <x v="277"/>
    <s v="ABRIL"/>
    <x v="45"/>
    <s v="VIERNES"/>
    <n v="256666"/>
    <x v="4"/>
    <n v="810"/>
    <n v="162"/>
    <n v="137.70000000000002"/>
    <x v="3"/>
  </r>
  <r>
    <x v="277"/>
    <s v="ABRIL"/>
    <x v="45"/>
    <s v="VIERNES"/>
    <n v="256601"/>
    <x v="5"/>
    <n v="810"/>
    <n v="162"/>
    <n v="137.70000000000002"/>
    <x v="3"/>
  </r>
  <r>
    <x v="277"/>
    <s v="ABRIL"/>
    <x v="45"/>
    <s v="VIERNES"/>
    <n v="256677"/>
    <x v="10"/>
    <n v="6000"/>
    <n v="120"/>
    <n v="1020.0000000000001"/>
    <x v="3"/>
  </r>
  <r>
    <x v="277"/>
    <s v="ABRIL"/>
    <x v="45"/>
    <s v="VIERNES"/>
    <n v="256680"/>
    <x v="26"/>
    <n v="720"/>
    <n v="90"/>
    <n v="122.4"/>
    <x v="3"/>
  </r>
  <r>
    <x v="277"/>
    <s v="ABRIL"/>
    <x v="45"/>
    <s v="VIERNES"/>
    <n v="256679"/>
    <x v="23"/>
    <n v="900"/>
    <n v="90"/>
    <n v="153"/>
    <x v="3"/>
  </r>
  <r>
    <x v="277"/>
    <s v="ABRIL"/>
    <x v="45"/>
    <s v="VIERNES"/>
    <n v="256708"/>
    <x v="12"/>
    <n v="225"/>
    <n v="225"/>
    <n v="90"/>
    <x v="3"/>
  </r>
  <r>
    <x v="278"/>
    <s v="ABRIL"/>
    <x v="46"/>
    <s v="SÁBADO"/>
    <n v="252436"/>
    <x v="36"/>
    <n v="450"/>
    <n v="90"/>
    <n v="180"/>
    <x v="3"/>
  </r>
  <r>
    <x v="278"/>
    <s v="ABRIL"/>
    <x v="46"/>
    <s v="SÁBADO"/>
    <n v="251429"/>
    <x v="0"/>
    <n v="960"/>
    <n v="48"/>
    <n v="384"/>
    <x v="3"/>
  </r>
  <r>
    <x v="278"/>
    <s v="ABRIL"/>
    <x v="46"/>
    <s v="SÁBADO"/>
    <n v="256616"/>
    <x v="22"/>
    <n v="1584"/>
    <n v="198"/>
    <n v="269.28000000000003"/>
    <x v="3"/>
  </r>
  <r>
    <x v="278"/>
    <s v="ABRIL"/>
    <x v="46"/>
    <s v="SÁBADO"/>
    <n v="256617"/>
    <x v="3"/>
    <n v="2376"/>
    <n v="198"/>
    <n v="403.92"/>
    <x v="3"/>
  </r>
  <r>
    <x v="278"/>
    <s v="ABRIL"/>
    <x v="46"/>
    <s v="SÁBADO"/>
    <n v="256674"/>
    <x v="7"/>
    <n v="1080"/>
    <n v="198"/>
    <n v="183.60000000000002"/>
    <x v="3"/>
  </r>
  <r>
    <x v="278"/>
    <s v="ABRIL"/>
    <x v="46"/>
    <s v="SÁBADO"/>
    <n v="256675"/>
    <x v="8"/>
    <n v="1296"/>
    <n v="198"/>
    <n v="220.32000000000002"/>
    <x v="3"/>
  </r>
  <r>
    <x v="278"/>
    <s v="ABRIL"/>
    <x v="46"/>
    <s v="SÁBADO"/>
    <n v="256721"/>
    <x v="43"/>
    <n v="500"/>
    <n v="420"/>
    <n v="210"/>
    <x v="3"/>
  </r>
  <r>
    <x v="278"/>
    <s v="ABRIL"/>
    <x v="46"/>
    <s v="SÁBADO"/>
    <n v="256368"/>
    <x v="52"/>
    <n v="250"/>
    <n v="250"/>
    <n v="105"/>
    <x v="3"/>
  </r>
  <r>
    <x v="278"/>
    <s v="ABRIL"/>
    <x v="46"/>
    <s v="SÁBADO"/>
    <n v="256709"/>
    <x v="19"/>
    <n v="675"/>
    <n v="225"/>
    <n v="270"/>
    <x v="3"/>
  </r>
  <r>
    <x v="278"/>
    <s v="ABRIL"/>
    <x v="46"/>
    <s v="SÁBADO"/>
    <n v="256708"/>
    <x v="12"/>
    <n v="450"/>
    <n v="225"/>
    <n v="180"/>
    <x v="3"/>
  </r>
  <r>
    <x v="278"/>
    <s v="ABRIL"/>
    <x v="46"/>
    <s v="SÁBADO"/>
    <n v="256675"/>
    <x v="8"/>
    <n v="864"/>
    <n v="198"/>
    <n v="146.88000000000002"/>
    <x v="3"/>
  </r>
  <r>
    <x v="278"/>
    <s v="ABRIL"/>
    <x v="46"/>
    <s v="SÁBADO"/>
    <n v="256677"/>
    <x v="10"/>
    <n v="4800"/>
    <n v="120"/>
    <n v="816.00000000000011"/>
    <x v="3"/>
  </r>
  <r>
    <x v="278"/>
    <s v="ABRIL"/>
    <x v="46"/>
    <s v="SÁBADO"/>
    <n v="256721"/>
    <x v="43"/>
    <n v="500"/>
    <n v="420"/>
    <n v="210"/>
    <x v="3"/>
  </r>
  <r>
    <x v="278"/>
    <s v="ABRIL"/>
    <x v="46"/>
    <s v="SÁBADO"/>
    <n v="256368"/>
    <x v="52"/>
    <n v="500"/>
    <n v="250"/>
    <n v="210"/>
    <x v="3"/>
  </r>
  <r>
    <x v="279"/>
    <s v="ABRIL"/>
    <x v="46"/>
    <s v="LUNES"/>
    <n v="252436"/>
    <x v="36"/>
    <n v="630"/>
    <n v="90"/>
    <n v="252"/>
    <x v="3"/>
  </r>
  <r>
    <x v="279"/>
    <s v="ABRIL"/>
    <x v="46"/>
    <s v="LUNES"/>
    <n v="251429"/>
    <x v="0"/>
    <n v="1248"/>
    <n v="48"/>
    <n v="499.20000000000005"/>
    <x v="3"/>
  </r>
  <r>
    <x v="279"/>
    <s v="ABRIL"/>
    <x v="46"/>
    <s v="LUNES"/>
    <n v="254853"/>
    <x v="2"/>
    <n v="2592"/>
    <n v="198"/>
    <n v="440.64000000000004"/>
    <x v="3"/>
  </r>
  <r>
    <x v="279"/>
    <s v="ABRIL"/>
    <x v="46"/>
    <s v="LUNES"/>
    <n v="256548"/>
    <x v="34"/>
    <n v="216"/>
    <n v="198"/>
    <n v="36.720000000000006"/>
    <x v="3"/>
  </r>
  <r>
    <x v="279"/>
    <s v="ABRIL"/>
    <x v="46"/>
    <s v="LUNES"/>
    <n v="256616"/>
    <x v="22"/>
    <n v="792"/>
    <n v="198"/>
    <n v="134.64000000000001"/>
    <x v="3"/>
  </r>
  <r>
    <x v="279"/>
    <s v="ABRIL"/>
    <x v="46"/>
    <s v="LUNES"/>
    <n v="256617"/>
    <x v="3"/>
    <n v="792"/>
    <n v="198"/>
    <n v="134.64000000000001"/>
    <x v="3"/>
  </r>
  <r>
    <x v="279"/>
    <s v="ABRIL"/>
    <x v="46"/>
    <s v="LUNES"/>
    <n v="256488"/>
    <x v="6"/>
    <n v="360"/>
    <n v="120"/>
    <n v="61.2"/>
    <x v="3"/>
  </r>
  <r>
    <x v="279"/>
    <s v="ABRIL"/>
    <x v="46"/>
    <s v="LUNES"/>
    <n v="256676"/>
    <x v="17"/>
    <n v="120"/>
    <n v="120"/>
    <n v="20.400000000000002"/>
    <x v="3"/>
  </r>
  <r>
    <x v="279"/>
    <s v="ABRIL"/>
    <x v="46"/>
    <s v="LUNES"/>
    <n v="256674"/>
    <x v="7"/>
    <n v="864"/>
    <n v="198"/>
    <n v="146.88000000000002"/>
    <x v="3"/>
  </r>
  <r>
    <x v="279"/>
    <s v="ABRIL"/>
    <x v="46"/>
    <s v="LUNES"/>
    <n v="256675"/>
    <x v="8"/>
    <n v="648"/>
    <n v="198"/>
    <n v="110.16000000000001"/>
    <x v="3"/>
  </r>
  <r>
    <x v="279"/>
    <s v="ABRIL"/>
    <x v="46"/>
    <s v="LUNES"/>
    <n v="256652"/>
    <x v="9"/>
    <n v="1260"/>
    <n v="90"/>
    <n v="214.20000000000002"/>
    <x v="3"/>
  </r>
  <r>
    <x v="279"/>
    <s v="ABRIL"/>
    <x v="46"/>
    <s v="LUNES"/>
    <n v="256679"/>
    <x v="23"/>
    <n v="900"/>
    <n v="90"/>
    <n v="153"/>
    <x v="3"/>
  </r>
  <r>
    <x v="279"/>
    <s v="ABRIL"/>
    <x v="46"/>
    <s v="LUNES"/>
    <n v="256720"/>
    <x v="42"/>
    <n v="500"/>
    <n v="420"/>
    <n v="210"/>
    <x v="3"/>
  </r>
  <r>
    <x v="279"/>
    <s v="ABRIL"/>
    <x v="46"/>
    <s v="LUNES"/>
    <n v="256721"/>
    <x v="43"/>
    <n v="250"/>
    <n v="420"/>
    <n v="105"/>
    <x v="3"/>
  </r>
  <r>
    <x v="279"/>
    <s v="ABRIL"/>
    <x v="46"/>
    <s v="LUNES"/>
    <n v="256368"/>
    <x v="52"/>
    <n v="1000"/>
    <n v="250"/>
    <n v="420"/>
    <x v="3"/>
  </r>
  <r>
    <x v="279"/>
    <s v="ABRIL"/>
    <x v="46"/>
    <s v="LUNES"/>
    <n v="256680"/>
    <x v="26"/>
    <n v="1440"/>
    <n v="90"/>
    <n v="244.8"/>
    <x v="3"/>
  </r>
  <r>
    <x v="279"/>
    <s v="ABRIL"/>
    <x v="46"/>
    <s v="LUNES"/>
    <n v="256679"/>
    <x v="23"/>
    <n v="1440"/>
    <n v="90"/>
    <n v="244.8"/>
    <x v="3"/>
  </r>
  <r>
    <x v="279"/>
    <s v="ABRIL"/>
    <x v="46"/>
    <s v="LUNES"/>
    <n v="256382"/>
    <x v="33"/>
    <n v="80"/>
    <n v="40"/>
    <n v="18.400000000000002"/>
    <x v="3"/>
  </r>
  <r>
    <x v="279"/>
    <s v="ABRIL"/>
    <x v="46"/>
    <s v="LUNES"/>
    <n v="256380"/>
    <x v="14"/>
    <n v="160"/>
    <n v="40"/>
    <n v="36.800000000000004"/>
    <x v="3"/>
  </r>
  <r>
    <x v="279"/>
    <s v="ABRIL"/>
    <x v="46"/>
    <s v="LUNES"/>
    <n v="256379"/>
    <x v="15"/>
    <n v="250"/>
    <n v="50"/>
    <n v="100"/>
    <x v="3"/>
  </r>
  <r>
    <x v="279"/>
    <s v="ABRIL"/>
    <x v="46"/>
    <s v="LUNES"/>
    <n v="254853"/>
    <x v="2"/>
    <n v="648"/>
    <n v="198"/>
    <n v="110.16000000000001"/>
    <x v="3"/>
  </r>
  <r>
    <x v="279"/>
    <s v="ABRIL"/>
    <x v="46"/>
    <s v="LUNES"/>
    <n v="256617"/>
    <x v="3"/>
    <n v="396"/>
    <n v="198"/>
    <n v="67.320000000000007"/>
    <x v="3"/>
  </r>
  <r>
    <x v="279"/>
    <s v="ABRIL"/>
    <x v="46"/>
    <s v="LUNES"/>
    <n v="256652"/>
    <x v="9"/>
    <n v="360"/>
    <n v="90"/>
    <n v="61.2"/>
    <x v="3"/>
  </r>
  <r>
    <x v="279"/>
    <s v="ABRIL"/>
    <x v="46"/>
    <s v="LUNES"/>
    <n v="256720"/>
    <x v="42"/>
    <n v="250"/>
    <n v="420"/>
    <n v="105"/>
    <x v="3"/>
  </r>
  <r>
    <x v="279"/>
    <s v="ABRIL"/>
    <x v="46"/>
    <s v="LUNES"/>
    <n v="256368"/>
    <x v="52"/>
    <n v="750"/>
    <n v="250"/>
    <n v="315"/>
    <x v="3"/>
  </r>
  <r>
    <x v="280"/>
    <s v="ABRIL"/>
    <x v="46"/>
    <s v="MARTES"/>
    <n v="256383"/>
    <x v="28"/>
    <n v="210"/>
    <n v="30"/>
    <n v="48.300000000000004"/>
    <x v="3"/>
  </r>
  <r>
    <x v="280"/>
    <s v="ABRIL"/>
    <x v="46"/>
    <s v="MARTES"/>
    <n v="256381"/>
    <x v="13"/>
    <n v="150"/>
    <n v="30"/>
    <n v="60"/>
    <x v="3"/>
  </r>
  <r>
    <x v="280"/>
    <s v="ABRIL"/>
    <x v="46"/>
    <s v="MARTES"/>
    <n v="256379"/>
    <x v="15"/>
    <n v="250"/>
    <n v="50"/>
    <n v="100"/>
    <x v="3"/>
  </r>
  <r>
    <x v="280"/>
    <s v="ABRIL"/>
    <x v="46"/>
    <s v="MARTES"/>
    <n v="256616"/>
    <x v="22"/>
    <n v="396"/>
    <n v="198"/>
    <n v="67.320000000000007"/>
    <x v="3"/>
  </r>
  <r>
    <x v="280"/>
    <s v="ABRIL"/>
    <x v="46"/>
    <s v="MARTES"/>
    <n v="256617"/>
    <x v="3"/>
    <n v="198"/>
    <n v="198"/>
    <n v="33.660000000000004"/>
    <x v="3"/>
  </r>
  <r>
    <x v="280"/>
    <s v="ABRIL"/>
    <x v="46"/>
    <s v="MARTES"/>
    <n v="256601"/>
    <x v="5"/>
    <n v="162"/>
    <n v="162"/>
    <n v="27.540000000000003"/>
    <x v="3"/>
  </r>
  <r>
    <x v="280"/>
    <s v="ABRIL"/>
    <x v="46"/>
    <s v="MARTES"/>
    <n v="256674"/>
    <x v="7"/>
    <n v="864"/>
    <n v="198"/>
    <n v="146.88000000000002"/>
    <x v="3"/>
  </r>
  <r>
    <x v="280"/>
    <s v="ABRIL"/>
    <x v="46"/>
    <s v="MARTES"/>
    <n v="256675"/>
    <x v="8"/>
    <n v="1080"/>
    <n v="198"/>
    <n v="183.60000000000002"/>
    <x v="3"/>
  </r>
  <r>
    <x v="280"/>
    <s v="ABRIL"/>
    <x v="46"/>
    <s v="MARTES"/>
    <n v="256677"/>
    <x v="10"/>
    <n v="480"/>
    <n v="120"/>
    <n v="81.600000000000009"/>
    <x v="3"/>
  </r>
  <r>
    <x v="280"/>
    <s v="ABRIL"/>
    <x v="46"/>
    <s v="MARTES"/>
    <n v="256679"/>
    <x v="23"/>
    <n v="1440"/>
    <n v="90"/>
    <n v="244.8"/>
    <x v="3"/>
  </r>
  <r>
    <x v="280"/>
    <s v="ABRIL"/>
    <x v="46"/>
    <s v="MARTES"/>
    <n v="256678"/>
    <x v="11"/>
    <n v="2880"/>
    <n v="90"/>
    <n v="489.6"/>
    <x v="3"/>
  </r>
  <r>
    <x v="280"/>
    <s v="ABRIL"/>
    <x v="46"/>
    <s v="MARTES"/>
    <n v="256695"/>
    <x v="25"/>
    <n v="900"/>
    <n v="225"/>
    <n v="378"/>
    <x v="3"/>
  </r>
  <r>
    <x v="280"/>
    <s v="ABRIL"/>
    <x v="46"/>
    <s v="MARTES"/>
    <s v="B"/>
    <x v="55"/>
    <n v="450"/>
    <n v="60"/>
    <n v="310.5"/>
    <x v="3"/>
  </r>
  <r>
    <x v="280"/>
    <s v="ABRIL"/>
    <x v="46"/>
    <s v="MARTES"/>
    <n v="256677"/>
    <x v="10"/>
    <n v="2400"/>
    <n v="120"/>
    <n v="408.00000000000006"/>
    <x v="3"/>
  </r>
  <r>
    <x v="280"/>
    <s v="ABRIL"/>
    <x v="46"/>
    <s v="MARTES"/>
    <n v="256680"/>
    <x v="26"/>
    <n v="900"/>
    <n v="90"/>
    <n v="153"/>
    <x v="3"/>
  </r>
  <r>
    <x v="280"/>
    <s v="ABRIL"/>
    <x v="46"/>
    <s v="MARTES"/>
    <n v="256679"/>
    <x v="23"/>
    <n v="900"/>
    <n v="90"/>
    <n v="153"/>
    <x v="3"/>
  </r>
  <r>
    <x v="280"/>
    <s v="ABRIL"/>
    <x v="46"/>
    <s v="MARTES"/>
    <n v="256368"/>
    <x v="52"/>
    <n v="1500"/>
    <n v="250"/>
    <n v="630"/>
    <x v="3"/>
  </r>
  <r>
    <x v="279"/>
    <s v="ABRIL"/>
    <x v="46"/>
    <s v="LUNES"/>
    <n v="256368"/>
    <x v="52"/>
    <n v="2500"/>
    <n v="250"/>
    <n v="1050"/>
    <x v="3"/>
  </r>
  <r>
    <x v="279"/>
    <s v="ABRIL"/>
    <x v="46"/>
    <s v="LUNES"/>
    <n v="251429"/>
    <x v="0"/>
    <n v="192"/>
    <n v="48"/>
    <n v="76.800000000000011"/>
    <x v="3"/>
  </r>
  <r>
    <x v="279"/>
    <s v="ABRIL"/>
    <x v="46"/>
    <s v="LUNES"/>
    <n v="251406"/>
    <x v="1"/>
    <n v="5400"/>
    <n v="198"/>
    <n v="918.00000000000011"/>
    <x v="3"/>
  </r>
  <r>
    <x v="279"/>
    <s v="ABRIL"/>
    <x v="46"/>
    <s v="LUNES"/>
    <n v="256488"/>
    <x v="6"/>
    <n v="1440"/>
    <n v="120"/>
    <n v="244.8"/>
    <x v="3"/>
  </r>
  <r>
    <x v="279"/>
    <s v="ABRIL"/>
    <x v="46"/>
    <s v="LUNES"/>
    <n v="256676"/>
    <x v="17"/>
    <n v="1680"/>
    <n v="120"/>
    <n v="285.60000000000002"/>
    <x v="3"/>
  </r>
  <r>
    <x v="279"/>
    <s v="ABRIL"/>
    <x v="46"/>
    <s v="LUNES"/>
    <n v="256674"/>
    <x v="7"/>
    <n v="216"/>
    <n v="198"/>
    <n v="36.720000000000006"/>
    <x v="3"/>
  </r>
  <r>
    <x v="279"/>
    <s v="ABRIL"/>
    <x v="46"/>
    <s v="LUNES"/>
    <n v="256652"/>
    <x v="9"/>
    <n v="180"/>
    <n v="90"/>
    <n v="30.6"/>
    <x v="3"/>
  </r>
  <r>
    <x v="280"/>
    <s v="ABRIL"/>
    <x v="46"/>
    <s v="MARTES"/>
    <n v="256677"/>
    <x v="10"/>
    <n v="1920"/>
    <n v="120"/>
    <n v="326.40000000000003"/>
    <x v="3"/>
  </r>
  <r>
    <x v="280"/>
    <s v="ABRIL"/>
    <x v="46"/>
    <s v="MARTES"/>
    <n v="254853"/>
    <x v="2"/>
    <n v="1296"/>
    <n v="198"/>
    <n v="220.32000000000002"/>
    <x v="3"/>
  </r>
  <r>
    <x v="280"/>
    <s v="ABRIL"/>
    <x v="46"/>
    <s v="MARTES"/>
    <n v="256617"/>
    <x v="3"/>
    <n v="792"/>
    <n v="198"/>
    <n v="134.64000000000001"/>
    <x v="3"/>
  </r>
  <r>
    <x v="280"/>
    <s v="ABRIL"/>
    <x v="46"/>
    <s v="MARTES"/>
    <n v="256666"/>
    <x v="4"/>
    <n v="1296"/>
    <n v="162"/>
    <n v="220.32000000000002"/>
    <x v="3"/>
  </r>
  <r>
    <x v="280"/>
    <s v="ABRIL"/>
    <x v="46"/>
    <s v="MARTES"/>
    <n v="256601"/>
    <x v="5"/>
    <n v="972"/>
    <n v="162"/>
    <n v="165.24"/>
    <x v="3"/>
  </r>
  <r>
    <x v="280"/>
    <s v="ABRIL"/>
    <x v="46"/>
    <s v="MARTES"/>
    <n v="256674"/>
    <x v="7"/>
    <n v="1296"/>
    <n v="198"/>
    <n v="220.32000000000002"/>
    <x v="3"/>
  </r>
  <r>
    <x v="280"/>
    <s v="ABRIL"/>
    <x v="46"/>
    <s v="MARTES"/>
    <n v="256679"/>
    <x v="23"/>
    <n v="450"/>
    <n v="90"/>
    <n v="76.5"/>
    <x v="3"/>
  </r>
  <r>
    <x v="280"/>
    <s v="ABRIL"/>
    <x v="46"/>
    <s v="MARTES"/>
    <n v="256695"/>
    <x v="25"/>
    <n v="2025"/>
    <n v="225"/>
    <n v="850.5"/>
    <x v="3"/>
  </r>
  <r>
    <x v="281"/>
    <s v="ABRIL"/>
    <x v="46"/>
    <s v="JUEVES"/>
    <n v="256548"/>
    <x v="34"/>
    <n v="216"/>
    <n v="198"/>
    <n v="36.720000000000006"/>
    <x v="3"/>
  </r>
  <r>
    <x v="281"/>
    <s v="ABRIL"/>
    <x v="46"/>
    <s v="JUEVES"/>
    <n v="256549"/>
    <x v="29"/>
    <n v="216"/>
    <n v="198"/>
    <n v="36.720000000000006"/>
    <x v="3"/>
  </r>
  <r>
    <x v="281"/>
    <s v="ABRIL"/>
    <x v="46"/>
    <s v="JUEVES"/>
    <n v="256617"/>
    <x v="3"/>
    <n v="594"/>
    <n v="198"/>
    <n v="100.98"/>
    <x v="3"/>
  </r>
  <r>
    <x v="281"/>
    <s v="ABRIL"/>
    <x v="46"/>
    <s v="JUEVES"/>
    <n v="256666"/>
    <x v="4"/>
    <n v="1134"/>
    <n v="162"/>
    <n v="192.78"/>
    <x v="3"/>
  </r>
  <r>
    <x v="281"/>
    <s v="ABRIL"/>
    <x v="46"/>
    <s v="JUEVES"/>
    <n v="256601"/>
    <x v="5"/>
    <n v="648"/>
    <n v="162"/>
    <n v="110.16000000000001"/>
    <x v="3"/>
  </r>
  <r>
    <x v="281"/>
    <s v="ABRIL"/>
    <x v="46"/>
    <s v="JUEVES"/>
    <n v="256675"/>
    <x v="8"/>
    <n v="2160"/>
    <n v="198"/>
    <n v="367.20000000000005"/>
    <x v="3"/>
  </r>
  <r>
    <x v="281"/>
    <s v="ABRIL"/>
    <x v="46"/>
    <s v="JUEVES"/>
    <n v="256677"/>
    <x v="10"/>
    <n v="720"/>
    <n v="120"/>
    <n v="122.4"/>
    <x v="3"/>
  </r>
  <r>
    <x v="281"/>
    <s v="ABRIL"/>
    <x v="46"/>
    <s v="JUEVES"/>
    <n v="256682"/>
    <x v="20"/>
    <n v="450"/>
    <n v="90"/>
    <n v="76.5"/>
    <x v="3"/>
  </r>
  <r>
    <x v="281"/>
    <s v="ABRIL"/>
    <x v="46"/>
    <s v="JUEVES"/>
    <n v="256720"/>
    <x v="42"/>
    <n v="250"/>
    <n v="420"/>
    <n v="105"/>
    <x v="3"/>
  </r>
  <r>
    <x v="281"/>
    <s v="ABRIL"/>
    <x v="46"/>
    <s v="JUEVES"/>
    <n v="254762"/>
    <x v="40"/>
    <n v="224"/>
    <n v="240"/>
    <n v="89.600000000000009"/>
    <x v="3"/>
  </r>
  <r>
    <x v="281"/>
    <s v="ABRIL"/>
    <x v="46"/>
    <s v="JUEVES"/>
    <n v="751315"/>
    <x v="24"/>
    <n v="2100"/>
    <n v="420"/>
    <n v="882"/>
    <x v="3"/>
  </r>
  <r>
    <x v="281"/>
    <s v="ABRIL"/>
    <x v="46"/>
    <s v="JUEVES"/>
    <n v="256695"/>
    <x v="25"/>
    <n v="1800"/>
    <n v="225"/>
    <n v="756"/>
    <x v="3"/>
  </r>
  <r>
    <x v="282"/>
    <s v="ABRIL"/>
    <x v="46"/>
    <s v="MIÉRCOLES"/>
    <n v="256382"/>
    <x v="33"/>
    <n v="200"/>
    <n v="40"/>
    <n v="46"/>
    <x v="3"/>
  </r>
  <r>
    <x v="282"/>
    <s v="ABRIL"/>
    <x v="46"/>
    <s v="MIÉRCOLES"/>
    <n v="256381"/>
    <x v="13"/>
    <n v="240"/>
    <n v="30"/>
    <n v="96"/>
    <x v="3"/>
  </r>
  <r>
    <x v="282"/>
    <s v="ABRIL"/>
    <x v="46"/>
    <s v="MIÉRCOLES"/>
    <n v="256380"/>
    <x v="14"/>
    <n v="160"/>
    <n v="40"/>
    <n v="36.800000000000004"/>
    <x v="3"/>
  </r>
  <r>
    <x v="282"/>
    <s v="ABRIL"/>
    <x v="46"/>
    <s v="MIÉRCOLES"/>
    <n v="256685"/>
    <x v="38"/>
    <n v="224"/>
    <n v="112"/>
    <n v="89.600000000000009"/>
    <x v="3"/>
  </r>
  <r>
    <x v="282"/>
    <s v="ABRIL"/>
    <x v="46"/>
    <s v="MIÉRCOLES"/>
    <n v="251429"/>
    <x v="0"/>
    <n v="672"/>
    <n v="48"/>
    <n v="268.8"/>
    <x v="3"/>
  </r>
  <r>
    <x v="282"/>
    <s v="ABRIL"/>
    <x v="46"/>
    <s v="MIÉRCOLES"/>
    <n v="254853"/>
    <x v="2"/>
    <n v="3024"/>
    <n v="198"/>
    <n v="514.08000000000004"/>
    <x v="3"/>
  </r>
  <r>
    <x v="282"/>
    <s v="ABRIL"/>
    <x v="46"/>
    <s v="MIÉRCOLES"/>
    <n v="256677"/>
    <x v="10"/>
    <n v="1920"/>
    <n v="120"/>
    <n v="326.40000000000003"/>
    <x v="3"/>
  </r>
  <r>
    <x v="282"/>
    <s v="ABRIL"/>
    <x v="46"/>
    <s v="MIÉRCOLES"/>
    <n v="256678"/>
    <x v="11"/>
    <n v="720"/>
    <n v="90"/>
    <n v="122.4"/>
    <x v="3"/>
  </r>
  <r>
    <x v="282"/>
    <s v="ABRIL"/>
    <x v="46"/>
    <s v="MIÉRCOLES"/>
    <n v="256708"/>
    <x v="12"/>
    <n v="450"/>
    <n v="225"/>
    <n v="180"/>
    <x v="3"/>
  </r>
  <r>
    <x v="282"/>
    <s v="ABRIL"/>
    <x v="46"/>
    <s v="MIÉRCOLES"/>
    <n v="256709"/>
    <x v="19"/>
    <n v="675"/>
    <n v="225"/>
    <n v="270"/>
    <x v="3"/>
  </r>
  <r>
    <x v="282"/>
    <s v="ABRIL"/>
    <x v="46"/>
    <s v="MIÉRCOLES"/>
    <n v="256685"/>
    <x v="38"/>
    <n v="448"/>
    <n v="112"/>
    <n v="179.20000000000002"/>
    <x v="3"/>
  </r>
  <r>
    <x v="282"/>
    <s v="ABRIL"/>
    <x v="46"/>
    <s v="MIÉRCOLES"/>
    <n v="251429"/>
    <x v="0"/>
    <n v="288"/>
    <n v="48"/>
    <n v="115.2"/>
    <x v="3"/>
  </r>
  <r>
    <x v="282"/>
    <s v="ABRIL"/>
    <x v="46"/>
    <s v="MIÉRCOLES"/>
    <n v="251406"/>
    <x v="1"/>
    <n v="216"/>
    <n v="198"/>
    <n v="36.720000000000006"/>
    <x v="3"/>
  </r>
  <r>
    <x v="282"/>
    <s v="ABRIL"/>
    <x v="46"/>
    <s v="MIÉRCOLES"/>
    <n v="254853"/>
    <x v="2"/>
    <n v="864"/>
    <n v="198"/>
    <n v="146.88000000000002"/>
    <x v="3"/>
  </r>
  <r>
    <x v="282"/>
    <s v="ABRIL"/>
    <x v="46"/>
    <s v="MIÉRCOLES"/>
    <n v="256666"/>
    <x v="4"/>
    <n v="162"/>
    <n v="162"/>
    <n v="27.540000000000003"/>
    <x v="3"/>
  </r>
  <r>
    <x v="282"/>
    <s v="ABRIL"/>
    <x v="46"/>
    <s v="MIÉRCOLES"/>
    <n v="256674"/>
    <x v="7"/>
    <n v="1296"/>
    <n v="198"/>
    <n v="220.32000000000002"/>
    <x v="3"/>
  </r>
  <r>
    <x v="282"/>
    <s v="ABRIL"/>
    <x v="46"/>
    <s v="MIÉRCOLES"/>
    <n v="256677"/>
    <x v="10"/>
    <n v="960"/>
    <n v="120"/>
    <n v="163.20000000000002"/>
    <x v="3"/>
  </r>
  <r>
    <x v="282"/>
    <s v="ABRIL"/>
    <x v="46"/>
    <s v="MIÉRCOLES"/>
    <n v="256678"/>
    <x v="11"/>
    <n v="2880"/>
    <n v="90"/>
    <n v="489.6"/>
    <x v="3"/>
  </r>
  <r>
    <x v="282"/>
    <s v="ABRIL"/>
    <x v="46"/>
    <s v="MIÉRCOLES"/>
    <n v="256682"/>
    <x v="20"/>
    <n v="450"/>
    <n v="90"/>
    <n v="76.5"/>
    <x v="3"/>
  </r>
  <r>
    <x v="282"/>
    <s v="ABRIL"/>
    <x v="46"/>
    <s v="MIÉRCOLES"/>
    <n v="256708"/>
    <x v="12"/>
    <n v="450"/>
    <n v="225"/>
    <n v="180"/>
    <x v="3"/>
  </r>
  <r>
    <x v="282"/>
    <s v="ABRIL"/>
    <x v="46"/>
    <s v="MIÉRCOLES"/>
    <n v="256721"/>
    <x v="43"/>
    <n v="1000"/>
    <n v="420"/>
    <n v="420"/>
    <x v="3"/>
  </r>
  <r>
    <x v="282"/>
    <s v="ABRIL"/>
    <x v="46"/>
    <s v="MIÉRCOLES"/>
    <n v="256720"/>
    <x v="42"/>
    <n v="500"/>
    <n v="420"/>
    <n v="210"/>
    <x v="3"/>
  </r>
  <r>
    <x v="282"/>
    <s v="ABRIL"/>
    <x v="46"/>
    <s v="MIÉRCOLES"/>
    <n v="254762"/>
    <x v="40"/>
    <n v="224"/>
    <n v="240"/>
    <n v="89.600000000000009"/>
    <x v="3"/>
  </r>
  <r>
    <x v="282"/>
    <s v="ABRIL"/>
    <x v="46"/>
    <s v="MIÉRCOLES"/>
    <n v="256685"/>
    <x v="38"/>
    <n v="112"/>
    <n v="112"/>
    <n v="44.800000000000004"/>
    <x v="3"/>
  </r>
  <r>
    <x v="282"/>
    <s v="ABRIL"/>
    <x v="46"/>
    <s v="MIÉRCOLES"/>
    <n v="256695"/>
    <x v="25"/>
    <n v="1125"/>
    <n v="225"/>
    <n v="472.5"/>
    <x v="3"/>
  </r>
  <r>
    <x v="282"/>
    <s v="ABRIL"/>
    <x v="46"/>
    <s v="MIÉRCOLES"/>
    <n v="256720"/>
    <x v="42"/>
    <n v="250"/>
    <n v="420"/>
    <n v="105"/>
    <x v="3"/>
  </r>
  <r>
    <x v="282"/>
    <s v="ABRIL"/>
    <x v="46"/>
    <s v="MIÉRCOLES"/>
    <n v="251406"/>
    <x v="1"/>
    <n v="5184"/>
    <n v="198"/>
    <n v="881.28000000000009"/>
    <x v="3"/>
  </r>
  <r>
    <x v="282"/>
    <s v="ABRIL"/>
    <x v="46"/>
    <s v="MIÉRCOLES"/>
    <n v="254853"/>
    <x v="2"/>
    <n v="432"/>
    <n v="198"/>
    <n v="73.440000000000012"/>
    <x v="3"/>
  </r>
  <r>
    <x v="282"/>
    <s v="ABRIL"/>
    <x v="46"/>
    <s v="MIÉRCOLES"/>
    <n v="256674"/>
    <x v="7"/>
    <n v="1296"/>
    <n v="198"/>
    <n v="220.32000000000002"/>
    <x v="3"/>
  </r>
  <r>
    <x v="282"/>
    <s v="ABRIL"/>
    <x v="46"/>
    <s v="MIÉRCOLES"/>
    <n v="256677"/>
    <x v="10"/>
    <n v="960"/>
    <n v="120"/>
    <n v="163.20000000000002"/>
    <x v="3"/>
  </r>
  <r>
    <x v="281"/>
    <s v="ABRIL"/>
    <x v="46"/>
    <s v="JUEVES"/>
    <n v="251429"/>
    <x v="0"/>
    <n v="960"/>
    <n v="48"/>
    <n v="384"/>
    <x v="3"/>
  </r>
  <r>
    <x v="281"/>
    <s v="ABRIL"/>
    <x v="46"/>
    <s v="JUEVES"/>
    <n v="751315"/>
    <x v="24"/>
    <n v="1680"/>
    <n v="420"/>
    <n v="705.6"/>
    <x v="3"/>
  </r>
  <r>
    <x v="281"/>
    <s v="ABRIL"/>
    <x v="46"/>
    <s v="JUEVES"/>
    <n v="251633"/>
    <x v="16"/>
    <n v="180"/>
    <n v="180"/>
    <n v="75.599999999999994"/>
    <x v="3"/>
  </r>
  <r>
    <x v="281"/>
    <s v="ABRIL"/>
    <x v="46"/>
    <s v="JUEVES"/>
    <n v="256677"/>
    <x v="10"/>
    <n v="4320"/>
    <n v="120"/>
    <n v="734.40000000000009"/>
    <x v="3"/>
  </r>
  <r>
    <x v="281"/>
    <s v="ABRIL"/>
    <x v="46"/>
    <s v="JUEVES"/>
    <n v="256680"/>
    <x v="26"/>
    <n v="450"/>
    <n v="90"/>
    <n v="76.5"/>
    <x v="3"/>
  </r>
  <r>
    <x v="281"/>
    <s v="ABRIL"/>
    <x v="46"/>
    <s v="JUEVES"/>
    <n v="256678"/>
    <x v="11"/>
    <n v="2880"/>
    <n v="90"/>
    <n v="489.6"/>
    <x v="3"/>
  </r>
  <r>
    <x v="281"/>
    <s v="ABRIL"/>
    <x v="46"/>
    <s v="JUEVES"/>
    <n v="256708"/>
    <x v="12"/>
    <n v="1125"/>
    <n v="225"/>
    <n v="450"/>
    <x v="3"/>
  </r>
  <r>
    <x v="281"/>
    <s v="ABRIL"/>
    <x v="46"/>
    <s v="JUEVES"/>
    <n v="256709"/>
    <x v="19"/>
    <n v="900"/>
    <n v="225"/>
    <n v="360"/>
    <x v="3"/>
  </r>
  <r>
    <x v="281"/>
    <s v="ABRIL"/>
    <x v="46"/>
    <s v="JUEVES"/>
    <n v="256720"/>
    <x v="42"/>
    <n v="750"/>
    <n v="420"/>
    <n v="315"/>
    <x v="3"/>
  </r>
  <r>
    <x v="281"/>
    <s v="ABRIL"/>
    <x v="46"/>
    <s v="JUEVES"/>
    <n v="256721"/>
    <x v="43"/>
    <n v="750"/>
    <n v="420"/>
    <n v="315"/>
    <x v="3"/>
  </r>
  <r>
    <x v="281"/>
    <s v="ABRIL"/>
    <x v="46"/>
    <s v="JUEVES"/>
    <n v="252436"/>
    <x v="36"/>
    <n v="450"/>
    <n v="90"/>
    <n v="180"/>
    <x v="3"/>
  </r>
  <r>
    <x v="281"/>
    <s v="ABRIL"/>
    <x v="46"/>
    <s v="JUEVES"/>
    <n v="256685"/>
    <x v="38"/>
    <n v="448"/>
    <n v="112"/>
    <n v="179.20000000000002"/>
    <x v="3"/>
  </r>
  <r>
    <x v="281"/>
    <s v="ABRIL"/>
    <x v="46"/>
    <s v="JUEVES"/>
    <n v="751315"/>
    <x v="24"/>
    <n v="420"/>
    <n v="420"/>
    <n v="176.4"/>
    <x v="3"/>
  </r>
  <r>
    <x v="281"/>
    <s v="ABRIL"/>
    <x v="46"/>
    <s v="JUEVES"/>
    <n v="251633"/>
    <x v="16"/>
    <n v="900"/>
    <n v="180"/>
    <n v="378"/>
    <x v="3"/>
  </r>
  <r>
    <x v="281"/>
    <s v="ABRIL"/>
    <x v="46"/>
    <s v="JUEVES"/>
    <n v="256652"/>
    <x v="9"/>
    <n v="720"/>
    <n v="90"/>
    <n v="122.4"/>
    <x v="3"/>
  </r>
  <r>
    <x v="281"/>
    <s v="ABRIL"/>
    <x v="46"/>
    <s v="JUEVES"/>
    <n v="256678"/>
    <x v="11"/>
    <n v="720"/>
    <n v="90"/>
    <n v="122.4"/>
    <x v="3"/>
  </r>
  <r>
    <x v="283"/>
    <s v="ABRIL"/>
    <x v="47"/>
    <s v="SÁBADO"/>
    <n v="256383"/>
    <x v="28"/>
    <n v="150"/>
    <n v="30"/>
    <n v="34.5"/>
    <x v="3"/>
  </r>
  <r>
    <x v="283"/>
    <s v="ABRIL"/>
    <x v="47"/>
    <s v="SÁBADO"/>
    <n v="256382"/>
    <x v="33"/>
    <n v="80"/>
    <n v="40"/>
    <n v="18.400000000000002"/>
    <x v="3"/>
  </r>
  <r>
    <x v="283"/>
    <s v="ABRIL"/>
    <x v="47"/>
    <s v="SÁBADO"/>
    <n v="256381"/>
    <x v="13"/>
    <n v="150"/>
    <n v="30"/>
    <n v="60"/>
    <x v="3"/>
  </r>
  <r>
    <x v="283"/>
    <s v="ABRIL"/>
    <x v="47"/>
    <s v="SÁBADO"/>
    <n v="256380"/>
    <x v="14"/>
    <n v="160"/>
    <n v="40"/>
    <n v="36.800000000000004"/>
    <x v="3"/>
  </r>
  <r>
    <x v="283"/>
    <s v="ABRIL"/>
    <x v="47"/>
    <s v="SÁBADO"/>
    <n v="256379"/>
    <x v="15"/>
    <n v="250"/>
    <n v="50"/>
    <n v="100"/>
    <x v="3"/>
  </r>
  <r>
    <x v="283"/>
    <s v="ABRIL"/>
    <x v="47"/>
    <s v="SÁBADO"/>
    <n v="252436"/>
    <x v="36"/>
    <n v="450"/>
    <n v="90"/>
    <n v="180"/>
    <x v="3"/>
  </r>
  <r>
    <x v="283"/>
    <s v="ABRIL"/>
    <x v="47"/>
    <s v="SÁBADO"/>
    <n v="251429"/>
    <x v="0"/>
    <n v="480"/>
    <n v="48"/>
    <n v="192"/>
    <x v="3"/>
  </r>
  <r>
    <x v="283"/>
    <s v="ABRIL"/>
    <x v="47"/>
    <s v="SÁBADO"/>
    <n v="251406"/>
    <x v="1"/>
    <n v="2160"/>
    <n v="198"/>
    <n v="367.20000000000005"/>
    <x v="3"/>
  </r>
  <r>
    <x v="283"/>
    <s v="ABRIL"/>
    <x v="47"/>
    <s v="SÁBADO"/>
    <n v="254853"/>
    <x v="2"/>
    <n v="1080"/>
    <n v="198"/>
    <n v="183.60000000000002"/>
    <x v="3"/>
  </r>
  <r>
    <x v="283"/>
    <s v="ABRIL"/>
    <x v="47"/>
    <s v="SÁBADO"/>
    <n v="256616"/>
    <x v="22"/>
    <n v="990"/>
    <n v="198"/>
    <n v="168.3"/>
    <x v="3"/>
  </r>
  <r>
    <x v="283"/>
    <s v="ABRIL"/>
    <x v="47"/>
    <s v="SÁBADO"/>
    <n v="256601"/>
    <x v="5"/>
    <n v="486"/>
    <n v="162"/>
    <n v="82.62"/>
    <x v="3"/>
  </r>
  <r>
    <x v="283"/>
    <s v="ABRIL"/>
    <x v="47"/>
    <s v="SÁBADO"/>
    <n v="256652"/>
    <x v="9"/>
    <n v="450"/>
    <n v="90"/>
    <n v="76.5"/>
    <x v="3"/>
  </r>
  <r>
    <x v="283"/>
    <s v="ABRIL"/>
    <x v="47"/>
    <s v="SÁBADO"/>
    <n v="256677"/>
    <x v="10"/>
    <n v="2400"/>
    <n v="120"/>
    <n v="408.00000000000006"/>
    <x v="3"/>
  </r>
  <r>
    <x v="283"/>
    <s v="ABRIL"/>
    <x v="47"/>
    <s v="SÁBADO"/>
    <n v="256680"/>
    <x v="26"/>
    <n v="900"/>
    <n v="90"/>
    <n v="153"/>
    <x v="3"/>
  </r>
  <r>
    <x v="283"/>
    <s v="ABRIL"/>
    <x v="47"/>
    <s v="SÁBADO"/>
    <n v="256679"/>
    <x v="23"/>
    <n v="1440"/>
    <n v="90"/>
    <n v="244.8"/>
    <x v="3"/>
  </r>
  <r>
    <x v="283"/>
    <s v="ABRIL"/>
    <x v="47"/>
    <s v="SÁBADO"/>
    <n v="256383"/>
    <x v="28"/>
    <n v="120"/>
    <n v="30"/>
    <n v="27.6"/>
    <x v="3"/>
  </r>
  <r>
    <x v="283"/>
    <s v="ABRIL"/>
    <x v="47"/>
    <s v="SÁBADO"/>
    <n v="256381"/>
    <x v="13"/>
    <n v="180"/>
    <n v="30"/>
    <n v="72"/>
    <x v="3"/>
  </r>
  <r>
    <x v="283"/>
    <s v="ABRIL"/>
    <x v="47"/>
    <s v="SÁBADO"/>
    <n v="256678"/>
    <x v="11"/>
    <n v="3600"/>
    <n v="90"/>
    <n v="612"/>
    <x v="3"/>
  </r>
  <r>
    <x v="283"/>
    <s v="ABRIL"/>
    <x v="47"/>
    <s v="SÁBADO"/>
    <n v="256695"/>
    <x v="25"/>
    <n v="2250"/>
    <n v="225"/>
    <n v="945"/>
    <x v="3"/>
  </r>
  <r>
    <x v="283"/>
    <s v="ABRIL"/>
    <x v="47"/>
    <s v="SÁBADO"/>
    <n v="256720"/>
    <x v="42"/>
    <n v="750"/>
    <n v="420"/>
    <n v="315"/>
    <x v="3"/>
  </r>
  <r>
    <x v="283"/>
    <s v="ABRIL"/>
    <x v="47"/>
    <s v="SÁBADO"/>
    <n v="256721"/>
    <x v="43"/>
    <n v="500"/>
    <n v="420"/>
    <n v="210"/>
    <x v="3"/>
  </r>
  <r>
    <x v="283"/>
    <s v="ABRIL"/>
    <x v="47"/>
    <s v="SÁBADO"/>
    <n v="256368"/>
    <x v="52"/>
    <n v="7250"/>
    <n v="250"/>
    <n v="3045"/>
    <x v="3"/>
  </r>
  <r>
    <x v="283"/>
    <s v="ABRIL"/>
    <x v="47"/>
    <s v="SÁBADO"/>
    <s v="A"/>
    <x v="50"/>
    <n v="1200"/>
    <n v="200"/>
    <n v="504"/>
    <x v="3"/>
  </r>
  <r>
    <x v="284"/>
    <s v="ABRIL"/>
    <x v="47"/>
    <s v="LUNES"/>
    <n v="251429"/>
    <x v="0"/>
    <n v="144"/>
    <n v="48"/>
    <n v="57.6"/>
    <x v="3"/>
  </r>
  <r>
    <x v="284"/>
    <s v="ABRIL"/>
    <x v="47"/>
    <s v="LUNES"/>
    <n v="751315"/>
    <x v="24"/>
    <n v="2100"/>
    <n v="420"/>
    <n v="882"/>
    <x v="3"/>
  </r>
  <r>
    <x v="284"/>
    <s v="ABRIL"/>
    <x v="47"/>
    <s v="LUNES"/>
    <n v="256616"/>
    <x v="22"/>
    <n v="792"/>
    <n v="198"/>
    <n v="134.64000000000001"/>
    <x v="3"/>
  </r>
  <r>
    <x v="284"/>
    <s v="ABRIL"/>
    <x v="47"/>
    <s v="LUNES"/>
    <n v="256666"/>
    <x v="4"/>
    <n v="972"/>
    <n v="162"/>
    <n v="165.24"/>
    <x v="3"/>
  </r>
  <r>
    <x v="284"/>
    <s v="ABRIL"/>
    <x v="47"/>
    <s v="LUNES"/>
    <n v="256601"/>
    <x v="5"/>
    <n v="486"/>
    <n v="162"/>
    <n v="82.62"/>
    <x v="3"/>
  </r>
  <r>
    <x v="284"/>
    <s v="ABRIL"/>
    <x v="47"/>
    <s v="LUNES"/>
    <n v="256679"/>
    <x v="23"/>
    <n v="900"/>
    <n v="90"/>
    <n v="153"/>
    <x v="3"/>
  </r>
  <r>
    <x v="284"/>
    <s v="ABRIL"/>
    <x v="47"/>
    <s v="LUNES"/>
    <n v="256678"/>
    <x v="11"/>
    <n v="900"/>
    <n v="90"/>
    <n v="153"/>
    <x v="3"/>
  </r>
  <r>
    <x v="284"/>
    <s v="ABRIL"/>
    <x v="47"/>
    <s v="LUNES"/>
    <n v="256695"/>
    <x v="25"/>
    <n v="1350"/>
    <n v="225"/>
    <n v="567"/>
    <x v="3"/>
  </r>
  <r>
    <x v="284"/>
    <s v="ABRIL"/>
    <x v="47"/>
    <s v="LUNES"/>
    <n v="256720"/>
    <x v="42"/>
    <n v="750"/>
    <n v="420"/>
    <n v="315"/>
    <x v="3"/>
  </r>
  <r>
    <x v="284"/>
    <s v="ABRIL"/>
    <x v="47"/>
    <s v="LUNES"/>
    <n v="256721"/>
    <x v="43"/>
    <n v="750"/>
    <n v="420"/>
    <n v="315"/>
    <x v="3"/>
  </r>
  <r>
    <x v="284"/>
    <s v="ABRIL"/>
    <x v="47"/>
    <s v="LUNES"/>
    <n v="251429"/>
    <x v="0"/>
    <n v="2256"/>
    <n v="48"/>
    <n v="902.40000000000009"/>
    <x v="3"/>
  </r>
  <r>
    <x v="284"/>
    <s v="ABRIL"/>
    <x v="47"/>
    <s v="LUNES"/>
    <n v="251406"/>
    <x v="1"/>
    <n v="2160"/>
    <n v="198"/>
    <n v="367.20000000000005"/>
    <x v="3"/>
  </r>
  <r>
    <x v="284"/>
    <s v="ABRIL"/>
    <x v="47"/>
    <s v="LUNES"/>
    <n v="256674"/>
    <x v="7"/>
    <n v="2160"/>
    <n v="198"/>
    <n v="367.20000000000005"/>
    <x v="3"/>
  </r>
  <r>
    <x v="284"/>
    <s v="ABRIL"/>
    <x v="47"/>
    <s v="LUNES"/>
    <n v="256682"/>
    <x v="20"/>
    <n v="1170"/>
    <n v="90"/>
    <n v="198.9"/>
    <x v="3"/>
  </r>
  <r>
    <x v="284"/>
    <s v="ABRIL"/>
    <x v="47"/>
    <s v="LUNES"/>
    <n v="256695"/>
    <x v="25"/>
    <n v="1350"/>
    <n v="225"/>
    <n v="567"/>
    <x v="3"/>
  </r>
  <r>
    <x v="284"/>
    <s v="ABRIL"/>
    <x v="47"/>
    <s v="LUNES"/>
    <n v="256368"/>
    <x v="52"/>
    <n v="2500"/>
    <n v="250"/>
    <n v="1050"/>
    <x v="3"/>
  </r>
  <r>
    <x v="284"/>
    <s v="ABRIL"/>
    <x v="47"/>
    <s v="LUNES"/>
    <n v="751315"/>
    <x v="24"/>
    <n v="840"/>
    <n v="420"/>
    <n v="352.8"/>
    <x v="3"/>
  </r>
  <r>
    <x v="284"/>
    <s v="ABRIL"/>
    <x v="47"/>
    <s v="LUNES"/>
    <n v="254853"/>
    <x v="2"/>
    <n v="2160"/>
    <n v="198"/>
    <n v="367.20000000000005"/>
    <x v="3"/>
  </r>
  <r>
    <x v="284"/>
    <s v="ABRIL"/>
    <x v="47"/>
    <s v="LUNES"/>
    <n v="256666"/>
    <x v="4"/>
    <n v="810"/>
    <n v="162"/>
    <n v="137.70000000000002"/>
    <x v="3"/>
  </r>
  <r>
    <x v="284"/>
    <s v="ABRIL"/>
    <x v="47"/>
    <s v="LUNES"/>
    <n v="256601"/>
    <x v="5"/>
    <n v="810"/>
    <n v="162"/>
    <n v="137.70000000000002"/>
    <x v="3"/>
  </r>
  <r>
    <x v="284"/>
    <s v="ABRIL"/>
    <x v="47"/>
    <s v="LUNES"/>
    <n v="256678"/>
    <x v="11"/>
    <n v="1440"/>
    <n v="90"/>
    <n v="244.8"/>
    <x v="3"/>
  </r>
  <r>
    <x v="285"/>
    <s v="ABRIL"/>
    <x v="47"/>
    <s v="MARTES"/>
    <n v="254762"/>
    <x v="40"/>
    <n v="336"/>
    <n v="240"/>
    <n v="134.4"/>
    <x v="3"/>
  </r>
  <r>
    <x v="285"/>
    <s v="ABRIL"/>
    <x v="47"/>
    <s v="MARTES"/>
    <n v="256685"/>
    <x v="38"/>
    <n v="560"/>
    <n v="112"/>
    <n v="224"/>
    <x v="3"/>
  </r>
  <r>
    <x v="285"/>
    <s v="ABRIL"/>
    <x v="47"/>
    <s v="MARTES"/>
    <n v="751315"/>
    <x v="24"/>
    <n v="1680"/>
    <n v="420"/>
    <n v="705.6"/>
    <x v="3"/>
  </r>
  <r>
    <x v="285"/>
    <s v="ABRIL"/>
    <x v="47"/>
    <s v="MARTES"/>
    <n v="251633"/>
    <x v="16"/>
    <n v="1080"/>
    <n v="180"/>
    <n v="453.59999999999997"/>
    <x v="3"/>
  </r>
  <r>
    <x v="285"/>
    <s v="ABRIL"/>
    <x v="47"/>
    <s v="MARTES"/>
    <n v="256548"/>
    <x v="34"/>
    <n v="216"/>
    <n v="198"/>
    <n v="36.720000000000006"/>
    <x v="3"/>
  </r>
  <r>
    <x v="285"/>
    <s v="ABRIL"/>
    <x v="47"/>
    <s v="MARTES"/>
    <n v="256549"/>
    <x v="29"/>
    <n v="216"/>
    <n v="198"/>
    <n v="36.720000000000006"/>
    <x v="3"/>
  </r>
  <r>
    <x v="285"/>
    <s v="ABRIL"/>
    <x v="47"/>
    <s v="MARTES"/>
    <n v="256488"/>
    <x v="6"/>
    <n v="2160"/>
    <n v="120"/>
    <n v="367.20000000000005"/>
    <x v="3"/>
  </r>
  <r>
    <x v="285"/>
    <s v="ABRIL"/>
    <x v="47"/>
    <s v="MARTES"/>
    <n v="256677"/>
    <x v="10"/>
    <n v="1680"/>
    <n v="120"/>
    <n v="285.60000000000002"/>
    <x v="3"/>
  </r>
  <r>
    <x v="285"/>
    <s v="ABRIL"/>
    <x v="47"/>
    <s v="MARTES"/>
    <n v="256679"/>
    <x v="23"/>
    <n v="1440"/>
    <n v="90"/>
    <n v="244.8"/>
    <x v="3"/>
  </r>
  <r>
    <x v="285"/>
    <s v="ABRIL"/>
    <x v="47"/>
    <s v="MARTES"/>
    <n v="254762"/>
    <x v="40"/>
    <n v="224"/>
    <n v="240"/>
    <n v="89.600000000000009"/>
    <x v="3"/>
  </r>
  <r>
    <x v="285"/>
    <s v="ABRIL"/>
    <x v="47"/>
    <s v="MARTES"/>
    <n v="256685"/>
    <x v="38"/>
    <n v="224"/>
    <n v="112"/>
    <n v="89.600000000000009"/>
    <x v="3"/>
  </r>
  <r>
    <x v="285"/>
    <s v="ABRIL"/>
    <x v="47"/>
    <s v="MARTES"/>
    <n v="251633"/>
    <x v="16"/>
    <n v="540"/>
    <n v="180"/>
    <n v="226.79999999999998"/>
    <x v="3"/>
  </r>
  <r>
    <x v="285"/>
    <s v="ABRIL"/>
    <x v="47"/>
    <s v="MARTES"/>
    <n v="256720"/>
    <x v="42"/>
    <n v="500"/>
    <n v="420"/>
    <n v="210"/>
    <x v="3"/>
  </r>
  <r>
    <x v="285"/>
    <s v="ABRIL"/>
    <x v="47"/>
    <s v="MARTES"/>
    <n v="256753"/>
    <x v="48"/>
    <n v="720"/>
    <n v="30"/>
    <n v="151.19999999999999"/>
    <x v="3"/>
  </r>
  <r>
    <x v="285"/>
    <s v="ABRIL"/>
    <x v="47"/>
    <s v="MARTES"/>
    <s v="D"/>
    <x v="56"/>
    <n v="500"/>
    <n v="250"/>
    <n v="210"/>
    <x v="3"/>
  </r>
  <r>
    <x v="286"/>
    <s v="ABRIL"/>
    <x v="47"/>
    <s v="MIÉRCOLES"/>
    <n v="256677"/>
    <x v="10"/>
    <n v="4800"/>
    <n v="120"/>
    <n v="816.00000000000011"/>
    <x v="3"/>
  </r>
  <r>
    <x v="286"/>
    <s v="ABRIL"/>
    <x v="47"/>
    <s v="MIÉRCOLES"/>
    <s v="D"/>
    <x v="56"/>
    <n v="750"/>
    <n v="250"/>
    <n v="315"/>
    <x v="3"/>
  </r>
  <r>
    <x v="285"/>
    <s v="ABRIL"/>
    <x v="47"/>
    <s v="MARTES"/>
    <n v="256677"/>
    <x v="10"/>
    <n v="240"/>
    <n v="120"/>
    <n v="40.800000000000004"/>
    <x v="3"/>
  </r>
  <r>
    <x v="285"/>
    <s v="ABRIL"/>
    <x v="47"/>
    <s v="MARTES"/>
    <n v="256383"/>
    <x v="28"/>
    <n v="120"/>
    <n v="30"/>
    <n v="27.6"/>
    <x v="3"/>
  </r>
  <r>
    <x v="285"/>
    <s v="ABRIL"/>
    <x v="47"/>
    <s v="MARTES"/>
    <n v="256382"/>
    <x v="33"/>
    <n v="80"/>
    <n v="40"/>
    <n v="18.400000000000002"/>
    <x v="3"/>
  </r>
  <r>
    <x v="285"/>
    <s v="ABRIL"/>
    <x v="47"/>
    <s v="MARTES"/>
    <n v="256379"/>
    <x v="15"/>
    <n v="250"/>
    <n v="50"/>
    <n v="100"/>
    <x v="3"/>
  </r>
  <r>
    <x v="285"/>
    <s v="ABRIL"/>
    <x v="47"/>
    <s v="MARTES"/>
    <n v="251633"/>
    <x v="16"/>
    <n v="540"/>
    <n v="180"/>
    <n v="226.79999999999998"/>
    <x v="3"/>
  </r>
  <r>
    <x v="285"/>
    <s v="ABRIL"/>
    <x v="47"/>
    <s v="MARTES"/>
    <n v="256617"/>
    <x v="3"/>
    <n v="990"/>
    <n v="198"/>
    <n v="168.3"/>
    <x v="3"/>
  </r>
  <r>
    <x v="285"/>
    <s v="ABRIL"/>
    <x v="47"/>
    <s v="MARTES"/>
    <n v="256488"/>
    <x v="6"/>
    <n v="1440"/>
    <n v="120"/>
    <n v="244.8"/>
    <x v="3"/>
  </r>
  <r>
    <x v="285"/>
    <s v="ABRIL"/>
    <x v="47"/>
    <s v="MARTES"/>
    <n v="256652"/>
    <x v="9"/>
    <n v="900"/>
    <n v="90"/>
    <n v="153"/>
    <x v="3"/>
  </r>
  <r>
    <x v="285"/>
    <s v="ABRIL"/>
    <x v="47"/>
    <s v="MARTES"/>
    <n v="256677"/>
    <x v="10"/>
    <n v="4080"/>
    <n v="120"/>
    <n v="693.6"/>
    <x v="3"/>
  </r>
  <r>
    <x v="285"/>
    <s v="ABRIL"/>
    <x v="47"/>
    <s v="MARTES"/>
    <n v="256680"/>
    <x v="26"/>
    <n v="450"/>
    <n v="90"/>
    <n v="76.5"/>
    <x v="3"/>
  </r>
  <r>
    <x v="285"/>
    <s v="ABRIL"/>
    <x v="47"/>
    <s v="MARTES"/>
    <n v="256674"/>
    <x v="7"/>
    <n v="450"/>
    <n v="198"/>
    <n v="76.5"/>
    <x v="3"/>
  </r>
  <r>
    <x v="285"/>
    <s v="ABRIL"/>
    <x v="47"/>
    <s v="MARTES"/>
    <n v="256682"/>
    <x v="20"/>
    <n v="450"/>
    <n v="90"/>
    <n v="76.5"/>
    <x v="3"/>
  </r>
  <r>
    <x v="286"/>
    <s v="ABRIL"/>
    <x v="47"/>
    <s v="MIÉRCOLES"/>
    <n v="252436"/>
    <x v="36"/>
    <n v="810"/>
    <n v="90"/>
    <n v="324"/>
    <x v="3"/>
  </r>
  <r>
    <x v="286"/>
    <s v="ABRIL"/>
    <x v="47"/>
    <s v="MIÉRCOLES"/>
    <n v="251633"/>
    <x v="16"/>
    <n v="180"/>
    <n v="180"/>
    <n v="75.599999999999994"/>
    <x v="3"/>
  </r>
  <r>
    <x v="286"/>
    <s v="ABRIL"/>
    <x v="47"/>
    <s v="MIÉRCOLES"/>
    <n v="251406"/>
    <x v="1"/>
    <n v="432"/>
    <n v="198"/>
    <n v="73.440000000000012"/>
    <x v="3"/>
  </r>
  <r>
    <x v="286"/>
    <s v="ABRIL"/>
    <x v="47"/>
    <s v="MIÉRCOLES"/>
    <n v="256616"/>
    <x v="22"/>
    <n v="990"/>
    <n v="198"/>
    <n v="168.3"/>
    <x v="3"/>
  </r>
  <r>
    <x v="286"/>
    <s v="ABRIL"/>
    <x v="47"/>
    <s v="MIÉRCOLES"/>
    <n v="256675"/>
    <x v="8"/>
    <n v="3240"/>
    <n v="198"/>
    <n v="550.80000000000007"/>
    <x v="3"/>
  </r>
  <r>
    <x v="286"/>
    <s v="ABRIL"/>
    <x v="47"/>
    <s v="MIÉRCOLES"/>
    <n v="256652"/>
    <x v="9"/>
    <n v="450"/>
    <n v="90"/>
    <n v="76.5"/>
    <x v="3"/>
  </r>
  <r>
    <x v="286"/>
    <s v="ABRIL"/>
    <x v="47"/>
    <s v="MIÉRCOLES"/>
    <n v="256677"/>
    <x v="10"/>
    <n v="3360"/>
    <n v="120"/>
    <n v="571.20000000000005"/>
    <x v="3"/>
  </r>
  <r>
    <x v="286"/>
    <s v="ABRIL"/>
    <x v="47"/>
    <s v="MIÉRCOLES"/>
    <n v="256680"/>
    <x v="26"/>
    <n v="900"/>
    <n v="90"/>
    <n v="153"/>
    <x v="3"/>
  </r>
  <r>
    <x v="286"/>
    <s v="ABRIL"/>
    <x v="47"/>
    <s v="MIÉRCOLES"/>
    <n v="256679"/>
    <x v="23"/>
    <n v="1440"/>
    <n v="90"/>
    <n v="244.8"/>
    <x v="3"/>
  </r>
  <r>
    <x v="286"/>
    <s v="ABRIL"/>
    <x v="47"/>
    <s v="MIÉRCOLES"/>
    <n v="256721"/>
    <x v="43"/>
    <n v="250"/>
    <n v="420"/>
    <n v="105"/>
    <x v="3"/>
  </r>
  <r>
    <x v="286"/>
    <s v="ABRIL"/>
    <x v="47"/>
    <s v="MIÉRCOLES"/>
    <s v="D"/>
    <x v="56"/>
    <n v="250"/>
    <n v="250"/>
    <n v="105"/>
    <x v="3"/>
  </r>
  <r>
    <x v="286"/>
    <s v="ABRIL"/>
    <x v="47"/>
    <s v="MIÉRCOLES"/>
    <n v="256383"/>
    <x v="28"/>
    <n v="240"/>
    <n v="30"/>
    <n v="55.2"/>
    <x v="3"/>
  </r>
  <r>
    <x v="286"/>
    <s v="ABRIL"/>
    <x v="47"/>
    <s v="MIÉRCOLES"/>
    <n v="256381"/>
    <x v="13"/>
    <n v="240"/>
    <n v="30"/>
    <n v="96"/>
    <x v="3"/>
  </r>
  <r>
    <x v="286"/>
    <s v="ABRIL"/>
    <x v="47"/>
    <s v="MIÉRCOLES"/>
    <n v="256379"/>
    <x v="15"/>
    <n v="250"/>
    <n v="50"/>
    <n v="100"/>
    <x v="3"/>
  </r>
  <r>
    <x v="286"/>
    <s v="ABRIL"/>
    <x v="47"/>
    <s v="MIÉRCOLES"/>
    <n v="251633"/>
    <x v="16"/>
    <n v="180"/>
    <n v="180"/>
    <n v="75.599999999999994"/>
    <x v="3"/>
  </r>
  <r>
    <x v="286"/>
    <s v="ABRIL"/>
    <x v="47"/>
    <s v="MIÉRCOLES"/>
    <n v="251406"/>
    <x v="1"/>
    <n v="1728"/>
    <n v="198"/>
    <n v="293.76000000000005"/>
    <x v="3"/>
  </r>
  <r>
    <x v="286"/>
    <s v="ABRIL"/>
    <x v="47"/>
    <s v="MIÉRCOLES"/>
    <n v="256652"/>
    <x v="9"/>
    <n v="1260"/>
    <n v="90"/>
    <n v="214.20000000000002"/>
    <x v="3"/>
  </r>
  <r>
    <x v="286"/>
    <s v="ABRIL"/>
    <x v="47"/>
    <s v="MIÉRCOLES"/>
    <n v="256677"/>
    <x v="10"/>
    <n v="3840"/>
    <n v="120"/>
    <n v="652.80000000000007"/>
    <x v="3"/>
  </r>
  <r>
    <x v="286"/>
    <s v="ABRIL"/>
    <x v="47"/>
    <s v="MIÉRCOLES"/>
    <n v="256682"/>
    <x v="20"/>
    <n v="360"/>
    <n v="90"/>
    <n v="61.2"/>
    <x v="3"/>
  </r>
  <r>
    <x v="286"/>
    <s v="ABRIL"/>
    <x v="47"/>
    <s v="MIÉRCOLES"/>
    <n v="256721"/>
    <x v="43"/>
    <n v="250"/>
    <n v="420"/>
    <n v="105"/>
    <x v="3"/>
  </r>
  <r>
    <x v="286"/>
    <s v="ABRIL"/>
    <x v="47"/>
    <s v="MIÉRCOLES"/>
    <n v="256764"/>
    <x v="60"/>
    <n v="360"/>
    <n v="180"/>
    <n v="151.19999999999999"/>
    <x v="3"/>
  </r>
  <r>
    <x v="286"/>
    <s v="ABRIL"/>
    <x v="47"/>
    <s v="MIÉRCOLES"/>
    <s v="G"/>
    <x v="54"/>
    <n v="360"/>
    <n v="180"/>
    <n v="151.19999999999999"/>
    <x v="3"/>
  </r>
  <r>
    <x v="286"/>
    <s v="ABRIL"/>
    <x v="47"/>
    <s v="MIÉRCOLES"/>
    <n v="256765"/>
    <x v="59"/>
    <n v="450"/>
    <n v="225"/>
    <n v="189"/>
    <x v="3"/>
  </r>
  <r>
    <x v="287"/>
    <s v="ABRIL"/>
    <x v="47"/>
    <s v="JUEVES"/>
    <n v="256368"/>
    <x v="52"/>
    <n v="1250"/>
    <n v="250"/>
    <n v="525"/>
    <x v="3"/>
  </r>
  <r>
    <x v="287"/>
    <s v="ABRIL"/>
    <x v="47"/>
    <s v="JUEVES"/>
    <n v="256764"/>
    <x v="60"/>
    <n v="360"/>
    <n v="180"/>
    <n v="151.19999999999999"/>
    <x v="3"/>
  </r>
  <r>
    <x v="287"/>
    <s v="ABRIL"/>
    <x v="47"/>
    <s v="JUEVES"/>
    <s v="G"/>
    <x v="54"/>
    <n v="360"/>
    <n v="180"/>
    <n v="151.19999999999999"/>
    <x v="3"/>
  </r>
  <r>
    <x v="287"/>
    <s v="ABRIL"/>
    <x v="47"/>
    <s v="JUEVES"/>
    <n v="256666"/>
    <x v="4"/>
    <n v="1134"/>
    <n v="162"/>
    <n v="192.78"/>
    <x v="3"/>
  </r>
  <r>
    <x v="287"/>
    <s v="ABRIL"/>
    <x v="47"/>
    <s v="JUEVES"/>
    <n v="256488"/>
    <x v="6"/>
    <n v="2400"/>
    <n v="120"/>
    <n v="408.00000000000006"/>
    <x v="3"/>
  </r>
  <r>
    <x v="287"/>
    <s v="ABRIL"/>
    <x v="47"/>
    <s v="JUEVES"/>
    <n v="256676"/>
    <x v="17"/>
    <n v="1200"/>
    <n v="120"/>
    <n v="204.00000000000003"/>
    <x v="3"/>
  </r>
  <r>
    <x v="287"/>
    <s v="ABRIL"/>
    <x v="47"/>
    <s v="JUEVES"/>
    <n v="256677"/>
    <x v="10"/>
    <n v="480"/>
    <n v="120"/>
    <n v="81.600000000000009"/>
    <x v="3"/>
  </r>
  <r>
    <x v="288"/>
    <s v="ABRIL"/>
    <x v="47"/>
    <s v="VIERNES"/>
    <n v="256548"/>
    <x v="34"/>
    <n v="216"/>
    <n v="198"/>
    <n v="36.720000000000006"/>
    <x v="3"/>
  </r>
  <r>
    <x v="288"/>
    <s v="ABRIL"/>
    <x v="47"/>
    <s v="VIERNES"/>
    <n v="256549"/>
    <x v="29"/>
    <n v="216"/>
    <n v="198"/>
    <n v="36.720000000000006"/>
    <x v="3"/>
  </r>
  <r>
    <x v="288"/>
    <s v="ABRIL"/>
    <x v="47"/>
    <s v="VIERNES"/>
    <n v="256617"/>
    <x v="3"/>
    <n v="198"/>
    <n v="198"/>
    <n v="33.660000000000004"/>
    <x v="3"/>
  </r>
  <r>
    <x v="288"/>
    <s v="ABRIL"/>
    <x v="47"/>
    <s v="VIERNES"/>
    <n v="256680"/>
    <x v="26"/>
    <n v="450"/>
    <n v="90"/>
    <n v="76.5"/>
    <x v="3"/>
  </r>
  <r>
    <x v="288"/>
    <s v="ABRIL"/>
    <x v="47"/>
    <s v="VIERNES"/>
    <n v="256679"/>
    <x v="23"/>
    <n v="900"/>
    <n v="90"/>
    <n v="153"/>
    <x v="3"/>
  </r>
  <r>
    <x v="288"/>
    <s v="ABRIL"/>
    <x v="47"/>
    <s v="VIERNES"/>
    <n v="256678"/>
    <x v="11"/>
    <n v="1440"/>
    <n v="90"/>
    <n v="244.8"/>
    <x v="3"/>
  </r>
  <r>
    <x v="288"/>
    <s v="ABRIL"/>
    <x v="47"/>
    <s v="VIERNES"/>
    <n v="256695"/>
    <x v="25"/>
    <n v="1800"/>
    <n v="225"/>
    <n v="756"/>
    <x v="3"/>
  </r>
  <r>
    <x v="288"/>
    <s v="ABRIL"/>
    <x v="47"/>
    <s v="VIERNES"/>
    <n v="256720"/>
    <x v="42"/>
    <n v="250"/>
    <n v="420"/>
    <n v="105"/>
    <x v="3"/>
  </r>
  <r>
    <x v="287"/>
    <s v="ABRIL"/>
    <x v="47"/>
    <s v="JUEVES"/>
    <n v="256383"/>
    <x v="28"/>
    <n v="180"/>
    <n v="30"/>
    <n v="41.4"/>
    <x v="3"/>
  </r>
  <r>
    <x v="287"/>
    <s v="ABRIL"/>
    <x v="47"/>
    <s v="JUEVES"/>
    <n v="256381"/>
    <x v="13"/>
    <n v="30"/>
    <n v="30"/>
    <n v="12"/>
    <x v="3"/>
  </r>
  <r>
    <x v="287"/>
    <s v="ABRIL"/>
    <x v="47"/>
    <s v="JUEVES"/>
    <n v="256380"/>
    <x v="14"/>
    <n v="80"/>
    <n v="40"/>
    <n v="18.400000000000002"/>
    <x v="3"/>
  </r>
  <r>
    <x v="287"/>
    <s v="ABRIL"/>
    <x v="47"/>
    <s v="JUEVES"/>
    <n v="252436"/>
    <x v="36"/>
    <n v="810"/>
    <n v="90"/>
    <n v="324"/>
    <x v="3"/>
  </r>
  <r>
    <x v="287"/>
    <s v="ABRIL"/>
    <x v="47"/>
    <s v="JUEVES"/>
    <n v="254762"/>
    <x v="40"/>
    <n v="224"/>
    <n v="240"/>
    <n v="89.600000000000009"/>
    <x v="3"/>
  </r>
  <r>
    <x v="287"/>
    <s v="ABRIL"/>
    <x v="47"/>
    <s v="JUEVES"/>
    <n v="256685"/>
    <x v="38"/>
    <n v="448"/>
    <n v="112"/>
    <n v="179.20000000000002"/>
    <x v="3"/>
  </r>
  <r>
    <x v="287"/>
    <s v="ABRIL"/>
    <x v="47"/>
    <s v="JUEVES"/>
    <n v="256601"/>
    <x v="5"/>
    <n v="162"/>
    <n v="162"/>
    <n v="27.540000000000003"/>
    <x v="3"/>
  </r>
  <r>
    <x v="287"/>
    <s v="ABRIL"/>
    <x v="47"/>
    <s v="JUEVES"/>
    <n v="256674"/>
    <x v="7"/>
    <n v="3024"/>
    <n v="198"/>
    <n v="514.08000000000004"/>
    <x v="3"/>
  </r>
  <r>
    <x v="287"/>
    <s v="ABRIL"/>
    <x v="47"/>
    <s v="JUEVES"/>
    <n v="256677"/>
    <x v="10"/>
    <n v="3600"/>
    <n v="120"/>
    <n v="612"/>
    <x v="3"/>
  </r>
  <r>
    <x v="287"/>
    <s v="ABRIL"/>
    <x v="47"/>
    <s v="JUEVES"/>
    <n v="256680"/>
    <x v="26"/>
    <n v="720"/>
    <n v="90"/>
    <n v="122.4"/>
    <x v="3"/>
  </r>
  <r>
    <x v="287"/>
    <s v="ABRIL"/>
    <x v="47"/>
    <s v="JUEVES"/>
    <n v="256679"/>
    <x v="23"/>
    <n v="450"/>
    <n v="90"/>
    <n v="76.5"/>
    <x v="3"/>
  </r>
  <r>
    <x v="287"/>
    <s v="ABRIL"/>
    <x v="47"/>
    <s v="JUEVES"/>
    <n v="256678"/>
    <x v="11"/>
    <n v="1890"/>
    <n v="90"/>
    <n v="321.3"/>
    <x v="3"/>
  </r>
  <r>
    <x v="287"/>
    <s v="ABRIL"/>
    <x v="47"/>
    <s v="JUEVES"/>
    <n v="256708"/>
    <x v="12"/>
    <n v="675"/>
    <n v="225"/>
    <n v="270"/>
    <x v="3"/>
  </r>
  <r>
    <x v="287"/>
    <s v="ABRIL"/>
    <x v="47"/>
    <s v="JUEVES"/>
    <n v="256709"/>
    <x v="19"/>
    <n v="225"/>
    <n v="225"/>
    <n v="90"/>
    <x v="3"/>
  </r>
  <r>
    <x v="287"/>
    <s v="ABRIL"/>
    <x v="47"/>
    <s v="JUEVES"/>
    <n v="254762"/>
    <x v="40"/>
    <n v="224"/>
    <n v="240"/>
    <n v="89.600000000000009"/>
    <x v="3"/>
  </r>
  <r>
    <x v="287"/>
    <s v="ABRIL"/>
    <x v="47"/>
    <s v="JUEVES"/>
    <n v="256601"/>
    <x v="5"/>
    <n v="648"/>
    <n v="162"/>
    <n v="110.16000000000001"/>
    <x v="3"/>
  </r>
  <r>
    <x v="287"/>
    <s v="ABRIL"/>
    <x v="47"/>
    <s v="JUEVES"/>
    <n v="256674"/>
    <x v="7"/>
    <n v="1296"/>
    <n v="198"/>
    <n v="220.32000000000002"/>
    <x v="3"/>
  </r>
  <r>
    <x v="287"/>
    <s v="ABRIL"/>
    <x v="47"/>
    <s v="JUEVES"/>
    <n v="256677"/>
    <x v="10"/>
    <n v="5520"/>
    <n v="120"/>
    <n v="938.40000000000009"/>
    <x v="3"/>
  </r>
  <r>
    <x v="287"/>
    <s v="ABRIL"/>
    <x v="47"/>
    <s v="JUEVES"/>
    <n v="256368"/>
    <x v="52"/>
    <n v="500"/>
    <n v="250"/>
    <n v="210"/>
    <x v="3"/>
  </r>
  <r>
    <x v="288"/>
    <s v="ABRIL"/>
    <x v="47"/>
    <s v="VIERNES"/>
    <n v="256381"/>
    <x v="13"/>
    <n v="180"/>
    <n v="30"/>
    <n v="72"/>
    <x v="3"/>
  </r>
  <r>
    <x v="288"/>
    <s v="ABRIL"/>
    <x v="47"/>
    <s v="VIERNES"/>
    <n v="256379"/>
    <x v="15"/>
    <n v="50"/>
    <n v="50"/>
    <n v="20"/>
    <x v="3"/>
  </r>
  <r>
    <x v="288"/>
    <s v="ABRIL"/>
    <x v="47"/>
    <s v="VIERNES"/>
    <n v="251429"/>
    <x v="0"/>
    <n v="672"/>
    <n v="48"/>
    <n v="268.8"/>
    <x v="3"/>
  </r>
  <r>
    <x v="288"/>
    <s v="ABRIL"/>
    <x v="47"/>
    <s v="VIERNES"/>
    <n v="251406"/>
    <x v="1"/>
    <n v="3240"/>
    <n v="198"/>
    <n v="550.80000000000007"/>
    <x v="3"/>
  </r>
  <r>
    <x v="288"/>
    <s v="ABRIL"/>
    <x v="47"/>
    <s v="VIERNES"/>
    <n v="254853"/>
    <x v="2"/>
    <n v="2160"/>
    <n v="198"/>
    <n v="367.20000000000005"/>
    <x v="3"/>
  </r>
  <r>
    <x v="288"/>
    <s v="ABRIL"/>
    <x v="47"/>
    <s v="VIERNES"/>
    <n v="256616"/>
    <x v="22"/>
    <n v="792"/>
    <n v="198"/>
    <n v="134.64000000000001"/>
    <x v="3"/>
  </r>
  <r>
    <x v="288"/>
    <s v="ABRIL"/>
    <x v="47"/>
    <s v="VIERNES"/>
    <n v="256675"/>
    <x v="8"/>
    <n v="648"/>
    <n v="198"/>
    <n v="110.16000000000001"/>
    <x v="3"/>
  </r>
  <r>
    <x v="288"/>
    <s v="ABRIL"/>
    <x v="47"/>
    <s v="VIERNES"/>
    <n v="256652"/>
    <x v="9"/>
    <n v="1440"/>
    <n v="90"/>
    <n v="244.8"/>
    <x v="3"/>
  </r>
  <r>
    <x v="288"/>
    <s v="ABRIL"/>
    <x v="47"/>
    <s v="VIERNES"/>
    <n v="256678"/>
    <x v="11"/>
    <n v="2160"/>
    <n v="90"/>
    <n v="367.20000000000005"/>
    <x v="3"/>
  </r>
  <r>
    <x v="288"/>
    <s v="ABRIL"/>
    <x v="47"/>
    <s v="VIERNES"/>
    <n v="256695"/>
    <x v="25"/>
    <n v="2700"/>
    <n v="225"/>
    <n v="1134"/>
    <x v="3"/>
  </r>
  <r>
    <x v="288"/>
    <s v="ABRIL"/>
    <x v="47"/>
    <s v="VIERNES"/>
    <n v="256708"/>
    <x v="12"/>
    <n v="450"/>
    <n v="225"/>
    <n v="180"/>
    <x v="3"/>
  </r>
  <r>
    <x v="288"/>
    <s v="ABRIL"/>
    <x v="47"/>
    <s v="VIERNES"/>
    <n v="256709"/>
    <x v="19"/>
    <n v="450"/>
    <n v="225"/>
    <n v="180"/>
    <x v="3"/>
  </r>
  <r>
    <x v="288"/>
    <s v="ABRIL"/>
    <x v="47"/>
    <s v="VIERNES"/>
    <n v="256381"/>
    <x v="13"/>
    <n v="120"/>
    <n v="30"/>
    <n v="48"/>
    <x v="3"/>
  </r>
  <r>
    <x v="288"/>
    <s v="ABRIL"/>
    <x v="47"/>
    <s v="VIERNES"/>
    <n v="256379"/>
    <x v="15"/>
    <n v="350"/>
    <n v="50"/>
    <n v="140"/>
    <x v="3"/>
  </r>
  <r>
    <x v="288"/>
    <s v="ABRIL"/>
    <x v="47"/>
    <s v="VIERNES"/>
    <n v="251429"/>
    <x v="0"/>
    <n v="288"/>
    <n v="48"/>
    <n v="115.2"/>
    <x v="3"/>
  </r>
  <r>
    <x v="288"/>
    <s v="ABRIL"/>
    <x v="47"/>
    <s v="VIERNES"/>
    <n v="256617"/>
    <x v="3"/>
    <n v="1782"/>
    <n v="198"/>
    <n v="302.94"/>
    <x v="3"/>
  </r>
  <r>
    <x v="288"/>
    <s v="ABRIL"/>
    <x v="47"/>
    <s v="VIERNES"/>
    <n v="256675"/>
    <x v="8"/>
    <n v="1512"/>
    <n v="198"/>
    <n v="257.04000000000002"/>
    <x v="3"/>
  </r>
  <r>
    <x v="288"/>
    <s v="ABRIL"/>
    <x v="47"/>
    <s v="VIERNES"/>
    <n v="256695"/>
    <x v="25"/>
    <n v="450"/>
    <n v="225"/>
    <n v="189"/>
    <x v="3"/>
  </r>
  <r>
    <x v="288"/>
    <s v="ABRIL"/>
    <x v="47"/>
    <s v="VIERNES"/>
    <n v="256708"/>
    <x v="12"/>
    <n v="1800"/>
    <n v="225"/>
    <n v="720"/>
    <x v="3"/>
  </r>
  <r>
    <x v="288"/>
    <s v="ABRIL"/>
    <x v="47"/>
    <s v="VIERNES"/>
    <n v="256753"/>
    <x v="48"/>
    <n v="330"/>
    <n v="30"/>
    <n v="69.3"/>
    <x v="3"/>
  </r>
  <r>
    <x v="289"/>
    <s v="ABRIL"/>
    <x v="48"/>
    <s v="SÁBADO"/>
    <n v="251633"/>
    <x v="16"/>
    <n v="1440"/>
    <n v="180"/>
    <n v="604.79999999999995"/>
    <x v="3"/>
  </r>
  <r>
    <x v="289"/>
    <s v="ABRIL"/>
    <x v="48"/>
    <s v="SÁBADO"/>
    <n v="256709"/>
    <x v="19"/>
    <n v="3150"/>
    <n v="225"/>
    <n v="1260"/>
    <x v="3"/>
  </r>
  <r>
    <x v="289"/>
    <s v="ABRIL"/>
    <x v="48"/>
    <s v="SÁBADO"/>
    <n v="256753"/>
    <x v="48"/>
    <n v="630"/>
    <n v="30"/>
    <n v="132.29999999999998"/>
    <x v="3"/>
  </r>
  <r>
    <x v="289"/>
    <s v="ABRIL"/>
    <x v="48"/>
    <s v="SÁBADO"/>
    <n v="256368"/>
    <x v="52"/>
    <n v="2000"/>
    <n v="250"/>
    <n v="840"/>
    <x v="3"/>
  </r>
  <r>
    <x v="289"/>
    <s v="ABRIL"/>
    <x v="48"/>
    <s v="SÁBADO"/>
    <n v="256708"/>
    <x v="12"/>
    <n v="1350"/>
    <n v="225"/>
    <n v="540"/>
    <x v="3"/>
  </r>
  <r>
    <x v="289"/>
    <s v="ABRIL"/>
    <x v="48"/>
    <s v="SÁBADO"/>
    <n v="256383"/>
    <x v="28"/>
    <n v="270"/>
    <n v="30"/>
    <n v="62.1"/>
    <x v="3"/>
  </r>
  <r>
    <x v="289"/>
    <s v="ABRIL"/>
    <x v="48"/>
    <s v="SÁBADO"/>
    <n v="256380"/>
    <x v="14"/>
    <n v="80"/>
    <n v="40"/>
    <n v="18.400000000000002"/>
    <x v="3"/>
  </r>
  <r>
    <x v="289"/>
    <s v="ABRIL"/>
    <x v="48"/>
    <s v="SÁBADO"/>
    <n v="256685"/>
    <x v="38"/>
    <n v="336"/>
    <n v="112"/>
    <n v="134.4"/>
    <x v="3"/>
  </r>
  <r>
    <x v="289"/>
    <s v="ABRIL"/>
    <x v="48"/>
    <s v="SÁBADO"/>
    <n v="251429"/>
    <x v="0"/>
    <n v="960"/>
    <n v="48"/>
    <n v="384"/>
    <x v="3"/>
  </r>
  <r>
    <x v="289"/>
    <s v="ABRIL"/>
    <x v="48"/>
    <s v="SÁBADO"/>
    <n v="251633"/>
    <x v="16"/>
    <n v="1080"/>
    <n v="180"/>
    <n v="453.59999999999997"/>
    <x v="3"/>
  </r>
  <r>
    <x v="289"/>
    <s v="ABRIL"/>
    <x v="48"/>
    <s v="SÁBADO"/>
    <n v="251406"/>
    <x v="1"/>
    <n v="1944"/>
    <n v="198"/>
    <n v="330.48"/>
    <x v="3"/>
  </r>
  <r>
    <x v="289"/>
    <s v="ABRIL"/>
    <x v="48"/>
    <s v="SÁBADO"/>
    <n v="254853"/>
    <x v="2"/>
    <n v="2160"/>
    <n v="198"/>
    <n v="367.20000000000005"/>
    <x v="3"/>
  </r>
  <r>
    <x v="289"/>
    <s v="ABRIL"/>
    <x v="48"/>
    <s v="SÁBADO"/>
    <n v="256548"/>
    <x v="34"/>
    <n v="432"/>
    <n v="198"/>
    <n v="73.440000000000012"/>
    <x v="3"/>
  </r>
  <r>
    <x v="289"/>
    <s v="ABRIL"/>
    <x v="48"/>
    <s v="SÁBADO"/>
    <n v="256549"/>
    <x v="29"/>
    <n v="432"/>
    <n v="198"/>
    <n v="73.440000000000012"/>
    <x v="3"/>
  </r>
  <r>
    <x v="289"/>
    <s v="ABRIL"/>
    <x v="48"/>
    <s v="SÁBADO"/>
    <n v="256616"/>
    <x v="22"/>
    <n v="396"/>
    <n v="198"/>
    <n v="67.320000000000007"/>
    <x v="3"/>
  </r>
  <r>
    <x v="289"/>
    <s v="ABRIL"/>
    <x v="48"/>
    <s v="SÁBADO"/>
    <n v="256617"/>
    <x v="3"/>
    <n v="1386"/>
    <n v="198"/>
    <n v="235.62"/>
    <x v="3"/>
  </r>
  <r>
    <x v="289"/>
    <s v="ABRIL"/>
    <x v="48"/>
    <s v="SÁBADO"/>
    <n v="256676"/>
    <x v="17"/>
    <n v="960"/>
    <n v="120"/>
    <n v="163.20000000000002"/>
    <x v="3"/>
  </r>
  <r>
    <x v="289"/>
    <s v="ABRIL"/>
    <x v="48"/>
    <s v="SÁBADO"/>
    <n v="256680"/>
    <x v="26"/>
    <n v="900"/>
    <n v="90"/>
    <n v="153"/>
    <x v="3"/>
  </r>
  <r>
    <x v="289"/>
    <s v="ABRIL"/>
    <x v="48"/>
    <s v="SÁBADO"/>
    <n v="256679"/>
    <x v="23"/>
    <n v="1800"/>
    <n v="90"/>
    <n v="306"/>
    <x v="3"/>
  </r>
  <r>
    <x v="289"/>
    <s v="ABRIL"/>
    <x v="48"/>
    <s v="SÁBADO"/>
    <n v="256708"/>
    <x v="12"/>
    <n v="675"/>
    <n v="225"/>
    <n v="270"/>
    <x v="3"/>
  </r>
  <r>
    <x v="289"/>
    <s v="ABRIL"/>
    <x v="48"/>
    <s v="SÁBADO"/>
    <n v="256720"/>
    <x v="42"/>
    <n v="750"/>
    <n v="420"/>
    <n v="315"/>
    <x v="3"/>
  </r>
  <r>
    <x v="289"/>
    <s v="ABRIL"/>
    <x v="48"/>
    <s v="SÁBADO"/>
    <n v="256721"/>
    <x v="43"/>
    <n v="500"/>
    <n v="420"/>
    <n v="210"/>
    <x v="3"/>
  </r>
  <r>
    <x v="289"/>
    <s v="ABRIL"/>
    <x v="48"/>
    <s v="SÁBADO"/>
    <n v="251406"/>
    <x v="1"/>
    <n v="1296"/>
    <n v="198"/>
    <n v="220.32000000000002"/>
    <x v="3"/>
  </r>
  <r>
    <x v="289"/>
    <s v="ABRIL"/>
    <x v="48"/>
    <s v="SÁBADO"/>
    <n v="256616"/>
    <x v="22"/>
    <n v="1188"/>
    <n v="198"/>
    <n v="201.96"/>
    <x v="3"/>
  </r>
  <r>
    <x v="289"/>
    <s v="ABRIL"/>
    <x v="48"/>
    <s v="SÁBADO"/>
    <n v="256488"/>
    <x v="6"/>
    <n v="2400"/>
    <n v="120"/>
    <n v="408.00000000000006"/>
    <x v="3"/>
  </r>
  <r>
    <x v="289"/>
    <s v="ABRIL"/>
    <x v="48"/>
    <s v="SÁBADO"/>
    <n v="256676"/>
    <x v="17"/>
    <n v="480"/>
    <n v="120"/>
    <n v="81.600000000000009"/>
    <x v="3"/>
  </r>
  <r>
    <x v="289"/>
    <s v="ABRIL"/>
    <x v="48"/>
    <s v="SÁBADO"/>
    <n v="256368"/>
    <x v="52"/>
    <n v="2000"/>
    <n v="250"/>
    <n v="840"/>
    <x v="3"/>
  </r>
  <r>
    <x v="290"/>
    <s v="ABRIL"/>
    <x v="48"/>
    <s v="DOMINGO"/>
    <n v="256753"/>
    <x v="48"/>
    <n v="960"/>
    <n v="30"/>
    <n v="201.6"/>
    <x v="3"/>
  </r>
  <r>
    <x v="290"/>
    <s v="ABRIL"/>
    <x v="48"/>
    <s v="DOMINGO"/>
    <n v="256368"/>
    <x v="52"/>
    <n v="500"/>
    <n v="250"/>
    <n v="210"/>
    <x v="3"/>
  </r>
  <r>
    <x v="290"/>
    <s v="ABRIL"/>
    <x v="48"/>
    <s v="DOMINGO"/>
    <s v="C"/>
    <x v="53"/>
    <n v="300"/>
    <n v="60"/>
    <n v="206.99999999999997"/>
    <x v="3"/>
  </r>
  <r>
    <x v="290"/>
    <s v="ABRIL"/>
    <x v="48"/>
    <s v="DOMINGO"/>
    <n v="256676"/>
    <x v="17"/>
    <n v="2400"/>
    <n v="120"/>
    <n v="408.00000000000006"/>
    <x v="3"/>
  </r>
  <r>
    <x v="290"/>
    <s v="ABRIL"/>
    <x v="48"/>
    <s v="DOMINGO"/>
    <n v="256677"/>
    <x v="10"/>
    <n v="1440"/>
    <n v="120"/>
    <n v="244.8"/>
    <x v="3"/>
  </r>
  <r>
    <x v="290"/>
    <s v="ABRIL"/>
    <x v="48"/>
    <s v="DOMINGO"/>
    <n v="256680"/>
    <x v="26"/>
    <n v="1890"/>
    <n v="90"/>
    <n v="321.3"/>
    <x v="3"/>
  </r>
  <r>
    <x v="290"/>
    <s v="ABRIL"/>
    <x v="48"/>
    <s v="DOMINGO"/>
    <n v="256679"/>
    <x v="23"/>
    <n v="3600"/>
    <n v="90"/>
    <n v="612"/>
    <x v="3"/>
  </r>
  <r>
    <x v="291"/>
    <s v="ABRIL"/>
    <x v="48"/>
    <s v="LUNES"/>
    <n v="251429"/>
    <x v="0"/>
    <n v="768"/>
    <n v="48"/>
    <n v="307.20000000000005"/>
    <x v="3"/>
  </r>
  <r>
    <x v="291"/>
    <s v="ABRIL"/>
    <x v="48"/>
    <s v="LUNES"/>
    <n v="251406"/>
    <x v="1"/>
    <n v="2160"/>
    <n v="198"/>
    <n v="367.20000000000005"/>
    <x v="3"/>
  </r>
  <r>
    <x v="291"/>
    <s v="ABRIL"/>
    <x v="48"/>
    <s v="LUNES"/>
    <n v="254853"/>
    <x v="2"/>
    <n v="594"/>
    <n v="198"/>
    <n v="100.98"/>
    <x v="3"/>
  </r>
  <r>
    <x v="291"/>
    <s v="ABRIL"/>
    <x v="48"/>
    <s v="LUNES"/>
    <n v="256616"/>
    <x v="22"/>
    <n v="594"/>
    <n v="198"/>
    <n v="100.98"/>
    <x v="3"/>
  </r>
  <r>
    <x v="291"/>
    <s v="ABRIL"/>
    <x v="48"/>
    <s v="LUNES"/>
    <n v="256617"/>
    <x v="3"/>
    <n v="1458"/>
    <n v="198"/>
    <n v="247.86"/>
    <x v="3"/>
  </r>
  <r>
    <x v="291"/>
    <s v="ABRIL"/>
    <x v="48"/>
    <s v="LUNES"/>
    <n v="256666"/>
    <x v="4"/>
    <n v="486"/>
    <n v="162"/>
    <n v="82.62"/>
    <x v="3"/>
  </r>
  <r>
    <x v="291"/>
    <s v="ABRIL"/>
    <x v="48"/>
    <s v="LUNES"/>
    <n v="256601"/>
    <x v="5"/>
    <n v="2160"/>
    <n v="162"/>
    <n v="367.20000000000005"/>
    <x v="3"/>
  </r>
  <r>
    <x v="291"/>
    <s v="ABRIL"/>
    <x v="48"/>
    <s v="LUNES"/>
    <n v="256674"/>
    <x v="7"/>
    <n v="2400"/>
    <n v="198"/>
    <n v="408.00000000000006"/>
    <x v="3"/>
  </r>
  <r>
    <x v="291"/>
    <s v="ABRIL"/>
    <x v="48"/>
    <s v="LUNES"/>
    <n v="256677"/>
    <x v="10"/>
    <n v="2500"/>
    <n v="120"/>
    <n v="425.00000000000006"/>
    <x v="3"/>
  </r>
  <r>
    <x v="291"/>
    <s v="ABRIL"/>
    <x v="48"/>
    <s v="LUNES"/>
    <n v="256368"/>
    <x v="52"/>
    <m/>
    <n v="250"/>
    <n v="0"/>
    <x v="3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  <r>
    <x v="292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n v="23"/>
    <s v="MARTES"/>
    <x v="0"/>
    <s v="SAN LUIS SIN GAS PET2500X6 STICKER"/>
    <n v="576"/>
    <n v="48"/>
    <n v="230.4"/>
  </r>
  <r>
    <x v="0"/>
    <s v="JUNIO"/>
    <n v="23"/>
    <s v="MARTES"/>
    <x v="1"/>
    <s v="COCA-COLA SIN AZUCAR PET 1.5LX2"/>
    <n v="1188"/>
    <n v="198"/>
    <n v="201.96"/>
  </r>
  <r>
    <x v="0"/>
    <s v="JUNIO"/>
    <n v="23"/>
    <s v="MARTES"/>
    <x v="2"/>
    <s v="INCA KOLA SIN AZUCAR PET 1.5LX2"/>
    <n v="1584"/>
    <n v="198"/>
    <n v="269.28000000000003"/>
  </r>
  <r>
    <x v="0"/>
    <s v="JUNIO"/>
    <n v="23"/>
    <s v="MARTES"/>
    <x v="3"/>
    <s v="TWO PACK SCHWEPPES GINGER ALE PET 1.5LX2"/>
    <n v="792"/>
    <n v="198"/>
    <n v="134.64000000000001"/>
  </r>
  <r>
    <x v="0"/>
    <s v="JUNIO"/>
    <n v="23"/>
    <s v="MARTES"/>
    <x v="4"/>
    <s v="COCA-COLA PET 2.25LX2 RF"/>
    <n v="648"/>
    <n v="162"/>
    <n v="110.16000000000001"/>
  </r>
  <r>
    <x v="0"/>
    <s v="JUNIO"/>
    <n v="23"/>
    <s v="MARTES"/>
    <x v="5"/>
    <s v="INCA KOLA PET 2.25LX2 RF"/>
    <n v="324"/>
    <n v="162"/>
    <n v="55.080000000000005"/>
  </r>
  <r>
    <x v="0"/>
    <s v="JUNIO"/>
    <n v="23"/>
    <s v="MARTES"/>
    <x v="6"/>
    <s v="INCA KOLA PET 3LX2 - RF"/>
    <n v="240"/>
    <n v="120"/>
    <n v="40.800000000000004"/>
  </r>
  <r>
    <x v="0"/>
    <s v="JUNIO"/>
    <n v="23"/>
    <s v="MARTES"/>
    <x v="7"/>
    <s v="COCA-COLA PET 1.5LX2 RF"/>
    <n v="1198"/>
    <n v="198"/>
    <n v="203.66000000000003"/>
  </r>
  <r>
    <x v="0"/>
    <s v="JUNIO"/>
    <n v="23"/>
    <s v="MARTES"/>
    <x v="8"/>
    <s v="INCA KOLA PET 1.5LX2 RF"/>
    <n v="396"/>
    <n v="198"/>
    <n v="67.320000000000007"/>
  </r>
  <r>
    <x v="0"/>
    <s v="JUNIO"/>
    <n v="23"/>
    <s v="MARTES"/>
    <x v="9"/>
    <s v="TRIPACK FT NAR+FT KI+SP PET 3L"/>
    <n v="360"/>
    <n v="90"/>
    <n v="61.2"/>
  </r>
  <r>
    <x v="0"/>
    <s v="JUNIO"/>
    <n v="23"/>
    <s v="MARTES"/>
    <x v="10"/>
    <s v="TWO PACK CC + IK PFM 3LX2 - RFNN"/>
    <n v="3840"/>
    <n v="120"/>
    <n v="652.80000000000007"/>
  </r>
  <r>
    <x v="0"/>
    <s v="JUNIO"/>
    <n v="23"/>
    <s v="MARTES"/>
    <x v="11"/>
    <s v="TRIPACK (CC+IK)PFM+FT PET 3LX3 - RFNN"/>
    <n v="990"/>
    <n v="90"/>
    <n v="168.3"/>
  </r>
  <r>
    <x v="0"/>
    <s v="JUNIO"/>
    <n v="23"/>
    <s v="MARTES"/>
    <x v="12"/>
    <s v="POWERADE ION4 FRUTA PET473X6 MOD (STICK)"/>
    <n v="450"/>
    <n v="225"/>
    <n v="180"/>
  </r>
  <r>
    <x v="1"/>
    <s v="JUNIO"/>
    <n v="23"/>
    <s v="MIÉRCOLES"/>
    <x v="13"/>
    <s v="INCA KOLA VR 1.5LX8 - STICKER"/>
    <n v="180"/>
    <n v="30"/>
    <n v="72"/>
  </r>
  <r>
    <x v="1"/>
    <s v="JUNIO"/>
    <n v="23"/>
    <s v="MIÉRCOLES"/>
    <x v="14"/>
    <s v="INCA KOLA VR 296MLX24 - STICKER"/>
    <n v="80"/>
    <n v="40"/>
    <n v="18.400000000000002"/>
  </r>
  <r>
    <x v="1"/>
    <s v="JUNIO"/>
    <n v="23"/>
    <s v="MIÉRCOLES"/>
    <x v="15"/>
    <s v="INCA KOLA VR 625MLX12 - STICKER"/>
    <n v="100"/>
    <n v="50"/>
    <n v="40"/>
  </r>
  <r>
    <x v="1"/>
    <s v="JUNIO"/>
    <n v="23"/>
    <s v="MIÉRCOLES"/>
    <x v="16"/>
    <s v="SAN LUIS CON GAS PET 625MLX6"/>
    <n v="180"/>
    <n v="180"/>
    <n v="75.599999999999994"/>
  </r>
  <r>
    <x v="1"/>
    <s v="JUNIO"/>
    <n v="23"/>
    <s v="MIÉRCOLES"/>
    <x v="1"/>
    <s v="COCA-COLA SIN AZUCAR PET 1.5LX2"/>
    <n v="1188"/>
    <n v="198"/>
    <n v="201.96"/>
  </r>
  <r>
    <x v="1"/>
    <s v="JUNIO"/>
    <n v="23"/>
    <s v="MIÉRCOLES"/>
    <x v="2"/>
    <s v="INCA KOLA SIN AZUCAR PET 1.5LX2"/>
    <n v="792"/>
    <n v="198"/>
    <n v="134.64000000000001"/>
  </r>
  <r>
    <x v="1"/>
    <s v="JUNIO"/>
    <n v="23"/>
    <s v="MIÉRCOLES"/>
    <x v="4"/>
    <s v="COCA-COLA PET 2.25LX2 RF"/>
    <n v="324"/>
    <n v="162"/>
    <n v="55.080000000000005"/>
  </r>
  <r>
    <x v="1"/>
    <s v="JUNIO"/>
    <n v="23"/>
    <s v="MIÉRCOLES"/>
    <x v="5"/>
    <s v="INCA KOLA PET 2.25LX2 RF"/>
    <n v="324"/>
    <n v="162"/>
    <n v="55.080000000000005"/>
  </r>
  <r>
    <x v="1"/>
    <s v="JUNIO"/>
    <n v="23"/>
    <s v="MIÉRCOLES"/>
    <x v="17"/>
    <s v="TWO PACK CC PFM 3LX2 - RFCC"/>
    <n v="240"/>
    <n v="120"/>
    <n v="40.800000000000004"/>
  </r>
  <r>
    <x v="1"/>
    <s v="JUNIO"/>
    <n v="23"/>
    <s v="MIÉRCOLES"/>
    <x v="7"/>
    <s v="COCA-COLA PET 1.5LX2 RF"/>
    <n v="792"/>
    <n v="198"/>
    <n v="134.64000000000001"/>
  </r>
  <r>
    <x v="1"/>
    <s v="JUNIO"/>
    <n v="23"/>
    <s v="MIÉRCOLES"/>
    <x v="8"/>
    <s v="INCA KOLA PET 1.5LX2 RF"/>
    <n v="792"/>
    <n v="198"/>
    <n v="134.64000000000001"/>
  </r>
  <r>
    <x v="1"/>
    <s v="JUNIO"/>
    <n v="23"/>
    <s v="MIÉRCOLES"/>
    <x v="10"/>
    <s v="TWO PACK CC + IK PFM 3LX2 - RFNN"/>
    <n v="480"/>
    <n v="120"/>
    <n v="81.600000000000009"/>
  </r>
  <r>
    <x v="1"/>
    <s v="JUNIO"/>
    <n v="23"/>
    <s v="MIÉRCOLES"/>
    <x v="9"/>
    <s v="TRIPACK FT NAR+FT KI+SP PET 3L"/>
    <n v="810"/>
    <n v="90"/>
    <n v="137.70000000000002"/>
  </r>
  <r>
    <x v="1"/>
    <s v="JUNIO"/>
    <n v="23"/>
    <s v="MIÉRCOLES"/>
    <x v="11"/>
    <s v="TRIPACK (CC+IK)PFM+FT PET 3LX3 - RFNN"/>
    <n v="1170"/>
    <n v="90"/>
    <n v="198.9"/>
  </r>
  <r>
    <x v="1"/>
    <s v="JUNIO"/>
    <n v="23"/>
    <s v="MIÉRCOLES"/>
    <x v="18"/>
    <s v="TRIPACK FT NAR+SP+IK RF PET 3L"/>
    <n v="270"/>
    <n v="90"/>
    <n v="45.900000000000006"/>
  </r>
  <r>
    <x v="1"/>
    <s v="JUNIO"/>
    <n v="23"/>
    <s v="MIÉRCOLES"/>
    <x v="19"/>
    <s v="POWERADE ION4 MORA AZ PET473X6 MOD(STCK)"/>
    <n v="225"/>
    <n v="225"/>
    <n v="90"/>
  </r>
  <r>
    <x v="2"/>
    <s v="JUNIO"/>
    <n v="23"/>
    <s v="JUEVES"/>
    <x v="5"/>
    <s v="INCA KOLA PET 2.25LX2 RF"/>
    <n v="324"/>
    <n v="162"/>
    <n v="55.080000000000005"/>
  </r>
  <r>
    <x v="2"/>
    <s v="JUNIO"/>
    <n v="23"/>
    <s v="JUEVES"/>
    <x v="6"/>
    <s v="INCA KOLA PET 3LX2 - RF"/>
    <n v="480"/>
    <n v="120"/>
    <n v="81.600000000000009"/>
  </r>
  <r>
    <x v="2"/>
    <s v="JUNIO"/>
    <n v="23"/>
    <s v="JUEVES"/>
    <x v="2"/>
    <s v="INCA KOLA SIN AZUCAR PET 1.5LX2"/>
    <n v="396"/>
    <n v="198"/>
    <n v="67.320000000000007"/>
  </r>
  <r>
    <x v="2"/>
    <s v="JUNIO"/>
    <n v="23"/>
    <s v="JUEVES"/>
    <x v="17"/>
    <s v="TWO PACK CC PFM 3LX2 - RFCC"/>
    <n v="240"/>
    <n v="120"/>
    <n v="40.800000000000004"/>
  </r>
  <r>
    <x v="2"/>
    <s v="JUNIO"/>
    <n v="23"/>
    <s v="JUEVES"/>
    <x v="20"/>
    <s v="TRIPACK (FT NAR+SP)PET+IK RF PFM 3L"/>
    <n v="180"/>
    <n v="90"/>
    <n v="30.6"/>
  </r>
  <r>
    <x v="2"/>
    <s v="JUNIO"/>
    <n v="23"/>
    <s v="JUEVES"/>
    <x v="11"/>
    <s v="TRIPACK (CC+IK)PFM+FT PET 3LX3 - RFNN"/>
    <n v="2160"/>
    <n v="90"/>
    <n v="367.20000000000005"/>
  </r>
  <r>
    <x v="2"/>
    <s v="JUNIO"/>
    <n v="23"/>
    <s v="JUEVES"/>
    <x v="0"/>
    <s v="SAN LUIS SIN GAS PET2500X6 STICKER"/>
    <n v="216"/>
    <n v="48"/>
    <n v="86.4"/>
  </r>
  <r>
    <x v="2"/>
    <s v="JUNIO"/>
    <n v="23"/>
    <s v="JUEVES"/>
    <x v="12"/>
    <s v="POWERADE ION4 FRUTA PET473X6 MOD (STICK)"/>
    <n v="225"/>
    <n v="225"/>
    <n v="90"/>
  </r>
  <r>
    <x v="2"/>
    <s v="JUNIO"/>
    <n v="23"/>
    <s v="JUEVES"/>
    <x v="19"/>
    <s v="POWERADE ION4 MORA AZ PET473X6 MOD(STCK)"/>
    <n v="225"/>
    <n v="225"/>
    <n v="90"/>
  </r>
  <r>
    <x v="2"/>
    <s v="JUNIO"/>
    <n v="23"/>
    <s v="JUEVES"/>
    <x v="9"/>
    <s v="TRIPACK FT NAR+FT KI+SP PET 3L"/>
    <n v="720"/>
    <n v="90"/>
    <n v="122.4"/>
  </r>
  <r>
    <x v="2"/>
    <s v="JUNIO"/>
    <n v="23"/>
    <s v="JUEVES"/>
    <x v="16"/>
    <s v="SAN LUIS CON GAS PET 625MLX6"/>
    <n v="540"/>
    <n v="180"/>
    <n v="226.79999999999998"/>
  </r>
  <r>
    <x v="3"/>
    <s v="JUNIO"/>
    <n v="23"/>
    <s v="VIERNES"/>
    <x v="21"/>
    <n v="0"/>
    <n v="792"/>
    <n v="0"/>
    <n v="0"/>
  </r>
  <r>
    <x v="3"/>
    <s v="JUNIO"/>
    <n v="23"/>
    <s v="VIERNES"/>
    <x v="22"/>
    <s v="TWO PACK SCHWEPPES CITRUS PET 1.5LX2"/>
    <n v="792"/>
    <n v="198"/>
    <n v="134.64000000000001"/>
  </r>
  <r>
    <x v="3"/>
    <s v="JUNIO"/>
    <n v="23"/>
    <s v="VIERNES"/>
    <x v="3"/>
    <s v="TWO PACK SCHWEPPES GINGER ALE PET 1.5LX2"/>
    <n v="594"/>
    <n v="198"/>
    <n v="100.98"/>
  </r>
  <r>
    <x v="3"/>
    <s v="JUNIO"/>
    <n v="23"/>
    <s v="VIERNES"/>
    <x v="17"/>
    <s v="TWO PACK CC PFM 3LX2 - RFCC"/>
    <n v="600"/>
    <n v="120"/>
    <n v="102.00000000000001"/>
  </r>
  <r>
    <x v="3"/>
    <s v="JUNIO"/>
    <n v="23"/>
    <s v="VIERNES"/>
    <x v="23"/>
    <s v="TRIPACK CC+IK+IK PFM 3LX3 - RFNN"/>
    <n v="360"/>
    <n v="90"/>
    <n v="61.2"/>
  </r>
  <r>
    <x v="3"/>
    <s v="JUNIO"/>
    <n v="23"/>
    <s v="VIERNES"/>
    <x v="11"/>
    <s v="TRIPACK (CC+IK)PFM+FT PET 3LX3 - RFNN"/>
    <n v="450"/>
    <n v="90"/>
    <n v="76.5"/>
  </r>
  <r>
    <x v="3"/>
    <s v="JUNIO"/>
    <n v="23"/>
    <s v="VIERNES"/>
    <x v="16"/>
    <s v="SAN LUIS CON GAS PET 625MLX6"/>
    <n v="180"/>
    <n v="180"/>
    <n v="75.599999999999994"/>
  </r>
  <r>
    <x v="3"/>
    <s v="JUNIO"/>
    <n v="23"/>
    <s v="VIERNES"/>
    <x v="24"/>
    <s v="MONSTER ENERGY 473MLX4"/>
    <n v="1260"/>
    <n v="420"/>
    <n v="529.19999999999993"/>
  </r>
  <r>
    <x v="3"/>
    <s v="JUNIO"/>
    <n v="23"/>
    <s v="VIERNES"/>
    <x v="0"/>
    <s v="SAN LUIS SIN GAS PET2500X6 STICKER"/>
    <n v="48"/>
    <n v="48"/>
    <n v="19.200000000000003"/>
  </r>
  <r>
    <x v="3"/>
    <s v="JUNIO"/>
    <n v="23"/>
    <s v="VIERNES"/>
    <x v="15"/>
    <s v="INCA KOLA VR 625MLX12 - STICKER"/>
    <n v="50"/>
    <n v="50"/>
    <n v="20"/>
  </r>
  <r>
    <x v="3"/>
    <s v="JUNIO"/>
    <n v="23"/>
    <s v="VIERNES"/>
    <x v="25"/>
    <s v="POWERADE 3MORA+3FRUT PET 473MLX6"/>
    <n v="225"/>
    <n v="225"/>
    <n v="94.5"/>
  </r>
  <r>
    <x v="3"/>
    <s v="JUNIO"/>
    <n v="23"/>
    <s v="VIERNES"/>
    <x v="12"/>
    <s v="POWERADE ION4 FRUTA PET473X6 MOD (STICK)"/>
    <n v="450"/>
    <n v="225"/>
    <n v="180"/>
  </r>
  <r>
    <x v="3"/>
    <s v="JUNIO"/>
    <n v="23"/>
    <s v="VIERNES"/>
    <x v="26"/>
    <s v="TRIPACK CC+CC+IK PFM 3LX3 - RFNN"/>
    <n v="180"/>
    <n v="90"/>
    <n v="30.6"/>
  </r>
  <r>
    <x v="3"/>
    <s v="JUNIO"/>
    <n v="23"/>
    <s v="VIERNES"/>
    <x v="25"/>
    <s v="POWERADE 3MORA+3FRUT PET 473MLX6"/>
    <n v="450"/>
    <n v="225"/>
    <n v="189"/>
  </r>
  <r>
    <x v="3"/>
    <s v="JUNIO"/>
    <n v="23"/>
    <s v="VIERNES"/>
    <x v="12"/>
    <s v="POWERADE ION4 FRUTA PET473X6 MOD (STICK)"/>
    <n v="450"/>
    <n v="225"/>
    <n v="180"/>
  </r>
  <r>
    <x v="3"/>
    <s v="JUNIO"/>
    <n v="23"/>
    <s v="VIERNES"/>
    <x v="19"/>
    <s v="POWERADE ION4 MORA AZ PET473X6 MOD(STCK)"/>
    <n v="675"/>
    <n v="225"/>
    <n v="270"/>
  </r>
  <r>
    <x v="4"/>
    <s v="JUNIO"/>
    <n v="24"/>
    <s v="SÁBADO"/>
    <x v="6"/>
    <s v="INCA KOLA PET 3LX2 - RF"/>
    <n v="240"/>
    <n v="120"/>
    <n v="40.800000000000004"/>
  </r>
  <r>
    <x v="4"/>
    <s v="JUNIO"/>
    <n v="24"/>
    <s v="SÁBADO"/>
    <x v="2"/>
    <s v="INCA KOLA SIN AZUCAR PET 1.5LX2"/>
    <n v="594"/>
    <n v="198"/>
    <n v="100.98"/>
  </r>
  <r>
    <x v="4"/>
    <s v="JUNIO"/>
    <n v="24"/>
    <s v="SÁBADO"/>
    <x v="0"/>
    <s v="SAN LUIS SIN GAS PET2500X6 STICKER"/>
    <n v="288"/>
    <n v="48"/>
    <n v="115.2"/>
  </r>
  <r>
    <x v="4"/>
    <s v="JUNIO"/>
    <n v="24"/>
    <s v="SÁBADO"/>
    <x v="25"/>
    <s v="POWERADE 3MORA+3FRUT PET 473MLX6"/>
    <n v="450"/>
    <n v="225"/>
    <n v="189"/>
  </r>
  <r>
    <x v="4"/>
    <s v="JUNIO"/>
    <n v="24"/>
    <s v="SÁBADO"/>
    <x v="24"/>
    <s v="MONSTER ENERGY 473MLX4"/>
    <n v="420"/>
    <n v="420"/>
    <n v="176.4"/>
  </r>
  <r>
    <x v="4"/>
    <s v="JUNIO"/>
    <n v="24"/>
    <s v="SÁBADO"/>
    <x v="16"/>
    <s v="SAN LUIS CON GAS PET 625MLX6"/>
    <n v="180"/>
    <n v="180"/>
    <n v="75.599999999999994"/>
  </r>
  <r>
    <x v="4"/>
    <s v="JUNIO"/>
    <n v="24"/>
    <s v="SÁBADO"/>
    <x v="6"/>
    <s v="INCA KOLA PET 3LX2 - RF"/>
    <n v="480"/>
    <n v="120"/>
    <n v="81.600000000000009"/>
  </r>
  <r>
    <x v="4"/>
    <s v="JUNIO"/>
    <n v="24"/>
    <s v="SÁBADO"/>
    <x v="2"/>
    <s v="INCA KOLA SIN AZUCAR PET 1.5LX2"/>
    <n v="396"/>
    <n v="198"/>
    <n v="67.320000000000007"/>
  </r>
  <r>
    <x v="4"/>
    <s v="JUNIO"/>
    <n v="24"/>
    <s v="SÁBADO"/>
    <x v="22"/>
    <s v="TWO PACK SCHWEPPES CITRUS PET 1.5LX2"/>
    <n v="792"/>
    <n v="198"/>
    <n v="134.64000000000001"/>
  </r>
  <r>
    <x v="4"/>
    <s v="JUNIO"/>
    <n v="24"/>
    <s v="SÁBADO"/>
    <x v="9"/>
    <s v="TRIPACK FT NAR+FT KI+SP PET 3L"/>
    <n v="720"/>
    <n v="90"/>
    <n v="122.4"/>
  </r>
  <r>
    <x v="4"/>
    <s v="JUNIO"/>
    <n v="24"/>
    <s v="SÁBADO"/>
    <x v="26"/>
    <s v="TRIPACK CC+CC+IK PFM 3LX3 - RFNN"/>
    <n v="90"/>
    <n v="90"/>
    <n v="15.3"/>
  </r>
  <r>
    <x v="4"/>
    <s v="JUNIO"/>
    <n v="24"/>
    <s v="SÁBADO"/>
    <x v="15"/>
    <s v="INCA KOLA VR 625MLX12 - STICKER"/>
    <n v="100"/>
    <n v="50"/>
    <n v="40"/>
  </r>
  <r>
    <x v="4"/>
    <s v="JUNIO"/>
    <n v="24"/>
    <s v="SÁBADO"/>
    <x v="25"/>
    <s v="POWERADE 3MORA+3FRUT PET 473MLX6"/>
    <n v="450"/>
    <n v="225"/>
    <n v="189"/>
  </r>
  <r>
    <x v="4"/>
    <s v="JUNIO"/>
    <n v="24"/>
    <s v="SÁBADO"/>
    <x v="3"/>
    <s v="TWO PACK SCHWEPPES GINGER ALE PET 1.5LX2"/>
    <n v="792"/>
    <n v="198"/>
    <n v="134.64000000000001"/>
  </r>
  <r>
    <x v="4"/>
    <s v="JUNIO"/>
    <n v="24"/>
    <s v="SÁBADO"/>
    <x v="1"/>
    <s v="COCA-COLA SIN AZUCAR PET 1.5LX2"/>
    <n v="1386"/>
    <n v="198"/>
    <n v="235.62"/>
  </r>
  <r>
    <x v="4"/>
    <s v="JUNIO"/>
    <n v="24"/>
    <s v="SÁBADO"/>
    <x v="7"/>
    <s v="COCA-COLA PET 1.5LX2 RF"/>
    <n v="594"/>
    <n v="198"/>
    <n v="100.98"/>
  </r>
  <r>
    <x v="4"/>
    <s v="JUNIO"/>
    <n v="24"/>
    <s v="SÁBADO"/>
    <x v="0"/>
    <s v="SAN LUIS SIN GAS PET2500X6 STICKER"/>
    <n v="48"/>
    <n v="48"/>
    <n v="19.200000000000003"/>
  </r>
  <r>
    <x v="5"/>
    <s v="JUNIO"/>
    <n v="24"/>
    <s v="LUNES"/>
    <x v="5"/>
    <s v="INCA KOLA PET 2.25LX2 RF"/>
    <n v="162"/>
    <n v="162"/>
    <n v="27.540000000000003"/>
  </r>
  <r>
    <x v="5"/>
    <s v="JUNIO"/>
    <n v="24"/>
    <s v="LUNES"/>
    <x v="4"/>
    <s v="COCA-COLA PET 2.25LX2 RF"/>
    <n v="324"/>
    <n v="162"/>
    <n v="55.080000000000005"/>
  </r>
  <r>
    <x v="5"/>
    <s v="JUNIO"/>
    <n v="24"/>
    <s v="LUNES"/>
    <x v="1"/>
    <s v="COCA-COLA SIN AZUCAR PET 1.5LX2"/>
    <n v="396"/>
    <n v="198"/>
    <n v="67.320000000000007"/>
  </r>
  <r>
    <x v="5"/>
    <s v="JUNIO"/>
    <n v="24"/>
    <s v="LUNES"/>
    <x v="6"/>
    <s v="INCA KOLA PET 3LX2 - RF"/>
    <n v="960"/>
    <n v="120"/>
    <n v="163.20000000000002"/>
  </r>
  <r>
    <x v="5"/>
    <s v="JUNIO"/>
    <n v="24"/>
    <s v="LUNES"/>
    <x v="2"/>
    <s v="INCA KOLA SIN AZUCAR PET 1.5LX2"/>
    <n v="1188"/>
    <n v="198"/>
    <n v="201.96"/>
  </r>
  <r>
    <x v="5"/>
    <s v="JUNIO"/>
    <n v="24"/>
    <s v="LUNES"/>
    <x v="22"/>
    <s v="TWO PACK SCHWEPPES CITRUS PET 1.5LX2"/>
    <n v="198"/>
    <n v="198"/>
    <n v="33.660000000000004"/>
  </r>
  <r>
    <x v="5"/>
    <s v="JUNIO"/>
    <n v="24"/>
    <s v="LUNES"/>
    <x v="10"/>
    <s v="TWO PACK CC + IK PFM 3LX2 - RFNN"/>
    <n v="240"/>
    <n v="120"/>
    <n v="40.800000000000004"/>
  </r>
  <r>
    <x v="5"/>
    <s v="JUNIO"/>
    <n v="24"/>
    <s v="LUNES"/>
    <x v="26"/>
    <s v="TRIPACK CC+CC+IK PFM 3LX3 - RFNN"/>
    <n v="270"/>
    <n v="90"/>
    <n v="45.900000000000006"/>
  </r>
  <r>
    <x v="5"/>
    <s v="JUNIO"/>
    <n v="24"/>
    <s v="LUNES"/>
    <x v="11"/>
    <s v="TRIPACK (CC+IK)PFM+FT PET 3LX3 - RFNN"/>
    <n v="720"/>
    <n v="90"/>
    <n v="122.4"/>
  </r>
  <r>
    <x v="5"/>
    <s v="JUNIO"/>
    <n v="24"/>
    <s v="LUNES"/>
    <x v="7"/>
    <s v="COCA-COLA PET 1.5LX2 RF"/>
    <n v="198"/>
    <n v="198"/>
    <n v="33.660000000000004"/>
  </r>
  <r>
    <x v="5"/>
    <s v="JUNIO"/>
    <n v="24"/>
    <s v="LUNES"/>
    <x v="8"/>
    <s v="INCA KOLA PET 1.5LX2 RF"/>
    <n v="594"/>
    <n v="198"/>
    <n v="100.98"/>
  </r>
  <r>
    <x v="5"/>
    <s v="JUNIO"/>
    <n v="24"/>
    <s v="LUNES"/>
    <x v="0"/>
    <s v="SAN LUIS SIN GAS PET2500X6 STICKER"/>
    <n v="576"/>
    <n v="48"/>
    <n v="230.4"/>
  </r>
  <r>
    <x v="5"/>
    <s v="JUNIO"/>
    <n v="24"/>
    <s v="LUNES"/>
    <x v="15"/>
    <s v="INCA KOLA VR 625MLX12 - STICKER"/>
    <n v="100"/>
    <n v="50"/>
    <n v="40"/>
  </r>
  <r>
    <x v="5"/>
    <s v="JUNIO"/>
    <n v="24"/>
    <s v="LUNES"/>
    <x v="1"/>
    <s v="COCA-COLA SIN AZUCAR PET 1.5LX2"/>
    <n v="396"/>
    <n v="198"/>
    <n v="67.320000000000007"/>
  </r>
  <r>
    <x v="5"/>
    <s v="JUNIO"/>
    <n v="24"/>
    <s v="LUNES"/>
    <x v="2"/>
    <s v="INCA KOLA SIN AZUCAR PET 1.5LX2"/>
    <n v="396"/>
    <n v="198"/>
    <n v="67.320000000000007"/>
  </r>
  <r>
    <x v="5"/>
    <s v="JUNIO"/>
    <n v="24"/>
    <s v="LUNES"/>
    <x v="10"/>
    <s v="TWO PACK CC + IK PFM 3LX2 - RFNN"/>
    <n v="720"/>
    <n v="120"/>
    <n v="122.4"/>
  </r>
  <r>
    <x v="5"/>
    <s v="JUNIO"/>
    <n v="24"/>
    <s v="LUNES"/>
    <x v="17"/>
    <s v="TWO PACK CC PFM 3LX2 - RFCC"/>
    <n v="600"/>
    <n v="120"/>
    <n v="102.00000000000001"/>
  </r>
  <r>
    <x v="5"/>
    <s v="JUNIO"/>
    <n v="24"/>
    <s v="LUNES"/>
    <x v="7"/>
    <s v="COCA-COLA PET 1.5LX2 RF"/>
    <n v="198"/>
    <n v="198"/>
    <n v="33.660000000000004"/>
  </r>
  <r>
    <x v="5"/>
    <s v="JUNIO"/>
    <n v="24"/>
    <s v="LUNES"/>
    <x v="27"/>
    <s v="FRUGOS BEBIDA DZ VNR 286MLX6 C/STICKER"/>
    <n v="392"/>
    <n v="350"/>
    <n v="90.160000000000011"/>
  </r>
  <r>
    <x v="5"/>
    <s v="JUNIO"/>
    <n v="24"/>
    <s v="LUNES"/>
    <x v="25"/>
    <s v="POWERADE 3MORA+3FRUT PET 473MLX6"/>
    <n v="225"/>
    <n v="225"/>
    <n v="94.5"/>
  </r>
  <r>
    <x v="5"/>
    <s v="JUNIO"/>
    <n v="24"/>
    <s v="LUNES"/>
    <x v="23"/>
    <s v="TRIPACK CC+IK+IK PFM 3LX3 - RFNN"/>
    <n v="90"/>
    <n v="90"/>
    <n v="15.3"/>
  </r>
  <r>
    <x v="6"/>
    <s v="JUNIO"/>
    <n v="24"/>
    <s v="MARTES"/>
    <x v="1"/>
    <s v="COCA-COLA SIN AZUCAR PET 1.5LX2"/>
    <n v="792"/>
    <n v="198"/>
    <n v="134.64000000000001"/>
  </r>
  <r>
    <x v="6"/>
    <s v="JUNIO"/>
    <n v="24"/>
    <s v="MARTES"/>
    <x v="2"/>
    <s v="INCA KOLA SIN AZUCAR PET 1.5LX2"/>
    <n v="594"/>
    <n v="198"/>
    <n v="100.98"/>
  </r>
  <r>
    <x v="6"/>
    <s v="JUNIO"/>
    <n v="24"/>
    <s v="MARTES"/>
    <x v="7"/>
    <s v="COCA-COLA PET 1.5LX2 RF"/>
    <n v="396"/>
    <n v="198"/>
    <n v="67.320000000000007"/>
  </r>
  <r>
    <x v="6"/>
    <s v="JUNIO"/>
    <n v="24"/>
    <s v="MARTES"/>
    <x v="23"/>
    <s v="TRIPACK CC+IK+IK PFM 3LX3 - RFNN"/>
    <n v="90"/>
    <n v="90"/>
    <n v="15.3"/>
  </r>
  <r>
    <x v="6"/>
    <s v="JUNIO"/>
    <n v="24"/>
    <s v="MARTES"/>
    <x v="0"/>
    <s v="SAN LUIS SIN GAS PET2500X6 STICKER"/>
    <n v="816"/>
    <n v="48"/>
    <n v="326.40000000000003"/>
  </r>
  <r>
    <x v="6"/>
    <s v="JUNIO"/>
    <n v="24"/>
    <s v="MARTES"/>
    <x v="8"/>
    <s v="INCA KOLA PET 1.5LX2 RF"/>
    <n v="396"/>
    <n v="198"/>
    <n v="67.320000000000007"/>
  </r>
  <r>
    <x v="6"/>
    <s v="JUNIO"/>
    <n v="24"/>
    <s v="MARTES"/>
    <x v="10"/>
    <s v="TWO PACK CC + IK PFM 3LX2 - RFNN"/>
    <n v="240"/>
    <n v="120"/>
    <n v="40.800000000000004"/>
  </r>
  <r>
    <x v="6"/>
    <s v="JUNIO"/>
    <n v="24"/>
    <s v="MARTES"/>
    <x v="6"/>
    <s v="INCA KOLA PET 3LX2 - RF"/>
    <n v="240"/>
    <n v="120"/>
    <n v="40.800000000000004"/>
  </r>
  <r>
    <x v="6"/>
    <s v="JUNIO"/>
    <n v="24"/>
    <s v="MARTES"/>
    <x v="3"/>
    <s v="TWO PACK SCHWEPPES GINGER ALE PET 1.5LX2"/>
    <n v="396"/>
    <n v="198"/>
    <n v="67.320000000000007"/>
  </r>
  <r>
    <x v="6"/>
    <s v="JUNIO"/>
    <n v="24"/>
    <s v="MARTES"/>
    <x v="1"/>
    <s v="COCA-COLA SIN AZUCAR PET 1.5LX2"/>
    <n v="1584"/>
    <n v="198"/>
    <n v="269.28000000000003"/>
  </r>
  <r>
    <x v="6"/>
    <s v="JUNIO"/>
    <n v="24"/>
    <s v="MARTES"/>
    <x v="5"/>
    <s v="INCA KOLA PET 2.25LX2 RF"/>
    <n v="162"/>
    <n v="162"/>
    <n v="27.540000000000003"/>
  </r>
  <r>
    <x v="6"/>
    <s v="JUNIO"/>
    <n v="24"/>
    <s v="MARTES"/>
    <x v="12"/>
    <s v="POWERADE ION4 FRUTA PET473X6 MOD (STICK)"/>
    <n v="225"/>
    <n v="225"/>
    <n v="90"/>
  </r>
  <r>
    <x v="6"/>
    <s v="JUNIO"/>
    <n v="24"/>
    <s v="MARTES"/>
    <x v="17"/>
    <s v="TWO PACK CC PFM 3LX2 - RFCC"/>
    <n v="240"/>
    <n v="120"/>
    <n v="40.800000000000004"/>
  </r>
  <r>
    <x v="6"/>
    <s v="JUNIO"/>
    <n v="24"/>
    <s v="MARTES"/>
    <x v="7"/>
    <s v="COCA-COLA PET 1.5LX2 RF"/>
    <n v="792"/>
    <n v="198"/>
    <n v="134.64000000000001"/>
  </r>
  <r>
    <x v="6"/>
    <s v="JUNIO"/>
    <n v="24"/>
    <s v="MARTES"/>
    <x v="16"/>
    <s v="SAN LUIS CON GAS PET 625MLX6"/>
    <n v="180"/>
    <n v="180"/>
    <n v="75.599999999999994"/>
  </r>
  <r>
    <x v="6"/>
    <s v="JUNIO"/>
    <n v="24"/>
    <s v="MARTES"/>
    <x v="28"/>
    <s v="COCA COLA VR 1.5LX8 - STICKER"/>
    <n v="30"/>
    <n v="30"/>
    <n v="6.9"/>
  </r>
  <r>
    <x v="6"/>
    <s v="JUNIO"/>
    <n v="24"/>
    <s v="MARTES"/>
    <x v="25"/>
    <s v="POWERADE 3MORA+3FRUT PET 473MLX6"/>
    <n v="2025"/>
    <n v="225"/>
    <n v="850.5"/>
  </r>
  <r>
    <x v="6"/>
    <s v="JUNIO"/>
    <n v="24"/>
    <s v="MARTES"/>
    <x v="29"/>
    <s v="TWO PACK IK PET 1.5LX2 - CRCG"/>
    <n v="198"/>
    <n v="198"/>
    <n v="33.660000000000004"/>
  </r>
  <r>
    <x v="7"/>
    <s v="JUNIO"/>
    <n v="24"/>
    <s v="MIÉRCOLES"/>
    <x v="1"/>
    <s v="COCA-COLA SIN AZUCAR PET 1.5LX2"/>
    <n v="792"/>
    <n v="198"/>
    <n v="134.64000000000001"/>
  </r>
  <r>
    <x v="7"/>
    <s v="JUNIO"/>
    <n v="24"/>
    <s v="MIÉRCOLES"/>
    <x v="0"/>
    <s v="SAN LUIS SIN GAS PET2500X6 STICKER"/>
    <n v="576"/>
    <n v="48"/>
    <n v="230.4"/>
  </r>
  <r>
    <x v="7"/>
    <s v="JUNIO"/>
    <n v="24"/>
    <s v="MIÉRCOLES"/>
    <x v="16"/>
    <s v="SAN LUIS CON GAS PET 625MLX6"/>
    <n v="540"/>
    <n v="180"/>
    <n v="226.79999999999998"/>
  </r>
  <r>
    <x v="7"/>
    <s v="JUNIO"/>
    <n v="24"/>
    <s v="MIÉRCOLES"/>
    <x v="2"/>
    <s v="INCA KOLA SIN AZUCAR PET 1.5LX2"/>
    <n v="3366"/>
    <n v="198"/>
    <n v="572.22"/>
  </r>
  <r>
    <x v="7"/>
    <s v="JUNIO"/>
    <n v="24"/>
    <s v="MIÉRCOLES"/>
    <x v="15"/>
    <s v="INCA KOLA VR 625MLX12 - STICKER"/>
    <n v="100"/>
    <n v="50"/>
    <n v="40"/>
  </r>
  <r>
    <x v="7"/>
    <s v="JUNIO"/>
    <n v="24"/>
    <s v="MIÉRCOLES"/>
    <x v="5"/>
    <s v="INCA KOLA PET 2.25LX2 RF"/>
    <n v="810"/>
    <n v="162"/>
    <n v="137.70000000000002"/>
  </r>
  <r>
    <x v="7"/>
    <s v="JUNIO"/>
    <n v="24"/>
    <s v="MIÉRCOLES"/>
    <x v="22"/>
    <s v="TWO PACK SCHWEPPES CITRUS PET 1.5LX2"/>
    <n v="180"/>
    <n v="198"/>
    <n v="30.6"/>
  </r>
  <r>
    <x v="7"/>
    <s v="JUNIO"/>
    <n v="24"/>
    <s v="MIÉRCOLES"/>
    <x v="3"/>
    <s v="TWO PACK SCHWEPPES GINGER ALE PET 1.5LX2"/>
    <n v="594"/>
    <n v="198"/>
    <n v="100.98"/>
  </r>
  <r>
    <x v="7"/>
    <s v="JUNIO"/>
    <n v="24"/>
    <s v="MIÉRCOLES"/>
    <x v="9"/>
    <s v="TRIPACK FT NAR+FT KI+SP PET 3L"/>
    <n v="360"/>
    <n v="90"/>
    <n v="61.2"/>
  </r>
  <r>
    <x v="7"/>
    <s v="JUNIO"/>
    <n v="24"/>
    <s v="MIÉRCOLES"/>
    <x v="4"/>
    <s v="COCA-COLA PET 2.25LX2 RF"/>
    <n v="324"/>
    <n v="162"/>
    <n v="55.080000000000005"/>
  </r>
  <r>
    <x v="7"/>
    <s v="JUNIO"/>
    <n v="24"/>
    <s v="MIÉRCOLES"/>
    <x v="8"/>
    <s v="INCA KOLA PET 1.5LX2 RF"/>
    <n v="594"/>
    <n v="198"/>
    <n v="100.98"/>
  </r>
  <r>
    <x v="7"/>
    <s v="JUNIO"/>
    <n v="24"/>
    <s v="MIÉRCOLES"/>
    <x v="17"/>
    <s v="TWO PACK CC PFM 3LX2 - RFCC"/>
    <n v="720"/>
    <n v="120"/>
    <n v="122.4"/>
  </r>
  <r>
    <x v="7"/>
    <s v="JUNIO"/>
    <n v="24"/>
    <s v="MIÉRCOLES"/>
    <x v="10"/>
    <s v="TWO PACK CC + IK PFM 3LX2 - RFNN"/>
    <n v="1200"/>
    <n v="120"/>
    <n v="204.00000000000003"/>
  </r>
  <r>
    <x v="7"/>
    <s v="JUNIO"/>
    <n v="24"/>
    <s v="MIÉRCOLES"/>
    <x v="11"/>
    <s v="TRIPACK (CC+IK)PFM+FT PET 3LX3 - RFNN"/>
    <n v="270"/>
    <n v="90"/>
    <n v="45.900000000000006"/>
  </r>
  <r>
    <x v="7"/>
    <s v="JUNIO"/>
    <n v="24"/>
    <s v="MIÉRCOLES"/>
    <x v="23"/>
    <s v="TRIPACK CC+IK+IK PFM 3LX3 - RFNN"/>
    <n v="180"/>
    <n v="90"/>
    <n v="30.6"/>
  </r>
  <r>
    <x v="7"/>
    <s v="JUNIO"/>
    <n v="24"/>
    <s v="MIÉRCOLES"/>
    <x v="9"/>
    <s v="TRIPACK FT NAR+FT KI+SP PET 3L"/>
    <n v="90"/>
    <n v="90"/>
    <n v="15.3"/>
  </r>
  <r>
    <x v="7"/>
    <s v="JUNIO"/>
    <n v="24"/>
    <s v="MIÉRCOLES"/>
    <x v="1"/>
    <s v="COCA-COLA SIN AZUCAR PET 1.5LX2"/>
    <n v="396"/>
    <n v="198"/>
    <n v="67.320000000000007"/>
  </r>
  <r>
    <x v="7"/>
    <s v="JUNIO"/>
    <n v="24"/>
    <s v="MIÉRCOLES"/>
    <x v="16"/>
    <s v="SAN LUIS CON GAS PET 625MLX6"/>
    <n v="180"/>
    <n v="180"/>
    <n v="75.599999999999994"/>
  </r>
  <r>
    <x v="7"/>
    <s v="JUNIO"/>
    <n v="24"/>
    <s v="MIÉRCOLES"/>
    <x v="8"/>
    <s v="INCA KOLA PET 1.5LX2 RF"/>
    <n v="396"/>
    <n v="198"/>
    <n v="67.320000000000007"/>
  </r>
  <r>
    <x v="7"/>
    <s v="JUNIO"/>
    <n v="24"/>
    <s v="MIÉRCOLES"/>
    <x v="30"/>
    <s v="INCA KOLA SA PET 500MLX6 - C/STICKER"/>
    <n v="750"/>
    <n v="250"/>
    <n v="172.5"/>
  </r>
  <r>
    <x v="7"/>
    <s v="JUNIO"/>
    <n v="24"/>
    <s v="MIÉRCOLES"/>
    <x v="7"/>
    <s v="COCA-COLA PET 1.5LX2 RF"/>
    <n v="396"/>
    <n v="198"/>
    <n v="67.320000000000007"/>
  </r>
  <r>
    <x v="7"/>
    <s v="JUNIO"/>
    <n v="24"/>
    <s v="MIÉRCOLES"/>
    <x v="1"/>
    <s v="COCA-COLA SIN AZUCAR PET 1.5LX2"/>
    <n v="396"/>
    <n v="198"/>
    <n v="67.320000000000007"/>
  </r>
  <r>
    <x v="7"/>
    <s v="JUNIO"/>
    <n v="24"/>
    <s v="MIÉRCOLES"/>
    <x v="16"/>
    <s v="SAN LUIS CON GAS PET 625MLX6"/>
    <n v="180"/>
    <n v="180"/>
    <n v="75.599999999999994"/>
  </r>
  <r>
    <x v="7"/>
    <s v="JUNIO"/>
    <n v="24"/>
    <s v="MIÉRCOLES"/>
    <x v="8"/>
    <s v="INCA KOLA PET 1.5LX2 RF"/>
    <n v="396"/>
    <n v="198"/>
    <n v="67.320000000000007"/>
  </r>
  <r>
    <x v="7"/>
    <s v="JUNIO"/>
    <n v="24"/>
    <s v="MIÉRCOLES"/>
    <x v="30"/>
    <s v="INCA KOLA SA PET 500MLX6 - C/STICKER"/>
    <n v="750"/>
    <n v="250"/>
    <n v="172.5"/>
  </r>
  <r>
    <x v="7"/>
    <s v="JUNIO"/>
    <n v="24"/>
    <s v="MIÉRCOLES"/>
    <x v="7"/>
    <s v="COCA-COLA PET 1.5LX2 RF"/>
    <n v="396"/>
    <n v="198"/>
    <n v="67.320000000000007"/>
  </r>
  <r>
    <x v="8"/>
    <s v="JUNIO"/>
    <n v="24"/>
    <s v="JUEVES"/>
    <x v="1"/>
    <s v="COCA-COLA SIN AZUCAR PET 1.5LX2"/>
    <n v="396"/>
    <n v="198"/>
    <n v="67.320000000000007"/>
  </r>
  <r>
    <x v="8"/>
    <s v="JUNIO"/>
    <n v="24"/>
    <s v="JUEVES"/>
    <x v="17"/>
    <s v="TWO PACK CC PFM 3LX2 - RFCC"/>
    <n v="240"/>
    <n v="120"/>
    <n v="40.800000000000004"/>
  </r>
  <r>
    <x v="8"/>
    <s v="JUNIO"/>
    <n v="24"/>
    <s v="JUEVES"/>
    <x v="24"/>
    <s v="MONSTER ENERGY 473MLX4"/>
    <n v="420"/>
    <n v="420"/>
    <n v="176.4"/>
  </r>
  <r>
    <x v="8"/>
    <s v="JUNIO"/>
    <n v="24"/>
    <s v="JUEVES"/>
    <x v="30"/>
    <s v="INCA KOLA SA PET 500MLX6 - C/STICKER"/>
    <n v="250"/>
    <n v="250"/>
    <n v="57.5"/>
  </r>
  <r>
    <x v="8"/>
    <s v="JUNIO"/>
    <n v="24"/>
    <s v="JUEVES"/>
    <x v="1"/>
    <s v="COCA-COLA SIN AZUCAR PET 1.5LX2"/>
    <n v="1584"/>
    <n v="198"/>
    <n v="269.28000000000003"/>
  </r>
  <r>
    <x v="8"/>
    <s v="JUNIO"/>
    <n v="24"/>
    <s v="JUEVES"/>
    <x v="11"/>
    <s v="TRIPACK (CC+IK)PFM+FT PET 3LX3 - RFNN"/>
    <n v="1440"/>
    <n v="90"/>
    <n v="244.8"/>
  </r>
  <r>
    <x v="8"/>
    <s v="JUNIO"/>
    <n v="24"/>
    <s v="JUEVES"/>
    <x v="6"/>
    <s v="INCA KOLA PET 3LX2 - RF"/>
    <n v="240"/>
    <n v="120"/>
    <n v="40.800000000000004"/>
  </r>
  <r>
    <x v="8"/>
    <s v="JUNIO"/>
    <n v="24"/>
    <s v="JUEVES"/>
    <x v="22"/>
    <s v="TWO PACK SCHWEPPES CITRUS PET 1.5LX2"/>
    <n v="720"/>
    <n v="198"/>
    <n v="122.4"/>
  </r>
  <r>
    <x v="8"/>
    <s v="JUNIO"/>
    <n v="24"/>
    <s v="JUEVES"/>
    <x v="10"/>
    <s v="TWO PACK CC + IK PFM 3LX2 - RFNN"/>
    <n v="960"/>
    <n v="120"/>
    <n v="163.20000000000002"/>
  </r>
  <r>
    <x v="8"/>
    <s v="JUNIO"/>
    <n v="24"/>
    <s v="JUEVES"/>
    <x v="7"/>
    <s v="COCA-COLA PET 1.5LX2 RF"/>
    <n v="1188"/>
    <n v="198"/>
    <n v="201.96"/>
  </r>
  <r>
    <x v="8"/>
    <s v="JUNIO"/>
    <n v="24"/>
    <s v="JUEVES"/>
    <x v="24"/>
    <s v="MONSTER ENERGY 473MLX4"/>
    <n v="1680"/>
    <n v="420"/>
    <n v="705.6"/>
  </r>
  <r>
    <x v="8"/>
    <s v="JUNIO"/>
    <n v="24"/>
    <s v="JUEVES"/>
    <x v="0"/>
    <s v="SAN LUIS SIN GAS PET2500X6 STICKER"/>
    <n v="192"/>
    <n v="48"/>
    <n v="76.800000000000011"/>
  </r>
  <r>
    <x v="8"/>
    <s v="JUNIO"/>
    <n v="24"/>
    <s v="JUEVES"/>
    <x v="25"/>
    <s v="POWERADE 3MORA+3FRUT PET 473MLX6"/>
    <n v="1350"/>
    <n v="225"/>
    <n v="567"/>
  </r>
  <r>
    <x v="8"/>
    <s v="JUNIO"/>
    <n v="24"/>
    <s v="JUEVES"/>
    <x v="30"/>
    <s v="INCA KOLA SA PET 500MLX6 - C/STICKER"/>
    <n v="1000"/>
    <n v="250"/>
    <n v="230"/>
  </r>
  <r>
    <x v="9"/>
    <s v="JUNIO"/>
    <n v="24"/>
    <s v="VIERNES"/>
    <x v="1"/>
    <s v="COCA-COLA SIN AZUCAR PET 1.5LX2"/>
    <n v="396"/>
    <n v="198"/>
    <n v="67.320000000000007"/>
  </r>
  <r>
    <x v="9"/>
    <s v="JUNIO"/>
    <n v="24"/>
    <s v="VIERNES"/>
    <x v="4"/>
    <s v="COCA-COLA PET 2.25LX2 RF"/>
    <n v="324"/>
    <n v="162"/>
    <n v="55.080000000000005"/>
  </r>
  <r>
    <x v="9"/>
    <s v="JUNIO"/>
    <n v="24"/>
    <s v="VIERNES"/>
    <x v="6"/>
    <s v="INCA KOLA PET 3LX2 - RF"/>
    <n v="2280"/>
    <n v="120"/>
    <n v="387.6"/>
  </r>
  <r>
    <x v="9"/>
    <s v="JUNIO"/>
    <n v="24"/>
    <s v="VIERNES"/>
    <x v="9"/>
    <s v="TRIPACK FT NAR+FT KI+SP PET 3L"/>
    <n v="450"/>
    <n v="90"/>
    <n v="76.5"/>
  </r>
  <r>
    <x v="9"/>
    <s v="JUNIO"/>
    <n v="24"/>
    <s v="VIERNES"/>
    <x v="10"/>
    <s v="TWO PACK CC + IK PFM 3LX2 - RFNN"/>
    <n v="2640"/>
    <n v="120"/>
    <n v="448.8"/>
  </r>
  <r>
    <x v="9"/>
    <s v="JUNIO"/>
    <n v="24"/>
    <s v="VIERNES"/>
    <x v="11"/>
    <s v="TRIPACK (CC+IK)PFM+FT PET 3LX3 - RFNN"/>
    <n v="180"/>
    <n v="90"/>
    <n v="30.6"/>
  </r>
  <r>
    <x v="9"/>
    <s v="JUNIO"/>
    <n v="24"/>
    <s v="VIERNES"/>
    <x v="26"/>
    <s v="TRIPACK CC+CC+IK PFM 3LX3 - RFNN"/>
    <n v="180"/>
    <n v="90"/>
    <n v="30.6"/>
  </r>
  <r>
    <x v="9"/>
    <s v="JUNIO"/>
    <n v="24"/>
    <s v="VIERNES"/>
    <x v="17"/>
    <s v="TWO PACK CC PFM 3LX2 - RFCC"/>
    <n v="960"/>
    <n v="120"/>
    <n v="163.20000000000002"/>
  </r>
  <r>
    <x v="9"/>
    <s v="JUNIO"/>
    <n v="24"/>
    <s v="VIERNES"/>
    <x v="11"/>
    <s v="TRIPACK (CC+IK)PFM+FT PET 3LX3 - RFNN"/>
    <n v="450"/>
    <n v="90"/>
    <n v="76.5"/>
  </r>
  <r>
    <x v="9"/>
    <s v="JUNIO"/>
    <n v="24"/>
    <s v="VIERNES"/>
    <x v="7"/>
    <s v="COCA-COLA PET 1.5LX2 RF"/>
    <n v="396"/>
    <n v="198"/>
    <n v="67.320000000000007"/>
  </r>
  <r>
    <x v="9"/>
    <s v="JUNIO"/>
    <n v="24"/>
    <s v="VIERNES"/>
    <x v="24"/>
    <s v="MONSTER ENERGY 473MLX4"/>
    <n v="1680"/>
    <n v="420"/>
    <n v="705.6"/>
  </r>
  <r>
    <x v="9"/>
    <s v="JUNIO"/>
    <n v="24"/>
    <s v="VIERNES"/>
    <x v="8"/>
    <s v="INCA KOLA PET 1.5LX2 RF"/>
    <n v="792"/>
    <n v="198"/>
    <n v="134.64000000000001"/>
  </r>
  <r>
    <x v="9"/>
    <s v="JUNIO"/>
    <n v="24"/>
    <s v="VIERNES"/>
    <x v="16"/>
    <s v="SAN LUIS CON GAS PET 625MLX6"/>
    <n v="720"/>
    <n v="180"/>
    <n v="302.39999999999998"/>
  </r>
  <r>
    <x v="9"/>
    <s v="JUNIO"/>
    <n v="24"/>
    <s v="VIERNES"/>
    <x v="0"/>
    <s v="SAN LUIS SIN GAS PET2500X6 STICKER"/>
    <n v="288"/>
    <n v="48"/>
    <n v="115.2"/>
  </r>
  <r>
    <x v="9"/>
    <s v="JUNIO"/>
    <n v="24"/>
    <s v="VIERNES"/>
    <x v="27"/>
    <s v="FRUGOS BEBIDA DZ VNR 286MLX6 C/STICKER"/>
    <n v="350"/>
    <n v="350"/>
    <n v="80.5"/>
  </r>
  <r>
    <x v="9"/>
    <s v="JUNIO"/>
    <n v="24"/>
    <s v="VIERNES"/>
    <x v="15"/>
    <s v="INCA KOLA VR 625MLX12 - STICKER"/>
    <n v="150"/>
    <n v="50"/>
    <n v="60"/>
  </r>
  <r>
    <x v="9"/>
    <s v="JUNIO"/>
    <n v="24"/>
    <s v="VIERNES"/>
    <x v="13"/>
    <s v="INCA KOLA VR 1.5LX8 - STICKER"/>
    <n v="30"/>
    <n v="30"/>
    <n v="12"/>
  </r>
  <r>
    <x v="9"/>
    <s v="JUNIO"/>
    <n v="24"/>
    <s v="VIERNES"/>
    <x v="31"/>
    <s v="CC+CC 1.5x2"/>
    <n v="150"/>
    <n v="90"/>
    <n v="25.500000000000004"/>
  </r>
  <r>
    <x v="9"/>
    <s v="JUNIO"/>
    <n v="24"/>
    <s v="VIERNES"/>
    <x v="25"/>
    <s v="POWERADE 3MORA+3FRUT PET 473MLX6"/>
    <n v="225"/>
    <n v="225"/>
    <n v="94.5"/>
  </r>
  <r>
    <x v="9"/>
    <s v="JUNIO"/>
    <n v="24"/>
    <s v="VIERNES"/>
    <x v="12"/>
    <s v="POWERADE ION4 FRUTA PET473X6 MOD (STICK)"/>
    <n v="225"/>
    <n v="225"/>
    <n v="90"/>
  </r>
  <r>
    <x v="9"/>
    <s v="JUNIO"/>
    <n v="24"/>
    <s v="VIERNES"/>
    <x v="2"/>
    <s v="INCA KOLA SIN AZUCAR PET 1.5LX2"/>
    <n v="594"/>
    <n v="198"/>
    <n v="100.98"/>
  </r>
  <r>
    <x v="9"/>
    <s v="JUNIO"/>
    <n v="24"/>
    <s v="VIERNES"/>
    <x v="24"/>
    <s v="MONSTER ENERGY 473MLX4"/>
    <n v="1260"/>
    <n v="420"/>
    <n v="529.19999999999993"/>
  </r>
  <r>
    <x v="9"/>
    <s v="JUNIO"/>
    <n v="24"/>
    <s v="VIERNES"/>
    <x v="16"/>
    <s v="SAN LUIS CON GAS PET 625MLX6"/>
    <n v="180"/>
    <n v="180"/>
    <n v="75.599999999999994"/>
  </r>
  <r>
    <x v="10"/>
    <s v="JUNIO"/>
    <n v="25"/>
    <s v="SÁBADO"/>
    <x v="0"/>
    <s v="SAN LUIS SIN GAS PET2500X6 STICKER"/>
    <n v="96"/>
    <n v="48"/>
    <n v="38.400000000000006"/>
  </r>
  <r>
    <x v="10"/>
    <s v="JUNIO"/>
    <n v="25"/>
    <s v="SÁBADO"/>
    <x v="27"/>
    <s v="FRUGOS BEBIDA DZ VNR 286MLX6 C/STICKER"/>
    <n v="350"/>
    <n v="350"/>
    <n v="80.5"/>
  </r>
  <r>
    <x v="10"/>
    <s v="JUNIO"/>
    <n v="25"/>
    <s v="SÁBADO"/>
    <x v="24"/>
    <s v="MONSTER ENERGY 473MLX4"/>
    <n v="840"/>
    <n v="420"/>
    <n v="352.8"/>
  </r>
  <r>
    <x v="10"/>
    <s v="JUNIO"/>
    <n v="25"/>
    <s v="SÁBADO"/>
    <x v="1"/>
    <s v="COCA-COLA SIN AZUCAR PET 1.5LX2"/>
    <n v="2970"/>
    <n v="198"/>
    <n v="504.90000000000003"/>
  </r>
  <r>
    <x v="10"/>
    <s v="JUNIO"/>
    <n v="25"/>
    <s v="SÁBADO"/>
    <x v="2"/>
    <s v="INCA KOLA SIN AZUCAR PET 1.5LX2"/>
    <n v="1980"/>
    <n v="198"/>
    <n v="336.6"/>
  </r>
  <r>
    <x v="10"/>
    <s v="JUNIO"/>
    <n v="25"/>
    <s v="SÁBADO"/>
    <x v="20"/>
    <s v="TRIPACK (FT NAR+SP)PET+IK RF PFM 3L"/>
    <n v="180"/>
    <n v="90"/>
    <n v="30.6"/>
  </r>
  <r>
    <x v="10"/>
    <s v="JUNIO"/>
    <n v="25"/>
    <s v="SÁBADO"/>
    <x v="22"/>
    <s v="TWO PACK SCHWEPPES CITRUS PET 1.5LX2"/>
    <n v="1188"/>
    <n v="198"/>
    <n v="201.96"/>
  </r>
  <r>
    <x v="10"/>
    <s v="JUNIO"/>
    <n v="25"/>
    <s v="SÁBADO"/>
    <x v="3"/>
    <s v="TWO PACK SCHWEPPES GINGER ALE PET 1.5LX2"/>
    <n v="396"/>
    <n v="198"/>
    <n v="67.320000000000007"/>
  </r>
  <r>
    <x v="10"/>
    <s v="JUNIO"/>
    <n v="25"/>
    <s v="SÁBADO"/>
    <x v="9"/>
    <s v="TRIPACK FT NAR+FT KI+SP PET 3L"/>
    <n v="720"/>
    <n v="90"/>
    <n v="122.4"/>
  </r>
  <r>
    <x v="10"/>
    <s v="JUNIO"/>
    <n v="25"/>
    <s v="SÁBADO"/>
    <x v="4"/>
    <s v="COCA-COLA PET 2.25LX2 RF"/>
    <n v="162"/>
    <n v="162"/>
    <n v="27.540000000000003"/>
  </r>
  <r>
    <x v="10"/>
    <s v="JUNIO"/>
    <n v="25"/>
    <s v="SÁBADO"/>
    <x v="26"/>
    <s v="TRIPACK CC+CC+IK PFM 3LX3 - RFNN"/>
    <n v="180"/>
    <n v="90"/>
    <n v="30.6"/>
  </r>
  <r>
    <x v="10"/>
    <s v="JUNIO"/>
    <n v="25"/>
    <s v="SÁBADO"/>
    <x v="10"/>
    <s v="TWO PACK CC + IK PFM 3LX2 - RFNN"/>
    <n v="960"/>
    <n v="120"/>
    <n v="163.20000000000002"/>
  </r>
  <r>
    <x v="10"/>
    <s v="JUNIO"/>
    <n v="25"/>
    <s v="SÁBADO"/>
    <x v="17"/>
    <s v="TWO PACK CC PFM 3LX2 - RFCC"/>
    <n v="480"/>
    <n v="120"/>
    <n v="81.600000000000009"/>
  </r>
  <r>
    <x v="10"/>
    <s v="JUNIO"/>
    <n v="25"/>
    <s v="SÁBADO"/>
    <x v="23"/>
    <s v="TRIPACK CC+IK+IK PFM 3LX3 - RFNN"/>
    <n v="180"/>
    <n v="90"/>
    <n v="30.6"/>
  </r>
  <r>
    <x v="10"/>
    <s v="JUNIO"/>
    <n v="25"/>
    <s v="SÁBADO"/>
    <x v="11"/>
    <s v="TRIPACK (CC+IK)PFM+FT PET 3LX3 - RFNN"/>
    <n v="720"/>
    <n v="90"/>
    <n v="122.4"/>
  </r>
  <r>
    <x v="10"/>
    <s v="JUNIO"/>
    <n v="25"/>
    <s v="SÁBADO"/>
    <x v="7"/>
    <s v="COCA-COLA PET 1.5LX2 RF"/>
    <n v="396"/>
    <n v="198"/>
    <n v="67.320000000000007"/>
  </r>
  <r>
    <x v="10"/>
    <s v="JUNIO"/>
    <n v="25"/>
    <s v="SÁBADO"/>
    <x v="16"/>
    <s v="SAN LUIS CON GAS PET 625MLX6"/>
    <n v="900"/>
    <n v="180"/>
    <n v="378"/>
  </r>
  <r>
    <x v="11"/>
    <s v="JUNIO"/>
    <n v="25"/>
    <s v="DOMINGO"/>
    <x v="1"/>
    <s v="COCA-COLA SIN AZUCAR PET 1.5LX2"/>
    <n v="3168"/>
    <n v="198"/>
    <n v="538.56000000000006"/>
  </r>
  <r>
    <x v="11"/>
    <s v="JUNIO"/>
    <n v="25"/>
    <s v="DOMINGO"/>
    <x v="2"/>
    <s v="INCA KOLA SIN AZUCAR PET 1.5LX2"/>
    <n v="2970"/>
    <n v="198"/>
    <n v="504.90000000000003"/>
  </r>
  <r>
    <x v="11"/>
    <s v="JUNIO"/>
    <n v="25"/>
    <s v="DOMINGO"/>
    <x v="22"/>
    <s v="TWO PACK SCHWEPPES CITRUS PET 1.5LX2"/>
    <n v="1584"/>
    <n v="198"/>
    <n v="269.28000000000003"/>
  </r>
  <r>
    <x v="11"/>
    <s v="JUNIO"/>
    <n v="25"/>
    <s v="DOMINGO"/>
    <x v="3"/>
    <s v="TWO PACK SCHWEPPES GINGER ALE PET 1.5LX2"/>
    <n v="198"/>
    <n v="198"/>
    <n v="33.660000000000004"/>
  </r>
  <r>
    <x v="11"/>
    <s v="JUNIO"/>
    <n v="25"/>
    <s v="DOMINGO"/>
    <x v="7"/>
    <s v="COCA-COLA PET 1.5LX2 RF"/>
    <n v="1584"/>
    <n v="198"/>
    <n v="269.28000000000003"/>
  </r>
  <r>
    <x v="11"/>
    <s v="JUNIO"/>
    <n v="25"/>
    <s v="DOMINGO"/>
    <x v="8"/>
    <s v="INCA KOLA PET 1.5LX2 RF"/>
    <n v="990"/>
    <n v="198"/>
    <n v="168.3"/>
  </r>
  <r>
    <x v="11"/>
    <s v="JUNIO"/>
    <n v="25"/>
    <s v="DOMINGO"/>
    <x v="4"/>
    <s v="COCA-COLA PET 2.25LX2 RF"/>
    <n v="324"/>
    <n v="162"/>
    <n v="55.080000000000005"/>
  </r>
  <r>
    <x v="11"/>
    <s v="JUNIO"/>
    <n v="25"/>
    <s v="DOMINGO"/>
    <x v="25"/>
    <s v="POWERADE 3MORA+3FRUT PET 473MLX6"/>
    <n v="675"/>
    <n v="225"/>
    <n v="283.5"/>
  </r>
  <r>
    <x v="11"/>
    <s v="JUNIO"/>
    <n v="25"/>
    <s v="DOMINGO"/>
    <x v="24"/>
    <s v="MONSTER ENERGY 473MLX4"/>
    <n v="420"/>
    <n v="420"/>
    <n v="176.4"/>
  </r>
  <r>
    <x v="11"/>
    <s v="JUNIO"/>
    <n v="25"/>
    <s v="DOMINGO"/>
    <x v="16"/>
    <s v="SAN LUIS CON GAS PET 625MLX6"/>
    <n v="360"/>
    <n v="180"/>
    <n v="151.19999999999999"/>
  </r>
  <r>
    <x v="11"/>
    <s v="JUNIO"/>
    <n v="25"/>
    <s v="DOMINGO"/>
    <x v="15"/>
    <s v="INCA KOLA VR 625MLX12 - STICKER"/>
    <n v="50"/>
    <n v="50"/>
    <n v="20"/>
  </r>
  <r>
    <x v="11"/>
    <s v="JUNIO"/>
    <n v="25"/>
    <s v="DOMINGO"/>
    <x v="14"/>
    <s v="INCA KOLA VR 296MLX24 - STICKER"/>
    <n v="40"/>
    <n v="40"/>
    <n v="9.2000000000000011"/>
  </r>
  <r>
    <x v="12"/>
    <s v="JUNIO"/>
    <n v="25"/>
    <s v="LUNES"/>
    <x v="20"/>
    <s v="TRIPACK (FT NAR+SP)PET+IK RF PFM 3L"/>
    <n v="450"/>
    <n v="90"/>
    <n v="76.5"/>
  </r>
  <r>
    <x v="12"/>
    <s v="JUNIO"/>
    <n v="25"/>
    <s v="LUNES"/>
    <x v="4"/>
    <s v="COCA-COLA PET 2.25LX2 RF"/>
    <n v="324"/>
    <n v="162"/>
    <n v="55.080000000000005"/>
  </r>
  <r>
    <x v="12"/>
    <s v="JUNIO"/>
    <n v="25"/>
    <s v="LUNES"/>
    <x v="28"/>
    <s v="COCA COLA VR 1.5LX8 - STICKER"/>
    <n v="30"/>
    <n v="30"/>
    <n v="6.9"/>
  </r>
  <r>
    <x v="12"/>
    <s v="JUNIO"/>
    <n v="25"/>
    <s v="LUNES"/>
    <x v="13"/>
    <s v="INCA KOLA VR 1.5LX8 - STICKER"/>
    <n v="60"/>
    <n v="30"/>
    <n v="24"/>
  </r>
  <r>
    <x v="12"/>
    <s v="JUNIO"/>
    <n v="25"/>
    <s v="LUNES"/>
    <x v="15"/>
    <s v="INCA KOLA VR 625MLX12 - STICKER"/>
    <n v="250"/>
    <n v="50"/>
    <n v="100"/>
  </r>
  <r>
    <x v="12"/>
    <s v="JUNIO"/>
    <n v="25"/>
    <s v="LUNES"/>
    <x v="0"/>
    <s v="SAN LUIS SIN GAS PET2500X6 STICKER"/>
    <n v="480"/>
    <n v="48"/>
    <n v="192"/>
  </r>
  <r>
    <x v="12"/>
    <s v="JUNIO"/>
    <n v="25"/>
    <s v="LUNES"/>
    <x v="24"/>
    <s v="MONSTER ENERGY 473MLX4"/>
    <n v="1680"/>
    <n v="420"/>
    <n v="705.6"/>
  </r>
  <r>
    <x v="12"/>
    <s v="JUNIO"/>
    <n v="25"/>
    <s v="LUNES"/>
    <x v="16"/>
    <s v="SAN LUIS CON GAS PET 625MLX6"/>
    <n v="900"/>
    <n v="180"/>
    <n v="378"/>
  </r>
  <r>
    <x v="12"/>
    <s v="JUNIO"/>
    <n v="25"/>
    <s v="LUNES"/>
    <x v="17"/>
    <s v="TWO PACK CC PFM 3LX2 - RFCC"/>
    <n v="1800"/>
    <n v="120"/>
    <n v="306"/>
  </r>
  <r>
    <x v="12"/>
    <s v="JUNIO"/>
    <n v="25"/>
    <s v="LUNES"/>
    <x v="7"/>
    <s v="COCA-COLA PET 1.5LX2 RF"/>
    <n v="594"/>
    <n v="198"/>
    <n v="100.98"/>
  </r>
  <r>
    <x v="12"/>
    <s v="JUNIO"/>
    <n v="25"/>
    <s v="LUNES"/>
    <x v="8"/>
    <s v="INCA KOLA PET 1.5LX2 RF"/>
    <n v="792"/>
    <n v="198"/>
    <n v="134.64000000000001"/>
  </r>
  <r>
    <x v="12"/>
    <s v="JUNIO"/>
    <n v="25"/>
    <s v="LUNES"/>
    <x v="10"/>
    <s v="TWO PACK CC + IK PFM 3LX2 - RFNN"/>
    <n v="1920"/>
    <n v="120"/>
    <n v="326.40000000000003"/>
  </r>
  <r>
    <x v="12"/>
    <s v="JUNIO"/>
    <n v="25"/>
    <s v="LUNES"/>
    <x v="23"/>
    <s v="TRIPACK CC+IK+IK PFM 3LX3 - RFNN"/>
    <n v="990"/>
    <n v="90"/>
    <n v="168.3"/>
  </r>
  <r>
    <x v="12"/>
    <s v="JUNIO"/>
    <n v="25"/>
    <s v="LUNES"/>
    <x v="11"/>
    <s v="TRIPACK (CC+IK)PFM+FT PET 3LX3 - RFNN"/>
    <n v="720"/>
    <n v="90"/>
    <n v="122.4"/>
  </r>
  <r>
    <x v="12"/>
    <s v="JUNIO"/>
    <n v="25"/>
    <s v="LUNES"/>
    <x v="5"/>
    <s v="INCA KOLA PET 2.25LX2 RF"/>
    <n v="324"/>
    <n v="162"/>
    <n v="55.080000000000005"/>
  </r>
  <r>
    <x v="13"/>
    <s v="JUNIO"/>
    <n v="25"/>
    <s v="MARTES"/>
    <x v="28"/>
    <s v="COCA COLA VR 1.5LX8 - STICKER"/>
    <n v="30"/>
    <n v="30"/>
    <n v="6.9"/>
  </r>
  <r>
    <x v="13"/>
    <s v="JUNIO"/>
    <n v="25"/>
    <s v="MARTES"/>
    <x v="13"/>
    <s v="INCA KOLA VR 1.5LX8 - STICKER"/>
    <n v="90"/>
    <n v="30"/>
    <n v="36"/>
  </r>
  <r>
    <x v="13"/>
    <s v="JUNIO"/>
    <n v="25"/>
    <s v="MARTES"/>
    <x v="26"/>
    <s v="TRIPACK CC+CC+IK PFM 3LX3 - RFNN"/>
    <n v="540"/>
    <n v="90"/>
    <n v="91.800000000000011"/>
  </r>
  <r>
    <x v="13"/>
    <s v="JUNIO"/>
    <n v="25"/>
    <s v="MARTES"/>
    <x v="17"/>
    <s v="TWO PACK CC PFM 3LX2 - RFCC"/>
    <n v="480"/>
    <n v="120"/>
    <n v="81.600000000000009"/>
  </r>
  <r>
    <x v="13"/>
    <s v="JUNIO"/>
    <n v="25"/>
    <s v="MARTES"/>
    <x v="11"/>
    <s v="TRIPACK (CC+IK)PFM+FT PET 3LX3 - RFNN"/>
    <n v="540"/>
    <n v="90"/>
    <n v="91.800000000000011"/>
  </r>
  <r>
    <x v="13"/>
    <s v="JUNIO"/>
    <n v="25"/>
    <s v="MARTES"/>
    <x v="24"/>
    <s v="MONSTER ENERGY 473MLX4"/>
    <n v="2100"/>
    <n v="420"/>
    <n v="882"/>
  </r>
  <r>
    <x v="13"/>
    <s v="JUNIO"/>
    <n v="25"/>
    <s v="MARTES"/>
    <x v="0"/>
    <s v="SAN LUIS SIN GAS PET2500X6 STICKER"/>
    <n v="672"/>
    <n v="48"/>
    <n v="268.8"/>
  </r>
  <r>
    <x v="13"/>
    <s v="JUNIO"/>
    <n v="25"/>
    <s v="MARTES"/>
    <x v="2"/>
    <s v="INCA KOLA SIN AZUCAR PET 1.5LX2"/>
    <n v="1584"/>
    <n v="198"/>
    <n v="269.28000000000003"/>
  </r>
  <r>
    <x v="13"/>
    <s v="JUNIO"/>
    <n v="25"/>
    <s v="MARTES"/>
    <x v="30"/>
    <s v="INCA KOLA SA PET 500MLX6 - C/STICKER"/>
    <n v="250"/>
    <n v="250"/>
    <n v="57.5"/>
  </r>
  <r>
    <x v="13"/>
    <s v="JUNIO"/>
    <n v="25"/>
    <s v="MARTES"/>
    <x v="15"/>
    <s v="INCA KOLA VR 625MLX12 - STICKER"/>
    <n v="100"/>
    <n v="50"/>
    <n v="40"/>
  </r>
  <r>
    <x v="13"/>
    <s v="JUNIO"/>
    <n v="25"/>
    <s v="MARTES"/>
    <x v="6"/>
    <s v="INCA KOLA PET 3LX2 - RF"/>
    <n v="1080"/>
    <n v="120"/>
    <n v="183.60000000000002"/>
  </r>
  <r>
    <x v="13"/>
    <s v="JUNIO"/>
    <n v="25"/>
    <s v="MARTES"/>
    <x v="5"/>
    <s v="INCA KOLA PET 2.25LX2 RF"/>
    <n v="162"/>
    <n v="162"/>
    <n v="27.540000000000003"/>
  </r>
  <r>
    <x v="13"/>
    <s v="JUNIO"/>
    <n v="25"/>
    <s v="MARTES"/>
    <x v="22"/>
    <s v="TWO PACK SCHWEPPES CITRUS PET 1.5LX2"/>
    <n v="198"/>
    <n v="198"/>
    <n v="33.660000000000004"/>
  </r>
  <r>
    <x v="13"/>
    <s v="JUNIO"/>
    <n v="25"/>
    <s v="MARTES"/>
    <x v="4"/>
    <s v="COCA-COLA PET 2.25LX2 RF"/>
    <n v="648"/>
    <n v="162"/>
    <n v="110.16000000000001"/>
  </r>
  <r>
    <x v="13"/>
    <s v="JUNIO"/>
    <n v="25"/>
    <s v="MARTES"/>
    <x v="7"/>
    <s v="COCA-COLA PET 1.5LX2 RF"/>
    <n v="396"/>
    <n v="198"/>
    <n v="67.320000000000007"/>
  </r>
  <r>
    <x v="13"/>
    <s v="JUNIO"/>
    <n v="25"/>
    <s v="MARTES"/>
    <x v="8"/>
    <s v="INCA KOLA PET 1.5LX2 RF"/>
    <n v="1180"/>
    <n v="198"/>
    <n v="200.60000000000002"/>
  </r>
  <r>
    <x v="13"/>
    <s v="JUNIO"/>
    <n v="25"/>
    <s v="MARTES"/>
    <x v="17"/>
    <s v="TWO PACK CC PFM 3LX2 - RFCC"/>
    <n v="840"/>
    <n v="120"/>
    <n v="142.80000000000001"/>
  </r>
  <r>
    <x v="13"/>
    <s v="JUNIO"/>
    <n v="25"/>
    <s v="MARTES"/>
    <x v="10"/>
    <s v="TWO PACK CC + IK PFM 3LX2 - RFNN"/>
    <n v="960"/>
    <n v="120"/>
    <n v="163.20000000000002"/>
  </r>
  <r>
    <x v="13"/>
    <s v="JUNIO"/>
    <n v="25"/>
    <s v="MARTES"/>
    <x v="11"/>
    <s v="TRIPACK (CC+IK)PFM+FT PET 3LX3 - RFNN"/>
    <n v="720"/>
    <n v="90"/>
    <n v="122.4"/>
  </r>
  <r>
    <x v="13"/>
    <s v="JUNIO"/>
    <n v="25"/>
    <s v="MARTES"/>
    <x v="23"/>
    <s v="TRIPACK CC+IK+IK PFM 3LX3 - RFNN"/>
    <n v="360"/>
    <n v="90"/>
    <n v="61.2"/>
  </r>
  <r>
    <x v="13"/>
    <s v="JUNIO"/>
    <n v="25"/>
    <s v="MARTES"/>
    <x v="26"/>
    <s v="TRIPACK CC+CC+IK PFM 3LX3 - RFNN"/>
    <n v="270"/>
    <n v="90"/>
    <n v="45.900000000000006"/>
  </r>
  <r>
    <x v="13"/>
    <s v="JUNIO"/>
    <n v="25"/>
    <s v="MARTES"/>
    <x v="0"/>
    <s v="SAN LUIS SIN GAS PET2500X6 STICKER"/>
    <n v="336"/>
    <n v="48"/>
    <n v="134.4"/>
  </r>
  <r>
    <x v="13"/>
    <s v="JUNIO"/>
    <n v="25"/>
    <s v="MARTES"/>
    <x v="23"/>
    <s v="TRIPACK CC+IK+IK PFM 3LX3 - RFNN"/>
    <n v="180"/>
    <n v="90"/>
    <n v="30.6"/>
  </r>
  <r>
    <x v="13"/>
    <s v="JUNIO"/>
    <n v="25"/>
    <s v="MARTES"/>
    <x v="6"/>
    <s v="INCA KOLA PET 3LX2 - RF"/>
    <n v="1440"/>
    <n v="120"/>
    <n v="244.8"/>
  </r>
  <r>
    <x v="13"/>
    <s v="JUNIO"/>
    <n v="25"/>
    <s v="MARTES"/>
    <x v="10"/>
    <s v="TWO PACK CC + IK PFM 3LX2 - RFNN"/>
    <n v="1680"/>
    <n v="120"/>
    <n v="285.60000000000002"/>
  </r>
  <r>
    <x v="13"/>
    <s v="JUNIO"/>
    <n v="25"/>
    <s v="MARTES"/>
    <x v="3"/>
    <s v="TWO PACK SCHWEPPES GINGER ALE PET 1.5LX2"/>
    <n v="792"/>
    <n v="198"/>
    <n v="134.64000000000001"/>
  </r>
  <r>
    <x v="13"/>
    <s v="JUNIO"/>
    <n v="25"/>
    <s v="MARTES"/>
    <x v="12"/>
    <s v="POWERADE ION4 FRUTA PET473X6 MOD (STICK)"/>
    <n v="1125"/>
    <n v="225"/>
    <n v="450"/>
  </r>
  <r>
    <x v="13"/>
    <s v="JUNIO"/>
    <n v="25"/>
    <s v="MARTES"/>
    <x v="16"/>
    <s v="SAN LUIS CON GAS PET 625MLX6"/>
    <n v="540"/>
    <n v="180"/>
    <n v="226.79999999999998"/>
  </r>
  <r>
    <x v="13"/>
    <s v="JUNIO"/>
    <n v="25"/>
    <s v="MARTES"/>
    <x v="24"/>
    <s v="MONSTER ENERGY 473MLX4"/>
    <n v="2520"/>
    <n v="420"/>
    <n v="1058.3999999999999"/>
  </r>
  <r>
    <x v="13"/>
    <s v="JUNIO"/>
    <n v="25"/>
    <s v="MARTES"/>
    <x v="7"/>
    <s v="COCA-COLA PET 1.5LX2 RF"/>
    <n v="1584"/>
    <n v="198"/>
    <n v="269.28000000000003"/>
  </r>
  <r>
    <x v="13"/>
    <s v="JUNIO"/>
    <n v="25"/>
    <s v="MARTES"/>
    <x v="8"/>
    <s v="INCA KOLA PET 1.5LX2 RF"/>
    <n v="990"/>
    <n v="198"/>
    <n v="168.3"/>
  </r>
  <r>
    <x v="13"/>
    <s v="JUNIO"/>
    <n v="25"/>
    <s v="MARTES"/>
    <x v="1"/>
    <s v="COCA-COLA SIN AZUCAR PET 1.5LX2"/>
    <n v="1188"/>
    <n v="198"/>
    <n v="201.96"/>
  </r>
  <r>
    <x v="13"/>
    <s v="JUNIO"/>
    <n v="25"/>
    <s v="MARTES"/>
    <x v="4"/>
    <s v="COCA-COLA PET 2.25LX2 RF"/>
    <n v="324"/>
    <n v="162"/>
    <n v="55.080000000000005"/>
  </r>
  <r>
    <x v="13"/>
    <s v="JUNIO"/>
    <n v="25"/>
    <s v="MARTES"/>
    <x v="27"/>
    <s v="FRUGOS BEBIDA DZ VNR 286MLX6 C/STICKER"/>
    <n v="350"/>
    <n v="350"/>
    <n v="80.5"/>
  </r>
  <r>
    <x v="13"/>
    <s v="JUNIO"/>
    <n v="25"/>
    <s v="MARTES"/>
    <x v="22"/>
    <s v="TWO PACK SCHWEPPES CITRUS PET 1.5LX2"/>
    <n v="198"/>
    <n v="198"/>
    <n v="33.660000000000004"/>
  </r>
  <r>
    <x v="13"/>
    <s v="JUNIO"/>
    <n v="25"/>
    <s v="MARTES"/>
    <x v="19"/>
    <s v="POWERADE ION4 MORA AZ PET473X6 MOD(STCK)"/>
    <n v="450"/>
    <n v="225"/>
    <n v="180"/>
  </r>
  <r>
    <x v="13"/>
    <s v="JUNIO"/>
    <n v="25"/>
    <s v="MARTES"/>
    <x v="0"/>
    <s v="SAN LUIS SIN GAS PET2500X6 STICKER"/>
    <n v="672"/>
    <n v="48"/>
    <n v="268.8"/>
  </r>
  <r>
    <x v="13"/>
    <s v="JUNIO"/>
    <n v="25"/>
    <s v="MARTES"/>
    <x v="2"/>
    <s v="INCA KOLA SIN AZUCAR PET 1.5LX2"/>
    <n v="1584"/>
    <n v="198"/>
    <n v="269.28000000000003"/>
  </r>
  <r>
    <x v="13"/>
    <s v="JUNIO"/>
    <n v="25"/>
    <s v="MARTES"/>
    <x v="15"/>
    <s v="INCA KOLA VR 625MLX12 - STICKER"/>
    <n v="100"/>
    <n v="50"/>
    <n v="40"/>
  </r>
  <r>
    <x v="13"/>
    <s v="JUNIO"/>
    <n v="25"/>
    <s v="MARTES"/>
    <x v="6"/>
    <s v="INCA KOLA PET 3LX2 - RF"/>
    <n v="1080"/>
    <n v="120"/>
    <n v="183.60000000000002"/>
  </r>
  <r>
    <x v="13"/>
    <s v="JUNIO"/>
    <n v="25"/>
    <s v="MARTES"/>
    <x v="5"/>
    <s v="INCA KOLA PET 2.25LX2 RF"/>
    <n v="162"/>
    <n v="162"/>
    <n v="27.540000000000003"/>
  </r>
  <r>
    <x v="13"/>
    <s v="JUNIO"/>
    <n v="25"/>
    <s v="MARTES"/>
    <x v="22"/>
    <s v="TWO PACK SCHWEPPES CITRUS PET 1.5LX2"/>
    <n v="198"/>
    <n v="198"/>
    <n v="33.660000000000004"/>
  </r>
  <r>
    <x v="13"/>
    <s v="JUNIO"/>
    <n v="25"/>
    <s v="MARTES"/>
    <x v="4"/>
    <s v="COCA-COLA PET 2.25LX2 RF"/>
    <n v="648"/>
    <n v="162"/>
    <n v="110.16000000000001"/>
  </r>
  <r>
    <x v="13"/>
    <s v="JUNIO"/>
    <n v="25"/>
    <s v="MARTES"/>
    <x v="8"/>
    <s v="INCA KOLA PET 1.5LX2 RF"/>
    <n v="1188"/>
    <n v="198"/>
    <n v="201.96"/>
  </r>
  <r>
    <x v="13"/>
    <s v="JUNIO"/>
    <n v="25"/>
    <s v="MARTES"/>
    <x v="17"/>
    <s v="TWO PACK CC PFM 3LX2 - RFCC"/>
    <n v="840"/>
    <n v="120"/>
    <n v="142.80000000000001"/>
  </r>
  <r>
    <x v="13"/>
    <s v="JUNIO"/>
    <n v="25"/>
    <s v="MARTES"/>
    <x v="10"/>
    <s v="TWO PACK CC + IK PFM 3LX2 - RFNN"/>
    <n v="960"/>
    <n v="120"/>
    <n v="163.20000000000002"/>
  </r>
  <r>
    <x v="13"/>
    <s v="JUNIO"/>
    <n v="25"/>
    <s v="MARTES"/>
    <x v="11"/>
    <s v="TRIPACK (CC+IK)PFM+FT PET 3LX3 - RFNN"/>
    <n v="720"/>
    <n v="90"/>
    <n v="122.4"/>
  </r>
  <r>
    <x v="13"/>
    <s v="JUNIO"/>
    <n v="25"/>
    <s v="MARTES"/>
    <x v="23"/>
    <s v="TRIPACK CC+IK+IK PFM 3LX3 - RFNN"/>
    <n v="360"/>
    <n v="90"/>
    <n v="61.2"/>
  </r>
  <r>
    <x v="13"/>
    <s v="JUNIO"/>
    <n v="25"/>
    <s v="MARTES"/>
    <x v="26"/>
    <s v="TRIPACK CC+CC+IK PFM 3LX3 - RFNN"/>
    <n v="270"/>
    <n v="90"/>
    <n v="45.900000000000006"/>
  </r>
  <r>
    <x v="13"/>
    <s v="JUNIO"/>
    <n v="25"/>
    <s v="MARTES"/>
    <x v="7"/>
    <s v="COCA-COLA PET 1.5LX2 RF"/>
    <n v="396"/>
    <n v="198"/>
    <n v="67.320000000000007"/>
  </r>
  <r>
    <x v="14"/>
    <s v="JUNIO"/>
    <n v="25"/>
    <s v="MIÉRCOLES"/>
    <x v="1"/>
    <s v="COCA-COLA SIN AZUCAR PET 1.5LX2"/>
    <n v="396"/>
    <n v="198"/>
    <n v="67.320000000000007"/>
  </r>
  <r>
    <x v="14"/>
    <s v="JUNIO"/>
    <n v="25"/>
    <s v="MIÉRCOLES"/>
    <x v="5"/>
    <s v="INCA KOLA PET 2.25LX2 RF"/>
    <n v="162"/>
    <n v="162"/>
    <n v="27.540000000000003"/>
  </r>
  <r>
    <x v="14"/>
    <s v="JUNIO"/>
    <n v="25"/>
    <s v="MIÉRCOLES"/>
    <x v="4"/>
    <s v="COCA-COLA PET 2.25LX2 RF"/>
    <n v="648"/>
    <n v="162"/>
    <n v="110.16000000000001"/>
  </r>
  <r>
    <x v="14"/>
    <s v="JUNIO"/>
    <n v="25"/>
    <s v="MIÉRCOLES"/>
    <x v="6"/>
    <s v="INCA KOLA PET 3LX2 - RF"/>
    <n v="960"/>
    <n v="120"/>
    <n v="163.20000000000002"/>
  </r>
  <r>
    <x v="14"/>
    <s v="JUNIO"/>
    <n v="25"/>
    <s v="MIÉRCOLES"/>
    <x v="22"/>
    <s v="TWO PACK SCHWEPPES CITRUS PET 1.5LX2"/>
    <n v="990"/>
    <n v="198"/>
    <n v="168.3"/>
  </r>
  <r>
    <x v="14"/>
    <s v="JUNIO"/>
    <n v="25"/>
    <s v="MIÉRCOLES"/>
    <x v="3"/>
    <s v="TWO PACK SCHWEPPES GINGER ALE PET 1.5LX2"/>
    <n v="198"/>
    <n v="198"/>
    <n v="33.660000000000004"/>
  </r>
  <r>
    <x v="14"/>
    <s v="JUNIO"/>
    <n v="25"/>
    <s v="MIÉRCOLES"/>
    <x v="9"/>
    <s v="TRIPACK FT NAR+FT KI+SP PET 3L"/>
    <n v="720"/>
    <n v="90"/>
    <n v="122.4"/>
  </r>
  <r>
    <x v="14"/>
    <s v="JUNIO"/>
    <n v="25"/>
    <s v="MIÉRCOLES"/>
    <x v="10"/>
    <s v="TWO PACK CC + IK PFM 3LX2 - RFNN"/>
    <n v="1200"/>
    <n v="120"/>
    <n v="204.00000000000003"/>
  </r>
  <r>
    <x v="14"/>
    <s v="JUNIO"/>
    <n v="25"/>
    <s v="MIÉRCOLES"/>
    <x v="23"/>
    <s v="TRIPACK CC+IK+IK PFM 3LX3 - RFNN"/>
    <n v="180"/>
    <n v="90"/>
    <n v="30.6"/>
  </r>
  <r>
    <x v="14"/>
    <s v="JUNIO"/>
    <n v="25"/>
    <s v="MIÉRCOLES"/>
    <x v="17"/>
    <s v="TWO PACK CC PFM 3LX2 - RFCC"/>
    <n v="1440"/>
    <n v="120"/>
    <n v="244.8"/>
  </r>
  <r>
    <x v="14"/>
    <s v="JUNIO"/>
    <n v="25"/>
    <s v="MIÉRCOLES"/>
    <x v="11"/>
    <s v="TRIPACK (CC+IK)PFM+FT PET 3LX3 - RFNN"/>
    <n v="180"/>
    <n v="90"/>
    <n v="30.6"/>
  </r>
  <r>
    <x v="14"/>
    <s v="JUNIO"/>
    <n v="25"/>
    <s v="MIÉRCOLES"/>
    <x v="7"/>
    <s v="COCA-COLA PET 1.5LX2 RF"/>
    <n v="990"/>
    <n v="198"/>
    <n v="168.3"/>
  </r>
  <r>
    <x v="14"/>
    <s v="JUNIO"/>
    <n v="25"/>
    <s v="MIÉRCOLES"/>
    <x v="8"/>
    <s v="INCA KOLA PET 1.5LX2 RF"/>
    <n v="792"/>
    <n v="198"/>
    <n v="134.64000000000001"/>
  </r>
  <r>
    <x v="14"/>
    <s v="JUNIO"/>
    <n v="25"/>
    <s v="MIÉRCOLES"/>
    <x v="24"/>
    <s v="MONSTER ENERGY 473MLX4"/>
    <n v="2520"/>
    <n v="420"/>
    <n v="1058.3999999999999"/>
  </r>
  <r>
    <x v="14"/>
    <s v="JUNIO"/>
    <n v="25"/>
    <s v="MIÉRCOLES"/>
    <x v="0"/>
    <s v="SAN LUIS SIN GAS PET2500X6 STICKER"/>
    <n v="288"/>
    <n v="48"/>
    <n v="115.2"/>
  </r>
  <r>
    <x v="15"/>
    <s v="JUNIO"/>
    <n v="25"/>
    <s v="JUEVES"/>
    <x v="15"/>
    <s v="INCA KOLA VR 625MLX12 - STICKER"/>
    <n v="50"/>
    <n v="50"/>
    <n v="20"/>
  </r>
  <r>
    <x v="15"/>
    <s v="JUNIO"/>
    <n v="25"/>
    <s v="JUEVES"/>
    <x v="14"/>
    <s v="INCA KOLA VR 296MLX24 - STICKER"/>
    <n v="40"/>
    <n v="40"/>
    <n v="9.2000000000000011"/>
  </r>
  <r>
    <x v="15"/>
    <s v="JUNIO"/>
    <n v="25"/>
    <s v="JUEVES"/>
    <x v="13"/>
    <s v="INCA KOLA VR 1.5LX8 - STICKER"/>
    <n v="90"/>
    <n v="30"/>
    <n v="36"/>
  </r>
  <r>
    <x v="15"/>
    <s v="JUNIO"/>
    <n v="25"/>
    <s v="JUEVES"/>
    <x v="28"/>
    <s v="COCA COLA VR 1.5LX8 - STICKER"/>
    <n v="90"/>
    <n v="30"/>
    <n v="20.7"/>
  </r>
  <r>
    <x v="15"/>
    <s v="JUNIO"/>
    <n v="25"/>
    <s v="JUEVES"/>
    <x v="25"/>
    <s v="POWERADE 3MORA+3FRUT PET 473MLX6"/>
    <n v="1350"/>
    <n v="225"/>
    <n v="567"/>
  </r>
  <r>
    <x v="15"/>
    <s v="JUNIO"/>
    <n v="25"/>
    <s v="JUEVES"/>
    <x v="32"/>
    <s v="MONSTER ENERGY ULTRA 473MLX4"/>
    <n v="1680"/>
    <n v="420"/>
    <n v="705.6"/>
  </r>
  <r>
    <x v="15"/>
    <s v="JUNIO"/>
    <n v="25"/>
    <s v="JUEVES"/>
    <x v="13"/>
    <s v="INCA KOLA VR 1.5LX8 - STICKER"/>
    <n v="30"/>
    <n v="30"/>
    <n v="12"/>
  </r>
  <r>
    <x v="15"/>
    <s v="JUNIO"/>
    <n v="25"/>
    <s v="JUEVES"/>
    <x v="15"/>
    <s v="INCA KOLA VR 625MLX12 - STICKER"/>
    <n v="100"/>
    <n v="50"/>
    <n v="40"/>
  </r>
  <r>
    <x v="15"/>
    <s v="JUNIO"/>
    <n v="25"/>
    <s v="JUEVES"/>
    <x v="24"/>
    <s v="MONSTER ENERGY 473MLX4"/>
    <n v="2520"/>
    <n v="420"/>
    <n v="1058.3999999999999"/>
  </r>
  <r>
    <x v="15"/>
    <s v="JUNIO"/>
    <n v="25"/>
    <s v="JUEVES"/>
    <x v="32"/>
    <s v="MONSTER ENERGY ULTRA 473MLX4"/>
    <n v="1680"/>
    <n v="420"/>
    <n v="705.6"/>
  </r>
  <r>
    <x v="15"/>
    <s v="JUNIO"/>
    <n v="25"/>
    <s v="JUEVES"/>
    <x v="25"/>
    <s v="POWERADE 3MORA+3FRUT PET 473MLX6"/>
    <n v="450"/>
    <n v="225"/>
    <n v="189"/>
  </r>
  <r>
    <x v="15"/>
    <s v="JUNIO"/>
    <n v="25"/>
    <s v="JUEVES"/>
    <x v="16"/>
    <s v="SAN LUIS CON GAS PET 625MLX6"/>
    <n v="720"/>
    <n v="180"/>
    <n v="302.39999999999998"/>
  </r>
  <r>
    <x v="15"/>
    <s v="JUNIO"/>
    <n v="25"/>
    <s v="JUEVES"/>
    <x v="14"/>
    <s v="INCA KOLA VR 296MLX24 - STICKER"/>
    <n v="40"/>
    <n v="40"/>
    <n v="9.2000000000000011"/>
  </r>
  <r>
    <x v="15"/>
    <s v="JUNIO"/>
    <n v="25"/>
    <s v="JUEVES"/>
    <x v="1"/>
    <s v="COCA-COLA SIN AZUCAR PET 1.5LX2"/>
    <n v="1188"/>
    <n v="198"/>
    <n v="201.96"/>
  </r>
  <r>
    <x v="15"/>
    <s v="JUNIO"/>
    <n v="25"/>
    <s v="JUEVES"/>
    <x v="6"/>
    <s v="INCA KOLA PET 3LX2 - RF"/>
    <n v="240"/>
    <n v="120"/>
    <n v="40.800000000000004"/>
  </r>
  <r>
    <x v="15"/>
    <s v="JUNIO"/>
    <n v="25"/>
    <s v="JUEVES"/>
    <x v="20"/>
    <s v="TRIPACK (FT NAR+SP)PET+IK RF PFM 3L"/>
    <n v="180"/>
    <n v="90"/>
    <n v="30.6"/>
  </r>
  <r>
    <x v="15"/>
    <s v="JUNIO"/>
    <n v="25"/>
    <s v="JUEVES"/>
    <x v="10"/>
    <s v="TWO PACK CC + IK PFM 3LX2 - RFNN"/>
    <n v="720"/>
    <n v="120"/>
    <n v="122.4"/>
  </r>
  <r>
    <x v="15"/>
    <s v="JUNIO"/>
    <n v="25"/>
    <s v="JUEVES"/>
    <x v="3"/>
    <s v="TWO PACK SCHWEPPES GINGER ALE PET 1.5LX2"/>
    <n v="396"/>
    <n v="198"/>
    <n v="67.320000000000007"/>
  </r>
  <r>
    <x v="15"/>
    <s v="JUNIO"/>
    <n v="25"/>
    <s v="JUEVES"/>
    <x v="2"/>
    <s v="INCA KOLA SIN AZUCAR PET 1.5LX2"/>
    <n v="1188"/>
    <n v="198"/>
    <n v="201.96"/>
  </r>
  <r>
    <x v="15"/>
    <s v="JUNIO"/>
    <n v="25"/>
    <s v="JUEVES"/>
    <x v="7"/>
    <s v="COCA-COLA PET 1.5LX2 RF"/>
    <n v="2574"/>
    <n v="198"/>
    <n v="437.58000000000004"/>
  </r>
  <r>
    <x v="15"/>
    <s v="JUNIO"/>
    <n v="25"/>
    <s v="JUEVES"/>
    <x v="11"/>
    <s v="TRIPACK (CC+IK)PFM+FT PET 3LX3 - RFNN"/>
    <n v="2160"/>
    <n v="90"/>
    <n v="367.20000000000005"/>
  </r>
  <r>
    <x v="15"/>
    <s v="JUNIO"/>
    <n v="25"/>
    <s v="JUEVES"/>
    <x v="9"/>
    <s v="TRIPACK FT NAR+FT KI+SP PET 3L"/>
    <n v="180"/>
    <n v="90"/>
    <n v="30.6"/>
  </r>
  <r>
    <x v="15"/>
    <s v="JUNIO"/>
    <n v="25"/>
    <s v="JUEVES"/>
    <x v="22"/>
    <s v="TWO PACK SCHWEPPES CITRUS PET 1.5LX2"/>
    <n v="198"/>
    <n v="198"/>
    <n v="33.660000000000004"/>
  </r>
  <r>
    <x v="15"/>
    <s v="JUNIO"/>
    <n v="25"/>
    <s v="JUEVES"/>
    <x v="8"/>
    <s v="INCA KOLA PET 1.5LX2 RF"/>
    <n v="1188"/>
    <n v="198"/>
    <n v="201.96"/>
  </r>
  <r>
    <x v="15"/>
    <s v="JUNIO"/>
    <n v="25"/>
    <s v="JUEVES"/>
    <x v="0"/>
    <s v="SAN LUIS SIN GAS PET2500X6 STICKER"/>
    <n v="288"/>
    <n v="48"/>
    <n v="115.2"/>
  </r>
  <r>
    <x v="16"/>
    <s v="JUNIO"/>
    <n v="25"/>
    <s v="VIERNES"/>
    <x v="7"/>
    <s v="COCA-COLA PET 1.5LX2 RF"/>
    <n v="1188"/>
    <n v="198"/>
    <n v="201.96"/>
  </r>
  <r>
    <x v="16"/>
    <s v="JUNIO"/>
    <n v="25"/>
    <s v="VIERNES"/>
    <x v="33"/>
    <s v="COCA COLA VR 296MLX24 - STICKER"/>
    <n v="80"/>
    <n v="40"/>
    <n v="18.400000000000002"/>
  </r>
  <r>
    <x v="16"/>
    <s v="JUNIO"/>
    <n v="25"/>
    <s v="VIERNES"/>
    <x v="15"/>
    <s v="INCA KOLA VR 625MLX12 - STICKER"/>
    <n v="100"/>
    <n v="50"/>
    <n v="40"/>
  </r>
  <r>
    <x v="16"/>
    <s v="JUNIO"/>
    <n v="25"/>
    <s v="VIERNES"/>
    <x v="13"/>
    <s v="INCA KOLA VR 1.5LX8 - STICKER"/>
    <n v="60"/>
    <n v="30"/>
    <n v="24"/>
  </r>
  <r>
    <x v="16"/>
    <s v="JUNIO"/>
    <n v="25"/>
    <s v="VIERNES"/>
    <x v="3"/>
    <s v="TWO PACK SCHWEPPES GINGER ALE PET 1.5LX2"/>
    <n v="396"/>
    <n v="198"/>
    <n v="67.320000000000007"/>
  </r>
  <r>
    <x v="16"/>
    <s v="JUNIO"/>
    <n v="25"/>
    <s v="VIERNES"/>
    <x v="34"/>
    <s v="TWO PACK CC PET 1.5LX2 - CRC"/>
    <n v="396"/>
    <n v="198"/>
    <n v="67.320000000000007"/>
  </r>
  <r>
    <x v="16"/>
    <s v="JUNIO"/>
    <n v="25"/>
    <s v="VIERNES"/>
    <x v="2"/>
    <s v="INCA KOLA SIN AZUCAR PET 1.5LX2"/>
    <n v="1980"/>
    <n v="198"/>
    <n v="336.6"/>
  </r>
  <r>
    <x v="16"/>
    <s v="JUNIO"/>
    <n v="25"/>
    <s v="VIERNES"/>
    <x v="10"/>
    <s v="TWO PACK CC + IK PFM 3LX2 - RFNN"/>
    <n v="720"/>
    <n v="120"/>
    <n v="122.4"/>
  </r>
  <r>
    <x v="16"/>
    <s v="JUNIO"/>
    <n v="25"/>
    <s v="VIERNES"/>
    <x v="1"/>
    <s v="COCA-COLA SIN AZUCAR PET 1.5LX2"/>
    <n v="2574"/>
    <n v="198"/>
    <n v="437.58000000000004"/>
  </r>
  <r>
    <x v="16"/>
    <s v="JUNIO"/>
    <n v="25"/>
    <s v="VIERNES"/>
    <x v="23"/>
    <s v="TRIPACK CC+IK+IK PFM 3LX3 - RFNN"/>
    <n v="180"/>
    <n v="90"/>
    <n v="30.6"/>
  </r>
  <r>
    <x v="16"/>
    <s v="JUNIO"/>
    <n v="25"/>
    <s v="VIERNES"/>
    <x v="4"/>
    <s v="COCA-COLA PET 2.25LX2 RF"/>
    <n v="486"/>
    <n v="162"/>
    <n v="82.62"/>
  </r>
  <r>
    <x v="16"/>
    <s v="JUNIO"/>
    <n v="25"/>
    <s v="VIERNES"/>
    <x v="9"/>
    <s v="TRIPACK FT NAR+FT KI+SP PET 3L"/>
    <n v="450"/>
    <n v="90"/>
    <n v="76.5"/>
  </r>
  <r>
    <x v="16"/>
    <s v="JUNIO"/>
    <n v="25"/>
    <s v="VIERNES"/>
    <x v="25"/>
    <s v="POWERADE 3MORA+3FRUT PET 473MLX6"/>
    <n v="2250"/>
    <n v="225"/>
    <n v="945"/>
  </r>
  <r>
    <x v="16"/>
    <s v="JUNIO"/>
    <n v="25"/>
    <s v="VIERNES"/>
    <x v="19"/>
    <s v="POWERADE ION4 MORA AZ PET473X6 MOD(STCK)"/>
    <n v="225"/>
    <n v="225"/>
    <n v="90"/>
  </r>
  <r>
    <x v="16"/>
    <s v="JUNIO"/>
    <n v="25"/>
    <s v="VIERNES"/>
    <x v="6"/>
    <s v="INCA KOLA PET 3LX2 - RF"/>
    <n v="720"/>
    <n v="120"/>
    <n v="122.4"/>
  </r>
  <r>
    <x v="16"/>
    <s v="JUNIO"/>
    <n v="25"/>
    <s v="VIERNES"/>
    <x v="12"/>
    <s v="POWERADE ION4 FRUTA PET473X6 MOD (STICK)"/>
    <n v="225"/>
    <n v="225"/>
    <n v="90"/>
  </r>
  <r>
    <x v="16"/>
    <s v="JUNIO"/>
    <n v="25"/>
    <s v="VIERNES"/>
    <x v="24"/>
    <s v="MONSTER ENERGY 473MLX4"/>
    <n v="3780"/>
    <n v="420"/>
    <n v="1587.6"/>
  </r>
  <r>
    <x v="16"/>
    <s v="JUNIO"/>
    <n v="25"/>
    <s v="VIERNES"/>
    <x v="32"/>
    <s v="MONSTER ENERGY ULTRA 473MLX4"/>
    <n v="420"/>
    <n v="420"/>
    <n v="176.4"/>
  </r>
  <r>
    <x v="16"/>
    <s v="JUNIO"/>
    <n v="25"/>
    <s v="VIERNES"/>
    <x v="11"/>
    <s v="TRIPACK (CC+IK)PFM+FT PET 3LX3 - RFNN"/>
    <n v="1620"/>
    <n v="90"/>
    <n v="275.40000000000003"/>
  </r>
  <r>
    <x v="16"/>
    <s v="JUNIO"/>
    <n v="25"/>
    <s v="VIERNES"/>
    <x v="8"/>
    <s v="INCA KOLA PET 1.5LX2 RF"/>
    <n v="1188"/>
    <n v="198"/>
    <n v="201.96"/>
  </r>
  <r>
    <x v="16"/>
    <s v="JUNIO"/>
    <n v="25"/>
    <s v="VIERNES"/>
    <x v="5"/>
    <s v="INCA KOLA PET 2.25LX2 RF"/>
    <n v="324"/>
    <n v="162"/>
    <n v="55.080000000000005"/>
  </r>
  <r>
    <x v="16"/>
    <s v="JUNIO"/>
    <n v="25"/>
    <s v="VIERNES"/>
    <x v="35"/>
    <s v="SAN LUIS SIN GAS PET 625MLX06 MOD"/>
    <n v="900"/>
    <n v="180"/>
    <n v="378"/>
  </r>
  <r>
    <x v="16"/>
    <s v="JUNIO"/>
    <n v="25"/>
    <s v="VIERNES"/>
    <x v="12"/>
    <s v="POWERADE ION4 FRUTA PET473X6 MOD (STICK)"/>
    <n v="225"/>
    <n v="225"/>
    <n v="90"/>
  </r>
  <r>
    <x v="16"/>
    <s v="JUNIO"/>
    <n v="25"/>
    <s v="VIERNES"/>
    <x v="5"/>
    <s v="INCA KOLA PET 2.25LX2 RF"/>
    <n v="324"/>
    <n v="162"/>
    <n v="55.080000000000005"/>
  </r>
  <r>
    <x v="16"/>
    <s v="JUNIO"/>
    <n v="25"/>
    <s v="VIERNES"/>
    <x v="4"/>
    <s v="COCA-COLA PET 2.25LX2 RF"/>
    <n v="324"/>
    <n v="162"/>
    <n v="55.080000000000005"/>
  </r>
  <r>
    <x v="16"/>
    <s v="JUNIO"/>
    <n v="25"/>
    <s v="VIERNES"/>
    <x v="6"/>
    <s v="INCA KOLA PET 3LX2 - RF"/>
    <n v="480"/>
    <n v="120"/>
    <n v="81.600000000000009"/>
  </r>
  <r>
    <x v="16"/>
    <s v="JUNIO"/>
    <n v="25"/>
    <s v="VIERNES"/>
    <x v="2"/>
    <s v="INCA KOLA SIN AZUCAR PET 1.5LX2"/>
    <n v="396"/>
    <n v="198"/>
    <n v="67.320000000000007"/>
  </r>
  <r>
    <x v="16"/>
    <s v="JUNIO"/>
    <n v="25"/>
    <s v="VIERNES"/>
    <x v="9"/>
    <s v="TRIPACK FT NAR+FT KI+SP PET 3L"/>
    <n v="720"/>
    <n v="90"/>
    <n v="122.4"/>
  </r>
  <r>
    <x v="16"/>
    <s v="JUNIO"/>
    <n v="25"/>
    <s v="VIERNES"/>
    <x v="10"/>
    <s v="TWO PACK CC + IK PFM 3LX2 - RFNN"/>
    <n v="1920"/>
    <n v="120"/>
    <n v="326.40000000000003"/>
  </r>
  <r>
    <x v="16"/>
    <s v="JUNIO"/>
    <n v="25"/>
    <s v="VIERNES"/>
    <x v="17"/>
    <s v="TWO PACK CC PFM 3LX2 - RFCC"/>
    <n v="480"/>
    <n v="120"/>
    <n v="81.600000000000009"/>
  </r>
  <r>
    <x v="16"/>
    <s v="JUNIO"/>
    <n v="25"/>
    <s v="VIERNES"/>
    <x v="11"/>
    <s v="TRIPACK (CC+IK)PFM+FT PET 3LX3 - RFNN"/>
    <n v="2160"/>
    <n v="90"/>
    <n v="367.20000000000005"/>
  </r>
  <r>
    <x v="16"/>
    <s v="JUNIO"/>
    <n v="25"/>
    <s v="VIERNES"/>
    <x v="8"/>
    <s v="INCA KOLA PET 1.5LX2 RF"/>
    <n v="1980"/>
    <n v="198"/>
    <n v="336.6"/>
  </r>
  <r>
    <x v="16"/>
    <s v="JUNIO"/>
    <n v="25"/>
    <s v="VIERNES"/>
    <x v="16"/>
    <s v="SAN LUIS CON GAS PET 625MLX6"/>
    <n v="900"/>
    <n v="180"/>
    <n v="378"/>
  </r>
  <r>
    <x v="16"/>
    <s v="JUNIO"/>
    <n v="25"/>
    <s v="VIERNES"/>
    <x v="24"/>
    <s v="MONSTER ENERGY 473MLX4"/>
    <n v="1680"/>
    <n v="420"/>
    <n v="705.6"/>
  </r>
  <r>
    <x v="16"/>
    <s v="JUNIO"/>
    <n v="25"/>
    <s v="VIERNES"/>
    <x v="32"/>
    <s v="MONSTER ENERGY ULTRA 473MLX4"/>
    <n v="420"/>
    <n v="420"/>
    <n v="176.4"/>
  </r>
  <r>
    <x v="16"/>
    <s v="JUNIO"/>
    <n v="25"/>
    <s v="VIERNES"/>
    <x v="0"/>
    <s v="SAN LUIS SIN GAS PET2500X6 STICKER"/>
    <n v="288"/>
    <n v="48"/>
    <n v="115.2"/>
  </r>
  <r>
    <x v="16"/>
    <s v="JUNIO"/>
    <n v="25"/>
    <s v="VIERNES"/>
    <x v="33"/>
    <s v="COCA COLA VR 296MLX24 - STICKER"/>
    <n v="40"/>
    <n v="40"/>
    <n v="9.2000000000000011"/>
  </r>
  <r>
    <x v="16"/>
    <s v="JUNIO"/>
    <n v="25"/>
    <s v="VIERNES"/>
    <x v="25"/>
    <s v="POWERADE 3MORA+3FRUT PET 473MLX6"/>
    <n v="450"/>
    <n v="225"/>
    <n v="189"/>
  </r>
  <r>
    <x v="17"/>
    <s v="JUNIO"/>
    <n v="26"/>
    <s v="LUNES"/>
    <x v="1"/>
    <s v="COCA-COLA SIN AZUCAR PET 1.5LX2"/>
    <n v="2970"/>
    <n v="198"/>
    <n v="504.90000000000003"/>
  </r>
  <r>
    <x v="17"/>
    <s v="JUNIO"/>
    <n v="26"/>
    <s v="LUNES"/>
    <x v="24"/>
    <s v="MONSTER ENERGY 473MLX4"/>
    <n v="3360"/>
    <n v="420"/>
    <n v="1411.2"/>
  </r>
  <r>
    <x v="17"/>
    <s v="JUNIO"/>
    <n v="26"/>
    <s v="LUNES"/>
    <x v="32"/>
    <s v="MONSTER ENERGY ULTRA 473MLX4"/>
    <n v="2100"/>
    <n v="420"/>
    <n v="882"/>
  </r>
  <r>
    <x v="17"/>
    <s v="JUNIO"/>
    <n v="26"/>
    <s v="LUNES"/>
    <x v="7"/>
    <s v="COCA-COLA PET 1.5LX2 RF"/>
    <n v="3168"/>
    <n v="198"/>
    <n v="538.56000000000006"/>
  </r>
  <r>
    <x v="17"/>
    <s v="JUNIO"/>
    <n v="26"/>
    <s v="LUNES"/>
    <x v="28"/>
    <s v="COCA COLA VR 1.5LX8 - STICKER"/>
    <n v="60"/>
    <n v="30"/>
    <n v="13.8"/>
  </r>
  <r>
    <x v="17"/>
    <s v="JUNIO"/>
    <n v="26"/>
    <s v="LUNES"/>
    <x v="4"/>
    <s v="COCA-COLA PET 2.25LX2 RF"/>
    <n v="324"/>
    <n v="162"/>
    <n v="55.080000000000005"/>
  </r>
  <r>
    <x v="17"/>
    <s v="JUNIO"/>
    <n v="26"/>
    <s v="LUNES"/>
    <x v="33"/>
    <s v="COCA COLA VR 296MLX24 - STICKER"/>
    <n v="40"/>
    <n v="40"/>
    <n v="9.2000000000000011"/>
  </r>
  <r>
    <x v="17"/>
    <s v="JUNIO"/>
    <n v="26"/>
    <s v="LUNES"/>
    <x v="10"/>
    <s v="TWO PACK CC + IK PFM 3LX2 - RFNN"/>
    <n v="720"/>
    <n v="120"/>
    <n v="122.4"/>
  </r>
  <r>
    <x v="17"/>
    <s v="JUNIO"/>
    <n v="26"/>
    <s v="LUNES"/>
    <x v="22"/>
    <s v="TWO PACK SCHWEPPES CITRUS PET 1.5LX2"/>
    <n v="396"/>
    <n v="198"/>
    <n v="67.320000000000007"/>
  </r>
  <r>
    <x v="17"/>
    <s v="JUNIO"/>
    <n v="26"/>
    <s v="LUNES"/>
    <x v="2"/>
    <s v="INCA KOLA SIN AZUCAR PET 1.5LX2"/>
    <n v="3168"/>
    <n v="198"/>
    <n v="538.56000000000006"/>
  </r>
  <r>
    <x v="17"/>
    <s v="JUNIO"/>
    <n v="26"/>
    <s v="LUNES"/>
    <x v="3"/>
    <s v="TWO PACK SCHWEPPES GINGER ALE PET 1.5LX2"/>
    <n v="396"/>
    <n v="198"/>
    <n v="67.320000000000007"/>
  </r>
  <r>
    <x v="17"/>
    <s v="JUNIO"/>
    <n v="26"/>
    <s v="LUNES"/>
    <x v="23"/>
    <s v="TRIPACK CC+IK+IK PFM 3LX3 - RFNN"/>
    <n v="180"/>
    <n v="90"/>
    <n v="30.6"/>
  </r>
  <r>
    <x v="17"/>
    <s v="JUNIO"/>
    <n v="26"/>
    <s v="LUNES"/>
    <x v="14"/>
    <s v="INCA KOLA VR 296MLX24 - STICKER"/>
    <n v="40"/>
    <n v="40"/>
    <n v="9.2000000000000011"/>
  </r>
  <r>
    <x v="17"/>
    <s v="JUNIO"/>
    <n v="26"/>
    <s v="LUNES"/>
    <x v="13"/>
    <s v="INCA KOLA VR 1.5LX8 - STICKER"/>
    <n v="60"/>
    <n v="30"/>
    <n v="24"/>
  </r>
  <r>
    <x v="17"/>
    <s v="JUNIO"/>
    <n v="26"/>
    <s v="LUNES"/>
    <x v="16"/>
    <s v="SAN LUIS CON GAS PET 625MLX6"/>
    <n v="180"/>
    <n v="180"/>
    <n v="75.599999999999994"/>
  </r>
  <r>
    <x v="17"/>
    <s v="JUNIO"/>
    <n v="26"/>
    <s v="LUNES"/>
    <x v="29"/>
    <s v="TWO PACK IK PET 1.5LX2 - CRCG"/>
    <n v="198"/>
    <n v="198"/>
    <n v="33.660000000000004"/>
  </r>
  <r>
    <x v="17"/>
    <s v="JUNIO"/>
    <n v="26"/>
    <s v="LUNES"/>
    <x v="34"/>
    <s v="TWO PACK CC PET 1.5LX2 - CRC"/>
    <n v="396"/>
    <n v="198"/>
    <n v="67.320000000000007"/>
  </r>
  <r>
    <x v="17"/>
    <s v="JUNIO"/>
    <n v="26"/>
    <s v="LUNES"/>
    <x v="11"/>
    <s v="TRIPACK (CC+IK)PFM+FT PET 3LX3 - RFNN"/>
    <n v="180"/>
    <n v="90"/>
    <n v="30.6"/>
  </r>
  <r>
    <x v="17"/>
    <s v="JUNIO"/>
    <n v="26"/>
    <s v="LUNES"/>
    <x v="25"/>
    <s v="POWERADE 3MORA+3FRUT PET 473MLX6"/>
    <n v="450"/>
    <n v="225"/>
    <n v="189"/>
  </r>
  <r>
    <x v="17"/>
    <s v="JUNIO"/>
    <n v="26"/>
    <s v="LUNES"/>
    <x v="15"/>
    <s v="INCA KOLA VR 625MLX12 - STICKER"/>
    <n v="200"/>
    <n v="50"/>
    <n v="80"/>
  </r>
  <r>
    <x v="17"/>
    <s v="JUNIO"/>
    <n v="26"/>
    <s v="LUNES"/>
    <x v="9"/>
    <s v="TRIPACK FT NAR+FT KI+SP PET 3L"/>
    <n v="720"/>
    <n v="90"/>
    <n v="122.4"/>
  </r>
  <r>
    <x v="17"/>
    <s v="JUNIO"/>
    <n v="26"/>
    <s v="LUNES"/>
    <x v="26"/>
    <s v="TRIPACK CC+CC+IK PFM 3LX3 - RFNN"/>
    <n v="180"/>
    <n v="90"/>
    <n v="30.6"/>
  </r>
  <r>
    <x v="17"/>
    <s v="JUNIO"/>
    <n v="26"/>
    <s v="LUNES"/>
    <x v="0"/>
    <s v="SAN LUIS SIN GAS PET2500X6 STICKER"/>
    <n v="192"/>
    <n v="48"/>
    <n v="76.800000000000011"/>
  </r>
  <r>
    <x v="18"/>
    <s v="JUNIO"/>
    <n v="26"/>
    <s v="MARTES"/>
    <x v="24"/>
    <s v="MONSTER ENERGY 473MLX4"/>
    <n v="1680"/>
    <n v="420"/>
    <n v="705.6"/>
  </r>
  <r>
    <x v="18"/>
    <s v="JUNIO"/>
    <n v="26"/>
    <s v="MARTES"/>
    <x v="16"/>
    <s v="SAN LUIS CON GAS PET 625MLX6"/>
    <n v="360"/>
    <n v="180"/>
    <n v="151.19999999999999"/>
  </r>
  <r>
    <x v="18"/>
    <s v="JUNIO"/>
    <n v="26"/>
    <s v="MARTES"/>
    <x v="1"/>
    <s v="COCA-COLA SIN AZUCAR PET 1.5LX2"/>
    <n v="396"/>
    <n v="198"/>
    <n v="67.320000000000007"/>
  </r>
  <r>
    <x v="18"/>
    <s v="JUNIO"/>
    <n v="26"/>
    <s v="MARTES"/>
    <x v="2"/>
    <s v="INCA KOLA SIN AZUCAR PET 1.5LX2"/>
    <n v="396"/>
    <n v="198"/>
    <n v="67.320000000000007"/>
  </r>
  <r>
    <x v="18"/>
    <s v="JUNIO"/>
    <n v="26"/>
    <s v="MARTES"/>
    <x v="11"/>
    <s v="TRIPACK (CC+IK)PFM+FT PET 3LX3 - RFNN"/>
    <n v="1440"/>
    <n v="90"/>
    <n v="244.8"/>
  </r>
  <r>
    <x v="18"/>
    <s v="JUNIO"/>
    <n v="26"/>
    <s v="MARTES"/>
    <x v="23"/>
    <s v="TRIPACK CC+IK+IK PFM 3LX3 - RFNN"/>
    <n v="450"/>
    <n v="90"/>
    <n v="76.5"/>
  </r>
  <r>
    <x v="18"/>
    <s v="JUNIO"/>
    <n v="26"/>
    <s v="MARTES"/>
    <x v="20"/>
    <s v="TRIPACK (FT NAR+SP)PET+IK RF PFM 3L"/>
    <n v="450"/>
    <n v="90"/>
    <n v="76.5"/>
  </r>
  <r>
    <x v="18"/>
    <s v="JUNIO"/>
    <n v="26"/>
    <s v="MARTES"/>
    <x v="25"/>
    <s v="POWERADE 3MORA+3FRUT PET 473MLX6"/>
    <n v="900"/>
    <n v="225"/>
    <n v="378"/>
  </r>
  <r>
    <x v="18"/>
    <s v="JUNIO"/>
    <n v="26"/>
    <s v="MARTES"/>
    <x v="12"/>
    <s v="POWERADE ION4 FRUTA PET473X6 MOD (STICK)"/>
    <n v="450"/>
    <n v="225"/>
    <n v="180"/>
  </r>
  <r>
    <x v="18"/>
    <s v="JUNIO"/>
    <n v="26"/>
    <s v="MARTES"/>
    <x v="10"/>
    <s v="TWO PACK CC + IK PFM 3LX2 - RFNN"/>
    <n v="960"/>
    <n v="120"/>
    <n v="163.20000000000002"/>
  </r>
  <r>
    <x v="18"/>
    <s v="JUNIO"/>
    <n v="26"/>
    <s v="MARTES"/>
    <x v="8"/>
    <s v="INCA KOLA PET 1.5LX2 RF"/>
    <n v="792"/>
    <n v="198"/>
    <n v="134.64000000000001"/>
  </r>
  <r>
    <x v="18"/>
    <s v="JUNIO"/>
    <n v="26"/>
    <s v="MARTES"/>
    <x v="6"/>
    <s v="INCA KOLA PET 3LX2 - RF"/>
    <n v="960"/>
    <n v="120"/>
    <n v="163.20000000000002"/>
  </r>
  <r>
    <x v="18"/>
    <s v="JUNIO"/>
    <n v="26"/>
    <s v="MARTES"/>
    <x v="5"/>
    <s v="INCA KOLA PET 2.25LX2 RF"/>
    <n v="972"/>
    <n v="162"/>
    <n v="165.24"/>
  </r>
  <r>
    <x v="18"/>
    <s v="JUNIO"/>
    <n v="26"/>
    <s v="MARTES"/>
    <x v="36"/>
    <s v="SAN LUIS SIN GAS PET 625MLX15 C/STICKER"/>
    <n v="1170"/>
    <n v="90"/>
    <n v="468"/>
  </r>
  <r>
    <x v="18"/>
    <s v="JUNIO"/>
    <n v="26"/>
    <s v="MARTES"/>
    <x v="0"/>
    <s v="SAN LUIS SIN GAS PET2500X6 STICKER"/>
    <n v="384"/>
    <n v="48"/>
    <n v="153.60000000000002"/>
  </r>
  <r>
    <x v="18"/>
    <s v="JUNIO"/>
    <n v="26"/>
    <s v="MARTES"/>
    <x v="35"/>
    <s v="SAN LUIS SIN GAS PET 625MLX06 MOD"/>
    <n v="1620"/>
    <n v="180"/>
    <n v="680.4"/>
  </r>
  <r>
    <x v="18"/>
    <s v="JUNIO"/>
    <n v="26"/>
    <s v="MARTES"/>
    <x v="4"/>
    <s v="COCA-COLA PET 2.25LX2 RF"/>
    <n v="648"/>
    <n v="162"/>
    <n v="110.16000000000001"/>
  </r>
  <r>
    <x v="18"/>
    <s v="JUNIO"/>
    <n v="26"/>
    <s v="MARTES"/>
    <x v="17"/>
    <s v="TWO PACK CC PFM 3LX2 - RFCC"/>
    <n v="720"/>
    <n v="120"/>
    <n v="122.4"/>
  </r>
  <r>
    <x v="18"/>
    <s v="JUNIO"/>
    <n v="26"/>
    <s v="MARTES"/>
    <x v="1"/>
    <s v="COCA-COLA SIN AZUCAR PET 1.5LX2"/>
    <n v="396"/>
    <n v="198"/>
    <n v="67.320000000000007"/>
  </r>
  <r>
    <x v="19"/>
    <s v="JUNIO"/>
    <n v="26"/>
    <s v="MIÉRCOLES"/>
    <x v="1"/>
    <s v="COCA-COLA SIN AZUCAR PET 1.5LX2"/>
    <n v="3564"/>
    <n v="198"/>
    <n v="605.88"/>
  </r>
  <r>
    <x v="19"/>
    <s v="JUNIO"/>
    <n v="26"/>
    <s v="MIÉRCOLES"/>
    <x v="2"/>
    <s v="INCA KOLA SIN AZUCAR PET 1.5LX2"/>
    <n v="2772"/>
    <n v="198"/>
    <n v="471.24"/>
  </r>
  <r>
    <x v="19"/>
    <s v="JUNIO"/>
    <n v="26"/>
    <s v="MIÉRCOLES"/>
    <x v="12"/>
    <s v="POWERADE ION4 FRUTA PET473X6 MOD (STICK)"/>
    <n v="225"/>
    <n v="225"/>
    <n v="90"/>
  </r>
  <r>
    <x v="19"/>
    <s v="JUNIO"/>
    <n v="26"/>
    <s v="MIÉRCOLES"/>
    <x v="19"/>
    <s v="POWERADE ION4 MORA AZ PET473X6 MOD(STCK)"/>
    <n v="225"/>
    <n v="225"/>
    <n v="90"/>
  </r>
  <r>
    <x v="19"/>
    <s v="JUNIO"/>
    <n v="26"/>
    <s v="MIÉRCOLES"/>
    <x v="36"/>
    <s v="SAN LUIS SIN GAS PET 625MLX15 C/STICKER"/>
    <n v="1350"/>
    <n v="90"/>
    <n v="540"/>
  </r>
  <r>
    <x v="19"/>
    <s v="JUNIO"/>
    <n v="26"/>
    <s v="MIÉRCOLES"/>
    <x v="24"/>
    <s v="MONSTER ENERGY 473MLX4"/>
    <n v="1680"/>
    <n v="420"/>
    <n v="705.6"/>
  </r>
  <r>
    <x v="19"/>
    <s v="JUNIO"/>
    <n v="26"/>
    <s v="MIÉRCOLES"/>
    <x v="3"/>
    <s v="TWO PACK SCHWEPPES GINGER ALE PET 1.5LX2"/>
    <n v="1980"/>
    <n v="198"/>
    <n v="336.6"/>
  </r>
  <r>
    <x v="19"/>
    <s v="JUNIO"/>
    <n v="26"/>
    <s v="MIÉRCOLES"/>
    <x v="9"/>
    <s v="TRIPACK FT NAR+FT KI+SP PET 3L"/>
    <n v="900"/>
    <n v="90"/>
    <n v="153"/>
  </r>
  <r>
    <x v="19"/>
    <s v="JUNIO"/>
    <n v="26"/>
    <s v="MIÉRCOLES"/>
    <x v="7"/>
    <s v="COCA-COLA PET 1.5LX2 RF"/>
    <n v="2376"/>
    <n v="198"/>
    <n v="403.92"/>
  </r>
  <r>
    <x v="19"/>
    <s v="JUNIO"/>
    <n v="26"/>
    <s v="MIÉRCOLES"/>
    <x v="4"/>
    <s v="COCA-COLA PET 2.25LX2 RF"/>
    <n v="648"/>
    <n v="162"/>
    <n v="110.16000000000001"/>
  </r>
  <r>
    <x v="19"/>
    <s v="JUNIO"/>
    <n v="26"/>
    <s v="MIÉRCOLES"/>
    <x v="8"/>
    <s v="INCA KOLA PET 1.5LX2 RF"/>
    <n v="1188"/>
    <n v="198"/>
    <n v="201.96"/>
  </r>
  <r>
    <x v="19"/>
    <s v="JUNIO"/>
    <n v="26"/>
    <s v="MIÉRCOLES"/>
    <x v="0"/>
    <s v="SAN LUIS SIN GAS PET2500X6 STICKER"/>
    <n v="192"/>
    <n v="48"/>
    <n v="76.800000000000011"/>
  </r>
  <r>
    <x v="19"/>
    <s v="JUNIO"/>
    <n v="26"/>
    <s v="MIÉRCOLES"/>
    <x v="10"/>
    <s v="TWO PACK CC + IK PFM 3LX2 - RFNN"/>
    <n v="1440"/>
    <n v="120"/>
    <n v="244.8"/>
  </r>
  <r>
    <x v="19"/>
    <s v="JUNIO"/>
    <n v="26"/>
    <s v="MIÉRCOLES"/>
    <x v="35"/>
    <s v="SAN LUIS SIN GAS PET 625MLX06 MOD"/>
    <n v="540"/>
    <n v="180"/>
    <n v="226.79999999999998"/>
  </r>
  <r>
    <x v="20"/>
    <s v="JUNIO"/>
    <n v="26"/>
    <s v="JUEVES"/>
    <x v="25"/>
    <s v="POWERADE 3MORA+3FRUT PET 473MLX6"/>
    <n v="450"/>
    <n v="225"/>
    <n v="189"/>
  </r>
  <r>
    <x v="20"/>
    <s v="JUNIO"/>
    <n v="26"/>
    <s v="JUEVES"/>
    <x v="19"/>
    <s v="POWERADE ION4 MORA AZ PET473X6 MOD(STCK)"/>
    <n v="225"/>
    <n v="225"/>
    <n v="90"/>
  </r>
  <r>
    <x v="20"/>
    <s v="JUNIO"/>
    <n v="26"/>
    <s v="JUEVES"/>
    <x v="24"/>
    <s v="MONSTER ENERGY 473MLX4"/>
    <n v="840"/>
    <n v="420"/>
    <n v="352.8"/>
  </r>
  <r>
    <x v="20"/>
    <s v="JUNIO"/>
    <n v="26"/>
    <s v="JUEVES"/>
    <x v="36"/>
    <s v="SAN LUIS SIN GAS PET 625MLX15 C/STICKER"/>
    <n v="1080"/>
    <n v="90"/>
    <n v="432"/>
  </r>
  <r>
    <x v="20"/>
    <s v="JUNIO"/>
    <n v="26"/>
    <s v="JUEVES"/>
    <x v="6"/>
    <s v="INCA KOLA PET 3LX2 - RF"/>
    <n v="1440"/>
    <n v="120"/>
    <n v="244.8"/>
  </r>
  <r>
    <x v="20"/>
    <s v="JUNIO"/>
    <n v="26"/>
    <s v="JUEVES"/>
    <x v="20"/>
    <s v="TRIPACK (FT NAR+SP)PET+IK RF PFM 3L"/>
    <n v="450"/>
    <n v="90"/>
    <n v="76.5"/>
  </r>
  <r>
    <x v="20"/>
    <s v="JUNIO"/>
    <n v="26"/>
    <s v="JUEVES"/>
    <x v="29"/>
    <s v="TWO PACK IK PET 1.5LX2 - CRCG"/>
    <n v="198"/>
    <n v="198"/>
    <n v="33.660000000000004"/>
  </r>
  <r>
    <x v="20"/>
    <s v="JUNIO"/>
    <n v="26"/>
    <s v="JUEVES"/>
    <x v="4"/>
    <s v="COCA-COLA PET 2.25LX2 RF"/>
    <n v="324"/>
    <n v="162"/>
    <n v="55.080000000000005"/>
  </r>
  <r>
    <x v="21"/>
    <s v="JUNIO"/>
    <n v="26"/>
    <s v="VIERNES"/>
    <x v="28"/>
    <s v="COCA COLA VR 1.5LX8 - STICKER"/>
    <n v="60"/>
    <n v="30"/>
    <n v="13.8"/>
  </r>
  <r>
    <x v="21"/>
    <s v="JUNIO"/>
    <n v="26"/>
    <s v="VIERNES"/>
    <x v="33"/>
    <s v="COCA COLA VR 296MLX24 - STICKER"/>
    <n v="80"/>
    <n v="40"/>
    <n v="18.400000000000002"/>
  </r>
  <r>
    <x v="21"/>
    <s v="JUNIO"/>
    <n v="26"/>
    <s v="VIERNES"/>
    <x v="14"/>
    <s v="INCA KOLA VR 296MLX24 - STICKER"/>
    <n v="40"/>
    <n v="40"/>
    <n v="9.2000000000000011"/>
  </r>
  <r>
    <x v="21"/>
    <s v="JUNIO"/>
    <n v="26"/>
    <s v="VIERNES"/>
    <x v="15"/>
    <s v="INCA KOLA VR 625MLX12 - STICKER"/>
    <n v="200"/>
    <n v="50"/>
    <n v="80"/>
  </r>
  <r>
    <x v="21"/>
    <s v="JUNIO"/>
    <n v="26"/>
    <s v="VIERNES"/>
    <x v="0"/>
    <s v="SAN LUIS SIN GAS PET2500X6 STICKER"/>
    <n v="336"/>
    <n v="48"/>
    <n v="134.4"/>
  </r>
  <r>
    <x v="21"/>
    <s v="JUNIO"/>
    <n v="26"/>
    <s v="VIERNES"/>
    <x v="12"/>
    <s v="POWERADE ION4 FRUTA PET473X6 MOD (STICK)"/>
    <n v="675"/>
    <n v="225"/>
    <n v="270"/>
  </r>
  <r>
    <x v="21"/>
    <s v="JUNIO"/>
    <n v="26"/>
    <s v="VIERNES"/>
    <x v="19"/>
    <s v="POWERADE ION4 MORA AZ PET473X6 MOD(STCK)"/>
    <n v="225"/>
    <n v="225"/>
    <n v="90"/>
  </r>
  <r>
    <x v="21"/>
    <s v="JUNIO"/>
    <n v="26"/>
    <s v="VIERNES"/>
    <x v="36"/>
    <s v="SAN LUIS SIN GAS PET 625MLX15 C/STICKER"/>
    <n v="720"/>
    <n v="90"/>
    <n v="288"/>
  </r>
  <r>
    <x v="22"/>
    <s v="JUNIO"/>
    <n v="27"/>
    <s v="SÁBADO"/>
    <x v="1"/>
    <s v="COCA-COLA SIN AZUCAR PET 1.5LX2"/>
    <n v="2178"/>
    <n v="198"/>
    <n v="370.26000000000005"/>
  </r>
  <r>
    <x v="22"/>
    <s v="JUNIO"/>
    <n v="27"/>
    <s v="SÁBADO"/>
    <x v="2"/>
    <s v="INCA KOLA SIN AZUCAR PET 1.5LX2"/>
    <n v="1782"/>
    <n v="198"/>
    <n v="302.94"/>
  </r>
  <r>
    <x v="22"/>
    <s v="JUNIO"/>
    <n v="27"/>
    <s v="SÁBADO"/>
    <x v="3"/>
    <s v="TWO PACK SCHWEPPES GINGER ALE PET 1.5LX2"/>
    <n v="198"/>
    <n v="198"/>
    <n v="33.660000000000004"/>
  </r>
  <r>
    <x v="22"/>
    <s v="JUNIO"/>
    <n v="27"/>
    <s v="SÁBADO"/>
    <x v="6"/>
    <s v="INCA KOLA PET 3LX2 - RF"/>
    <n v="240"/>
    <n v="120"/>
    <n v="40.800000000000004"/>
  </r>
  <r>
    <x v="22"/>
    <s v="JUNIO"/>
    <n v="27"/>
    <s v="SÁBADO"/>
    <x v="17"/>
    <s v="TWO PACK CC PFM 3LX2 - RFCC"/>
    <n v="240"/>
    <n v="120"/>
    <n v="40.800000000000004"/>
  </r>
  <r>
    <x v="22"/>
    <s v="JUNIO"/>
    <n v="27"/>
    <s v="SÁBADO"/>
    <x v="7"/>
    <s v="COCA-COLA PET 1.5LX2 RF"/>
    <n v="1782"/>
    <n v="198"/>
    <n v="302.94"/>
  </r>
  <r>
    <x v="22"/>
    <s v="JUNIO"/>
    <n v="27"/>
    <s v="SÁBADO"/>
    <x v="8"/>
    <s v="INCA KOLA PET 1.5LX2 RF"/>
    <n v="792"/>
    <n v="198"/>
    <n v="134.64000000000001"/>
  </r>
  <r>
    <x v="22"/>
    <s v="JUNIO"/>
    <n v="27"/>
    <s v="SÁBADO"/>
    <x v="10"/>
    <s v="TWO PACK CC + IK PFM 3LX2 - RFNN"/>
    <n v="3840"/>
    <n v="120"/>
    <n v="652.80000000000007"/>
  </r>
  <r>
    <x v="22"/>
    <s v="JUNIO"/>
    <n v="27"/>
    <s v="SÁBADO"/>
    <x v="7"/>
    <s v="COCA-COLA PET 1.5LX2 RF"/>
    <n v="720"/>
    <n v="198"/>
    <n v="122.4"/>
  </r>
  <r>
    <x v="22"/>
    <s v="JUNIO"/>
    <n v="27"/>
    <s v="SÁBADO"/>
    <x v="11"/>
    <s v="TRIPACK (CC+IK)PFM+FT PET 3LX3 - RFNN"/>
    <n v="2880"/>
    <n v="90"/>
    <n v="489.6"/>
  </r>
  <r>
    <x v="22"/>
    <s v="JUNIO"/>
    <n v="27"/>
    <s v="SÁBADO"/>
    <x v="24"/>
    <s v="MONSTER ENERGY 473MLX4"/>
    <n v="2100"/>
    <n v="420"/>
    <n v="882"/>
  </r>
  <r>
    <x v="22"/>
    <s v="JUNIO"/>
    <n v="27"/>
    <s v="SÁBADO"/>
    <x v="32"/>
    <s v="MONSTER ENERGY ULTRA 473MLX4"/>
    <n v="840"/>
    <n v="420"/>
    <n v="352.8"/>
  </r>
  <r>
    <x v="22"/>
    <s v="JUNIO"/>
    <n v="27"/>
    <s v="SÁBADO"/>
    <x v="25"/>
    <s v="POWERADE 3MORA+3FRUT PET 473MLX6"/>
    <n v="900"/>
    <n v="225"/>
    <n v="378"/>
  </r>
  <r>
    <x v="22"/>
    <s v="JUNIO"/>
    <n v="27"/>
    <s v="SÁBADO"/>
    <x v="35"/>
    <s v="SAN LUIS SIN GAS PET 625MLX06 MOD"/>
    <n v="1080"/>
    <n v="180"/>
    <n v="453.59999999999997"/>
  </r>
  <r>
    <x v="22"/>
    <s v="JUNIO"/>
    <n v="27"/>
    <s v="SÁBADO"/>
    <x v="28"/>
    <s v="COCA COLA VR 1.5LX8 - STICKER"/>
    <n v="90"/>
    <n v="30"/>
    <n v="20.7"/>
  </r>
  <r>
    <x v="22"/>
    <s v="JUNIO"/>
    <n v="27"/>
    <s v="SÁBADO"/>
    <x v="15"/>
    <s v="INCA KOLA VR 625MLX12 - STICKER"/>
    <n v="250"/>
    <n v="50"/>
    <n v="100"/>
  </r>
  <r>
    <x v="22"/>
    <s v="JUNIO"/>
    <n v="27"/>
    <s v="SÁBADO"/>
    <x v="0"/>
    <s v="SAN LUIS SIN GAS PET2500X6 STICKER"/>
    <n v="384"/>
    <n v="48"/>
    <n v="153.60000000000002"/>
  </r>
  <r>
    <x v="22"/>
    <s v="JUNIO"/>
    <n v="27"/>
    <s v="SÁBADO"/>
    <x v="12"/>
    <s v="POWERADE ION4 FRUTA PET473X6 MOD (STICK)"/>
    <n v="225"/>
    <n v="225"/>
    <n v="90"/>
  </r>
  <r>
    <x v="22"/>
    <s v="JUNIO"/>
    <n v="27"/>
    <s v="SÁBADO"/>
    <x v="19"/>
    <s v="POWERADE ION4 MORA AZ PET473X6 MOD(STCK)"/>
    <n v="450"/>
    <n v="225"/>
    <n v="180"/>
  </r>
  <r>
    <x v="22"/>
    <s v="JUNIO"/>
    <n v="27"/>
    <s v="SÁBADO"/>
    <x v="16"/>
    <s v="SAN LUIS CON GAS PET 625MLX6"/>
    <n v="360"/>
    <n v="180"/>
    <n v="151.19999999999999"/>
  </r>
  <r>
    <x v="23"/>
    <s v="JUNIO"/>
    <n v="27"/>
    <s v="LUNES"/>
    <x v="1"/>
    <s v="COCA-COLA SIN AZUCAR PET 1.5LX2"/>
    <n v="990"/>
    <n v="198"/>
    <n v="168.3"/>
  </r>
  <r>
    <x v="23"/>
    <s v="JUNIO"/>
    <n v="27"/>
    <s v="LUNES"/>
    <x v="2"/>
    <s v="INCA KOLA SIN AZUCAR PET 1.5LX2"/>
    <n v="792"/>
    <n v="198"/>
    <n v="134.64000000000001"/>
  </r>
  <r>
    <x v="23"/>
    <s v="JUNIO"/>
    <n v="27"/>
    <s v="LUNES"/>
    <x v="3"/>
    <s v="TWO PACK SCHWEPPES GINGER ALE PET 1.5LX2"/>
    <n v="198"/>
    <n v="198"/>
    <n v="33.660000000000004"/>
  </r>
  <r>
    <x v="23"/>
    <s v="JUNIO"/>
    <n v="27"/>
    <s v="LUNES"/>
    <x v="4"/>
    <s v="COCA-COLA PET 2.25LX2 RF"/>
    <n v="162"/>
    <n v="162"/>
    <n v="27.540000000000003"/>
  </r>
  <r>
    <x v="23"/>
    <s v="JUNIO"/>
    <n v="27"/>
    <s v="LUNES"/>
    <x v="6"/>
    <s v="INCA KOLA PET 3LX2 - RF"/>
    <n v="2040"/>
    <n v="120"/>
    <n v="346.8"/>
  </r>
  <r>
    <x v="23"/>
    <s v="JUNIO"/>
    <n v="27"/>
    <s v="LUNES"/>
    <x v="17"/>
    <s v="TWO PACK CC PFM 3LX2 - RFCC"/>
    <n v="480"/>
    <n v="120"/>
    <n v="81.600000000000009"/>
  </r>
  <r>
    <x v="23"/>
    <s v="JUNIO"/>
    <n v="27"/>
    <s v="LUNES"/>
    <x v="7"/>
    <s v="COCA-COLA PET 1.5LX2 RF"/>
    <n v="2178"/>
    <n v="198"/>
    <n v="370.26000000000005"/>
  </r>
  <r>
    <x v="23"/>
    <s v="JUNIO"/>
    <n v="27"/>
    <s v="LUNES"/>
    <x v="8"/>
    <s v="INCA KOLA PET 1.5LX2 RF"/>
    <n v="2376"/>
    <n v="198"/>
    <n v="403.92"/>
  </r>
  <r>
    <x v="23"/>
    <s v="JUNIO"/>
    <n v="27"/>
    <s v="LUNES"/>
    <x v="9"/>
    <s v="TRIPACK FT NAR+FT KI+SP PET 3L"/>
    <n v="900"/>
    <n v="90"/>
    <n v="153"/>
  </r>
  <r>
    <x v="23"/>
    <s v="JUNIO"/>
    <n v="27"/>
    <s v="LUNES"/>
    <x v="10"/>
    <s v="TWO PACK CC + IK PFM 3LX2 - RFNN"/>
    <n v="3600"/>
    <n v="120"/>
    <n v="612"/>
  </r>
  <r>
    <x v="23"/>
    <s v="JUNIO"/>
    <n v="27"/>
    <s v="LUNES"/>
    <x v="11"/>
    <s v="TRIPACK (CC+IK)PFM+FT PET 3LX3 - RFNN"/>
    <n v="2160"/>
    <n v="90"/>
    <n v="367.20000000000005"/>
  </r>
  <r>
    <x v="23"/>
    <s v="JUNIO"/>
    <n v="27"/>
    <s v="LUNES"/>
    <x v="24"/>
    <s v="MONSTER ENERGY 473MLX4"/>
    <n v="420"/>
    <n v="420"/>
    <n v="176.4"/>
  </r>
  <r>
    <x v="23"/>
    <s v="JUNIO"/>
    <n v="27"/>
    <s v="LUNES"/>
    <x v="16"/>
    <s v="SAN LUIS CON GAS PET 625MLX6"/>
    <n v="720"/>
    <n v="180"/>
    <n v="302.39999999999998"/>
  </r>
  <r>
    <x v="23"/>
    <s v="JUNIO"/>
    <n v="27"/>
    <s v="LUNES"/>
    <x v="28"/>
    <s v="COCA COLA VR 1.5LX8 - STICKER"/>
    <n v="30"/>
    <n v="30"/>
    <n v="6.9"/>
  </r>
  <r>
    <x v="23"/>
    <s v="JUNIO"/>
    <n v="27"/>
    <s v="LUNES"/>
    <x v="14"/>
    <s v="INCA KOLA VR 296MLX24 - STICKER"/>
    <n v="80"/>
    <n v="40"/>
    <n v="18.400000000000002"/>
  </r>
  <r>
    <x v="23"/>
    <s v="JUNIO"/>
    <n v="27"/>
    <s v="LUNES"/>
    <x v="15"/>
    <s v="INCA KOLA VR 625MLX12 - STICKER"/>
    <n v="50"/>
    <n v="50"/>
    <n v="20"/>
  </r>
  <r>
    <x v="23"/>
    <s v="JUNIO"/>
    <n v="27"/>
    <s v="LUNES"/>
    <x v="0"/>
    <s v="SAN LUIS SIN GAS PET2500X6 STICKER"/>
    <n v="192"/>
    <n v="48"/>
    <n v="76.800000000000011"/>
  </r>
  <r>
    <x v="24"/>
    <s v="JUNIO"/>
    <n v="27"/>
    <s v="MIÉRCOLES"/>
    <x v="28"/>
    <s v="COCA COLA VR 1.5LX8 - STICKER"/>
    <n v="150"/>
    <n v="30"/>
    <n v="34.5"/>
  </r>
  <r>
    <x v="24"/>
    <s v="JUNIO"/>
    <n v="27"/>
    <s v="MIÉRCOLES"/>
    <x v="33"/>
    <s v="COCA COLA VR 296MLX24 - STICKER"/>
    <n v="80"/>
    <n v="40"/>
    <n v="18.400000000000002"/>
  </r>
  <r>
    <x v="24"/>
    <s v="JUNIO"/>
    <n v="27"/>
    <s v="MIÉRCOLES"/>
    <x v="14"/>
    <s v="INCA KOLA VR 296MLX24 - STICKER"/>
    <n v="80"/>
    <n v="40"/>
    <n v="18.400000000000002"/>
  </r>
  <r>
    <x v="24"/>
    <s v="JUNIO"/>
    <n v="27"/>
    <s v="MIÉRCOLES"/>
    <x v="15"/>
    <s v="INCA KOLA VR 625MLX12 - STICKER"/>
    <n v="50"/>
    <n v="50"/>
    <n v="20"/>
  </r>
  <r>
    <x v="24"/>
    <s v="JUNIO"/>
    <n v="27"/>
    <s v="MIÉRCOLES"/>
    <x v="36"/>
    <s v="SAN LUIS SIN GAS PET 625MLX15 C/STICKER"/>
    <n v="90"/>
    <n v="90"/>
    <n v="36"/>
  </r>
  <r>
    <x v="24"/>
    <s v="JUNIO"/>
    <n v="27"/>
    <s v="MIÉRCOLES"/>
    <x v="0"/>
    <s v="SAN LUIS SIN GAS PET2500X6 STICKER"/>
    <n v="336"/>
    <n v="48"/>
    <n v="134.4"/>
  </r>
  <r>
    <x v="24"/>
    <s v="JUNIO"/>
    <n v="27"/>
    <s v="MIÉRCOLES"/>
    <x v="24"/>
    <s v="MONSTER ENERGY 473MLX4"/>
    <n v="1680"/>
    <n v="420"/>
    <n v="705.6"/>
  </r>
  <r>
    <x v="24"/>
    <s v="JUNIO"/>
    <n v="27"/>
    <s v="MIÉRCOLES"/>
    <x v="1"/>
    <s v="COCA-COLA SIN AZUCAR PET 1.5LX2"/>
    <n v="1782"/>
    <n v="198"/>
    <n v="302.94"/>
  </r>
  <r>
    <x v="24"/>
    <s v="JUNIO"/>
    <n v="27"/>
    <s v="MIÉRCOLES"/>
    <x v="2"/>
    <s v="INCA KOLA SIN AZUCAR PET 1.5LX2"/>
    <n v="1386"/>
    <n v="198"/>
    <n v="235.62"/>
  </r>
  <r>
    <x v="24"/>
    <s v="JUNIO"/>
    <n v="27"/>
    <s v="MIÉRCOLES"/>
    <x v="22"/>
    <s v="TWO PACK SCHWEPPES CITRUS PET 1.5LX2"/>
    <n v="2178"/>
    <n v="198"/>
    <n v="370.26000000000005"/>
  </r>
  <r>
    <x v="24"/>
    <s v="JUNIO"/>
    <n v="27"/>
    <s v="MIÉRCOLES"/>
    <x v="4"/>
    <s v="COCA-COLA PET 2.25LX2 RF"/>
    <n v="324"/>
    <n v="162"/>
    <n v="55.080000000000005"/>
  </r>
  <r>
    <x v="24"/>
    <s v="JUNIO"/>
    <n v="27"/>
    <s v="MIÉRCOLES"/>
    <x v="5"/>
    <s v="INCA KOLA PET 2.25LX2 RF"/>
    <n v="324"/>
    <n v="162"/>
    <n v="55.080000000000005"/>
  </r>
  <r>
    <x v="24"/>
    <s v="JUNIO"/>
    <n v="27"/>
    <s v="MIÉRCOLES"/>
    <x v="6"/>
    <s v="INCA KOLA PET 3LX2 - RF"/>
    <n v="360"/>
    <n v="120"/>
    <n v="61.2"/>
  </r>
  <r>
    <x v="24"/>
    <s v="JUNIO"/>
    <n v="27"/>
    <s v="MIÉRCOLES"/>
    <x v="7"/>
    <s v="COCA-COLA PET 1.5LX2 RF"/>
    <n v="990"/>
    <n v="198"/>
    <n v="168.3"/>
  </r>
  <r>
    <x v="24"/>
    <s v="JUNIO"/>
    <n v="27"/>
    <s v="MIÉRCOLES"/>
    <x v="17"/>
    <s v="TWO PACK CC PFM 3LX2 - RFCC"/>
    <n v="480"/>
    <n v="120"/>
    <n v="81.600000000000009"/>
  </r>
  <r>
    <x v="24"/>
    <s v="JUNIO"/>
    <n v="27"/>
    <s v="MIÉRCOLES"/>
    <x v="8"/>
    <s v="INCA KOLA PET 1.5LX2 RF"/>
    <n v="792"/>
    <n v="198"/>
    <n v="134.64000000000001"/>
  </r>
  <r>
    <x v="24"/>
    <s v="JUNIO"/>
    <n v="27"/>
    <s v="MIÉRCOLES"/>
    <x v="9"/>
    <s v="TRIPACK FT NAR+FT KI+SP PET 3L"/>
    <n v="540"/>
    <n v="90"/>
    <n v="91.800000000000011"/>
  </r>
  <r>
    <x v="24"/>
    <s v="JUNIO"/>
    <n v="27"/>
    <s v="MIÉRCOLES"/>
    <x v="10"/>
    <s v="TWO PACK CC + IK PFM 3LX2 - RFNN"/>
    <n v="2160"/>
    <n v="120"/>
    <n v="367.20000000000005"/>
  </r>
  <r>
    <x v="24"/>
    <s v="JUNIO"/>
    <n v="27"/>
    <s v="MIÉRCOLES"/>
    <x v="26"/>
    <s v="TRIPACK CC+CC+IK PFM 3LX3 - RFNN"/>
    <n v="630"/>
    <n v="90"/>
    <n v="107.10000000000001"/>
  </r>
  <r>
    <x v="24"/>
    <s v="JUNIO"/>
    <n v="27"/>
    <s v="MIÉRCOLES"/>
    <x v="7"/>
    <s v="COCA-COLA PET 1.5LX2 RF"/>
    <n v="1080"/>
    <n v="198"/>
    <n v="183.60000000000002"/>
  </r>
  <r>
    <x v="24"/>
    <s v="JUNIO"/>
    <n v="27"/>
    <s v="MIÉRCOLES"/>
    <x v="11"/>
    <s v="TRIPACK (CC+IK)PFM+FT PET 3LX3 - RFNN"/>
    <n v="1440"/>
    <n v="90"/>
    <n v="244.8"/>
  </r>
  <r>
    <x v="24"/>
    <s v="JUNIO"/>
    <n v="27"/>
    <s v="MIÉRCOLES"/>
    <x v="25"/>
    <s v="POWERADE 3MORA+3FRUT PET 473MLX6"/>
    <n v="1800"/>
    <n v="225"/>
    <n v="756"/>
  </r>
  <r>
    <x v="24"/>
    <s v="JUNIO"/>
    <n v="27"/>
    <s v="MIÉRCOLES"/>
    <x v="12"/>
    <s v="POWERADE ION4 FRUTA PET473X6 MOD (STICK)"/>
    <n v="450"/>
    <n v="225"/>
    <n v="180"/>
  </r>
  <r>
    <x v="24"/>
    <s v="JUNIO"/>
    <n v="27"/>
    <s v="MIÉRCOLES"/>
    <x v="19"/>
    <s v="POWERADE ION4 MORA AZ PET473X6 MOD(STCK)"/>
    <n v="225"/>
    <n v="225"/>
    <n v="90"/>
  </r>
  <r>
    <x v="24"/>
    <s v="JUNIO"/>
    <n v="27"/>
    <s v="MIÉRCOLES"/>
    <x v="35"/>
    <s v="SAN LUIS SIN GAS PET 625MLX06 MOD"/>
    <n v="180"/>
    <n v="180"/>
    <n v="75.599999999999994"/>
  </r>
  <r>
    <x v="24"/>
    <s v="JUNIO"/>
    <n v="27"/>
    <s v="MIÉRCOLES"/>
    <x v="27"/>
    <s v="FRUGOS BEBIDA DZ VNR 286MLX6 C/STICKER"/>
    <n v="350"/>
    <n v="350"/>
    <n v="80.5"/>
  </r>
  <r>
    <x v="25"/>
    <s v="JULIO"/>
    <n v="27"/>
    <s v="JUEVES"/>
    <x v="23"/>
    <s v="TRIPACK CC+IK+IK PFM 3LX3 - RFNN"/>
    <n v="450"/>
    <n v="90"/>
    <n v="76.5"/>
  </r>
  <r>
    <x v="25"/>
    <s v="JULIO"/>
    <n v="27"/>
    <s v="JUEVES"/>
    <x v="11"/>
    <s v="TRIPACK (CC+IK)PFM+FT PET 3LX3 - RFNN"/>
    <n v="1620"/>
    <n v="90"/>
    <n v="275.40000000000003"/>
  </r>
  <r>
    <x v="25"/>
    <s v="JULIO"/>
    <n v="27"/>
    <s v="JUEVES"/>
    <x v="20"/>
    <s v="TRIPACK (FT NAR+SP)PET+IK RF PFM 3L"/>
    <n v="270"/>
    <n v="90"/>
    <n v="45.900000000000006"/>
  </r>
  <r>
    <x v="25"/>
    <s v="JULIO"/>
    <n v="27"/>
    <s v="JUEVES"/>
    <x v="25"/>
    <s v="POWERADE 3MORA+3FRUT PET 473MLX6"/>
    <n v="1800"/>
    <n v="225"/>
    <n v="756"/>
  </r>
  <r>
    <x v="25"/>
    <s v="JULIO"/>
    <n v="27"/>
    <s v="JUEVES"/>
    <x v="12"/>
    <s v="POWERADE ION4 FRUTA PET473X6 MOD (STICK)"/>
    <n v="450"/>
    <n v="225"/>
    <n v="180"/>
  </r>
  <r>
    <x v="25"/>
    <s v="JULIO"/>
    <n v="27"/>
    <s v="JUEVES"/>
    <x v="0"/>
    <s v="SAN LUIS SIN GAS PET2500X6 STICKER"/>
    <n v="192"/>
    <n v="48"/>
    <n v="76.800000000000011"/>
  </r>
  <r>
    <x v="25"/>
    <s v="JULIO"/>
    <n v="27"/>
    <s v="JUEVES"/>
    <x v="34"/>
    <s v="TWO PACK CC PET 1.5LX2 - CRC"/>
    <n v="396"/>
    <n v="198"/>
    <n v="67.320000000000007"/>
  </r>
  <r>
    <x v="25"/>
    <s v="JULIO"/>
    <n v="27"/>
    <s v="JUEVES"/>
    <x v="29"/>
    <s v="TWO PACK IK PET 1.5LX2 - CRCG"/>
    <n v="198"/>
    <n v="198"/>
    <n v="33.660000000000004"/>
  </r>
  <r>
    <x v="25"/>
    <s v="JULIO"/>
    <n v="27"/>
    <s v="JUEVES"/>
    <x v="13"/>
    <s v="INCA KOLA VR 1.5LX8 - STICKER"/>
    <n v="60"/>
    <n v="30"/>
    <n v="24"/>
  </r>
  <r>
    <x v="25"/>
    <s v="JULIO"/>
    <n v="27"/>
    <s v="JUEVES"/>
    <x v="36"/>
    <s v="SAN LUIS SIN GAS PET 625MLX15 C/STICKER"/>
    <n v="180"/>
    <n v="90"/>
    <n v="72"/>
  </r>
  <r>
    <x v="25"/>
    <s v="JULIO"/>
    <n v="27"/>
    <s v="JUEVES"/>
    <x v="24"/>
    <s v="MONSTER ENERGY 473MLX4"/>
    <n v="2100"/>
    <n v="420"/>
    <n v="882"/>
  </r>
  <r>
    <x v="25"/>
    <s v="JULIO"/>
    <n v="27"/>
    <s v="JUEVES"/>
    <x v="32"/>
    <s v="MONSTER ENERGY ULTRA 473MLX4"/>
    <n v="840"/>
    <n v="420"/>
    <n v="352.8"/>
  </r>
  <r>
    <x v="25"/>
    <s v="JULIO"/>
    <n v="27"/>
    <s v="JUEVES"/>
    <x v="1"/>
    <s v="COCA-COLA SIN AZUCAR PET 1.5LX2"/>
    <n v="1782"/>
    <n v="198"/>
    <n v="302.94"/>
  </r>
  <r>
    <x v="25"/>
    <s v="JULIO"/>
    <n v="27"/>
    <s v="JUEVES"/>
    <x v="2"/>
    <s v="INCA KOLA SIN AZUCAR PET 1.5LX2"/>
    <n v="1980"/>
    <n v="198"/>
    <n v="336.6"/>
  </r>
  <r>
    <x v="25"/>
    <s v="JULIO"/>
    <n v="27"/>
    <s v="JUEVES"/>
    <x v="22"/>
    <s v="TWO PACK SCHWEPPES CITRUS PET 1.5LX2"/>
    <n v="792"/>
    <n v="198"/>
    <n v="134.64000000000001"/>
  </r>
  <r>
    <x v="25"/>
    <s v="JULIO"/>
    <n v="27"/>
    <s v="JUEVES"/>
    <x v="3"/>
    <s v="TWO PACK SCHWEPPES GINGER ALE PET 1.5LX2"/>
    <n v="594"/>
    <n v="198"/>
    <n v="100.98"/>
  </r>
  <r>
    <x v="25"/>
    <s v="JULIO"/>
    <n v="27"/>
    <s v="JUEVES"/>
    <x v="4"/>
    <s v="COCA-COLA PET 2.25LX2 RF"/>
    <n v="162"/>
    <n v="162"/>
    <n v="27.540000000000003"/>
  </r>
  <r>
    <x v="25"/>
    <s v="JULIO"/>
    <n v="27"/>
    <s v="JUEVES"/>
    <x v="5"/>
    <s v="INCA KOLA PET 2.25LX2 RF"/>
    <n v="162"/>
    <n v="162"/>
    <n v="27.540000000000003"/>
  </r>
  <r>
    <x v="25"/>
    <s v="JULIO"/>
    <n v="27"/>
    <s v="JUEVES"/>
    <x v="6"/>
    <s v="INCA KOLA PET 3LX2 - RF"/>
    <n v="480"/>
    <n v="120"/>
    <n v="81.600000000000009"/>
  </r>
  <r>
    <x v="25"/>
    <s v="JULIO"/>
    <n v="27"/>
    <s v="JUEVES"/>
    <x v="7"/>
    <s v="COCA-COLA PET 1.5LX2 RF"/>
    <n v="792"/>
    <n v="198"/>
    <n v="134.64000000000001"/>
  </r>
  <r>
    <x v="25"/>
    <s v="JULIO"/>
    <n v="27"/>
    <s v="JUEVES"/>
    <x v="8"/>
    <s v="INCA KOLA PET 1.5LX2 RF"/>
    <n v="990"/>
    <n v="198"/>
    <n v="168.3"/>
  </r>
  <r>
    <x v="25"/>
    <s v="JULIO"/>
    <n v="27"/>
    <s v="JUEVES"/>
    <x v="9"/>
    <s v="TRIPACK FT NAR+FT KI+SP PET 3L"/>
    <n v="540"/>
    <n v="90"/>
    <n v="91.800000000000011"/>
  </r>
  <r>
    <x v="25"/>
    <s v="JULIO"/>
    <n v="27"/>
    <s v="JUEVES"/>
    <x v="10"/>
    <s v="TWO PACK CC + IK PFM 3LX2 - RFNN"/>
    <n v="1920"/>
    <n v="120"/>
    <n v="326.40000000000003"/>
  </r>
  <r>
    <x v="26"/>
    <s v="JULIO"/>
    <n v="27"/>
    <s v="VIERNES"/>
    <x v="28"/>
    <s v="COCA COLA VR 1.5LX8 - STICKER"/>
    <n v="180"/>
    <n v="30"/>
    <n v="41.4"/>
  </r>
  <r>
    <x v="26"/>
    <s v="JULIO"/>
    <n v="27"/>
    <s v="VIERNES"/>
    <x v="15"/>
    <s v="INCA KOLA VR 625MLX12 - STICKER"/>
    <n v="100"/>
    <n v="50"/>
    <n v="40"/>
  </r>
  <r>
    <x v="26"/>
    <s v="JULIO"/>
    <n v="27"/>
    <s v="VIERNES"/>
    <x v="0"/>
    <s v="SAN LUIS SIN GAS PET2500X6 STICKER"/>
    <n v="672"/>
    <n v="48"/>
    <n v="268.8"/>
  </r>
  <r>
    <x v="26"/>
    <s v="JULIO"/>
    <n v="27"/>
    <s v="VIERNES"/>
    <x v="24"/>
    <s v="MONSTER ENERGY 473MLX4"/>
    <n v="840"/>
    <n v="420"/>
    <n v="352.8"/>
  </r>
  <r>
    <x v="26"/>
    <s v="JULIO"/>
    <n v="27"/>
    <s v="VIERNES"/>
    <x v="16"/>
    <s v="SAN LUIS CON GAS PET 625MLX6"/>
    <n v="360"/>
    <n v="180"/>
    <n v="151.19999999999999"/>
  </r>
  <r>
    <x v="26"/>
    <s v="JULIO"/>
    <n v="27"/>
    <s v="VIERNES"/>
    <x v="1"/>
    <s v="COCA-COLA SIN AZUCAR PET 1.5LX2"/>
    <n v="396"/>
    <n v="198"/>
    <n v="67.320000000000007"/>
  </r>
  <r>
    <x v="26"/>
    <s v="JULIO"/>
    <n v="27"/>
    <s v="VIERNES"/>
    <x v="2"/>
    <s v="INCA KOLA SIN AZUCAR PET 1.5LX2"/>
    <n v="2574"/>
    <n v="198"/>
    <n v="437.58000000000004"/>
  </r>
  <r>
    <x v="26"/>
    <s v="JULIO"/>
    <n v="27"/>
    <s v="VIERNES"/>
    <x v="22"/>
    <s v="TWO PACK SCHWEPPES CITRUS PET 1.5LX2"/>
    <n v="198"/>
    <n v="198"/>
    <n v="33.660000000000004"/>
  </r>
  <r>
    <x v="26"/>
    <s v="JULIO"/>
    <n v="27"/>
    <s v="VIERNES"/>
    <x v="4"/>
    <s v="COCA-COLA PET 2.25LX2 RF"/>
    <n v="324"/>
    <n v="162"/>
    <n v="55.080000000000005"/>
  </r>
  <r>
    <x v="26"/>
    <s v="JULIO"/>
    <n v="27"/>
    <s v="VIERNES"/>
    <x v="5"/>
    <s v="INCA KOLA PET 2.25LX2 RF"/>
    <n v="324"/>
    <n v="162"/>
    <n v="55.080000000000005"/>
  </r>
  <r>
    <x v="26"/>
    <s v="JULIO"/>
    <n v="27"/>
    <s v="VIERNES"/>
    <x v="6"/>
    <s v="INCA KOLA PET 3LX2 - RF"/>
    <n v="1080"/>
    <n v="120"/>
    <n v="183.60000000000002"/>
  </r>
  <r>
    <x v="26"/>
    <s v="JULIO"/>
    <n v="27"/>
    <s v="VIERNES"/>
    <x v="17"/>
    <s v="TWO PACK CC PFM 3LX2 - RFCC"/>
    <n v="1200"/>
    <n v="120"/>
    <n v="204.00000000000003"/>
  </r>
  <r>
    <x v="26"/>
    <s v="JULIO"/>
    <n v="27"/>
    <s v="VIERNES"/>
    <x v="7"/>
    <s v="COCA-COLA PET 1.5LX2 RF"/>
    <n v="1188"/>
    <n v="198"/>
    <n v="201.96"/>
  </r>
  <r>
    <x v="26"/>
    <s v="JULIO"/>
    <n v="27"/>
    <s v="VIERNES"/>
    <x v="8"/>
    <s v="INCA KOLA PET 1.5LX2 RF"/>
    <n v="1188"/>
    <n v="198"/>
    <n v="201.96"/>
  </r>
  <r>
    <x v="26"/>
    <s v="JULIO"/>
    <n v="27"/>
    <s v="VIERNES"/>
    <x v="9"/>
    <s v="TRIPACK FT NAR+FT KI+SP PET 3L"/>
    <n v="540"/>
    <n v="90"/>
    <n v="91.800000000000011"/>
  </r>
  <r>
    <x v="26"/>
    <s v="JULIO"/>
    <n v="27"/>
    <s v="VIERNES"/>
    <x v="10"/>
    <s v="TWO PACK CC + IK PFM 3LX2 - RFNN"/>
    <n v="1200"/>
    <n v="120"/>
    <n v="204.00000000000003"/>
  </r>
  <r>
    <x v="26"/>
    <s v="JULIO"/>
    <n v="27"/>
    <s v="VIERNES"/>
    <x v="11"/>
    <s v="TRIPACK (CC+IK)PFM+FT PET 3LX3 - RFNN"/>
    <n v="900"/>
    <n v="90"/>
    <n v="153"/>
  </r>
  <r>
    <x v="26"/>
    <s v="JULIO"/>
    <n v="27"/>
    <s v="VIERNES"/>
    <x v="20"/>
    <s v="TRIPACK (FT NAR+SP)PET+IK RF PFM 3L"/>
    <n v="270"/>
    <n v="90"/>
    <n v="45.900000000000006"/>
  </r>
  <r>
    <x v="26"/>
    <s v="JULIO"/>
    <n v="27"/>
    <s v="VIERNES"/>
    <x v="25"/>
    <s v="POWERADE 3MORA+3FRUT PET 473MLX6"/>
    <n v="1800"/>
    <n v="225"/>
    <n v="756"/>
  </r>
  <r>
    <x v="26"/>
    <s v="JULIO"/>
    <n v="27"/>
    <s v="VIERNES"/>
    <x v="12"/>
    <s v="POWERADE ION4 FRUTA PET473X6 MOD (STICK)"/>
    <n v="450"/>
    <n v="225"/>
    <n v="180"/>
  </r>
  <r>
    <x v="26"/>
    <s v="JULIO"/>
    <n v="27"/>
    <s v="VIERNES"/>
    <x v="37"/>
    <s v="INCA KOLA PET 500MLX6"/>
    <n v="1500"/>
    <n v="225"/>
    <n v="630"/>
  </r>
  <r>
    <x v="27"/>
    <s v="JULIO"/>
    <n v="28"/>
    <s v="SÁBADO"/>
    <x v="26"/>
    <s v="TRIPACK CC+CC+IK PFM 3LX3 - RFNN"/>
    <n v="90"/>
    <n v="90"/>
    <n v="15.3"/>
  </r>
  <r>
    <x v="27"/>
    <s v="JULIO"/>
    <n v="28"/>
    <s v="SÁBADO"/>
    <x v="23"/>
    <s v="TRIPACK CC+IK+IK PFM 3LX3 - RFNN"/>
    <n v="270"/>
    <n v="90"/>
    <n v="45.900000000000006"/>
  </r>
  <r>
    <x v="27"/>
    <s v="JULIO"/>
    <n v="28"/>
    <s v="SÁBADO"/>
    <x v="37"/>
    <s v="INCA KOLA PET 500MLX6"/>
    <n v="1250"/>
    <n v="225"/>
    <n v="525"/>
  </r>
  <r>
    <x v="27"/>
    <s v="JULIO"/>
    <n v="28"/>
    <s v="SÁBADO"/>
    <x v="11"/>
    <s v="TRIPACK (CC+IK)PFM+FT PET 3LX3 - RFNN"/>
    <n v="180"/>
    <n v="90"/>
    <n v="30.6"/>
  </r>
  <r>
    <x v="27"/>
    <s v="JULIO"/>
    <n v="28"/>
    <s v="SÁBADO"/>
    <x v="20"/>
    <s v="TRIPACK (FT NAR+SP)PET+IK RF PFM 3L"/>
    <n v="450"/>
    <n v="90"/>
    <n v="76.5"/>
  </r>
  <r>
    <x v="27"/>
    <s v="JULIO"/>
    <n v="28"/>
    <s v="SÁBADO"/>
    <x v="9"/>
    <s v="TRIPACK FT NAR+FT KI+SP PET 3L"/>
    <n v="540"/>
    <n v="90"/>
    <n v="91.800000000000011"/>
  </r>
  <r>
    <x v="27"/>
    <s v="JULIO"/>
    <n v="28"/>
    <s v="SÁBADO"/>
    <x v="11"/>
    <s v="TRIPACK (CC+IK)PFM+FT PET 3LX3 - RFNN"/>
    <n v="1890"/>
    <n v="90"/>
    <n v="321.3"/>
  </r>
  <r>
    <x v="27"/>
    <s v="JULIO"/>
    <n v="28"/>
    <s v="SÁBADO"/>
    <x v="10"/>
    <s v="TWO PACK CC + IK PFM 3LX2 - RFNN"/>
    <n v="480"/>
    <n v="120"/>
    <n v="81.600000000000009"/>
  </r>
  <r>
    <x v="27"/>
    <s v="JULIO"/>
    <n v="28"/>
    <s v="SÁBADO"/>
    <x v="0"/>
    <s v="SAN LUIS SIN GAS PET2500X6 STICKER"/>
    <n v="240"/>
    <n v="48"/>
    <n v="96"/>
  </r>
  <r>
    <x v="27"/>
    <s v="JULIO"/>
    <n v="28"/>
    <s v="SÁBADO"/>
    <x v="17"/>
    <s v="TWO PACK CC PFM 3LX2 - RFCC"/>
    <n v="720"/>
    <n v="120"/>
    <n v="122.4"/>
  </r>
  <r>
    <x v="27"/>
    <s v="JULIO"/>
    <n v="28"/>
    <s v="SÁBADO"/>
    <x v="6"/>
    <s v="INCA KOLA PET 3LX2 - RF"/>
    <n v="1560"/>
    <n v="120"/>
    <n v="265.20000000000005"/>
  </r>
  <r>
    <x v="27"/>
    <s v="JULIO"/>
    <n v="28"/>
    <s v="SÁBADO"/>
    <x v="8"/>
    <s v="INCA KOLA PET 1.5LX2 RF"/>
    <n v="1188"/>
    <n v="198"/>
    <n v="201.96"/>
  </r>
  <r>
    <x v="27"/>
    <s v="JULIO"/>
    <n v="28"/>
    <s v="SÁBADO"/>
    <x v="7"/>
    <s v="COCA-COLA PET 1.5LX2 RF"/>
    <n v="792"/>
    <n v="198"/>
    <n v="134.64000000000001"/>
  </r>
  <r>
    <x v="27"/>
    <s v="JULIO"/>
    <n v="28"/>
    <s v="SÁBADO"/>
    <x v="2"/>
    <s v="INCA KOLA SIN AZUCAR PET 1.5LX2"/>
    <n v="1188"/>
    <n v="198"/>
    <n v="201.96"/>
  </r>
  <r>
    <x v="27"/>
    <s v="JULIO"/>
    <n v="28"/>
    <s v="SÁBADO"/>
    <x v="1"/>
    <s v="COCA-COLA SIN AZUCAR PET 1.5LX2"/>
    <n v="2178"/>
    <n v="198"/>
    <n v="370.26000000000005"/>
  </r>
  <r>
    <x v="27"/>
    <s v="JULIO"/>
    <n v="28"/>
    <s v="SÁBADO"/>
    <x v="22"/>
    <s v="TWO PACK SCHWEPPES CITRUS PET 1.5LX2"/>
    <n v="594"/>
    <n v="198"/>
    <n v="100.98"/>
  </r>
  <r>
    <x v="27"/>
    <s v="JULIO"/>
    <n v="28"/>
    <s v="SÁBADO"/>
    <x v="24"/>
    <s v="MONSTER ENERGY 473MLX4"/>
    <n v="1680"/>
    <n v="420"/>
    <n v="705.6"/>
  </r>
  <r>
    <x v="27"/>
    <s v="JULIO"/>
    <n v="28"/>
    <s v="SÁBADO"/>
    <x v="16"/>
    <s v="SAN LUIS CON GAS PET 625MLX6"/>
    <n v="180"/>
    <n v="180"/>
    <n v="75.599999999999994"/>
  </r>
  <r>
    <x v="27"/>
    <s v="JULIO"/>
    <n v="28"/>
    <s v="SÁBADO"/>
    <x v="4"/>
    <s v="COCA-COLA PET 2.25LX2 RF"/>
    <n v="162"/>
    <n v="162"/>
    <n v="27.540000000000003"/>
  </r>
  <r>
    <x v="28"/>
    <s v="JULIO"/>
    <n v="28"/>
    <s v="LUNES"/>
    <x v="22"/>
    <s v="TWO PACK SCHWEPPES CITRUS PET 1.5LX2"/>
    <n v="792"/>
    <n v="198"/>
    <n v="134.64000000000001"/>
  </r>
  <r>
    <x v="28"/>
    <s v="JULIO"/>
    <n v="28"/>
    <s v="LUNES"/>
    <x v="19"/>
    <s v="POWERADE ION4 MORA AZ PET473X6 MOD(STCK)"/>
    <n v="450"/>
    <n v="225"/>
    <n v="180"/>
  </r>
  <r>
    <x v="28"/>
    <s v="JULIO"/>
    <n v="28"/>
    <s v="LUNES"/>
    <x v="24"/>
    <s v="MONSTER ENERGY 473MLX4"/>
    <n v="2940"/>
    <n v="420"/>
    <n v="1234.8"/>
  </r>
  <r>
    <x v="28"/>
    <s v="JULIO"/>
    <n v="28"/>
    <s v="LUNES"/>
    <x v="9"/>
    <s v="TRIPACK FT NAR+FT KI+SP PET 3L"/>
    <n v="540"/>
    <n v="90"/>
    <n v="91.800000000000011"/>
  </r>
  <r>
    <x v="28"/>
    <s v="JULIO"/>
    <n v="28"/>
    <s v="LUNES"/>
    <x v="11"/>
    <s v="TRIPACK (CC+IK)PFM+FT PET 3LX3 - RFNN"/>
    <n v="360"/>
    <n v="90"/>
    <n v="61.2"/>
  </r>
  <r>
    <x v="28"/>
    <s v="JULIO"/>
    <n v="28"/>
    <s v="LUNES"/>
    <x v="5"/>
    <s v="INCA KOLA PET 2.25LX2 RF"/>
    <n v="324"/>
    <n v="162"/>
    <n v="55.080000000000005"/>
  </r>
  <r>
    <x v="28"/>
    <s v="JULIO"/>
    <n v="28"/>
    <s v="LUNES"/>
    <x v="8"/>
    <s v="INCA KOLA PET 1.5LX2 RF"/>
    <n v="990"/>
    <n v="198"/>
    <n v="168.3"/>
  </r>
  <r>
    <x v="28"/>
    <s v="JULIO"/>
    <n v="28"/>
    <s v="LUNES"/>
    <x v="2"/>
    <s v="INCA KOLA SIN AZUCAR PET 1.5LX2"/>
    <n v="3564"/>
    <n v="198"/>
    <n v="605.88"/>
  </r>
  <r>
    <x v="28"/>
    <s v="JULIO"/>
    <n v="28"/>
    <s v="LUNES"/>
    <x v="27"/>
    <s v="FRUGOS BEBIDA DZ VNR 286MLX6 C/STICKER"/>
    <n v="700"/>
    <n v="350"/>
    <n v="161"/>
  </r>
  <r>
    <x v="28"/>
    <s v="JULIO"/>
    <n v="28"/>
    <s v="LUNES"/>
    <x v="32"/>
    <s v="MONSTER ENERGY ULTRA 473MLX4"/>
    <n v="420"/>
    <n v="420"/>
    <n v="176.4"/>
  </r>
  <r>
    <x v="28"/>
    <s v="JULIO"/>
    <n v="28"/>
    <s v="LUNES"/>
    <x v="10"/>
    <s v="TWO PACK CC + IK PFM 3LX2 - RFNN"/>
    <n v="1920"/>
    <n v="120"/>
    <n v="326.40000000000003"/>
  </r>
  <r>
    <x v="28"/>
    <s v="JULIO"/>
    <n v="28"/>
    <s v="LUNES"/>
    <x v="6"/>
    <s v="INCA KOLA PET 3LX2 - RF"/>
    <n v="120"/>
    <n v="120"/>
    <n v="20.400000000000002"/>
  </r>
  <r>
    <x v="28"/>
    <s v="JULIO"/>
    <n v="28"/>
    <s v="LUNES"/>
    <x v="7"/>
    <s v="COCA-COLA PET 1.5LX2 RF"/>
    <n v="792"/>
    <n v="198"/>
    <n v="134.64000000000001"/>
  </r>
  <r>
    <x v="28"/>
    <s v="JULIO"/>
    <n v="28"/>
    <s v="LUNES"/>
    <x v="23"/>
    <s v="TRIPACK CC+IK+IK PFM 3LX3 - RFNN"/>
    <n v="720"/>
    <n v="90"/>
    <n v="122.4"/>
  </r>
  <r>
    <x v="28"/>
    <s v="JULIO"/>
    <n v="28"/>
    <s v="LUNES"/>
    <x v="16"/>
    <s v="SAN LUIS CON GAS PET 625MLX6"/>
    <n v="180"/>
    <n v="180"/>
    <n v="75.599999999999994"/>
  </r>
  <r>
    <x v="29"/>
    <s v="JULIO"/>
    <n v="28"/>
    <s v="MARTES"/>
    <x v="5"/>
    <s v="INCA KOLA PET 2.25LX2 RF"/>
    <n v="648"/>
    <n v="162"/>
    <n v="110.16000000000001"/>
  </r>
  <r>
    <x v="29"/>
    <s v="JULIO"/>
    <n v="28"/>
    <s v="MARTES"/>
    <x v="2"/>
    <s v="INCA KOLA SIN AZUCAR PET 1.5LX2"/>
    <n v="1188"/>
    <n v="198"/>
    <n v="201.96"/>
  </r>
  <r>
    <x v="29"/>
    <s v="JULIO"/>
    <n v="28"/>
    <s v="MARTES"/>
    <x v="1"/>
    <s v="COCA-COLA SIN AZUCAR PET 1.5LX2"/>
    <n v="2574"/>
    <n v="198"/>
    <n v="437.58000000000004"/>
  </r>
  <r>
    <x v="29"/>
    <s v="JULIO"/>
    <n v="28"/>
    <s v="MARTES"/>
    <x v="20"/>
    <s v="TRIPACK (FT NAR+SP)PET+IK RF PFM 3L"/>
    <n v="450"/>
    <n v="90"/>
    <n v="76.5"/>
  </r>
  <r>
    <x v="29"/>
    <s v="JULIO"/>
    <n v="28"/>
    <s v="MARTES"/>
    <x v="17"/>
    <s v="TWO PACK CC PFM 3LX2 - RFCC"/>
    <n v="720"/>
    <n v="120"/>
    <n v="122.4"/>
  </r>
  <r>
    <x v="29"/>
    <s v="JULIO"/>
    <n v="28"/>
    <s v="MARTES"/>
    <x v="7"/>
    <s v="COCA-COLA PET 1.5LX2 RF"/>
    <n v="1782"/>
    <n v="198"/>
    <n v="302.94"/>
  </r>
  <r>
    <x v="29"/>
    <s v="JULIO"/>
    <n v="28"/>
    <s v="MARTES"/>
    <x v="25"/>
    <s v="POWERADE 3MORA+3FRUT PET 473MLX6"/>
    <n v="1350"/>
    <n v="225"/>
    <n v="567"/>
  </r>
  <r>
    <x v="29"/>
    <s v="JULIO"/>
    <n v="28"/>
    <s v="MARTES"/>
    <x v="15"/>
    <s v="INCA KOLA VR 625MLX12 - STICKER"/>
    <n v="400"/>
    <n v="50"/>
    <n v="160"/>
  </r>
  <r>
    <x v="29"/>
    <s v="JULIO"/>
    <n v="28"/>
    <s v="MARTES"/>
    <x v="3"/>
    <s v="TWO PACK SCHWEPPES GINGER ALE PET 1.5LX2"/>
    <n v="792"/>
    <n v="198"/>
    <n v="134.64000000000001"/>
  </r>
  <r>
    <x v="29"/>
    <s v="JULIO"/>
    <n v="28"/>
    <s v="MARTES"/>
    <x v="8"/>
    <s v="INCA KOLA PET 1.5LX2 RF"/>
    <n v="1188"/>
    <n v="198"/>
    <n v="201.96"/>
  </r>
  <r>
    <x v="29"/>
    <s v="JULIO"/>
    <n v="28"/>
    <s v="MARTES"/>
    <x v="4"/>
    <s v="COCA-COLA PET 2.25LX2 RF"/>
    <n v="972"/>
    <n v="162"/>
    <n v="165.24"/>
  </r>
  <r>
    <x v="29"/>
    <s v="JULIO"/>
    <n v="28"/>
    <s v="MARTES"/>
    <x v="11"/>
    <s v="TRIPACK (CC+IK)PFM+FT PET 3LX3 - RFNN"/>
    <n v="450"/>
    <n v="90"/>
    <n v="76.5"/>
  </r>
  <r>
    <x v="29"/>
    <s v="JULIO"/>
    <n v="28"/>
    <s v="MARTES"/>
    <x v="9"/>
    <s v="TRIPACK FT NAR+FT KI+SP PET 3L"/>
    <n v="720"/>
    <n v="90"/>
    <n v="122.4"/>
  </r>
  <r>
    <x v="29"/>
    <s v="JULIO"/>
    <n v="28"/>
    <s v="MARTES"/>
    <x v="10"/>
    <s v="TWO PACK CC + IK PFM 3LX2 - RFNN"/>
    <n v="960"/>
    <n v="120"/>
    <n v="163.20000000000002"/>
  </r>
  <r>
    <x v="29"/>
    <s v="JULIO"/>
    <n v="28"/>
    <s v="MARTES"/>
    <x v="12"/>
    <s v="POWERADE ION4 FRUTA PET473X6 MOD (STICK)"/>
    <n v="675"/>
    <n v="225"/>
    <n v="270"/>
  </r>
  <r>
    <x v="29"/>
    <s v="JULIO"/>
    <n v="28"/>
    <s v="MARTES"/>
    <x v="0"/>
    <s v="SAN LUIS SIN GAS PET2500X6 STICKER"/>
    <n v="192"/>
    <n v="48"/>
    <n v="76.800000000000011"/>
  </r>
  <r>
    <x v="29"/>
    <s v="JULIO"/>
    <n v="28"/>
    <s v="MARTES"/>
    <x v="6"/>
    <s v="INCA KOLA PET 3LX2 - RF"/>
    <n v="1080"/>
    <n v="120"/>
    <n v="183.60000000000002"/>
  </r>
  <r>
    <x v="30"/>
    <s v="JULIO"/>
    <n v="28"/>
    <s v="MIÉRCOLES"/>
    <x v="27"/>
    <s v="FRUGOS BEBIDA DZ VNR 286MLX6 C/STICKER"/>
    <n v="392"/>
    <n v="350"/>
    <n v="90.160000000000011"/>
  </r>
  <r>
    <x v="30"/>
    <s v="JULIO"/>
    <n v="28"/>
    <s v="MIÉRCOLES"/>
    <x v="16"/>
    <s v="SAN LUIS CON GAS PET 625MLX6"/>
    <n v="900"/>
    <n v="180"/>
    <n v="378"/>
  </r>
  <r>
    <x v="30"/>
    <s v="JULIO"/>
    <n v="28"/>
    <s v="MIÉRCOLES"/>
    <x v="13"/>
    <s v="INCA KOLA VR 1.5LX8 - STICKER"/>
    <n v="60"/>
    <n v="30"/>
    <n v="24"/>
  </r>
  <r>
    <x v="30"/>
    <s v="JULIO"/>
    <n v="28"/>
    <s v="MIÉRCOLES"/>
    <x v="25"/>
    <s v="POWERADE 3MORA+3FRUT PET 473MLX6"/>
    <n v="900"/>
    <n v="225"/>
    <n v="378"/>
  </r>
  <r>
    <x v="30"/>
    <s v="JULIO"/>
    <n v="28"/>
    <s v="MIÉRCOLES"/>
    <x v="27"/>
    <s v="FRUGOS BEBIDA DZ VNR 286MLX6 C/STICKER"/>
    <n v="350"/>
    <n v="350"/>
    <n v="80.5"/>
  </r>
  <r>
    <x v="30"/>
    <s v="JULIO"/>
    <n v="28"/>
    <s v="MIÉRCOLES"/>
    <x v="12"/>
    <s v="POWERADE ION4 FRUTA PET473X6 MOD (STICK)"/>
    <n v="225"/>
    <n v="225"/>
    <n v="90"/>
  </r>
  <r>
    <x v="30"/>
    <s v="JULIO"/>
    <n v="28"/>
    <s v="MIÉRCOLES"/>
    <x v="19"/>
    <s v="POWERADE ION4 MORA AZ PET473X6 MOD(STCK)"/>
    <n v="450"/>
    <n v="225"/>
    <n v="180"/>
  </r>
  <r>
    <x v="30"/>
    <s v="JULIO"/>
    <n v="28"/>
    <s v="MIÉRCOLES"/>
    <x v="0"/>
    <s v="SAN LUIS SIN GAS PET2500X6 STICKER"/>
    <n v="192"/>
    <n v="48"/>
    <n v="76.800000000000011"/>
  </r>
  <r>
    <x v="30"/>
    <s v="JULIO"/>
    <n v="28"/>
    <s v="MIÉRCOLES"/>
    <x v="17"/>
    <s v="TWO PACK CC PFM 3LX2 - RFCC"/>
    <n v="240"/>
    <n v="120"/>
    <n v="40.800000000000004"/>
  </r>
  <r>
    <x v="30"/>
    <s v="JULIO"/>
    <n v="28"/>
    <s v="MIÉRCOLES"/>
    <x v="20"/>
    <s v="TRIPACK (FT NAR+SP)PET+IK RF PFM 3L"/>
    <n v="180"/>
    <n v="90"/>
    <n v="30.6"/>
  </r>
  <r>
    <x v="30"/>
    <s v="JULIO"/>
    <n v="28"/>
    <s v="MIÉRCOLES"/>
    <x v="11"/>
    <s v="TRIPACK (CC+IK)PFM+FT PET 3LX3 - RFNN"/>
    <n v="720"/>
    <n v="90"/>
    <n v="122.4"/>
  </r>
  <r>
    <x v="30"/>
    <s v="JULIO"/>
    <n v="28"/>
    <s v="MIÉRCOLES"/>
    <x v="23"/>
    <s v="TRIPACK CC+IK+IK PFM 3LX3 - RFNN"/>
    <n v="270"/>
    <n v="90"/>
    <n v="45.900000000000006"/>
  </r>
  <r>
    <x v="30"/>
    <s v="JULIO"/>
    <n v="28"/>
    <s v="MIÉRCOLES"/>
    <x v="9"/>
    <s v="TRIPACK FT NAR+FT KI+SP PET 3L"/>
    <n v="450"/>
    <n v="90"/>
    <n v="76.5"/>
  </r>
  <r>
    <x v="30"/>
    <s v="JULIO"/>
    <n v="28"/>
    <s v="MIÉRCOLES"/>
    <x v="26"/>
    <s v="TRIPACK CC+CC+IK PFM 3LX3 - RFNN"/>
    <n v="180"/>
    <n v="90"/>
    <n v="30.6"/>
  </r>
  <r>
    <x v="30"/>
    <s v="JULIO"/>
    <n v="28"/>
    <s v="MIÉRCOLES"/>
    <x v="15"/>
    <s v="INCA KOLA VR 625MLX12 - STICKER"/>
    <n v="400"/>
    <n v="50"/>
    <n v="160"/>
  </r>
  <r>
    <x v="30"/>
    <s v="JULIO"/>
    <n v="28"/>
    <s v="MIÉRCOLES"/>
    <x v="8"/>
    <s v="INCA KOLA PET 1.5LX2 RF"/>
    <n v="1188"/>
    <n v="198"/>
    <n v="201.96"/>
  </r>
  <r>
    <x v="30"/>
    <s v="JULIO"/>
    <n v="28"/>
    <s v="MIÉRCOLES"/>
    <x v="1"/>
    <s v="COCA-COLA SIN AZUCAR PET 1.5LX2"/>
    <n v="4752"/>
    <n v="198"/>
    <n v="807.84"/>
  </r>
  <r>
    <x v="30"/>
    <s v="JULIO"/>
    <n v="28"/>
    <s v="MIÉRCOLES"/>
    <x v="2"/>
    <s v="INCA KOLA SIN AZUCAR PET 1.5LX2"/>
    <n v="1386"/>
    <n v="198"/>
    <n v="235.62"/>
  </r>
  <r>
    <x v="30"/>
    <s v="JULIO"/>
    <n v="28"/>
    <s v="MIÉRCOLES"/>
    <x v="3"/>
    <s v="TWO PACK SCHWEPPES GINGER ALE PET 1.5LX2"/>
    <n v="990"/>
    <n v="198"/>
    <n v="168.3"/>
  </r>
  <r>
    <x v="30"/>
    <s v="JULIO"/>
    <n v="28"/>
    <s v="MIÉRCOLES"/>
    <x v="22"/>
    <s v="TWO PACK SCHWEPPES CITRUS PET 1.5LX2"/>
    <n v="396"/>
    <n v="198"/>
    <n v="67.320000000000007"/>
  </r>
  <r>
    <x v="30"/>
    <s v="JULIO"/>
    <n v="28"/>
    <s v="MIÉRCOLES"/>
    <x v="7"/>
    <s v="COCA-COLA PET 1.5LX2 RF"/>
    <n v="792"/>
    <n v="198"/>
    <n v="134.64000000000001"/>
  </r>
  <r>
    <x v="30"/>
    <s v="JULIO"/>
    <n v="28"/>
    <s v="MIÉRCOLES"/>
    <x v="5"/>
    <s v="INCA KOLA PET 2.25LX2 RF"/>
    <n v="648"/>
    <n v="162"/>
    <n v="110.16000000000001"/>
  </r>
  <r>
    <x v="30"/>
    <s v="JULIO"/>
    <n v="28"/>
    <s v="MIÉRCOLES"/>
    <x v="4"/>
    <s v="COCA-COLA PET 2.25LX2 RF"/>
    <n v="648"/>
    <n v="162"/>
    <n v="110.16000000000001"/>
  </r>
  <r>
    <x v="31"/>
    <s v="JULIO"/>
    <n v="28"/>
    <s v="JUEVES"/>
    <x v="1"/>
    <s v="COCA-COLA SIN AZUCAR PET 1.5LX2"/>
    <n v="1188"/>
    <n v="198"/>
    <n v="201.96"/>
  </r>
  <r>
    <x v="31"/>
    <s v="JULIO"/>
    <n v="28"/>
    <s v="JUEVES"/>
    <x v="7"/>
    <s v="COCA-COLA PET 1.5LX2 RF"/>
    <n v="2376"/>
    <n v="198"/>
    <n v="403.92"/>
  </r>
  <r>
    <x v="31"/>
    <s v="JULIO"/>
    <n v="28"/>
    <s v="JUEVES"/>
    <x v="11"/>
    <s v="TRIPACK (CC+IK)PFM+FT PET 3LX3 - RFNN"/>
    <n v="1440"/>
    <n v="90"/>
    <n v="244.8"/>
  </r>
  <r>
    <x v="31"/>
    <s v="JULIO"/>
    <n v="28"/>
    <s v="JUEVES"/>
    <x v="3"/>
    <s v="TWO PACK SCHWEPPES GINGER ALE PET 1.5LX2"/>
    <n v="792"/>
    <n v="198"/>
    <n v="134.64000000000001"/>
  </r>
  <r>
    <x v="31"/>
    <s v="JULIO"/>
    <n v="28"/>
    <s v="JUEVES"/>
    <x v="9"/>
    <s v="TRIPACK FT NAR+FT KI+SP PET 3L"/>
    <n v="900"/>
    <n v="90"/>
    <n v="153"/>
  </r>
  <r>
    <x v="31"/>
    <s v="JULIO"/>
    <n v="28"/>
    <s v="JUEVES"/>
    <x v="17"/>
    <s v="TWO PACK CC PFM 3LX2 - RFCC"/>
    <n v="1440"/>
    <n v="120"/>
    <n v="244.8"/>
  </r>
  <r>
    <x v="31"/>
    <s v="JULIO"/>
    <n v="28"/>
    <s v="JUEVES"/>
    <x v="2"/>
    <s v="INCA KOLA SIN AZUCAR PET 1.5LX2"/>
    <n v="1584"/>
    <n v="198"/>
    <n v="269.28000000000003"/>
  </r>
  <r>
    <x v="31"/>
    <s v="JULIO"/>
    <n v="28"/>
    <s v="JUEVES"/>
    <x v="23"/>
    <s v="TRIPACK CC+IK+IK PFM 3LX3 - RFNN"/>
    <n v="2700"/>
    <n v="90"/>
    <n v="459.00000000000006"/>
  </r>
  <r>
    <x v="31"/>
    <s v="JULIO"/>
    <n v="28"/>
    <s v="JUEVES"/>
    <x v="6"/>
    <s v="INCA KOLA PET 3LX2 - RF"/>
    <n v="1080"/>
    <n v="120"/>
    <n v="183.60000000000002"/>
  </r>
  <r>
    <x v="31"/>
    <s v="JULIO"/>
    <n v="28"/>
    <s v="JUEVES"/>
    <x v="13"/>
    <s v="INCA KOLA VR 1.5LX8 - STICKER"/>
    <n v="60"/>
    <n v="30"/>
    <n v="24"/>
  </r>
  <r>
    <x v="31"/>
    <s v="JULIO"/>
    <n v="28"/>
    <s v="JUEVES"/>
    <x v="15"/>
    <s v="INCA KOLA VR 625MLX12 - STICKER"/>
    <n v="100"/>
    <n v="50"/>
    <n v="40"/>
  </r>
  <r>
    <x v="31"/>
    <s v="JULIO"/>
    <n v="28"/>
    <s v="JUEVES"/>
    <x v="8"/>
    <s v="INCA KOLA PET 1.5LX2 RF"/>
    <n v="792"/>
    <n v="198"/>
    <n v="134.64000000000001"/>
  </r>
  <r>
    <x v="31"/>
    <s v="JULIO"/>
    <n v="28"/>
    <s v="JUEVES"/>
    <x v="26"/>
    <s v="TRIPACK CC+CC+IK PFM 3LX3 - RFNN"/>
    <n v="630"/>
    <n v="90"/>
    <n v="107.10000000000001"/>
  </r>
  <r>
    <x v="31"/>
    <s v="JULIO"/>
    <n v="28"/>
    <s v="JUEVES"/>
    <x v="0"/>
    <s v="SAN LUIS SIN GAS PET2500X6 STICKER"/>
    <n v="144"/>
    <n v="48"/>
    <n v="57.6"/>
  </r>
  <r>
    <x v="31"/>
    <s v="JULIO"/>
    <n v="28"/>
    <s v="JUEVES"/>
    <x v="28"/>
    <s v="COCA COLA VR 1.5LX8 - STICKER"/>
    <n v="30"/>
    <n v="30"/>
    <n v="6.9"/>
  </r>
  <r>
    <x v="31"/>
    <s v="JULIO"/>
    <n v="28"/>
    <s v="JUEVES"/>
    <x v="4"/>
    <s v="COCA-COLA PET 2.25LX2 RF"/>
    <n v="162"/>
    <n v="162"/>
    <n v="27.540000000000003"/>
  </r>
  <r>
    <x v="31"/>
    <s v="JULIO"/>
    <n v="28"/>
    <s v="JUEVES"/>
    <x v="22"/>
    <s v="TWO PACK SCHWEPPES CITRUS PET 1.5LX2"/>
    <n v="198"/>
    <n v="198"/>
    <n v="33.660000000000004"/>
  </r>
  <r>
    <x v="32"/>
    <s v="JULIO"/>
    <n v="28"/>
    <s v="VIERNES"/>
    <x v="15"/>
    <s v="INCA KOLA VR 625MLX12 - STICKER"/>
    <n v="400"/>
    <n v="50"/>
    <n v="160"/>
  </r>
  <r>
    <x v="32"/>
    <s v="JULIO"/>
    <n v="28"/>
    <s v="VIERNES"/>
    <x v="13"/>
    <s v="INCA KOLA VR 1.5LX8 - STICKER"/>
    <n v="60"/>
    <n v="30"/>
    <n v="24"/>
  </r>
  <r>
    <x v="32"/>
    <s v="JULIO"/>
    <n v="28"/>
    <s v="VIERNES"/>
    <x v="0"/>
    <s v="SAN LUIS SIN GAS PET2500X6 STICKER"/>
    <n v="96"/>
    <n v="48"/>
    <n v="38.400000000000006"/>
  </r>
  <r>
    <x v="32"/>
    <s v="JULIO"/>
    <n v="28"/>
    <s v="VIERNES"/>
    <x v="16"/>
    <s v="SAN LUIS CON GAS PET 625MLX6"/>
    <n v="360"/>
    <n v="180"/>
    <n v="151.19999999999999"/>
  </r>
  <r>
    <x v="32"/>
    <s v="JULIO"/>
    <n v="28"/>
    <s v="VIERNES"/>
    <x v="22"/>
    <s v="TWO PACK SCHWEPPES CITRUS PET 1.5LX2"/>
    <n v="792"/>
    <n v="198"/>
    <n v="134.64000000000001"/>
  </r>
  <r>
    <x v="32"/>
    <s v="JULIO"/>
    <n v="28"/>
    <s v="VIERNES"/>
    <x v="2"/>
    <s v="INCA KOLA SIN AZUCAR PET 1.5LX2"/>
    <n v="792"/>
    <n v="198"/>
    <n v="134.64000000000001"/>
  </r>
  <r>
    <x v="32"/>
    <s v="JULIO"/>
    <n v="28"/>
    <s v="VIERNES"/>
    <x v="20"/>
    <s v="TRIPACK (FT NAR+SP)PET+IK RF PFM 3L"/>
    <n v="450"/>
    <n v="90"/>
    <n v="76.5"/>
  </r>
  <r>
    <x v="32"/>
    <s v="JULIO"/>
    <n v="28"/>
    <s v="VIERNES"/>
    <x v="23"/>
    <s v="TRIPACK CC+IK+IK PFM 3LX3 - RFNN"/>
    <n v="2610"/>
    <n v="90"/>
    <n v="443.70000000000005"/>
  </r>
  <r>
    <x v="32"/>
    <s v="JULIO"/>
    <n v="28"/>
    <s v="VIERNES"/>
    <x v="11"/>
    <s v="TRIPACK (CC+IK)PFM+FT PET 3LX3 - RFNN"/>
    <n v="1440"/>
    <n v="90"/>
    <n v="244.8"/>
  </r>
  <r>
    <x v="32"/>
    <s v="JULIO"/>
    <n v="28"/>
    <s v="VIERNES"/>
    <x v="25"/>
    <s v="POWERADE 3MORA+3FRUT PET 473MLX6"/>
    <n v="1800"/>
    <n v="225"/>
    <n v="756"/>
  </r>
  <r>
    <x v="32"/>
    <s v="JULIO"/>
    <n v="28"/>
    <s v="VIERNES"/>
    <x v="34"/>
    <s v="TWO PACK CC PET 1.5LX2 - CRC"/>
    <n v="1188"/>
    <n v="198"/>
    <n v="201.96"/>
  </r>
  <r>
    <x v="32"/>
    <s v="JULIO"/>
    <n v="28"/>
    <s v="VIERNES"/>
    <x v="3"/>
    <s v="TWO PACK SCHWEPPES GINGER ALE PET 1.5LX2"/>
    <n v="396"/>
    <n v="198"/>
    <n v="67.320000000000007"/>
  </r>
  <r>
    <x v="32"/>
    <s v="JULIO"/>
    <n v="28"/>
    <s v="VIERNES"/>
    <x v="1"/>
    <s v="COCA-COLA SIN AZUCAR PET 1.5LX2"/>
    <n v="2376"/>
    <n v="198"/>
    <n v="403.92"/>
  </r>
  <r>
    <x v="32"/>
    <s v="JULIO"/>
    <n v="28"/>
    <s v="VIERNES"/>
    <x v="7"/>
    <s v="COCA-COLA PET 1.5LX2 RF"/>
    <n v="792"/>
    <n v="198"/>
    <n v="134.64000000000001"/>
  </r>
  <r>
    <x v="32"/>
    <s v="JULIO"/>
    <n v="28"/>
    <s v="VIERNES"/>
    <x v="17"/>
    <s v="TWO PACK CC PFM 3LX2 - RFCC"/>
    <n v="480"/>
    <n v="120"/>
    <n v="81.600000000000009"/>
  </r>
  <r>
    <x v="32"/>
    <s v="JULIO"/>
    <n v="28"/>
    <s v="VIERNES"/>
    <x v="8"/>
    <s v="INCA KOLA PET 1.5LX2 RF"/>
    <n v="792"/>
    <n v="198"/>
    <n v="134.64000000000001"/>
  </r>
  <r>
    <x v="32"/>
    <s v="JULIO"/>
    <n v="28"/>
    <s v="VIERNES"/>
    <x v="26"/>
    <s v="TRIPACK CC+CC+IK PFM 3LX3 - RFNN"/>
    <n v="540"/>
    <n v="90"/>
    <n v="91.800000000000011"/>
  </r>
  <r>
    <x v="32"/>
    <s v="JULIO"/>
    <n v="28"/>
    <s v="VIERNES"/>
    <x v="9"/>
    <s v="TRIPACK FT NAR+FT KI+SP PET 3L"/>
    <n v="720"/>
    <n v="90"/>
    <n v="122.4"/>
  </r>
  <r>
    <x v="32"/>
    <s v="JULIO"/>
    <n v="28"/>
    <s v="VIERNES"/>
    <x v="19"/>
    <s v="POWERADE ION4 MORA AZ PET473X6 MOD(STCK)"/>
    <n v="450"/>
    <n v="225"/>
    <n v="180"/>
  </r>
  <r>
    <x v="32"/>
    <s v="JULIO"/>
    <n v="28"/>
    <s v="VIERNES"/>
    <x v="12"/>
    <s v="POWERADE ION4 FRUTA PET473X6 MOD (STICK)"/>
    <n v="450"/>
    <n v="225"/>
    <n v="180"/>
  </r>
  <r>
    <x v="32"/>
    <s v="JULIO"/>
    <n v="28"/>
    <s v="VIERNES"/>
    <x v="4"/>
    <s v="COCA-COLA PET 2.25LX2 RF"/>
    <n v="324"/>
    <n v="162"/>
    <n v="55.080000000000005"/>
  </r>
  <r>
    <x v="33"/>
    <s v="JULIO"/>
    <n v="29"/>
    <s v="SÁBADO"/>
    <x v="16"/>
    <s v="SAN LUIS CON GAS PET 625MLX6"/>
    <n v="360"/>
    <n v="180"/>
    <n v="151.19999999999999"/>
  </r>
  <r>
    <x v="33"/>
    <s v="JULIO"/>
    <n v="29"/>
    <s v="SÁBADO"/>
    <x v="3"/>
    <s v="TWO PACK SCHWEPPES GINGER ALE PET 1.5LX2"/>
    <n v="396"/>
    <n v="198"/>
    <n v="67.320000000000007"/>
  </r>
  <r>
    <x v="33"/>
    <s v="JULIO"/>
    <n v="29"/>
    <s v="SÁBADO"/>
    <x v="23"/>
    <s v="TRIPACK CC+IK+IK PFM 3LX3 - RFNN"/>
    <n v="1440"/>
    <n v="90"/>
    <n v="244.8"/>
  </r>
  <r>
    <x v="33"/>
    <s v="JULIO"/>
    <n v="29"/>
    <s v="SÁBADO"/>
    <x v="9"/>
    <s v="TRIPACK FT NAR+FT KI+SP PET 3L"/>
    <n v="900"/>
    <n v="90"/>
    <n v="153"/>
  </r>
  <r>
    <x v="33"/>
    <s v="JULIO"/>
    <n v="29"/>
    <s v="SÁBADO"/>
    <x v="1"/>
    <s v="COCA-COLA SIN AZUCAR PET 1.5LX2"/>
    <n v="2772"/>
    <n v="198"/>
    <n v="471.24"/>
  </r>
  <r>
    <x v="33"/>
    <s v="JULIO"/>
    <n v="29"/>
    <s v="SÁBADO"/>
    <x v="7"/>
    <s v="COCA-COLA PET 1.5LX2 RF"/>
    <n v="3564"/>
    <n v="198"/>
    <n v="605.88"/>
  </r>
  <r>
    <x v="33"/>
    <s v="JULIO"/>
    <n v="29"/>
    <s v="SÁBADO"/>
    <x v="13"/>
    <s v="INCA KOLA VR 1.5LX8 - STICKER"/>
    <n v="60"/>
    <n v="30"/>
    <n v="24"/>
  </r>
  <r>
    <x v="33"/>
    <s v="JULIO"/>
    <n v="29"/>
    <s v="SÁBADO"/>
    <x v="33"/>
    <s v="COCA COLA VR 296MLX24 - STICKER"/>
    <n v="40"/>
    <n v="40"/>
    <n v="9.2000000000000011"/>
  </r>
  <r>
    <x v="33"/>
    <s v="JULIO"/>
    <n v="29"/>
    <s v="SÁBADO"/>
    <x v="22"/>
    <s v="TWO PACK SCHWEPPES CITRUS PET 1.5LX2"/>
    <n v="792"/>
    <n v="198"/>
    <n v="134.64000000000001"/>
  </r>
  <r>
    <x v="33"/>
    <s v="JULIO"/>
    <n v="29"/>
    <s v="SÁBADO"/>
    <x v="8"/>
    <s v="INCA KOLA PET 1.5LX2 RF"/>
    <n v="396"/>
    <n v="198"/>
    <n v="67.320000000000007"/>
  </r>
  <r>
    <x v="33"/>
    <s v="JULIO"/>
    <n v="29"/>
    <s v="SÁBADO"/>
    <x v="6"/>
    <s v="INCA KOLA PET 3LX2 - RF"/>
    <n v="480"/>
    <n v="120"/>
    <n v="81.600000000000009"/>
  </r>
  <r>
    <x v="33"/>
    <s v="JULIO"/>
    <n v="29"/>
    <s v="SÁBADO"/>
    <x v="2"/>
    <s v="INCA KOLA SIN AZUCAR PET 1.5LX2"/>
    <n v="1188"/>
    <n v="198"/>
    <n v="201.96"/>
  </r>
  <r>
    <x v="33"/>
    <s v="JULIO"/>
    <n v="29"/>
    <s v="SÁBADO"/>
    <x v="10"/>
    <s v="TWO PACK CC + IK PFM 3LX2 - RFNN"/>
    <n v="1440"/>
    <n v="120"/>
    <n v="244.8"/>
  </r>
  <r>
    <x v="33"/>
    <s v="JULIO"/>
    <n v="29"/>
    <s v="SÁBADO"/>
    <x v="17"/>
    <s v="TWO PACK CC PFM 3LX2 - RFCC"/>
    <n v="240"/>
    <n v="120"/>
    <n v="40.800000000000004"/>
  </r>
  <r>
    <x v="33"/>
    <s v="JULIO"/>
    <n v="29"/>
    <s v="SÁBADO"/>
    <x v="11"/>
    <s v="TRIPACK (CC+IK)PFM+FT PET 3LX3 - RFNN"/>
    <n v="450"/>
    <n v="90"/>
    <n v="76.5"/>
  </r>
  <r>
    <x v="33"/>
    <s v="JULIO"/>
    <n v="29"/>
    <s v="SÁBADO"/>
    <x v="26"/>
    <s v="TRIPACK CC+CC+IK PFM 3LX3 - RFNN"/>
    <n v="90"/>
    <n v="90"/>
    <n v="15.3"/>
  </r>
  <r>
    <x v="33"/>
    <s v="JULIO"/>
    <n v="29"/>
    <s v="SÁBADO"/>
    <x v="25"/>
    <s v="POWERADE 3MORA+3FRUT PET 473MLX6"/>
    <n v="900"/>
    <n v="225"/>
    <n v="378"/>
  </r>
  <r>
    <x v="33"/>
    <s v="JULIO"/>
    <n v="29"/>
    <s v="SÁBADO"/>
    <x v="12"/>
    <s v="POWERADE ION4 FRUTA PET473X6 MOD (STICK)"/>
    <n v="225"/>
    <n v="225"/>
    <n v="90"/>
  </r>
  <r>
    <x v="33"/>
    <s v="JULIO"/>
    <n v="29"/>
    <s v="SÁBADO"/>
    <x v="0"/>
    <s v="SAN LUIS SIN GAS PET2500X6 STICKER"/>
    <n v="576"/>
    <n v="48"/>
    <n v="230.4"/>
  </r>
  <r>
    <x v="34"/>
    <s v="JULIO"/>
    <n v="29"/>
    <s v="LUNES"/>
    <x v="10"/>
    <s v="TWO PACK CC + IK PFM 3LX2 - RFNN"/>
    <n v="1440"/>
    <n v="120"/>
    <n v="244.8"/>
  </r>
  <r>
    <x v="34"/>
    <s v="JULIO"/>
    <n v="29"/>
    <s v="LUNES"/>
    <x v="11"/>
    <s v="TRIPACK (CC+IK)PFM+FT PET 3LX3 - RFNN"/>
    <n v="810"/>
    <n v="90"/>
    <n v="137.70000000000002"/>
  </r>
  <r>
    <x v="34"/>
    <s v="JULIO"/>
    <n v="29"/>
    <s v="LUNES"/>
    <x v="6"/>
    <s v="INCA KOLA PET 3LX2 - RF"/>
    <n v="960"/>
    <n v="120"/>
    <n v="163.20000000000002"/>
  </r>
  <r>
    <x v="34"/>
    <s v="JULIO"/>
    <n v="29"/>
    <s v="LUNES"/>
    <x v="7"/>
    <s v="COCA-COLA PET 1.5LX2 RF"/>
    <n v="1188"/>
    <n v="198"/>
    <n v="201.96"/>
  </r>
  <r>
    <x v="34"/>
    <s v="JULIO"/>
    <n v="29"/>
    <s v="LUNES"/>
    <x v="0"/>
    <s v="SAN LUIS SIN GAS PET2500X6 STICKER"/>
    <n v="672"/>
    <n v="48"/>
    <n v="268.8"/>
  </r>
  <r>
    <x v="34"/>
    <s v="JULIO"/>
    <n v="29"/>
    <s v="LUNES"/>
    <x v="38"/>
    <s v="SL S/G TAPA PLANA 1LT"/>
    <n v="448"/>
    <n v="112"/>
    <n v="179.20000000000002"/>
  </r>
  <r>
    <x v="34"/>
    <s v="JULIO"/>
    <n v="29"/>
    <s v="LUNES"/>
    <x v="16"/>
    <s v="SAN LUIS CON GAS PET 625MLX6"/>
    <n v="900"/>
    <n v="180"/>
    <n v="378"/>
  </r>
  <r>
    <x v="34"/>
    <s v="JULIO"/>
    <n v="29"/>
    <s v="LUNES"/>
    <x v="25"/>
    <s v="POWERADE 3MORA+3FRUT PET 473MLX6"/>
    <n v="450"/>
    <n v="225"/>
    <n v="189"/>
  </r>
  <r>
    <x v="34"/>
    <s v="JULIO"/>
    <n v="29"/>
    <s v="LUNES"/>
    <x v="23"/>
    <s v="TRIPACK CC+IK+IK PFM 3LX3 - RFNN"/>
    <n v="450"/>
    <n v="90"/>
    <n v="76.5"/>
  </r>
  <r>
    <x v="34"/>
    <s v="JULIO"/>
    <n v="29"/>
    <s v="LUNES"/>
    <x v="27"/>
    <s v="FRUGOS BEBIDA DZ VNR 286MLX6 C/STICKER"/>
    <n v="1050"/>
    <n v="350"/>
    <n v="241.5"/>
  </r>
  <r>
    <x v="34"/>
    <s v="JULIO"/>
    <n v="29"/>
    <s v="LUNES"/>
    <x v="17"/>
    <s v="TWO PACK CC PFM 3LX2 - RFCC"/>
    <n v="240"/>
    <n v="120"/>
    <n v="40.800000000000004"/>
  </r>
  <r>
    <x v="34"/>
    <s v="JULIO"/>
    <n v="29"/>
    <s v="LUNES"/>
    <x v="26"/>
    <s v="TRIPACK CC+CC+IK PFM 3LX3 - RFNN"/>
    <n v="450"/>
    <n v="90"/>
    <n v="76.5"/>
  </r>
  <r>
    <x v="34"/>
    <s v="JULIO"/>
    <n v="29"/>
    <s v="LUNES"/>
    <x v="1"/>
    <s v="COCA-COLA SIN AZUCAR PET 1.5LX2"/>
    <n v="2772"/>
    <n v="198"/>
    <n v="471.24"/>
  </r>
  <r>
    <x v="34"/>
    <s v="JULIO"/>
    <n v="29"/>
    <s v="LUNES"/>
    <x v="2"/>
    <s v="INCA KOLA SIN AZUCAR PET 1.5LX2"/>
    <n v="1584"/>
    <n v="198"/>
    <n v="269.28000000000003"/>
  </r>
  <r>
    <x v="34"/>
    <s v="JULIO"/>
    <n v="29"/>
    <s v="LUNES"/>
    <x v="8"/>
    <s v="INCA KOLA PET 1.5LX2 RF"/>
    <n v="792"/>
    <n v="198"/>
    <n v="134.64000000000001"/>
  </r>
  <r>
    <x v="34"/>
    <s v="JULIO"/>
    <n v="29"/>
    <s v="LUNES"/>
    <x v="15"/>
    <s v="INCA KOLA VR 625MLX12 - STICKER"/>
    <n v="100"/>
    <n v="50"/>
    <n v="40"/>
  </r>
  <r>
    <x v="35"/>
    <s v="JULIO"/>
    <n v="29"/>
    <s v="MARTES"/>
    <x v="0"/>
    <s v="SAN LUIS SIN GAS PET2500X6 STICKER"/>
    <n v="192"/>
    <n v="48"/>
    <n v="76.800000000000011"/>
  </r>
  <r>
    <x v="35"/>
    <s v="JULIO"/>
    <n v="29"/>
    <s v="MARTES"/>
    <x v="16"/>
    <s v="SAN LUIS CON GAS PET 625MLX6"/>
    <n v="180"/>
    <n v="180"/>
    <n v="75.599999999999994"/>
  </r>
  <r>
    <x v="35"/>
    <s v="JULIO"/>
    <n v="29"/>
    <s v="MARTES"/>
    <x v="19"/>
    <s v="POWERADE ION4 MORA AZ PET473X6 MOD(STCK)"/>
    <n v="225"/>
    <n v="225"/>
    <n v="90"/>
  </r>
  <r>
    <x v="35"/>
    <s v="JULIO"/>
    <n v="29"/>
    <s v="MARTES"/>
    <x v="24"/>
    <s v="MONSTER ENERGY 473MLX4"/>
    <n v="840"/>
    <n v="420"/>
    <n v="352.8"/>
  </r>
  <r>
    <x v="35"/>
    <s v="JULIO"/>
    <n v="29"/>
    <s v="MARTES"/>
    <x v="23"/>
    <s v="TRIPACK CC+IK+IK PFM 3LX3 - RFNN"/>
    <n v="720"/>
    <n v="90"/>
    <n v="122.4"/>
  </r>
  <r>
    <x v="35"/>
    <s v="JULIO"/>
    <n v="29"/>
    <s v="MARTES"/>
    <x v="2"/>
    <s v="INCA KOLA SIN AZUCAR PET 1.5LX2"/>
    <n v="1188"/>
    <n v="198"/>
    <n v="201.96"/>
  </r>
  <r>
    <x v="35"/>
    <s v="JULIO"/>
    <n v="29"/>
    <s v="MARTES"/>
    <x v="3"/>
    <s v="TWO PACK SCHWEPPES GINGER ALE PET 1.5LX2"/>
    <n v="792"/>
    <n v="198"/>
    <n v="134.64000000000001"/>
  </r>
  <r>
    <x v="35"/>
    <s v="JULIO"/>
    <n v="29"/>
    <s v="MARTES"/>
    <x v="4"/>
    <s v="COCA-COLA PET 2.25LX2 RF"/>
    <n v="162"/>
    <n v="162"/>
    <n v="27.540000000000003"/>
  </r>
  <r>
    <x v="35"/>
    <s v="JULIO"/>
    <n v="29"/>
    <s v="MARTES"/>
    <x v="5"/>
    <s v="INCA KOLA PET 2.25LX2 RF"/>
    <n v="324"/>
    <n v="162"/>
    <n v="55.080000000000005"/>
  </r>
  <r>
    <x v="35"/>
    <s v="JULIO"/>
    <n v="29"/>
    <s v="MARTES"/>
    <x v="6"/>
    <s v="INCA KOLA PET 3LX2 - RF"/>
    <n v="1680"/>
    <n v="120"/>
    <n v="285.60000000000002"/>
  </r>
  <r>
    <x v="35"/>
    <s v="JULIO"/>
    <n v="29"/>
    <s v="MARTES"/>
    <x v="17"/>
    <s v="TWO PACK CC PFM 3LX2 - RFCC"/>
    <n v="960"/>
    <n v="120"/>
    <n v="163.20000000000002"/>
  </r>
  <r>
    <x v="35"/>
    <s v="JULIO"/>
    <n v="29"/>
    <s v="MARTES"/>
    <x v="7"/>
    <s v="COCA-COLA PET 1.5LX2 RF"/>
    <n v="198"/>
    <n v="198"/>
    <n v="33.660000000000004"/>
  </r>
  <r>
    <x v="35"/>
    <s v="JULIO"/>
    <n v="29"/>
    <s v="MARTES"/>
    <x v="8"/>
    <s v="INCA KOLA PET 1.5LX2 RF"/>
    <n v="2772"/>
    <n v="198"/>
    <n v="471.24"/>
  </r>
  <r>
    <x v="35"/>
    <s v="JULIO"/>
    <n v="29"/>
    <s v="MARTES"/>
    <x v="9"/>
    <s v="TRIPACK FT NAR+FT KI+SP PET 3L"/>
    <n v="720"/>
    <n v="90"/>
    <n v="122.4"/>
  </r>
  <r>
    <x v="35"/>
    <s v="JULIO"/>
    <n v="29"/>
    <s v="MARTES"/>
    <x v="10"/>
    <s v="TWO PACK CC + IK PFM 3LX2 - RFNN"/>
    <n v="1680"/>
    <n v="120"/>
    <n v="285.60000000000002"/>
  </r>
  <r>
    <x v="35"/>
    <s v="JULIO"/>
    <n v="29"/>
    <s v="MARTES"/>
    <x v="11"/>
    <s v="TRIPACK (CC+IK)PFM+FT PET 3LX3 - RFNN"/>
    <n v="2160"/>
    <n v="90"/>
    <n v="367.20000000000005"/>
  </r>
  <r>
    <x v="35"/>
    <s v="JULIO"/>
    <n v="29"/>
    <s v="MARTES"/>
    <x v="12"/>
    <s v="POWERADE ION4 FRUTA PET473X6 MOD (STICK)"/>
    <n v="225"/>
    <n v="225"/>
    <n v="90"/>
  </r>
  <r>
    <x v="35"/>
    <s v="JULIO"/>
    <n v="29"/>
    <s v="MARTES"/>
    <x v="28"/>
    <s v="COCA COLA VR 1.5LX8 - STICKER"/>
    <n v="60"/>
    <n v="30"/>
    <n v="13.8"/>
  </r>
  <r>
    <x v="35"/>
    <s v="JULIO"/>
    <n v="29"/>
    <s v="MARTES"/>
    <x v="13"/>
    <s v="INCA KOLA VR 1.5LX8 - STICKER"/>
    <n v="60"/>
    <n v="30"/>
    <n v="24"/>
  </r>
  <r>
    <x v="35"/>
    <s v="JULIO"/>
    <n v="29"/>
    <s v="MARTES"/>
    <x v="15"/>
    <s v="INCA KOLA VR 625MLX12 - STICKER"/>
    <n v="100"/>
    <n v="50"/>
    <n v="40"/>
  </r>
  <r>
    <x v="36"/>
    <s v="JULIO"/>
    <n v="29"/>
    <s v="MIÉRCOLES"/>
    <x v="9"/>
    <s v="TRIPACK FT NAR+FT KI+SP PET 3L"/>
    <n v="450"/>
    <n v="90"/>
    <n v="76.5"/>
  </r>
  <r>
    <x v="36"/>
    <s v="JULIO"/>
    <n v="29"/>
    <s v="MIÉRCOLES"/>
    <x v="7"/>
    <s v="COCA-COLA PET 1.5LX2 RF"/>
    <n v="1584"/>
    <n v="198"/>
    <n v="269.28000000000003"/>
  </r>
  <r>
    <x v="36"/>
    <s v="JULIO"/>
    <n v="29"/>
    <s v="MIÉRCOLES"/>
    <x v="1"/>
    <s v="COCA-COLA SIN AZUCAR PET 1.5LX2"/>
    <n v="592"/>
    <n v="198"/>
    <n v="100.64"/>
  </r>
  <r>
    <x v="36"/>
    <s v="JULIO"/>
    <n v="29"/>
    <s v="MIÉRCOLES"/>
    <x v="3"/>
    <s v="TWO PACK SCHWEPPES GINGER ALE PET 1.5LX2"/>
    <n v="198"/>
    <n v="198"/>
    <n v="33.660000000000004"/>
  </r>
  <r>
    <x v="36"/>
    <s v="JULIO"/>
    <n v="29"/>
    <s v="MIÉRCOLES"/>
    <x v="2"/>
    <s v="INCA KOLA SIN AZUCAR PET 1.5LX2"/>
    <n v="792"/>
    <n v="198"/>
    <n v="134.64000000000001"/>
  </r>
  <r>
    <x v="36"/>
    <s v="JULIO"/>
    <n v="29"/>
    <s v="MIÉRCOLES"/>
    <x v="26"/>
    <s v="TRIPACK CC+CC+IK PFM 3LX3 - RFNN"/>
    <n v="450"/>
    <n v="90"/>
    <n v="76.5"/>
  </r>
  <r>
    <x v="36"/>
    <s v="JULIO"/>
    <n v="29"/>
    <s v="MIÉRCOLES"/>
    <x v="7"/>
    <s v="COCA-COLA PET 1.5LX2 RF"/>
    <n v="1188"/>
    <n v="198"/>
    <n v="201.96"/>
  </r>
  <r>
    <x v="36"/>
    <s v="JULIO"/>
    <n v="29"/>
    <s v="MIÉRCOLES"/>
    <x v="6"/>
    <s v="INCA KOLA PET 3LX2 - RF"/>
    <n v="360"/>
    <n v="120"/>
    <n v="61.2"/>
  </r>
  <r>
    <x v="36"/>
    <s v="JULIO"/>
    <n v="29"/>
    <s v="MIÉRCOLES"/>
    <x v="2"/>
    <s v="INCA KOLA SIN AZUCAR PET 1.5LX2"/>
    <n v="594"/>
    <n v="198"/>
    <n v="100.98"/>
  </r>
  <r>
    <x v="36"/>
    <s v="JULIO"/>
    <n v="29"/>
    <s v="MIÉRCOLES"/>
    <x v="1"/>
    <s v="COCA-COLA SIN AZUCAR PET 1.5LX2"/>
    <n v="594"/>
    <n v="198"/>
    <n v="100.98"/>
  </r>
  <r>
    <x v="36"/>
    <s v="JULIO"/>
    <n v="29"/>
    <s v="MIÉRCOLES"/>
    <x v="8"/>
    <s v="INCA KOLA PET 1.5LX2 RF"/>
    <n v="1386"/>
    <n v="198"/>
    <n v="235.62"/>
  </r>
  <r>
    <x v="36"/>
    <s v="JULIO"/>
    <n v="29"/>
    <s v="MIÉRCOLES"/>
    <x v="26"/>
    <s v="TRIPACK CC+CC+IK PFM 3LX3 - RFNN"/>
    <n v="270"/>
    <n v="90"/>
    <n v="45.900000000000006"/>
  </r>
  <r>
    <x v="36"/>
    <s v="JULIO"/>
    <n v="29"/>
    <s v="MIÉRCOLES"/>
    <x v="17"/>
    <s v="TWO PACK CC PFM 3LX2 - RFCC"/>
    <n v="360"/>
    <n v="120"/>
    <n v="61.2"/>
  </r>
  <r>
    <x v="36"/>
    <s v="JULIO"/>
    <n v="29"/>
    <s v="MIÉRCOLES"/>
    <x v="25"/>
    <s v="POWERADE 3MORA+3FRUT PET 473MLX6"/>
    <n v="450"/>
    <n v="225"/>
    <n v="189"/>
  </r>
  <r>
    <x v="36"/>
    <s v="JULIO"/>
    <n v="29"/>
    <s v="MIÉRCOLES"/>
    <x v="0"/>
    <s v="SAN LUIS SIN GAS PET2500X6 STICKER"/>
    <n v="96"/>
    <n v="48"/>
    <n v="38.400000000000006"/>
  </r>
  <r>
    <x v="36"/>
    <s v="JULIO"/>
    <n v="29"/>
    <s v="MIÉRCOLES"/>
    <x v="12"/>
    <s v="POWERADE ION4 FRUTA PET473X6 MOD (STICK)"/>
    <n v="450"/>
    <n v="225"/>
    <n v="180"/>
  </r>
  <r>
    <x v="36"/>
    <s v="JULIO"/>
    <n v="29"/>
    <s v="MIÉRCOLES"/>
    <x v="15"/>
    <s v="INCA KOLA VR 625MLX12 - STICKER"/>
    <n v="150"/>
    <n v="50"/>
    <n v="60"/>
  </r>
  <r>
    <x v="36"/>
    <s v="JULIO"/>
    <n v="29"/>
    <s v="MIÉRCOLES"/>
    <x v="13"/>
    <s v="INCA KOLA VR 1.5LX8 - STICKER"/>
    <n v="90"/>
    <n v="30"/>
    <n v="36"/>
  </r>
  <r>
    <x v="36"/>
    <s v="JULIO"/>
    <n v="29"/>
    <s v="MIÉRCOLES"/>
    <x v="33"/>
    <s v="COCA COLA VR 296MLX24 - STICKER"/>
    <n v="80"/>
    <n v="40"/>
    <n v="18.400000000000002"/>
  </r>
  <r>
    <x v="36"/>
    <s v="JULIO"/>
    <n v="29"/>
    <s v="MIÉRCOLES"/>
    <x v="28"/>
    <s v="COCA COLA VR 1.5LX8 - STICKER"/>
    <n v="150"/>
    <n v="30"/>
    <n v="34.5"/>
  </r>
  <r>
    <x v="36"/>
    <s v="JULIO"/>
    <n v="29"/>
    <s v="MIÉRCOLES"/>
    <x v="8"/>
    <s v="INCA KOLA PET 1.5LX2 RF"/>
    <n v="1980"/>
    <n v="198"/>
    <n v="336.6"/>
  </r>
  <r>
    <x v="36"/>
    <s v="JULIO"/>
    <n v="29"/>
    <s v="MIÉRCOLES"/>
    <x v="16"/>
    <s v="SAN LUIS CON GAS PET 625MLX6"/>
    <n v="360"/>
    <n v="180"/>
    <n v="151.19999999999999"/>
  </r>
  <r>
    <x v="36"/>
    <s v="JULIO"/>
    <n v="29"/>
    <s v="MIÉRCOLES"/>
    <x v="10"/>
    <s v="TWO PACK CC + IK PFM 3LX2 - RFNN"/>
    <n v="1200"/>
    <n v="120"/>
    <n v="204.00000000000003"/>
  </r>
  <r>
    <x v="36"/>
    <s v="JULIO"/>
    <n v="29"/>
    <s v="MIÉRCOLES"/>
    <x v="17"/>
    <s v="TWO PACK CC PFM 3LX2 - RFCC"/>
    <n v="720"/>
    <n v="120"/>
    <n v="122.4"/>
  </r>
  <r>
    <x v="36"/>
    <s v="JULIO"/>
    <n v="29"/>
    <s v="MIÉRCOLES"/>
    <x v="23"/>
    <s v="TRIPACK CC+IK+IK PFM 3LX3 - RFNN"/>
    <n v="1620"/>
    <n v="90"/>
    <n v="275.40000000000003"/>
  </r>
  <r>
    <x v="36"/>
    <s v="JULIO"/>
    <n v="29"/>
    <s v="MIÉRCOLES"/>
    <x v="5"/>
    <s v="INCA KOLA PET 2.25LX2 RF"/>
    <n v="324"/>
    <n v="162"/>
    <n v="55.080000000000005"/>
  </r>
  <r>
    <x v="36"/>
    <s v="JULIO"/>
    <n v="29"/>
    <s v="MIÉRCOLES"/>
    <x v="6"/>
    <s v="INCA KOLA PET 3LX2 - RF"/>
    <n v="720"/>
    <n v="120"/>
    <n v="122.4"/>
  </r>
  <r>
    <x v="36"/>
    <s v="JULIO"/>
    <n v="29"/>
    <s v="MIÉRCOLES"/>
    <x v="4"/>
    <s v="COCA-COLA PET 2.25LX2 RF"/>
    <n v="324"/>
    <n v="162"/>
    <n v="55.080000000000005"/>
  </r>
  <r>
    <x v="37"/>
    <s v="JULIO"/>
    <n v="29"/>
    <s v="JUEVES"/>
    <x v="10"/>
    <s v="TWO PACK CC + IK PFM 3LX2 - RFNN"/>
    <n v="1440"/>
    <n v="120"/>
    <n v="244.8"/>
  </r>
  <r>
    <x v="37"/>
    <s v="JULIO"/>
    <n v="29"/>
    <s v="JUEVES"/>
    <x v="4"/>
    <s v="COCA-COLA PET 2.25LX2 RF"/>
    <n v="972"/>
    <n v="162"/>
    <n v="165.24"/>
  </r>
  <r>
    <x v="37"/>
    <s v="JULIO"/>
    <n v="29"/>
    <s v="JUEVES"/>
    <x v="20"/>
    <s v="TRIPACK (FT NAR+SP)PET+IK RF PFM 3L"/>
    <n v="270"/>
    <n v="90"/>
    <n v="45.900000000000006"/>
  </r>
  <r>
    <x v="37"/>
    <s v="JULIO"/>
    <n v="29"/>
    <s v="JUEVES"/>
    <x v="0"/>
    <s v="SAN LUIS SIN GAS PET2500X6 STICKER"/>
    <n v="96"/>
    <n v="48"/>
    <n v="38.400000000000006"/>
  </r>
  <r>
    <x v="37"/>
    <s v="JULIO"/>
    <n v="29"/>
    <s v="JUEVES"/>
    <x v="3"/>
    <s v="TWO PACK SCHWEPPES GINGER ALE PET 1.5LX2"/>
    <n v="198"/>
    <n v="198"/>
    <n v="33.660000000000004"/>
  </r>
  <r>
    <x v="37"/>
    <s v="JULIO"/>
    <n v="29"/>
    <s v="JUEVES"/>
    <x v="1"/>
    <s v="COCA-COLA SIN AZUCAR PET 1.5LX2"/>
    <n v="1782"/>
    <n v="198"/>
    <n v="302.94"/>
  </r>
  <r>
    <x v="37"/>
    <s v="JULIO"/>
    <n v="29"/>
    <s v="JUEVES"/>
    <x v="24"/>
    <s v="MONSTER ENERGY 473MLX4"/>
    <n v="840"/>
    <n v="420"/>
    <n v="352.8"/>
  </r>
  <r>
    <x v="37"/>
    <s v="JULIO"/>
    <n v="29"/>
    <s v="JUEVES"/>
    <x v="28"/>
    <s v="COCA COLA VR 1.5LX8 - STICKER"/>
    <n v="150"/>
    <n v="30"/>
    <n v="34.5"/>
  </r>
  <r>
    <x v="37"/>
    <s v="JULIO"/>
    <n v="29"/>
    <s v="JUEVES"/>
    <x v="38"/>
    <s v="SL S/G TAPA PLANA 1LT"/>
    <n v="112"/>
    <n v="112"/>
    <n v="44.800000000000004"/>
  </r>
  <r>
    <x v="37"/>
    <s v="JULIO"/>
    <n v="29"/>
    <s v="JUEVES"/>
    <x v="25"/>
    <s v="POWERADE 3MORA+3FRUT PET 473MLX6"/>
    <n v="450"/>
    <n v="225"/>
    <n v="189"/>
  </r>
  <r>
    <x v="37"/>
    <s v="JULIO"/>
    <n v="29"/>
    <s v="JUEVES"/>
    <x v="5"/>
    <s v="INCA KOLA PET 2.25LX2 RF"/>
    <n v="810"/>
    <n v="162"/>
    <n v="137.70000000000002"/>
  </r>
  <r>
    <x v="37"/>
    <s v="JULIO"/>
    <n v="29"/>
    <s v="JUEVES"/>
    <x v="11"/>
    <s v="TRIPACK (CC+IK)PFM+FT PET 3LX3 - RFNN"/>
    <n v="1440"/>
    <n v="90"/>
    <n v="244.8"/>
  </r>
  <r>
    <x v="37"/>
    <s v="JULIO"/>
    <n v="29"/>
    <s v="JUEVES"/>
    <x v="13"/>
    <s v="INCA KOLA VR 1.5LX8 - STICKER"/>
    <n v="30"/>
    <n v="30"/>
    <n v="12"/>
  </r>
  <r>
    <x v="37"/>
    <s v="JULIO"/>
    <n v="29"/>
    <s v="JUEVES"/>
    <x v="32"/>
    <s v="MONSTER ENERGY ULTRA 473MLX4"/>
    <n v="2520"/>
    <n v="420"/>
    <n v="1058.3999999999999"/>
  </r>
  <r>
    <x v="37"/>
    <s v="JULIO"/>
    <n v="29"/>
    <s v="JUEVES"/>
    <x v="9"/>
    <s v="TRIPACK FT NAR+FT KI+SP PET 3L"/>
    <n v="180"/>
    <n v="90"/>
    <n v="30.6"/>
  </r>
  <r>
    <x v="38"/>
    <s v="JULIO"/>
    <n v="29"/>
    <s v="VIERNES"/>
    <x v="13"/>
    <s v="INCA KOLA VR 1.5LX8 - STICKER"/>
    <n v="60"/>
    <n v="30"/>
    <n v="24"/>
  </r>
  <r>
    <x v="38"/>
    <s v="JULIO"/>
    <n v="29"/>
    <s v="VIERNES"/>
    <x v="38"/>
    <s v="SL S/G TAPA PLANA 1LT"/>
    <n v="672"/>
    <n v="112"/>
    <n v="268.8"/>
  </r>
  <r>
    <x v="38"/>
    <s v="JULIO"/>
    <n v="29"/>
    <s v="VIERNES"/>
    <x v="0"/>
    <s v="SAN LUIS SIN GAS PET2500X6 STICKER"/>
    <n v="576"/>
    <n v="48"/>
    <n v="230.4"/>
  </r>
  <r>
    <x v="38"/>
    <s v="JULIO"/>
    <n v="29"/>
    <s v="VIERNES"/>
    <x v="24"/>
    <s v="MONSTER ENERGY 473MLX4"/>
    <n v="3360"/>
    <n v="420"/>
    <n v="1411.2"/>
  </r>
  <r>
    <x v="38"/>
    <s v="JULIO"/>
    <n v="29"/>
    <s v="VIERNES"/>
    <x v="16"/>
    <s v="SAN LUIS CON GAS PET 625MLX6"/>
    <n v="360"/>
    <n v="180"/>
    <n v="151.19999999999999"/>
  </r>
  <r>
    <x v="38"/>
    <s v="JULIO"/>
    <n v="29"/>
    <s v="VIERNES"/>
    <x v="1"/>
    <s v="COCA-COLA SIN AZUCAR PET 1.5LX2"/>
    <n v="1386"/>
    <n v="198"/>
    <n v="235.62"/>
  </r>
  <r>
    <x v="38"/>
    <s v="JULIO"/>
    <n v="29"/>
    <s v="VIERNES"/>
    <x v="2"/>
    <s v="INCA KOLA SIN AZUCAR PET 1.5LX2"/>
    <n v="1386"/>
    <n v="198"/>
    <n v="235.62"/>
  </r>
  <r>
    <x v="38"/>
    <s v="JULIO"/>
    <n v="29"/>
    <s v="VIERNES"/>
    <x v="3"/>
    <s v="TWO PACK SCHWEPPES GINGER ALE PET 1.5LX2"/>
    <n v="396"/>
    <n v="198"/>
    <n v="67.320000000000007"/>
  </r>
  <r>
    <x v="38"/>
    <s v="JULIO"/>
    <n v="29"/>
    <s v="VIERNES"/>
    <x v="4"/>
    <s v="COCA-COLA PET 2.25LX2 RF"/>
    <n v="486"/>
    <n v="162"/>
    <n v="82.62"/>
  </r>
  <r>
    <x v="38"/>
    <s v="JULIO"/>
    <n v="29"/>
    <s v="VIERNES"/>
    <x v="5"/>
    <s v="INCA KOLA PET 2.25LX2 RF"/>
    <n v="324"/>
    <n v="162"/>
    <n v="55.080000000000005"/>
  </r>
  <r>
    <x v="38"/>
    <s v="JULIO"/>
    <n v="29"/>
    <s v="VIERNES"/>
    <x v="7"/>
    <s v="COCA-COLA PET 1.5LX2 RF"/>
    <n v="1782"/>
    <n v="198"/>
    <n v="302.94"/>
  </r>
  <r>
    <x v="38"/>
    <s v="JULIO"/>
    <n v="29"/>
    <s v="VIERNES"/>
    <x v="8"/>
    <s v="INCA KOLA PET 1.5LX2 RF"/>
    <n v="1386"/>
    <n v="198"/>
    <n v="235.62"/>
  </r>
  <r>
    <x v="38"/>
    <s v="JULIO"/>
    <n v="29"/>
    <s v="VIERNES"/>
    <x v="10"/>
    <s v="TWO PACK CC + IK PFM 3LX2 - RFNN"/>
    <n v="960"/>
    <n v="120"/>
    <n v="163.20000000000002"/>
  </r>
  <r>
    <x v="38"/>
    <s v="JULIO"/>
    <n v="29"/>
    <s v="VIERNES"/>
    <x v="26"/>
    <s v="TRIPACK CC+CC+IK PFM 3LX3 - RFNN"/>
    <n v="90"/>
    <n v="90"/>
    <n v="15.3"/>
  </r>
  <r>
    <x v="38"/>
    <s v="JULIO"/>
    <n v="29"/>
    <s v="VIERNES"/>
    <x v="11"/>
    <s v="TRIPACK (CC+IK)PFM+FT PET 3LX3 - RFNN"/>
    <n v="810"/>
    <n v="90"/>
    <n v="137.70000000000002"/>
  </r>
  <r>
    <x v="39"/>
    <s v="JULIO"/>
    <n v="30"/>
    <s v="SÁBADO"/>
    <x v="23"/>
    <s v="TRIPACK CC+IK+IK PFM 3LX3 - RFNN"/>
    <n v="2610"/>
    <n v="90"/>
    <n v="443.70000000000005"/>
  </r>
  <r>
    <x v="39"/>
    <s v="JULIO"/>
    <n v="30"/>
    <s v="SÁBADO"/>
    <x v="11"/>
    <s v="TRIPACK (CC+IK)PFM+FT PET 3LX3 - RFNN"/>
    <n v="270"/>
    <n v="90"/>
    <n v="45.900000000000006"/>
  </r>
  <r>
    <x v="39"/>
    <s v="JULIO"/>
    <n v="30"/>
    <s v="SÁBADO"/>
    <x v="20"/>
    <s v="TRIPACK (FT NAR+SP)PET+IK RF PFM 3L"/>
    <n v="90"/>
    <n v="90"/>
    <n v="15.3"/>
  </r>
  <r>
    <x v="39"/>
    <s v="JULIO"/>
    <n v="30"/>
    <s v="SÁBADO"/>
    <x v="24"/>
    <s v="MONSTER ENERGY 473MLX4"/>
    <n v="840"/>
    <n v="420"/>
    <n v="352.8"/>
  </r>
  <r>
    <x v="39"/>
    <s v="JULIO"/>
    <n v="30"/>
    <s v="SÁBADO"/>
    <x v="16"/>
    <s v="SAN LUIS CON GAS PET 625MLX6"/>
    <n v="180"/>
    <n v="180"/>
    <n v="75.599999999999994"/>
  </r>
  <r>
    <x v="39"/>
    <s v="JULIO"/>
    <n v="30"/>
    <s v="SÁBADO"/>
    <x v="28"/>
    <s v="COCA COLA VR 1.5LX8 - STICKER"/>
    <n v="30"/>
    <n v="30"/>
    <n v="6.9"/>
  </r>
  <r>
    <x v="39"/>
    <s v="JULIO"/>
    <n v="30"/>
    <s v="SÁBADO"/>
    <x v="13"/>
    <s v="INCA KOLA VR 1.5LX8 - STICKER"/>
    <n v="30"/>
    <n v="30"/>
    <n v="12"/>
  </r>
  <r>
    <x v="39"/>
    <s v="JULIO"/>
    <n v="30"/>
    <s v="SÁBADO"/>
    <x v="14"/>
    <s v="INCA KOLA VR 296MLX24 - STICKER"/>
    <n v="40"/>
    <n v="40"/>
    <n v="9.2000000000000011"/>
  </r>
  <r>
    <x v="39"/>
    <s v="JULIO"/>
    <n v="30"/>
    <s v="SÁBADO"/>
    <x v="0"/>
    <s v="SAN LUIS SIN GAS PET2500X6 STICKER"/>
    <n v="1056"/>
    <n v="48"/>
    <n v="422.40000000000003"/>
  </r>
  <r>
    <x v="39"/>
    <s v="JULIO"/>
    <n v="30"/>
    <s v="SÁBADO"/>
    <x v="1"/>
    <s v="COCA-COLA SIN AZUCAR PET 1.5LX2"/>
    <n v="1188"/>
    <n v="198"/>
    <n v="201.96"/>
  </r>
  <r>
    <x v="39"/>
    <s v="JULIO"/>
    <n v="30"/>
    <s v="SÁBADO"/>
    <x v="2"/>
    <s v="INCA KOLA SIN AZUCAR PET 1.5LX2"/>
    <n v="1188"/>
    <n v="198"/>
    <n v="201.96"/>
  </r>
  <r>
    <x v="39"/>
    <s v="JULIO"/>
    <n v="30"/>
    <s v="SÁBADO"/>
    <x v="3"/>
    <s v="TWO PACK SCHWEPPES GINGER ALE PET 1.5LX2"/>
    <n v="792"/>
    <n v="198"/>
    <n v="134.64000000000001"/>
  </r>
  <r>
    <x v="39"/>
    <s v="JULIO"/>
    <n v="30"/>
    <s v="SÁBADO"/>
    <x v="4"/>
    <s v="COCA-COLA PET 2.25LX2 RF"/>
    <n v="810"/>
    <n v="162"/>
    <n v="137.70000000000002"/>
  </r>
  <r>
    <x v="39"/>
    <s v="JULIO"/>
    <n v="30"/>
    <s v="SÁBADO"/>
    <x v="5"/>
    <s v="INCA KOLA PET 2.25LX2 RF"/>
    <n v="648"/>
    <n v="162"/>
    <n v="110.16000000000001"/>
  </r>
  <r>
    <x v="39"/>
    <s v="JULIO"/>
    <n v="30"/>
    <s v="SÁBADO"/>
    <x v="6"/>
    <s v="INCA KOLA PET 3LX2 - RF"/>
    <n v="240"/>
    <n v="120"/>
    <n v="40.800000000000004"/>
  </r>
  <r>
    <x v="39"/>
    <s v="JULIO"/>
    <n v="30"/>
    <s v="SÁBADO"/>
    <x v="17"/>
    <s v="TWO PACK CC PFM 3LX2 - RFCC"/>
    <n v="360"/>
    <n v="120"/>
    <n v="61.2"/>
  </r>
  <r>
    <x v="39"/>
    <s v="JULIO"/>
    <n v="30"/>
    <s v="SÁBADO"/>
    <x v="7"/>
    <s v="COCA-COLA PET 1.5LX2 RF"/>
    <n v="2376"/>
    <n v="198"/>
    <n v="403.92"/>
  </r>
  <r>
    <x v="39"/>
    <s v="JULIO"/>
    <n v="30"/>
    <s v="SÁBADO"/>
    <x v="8"/>
    <s v="INCA KOLA PET 1.5LX2 RF"/>
    <n v="594"/>
    <n v="198"/>
    <n v="100.98"/>
  </r>
  <r>
    <x v="39"/>
    <s v="JULIO"/>
    <n v="30"/>
    <s v="SÁBADO"/>
    <x v="9"/>
    <s v="TRIPACK FT NAR+FT KI+SP PET 3L"/>
    <n v="270"/>
    <n v="90"/>
    <n v="45.900000000000006"/>
  </r>
  <r>
    <x v="39"/>
    <s v="JULIO"/>
    <n v="30"/>
    <s v="SÁBADO"/>
    <x v="26"/>
    <s v="TRIPACK CC+CC+IK PFM 3LX3 - RFNN"/>
    <n v="270"/>
    <n v="90"/>
    <n v="45.900000000000006"/>
  </r>
  <r>
    <x v="40"/>
    <s v="JULIO"/>
    <n v="30"/>
    <s v="LUNES"/>
    <x v="13"/>
    <s v="INCA KOLA VR 1.5LX8 - STICKER"/>
    <n v="30"/>
    <n v="30"/>
    <n v="12"/>
  </r>
  <r>
    <x v="40"/>
    <s v="JULIO"/>
    <n v="30"/>
    <s v="LUNES"/>
    <x v="0"/>
    <s v="SAN LUIS SIN GAS PET2500X6 STICKER"/>
    <n v="576"/>
    <n v="48"/>
    <n v="230.4"/>
  </r>
  <r>
    <x v="40"/>
    <s v="JULIO"/>
    <n v="30"/>
    <s v="LUNES"/>
    <x v="24"/>
    <s v="MONSTER ENERGY 473MLX4"/>
    <n v="420"/>
    <n v="420"/>
    <n v="176.4"/>
  </r>
  <r>
    <x v="40"/>
    <s v="JULIO"/>
    <n v="30"/>
    <s v="LUNES"/>
    <x v="32"/>
    <s v="MONSTER ENERGY ULTRA 473MLX4"/>
    <n v="840"/>
    <n v="420"/>
    <n v="352.8"/>
  </r>
  <r>
    <x v="40"/>
    <s v="JULIO"/>
    <n v="30"/>
    <s v="LUNES"/>
    <x v="16"/>
    <s v="SAN LUIS CON GAS PET 625MLX6"/>
    <n v="180"/>
    <n v="180"/>
    <n v="75.599999999999994"/>
  </r>
  <r>
    <x v="40"/>
    <s v="JULIO"/>
    <n v="30"/>
    <s v="LUNES"/>
    <x v="1"/>
    <s v="COCA-COLA SIN AZUCAR PET 1.5LX2"/>
    <n v="1782"/>
    <n v="198"/>
    <n v="302.94"/>
  </r>
  <r>
    <x v="40"/>
    <s v="JULIO"/>
    <n v="30"/>
    <s v="LUNES"/>
    <x v="7"/>
    <s v="COCA-COLA PET 1.5LX2 RF"/>
    <n v="1386"/>
    <n v="198"/>
    <n v="235.62"/>
  </r>
  <r>
    <x v="40"/>
    <s v="JULIO"/>
    <n v="30"/>
    <s v="LUNES"/>
    <x v="8"/>
    <s v="INCA KOLA PET 1.5LX2 RF"/>
    <n v="792"/>
    <n v="198"/>
    <n v="134.64000000000001"/>
  </r>
  <r>
    <x v="40"/>
    <s v="JULIO"/>
    <n v="30"/>
    <s v="LUNES"/>
    <x v="9"/>
    <s v="TRIPACK FT NAR+FT KI+SP PET 3L"/>
    <n v="540"/>
    <n v="90"/>
    <n v="91.800000000000011"/>
  </r>
  <r>
    <x v="40"/>
    <s v="JULIO"/>
    <n v="30"/>
    <s v="LUNES"/>
    <x v="10"/>
    <s v="TWO PACK CC + IK PFM 3LX2 - RFNN"/>
    <n v="3000"/>
    <n v="120"/>
    <n v="510.00000000000006"/>
  </r>
  <r>
    <x v="40"/>
    <s v="JULIO"/>
    <n v="30"/>
    <s v="LUNES"/>
    <x v="26"/>
    <s v="TRIPACK CC+CC+IK PFM 3LX3 - RFNN"/>
    <n v="90"/>
    <n v="90"/>
    <n v="15.3"/>
  </r>
  <r>
    <x v="40"/>
    <s v="JULIO"/>
    <n v="30"/>
    <s v="LUNES"/>
    <x v="23"/>
    <s v="TRIPACK CC+IK+IK PFM 3LX3 - RFNN"/>
    <n v="360"/>
    <n v="90"/>
    <n v="61.2"/>
  </r>
  <r>
    <x v="40"/>
    <s v="JULIO"/>
    <n v="30"/>
    <s v="LUNES"/>
    <x v="11"/>
    <s v="TRIPACK (CC+IK)PFM+FT PET 3LX3 - RFNN"/>
    <n v="1710"/>
    <n v="90"/>
    <n v="290.70000000000005"/>
  </r>
  <r>
    <x v="40"/>
    <s v="JULIO"/>
    <n v="30"/>
    <s v="LUNES"/>
    <x v="25"/>
    <s v="POWERADE 3MORA+3FRUT PET 473MLX6"/>
    <n v="675"/>
    <n v="225"/>
    <n v="283.5"/>
  </r>
  <r>
    <x v="40"/>
    <s v="JULIO"/>
    <n v="30"/>
    <s v="LUNES"/>
    <x v="12"/>
    <s v="POWERADE ION4 FRUTA PET473X6 MOD (STICK)"/>
    <n v="225"/>
    <n v="225"/>
    <n v="90"/>
  </r>
  <r>
    <x v="40"/>
    <s v="JULIO"/>
    <n v="30"/>
    <s v="LUNES"/>
    <x v="19"/>
    <s v="POWERADE ION4 MORA AZ PET473X6 MOD(STCK)"/>
    <n v="225"/>
    <n v="225"/>
    <n v="90"/>
  </r>
  <r>
    <x v="40"/>
    <s v="JULIO"/>
    <n v="30"/>
    <s v="LUNES"/>
    <x v="20"/>
    <s v="TRIPACK (FT NAR+SP)PET+IK RF PFM 3L"/>
    <n v="90"/>
    <n v="90"/>
    <n v="15.3"/>
  </r>
  <r>
    <x v="41"/>
    <s v="JULIO"/>
    <n v="30"/>
    <s v="MARTES"/>
    <x v="24"/>
    <s v="MONSTER ENERGY 473MLX4"/>
    <n v="420"/>
    <n v="420"/>
    <n v="176.4"/>
  </r>
  <r>
    <x v="41"/>
    <s v="JULIO"/>
    <n v="30"/>
    <s v="MARTES"/>
    <x v="13"/>
    <s v="INCA KOLA VR 1.5LX8 - STICKER"/>
    <n v="90"/>
    <n v="30"/>
    <n v="36"/>
  </r>
  <r>
    <x v="41"/>
    <s v="JULIO"/>
    <n v="30"/>
    <s v="MARTES"/>
    <x v="25"/>
    <s v="POWERADE 3MORA+3FRUT PET 473MLX6"/>
    <n v="450"/>
    <n v="225"/>
    <n v="189"/>
  </r>
  <r>
    <x v="41"/>
    <s v="JULIO"/>
    <n v="30"/>
    <s v="MARTES"/>
    <x v="12"/>
    <s v="POWERADE ION4 FRUTA PET473X6 MOD (STICK)"/>
    <n v="225"/>
    <n v="225"/>
    <n v="90"/>
  </r>
  <r>
    <x v="41"/>
    <s v="JULIO"/>
    <n v="30"/>
    <s v="MARTES"/>
    <x v="16"/>
    <s v="SAN LUIS CON GAS PET 625MLX6"/>
    <n v="180"/>
    <n v="180"/>
    <n v="75.599999999999994"/>
  </r>
  <r>
    <x v="41"/>
    <s v="JULIO"/>
    <n v="30"/>
    <s v="MARTES"/>
    <x v="0"/>
    <s v="SAN LUIS SIN GAS PET2500X6 STICKER"/>
    <n v="624"/>
    <n v="48"/>
    <n v="249.60000000000002"/>
  </r>
  <r>
    <x v="41"/>
    <s v="JULIO"/>
    <n v="30"/>
    <s v="MARTES"/>
    <x v="7"/>
    <s v="COCA-COLA PET 1.5LX2 RF"/>
    <n v="1584"/>
    <n v="198"/>
    <n v="269.28000000000003"/>
  </r>
  <r>
    <x v="41"/>
    <s v="JULIO"/>
    <n v="30"/>
    <s v="MARTES"/>
    <x v="1"/>
    <s v="COCA-COLA SIN AZUCAR PET 1.5LX2"/>
    <n v="2574"/>
    <n v="198"/>
    <n v="437.58000000000004"/>
  </r>
  <r>
    <x v="41"/>
    <s v="JULIO"/>
    <n v="30"/>
    <s v="MARTES"/>
    <x v="5"/>
    <s v="INCA KOLA PET 2.25LX2 RF"/>
    <n v="810"/>
    <n v="162"/>
    <n v="137.70000000000002"/>
  </r>
  <r>
    <x v="41"/>
    <s v="JULIO"/>
    <n v="30"/>
    <s v="MARTES"/>
    <x v="11"/>
    <s v="TRIPACK (CC+IK)PFM+FT PET 3LX3 - RFNN"/>
    <n v="900"/>
    <n v="90"/>
    <n v="153"/>
  </r>
  <r>
    <x v="41"/>
    <s v="JULIO"/>
    <n v="30"/>
    <s v="MARTES"/>
    <x v="6"/>
    <s v="INCA KOLA PET 3LX2 - RF"/>
    <n v="600"/>
    <n v="120"/>
    <n v="102.00000000000001"/>
  </r>
  <r>
    <x v="41"/>
    <s v="JULIO"/>
    <n v="30"/>
    <s v="MARTES"/>
    <x v="10"/>
    <s v="TWO PACK CC + IK PFM 3LX2 - RFNN"/>
    <n v="1440"/>
    <n v="120"/>
    <n v="244.8"/>
  </r>
  <r>
    <x v="41"/>
    <s v="JULIO"/>
    <n v="30"/>
    <s v="MARTES"/>
    <x v="28"/>
    <s v="COCA COLA VR 1.5LX8 - STICKER"/>
    <n v="60"/>
    <n v="30"/>
    <n v="13.8"/>
  </r>
  <r>
    <x v="41"/>
    <s v="JULIO"/>
    <n v="30"/>
    <s v="MARTES"/>
    <x v="14"/>
    <s v="INCA KOLA VR 296MLX24 - STICKER"/>
    <n v="40"/>
    <n v="40"/>
    <n v="9.2000000000000011"/>
  </r>
  <r>
    <x v="41"/>
    <s v="JULIO"/>
    <n v="30"/>
    <s v="MARTES"/>
    <x v="15"/>
    <s v="INCA KOLA VR 625MLX12 - STICKER"/>
    <n v="50"/>
    <n v="50"/>
    <n v="20"/>
  </r>
  <r>
    <x v="41"/>
    <s v="JULIO"/>
    <n v="30"/>
    <s v="MARTES"/>
    <x v="8"/>
    <s v="INCA KOLA PET 1.5LX2 RF"/>
    <n v="594"/>
    <n v="198"/>
    <n v="100.98"/>
  </r>
  <r>
    <x v="41"/>
    <s v="JULIO"/>
    <n v="30"/>
    <s v="MARTES"/>
    <x v="17"/>
    <s v="TWO PACK CC PFM 3LX2 - RFCC"/>
    <n v="600"/>
    <n v="120"/>
    <n v="102.00000000000001"/>
  </r>
  <r>
    <x v="41"/>
    <s v="JULIO"/>
    <n v="30"/>
    <s v="MARTES"/>
    <x v="23"/>
    <s v="TRIPACK CC+IK+IK PFM 3LX3 - RFNN"/>
    <n v="360"/>
    <n v="90"/>
    <n v="61.2"/>
  </r>
  <r>
    <x v="41"/>
    <s v="JULIO"/>
    <n v="30"/>
    <s v="MARTES"/>
    <x v="9"/>
    <s v="TRIPACK FT NAR+FT KI+SP PET 3L"/>
    <n v="540"/>
    <n v="90"/>
    <n v="91.800000000000011"/>
  </r>
  <r>
    <x v="41"/>
    <s v="JULIO"/>
    <n v="30"/>
    <s v="MARTES"/>
    <x v="4"/>
    <s v="COCA-COLA PET 2.25LX2 RF"/>
    <n v="486"/>
    <n v="162"/>
    <n v="82.62"/>
  </r>
  <r>
    <x v="41"/>
    <s v="JULIO"/>
    <n v="30"/>
    <s v="MARTES"/>
    <x v="38"/>
    <s v="SL S/G TAPA PLANA 1LT"/>
    <n v="224"/>
    <n v="112"/>
    <n v="89.600000000000009"/>
  </r>
  <r>
    <x v="42"/>
    <s v="JULIO"/>
    <n v="30"/>
    <s v="MIÉRCOLES"/>
    <x v="1"/>
    <s v="COCA-COLA SIN AZUCAR PET 1.5LX2"/>
    <n v="1782"/>
    <n v="198"/>
    <n v="302.94"/>
  </r>
  <r>
    <x v="42"/>
    <s v="JULIO"/>
    <n v="30"/>
    <s v="MIÉRCOLES"/>
    <x v="5"/>
    <s v="INCA KOLA PET 2.25LX2 RF"/>
    <n v="648"/>
    <n v="162"/>
    <n v="110.16000000000001"/>
  </r>
  <r>
    <x v="42"/>
    <s v="JULIO"/>
    <n v="30"/>
    <s v="MIÉRCOLES"/>
    <x v="6"/>
    <s v="INCA KOLA PET 3LX2 - RF"/>
    <n v="1320"/>
    <n v="120"/>
    <n v="224.4"/>
  </r>
  <r>
    <x v="42"/>
    <s v="JULIO"/>
    <n v="30"/>
    <s v="MIÉRCOLES"/>
    <x v="2"/>
    <s v="INCA KOLA SIN AZUCAR PET 1.5LX2"/>
    <n v="2970"/>
    <n v="198"/>
    <n v="504.90000000000003"/>
  </r>
  <r>
    <x v="42"/>
    <s v="JULIO"/>
    <n v="30"/>
    <s v="MIÉRCOLES"/>
    <x v="20"/>
    <s v="TRIPACK (FT NAR+SP)PET+IK RF PFM 3L"/>
    <n v="90"/>
    <n v="90"/>
    <n v="15.3"/>
  </r>
  <r>
    <x v="42"/>
    <s v="JULIO"/>
    <n v="30"/>
    <s v="MIÉRCOLES"/>
    <x v="3"/>
    <s v="TWO PACK SCHWEPPES GINGER ALE PET 1.5LX2"/>
    <n v="792"/>
    <n v="198"/>
    <n v="134.64000000000001"/>
  </r>
  <r>
    <x v="42"/>
    <s v="JULIO"/>
    <n v="30"/>
    <s v="MIÉRCOLES"/>
    <x v="9"/>
    <s v="TRIPACK FT NAR+FT KI+SP PET 3L"/>
    <n v="1440"/>
    <n v="90"/>
    <n v="244.8"/>
  </r>
  <r>
    <x v="42"/>
    <s v="JULIO"/>
    <n v="30"/>
    <s v="MIÉRCOLES"/>
    <x v="4"/>
    <s v="COCA-COLA PET 2.25LX2 RF"/>
    <n v="486"/>
    <n v="162"/>
    <n v="82.62"/>
  </r>
  <r>
    <x v="42"/>
    <s v="JULIO"/>
    <n v="30"/>
    <s v="MIÉRCOLES"/>
    <x v="26"/>
    <s v="TRIPACK CC+CC+IK PFM 3LX3 - RFNN"/>
    <n v="450"/>
    <n v="90"/>
    <n v="76.5"/>
  </r>
  <r>
    <x v="42"/>
    <s v="JULIO"/>
    <n v="30"/>
    <s v="MIÉRCOLES"/>
    <x v="10"/>
    <s v="TWO PACK CC + IK PFM 3LX2 - RFNN"/>
    <n v="1440"/>
    <n v="120"/>
    <n v="244.8"/>
  </r>
  <r>
    <x v="42"/>
    <s v="JULIO"/>
    <n v="30"/>
    <s v="MIÉRCOLES"/>
    <x v="23"/>
    <s v="TRIPACK CC+IK+IK PFM 3LX3 - RFNN"/>
    <n v="630"/>
    <n v="90"/>
    <n v="107.10000000000001"/>
  </r>
  <r>
    <x v="42"/>
    <s v="JULIO"/>
    <n v="30"/>
    <s v="MIÉRCOLES"/>
    <x v="17"/>
    <s v="TWO PACK CC PFM 3LX2 - RFCC"/>
    <n v="960"/>
    <n v="120"/>
    <n v="163.20000000000002"/>
  </r>
  <r>
    <x v="42"/>
    <s v="JULIO"/>
    <n v="30"/>
    <s v="MIÉRCOLES"/>
    <x v="11"/>
    <s v="TRIPACK (CC+IK)PFM+FT PET 3LX3 - RFNN"/>
    <n v="1440"/>
    <n v="90"/>
    <n v="244.8"/>
  </r>
  <r>
    <x v="42"/>
    <s v="JULIO"/>
    <n v="30"/>
    <s v="MIÉRCOLES"/>
    <x v="7"/>
    <s v="COCA-COLA PET 1.5LX2 RF"/>
    <n v="990"/>
    <n v="198"/>
    <n v="168.3"/>
  </r>
  <r>
    <x v="42"/>
    <s v="JULIO"/>
    <n v="30"/>
    <s v="MIÉRCOLES"/>
    <x v="8"/>
    <s v="INCA KOLA PET 1.5LX2 RF"/>
    <n v="792"/>
    <n v="198"/>
    <n v="134.64000000000001"/>
  </r>
  <r>
    <x v="43"/>
    <s v="JULIO"/>
    <n v="30"/>
    <s v="JUEVES"/>
    <x v="7"/>
    <s v="COCA-COLA PET 1.5LX2 RF"/>
    <n v="2178"/>
    <n v="198"/>
    <n v="370.26000000000005"/>
  </r>
  <r>
    <x v="43"/>
    <s v="JULIO"/>
    <n v="30"/>
    <s v="JUEVES"/>
    <x v="2"/>
    <s v="INCA KOLA SIN AZUCAR PET 1.5LX2"/>
    <n v="1980"/>
    <n v="198"/>
    <n v="336.6"/>
  </r>
  <r>
    <x v="43"/>
    <s v="JULIO"/>
    <n v="30"/>
    <s v="JUEVES"/>
    <x v="1"/>
    <s v="COCA-COLA SIN AZUCAR PET 1.5LX2"/>
    <n v="2376"/>
    <n v="198"/>
    <n v="403.92"/>
  </r>
  <r>
    <x v="43"/>
    <s v="JULIO"/>
    <n v="30"/>
    <s v="JUEVES"/>
    <x v="11"/>
    <s v="TRIPACK (CC+IK)PFM+FT PET 3LX3 - RFNN"/>
    <n v="4320"/>
    <n v="90"/>
    <n v="734.40000000000009"/>
  </r>
  <r>
    <x v="43"/>
    <s v="JULIO"/>
    <n v="30"/>
    <s v="JUEVES"/>
    <x v="0"/>
    <s v="SAN LUIS SIN GAS PET2500X6 STICKER"/>
    <n v="576"/>
    <n v="48"/>
    <n v="230.4"/>
  </r>
  <r>
    <x v="43"/>
    <s v="JULIO"/>
    <n v="30"/>
    <s v="JUEVES"/>
    <x v="13"/>
    <s v="INCA KOLA VR 1.5LX8 - STICKER"/>
    <n v="60"/>
    <n v="30"/>
    <n v="24"/>
  </r>
  <r>
    <x v="43"/>
    <s v="JULIO"/>
    <n v="30"/>
    <s v="JUEVES"/>
    <x v="12"/>
    <s v="POWERADE ION4 FRUTA PET473X6 MOD (STICK)"/>
    <n v="900"/>
    <n v="225"/>
    <n v="360"/>
  </r>
  <r>
    <x v="43"/>
    <s v="JULIO"/>
    <n v="30"/>
    <s v="JUEVES"/>
    <x v="19"/>
    <s v="POWERADE ION4 MORA AZ PET473X6 MOD(STCK)"/>
    <n v="225"/>
    <n v="225"/>
    <n v="90"/>
  </r>
  <r>
    <x v="43"/>
    <s v="JULIO"/>
    <n v="30"/>
    <s v="JUEVES"/>
    <x v="6"/>
    <s v="INCA KOLA PET 3LX2 - RF"/>
    <n v="120"/>
    <n v="120"/>
    <n v="20.400000000000002"/>
  </r>
  <r>
    <x v="43"/>
    <s v="JULIO"/>
    <n v="30"/>
    <s v="JUEVES"/>
    <x v="32"/>
    <s v="MONSTER ENERGY ULTRA 473MLX4"/>
    <n v="2520"/>
    <n v="420"/>
    <n v="1058.3999999999999"/>
  </r>
  <r>
    <x v="43"/>
    <s v="JULIO"/>
    <n v="30"/>
    <s v="JUEVES"/>
    <x v="24"/>
    <s v="MONSTER ENERGY 473MLX4"/>
    <n v="840"/>
    <n v="420"/>
    <n v="352.8"/>
  </r>
  <r>
    <x v="43"/>
    <s v="JULIO"/>
    <n v="30"/>
    <s v="JUEVES"/>
    <x v="25"/>
    <s v="POWERADE 3MORA+3FRUT PET 473MLX6"/>
    <n v="1800"/>
    <n v="225"/>
    <n v="756"/>
  </r>
  <r>
    <x v="43"/>
    <s v="JULIO"/>
    <n v="30"/>
    <s v="JUEVES"/>
    <x v="8"/>
    <s v="INCA KOLA PET 1.5LX2 RF"/>
    <n v="594"/>
    <n v="198"/>
    <n v="100.98"/>
  </r>
  <r>
    <x v="43"/>
    <s v="JULIO"/>
    <n v="30"/>
    <s v="JUEVES"/>
    <x v="14"/>
    <s v="INCA KOLA VR 296MLX24 - STICKER"/>
    <n v="40"/>
    <n v="40"/>
    <n v="9.2000000000000011"/>
  </r>
  <r>
    <x v="43"/>
    <s v="JULIO"/>
    <n v="30"/>
    <s v="JUEVES"/>
    <x v="10"/>
    <s v="TWO PACK CC + IK PFM 3LX2 - RFNN"/>
    <n v="720"/>
    <n v="120"/>
    <n v="122.4"/>
  </r>
  <r>
    <x v="43"/>
    <s v="JULIO"/>
    <n v="30"/>
    <s v="JUEVES"/>
    <x v="9"/>
    <s v="TRIPACK FT NAR+FT KI+SP PET 3L"/>
    <n v="180"/>
    <n v="90"/>
    <n v="30.6"/>
  </r>
  <r>
    <x v="44"/>
    <s v="JULIO"/>
    <n v="30"/>
    <s v="VIERNES"/>
    <x v="28"/>
    <s v="COCA COLA VR 1.5LX8 - STICKER"/>
    <n v="30"/>
    <n v="30"/>
    <n v="6.9"/>
  </r>
  <r>
    <x v="44"/>
    <s v="JULIO"/>
    <n v="30"/>
    <s v="VIERNES"/>
    <x v="33"/>
    <s v="COCA COLA VR 296MLX24 - STICKER"/>
    <n v="40"/>
    <n v="40"/>
    <n v="9.2000000000000011"/>
  </r>
  <r>
    <x v="44"/>
    <s v="JULIO"/>
    <n v="30"/>
    <s v="VIERNES"/>
    <x v="15"/>
    <s v="INCA KOLA VR 625MLX12 - STICKER"/>
    <n v="200"/>
    <n v="50"/>
    <n v="80"/>
  </r>
  <r>
    <x v="44"/>
    <s v="JULIO"/>
    <n v="30"/>
    <s v="VIERNES"/>
    <x v="0"/>
    <s v="SAN LUIS SIN GAS PET2500X6 STICKER"/>
    <n v="96"/>
    <n v="48"/>
    <n v="38.400000000000006"/>
  </r>
  <r>
    <x v="44"/>
    <s v="JULIO"/>
    <n v="30"/>
    <s v="VIERNES"/>
    <x v="38"/>
    <s v="SL S/G TAPA PLANA 1LT"/>
    <n v="112"/>
    <n v="112"/>
    <n v="44.800000000000004"/>
  </r>
  <r>
    <x v="44"/>
    <s v="JULIO"/>
    <n v="30"/>
    <s v="VIERNES"/>
    <x v="1"/>
    <s v="COCA-COLA SIN AZUCAR PET 1.5LX2"/>
    <n v="1386"/>
    <n v="198"/>
    <n v="235.62"/>
  </r>
  <r>
    <x v="44"/>
    <s v="JULIO"/>
    <n v="30"/>
    <s v="VIERNES"/>
    <x v="2"/>
    <s v="INCA KOLA SIN AZUCAR PET 1.5LX2"/>
    <n v="990"/>
    <n v="198"/>
    <n v="168.3"/>
  </r>
  <r>
    <x v="44"/>
    <s v="JULIO"/>
    <n v="30"/>
    <s v="VIERNES"/>
    <x v="22"/>
    <s v="TWO PACK SCHWEPPES CITRUS PET 1.5LX2"/>
    <n v="1980"/>
    <n v="198"/>
    <n v="336.6"/>
  </r>
  <r>
    <x v="44"/>
    <s v="JULIO"/>
    <n v="30"/>
    <s v="VIERNES"/>
    <x v="4"/>
    <s v="COCA-COLA PET 2.25LX2 RF"/>
    <n v="162"/>
    <n v="162"/>
    <n v="27.540000000000003"/>
  </r>
  <r>
    <x v="44"/>
    <s v="JULIO"/>
    <n v="30"/>
    <s v="VIERNES"/>
    <x v="6"/>
    <s v="INCA KOLA PET 3LX2 - RF"/>
    <n v="2040"/>
    <n v="120"/>
    <n v="346.8"/>
  </r>
  <r>
    <x v="44"/>
    <s v="JULIO"/>
    <n v="30"/>
    <s v="VIERNES"/>
    <x v="8"/>
    <s v="INCA KOLA PET 1.5LX2 RF"/>
    <n v="3564"/>
    <n v="198"/>
    <n v="605.88"/>
  </r>
  <r>
    <x v="44"/>
    <s v="JULIO"/>
    <n v="30"/>
    <s v="VIERNES"/>
    <x v="9"/>
    <s v="TRIPACK FT NAR+FT KI+SP PET 3L"/>
    <n v="1440"/>
    <n v="90"/>
    <n v="244.8"/>
  </r>
  <r>
    <x v="44"/>
    <s v="JULIO"/>
    <n v="30"/>
    <s v="VIERNES"/>
    <x v="10"/>
    <s v="TWO PACK CC + IK PFM 3LX2 - RFNN"/>
    <n v="1200"/>
    <n v="120"/>
    <n v="204.00000000000003"/>
  </r>
  <r>
    <x v="44"/>
    <s v="JULIO"/>
    <n v="30"/>
    <s v="VIERNES"/>
    <x v="23"/>
    <s v="TRIPACK CC+IK+IK PFM 3LX3 - RFNN"/>
    <n v="360"/>
    <n v="90"/>
    <n v="61.2"/>
  </r>
  <r>
    <x v="44"/>
    <s v="JULIO"/>
    <n v="30"/>
    <s v="VIERNES"/>
    <x v="11"/>
    <s v="TRIPACK (CC+IK)PFM+FT PET 3LX3 - RFNN"/>
    <n v="360"/>
    <n v="90"/>
    <n v="61.2"/>
  </r>
  <r>
    <x v="44"/>
    <s v="JULIO"/>
    <n v="30"/>
    <s v="VIERNES"/>
    <x v="5"/>
    <s v="INCA KOLA PET 2.25LX2 RF"/>
    <n v="162"/>
    <n v="162"/>
    <n v="27.540000000000003"/>
  </r>
  <r>
    <x v="44"/>
    <s v="JULIO"/>
    <n v="30"/>
    <s v="VIERNES"/>
    <x v="26"/>
    <s v="TRIPACK CC+CC+IK PFM 3LX3 - RFNN"/>
    <n v="540"/>
    <n v="90"/>
    <n v="91.800000000000011"/>
  </r>
  <r>
    <x v="44"/>
    <s v="JULIO"/>
    <n v="30"/>
    <s v="VIERNES"/>
    <x v="20"/>
    <s v="TRIPACK (FT NAR+SP)PET+IK RF PFM 3L"/>
    <n v="720"/>
    <n v="90"/>
    <n v="122.4"/>
  </r>
  <r>
    <x v="44"/>
    <s v="JULIO"/>
    <n v="30"/>
    <s v="VIERNES"/>
    <x v="16"/>
    <s v="SAN LUIS CON GAS PET 625MLX6"/>
    <n v="360"/>
    <n v="180"/>
    <n v="151.19999999999999"/>
  </r>
  <r>
    <x v="44"/>
    <s v="JULIO"/>
    <n v="30"/>
    <s v="VIERNES"/>
    <x v="25"/>
    <s v="POWERADE 3MORA+3FRUT PET 473MLX6"/>
    <n v="4500"/>
    <n v="225"/>
    <n v="1890"/>
  </r>
  <r>
    <x v="45"/>
    <s v="JULIO"/>
    <n v="31"/>
    <s v="SÁBADO"/>
    <x v="26"/>
    <s v="TRIPACK CC+CC+IK PFM 3LX3 - RFNN"/>
    <n v="180"/>
    <n v="90"/>
    <n v="30.6"/>
  </r>
  <r>
    <x v="45"/>
    <s v="JULIO"/>
    <n v="31"/>
    <s v="SÁBADO"/>
    <x v="23"/>
    <s v="TRIPACK CC+IK+IK PFM 3LX3 - RFNN"/>
    <n v="270"/>
    <n v="90"/>
    <n v="45.900000000000006"/>
  </r>
  <r>
    <x v="45"/>
    <s v="JULIO"/>
    <n v="31"/>
    <s v="SÁBADO"/>
    <x v="11"/>
    <s v="TRIPACK (CC+IK)PFM+FT PET 3LX3 - RFNN"/>
    <n v="3150"/>
    <n v="90"/>
    <n v="535.5"/>
  </r>
  <r>
    <x v="45"/>
    <s v="JULIO"/>
    <n v="31"/>
    <s v="SÁBADO"/>
    <x v="24"/>
    <s v="MONSTER ENERGY 473MLX4"/>
    <n v="473"/>
    <n v="420"/>
    <n v="198.66"/>
  </r>
  <r>
    <x v="46"/>
    <s v="JULIO"/>
    <n v="31"/>
    <s v="LUNES"/>
    <x v="13"/>
    <s v="INCA KOLA VR 1.5LX8 - STICKER"/>
    <n v="30"/>
    <n v="30"/>
    <n v="12"/>
  </r>
  <r>
    <x v="46"/>
    <s v="JULIO"/>
    <n v="31"/>
    <s v="LUNES"/>
    <x v="17"/>
    <s v="TWO PACK CC PFM 3LX2 - RFCC"/>
    <n v="360"/>
    <n v="120"/>
    <n v="61.2"/>
  </r>
  <r>
    <x v="46"/>
    <s v="JULIO"/>
    <n v="31"/>
    <s v="LUNES"/>
    <x v="6"/>
    <s v="INCA KOLA PET 3LX2 - RF"/>
    <n v="240"/>
    <n v="120"/>
    <n v="40.800000000000004"/>
  </r>
  <r>
    <x v="46"/>
    <s v="JULIO"/>
    <n v="31"/>
    <s v="LUNES"/>
    <x v="8"/>
    <s v="INCA KOLA PET 1.5LX2 RF"/>
    <n v="1584"/>
    <n v="198"/>
    <n v="269.28000000000003"/>
  </r>
  <r>
    <x v="46"/>
    <s v="JULIO"/>
    <n v="31"/>
    <s v="LUNES"/>
    <x v="0"/>
    <s v="SAN LUIS SIN GAS PET2500X6 STICKER"/>
    <n v="672"/>
    <n v="48"/>
    <n v="268.8"/>
  </r>
  <r>
    <x v="46"/>
    <s v="JULIO"/>
    <n v="31"/>
    <s v="LUNES"/>
    <x v="15"/>
    <s v="INCA KOLA VR 625MLX12 - STICKER"/>
    <n v="100"/>
    <n v="50"/>
    <n v="40"/>
  </r>
  <r>
    <x v="46"/>
    <s v="JULIO"/>
    <n v="31"/>
    <s v="LUNES"/>
    <x v="10"/>
    <s v="TWO PACK CC + IK PFM 3LX2 - RFNN"/>
    <n v="1440"/>
    <n v="120"/>
    <n v="244.8"/>
  </r>
  <r>
    <x v="46"/>
    <s v="JULIO"/>
    <n v="31"/>
    <s v="LUNES"/>
    <x v="22"/>
    <s v="TWO PACK SCHWEPPES CITRUS PET 1.5LX2"/>
    <n v="396"/>
    <n v="198"/>
    <n v="67.320000000000007"/>
  </r>
  <r>
    <x v="46"/>
    <s v="JULIO"/>
    <n v="31"/>
    <s v="LUNES"/>
    <x v="26"/>
    <s v="TRIPACK CC+CC+IK PFM 3LX3 - RFNN"/>
    <n v="630"/>
    <n v="90"/>
    <n v="107.10000000000001"/>
  </r>
  <r>
    <x v="46"/>
    <s v="JULIO"/>
    <n v="31"/>
    <s v="LUNES"/>
    <x v="24"/>
    <s v="MONSTER ENERGY 473MLX4"/>
    <n v="1260"/>
    <n v="420"/>
    <n v="529.19999999999993"/>
  </r>
  <r>
    <x v="46"/>
    <s v="JULIO"/>
    <n v="31"/>
    <s v="LUNES"/>
    <x v="23"/>
    <s v="TRIPACK CC+IK+IK PFM 3LX3 - RFNN"/>
    <n v="900"/>
    <n v="90"/>
    <n v="153"/>
  </r>
  <r>
    <x v="46"/>
    <s v="JULIO"/>
    <n v="31"/>
    <s v="LUNES"/>
    <x v="2"/>
    <s v="INCA KOLA SIN AZUCAR PET 1.5LX2"/>
    <n v="1782"/>
    <n v="198"/>
    <n v="302.94"/>
  </r>
  <r>
    <x v="46"/>
    <s v="JULIO"/>
    <n v="31"/>
    <s v="LUNES"/>
    <x v="1"/>
    <s v="COCA-COLA SIN AZUCAR PET 1.5LX2"/>
    <n v="2178"/>
    <n v="198"/>
    <n v="370.26000000000005"/>
  </r>
  <r>
    <x v="46"/>
    <s v="JULIO"/>
    <n v="31"/>
    <s v="LUNES"/>
    <x v="7"/>
    <s v="COCA-COLA PET 1.5LX2 RF"/>
    <n v="3168"/>
    <n v="198"/>
    <n v="538.56000000000006"/>
  </r>
  <r>
    <x v="46"/>
    <s v="JULIO"/>
    <n v="31"/>
    <s v="LUNES"/>
    <x v="9"/>
    <s v="TRIPACK FT NAR+FT KI+SP PET 3L"/>
    <n v="720"/>
    <n v="90"/>
    <n v="122.4"/>
  </r>
  <r>
    <x v="46"/>
    <s v="JULIO"/>
    <n v="31"/>
    <s v="LUNES"/>
    <x v="16"/>
    <s v="SAN LUIS CON GAS PET 625MLX6"/>
    <n v="900"/>
    <n v="180"/>
    <n v="378"/>
  </r>
  <r>
    <x v="46"/>
    <s v="JULIO"/>
    <n v="31"/>
    <s v="LUNES"/>
    <x v="12"/>
    <s v="POWERADE ION4 FRUTA PET473X6 MOD (STICK)"/>
    <n v="675"/>
    <n v="225"/>
    <n v="270"/>
  </r>
  <r>
    <x v="46"/>
    <s v="JULIO"/>
    <n v="31"/>
    <s v="LUNES"/>
    <x v="33"/>
    <s v="COCA COLA VR 296MLX24 - STICKER"/>
    <n v="40"/>
    <n v="40"/>
    <n v="9.2000000000000011"/>
  </r>
  <r>
    <x v="46"/>
    <s v="JULIO"/>
    <n v="31"/>
    <s v="LUNES"/>
    <x v="14"/>
    <s v="INCA KOLA VR 296MLX24 - STICKER"/>
    <n v="40"/>
    <n v="40"/>
    <n v="9.2000000000000011"/>
  </r>
  <r>
    <x v="46"/>
    <s v="JULIO"/>
    <n v="31"/>
    <s v="LUNES"/>
    <x v="19"/>
    <s v="POWERADE ION4 MORA AZ PET473X6 MOD(STCK)"/>
    <n v="225"/>
    <n v="225"/>
    <n v="90"/>
  </r>
  <r>
    <x v="46"/>
    <s v="JULIO"/>
    <n v="31"/>
    <s v="LUNES"/>
    <x v="28"/>
    <s v="COCA COLA VR 1.5LX8 - STICKER"/>
    <n v="60"/>
    <n v="30"/>
    <n v="13.8"/>
  </r>
  <r>
    <x v="47"/>
    <s v="JULIO"/>
    <n v="31"/>
    <s v="MARTES"/>
    <x v="19"/>
    <s v="POWERADE ION4 MORA AZ PET473X6 MOD(STCK)"/>
    <n v="225"/>
    <n v="225"/>
    <n v="90"/>
  </r>
  <r>
    <x v="47"/>
    <s v="JULIO"/>
    <n v="31"/>
    <s v="MARTES"/>
    <x v="38"/>
    <s v="SL S/G TAPA PLANA 1LT"/>
    <n v="224"/>
    <n v="112"/>
    <n v="89.600000000000009"/>
  </r>
  <r>
    <x v="47"/>
    <s v="JULIO"/>
    <n v="31"/>
    <s v="MARTES"/>
    <x v="25"/>
    <s v="POWERADE 3MORA+3FRUT PET 473MLX6"/>
    <n v="2925"/>
    <n v="225"/>
    <n v="1228.5"/>
  </r>
  <r>
    <x v="47"/>
    <s v="JULIO"/>
    <n v="31"/>
    <s v="MARTES"/>
    <x v="3"/>
    <s v="TWO PACK SCHWEPPES GINGER ALE PET 1.5LX2"/>
    <n v="792"/>
    <n v="198"/>
    <n v="134.64000000000001"/>
  </r>
  <r>
    <x v="47"/>
    <s v="JULIO"/>
    <n v="31"/>
    <s v="MARTES"/>
    <x v="1"/>
    <s v="COCA-COLA SIN AZUCAR PET 1.5LX2"/>
    <n v="1584"/>
    <n v="198"/>
    <n v="269.28000000000003"/>
  </r>
  <r>
    <x v="47"/>
    <s v="JULIO"/>
    <n v="31"/>
    <s v="MARTES"/>
    <x v="22"/>
    <s v="TWO PACK SCHWEPPES CITRUS PET 1.5LX2"/>
    <n v="396"/>
    <n v="198"/>
    <n v="67.320000000000007"/>
  </r>
  <r>
    <x v="47"/>
    <s v="JULIO"/>
    <n v="31"/>
    <s v="MARTES"/>
    <x v="5"/>
    <s v="INCA KOLA PET 2.25LX2 RF"/>
    <n v="972"/>
    <n v="162"/>
    <n v="165.24"/>
  </r>
  <r>
    <x v="47"/>
    <s v="JULIO"/>
    <n v="31"/>
    <s v="MARTES"/>
    <x v="17"/>
    <s v="TWO PACK CC PFM 3LX2 - RFCC"/>
    <n v="600"/>
    <n v="120"/>
    <n v="102.00000000000001"/>
  </r>
  <r>
    <x v="47"/>
    <s v="JULIO"/>
    <n v="31"/>
    <s v="MARTES"/>
    <x v="4"/>
    <s v="COCA-COLA PET 2.25LX2 RF"/>
    <n v="648"/>
    <n v="162"/>
    <n v="110.16000000000001"/>
  </r>
  <r>
    <x v="47"/>
    <s v="JULIO"/>
    <n v="31"/>
    <s v="MARTES"/>
    <x v="6"/>
    <s v="INCA KOLA PET 3LX2 - RF"/>
    <n v="1800"/>
    <n v="120"/>
    <n v="306"/>
  </r>
  <r>
    <x v="47"/>
    <s v="JULIO"/>
    <n v="31"/>
    <s v="MARTES"/>
    <x v="8"/>
    <s v="INCA KOLA PET 1.5LX2 RF"/>
    <n v="792"/>
    <n v="198"/>
    <n v="134.64000000000001"/>
  </r>
  <r>
    <x v="47"/>
    <s v="JULIO"/>
    <n v="31"/>
    <s v="MARTES"/>
    <x v="10"/>
    <s v="TWO PACK CC + IK PFM 3LX2 - RFNN"/>
    <n v="4560"/>
    <n v="120"/>
    <n v="775.2"/>
  </r>
  <r>
    <x v="47"/>
    <s v="JULIO"/>
    <n v="31"/>
    <s v="MARTES"/>
    <x v="28"/>
    <s v="COCA COLA VR 1.5LX8 - STICKER"/>
    <n v="120"/>
    <n v="30"/>
    <n v="27.6"/>
  </r>
  <r>
    <x v="47"/>
    <s v="JULIO"/>
    <n v="31"/>
    <s v="MARTES"/>
    <x v="13"/>
    <s v="INCA KOLA VR 1.5LX8 - STICKER"/>
    <n v="60"/>
    <n v="30"/>
    <n v="24"/>
  </r>
  <r>
    <x v="47"/>
    <s v="JULIO"/>
    <n v="31"/>
    <s v="MARTES"/>
    <x v="15"/>
    <s v="INCA KOLA VR 625MLX12 - STICKER"/>
    <n v="100"/>
    <n v="50"/>
    <n v="40"/>
  </r>
  <r>
    <x v="47"/>
    <s v="JULIO"/>
    <n v="31"/>
    <s v="MARTES"/>
    <x v="17"/>
    <s v="TWO PACK CC PFM 3LX2 - RFCC"/>
    <n v="720"/>
    <n v="120"/>
    <n v="122.4"/>
  </r>
  <r>
    <x v="47"/>
    <s v="JULIO"/>
    <n v="31"/>
    <s v="MARTES"/>
    <x v="9"/>
    <s v="TRIPACK FT NAR+FT KI+SP PET 3L"/>
    <n v="720"/>
    <n v="90"/>
    <n v="122.4"/>
  </r>
  <r>
    <x v="47"/>
    <s v="JULIO"/>
    <n v="31"/>
    <s v="MARTES"/>
    <x v="23"/>
    <s v="TRIPACK CC+IK+IK PFM 3LX3 - RFNN"/>
    <n v="720"/>
    <n v="90"/>
    <n v="122.4"/>
  </r>
  <r>
    <x v="47"/>
    <s v="JULIO"/>
    <n v="31"/>
    <s v="MARTES"/>
    <x v="16"/>
    <s v="SAN LUIS CON GAS PET 625MLX6"/>
    <n v="360"/>
    <n v="180"/>
    <n v="151.19999999999999"/>
  </r>
  <r>
    <x v="47"/>
    <s v="JULIO"/>
    <n v="31"/>
    <s v="MARTES"/>
    <x v="0"/>
    <s v="SAN LUIS SIN GAS PET2500X6 STICKER"/>
    <n v="672"/>
    <n v="48"/>
    <n v="268.8"/>
  </r>
  <r>
    <x v="47"/>
    <s v="JULIO"/>
    <n v="31"/>
    <s v="MARTES"/>
    <x v="12"/>
    <s v="POWERADE ION4 FRUTA PET473X6 MOD (STICK)"/>
    <n v="672"/>
    <n v="225"/>
    <n v="268.8"/>
  </r>
  <r>
    <x v="48"/>
    <s v="JULIO"/>
    <n v="31"/>
    <s v="VIERNES"/>
    <x v="4"/>
    <s v="COCA-COLA PET 2.25LX2 RF"/>
    <n v="1296"/>
    <n v="162"/>
    <n v="220.32000000000002"/>
  </r>
  <r>
    <x v="48"/>
    <s v="JULIO"/>
    <n v="31"/>
    <s v="VIERNES"/>
    <x v="21"/>
    <n v="0"/>
    <n v="1782"/>
    <n v="0"/>
    <n v="0"/>
  </r>
  <r>
    <x v="48"/>
    <s v="JULIO"/>
    <n v="31"/>
    <s v="VIERNES"/>
    <x v="2"/>
    <s v="INCA KOLA SIN AZUCAR PET 1.5LX2"/>
    <n v="2178"/>
    <n v="198"/>
    <n v="370.26000000000005"/>
  </r>
  <r>
    <x v="48"/>
    <s v="JULIO"/>
    <n v="31"/>
    <s v="VIERNES"/>
    <x v="22"/>
    <s v="TWO PACK SCHWEPPES CITRUS PET 1.5LX2"/>
    <n v="792"/>
    <n v="198"/>
    <n v="134.64000000000001"/>
  </r>
  <r>
    <x v="48"/>
    <s v="JULIO"/>
    <n v="31"/>
    <s v="VIERNES"/>
    <x v="8"/>
    <s v="INCA KOLA PET 1.5LX2 RF"/>
    <n v="2574"/>
    <n v="198"/>
    <n v="437.58000000000004"/>
  </r>
  <r>
    <x v="48"/>
    <s v="JULIO"/>
    <n v="31"/>
    <s v="VIERNES"/>
    <x v="5"/>
    <s v="INCA KOLA PET 2.25LX2 RF"/>
    <n v="1296"/>
    <n v="162"/>
    <n v="220.32000000000002"/>
  </r>
  <r>
    <x v="48"/>
    <s v="JULIO"/>
    <n v="31"/>
    <s v="VIERNES"/>
    <x v="7"/>
    <s v="COCA-COLA PET 1.5LX2 RF"/>
    <n v="1584"/>
    <n v="198"/>
    <n v="269.28000000000003"/>
  </r>
  <r>
    <x v="48"/>
    <s v="JULIO"/>
    <n v="31"/>
    <s v="VIERNES"/>
    <x v="11"/>
    <s v="TRIPACK (CC+IK)PFM+FT PET 3LX3 - RFNN"/>
    <n v="2160"/>
    <n v="90"/>
    <n v="367.20000000000005"/>
  </r>
  <r>
    <x v="48"/>
    <s v="JULIO"/>
    <n v="31"/>
    <s v="VIERNES"/>
    <x v="24"/>
    <s v="MONSTER ENERGY 473MLX4"/>
    <n v="1419"/>
    <n v="420"/>
    <n v="595.98"/>
  </r>
  <r>
    <x v="48"/>
    <s v="JULIO"/>
    <n v="31"/>
    <s v="VIERNES"/>
    <x v="3"/>
    <s v="TWO PACK SCHWEPPES GINGER ALE PET 1.5LX2"/>
    <n v="396"/>
    <n v="198"/>
    <n v="67.320000000000007"/>
  </r>
  <r>
    <x v="48"/>
    <s v="JULIO"/>
    <n v="31"/>
    <s v="VIERNES"/>
    <x v="0"/>
    <s v="SAN LUIS SIN GAS PET2500X6 STICKER"/>
    <n v="720"/>
    <n v="48"/>
    <n v="288"/>
  </r>
  <r>
    <x v="48"/>
    <s v="JULIO"/>
    <n v="31"/>
    <s v="VIERNES"/>
    <x v="15"/>
    <s v="INCA KOLA VR 625MLX12 - STICKER"/>
    <n v="300"/>
    <n v="50"/>
    <n v="120"/>
  </r>
  <r>
    <x v="48"/>
    <s v="JULIO"/>
    <n v="31"/>
    <s v="VIERNES"/>
    <x v="10"/>
    <s v="TWO PACK CC + IK PFM 3LX2 - RFNN"/>
    <n v="720"/>
    <n v="120"/>
    <n v="122.4"/>
  </r>
  <r>
    <x v="48"/>
    <s v="JULIO"/>
    <n v="31"/>
    <s v="VIERNES"/>
    <x v="17"/>
    <s v="TWO PACK CC PFM 3LX2 - RFCC"/>
    <n v="480"/>
    <n v="120"/>
    <n v="81.600000000000009"/>
  </r>
  <r>
    <x v="48"/>
    <s v="JULIO"/>
    <n v="31"/>
    <s v="VIERNES"/>
    <x v="12"/>
    <s v="POWERADE ION4 FRUTA PET473X6 MOD (STICK)"/>
    <n v="225"/>
    <n v="225"/>
    <n v="90"/>
  </r>
  <r>
    <x v="48"/>
    <s v="JULIO"/>
    <n v="31"/>
    <s v="VIERNES"/>
    <x v="25"/>
    <s v="POWERADE 3MORA+3FRUT PET 473MLX6"/>
    <n v="1575"/>
    <n v="225"/>
    <n v="661.5"/>
  </r>
  <r>
    <x v="48"/>
    <s v="JULIO"/>
    <n v="31"/>
    <s v="VIERNES"/>
    <x v="28"/>
    <s v="COCA COLA VR 1.5LX8 - STICKER"/>
    <n v="120"/>
    <n v="30"/>
    <n v="27.6"/>
  </r>
  <r>
    <x v="48"/>
    <s v="JULIO"/>
    <n v="31"/>
    <s v="VIERNES"/>
    <x v="13"/>
    <s v="INCA KOLA VR 1.5LX8 - STICKER"/>
    <n v="180"/>
    <n v="30"/>
    <n v="72"/>
  </r>
  <r>
    <x v="49"/>
    <s v="JULIO"/>
    <n v="32"/>
    <s v="SÁBADO"/>
    <x v="9"/>
    <s v="TRIPACK FT NAR+FT KI+SP PET 3L"/>
    <n v="1440"/>
    <n v="90"/>
    <n v="244.8"/>
  </r>
  <r>
    <x v="49"/>
    <s v="JULIO"/>
    <n v="32"/>
    <s v="SÁBADO"/>
    <x v="10"/>
    <s v="TWO PACK CC + IK PFM 3LX2 - RFNN"/>
    <n v="1440"/>
    <n v="120"/>
    <n v="244.8"/>
  </r>
  <r>
    <x v="49"/>
    <s v="JULIO"/>
    <n v="32"/>
    <s v="SÁBADO"/>
    <x v="26"/>
    <s v="TRIPACK CC+CC+IK PFM 3LX3 - RFNN"/>
    <n v="900"/>
    <n v="90"/>
    <n v="153"/>
  </r>
  <r>
    <x v="49"/>
    <s v="JULIO"/>
    <n v="32"/>
    <s v="SÁBADO"/>
    <x v="23"/>
    <s v="TRIPACK CC+IK+IK PFM 3LX3 - RFNN"/>
    <n v="2160"/>
    <n v="90"/>
    <n v="367.20000000000005"/>
  </r>
  <r>
    <x v="49"/>
    <s v="JULIO"/>
    <n v="32"/>
    <s v="SÁBADO"/>
    <x v="20"/>
    <s v="TRIPACK (FT NAR+SP)PET+IK RF PFM 3L"/>
    <n v="450"/>
    <n v="90"/>
    <n v="76.5"/>
  </r>
  <r>
    <x v="49"/>
    <s v="JULIO"/>
    <n v="32"/>
    <s v="SÁBADO"/>
    <x v="24"/>
    <s v="MONSTER ENERGY 473MLX4"/>
    <n v="2100"/>
    <n v="420"/>
    <n v="882"/>
  </r>
  <r>
    <x v="49"/>
    <s v="JULIO"/>
    <n v="32"/>
    <s v="SÁBADO"/>
    <x v="14"/>
    <s v="INCA KOLA VR 296MLX24 - STICKER"/>
    <n v="40"/>
    <n v="40"/>
    <n v="9.2000000000000011"/>
  </r>
  <r>
    <x v="49"/>
    <s v="JULIO"/>
    <n v="32"/>
    <s v="SÁBADO"/>
    <x v="38"/>
    <s v="SL S/G TAPA PLANA 1LT"/>
    <n v="560"/>
    <n v="112"/>
    <n v="224"/>
  </r>
  <r>
    <x v="49"/>
    <s v="JULIO"/>
    <n v="32"/>
    <s v="SÁBADO"/>
    <x v="15"/>
    <s v="INCA KOLA VR 625MLX12 - STICKER"/>
    <n v="50"/>
    <n v="50"/>
    <n v="20"/>
  </r>
  <r>
    <x v="49"/>
    <s v="JULIO"/>
    <n v="32"/>
    <s v="SÁBADO"/>
    <x v="28"/>
    <s v="COCA COLA VR 1.5LX8 - STICKER"/>
    <n v="30"/>
    <n v="30"/>
    <n v="6.9"/>
  </r>
  <r>
    <x v="49"/>
    <s v="JULIO"/>
    <n v="32"/>
    <s v="SÁBADO"/>
    <x v="13"/>
    <s v="INCA KOLA VR 1.5LX8 - STICKER"/>
    <n v="30"/>
    <n v="30"/>
    <n v="12"/>
  </r>
  <r>
    <x v="49"/>
    <s v="JULIO"/>
    <n v="32"/>
    <s v="SÁBADO"/>
    <x v="0"/>
    <s v="SAN LUIS SIN GAS PET2500X6 STICKER"/>
    <n v="576"/>
    <n v="48"/>
    <n v="230.4"/>
  </r>
  <r>
    <x v="49"/>
    <s v="JULIO"/>
    <n v="32"/>
    <s v="SÁBADO"/>
    <x v="12"/>
    <s v="POWERADE ION4 FRUTA PET473X6 MOD (STICK)"/>
    <n v="675"/>
    <n v="225"/>
    <n v="270"/>
  </r>
  <r>
    <x v="49"/>
    <s v="JULIO"/>
    <n v="32"/>
    <s v="SÁBADO"/>
    <x v="19"/>
    <s v="POWERADE ION4 MORA AZ PET473X6 MOD(STCK)"/>
    <n v="675"/>
    <n v="225"/>
    <n v="270"/>
  </r>
  <r>
    <x v="49"/>
    <s v="JULIO"/>
    <n v="32"/>
    <s v="SÁBADO"/>
    <x v="33"/>
    <s v="COCA COLA VR 296MLX24 - STICKER"/>
    <n v="80"/>
    <n v="40"/>
    <n v="18.400000000000002"/>
  </r>
  <r>
    <x v="50"/>
    <s v="AGOSTO"/>
    <n v="32"/>
    <s v="DOMINGO"/>
    <x v="10"/>
    <s v="TWO PACK CC + IK PFM 3LX2 - RFNN"/>
    <n v="1440"/>
    <n v="120"/>
    <n v="244.8"/>
  </r>
  <r>
    <x v="50"/>
    <s v="AGOSTO"/>
    <n v="32"/>
    <s v="DOMINGO"/>
    <x v="9"/>
    <s v="TRIPACK FT NAR+FT KI+SP PET 3L"/>
    <n v="720"/>
    <n v="90"/>
    <n v="122.4"/>
  </r>
  <r>
    <x v="50"/>
    <s v="AGOSTO"/>
    <n v="32"/>
    <s v="DOMINGO"/>
    <x v="11"/>
    <s v="TRIPACK (CC+IK)PFM+FT PET 3LX3 - RFNN"/>
    <n v="720"/>
    <n v="90"/>
    <n v="122.4"/>
  </r>
  <r>
    <x v="51"/>
    <s v="AGOSTO"/>
    <n v="32"/>
    <s v="LUNES"/>
    <x v="1"/>
    <s v="COCA-COLA SIN AZUCAR PET 1.5LX2"/>
    <n v="990"/>
    <n v="198"/>
    <n v="168.3"/>
  </r>
  <r>
    <x v="51"/>
    <s v="AGOSTO"/>
    <n v="32"/>
    <s v="LUNES"/>
    <x v="6"/>
    <s v="INCA KOLA PET 3LX2 - RF"/>
    <n v="480"/>
    <n v="120"/>
    <n v="81.600000000000009"/>
  </r>
  <r>
    <x v="51"/>
    <s v="AGOSTO"/>
    <n v="32"/>
    <s v="LUNES"/>
    <x v="2"/>
    <s v="INCA KOLA SIN AZUCAR PET 1.5LX2"/>
    <n v="1188"/>
    <n v="198"/>
    <n v="201.96"/>
  </r>
  <r>
    <x v="51"/>
    <s v="AGOSTO"/>
    <n v="32"/>
    <s v="LUNES"/>
    <x v="22"/>
    <s v="TWO PACK SCHWEPPES CITRUS PET 1.5LX2"/>
    <n v="396"/>
    <n v="198"/>
    <n v="67.320000000000007"/>
  </r>
  <r>
    <x v="51"/>
    <s v="AGOSTO"/>
    <n v="32"/>
    <s v="LUNES"/>
    <x v="3"/>
    <s v="TWO PACK SCHWEPPES GINGER ALE PET 1.5LX2"/>
    <n v="1188"/>
    <n v="198"/>
    <n v="201.96"/>
  </r>
  <r>
    <x v="51"/>
    <s v="AGOSTO"/>
    <n v="32"/>
    <s v="LUNES"/>
    <x v="23"/>
    <s v="TRIPACK CC+IK+IK PFM 3LX3 - RFNN"/>
    <n v="450"/>
    <n v="90"/>
    <n v="76.5"/>
  </r>
  <r>
    <x v="51"/>
    <s v="AGOSTO"/>
    <n v="32"/>
    <s v="LUNES"/>
    <x v="11"/>
    <s v="TRIPACK (CC+IK)PFM+FT PET 3LX3 - RFNN"/>
    <n v="1170"/>
    <n v="90"/>
    <n v="198.9"/>
  </r>
  <r>
    <x v="51"/>
    <s v="AGOSTO"/>
    <n v="32"/>
    <s v="LUNES"/>
    <x v="7"/>
    <s v="COCA-COLA PET 1.5LX2 RF"/>
    <n v="792"/>
    <n v="198"/>
    <n v="134.64000000000001"/>
  </r>
  <r>
    <x v="51"/>
    <s v="AGOSTO"/>
    <n v="32"/>
    <s v="LUNES"/>
    <x v="8"/>
    <s v="INCA KOLA PET 1.5LX2 RF"/>
    <n v="594"/>
    <n v="198"/>
    <n v="100.98"/>
  </r>
  <r>
    <x v="51"/>
    <s v="AGOSTO"/>
    <n v="32"/>
    <s v="LUNES"/>
    <x v="25"/>
    <s v="POWERADE 3MORA+3FRUT PET 473MLX6"/>
    <n v="2025"/>
    <n v="225"/>
    <n v="850.5"/>
  </r>
  <r>
    <x v="51"/>
    <s v="AGOSTO"/>
    <n v="32"/>
    <s v="LUNES"/>
    <x v="36"/>
    <s v="SAN LUIS SIN GAS PET 625MLX15 C/STICKER"/>
    <n v="720"/>
    <n v="90"/>
    <n v="288"/>
  </r>
  <r>
    <x v="51"/>
    <s v="AGOSTO"/>
    <n v="32"/>
    <s v="LUNES"/>
    <x v="19"/>
    <s v="POWERADE ION4 MORA AZ PET473X6 MOD(STCK)"/>
    <n v="1800"/>
    <n v="225"/>
    <n v="720"/>
  </r>
  <r>
    <x v="51"/>
    <s v="AGOSTO"/>
    <n v="32"/>
    <s v="LUNES"/>
    <x v="12"/>
    <s v="POWERADE ION4 FRUTA PET473X6 MOD (STICK)"/>
    <n v="2250"/>
    <n v="225"/>
    <n v="900"/>
  </r>
  <r>
    <x v="51"/>
    <s v="AGOSTO"/>
    <n v="32"/>
    <s v="LUNES"/>
    <x v="13"/>
    <s v="INCA KOLA VR 1.5LX8 - STICKER"/>
    <n v="30"/>
    <n v="30"/>
    <n v="12"/>
  </r>
  <r>
    <x v="52"/>
    <s v="AGOSTO"/>
    <n v="32"/>
    <s v="MARTES"/>
    <x v="25"/>
    <s v="POWERADE 3MORA+3FRUT PET 473MLX6"/>
    <n v="1350"/>
    <n v="225"/>
    <n v="567"/>
  </r>
  <r>
    <x v="52"/>
    <s v="AGOSTO"/>
    <n v="32"/>
    <s v="MARTES"/>
    <x v="1"/>
    <s v="COCA-COLA SIN AZUCAR PET 1.5LX2"/>
    <n v="396"/>
    <n v="198"/>
    <n v="67.320000000000007"/>
  </r>
  <r>
    <x v="52"/>
    <s v="AGOSTO"/>
    <n v="32"/>
    <s v="MARTES"/>
    <x v="6"/>
    <s v="INCA KOLA PET 3LX2 - RF"/>
    <n v="480"/>
    <n v="120"/>
    <n v="81.600000000000009"/>
  </r>
  <r>
    <x v="52"/>
    <s v="AGOSTO"/>
    <n v="32"/>
    <s v="MARTES"/>
    <x v="2"/>
    <s v="INCA KOLA SIN AZUCAR PET 1.5LX2"/>
    <n v="1188"/>
    <n v="198"/>
    <n v="201.96"/>
  </r>
  <r>
    <x v="52"/>
    <s v="AGOSTO"/>
    <n v="32"/>
    <s v="MARTES"/>
    <x v="20"/>
    <s v="TRIPACK (FT NAR+SP)PET+IK RF PFM 3L"/>
    <n v="180"/>
    <n v="90"/>
    <n v="30.6"/>
  </r>
  <r>
    <x v="52"/>
    <s v="AGOSTO"/>
    <n v="32"/>
    <s v="MARTES"/>
    <x v="3"/>
    <s v="TWO PACK SCHWEPPES GINGER ALE PET 1.5LX2"/>
    <n v="594"/>
    <n v="198"/>
    <n v="100.98"/>
  </r>
  <r>
    <x v="52"/>
    <s v="AGOSTO"/>
    <n v="32"/>
    <s v="MARTES"/>
    <x v="9"/>
    <s v="TRIPACK FT NAR+FT KI+SP PET 3L"/>
    <n v="1440"/>
    <n v="90"/>
    <n v="244.8"/>
  </r>
  <r>
    <x v="52"/>
    <s v="AGOSTO"/>
    <n v="32"/>
    <s v="MARTES"/>
    <x v="4"/>
    <s v="COCA-COLA PET 2.25LX2 RF"/>
    <n v="810"/>
    <n v="162"/>
    <n v="137.70000000000002"/>
  </r>
  <r>
    <x v="52"/>
    <s v="AGOSTO"/>
    <n v="32"/>
    <s v="MARTES"/>
    <x v="26"/>
    <s v="TRIPACK CC+CC+IK PFM 3LX3 - RFNN"/>
    <n v="90"/>
    <n v="90"/>
    <n v="15.3"/>
  </r>
  <r>
    <x v="52"/>
    <s v="AGOSTO"/>
    <n v="32"/>
    <s v="MARTES"/>
    <x v="10"/>
    <s v="TWO PACK CC + IK PFM 3LX2 - RFNN"/>
    <n v="1200"/>
    <n v="120"/>
    <n v="204.00000000000003"/>
  </r>
  <r>
    <x v="52"/>
    <s v="AGOSTO"/>
    <n v="32"/>
    <s v="MARTES"/>
    <x v="23"/>
    <s v="TRIPACK CC+IK+IK PFM 3LX3 - RFNN"/>
    <n v="720"/>
    <n v="90"/>
    <n v="122.4"/>
  </r>
  <r>
    <x v="52"/>
    <s v="AGOSTO"/>
    <n v="32"/>
    <s v="MARTES"/>
    <x v="17"/>
    <s v="TWO PACK CC PFM 3LX2 - RFCC"/>
    <n v="480"/>
    <n v="120"/>
    <n v="81.600000000000009"/>
  </r>
  <r>
    <x v="52"/>
    <s v="AGOSTO"/>
    <n v="32"/>
    <s v="MARTES"/>
    <x v="11"/>
    <s v="TRIPACK (CC+IK)PFM+FT PET 3LX3 - RFNN"/>
    <n v="2880"/>
    <n v="90"/>
    <n v="489.6"/>
  </r>
  <r>
    <x v="52"/>
    <s v="AGOSTO"/>
    <n v="32"/>
    <s v="MARTES"/>
    <x v="8"/>
    <s v="INCA KOLA PET 1.5LX2 RF"/>
    <n v="1584"/>
    <n v="198"/>
    <n v="269.28000000000003"/>
  </r>
  <r>
    <x v="52"/>
    <s v="AGOSTO"/>
    <n v="32"/>
    <s v="MARTES"/>
    <x v="16"/>
    <s v="SAN LUIS CON GAS PET 625MLX6"/>
    <n v="540"/>
    <n v="180"/>
    <n v="226.79999999999998"/>
  </r>
  <r>
    <x v="52"/>
    <s v="AGOSTO"/>
    <n v="32"/>
    <s v="MARTES"/>
    <x v="24"/>
    <s v="MONSTER ENERGY 473MLX4"/>
    <n v="1260"/>
    <n v="420"/>
    <n v="529.19999999999993"/>
  </r>
  <r>
    <x v="53"/>
    <s v="AGOSTO"/>
    <n v="32"/>
    <s v="MIÉRCOLES"/>
    <x v="6"/>
    <s v="INCA KOLA PET 3LX2 - RF"/>
    <n v="1920"/>
    <n v="120"/>
    <n v="326.40000000000003"/>
  </r>
  <r>
    <x v="53"/>
    <s v="AGOSTO"/>
    <n v="32"/>
    <s v="MIÉRCOLES"/>
    <x v="3"/>
    <s v="TWO PACK SCHWEPPES GINGER ALE PET 1.5LX2"/>
    <n v="1188"/>
    <n v="198"/>
    <n v="201.96"/>
  </r>
  <r>
    <x v="53"/>
    <s v="AGOSTO"/>
    <n v="32"/>
    <s v="MIÉRCOLES"/>
    <x v="1"/>
    <s v="COCA-COLA SIN AZUCAR PET 1.5LX2"/>
    <n v="1980"/>
    <n v="198"/>
    <n v="336.6"/>
  </r>
  <r>
    <x v="53"/>
    <s v="AGOSTO"/>
    <n v="32"/>
    <s v="MIÉRCOLES"/>
    <x v="7"/>
    <s v="COCA-COLA PET 1.5LX2 RF"/>
    <n v="1584"/>
    <n v="198"/>
    <n v="269.28000000000003"/>
  </r>
  <r>
    <x v="53"/>
    <s v="AGOSTO"/>
    <n v="32"/>
    <s v="MIÉRCOLES"/>
    <x v="10"/>
    <s v="TWO PACK CC + IK PFM 3LX2 - RFNN"/>
    <n v="1920"/>
    <n v="120"/>
    <n v="326.40000000000003"/>
  </r>
  <r>
    <x v="53"/>
    <s v="AGOSTO"/>
    <n v="32"/>
    <s v="MIÉRCOLES"/>
    <x v="28"/>
    <s v="COCA COLA VR 1.5LX8 - STICKER"/>
    <n v="120"/>
    <n v="30"/>
    <n v="27.6"/>
  </r>
  <r>
    <x v="53"/>
    <s v="AGOSTO"/>
    <n v="32"/>
    <s v="MIÉRCOLES"/>
    <x v="13"/>
    <s v="INCA KOLA VR 1.5LX8 - STICKER"/>
    <n v="180"/>
    <n v="30"/>
    <n v="72"/>
  </r>
  <r>
    <x v="53"/>
    <s v="AGOSTO"/>
    <n v="32"/>
    <s v="MIÉRCOLES"/>
    <x v="0"/>
    <s v="SAN LUIS SIN GAS PET2500X6 STICKER"/>
    <n v="672"/>
    <n v="48"/>
    <n v="268.8"/>
  </r>
  <r>
    <x v="53"/>
    <s v="AGOSTO"/>
    <n v="32"/>
    <s v="MIÉRCOLES"/>
    <x v="26"/>
    <s v="TRIPACK CC+CC+IK PFM 3LX3 - RFNN"/>
    <n v="1440"/>
    <n v="90"/>
    <n v="244.8"/>
  </r>
  <r>
    <x v="53"/>
    <s v="AGOSTO"/>
    <n v="32"/>
    <s v="MIÉRCOLES"/>
    <x v="33"/>
    <s v="COCA COLA VR 296MLX24 - STICKER"/>
    <n v="40"/>
    <n v="40"/>
    <n v="9.2000000000000011"/>
  </r>
  <r>
    <x v="53"/>
    <s v="AGOSTO"/>
    <n v="32"/>
    <s v="MIÉRCOLES"/>
    <x v="14"/>
    <s v="INCA KOLA VR 296MLX24 - STICKER"/>
    <n v="40"/>
    <n v="40"/>
    <n v="9.2000000000000011"/>
  </r>
  <r>
    <x v="53"/>
    <s v="AGOSTO"/>
    <n v="32"/>
    <s v="MIÉRCOLES"/>
    <x v="15"/>
    <s v="INCA KOLA VR 625MLX12 - STICKER"/>
    <n v="200"/>
    <n v="50"/>
    <n v="80"/>
  </r>
  <r>
    <x v="53"/>
    <s v="AGOSTO"/>
    <n v="32"/>
    <s v="MIÉRCOLES"/>
    <x v="23"/>
    <s v="TRIPACK CC+IK+IK PFM 3LX3 - RFNN"/>
    <n v="2160"/>
    <n v="90"/>
    <n v="367.20000000000005"/>
  </r>
  <r>
    <x v="53"/>
    <s v="AGOSTO"/>
    <n v="32"/>
    <s v="MIÉRCOLES"/>
    <x v="36"/>
    <s v="SAN LUIS SIN GAS PET 625MLX15 C/STICKER"/>
    <n v="360"/>
    <n v="90"/>
    <n v="144"/>
  </r>
  <r>
    <x v="53"/>
    <s v="AGOSTO"/>
    <n v="32"/>
    <s v="MIÉRCOLES"/>
    <x v="20"/>
    <s v="TRIPACK (FT NAR+SP)PET+IK RF PFM 3L"/>
    <n v="720"/>
    <n v="90"/>
    <n v="122.4"/>
  </r>
  <r>
    <x v="54"/>
    <s v="AGOSTO"/>
    <n v="32"/>
    <s v="JUEVES"/>
    <x v="4"/>
    <s v="COCA-COLA PET 2.25LX2 RF"/>
    <n v="324"/>
    <n v="162"/>
    <n v="55.080000000000005"/>
  </r>
  <r>
    <x v="54"/>
    <s v="AGOSTO"/>
    <n v="32"/>
    <s v="JUEVES"/>
    <x v="6"/>
    <s v="INCA KOLA PET 3LX2 - RF"/>
    <n v="1080"/>
    <n v="120"/>
    <n v="183.60000000000002"/>
  </r>
  <r>
    <x v="54"/>
    <s v="AGOSTO"/>
    <n v="32"/>
    <s v="JUEVES"/>
    <x v="7"/>
    <s v="COCA-COLA PET 1.5LX2 RF"/>
    <n v="1386"/>
    <n v="198"/>
    <n v="235.62"/>
  </r>
  <r>
    <x v="54"/>
    <s v="AGOSTO"/>
    <n v="32"/>
    <s v="JUEVES"/>
    <x v="16"/>
    <s v="SAN LUIS CON GAS PET 625MLX6"/>
    <n v="720"/>
    <n v="180"/>
    <n v="302.39999999999998"/>
  </r>
  <r>
    <x v="54"/>
    <s v="AGOSTO"/>
    <n v="32"/>
    <s v="JUEVES"/>
    <x v="1"/>
    <s v="COCA-COLA SIN AZUCAR PET 1.5LX2"/>
    <n v="792"/>
    <n v="198"/>
    <n v="134.64000000000001"/>
  </r>
  <r>
    <x v="54"/>
    <s v="AGOSTO"/>
    <n v="32"/>
    <s v="JUEVES"/>
    <x v="26"/>
    <s v="TRIPACK CC+CC+IK PFM 3LX3 - RFNN"/>
    <n v="450"/>
    <n v="90"/>
    <n v="76.5"/>
  </r>
  <r>
    <x v="54"/>
    <s v="AGOSTO"/>
    <n v="32"/>
    <s v="JUEVES"/>
    <x v="17"/>
    <s v="TWO PACK CC PFM 3LX2 - RFCC"/>
    <n v="1200"/>
    <n v="120"/>
    <n v="204.00000000000003"/>
  </r>
  <r>
    <x v="54"/>
    <s v="AGOSTO"/>
    <n v="32"/>
    <s v="JUEVES"/>
    <x v="3"/>
    <s v="TWO PACK SCHWEPPES GINGER ALE PET 1.5LX2"/>
    <n v="396"/>
    <n v="198"/>
    <n v="67.320000000000007"/>
  </r>
  <r>
    <x v="54"/>
    <s v="AGOSTO"/>
    <n v="32"/>
    <s v="JUEVES"/>
    <x v="34"/>
    <s v="TWO PACK CC PET 1.5LX2 - CRC"/>
    <n v="396"/>
    <n v="198"/>
    <n v="67.320000000000007"/>
  </r>
  <r>
    <x v="54"/>
    <s v="AGOSTO"/>
    <n v="32"/>
    <s v="JUEVES"/>
    <x v="25"/>
    <s v="POWERADE 3MORA+3FRUT PET 473MLX6"/>
    <n v="450"/>
    <n v="225"/>
    <n v="189"/>
  </r>
  <r>
    <x v="54"/>
    <s v="AGOSTO"/>
    <n v="32"/>
    <s v="JUEVES"/>
    <x v="29"/>
    <s v="TWO PACK IK PET 1.5LX2 - CRCG"/>
    <n v="198"/>
    <n v="198"/>
    <n v="33.660000000000004"/>
  </r>
  <r>
    <x v="54"/>
    <s v="AGOSTO"/>
    <n v="32"/>
    <s v="JUEVES"/>
    <x v="22"/>
    <s v="TWO PACK SCHWEPPES CITRUS PET 1.5LX2"/>
    <n v="198"/>
    <n v="198"/>
    <n v="33.660000000000004"/>
  </r>
  <r>
    <x v="54"/>
    <s v="AGOSTO"/>
    <n v="32"/>
    <s v="JUEVES"/>
    <x v="8"/>
    <s v="INCA KOLA PET 1.5LX2 RF"/>
    <n v="396"/>
    <n v="198"/>
    <n v="67.320000000000007"/>
  </r>
  <r>
    <x v="54"/>
    <s v="AGOSTO"/>
    <n v="32"/>
    <s v="JUEVES"/>
    <x v="11"/>
    <s v="TRIPACK (CC+IK)PFM+FT PET 3LX3 - RFNN"/>
    <n v="810"/>
    <n v="90"/>
    <n v="137.70000000000002"/>
  </r>
  <r>
    <x v="54"/>
    <s v="AGOSTO"/>
    <n v="32"/>
    <s v="JUEVES"/>
    <x v="10"/>
    <s v="TWO PACK CC + IK PFM 3LX2 - RFNN"/>
    <n v="480"/>
    <n v="120"/>
    <n v="81.600000000000009"/>
  </r>
  <r>
    <x v="55"/>
    <s v="AGOSTO"/>
    <n v="32"/>
    <s v="VIERNES"/>
    <x v="24"/>
    <s v="MONSTER ENERGY 473MLX4"/>
    <n v="1680"/>
    <n v="420"/>
    <n v="705.6"/>
  </r>
  <r>
    <x v="55"/>
    <s v="AGOSTO"/>
    <n v="32"/>
    <s v="VIERNES"/>
    <x v="33"/>
    <s v="COCA COLA VR 296MLX24 - STICKER"/>
    <n v="80"/>
    <n v="40"/>
    <n v="18.400000000000002"/>
  </r>
  <r>
    <x v="55"/>
    <s v="AGOSTO"/>
    <n v="32"/>
    <s v="VIERNES"/>
    <x v="28"/>
    <s v="COCA COLA VR 1.5LX8 - STICKER"/>
    <n v="300"/>
    <n v="30"/>
    <n v="69"/>
  </r>
  <r>
    <x v="55"/>
    <s v="AGOSTO"/>
    <n v="32"/>
    <s v="VIERNES"/>
    <x v="0"/>
    <s v="SAN LUIS SIN GAS PET2500X6 STICKER"/>
    <n v="480"/>
    <n v="48"/>
    <n v="192"/>
  </r>
  <r>
    <x v="55"/>
    <s v="AGOSTO"/>
    <n v="32"/>
    <s v="VIERNES"/>
    <x v="7"/>
    <s v="COCA-COLA PET 1.5LX2 RF"/>
    <n v="594"/>
    <n v="198"/>
    <n v="100.98"/>
  </r>
  <r>
    <x v="55"/>
    <s v="AGOSTO"/>
    <n v="32"/>
    <s v="VIERNES"/>
    <x v="6"/>
    <s v="INCA KOLA PET 3LX2 - RF"/>
    <n v="720"/>
    <n v="120"/>
    <n v="122.4"/>
  </r>
  <r>
    <x v="55"/>
    <s v="AGOSTO"/>
    <n v="32"/>
    <s v="VIERNES"/>
    <x v="5"/>
    <s v="INCA KOLA PET 2.25LX2 RF"/>
    <n v="324"/>
    <n v="162"/>
    <n v="55.080000000000005"/>
  </r>
  <r>
    <x v="55"/>
    <s v="AGOSTO"/>
    <n v="32"/>
    <s v="VIERNES"/>
    <x v="20"/>
    <s v="TRIPACK (FT NAR+SP)PET+IK RF PFM 3L"/>
    <n v="270"/>
    <n v="90"/>
    <n v="45.900000000000006"/>
  </r>
  <r>
    <x v="55"/>
    <s v="AGOSTO"/>
    <n v="32"/>
    <s v="VIERNES"/>
    <x v="38"/>
    <s v="SL S/G TAPA PLANA 1LT"/>
    <n v="224"/>
    <n v="112"/>
    <n v="89.600000000000009"/>
  </r>
  <r>
    <x v="55"/>
    <s v="AGOSTO"/>
    <n v="32"/>
    <s v="VIERNES"/>
    <x v="19"/>
    <s v="POWERADE ION4 MORA AZ PET473X6 MOD(STCK)"/>
    <n v="225"/>
    <n v="225"/>
    <n v="90"/>
  </r>
  <r>
    <x v="55"/>
    <s v="AGOSTO"/>
    <n v="32"/>
    <s v="VIERNES"/>
    <x v="25"/>
    <s v="POWERADE 3MORA+3FRUT PET 473MLX6"/>
    <n v="450"/>
    <n v="225"/>
    <n v="189"/>
  </r>
  <r>
    <x v="55"/>
    <s v="AGOSTO"/>
    <n v="32"/>
    <s v="VIERNES"/>
    <x v="11"/>
    <s v="TRIPACK (CC+IK)PFM+FT PET 3LX3 - RFNN"/>
    <n v="1530"/>
    <n v="90"/>
    <n v="260.10000000000002"/>
  </r>
  <r>
    <x v="55"/>
    <s v="AGOSTO"/>
    <n v="32"/>
    <s v="VIERNES"/>
    <x v="3"/>
    <s v="TWO PACK SCHWEPPES GINGER ALE PET 1.5LX2"/>
    <n v="594"/>
    <n v="198"/>
    <n v="100.98"/>
  </r>
  <r>
    <x v="55"/>
    <s v="AGOSTO"/>
    <n v="32"/>
    <s v="VIERNES"/>
    <x v="8"/>
    <s v="INCA KOLA PET 1.5LX2 RF"/>
    <n v="792"/>
    <n v="198"/>
    <n v="134.64000000000001"/>
  </r>
  <r>
    <x v="55"/>
    <s v="AGOSTO"/>
    <n v="32"/>
    <s v="VIERNES"/>
    <x v="2"/>
    <s v="INCA KOLA SIN AZUCAR PET 1.5LX2"/>
    <n v="1782"/>
    <n v="198"/>
    <n v="302.94"/>
  </r>
  <r>
    <x v="55"/>
    <s v="AGOSTO"/>
    <n v="32"/>
    <s v="VIERNES"/>
    <x v="15"/>
    <s v="INCA KOLA VR 625MLX12 - STICKER"/>
    <n v="500"/>
    <n v="50"/>
    <n v="200"/>
  </r>
  <r>
    <x v="55"/>
    <s v="AGOSTO"/>
    <n v="32"/>
    <s v="VIERNES"/>
    <x v="13"/>
    <s v="INCA KOLA VR 1.5LX8 - STICKER"/>
    <n v="240"/>
    <n v="30"/>
    <n v="96"/>
  </r>
  <r>
    <x v="55"/>
    <s v="AGOSTO"/>
    <n v="32"/>
    <s v="VIERNES"/>
    <x v="14"/>
    <s v="INCA KOLA VR 296MLX24 - STICKER"/>
    <n v="200"/>
    <n v="40"/>
    <n v="46"/>
  </r>
  <r>
    <x v="55"/>
    <s v="AGOSTO"/>
    <n v="32"/>
    <s v="VIERNES"/>
    <x v="23"/>
    <s v="TRIPACK CC+IK+IK PFM 3LX3 - RFNN"/>
    <n v="540"/>
    <n v="90"/>
    <n v="91.800000000000011"/>
  </r>
  <r>
    <x v="55"/>
    <s v="AGOSTO"/>
    <n v="32"/>
    <s v="VIERNES"/>
    <x v="17"/>
    <s v="TWO PACK CC PFM 3LX2 - RFCC"/>
    <n v="720"/>
    <n v="120"/>
    <n v="122.4"/>
  </r>
  <r>
    <x v="55"/>
    <s v="AGOSTO"/>
    <n v="32"/>
    <s v="VIERNES"/>
    <x v="1"/>
    <s v="COCA-COLA SIN AZUCAR PET 1.5LX2"/>
    <n v="2574"/>
    <n v="198"/>
    <n v="437.58000000000004"/>
  </r>
  <r>
    <x v="55"/>
    <s v="AGOSTO"/>
    <n v="32"/>
    <s v="VIERNES"/>
    <x v="10"/>
    <s v="TWO PACK CC + IK PFM 3LX2 - RFNN"/>
    <n v="1680"/>
    <n v="120"/>
    <n v="285.60000000000002"/>
  </r>
  <r>
    <x v="55"/>
    <s v="AGOSTO"/>
    <n v="32"/>
    <s v="VIERNES"/>
    <x v="26"/>
    <s v="TRIPACK CC+CC+IK PFM 3LX3 - RFNN"/>
    <n v="450"/>
    <n v="90"/>
    <n v="76.5"/>
  </r>
  <r>
    <x v="56"/>
    <s v="AGOSTO"/>
    <n v="33"/>
    <s v="SÁBADO"/>
    <x v="13"/>
    <s v="INCA KOLA VR 1.5LX8 - STICKER"/>
    <n v="90"/>
    <n v="30"/>
    <n v="36"/>
  </r>
  <r>
    <x v="56"/>
    <s v="AGOSTO"/>
    <n v="33"/>
    <s v="SÁBADO"/>
    <x v="28"/>
    <s v="COCA COLA VR 1.5LX8 - STICKER"/>
    <n v="60"/>
    <n v="30"/>
    <n v="13.8"/>
  </r>
  <r>
    <x v="56"/>
    <s v="AGOSTO"/>
    <n v="33"/>
    <s v="SÁBADO"/>
    <x v="14"/>
    <s v="INCA KOLA VR 296MLX24 - STICKER"/>
    <n v="80"/>
    <n v="40"/>
    <n v="18.400000000000002"/>
  </r>
  <r>
    <x v="56"/>
    <s v="AGOSTO"/>
    <n v="33"/>
    <s v="SÁBADO"/>
    <x v="23"/>
    <s v="TRIPACK CC+IK+IK PFM 3LX3 - RFNN"/>
    <n v="360"/>
    <n v="90"/>
    <n v="61.2"/>
  </r>
  <r>
    <x v="56"/>
    <s v="AGOSTO"/>
    <n v="33"/>
    <s v="SÁBADO"/>
    <x v="33"/>
    <s v="COCA COLA VR 296MLX24 - STICKER"/>
    <n v="80"/>
    <n v="40"/>
    <n v="18.400000000000002"/>
  </r>
  <r>
    <x v="56"/>
    <s v="AGOSTO"/>
    <n v="33"/>
    <s v="SÁBADO"/>
    <x v="10"/>
    <s v="TWO PACK CC + IK PFM 3LX2 - RFNN"/>
    <n v="1440"/>
    <n v="120"/>
    <n v="244.8"/>
  </r>
  <r>
    <x v="56"/>
    <s v="AGOSTO"/>
    <n v="33"/>
    <s v="SÁBADO"/>
    <x v="8"/>
    <s v="INCA KOLA PET 1.5LX2 RF"/>
    <n v="1386"/>
    <n v="198"/>
    <n v="235.62"/>
  </r>
  <r>
    <x v="56"/>
    <s v="AGOSTO"/>
    <n v="33"/>
    <s v="SÁBADO"/>
    <x v="3"/>
    <s v="TWO PACK SCHWEPPES GINGER ALE PET 1.5LX2"/>
    <n v="198"/>
    <n v="198"/>
    <n v="33.660000000000004"/>
  </r>
  <r>
    <x v="56"/>
    <s v="AGOSTO"/>
    <n v="33"/>
    <s v="SÁBADO"/>
    <x v="2"/>
    <s v="INCA KOLA SIN AZUCAR PET 1.5LX2"/>
    <n v="990"/>
    <n v="198"/>
    <n v="168.3"/>
  </r>
  <r>
    <x v="56"/>
    <s v="AGOSTO"/>
    <n v="33"/>
    <s v="SÁBADO"/>
    <x v="7"/>
    <s v="COCA-COLA PET 1.5LX2 RF"/>
    <n v="990"/>
    <n v="198"/>
    <n v="168.3"/>
  </r>
  <r>
    <x v="56"/>
    <s v="AGOSTO"/>
    <n v="33"/>
    <s v="SÁBADO"/>
    <x v="20"/>
    <s v="TRIPACK (FT NAR+SP)PET+IK RF PFM 3L"/>
    <n v="180"/>
    <n v="90"/>
    <n v="30.6"/>
  </r>
  <r>
    <x v="56"/>
    <s v="AGOSTO"/>
    <n v="33"/>
    <s v="SÁBADO"/>
    <x v="0"/>
    <s v="SAN LUIS SIN GAS PET2500X6 STICKER"/>
    <n v="480"/>
    <n v="48"/>
    <n v="192"/>
  </r>
  <r>
    <x v="56"/>
    <s v="AGOSTO"/>
    <n v="33"/>
    <s v="SÁBADO"/>
    <x v="23"/>
    <s v="TRIPACK CC+IK+IK PFM 3LX3 - RFNN"/>
    <n v="180"/>
    <n v="90"/>
    <n v="30.6"/>
  </r>
  <r>
    <x v="56"/>
    <s v="AGOSTO"/>
    <n v="33"/>
    <s v="SÁBADO"/>
    <x v="9"/>
    <s v="TRIPACK FT NAR+FT KI+SP PET 3L"/>
    <n v="2610"/>
    <n v="90"/>
    <n v="443.70000000000005"/>
  </r>
  <r>
    <x v="56"/>
    <s v="AGOSTO"/>
    <n v="33"/>
    <s v="SÁBADO"/>
    <x v="24"/>
    <s v="MONSTER ENERGY 473MLX4"/>
    <n v="840"/>
    <n v="420"/>
    <n v="352.8"/>
  </r>
  <r>
    <x v="56"/>
    <s v="AGOSTO"/>
    <n v="33"/>
    <s v="SÁBADO"/>
    <x v="38"/>
    <s v="SL S/G TAPA PLANA 1LT"/>
    <n v="336"/>
    <n v="112"/>
    <n v="134.4"/>
  </r>
  <r>
    <x v="56"/>
    <s v="AGOSTO"/>
    <n v="33"/>
    <s v="SÁBADO"/>
    <x v="11"/>
    <s v="TRIPACK (CC+IK)PFM+FT PET 3LX3 - RFNN"/>
    <n v="2610"/>
    <n v="90"/>
    <n v="443.70000000000005"/>
  </r>
  <r>
    <x v="56"/>
    <s v="AGOSTO"/>
    <n v="33"/>
    <s v="SÁBADO"/>
    <x v="39"/>
    <s v="MONSTER ENERGY ZERO 473MLX4"/>
    <n v="1680"/>
    <n v="420"/>
    <n v="705.6"/>
  </r>
  <r>
    <x v="56"/>
    <s v="AGOSTO"/>
    <n v="33"/>
    <s v="SÁBADO"/>
    <x v="17"/>
    <s v="TWO PACK CC PFM 3LX2 - RFCC"/>
    <n v="480"/>
    <n v="120"/>
    <n v="81.600000000000009"/>
  </r>
  <r>
    <x v="56"/>
    <s v="AGOSTO"/>
    <n v="33"/>
    <s v="SÁBADO"/>
    <x v="6"/>
    <s v="INCA KOLA PET 3LX2 - RF"/>
    <n v="720"/>
    <n v="120"/>
    <n v="122.4"/>
  </r>
  <r>
    <x v="56"/>
    <s v="AGOSTO"/>
    <n v="33"/>
    <s v="SÁBADO"/>
    <x v="16"/>
    <s v="SAN LUIS CON GAS PET 625MLX6"/>
    <n v="540"/>
    <n v="180"/>
    <n v="226.79999999999998"/>
  </r>
  <r>
    <x v="57"/>
    <s v="AGOSTO"/>
    <n v="33"/>
    <s v="DOMINGO"/>
    <x v="7"/>
    <s v="COCA-COLA PET 1.5LX2 RF"/>
    <n v="2808"/>
    <n v="198"/>
    <n v="477.36"/>
  </r>
  <r>
    <x v="57"/>
    <s v="AGOSTO"/>
    <n v="33"/>
    <s v="DOMINGO"/>
    <x v="2"/>
    <s v="INCA KOLA SIN AZUCAR PET 1.5LX2"/>
    <n v="1188"/>
    <n v="198"/>
    <n v="201.96"/>
  </r>
  <r>
    <x v="57"/>
    <s v="AGOSTO"/>
    <n v="33"/>
    <s v="DOMINGO"/>
    <x v="8"/>
    <s v="INCA KOLA PET 1.5LX2 RF"/>
    <n v="1188"/>
    <n v="198"/>
    <n v="201.96"/>
  </r>
  <r>
    <x v="57"/>
    <s v="AGOSTO"/>
    <n v="33"/>
    <s v="DOMINGO"/>
    <x v="10"/>
    <s v="TWO PACK CC + IK PFM 3LX2 - RFNN"/>
    <n v="240"/>
    <n v="120"/>
    <n v="40.800000000000004"/>
  </r>
  <r>
    <x v="57"/>
    <s v="AGOSTO"/>
    <n v="33"/>
    <s v="DOMINGO"/>
    <x v="1"/>
    <s v="COCA-COLA SIN AZUCAR PET 1.5LX2"/>
    <n v="1188"/>
    <n v="198"/>
    <n v="201.96"/>
  </r>
  <r>
    <x v="57"/>
    <s v="AGOSTO"/>
    <n v="33"/>
    <s v="DOMINGO"/>
    <x v="4"/>
    <s v="COCA-COLA PET 2.25LX2 RF"/>
    <n v="324"/>
    <n v="162"/>
    <n v="55.080000000000005"/>
  </r>
  <r>
    <x v="57"/>
    <s v="AGOSTO"/>
    <n v="33"/>
    <s v="DOMINGO"/>
    <x v="23"/>
    <s v="TRIPACK CC+IK+IK PFM 3LX3 - RFNN"/>
    <n v="180"/>
    <n v="90"/>
    <n v="30.6"/>
  </r>
  <r>
    <x v="57"/>
    <s v="AGOSTO"/>
    <n v="33"/>
    <s v="DOMINGO"/>
    <x v="26"/>
    <s v="TRIPACK CC+CC+IK PFM 3LX3 - RFNN"/>
    <n v="90"/>
    <n v="90"/>
    <n v="15.3"/>
  </r>
  <r>
    <x v="58"/>
    <s v="AGOSTO"/>
    <n v="33"/>
    <s v="LUNES"/>
    <x v="33"/>
    <s v="COCA COLA VR 296MLX24 - STICKER"/>
    <n v="40"/>
    <n v="40"/>
    <n v="9.2000000000000011"/>
  </r>
  <r>
    <x v="58"/>
    <s v="AGOSTO"/>
    <n v="33"/>
    <s v="LUNES"/>
    <x v="12"/>
    <s v="POWERADE ION4 FRUTA PET473X6 MOD (STICK)"/>
    <n v="225"/>
    <n v="225"/>
    <n v="90"/>
  </r>
  <r>
    <x v="58"/>
    <s v="AGOSTO"/>
    <n v="33"/>
    <s v="LUNES"/>
    <x v="28"/>
    <s v="COCA COLA VR 1.5LX8 - STICKER"/>
    <n v="90"/>
    <n v="30"/>
    <n v="20.7"/>
  </r>
  <r>
    <x v="58"/>
    <s v="AGOSTO"/>
    <n v="33"/>
    <s v="LUNES"/>
    <x v="5"/>
    <s v="INCA KOLA PET 2.25LX2 RF"/>
    <n v="324"/>
    <n v="162"/>
    <n v="55.080000000000005"/>
  </r>
  <r>
    <x v="58"/>
    <s v="AGOSTO"/>
    <n v="33"/>
    <s v="LUNES"/>
    <x v="10"/>
    <s v="TWO PACK CC + IK PFM 3LX2 - RFNN"/>
    <n v="120"/>
    <n v="120"/>
    <n v="20.400000000000002"/>
  </r>
  <r>
    <x v="58"/>
    <s v="AGOSTO"/>
    <n v="33"/>
    <s v="LUNES"/>
    <x v="23"/>
    <s v="TRIPACK CC+IK+IK PFM 3LX3 - RFNN"/>
    <n v="450"/>
    <n v="90"/>
    <n v="76.5"/>
  </r>
  <r>
    <x v="58"/>
    <s v="AGOSTO"/>
    <n v="33"/>
    <s v="LUNES"/>
    <x v="9"/>
    <s v="TRIPACK FT NAR+FT KI+SP PET 3L"/>
    <n v="270"/>
    <n v="90"/>
    <n v="45.900000000000006"/>
  </r>
  <r>
    <x v="58"/>
    <s v="AGOSTO"/>
    <n v="33"/>
    <s v="LUNES"/>
    <x v="11"/>
    <s v="TRIPACK (CC+IK)PFM+FT PET 3LX3 - RFNN"/>
    <n v="1170"/>
    <n v="90"/>
    <n v="198.9"/>
  </r>
  <r>
    <x v="58"/>
    <s v="AGOSTO"/>
    <n v="33"/>
    <s v="LUNES"/>
    <x v="26"/>
    <s v="TRIPACK CC+CC+IK PFM 3LX3 - RFNN"/>
    <n v="2880"/>
    <n v="90"/>
    <n v="489.6"/>
  </r>
  <r>
    <x v="58"/>
    <s v="AGOSTO"/>
    <n v="33"/>
    <s v="LUNES"/>
    <x v="16"/>
    <s v="SAN LUIS CON GAS PET 625MLX6"/>
    <n v="360"/>
    <n v="180"/>
    <n v="151.19999999999999"/>
  </r>
  <r>
    <x v="58"/>
    <s v="AGOSTO"/>
    <n v="33"/>
    <s v="LUNES"/>
    <x v="39"/>
    <s v="MONSTER ENERGY ZERO 473MLX4"/>
    <n v="2100"/>
    <n v="420"/>
    <n v="882"/>
  </r>
  <r>
    <x v="58"/>
    <s v="AGOSTO"/>
    <n v="33"/>
    <s v="LUNES"/>
    <x v="0"/>
    <s v="SAN LUIS SIN GAS PET2500X6 STICKER"/>
    <n v="576"/>
    <n v="48"/>
    <n v="230.4"/>
  </r>
  <r>
    <x v="58"/>
    <s v="AGOSTO"/>
    <n v="33"/>
    <s v="LUNES"/>
    <x v="1"/>
    <s v="COCA-COLA SIN AZUCAR PET 1.5LX2"/>
    <n v="1584"/>
    <n v="198"/>
    <n v="269.28000000000003"/>
  </r>
  <r>
    <x v="58"/>
    <s v="AGOSTO"/>
    <n v="33"/>
    <s v="LUNES"/>
    <x v="22"/>
    <s v="TWO PACK SCHWEPPES CITRUS PET 1.5LX2"/>
    <n v="1584"/>
    <n v="198"/>
    <n v="269.28000000000003"/>
  </r>
  <r>
    <x v="58"/>
    <s v="AGOSTO"/>
    <n v="33"/>
    <s v="LUNES"/>
    <x v="2"/>
    <s v="INCA KOLA SIN AZUCAR PET 1.5LX2"/>
    <n v="1188"/>
    <n v="198"/>
    <n v="201.96"/>
  </r>
  <r>
    <x v="58"/>
    <s v="AGOSTO"/>
    <n v="33"/>
    <s v="LUNES"/>
    <x v="24"/>
    <s v="MONSTER ENERGY 473MLX4"/>
    <n v="420"/>
    <n v="420"/>
    <n v="176.4"/>
  </r>
  <r>
    <x v="58"/>
    <s v="AGOSTO"/>
    <n v="33"/>
    <s v="LUNES"/>
    <x v="36"/>
    <s v="SAN LUIS SIN GAS PET 625MLX15 C/STICKER"/>
    <n v="360"/>
    <n v="90"/>
    <n v="144"/>
  </r>
  <r>
    <x v="58"/>
    <s v="AGOSTO"/>
    <n v="33"/>
    <s v="LUNES"/>
    <x v="1"/>
    <s v="COCA-COLA SIN AZUCAR PET 1.5LX2"/>
    <n v="432"/>
    <n v="198"/>
    <n v="73.440000000000012"/>
  </r>
  <r>
    <x v="58"/>
    <s v="AGOSTO"/>
    <n v="33"/>
    <s v="LUNES"/>
    <x v="29"/>
    <s v="TWO PACK IK PET 1.5LX2 - CRCG"/>
    <n v="198"/>
    <n v="198"/>
    <n v="33.660000000000004"/>
  </r>
  <r>
    <x v="58"/>
    <s v="AGOSTO"/>
    <n v="33"/>
    <s v="LUNES"/>
    <x v="34"/>
    <s v="TWO PACK CC PET 1.5LX2 - CRC"/>
    <n v="198"/>
    <n v="198"/>
    <n v="33.660000000000004"/>
  </r>
  <r>
    <x v="58"/>
    <s v="AGOSTO"/>
    <n v="33"/>
    <s v="LUNES"/>
    <x v="22"/>
    <s v="TWO PACK SCHWEPPES CITRUS PET 1.5LX2"/>
    <n v="396"/>
    <n v="198"/>
    <n v="67.320000000000007"/>
  </r>
  <r>
    <x v="58"/>
    <s v="AGOSTO"/>
    <n v="33"/>
    <s v="LUNES"/>
    <x v="4"/>
    <s v="COCA-COLA PET 2.25LX2 RF"/>
    <n v="162"/>
    <n v="162"/>
    <n v="27.540000000000003"/>
  </r>
  <r>
    <x v="58"/>
    <s v="AGOSTO"/>
    <n v="33"/>
    <s v="LUNES"/>
    <x v="9"/>
    <s v="TRIPACK FT NAR+FT KI+SP PET 3L"/>
    <n v="180"/>
    <n v="90"/>
    <n v="30.6"/>
  </r>
  <r>
    <x v="58"/>
    <s v="AGOSTO"/>
    <n v="33"/>
    <s v="LUNES"/>
    <x v="23"/>
    <s v="TRIPACK CC+IK+IK PFM 3LX3 - RFNN"/>
    <n v="180"/>
    <n v="90"/>
    <n v="30.6"/>
  </r>
  <r>
    <x v="59"/>
    <s v="AGOSTO"/>
    <n v="33"/>
    <s v="MARTES"/>
    <x v="34"/>
    <s v="TWO PACK CC PET 1.5LX2 - CRC"/>
    <n v="396"/>
    <n v="198"/>
    <n v="67.320000000000007"/>
  </r>
  <r>
    <x v="59"/>
    <s v="AGOSTO"/>
    <n v="33"/>
    <s v="MARTES"/>
    <x v="15"/>
    <s v="INCA KOLA VR 625MLX12 - STICKER"/>
    <n v="250"/>
    <n v="50"/>
    <n v="100"/>
  </r>
  <r>
    <x v="59"/>
    <s v="AGOSTO"/>
    <n v="33"/>
    <s v="MARTES"/>
    <x v="29"/>
    <s v="TWO PACK IK PET 1.5LX2 - CRCG"/>
    <n v="216"/>
    <n v="198"/>
    <n v="36.720000000000006"/>
  </r>
  <r>
    <x v="59"/>
    <s v="AGOSTO"/>
    <n v="33"/>
    <s v="MARTES"/>
    <x v="22"/>
    <s v="TWO PACK SCHWEPPES CITRUS PET 1.5LX2"/>
    <n v="792"/>
    <n v="198"/>
    <n v="134.64000000000001"/>
  </r>
  <r>
    <x v="59"/>
    <s v="AGOSTO"/>
    <n v="33"/>
    <s v="MARTES"/>
    <x v="2"/>
    <s v="INCA KOLA SIN AZUCAR PET 1.5LX2"/>
    <n v="216"/>
    <n v="198"/>
    <n v="36.720000000000006"/>
  </r>
  <r>
    <x v="59"/>
    <s v="AGOSTO"/>
    <n v="33"/>
    <s v="MARTES"/>
    <x v="3"/>
    <s v="TWO PACK SCHWEPPES GINGER ALE PET 1.5LX2"/>
    <n v="792"/>
    <n v="198"/>
    <n v="134.64000000000001"/>
  </r>
  <r>
    <x v="59"/>
    <s v="AGOSTO"/>
    <n v="33"/>
    <s v="MARTES"/>
    <x v="17"/>
    <s v="TWO PACK CC PFM 3LX2 - RFCC"/>
    <n v="960"/>
    <n v="120"/>
    <n v="163.20000000000002"/>
  </r>
  <r>
    <x v="59"/>
    <s v="AGOSTO"/>
    <n v="33"/>
    <s v="MARTES"/>
    <x v="10"/>
    <s v="TWO PACK CC + IK PFM 3LX2 - RFNN"/>
    <n v="2640"/>
    <n v="120"/>
    <n v="448.8"/>
  </r>
  <r>
    <x v="59"/>
    <s v="AGOSTO"/>
    <n v="33"/>
    <s v="MARTES"/>
    <x v="9"/>
    <s v="TRIPACK FT NAR+FT KI+SP PET 3L"/>
    <n v="1440"/>
    <n v="90"/>
    <n v="244.8"/>
  </r>
  <r>
    <x v="59"/>
    <s v="AGOSTO"/>
    <n v="33"/>
    <s v="MARTES"/>
    <x v="0"/>
    <s v="SAN LUIS SIN GAS PET2500X6 STICKER"/>
    <n v="192"/>
    <n v="48"/>
    <n v="76.800000000000011"/>
  </r>
  <r>
    <x v="59"/>
    <s v="AGOSTO"/>
    <n v="33"/>
    <s v="MARTES"/>
    <x v="4"/>
    <s v="COCA-COLA PET 2.25LX2 RF"/>
    <n v="162"/>
    <n v="162"/>
    <n v="27.540000000000003"/>
  </r>
  <r>
    <x v="59"/>
    <s v="AGOSTO"/>
    <n v="33"/>
    <s v="MARTES"/>
    <x v="6"/>
    <s v="INCA KOLA PET 3LX2 - RF"/>
    <n v="1080"/>
    <n v="120"/>
    <n v="183.60000000000002"/>
  </r>
  <r>
    <x v="59"/>
    <s v="AGOSTO"/>
    <n v="33"/>
    <s v="MARTES"/>
    <x v="11"/>
    <s v="TRIPACK (CC+IK)PFM+FT PET 3LX3 - RFNN"/>
    <n v="1080"/>
    <n v="90"/>
    <n v="183.60000000000002"/>
  </r>
  <r>
    <x v="59"/>
    <s v="AGOSTO"/>
    <n v="33"/>
    <s v="MARTES"/>
    <x v="23"/>
    <s v="TRIPACK CC+IK+IK PFM 3LX3 - RFNN"/>
    <n v="810"/>
    <n v="90"/>
    <n v="137.70000000000002"/>
  </r>
  <r>
    <x v="59"/>
    <s v="AGOSTO"/>
    <n v="33"/>
    <s v="MARTES"/>
    <x v="36"/>
    <s v="SAN LUIS SIN GAS PET 625MLX15 C/STICKER"/>
    <n v="360"/>
    <n v="90"/>
    <n v="144"/>
  </r>
  <r>
    <x v="59"/>
    <s v="AGOSTO"/>
    <n v="33"/>
    <s v="MARTES"/>
    <x v="16"/>
    <s v="SAN LUIS CON GAS PET 625MLX6"/>
    <n v="540"/>
    <n v="180"/>
    <n v="226.79999999999998"/>
  </r>
  <r>
    <x v="59"/>
    <s v="AGOSTO"/>
    <n v="33"/>
    <s v="MARTES"/>
    <x v="25"/>
    <s v="POWERADE 3MORA+3FRUT PET 473MLX6"/>
    <n v="900"/>
    <n v="225"/>
    <n v="378"/>
  </r>
  <r>
    <x v="59"/>
    <s v="AGOSTO"/>
    <n v="33"/>
    <s v="MARTES"/>
    <x v="28"/>
    <s v="COCA COLA VR 1.5LX8 - STICKER"/>
    <n v="30"/>
    <n v="30"/>
    <n v="6.9"/>
  </r>
  <r>
    <x v="59"/>
    <s v="AGOSTO"/>
    <n v="33"/>
    <s v="MARTES"/>
    <x v="26"/>
    <s v="TRIPACK CC+CC+IK PFM 3LX3 - RFNN"/>
    <n v="720"/>
    <n v="90"/>
    <n v="122.4"/>
  </r>
  <r>
    <x v="59"/>
    <s v="AGOSTO"/>
    <n v="33"/>
    <s v="MARTES"/>
    <x v="39"/>
    <s v="MONSTER ENERGY ZERO 473MLX4"/>
    <n v="2100"/>
    <n v="420"/>
    <n v="882"/>
  </r>
  <r>
    <x v="59"/>
    <s v="AGOSTO"/>
    <n v="33"/>
    <s v="MARTES"/>
    <x v="14"/>
    <s v="INCA KOLA VR 296MLX24 - STICKER"/>
    <n v="120"/>
    <n v="40"/>
    <n v="27.6"/>
  </r>
  <r>
    <x v="60"/>
    <s v="AGOSTO"/>
    <n v="33"/>
    <s v="MIÉRCOLES"/>
    <x v="39"/>
    <s v="MONSTER ENERGY ZERO 473MLX4"/>
    <n v="1260"/>
    <n v="420"/>
    <n v="529.19999999999993"/>
  </r>
  <r>
    <x v="60"/>
    <s v="AGOSTO"/>
    <n v="33"/>
    <s v="MIÉRCOLES"/>
    <x v="0"/>
    <s v="SAN LUIS SIN GAS PET2500X6 STICKER"/>
    <n v="240"/>
    <n v="48"/>
    <n v="96"/>
  </r>
  <r>
    <x v="60"/>
    <s v="AGOSTO"/>
    <n v="33"/>
    <s v="MIÉRCOLES"/>
    <x v="5"/>
    <s v="INCA KOLA PET 2.25LX2 RF"/>
    <n v="162"/>
    <n v="162"/>
    <n v="27.540000000000003"/>
  </r>
  <r>
    <x v="60"/>
    <s v="AGOSTO"/>
    <n v="33"/>
    <s v="MIÉRCOLES"/>
    <x v="24"/>
    <s v="MONSTER ENERGY 473MLX4"/>
    <n v="3360"/>
    <n v="420"/>
    <n v="1411.2"/>
  </r>
  <r>
    <x v="60"/>
    <s v="AGOSTO"/>
    <n v="33"/>
    <s v="MIÉRCOLES"/>
    <x v="16"/>
    <s v="SAN LUIS CON GAS PET 625MLX6"/>
    <n v="540"/>
    <n v="180"/>
    <n v="226.79999999999998"/>
  </r>
  <r>
    <x v="60"/>
    <s v="AGOSTO"/>
    <n v="33"/>
    <s v="MIÉRCOLES"/>
    <x v="2"/>
    <s v="INCA KOLA SIN AZUCAR PET 1.5LX2"/>
    <n v="1080"/>
    <n v="198"/>
    <n v="183.60000000000002"/>
  </r>
  <r>
    <x v="60"/>
    <s v="AGOSTO"/>
    <n v="33"/>
    <s v="MIÉRCOLES"/>
    <x v="13"/>
    <s v="INCA KOLA VR 1.5LX8 - STICKER"/>
    <n v="90"/>
    <n v="30"/>
    <n v="36"/>
  </r>
  <r>
    <x v="60"/>
    <s v="AGOSTO"/>
    <n v="33"/>
    <s v="MIÉRCOLES"/>
    <x v="22"/>
    <s v="TWO PACK SCHWEPPES CITRUS PET 1.5LX2"/>
    <n v="594"/>
    <n v="198"/>
    <n v="100.98"/>
  </r>
  <r>
    <x v="60"/>
    <s v="AGOSTO"/>
    <n v="33"/>
    <s v="MIÉRCOLES"/>
    <x v="9"/>
    <s v="TRIPACK FT NAR+FT KI+SP PET 3L"/>
    <n v="720"/>
    <n v="90"/>
    <n v="122.4"/>
  </r>
  <r>
    <x v="60"/>
    <s v="AGOSTO"/>
    <n v="33"/>
    <s v="MIÉRCOLES"/>
    <x v="4"/>
    <s v="COCA-COLA PET 2.25LX2 RF"/>
    <n v="324"/>
    <n v="162"/>
    <n v="55.080000000000005"/>
  </r>
  <r>
    <x v="60"/>
    <s v="AGOSTO"/>
    <n v="33"/>
    <s v="MIÉRCOLES"/>
    <x v="19"/>
    <s v="POWERADE ION4 MORA AZ PET473X6 MOD(STCK)"/>
    <n v="225"/>
    <n v="225"/>
    <n v="90"/>
  </r>
  <r>
    <x v="60"/>
    <s v="AGOSTO"/>
    <n v="33"/>
    <s v="MIÉRCOLES"/>
    <x v="26"/>
    <s v="TRIPACK CC+CC+IK PFM 3LX3 - RFNN"/>
    <n v="990"/>
    <n v="90"/>
    <n v="168.3"/>
  </r>
  <r>
    <x v="60"/>
    <s v="AGOSTO"/>
    <n v="33"/>
    <s v="MIÉRCOLES"/>
    <x v="23"/>
    <s v="TRIPACK CC+IK+IK PFM 3LX3 - RFNN"/>
    <n v="450"/>
    <n v="90"/>
    <n v="76.5"/>
  </r>
  <r>
    <x v="60"/>
    <s v="AGOSTO"/>
    <n v="33"/>
    <s v="MIÉRCOLES"/>
    <x v="33"/>
    <s v="COCA COLA VR 296MLX24 - STICKER"/>
    <n v="80"/>
    <n v="40"/>
    <n v="18.400000000000002"/>
  </r>
  <r>
    <x v="60"/>
    <s v="AGOSTO"/>
    <n v="33"/>
    <s v="MIÉRCOLES"/>
    <x v="11"/>
    <s v="TRIPACK (CC+IK)PFM+FT PET 3LX3 - RFNN"/>
    <n v="1440"/>
    <n v="90"/>
    <n v="244.8"/>
  </r>
  <r>
    <x v="60"/>
    <s v="AGOSTO"/>
    <n v="33"/>
    <s v="MIÉRCOLES"/>
    <x v="15"/>
    <s v="INCA KOLA VR 625MLX12 - STICKER"/>
    <n v="100"/>
    <n v="50"/>
    <n v="40"/>
  </r>
  <r>
    <x v="60"/>
    <s v="AGOSTO"/>
    <n v="33"/>
    <s v="MIÉRCOLES"/>
    <x v="25"/>
    <s v="POWERADE 3MORA+3FRUT PET 473MLX6"/>
    <n v="450"/>
    <n v="225"/>
    <n v="189"/>
  </r>
  <r>
    <x v="60"/>
    <s v="AGOSTO"/>
    <n v="33"/>
    <s v="MIÉRCOLES"/>
    <x v="14"/>
    <s v="INCA KOLA VR 296MLX24 - STICKER"/>
    <n v="40"/>
    <n v="40"/>
    <n v="9.2000000000000011"/>
  </r>
  <r>
    <x v="60"/>
    <s v="AGOSTO"/>
    <n v="33"/>
    <s v="MIÉRCOLES"/>
    <x v="10"/>
    <s v="TWO PACK CC + IK PFM 3LX2 - RFNN"/>
    <n v="1920"/>
    <n v="120"/>
    <n v="326.40000000000003"/>
  </r>
  <r>
    <x v="60"/>
    <s v="AGOSTO"/>
    <n v="33"/>
    <s v="MIÉRCOLES"/>
    <x v="20"/>
    <s v="TRIPACK (FT NAR+SP)PET+IK RF PFM 3L"/>
    <n v="450"/>
    <n v="90"/>
    <n v="76.5"/>
  </r>
  <r>
    <x v="60"/>
    <s v="AGOSTO"/>
    <n v="33"/>
    <s v="MIÉRCOLES"/>
    <x v="6"/>
    <s v="INCA KOLA PET 3LX2 - RF"/>
    <n v="1320"/>
    <n v="120"/>
    <n v="224.4"/>
  </r>
  <r>
    <x v="60"/>
    <s v="AGOSTO"/>
    <n v="33"/>
    <s v="MIÉRCOLES"/>
    <x v="1"/>
    <s v="COCA-COLA SIN AZUCAR PET 1.5LX2"/>
    <n v="2160"/>
    <n v="198"/>
    <n v="367.20000000000005"/>
  </r>
  <r>
    <x v="60"/>
    <s v="AGOSTO"/>
    <n v="33"/>
    <s v="MIÉRCOLES"/>
    <x v="17"/>
    <s v="TWO PACK CC PFM 3LX2 - RFCC"/>
    <n v="840"/>
    <n v="120"/>
    <n v="142.80000000000001"/>
  </r>
  <r>
    <x v="61"/>
    <s v="AGOSTO"/>
    <n v="33"/>
    <s v="JUEVES"/>
    <x v="16"/>
    <s v="SAN LUIS CON GAS PET 625MLX6"/>
    <n v="360"/>
    <n v="180"/>
    <n v="151.19999999999999"/>
  </r>
  <r>
    <x v="61"/>
    <s v="AGOSTO"/>
    <n v="33"/>
    <s v="JUEVES"/>
    <x v="36"/>
    <s v="SAN LUIS SIN GAS PET 625MLX15 C/STICKER"/>
    <n v="810"/>
    <n v="90"/>
    <n v="324"/>
  </r>
  <r>
    <x v="61"/>
    <s v="AGOSTO"/>
    <n v="33"/>
    <s v="JUEVES"/>
    <x v="11"/>
    <s v="TRIPACK (CC+IK)PFM+FT PET 3LX3 - RFNN"/>
    <n v="540"/>
    <n v="90"/>
    <n v="91.800000000000011"/>
  </r>
  <r>
    <x v="61"/>
    <s v="AGOSTO"/>
    <n v="33"/>
    <s v="JUEVES"/>
    <x v="23"/>
    <s v="TRIPACK CC+IK+IK PFM 3LX3 - RFNN"/>
    <n v="360"/>
    <n v="90"/>
    <n v="61.2"/>
  </r>
  <r>
    <x v="61"/>
    <s v="AGOSTO"/>
    <n v="33"/>
    <s v="JUEVES"/>
    <x v="3"/>
    <s v="TWO PACK SCHWEPPES GINGER ALE PET 1.5LX2"/>
    <n v="1188"/>
    <n v="198"/>
    <n v="201.96"/>
  </r>
  <r>
    <x v="61"/>
    <s v="AGOSTO"/>
    <n v="33"/>
    <s v="JUEVES"/>
    <x v="33"/>
    <s v="COCA COLA VR 296MLX24 - STICKER"/>
    <n v="40"/>
    <n v="40"/>
    <n v="9.2000000000000011"/>
  </r>
  <r>
    <x v="61"/>
    <s v="AGOSTO"/>
    <n v="33"/>
    <s v="JUEVES"/>
    <x v="17"/>
    <s v="TWO PACK CC PFM 3LX2 - RFCC"/>
    <n v="480"/>
    <n v="120"/>
    <n v="81.600000000000009"/>
  </r>
  <r>
    <x v="61"/>
    <s v="AGOSTO"/>
    <n v="33"/>
    <s v="JUEVES"/>
    <x v="4"/>
    <s v="COCA-COLA PET 2.25LX2 RF"/>
    <n v="648"/>
    <n v="162"/>
    <n v="110.16000000000001"/>
  </r>
  <r>
    <x v="61"/>
    <s v="AGOSTO"/>
    <n v="33"/>
    <s v="JUEVES"/>
    <x v="5"/>
    <s v="INCA KOLA PET 2.25LX2 RF"/>
    <n v="486"/>
    <n v="162"/>
    <n v="82.62"/>
  </r>
  <r>
    <x v="61"/>
    <s v="AGOSTO"/>
    <n v="33"/>
    <s v="JUEVES"/>
    <x v="2"/>
    <s v="INCA KOLA SIN AZUCAR PET 1.5LX2"/>
    <n v="2376"/>
    <n v="198"/>
    <n v="403.92"/>
  </r>
  <r>
    <x v="61"/>
    <s v="AGOSTO"/>
    <n v="33"/>
    <s v="JUEVES"/>
    <x v="7"/>
    <s v="COCA-COLA PET 1.5LX2 RF"/>
    <n v="2160"/>
    <n v="198"/>
    <n v="367.20000000000005"/>
  </r>
  <r>
    <x v="61"/>
    <s v="AGOSTO"/>
    <n v="33"/>
    <s v="JUEVES"/>
    <x v="1"/>
    <s v="COCA-COLA SIN AZUCAR PET 1.5LX2"/>
    <n v="3672"/>
    <n v="198"/>
    <n v="624.24"/>
  </r>
  <r>
    <x v="61"/>
    <s v="AGOSTO"/>
    <n v="33"/>
    <s v="JUEVES"/>
    <x v="8"/>
    <s v="INCA KOLA PET 1.5LX2 RF"/>
    <n v="1836"/>
    <n v="198"/>
    <n v="312.12"/>
  </r>
  <r>
    <x v="61"/>
    <s v="AGOSTO"/>
    <n v="33"/>
    <s v="JUEVES"/>
    <x v="10"/>
    <s v="TWO PACK CC + IK PFM 3LX2 - RFNN"/>
    <n v="2160"/>
    <n v="120"/>
    <n v="367.20000000000005"/>
  </r>
  <r>
    <x v="61"/>
    <s v="AGOSTO"/>
    <n v="33"/>
    <s v="JUEVES"/>
    <x v="22"/>
    <s v="TWO PACK SCHWEPPES CITRUS PET 1.5LX2"/>
    <n v="792"/>
    <n v="198"/>
    <n v="134.64000000000001"/>
  </r>
  <r>
    <x v="61"/>
    <s v="AGOSTO"/>
    <n v="33"/>
    <s v="JUEVES"/>
    <x v="9"/>
    <s v="TRIPACK FT NAR+FT KI+SP PET 3L"/>
    <n v="450"/>
    <n v="90"/>
    <n v="76.5"/>
  </r>
  <r>
    <x v="61"/>
    <s v="AGOSTO"/>
    <n v="33"/>
    <s v="JUEVES"/>
    <x v="0"/>
    <s v="SAN LUIS SIN GAS PET2500X6 STICKER"/>
    <n v="384"/>
    <n v="48"/>
    <n v="153.60000000000002"/>
  </r>
  <r>
    <x v="61"/>
    <s v="AGOSTO"/>
    <n v="33"/>
    <s v="JUEVES"/>
    <x v="12"/>
    <s v="POWERADE ION4 FRUTA PET473X6 MOD (STICK)"/>
    <n v="225"/>
    <n v="225"/>
    <n v="90"/>
  </r>
  <r>
    <x v="61"/>
    <s v="AGOSTO"/>
    <n v="33"/>
    <s v="JUEVES"/>
    <x v="38"/>
    <s v="SL S/G TAPA PLANA 1LT"/>
    <n v="112"/>
    <n v="112"/>
    <n v="44.800000000000004"/>
  </r>
  <r>
    <x v="61"/>
    <s v="AGOSTO"/>
    <n v="33"/>
    <s v="JUEVES"/>
    <x v="39"/>
    <s v="MONSTER ENERGY ZERO 473MLX4"/>
    <n v="2520"/>
    <n v="420"/>
    <n v="1058.3999999999999"/>
  </r>
  <r>
    <x v="61"/>
    <s v="AGOSTO"/>
    <n v="33"/>
    <s v="JUEVES"/>
    <x v="24"/>
    <s v="MONSTER ENERGY 473MLX4"/>
    <n v="840"/>
    <n v="420"/>
    <n v="352.8"/>
  </r>
  <r>
    <x v="62"/>
    <s v="AGOSTO"/>
    <n v="33"/>
    <s v="VIERNES"/>
    <x v="13"/>
    <s v="INCA KOLA VR 1.5LX8 - STICKER"/>
    <n v="120"/>
    <n v="30"/>
    <n v="48"/>
  </r>
  <r>
    <x v="62"/>
    <s v="AGOSTO"/>
    <n v="33"/>
    <s v="VIERNES"/>
    <x v="1"/>
    <s v="COCA-COLA SIN AZUCAR PET 1.5LX2"/>
    <n v="432"/>
    <n v="198"/>
    <n v="73.440000000000012"/>
  </r>
  <r>
    <x v="62"/>
    <s v="AGOSTO"/>
    <n v="33"/>
    <s v="VIERNES"/>
    <x v="33"/>
    <s v="COCA COLA VR 296MLX24 - STICKER"/>
    <n v="80"/>
    <n v="40"/>
    <n v="18.400000000000002"/>
  </r>
  <r>
    <x v="62"/>
    <s v="AGOSTO"/>
    <n v="33"/>
    <s v="VIERNES"/>
    <x v="14"/>
    <s v="INCA KOLA VR 296MLX24 - STICKER"/>
    <n v="40"/>
    <n v="40"/>
    <n v="9.2000000000000011"/>
  </r>
  <r>
    <x v="62"/>
    <s v="AGOSTO"/>
    <n v="33"/>
    <s v="VIERNES"/>
    <x v="36"/>
    <s v="SAN LUIS SIN GAS PET 625MLX15 C/STICKER"/>
    <n v="990"/>
    <n v="90"/>
    <n v="396"/>
  </r>
  <r>
    <x v="62"/>
    <s v="AGOSTO"/>
    <n v="33"/>
    <s v="VIERNES"/>
    <x v="38"/>
    <s v="SL S/G TAPA PLANA 1LT"/>
    <n v="448"/>
    <n v="112"/>
    <n v="179.20000000000002"/>
  </r>
  <r>
    <x v="62"/>
    <s v="AGOSTO"/>
    <n v="33"/>
    <s v="VIERNES"/>
    <x v="24"/>
    <s v="MONSTER ENERGY 473MLX4"/>
    <n v="1680"/>
    <n v="420"/>
    <n v="705.6"/>
  </r>
  <r>
    <x v="62"/>
    <s v="AGOSTO"/>
    <n v="33"/>
    <s v="VIERNES"/>
    <x v="25"/>
    <s v="POWERADE 3MORA+3FRUT PET 473MLX6"/>
    <n v="450"/>
    <n v="225"/>
    <n v="189"/>
  </r>
  <r>
    <x v="62"/>
    <s v="AGOSTO"/>
    <n v="33"/>
    <s v="VIERNES"/>
    <x v="6"/>
    <s v="INCA KOLA PET 3LX2 - RF"/>
    <n v="120"/>
    <n v="120"/>
    <n v="20.400000000000002"/>
  </r>
  <r>
    <x v="62"/>
    <s v="AGOSTO"/>
    <n v="33"/>
    <s v="VIERNES"/>
    <x v="10"/>
    <s v="TWO PACK CC + IK PFM 3LX2 - RFNN"/>
    <n v="1200"/>
    <n v="120"/>
    <n v="204.00000000000003"/>
  </r>
  <r>
    <x v="62"/>
    <s v="AGOSTO"/>
    <n v="33"/>
    <s v="VIERNES"/>
    <x v="9"/>
    <s v="TRIPACK FT NAR+FT KI+SP PET 3L"/>
    <n v="2070"/>
    <n v="90"/>
    <n v="351.90000000000003"/>
  </r>
  <r>
    <x v="62"/>
    <s v="AGOSTO"/>
    <n v="33"/>
    <s v="VIERNES"/>
    <x v="5"/>
    <s v="INCA KOLA PET 2.25LX2 RF"/>
    <n v="648"/>
    <n v="162"/>
    <n v="110.16000000000001"/>
  </r>
  <r>
    <x v="62"/>
    <s v="AGOSTO"/>
    <n v="33"/>
    <s v="VIERNES"/>
    <x v="4"/>
    <s v="COCA-COLA PET 2.25LX2 RF"/>
    <n v="324"/>
    <n v="162"/>
    <n v="55.080000000000005"/>
  </r>
  <r>
    <x v="62"/>
    <s v="AGOSTO"/>
    <n v="33"/>
    <s v="VIERNES"/>
    <x v="7"/>
    <s v="COCA-COLA PET 1.5LX2 RF"/>
    <n v="1296"/>
    <n v="198"/>
    <n v="220.32000000000002"/>
  </r>
  <r>
    <x v="62"/>
    <s v="AGOSTO"/>
    <n v="33"/>
    <s v="VIERNES"/>
    <x v="2"/>
    <s v="INCA KOLA SIN AZUCAR PET 1.5LX2"/>
    <n v="1728"/>
    <n v="198"/>
    <n v="293.76000000000005"/>
  </r>
  <r>
    <x v="62"/>
    <s v="AGOSTO"/>
    <n v="33"/>
    <s v="VIERNES"/>
    <x v="28"/>
    <s v="COCA COLA VR 1.5LX8 - STICKER"/>
    <n v="120"/>
    <n v="30"/>
    <n v="27.6"/>
  </r>
  <r>
    <x v="62"/>
    <s v="AGOSTO"/>
    <n v="33"/>
    <s v="VIERNES"/>
    <x v="15"/>
    <s v="INCA KOLA VR 625MLX12 - STICKER"/>
    <n v="150"/>
    <n v="50"/>
    <n v="60"/>
  </r>
  <r>
    <x v="62"/>
    <s v="AGOSTO"/>
    <n v="33"/>
    <s v="VIERNES"/>
    <x v="0"/>
    <s v="SAN LUIS SIN GAS PET2500X6 STICKER"/>
    <n v="672"/>
    <n v="48"/>
    <n v="268.8"/>
  </r>
  <r>
    <x v="62"/>
    <s v="AGOSTO"/>
    <n v="33"/>
    <s v="VIERNES"/>
    <x v="20"/>
    <s v="TRIPACK (FT NAR+SP)PET+IK RF PFM 3L"/>
    <n v="180"/>
    <n v="90"/>
    <n v="30.6"/>
  </r>
  <r>
    <x v="62"/>
    <s v="AGOSTO"/>
    <n v="33"/>
    <s v="VIERNES"/>
    <x v="26"/>
    <s v="TRIPACK CC+CC+IK PFM 3LX3 - RFNN"/>
    <n v="540"/>
    <n v="90"/>
    <n v="91.800000000000011"/>
  </r>
  <r>
    <x v="62"/>
    <s v="AGOSTO"/>
    <n v="33"/>
    <s v="VIERNES"/>
    <x v="23"/>
    <s v="TRIPACK CC+IK+IK PFM 3LX3 - RFNN"/>
    <n v="2160"/>
    <n v="90"/>
    <n v="367.20000000000005"/>
  </r>
  <r>
    <x v="62"/>
    <s v="AGOSTO"/>
    <n v="33"/>
    <s v="VIERNES"/>
    <x v="22"/>
    <s v="TWO PACK SCHWEPPES CITRUS PET 1.5LX2"/>
    <n v="792"/>
    <n v="198"/>
    <n v="134.64000000000001"/>
  </r>
  <r>
    <x v="62"/>
    <s v="AGOSTO"/>
    <n v="33"/>
    <s v="VIERNES"/>
    <x v="3"/>
    <s v="TWO PACK SCHWEPPES GINGER ALE PET 1.5LX2"/>
    <n v="396"/>
    <n v="198"/>
    <n v="67.320000000000007"/>
  </r>
  <r>
    <x v="63"/>
    <s v="AGOSTO"/>
    <n v="34"/>
    <s v="SÁBADO"/>
    <x v="26"/>
    <s v="TRIPACK CC+CC+IK PFM 3LX3 - RFNN"/>
    <n v="630"/>
    <n v="90"/>
    <n v="107.10000000000001"/>
  </r>
  <r>
    <x v="63"/>
    <s v="AGOSTO"/>
    <n v="34"/>
    <s v="SÁBADO"/>
    <x v="23"/>
    <s v="TRIPACK CC+IK+IK PFM 3LX3 - RFNN"/>
    <n v="540"/>
    <n v="90"/>
    <n v="91.800000000000011"/>
  </r>
  <r>
    <x v="63"/>
    <s v="AGOSTO"/>
    <n v="34"/>
    <s v="SÁBADO"/>
    <x v="11"/>
    <s v="TRIPACK (CC+IK)PFM+FT PET 3LX3 - RFNN"/>
    <n v="3600"/>
    <n v="90"/>
    <n v="612"/>
  </r>
  <r>
    <x v="63"/>
    <s v="AGOSTO"/>
    <n v="34"/>
    <s v="SÁBADO"/>
    <x v="20"/>
    <s v="TRIPACK (FT NAR+SP)PET+IK RF PFM 3L"/>
    <n v="720"/>
    <n v="90"/>
    <n v="122.4"/>
  </r>
  <r>
    <x v="63"/>
    <s v="AGOSTO"/>
    <n v="34"/>
    <s v="SÁBADO"/>
    <x v="29"/>
    <s v="TWO PACK IK PET 1.5LX2 - CRCG"/>
    <n v="432"/>
    <n v="198"/>
    <n v="73.440000000000012"/>
  </r>
  <r>
    <x v="63"/>
    <s v="AGOSTO"/>
    <n v="34"/>
    <s v="SÁBADO"/>
    <x v="16"/>
    <s v="SAN LUIS CON GAS PET 625MLX6"/>
    <n v="720"/>
    <n v="180"/>
    <n v="302.39999999999998"/>
  </r>
  <r>
    <x v="63"/>
    <s v="AGOSTO"/>
    <n v="34"/>
    <s v="SÁBADO"/>
    <x v="36"/>
    <s v="SAN LUIS SIN GAS PET 625MLX15 C/STICKER"/>
    <n v="1890"/>
    <n v="90"/>
    <n v="756"/>
  </r>
  <r>
    <x v="63"/>
    <s v="AGOSTO"/>
    <n v="34"/>
    <s v="SÁBADO"/>
    <x v="38"/>
    <s v="SL S/G TAPA PLANA 1LT"/>
    <n v="1568"/>
    <n v="112"/>
    <n v="627.20000000000005"/>
  </r>
  <r>
    <x v="63"/>
    <s v="AGOSTO"/>
    <n v="34"/>
    <s v="SÁBADO"/>
    <x v="0"/>
    <s v="SAN LUIS SIN GAS PET2500X6 STICKER"/>
    <n v="144"/>
    <n v="48"/>
    <n v="57.6"/>
  </r>
  <r>
    <x v="63"/>
    <s v="AGOSTO"/>
    <n v="34"/>
    <s v="SÁBADO"/>
    <x v="24"/>
    <s v="MONSTER ENERGY 473MLX4"/>
    <n v="1260"/>
    <n v="420"/>
    <n v="529.19999999999993"/>
  </r>
  <r>
    <x v="63"/>
    <s v="AGOSTO"/>
    <n v="34"/>
    <s v="SÁBADO"/>
    <x v="39"/>
    <s v="MONSTER ENERGY ZERO 473MLX4"/>
    <n v="2520"/>
    <n v="420"/>
    <n v="1058.3999999999999"/>
  </r>
  <r>
    <x v="63"/>
    <s v="AGOSTO"/>
    <n v="34"/>
    <s v="SÁBADO"/>
    <x v="1"/>
    <s v="COCA-COLA SIN AZUCAR PET 1.5LX2"/>
    <n v="1296"/>
    <n v="198"/>
    <n v="220.32000000000002"/>
  </r>
  <r>
    <x v="63"/>
    <s v="AGOSTO"/>
    <n v="34"/>
    <s v="SÁBADO"/>
    <x v="2"/>
    <s v="INCA KOLA SIN AZUCAR PET 1.5LX2"/>
    <n v="648"/>
    <n v="198"/>
    <n v="110.16000000000001"/>
  </r>
  <r>
    <x v="63"/>
    <s v="AGOSTO"/>
    <n v="34"/>
    <s v="SÁBADO"/>
    <x v="22"/>
    <s v="TWO PACK SCHWEPPES CITRUS PET 1.5LX2"/>
    <n v="198"/>
    <n v="198"/>
    <n v="33.660000000000004"/>
  </r>
  <r>
    <x v="63"/>
    <s v="AGOSTO"/>
    <n v="34"/>
    <s v="SÁBADO"/>
    <x v="4"/>
    <s v="COCA-COLA PET 2.25LX2 RF"/>
    <n v="2430"/>
    <n v="162"/>
    <n v="413.1"/>
  </r>
  <r>
    <x v="63"/>
    <s v="AGOSTO"/>
    <n v="34"/>
    <s v="SÁBADO"/>
    <x v="6"/>
    <s v="INCA KOLA PET 3LX2 - RF"/>
    <n v="960"/>
    <n v="120"/>
    <n v="163.20000000000002"/>
  </r>
  <r>
    <x v="63"/>
    <s v="AGOSTO"/>
    <n v="34"/>
    <s v="SÁBADO"/>
    <x v="17"/>
    <s v="TWO PACK CC PFM 3LX2 - RFCC"/>
    <n v="864"/>
    <n v="120"/>
    <n v="146.88000000000002"/>
  </r>
  <r>
    <x v="63"/>
    <s v="AGOSTO"/>
    <n v="34"/>
    <s v="SÁBADO"/>
    <x v="7"/>
    <s v="COCA-COLA PET 1.5LX2 RF"/>
    <n v="864"/>
    <n v="198"/>
    <n v="146.88000000000002"/>
  </r>
  <r>
    <x v="63"/>
    <s v="AGOSTO"/>
    <n v="34"/>
    <s v="SÁBADO"/>
    <x v="8"/>
    <s v="INCA KOLA PET 1.5LX2 RF"/>
    <n v="198"/>
    <n v="198"/>
    <n v="33.660000000000004"/>
  </r>
  <r>
    <x v="63"/>
    <s v="AGOSTO"/>
    <n v="34"/>
    <s v="SÁBADO"/>
    <x v="9"/>
    <s v="TRIPACK FT NAR+FT KI+SP PET 3L"/>
    <n v="1440"/>
    <n v="90"/>
    <n v="244.8"/>
  </r>
  <r>
    <x v="64"/>
    <s v="AGOSTO"/>
    <n v="34"/>
    <s v="LUNES"/>
    <x v="6"/>
    <s v="INCA KOLA PET 3LX2 - RF"/>
    <n v="600"/>
    <n v="120"/>
    <n v="102.00000000000001"/>
  </r>
  <r>
    <x v="64"/>
    <s v="AGOSTO"/>
    <n v="34"/>
    <s v="LUNES"/>
    <x v="10"/>
    <s v="TWO PACK CC + IK PFM 3LX2 - RFNN"/>
    <n v="1200"/>
    <n v="120"/>
    <n v="204.00000000000003"/>
  </r>
  <r>
    <x v="64"/>
    <s v="AGOSTO"/>
    <n v="34"/>
    <s v="LUNES"/>
    <x v="36"/>
    <s v="SAN LUIS SIN GAS PET 625MLX15 C/STICKER"/>
    <n v="270"/>
    <n v="90"/>
    <n v="108"/>
  </r>
  <r>
    <x v="64"/>
    <s v="AGOSTO"/>
    <n v="34"/>
    <s v="LUNES"/>
    <x v="4"/>
    <s v="COCA-COLA PET 2.25LX2 RF"/>
    <n v="648"/>
    <n v="162"/>
    <n v="110.16000000000001"/>
  </r>
  <r>
    <x v="64"/>
    <s v="AGOSTO"/>
    <n v="34"/>
    <s v="LUNES"/>
    <x v="23"/>
    <s v="TRIPACK CC+IK+IK PFM 3LX3 - RFNN"/>
    <n v="450"/>
    <n v="90"/>
    <n v="76.5"/>
  </r>
  <r>
    <x v="64"/>
    <s v="AGOSTO"/>
    <n v="34"/>
    <s v="LUNES"/>
    <x v="11"/>
    <s v="TRIPACK (CC+IK)PFM+FT PET 3LX3 - RFNN"/>
    <n v="180"/>
    <n v="90"/>
    <n v="30.6"/>
  </r>
  <r>
    <x v="64"/>
    <s v="AGOSTO"/>
    <n v="34"/>
    <s v="LUNES"/>
    <x v="26"/>
    <s v="TRIPACK CC+CC+IK PFM 3LX3 - RFNN"/>
    <n v="270"/>
    <n v="90"/>
    <n v="45.900000000000006"/>
  </r>
  <r>
    <x v="64"/>
    <s v="AGOSTO"/>
    <n v="34"/>
    <s v="LUNES"/>
    <x v="5"/>
    <s v="INCA KOLA PET 2.25LX2 RF"/>
    <n v="162"/>
    <n v="162"/>
    <n v="27.540000000000003"/>
  </r>
  <r>
    <x v="64"/>
    <s v="AGOSTO"/>
    <n v="34"/>
    <s v="LUNES"/>
    <x v="8"/>
    <s v="INCA KOLA PET 1.5LX2 RF"/>
    <n v="6912"/>
    <n v="198"/>
    <n v="1175.0400000000002"/>
  </r>
  <r>
    <x v="64"/>
    <s v="AGOSTO"/>
    <n v="34"/>
    <s v="LUNES"/>
    <x v="1"/>
    <s v="COCA-COLA SIN AZUCAR PET 1.5LX2"/>
    <n v="5184"/>
    <n v="198"/>
    <n v="881.28000000000009"/>
  </r>
  <r>
    <x v="64"/>
    <s v="AGOSTO"/>
    <n v="34"/>
    <s v="LUNES"/>
    <x v="2"/>
    <s v="INCA KOLA SIN AZUCAR PET 1.5LX2"/>
    <n v="2808"/>
    <n v="198"/>
    <n v="477.36"/>
  </r>
  <r>
    <x v="64"/>
    <s v="AGOSTO"/>
    <n v="34"/>
    <s v="LUNES"/>
    <x v="7"/>
    <s v="COCA-COLA PET 1.5LX2 RF"/>
    <n v="7128"/>
    <n v="198"/>
    <n v="1211.76"/>
  </r>
  <r>
    <x v="64"/>
    <s v="AGOSTO"/>
    <n v="34"/>
    <s v="LUNES"/>
    <x v="39"/>
    <s v="MONSTER ENERGY ZERO 473MLX4"/>
    <n v="2100"/>
    <n v="420"/>
    <n v="882"/>
  </r>
  <r>
    <x v="64"/>
    <s v="AGOSTO"/>
    <n v="34"/>
    <s v="LUNES"/>
    <x v="24"/>
    <s v="MONSTER ENERGY 473MLX4"/>
    <n v="2100"/>
    <n v="420"/>
    <n v="882"/>
  </r>
  <r>
    <x v="64"/>
    <s v="AGOSTO"/>
    <n v="34"/>
    <s v="LUNES"/>
    <x v="14"/>
    <s v="INCA KOLA VR 296MLX24 - STICKER"/>
    <n v="80"/>
    <n v="40"/>
    <n v="18.400000000000002"/>
  </r>
  <r>
    <x v="64"/>
    <s v="AGOSTO"/>
    <n v="34"/>
    <s v="LUNES"/>
    <x v="33"/>
    <s v="COCA COLA VR 296MLX24 - STICKER"/>
    <n v="120"/>
    <n v="40"/>
    <n v="27.6"/>
  </r>
  <r>
    <x v="64"/>
    <s v="AGOSTO"/>
    <n v="34"/>
    <s v="LUNES"/>
    <x v="15"/>
    <s v="INCA KOLA VR 625MLX12 - STICKER"/>
    <n v="750"/>
    <n v="50"/>
    <n v="300"/>
  </r>
  <r>
    <x v="64"/>
    <s v="AGOSTO"/>
    <n v="34"/>
    <s v="LUNES"/>
    <x v="28"/>
    <s v="COCA COLA VR 1.5LX8 - STICKER"/>
    <n v="150"/>
    <n v="30"/>
    <n v="34.5"/>
  </r>
  <r>
    <x v="64"/>
    <s v="AGOSTO"/>
    <n v="34"/>
    <s v="LUNES"/>
    <x v="22"/>
    <s v="TWO PACK SCHWEPPES CITRUS PET 1.5LX2"/>
    <n v="792"/>
    <n v="198"/>
    <n v="134.64000000000001"/>
  </r>
  <r>
    <x v="64"/>
    <s v="AGOSTO"/>
    <n v="34"/>
    <s v="LUNES"/>
    <x v="3"/>
    <s v="TWO PACK SCHWEPPES GINGER ALE PET 1.5LX2"/>
    <n v="396"/>
    <n v="198"/>
    <n v="67.320000000000007"/>
  </r>
  <r>
    <x v="64"/>
    <s v="AGOSTO"/>
    <n v="34"/>
    <s v="LUNES"/>
    <x v="0"/>
    <s v="SAN LUIS SIN GAS PET2500X6 STICKER"/>
    <n v="96"/>
    <n v="48"/>
    <n v="38.400000000000006"/>
  </r>
  <r>
    <x v="64"/>
    <s v="AGOSTO"/>
    <n v="34"/>
    <s v="LUNES"/>
    <x v="17"/>
    <s v="TWO PACK CC PFM 3LX2 - RFCC"/>
    <n v="600"/>
    <n v="120"/>
    <n v="102.00000000000001"/>
  </r>
  <r>
    <x v="64"/>
    <s v="AGOSTO"/>
    <n v="34"/>
    <s v="LUNES"/>
    <x v="13"/>
    <s v="INCA KOLA VR 1.5LX8 - STICKER"/>
    <n v="90"/>
    <n v="30"/>
    <n v="36"/>
  </r>
  <r>
    <x v="65"/>
    <s v="AGOSTO"/>
    <n v="34"/>
    <s v="MARTES"/>
    <x v="5"/>
    <s v="INCA KOLA PET 2.25LX2 RF"/>
    <n v="324"/>
    <n v="162"/>
    <n v="55.080000000000005"/>
  </r>
  <r>
    <x v="65"/>
    <s v="AGOSTO"/>
    <n v="34"/>
    <s v="MARTES"/>
    <x v="3"/>
    <s v="TWO PACK SCHWEPPES GINGER ALE PET 1.5LX2"/>
    <n v="792"/>
    <n v="198"/>
    <n v="134.64000000000001"/>
  </r>
  <r>
    <x v="65"/>
    <s v="AGOSTO"/>
    <n v="34"/>
    <s v="MARTES"/>
    <x v="23"/>
    <s v="TRIPACK CC+IK+IK PFM 3LX3 - RFNN"/>
    <n v="720"/>
    <n v="90"/>
    <n v="122.4"/>
  </r>
  <r>
    <x v="65"/>
    <s v="AGOSTO"/>
    <n v="34"/>
    <s v="MARTES"/>
    <x v="25"/>
    <s v="POWERADE 3MORA+3FRUT PET 473MLX6"/>
    <n v="225"/>
    <n v="225"/>
    <n v="94.5"/>
  </r>
  <r>
    <x v="65"/>
    <s v="AGOSTO"/>
    <n v="34"/>
    <s v="MARTES"/>
    <x v="40"/>
    <s v="SAN LUIS SPORT S/G 10 Lt x6 "/>
    <n v="448"/>
    <n v="240"/>
    <n v="179.20000000000002"/>
  </r>
  <r>
    <x v="65"/>
    <s v="AGOSTO"/>
    <n v="34"/>
    <s v="MARTES"/>
    <x v="11"/>
    <s v="TRIPACK (CC+IK)PFM+FT PET 3LX3 - RFNN"/>
    <n v="1260"/>
    <n v="90"/>
    <n v="214.20000000000002"/>
  </r>
  <r>
    <x v="65"/>
    <s v="AGOSTO"/>
    <n v="34"/>
    <s v="MARTES"/>
    <x v="1"/>
    <s v="COCA-COLA SIN AZUCAR PET 1.5LX2"/>
    <n v="1728"/>
    <n v="198"/>
    <n v="293.76000000000005"/>
  </r>
  <r>
    <x v="65"/>
    <s v="AGOSTO"/>
    <n v="34"/>
    <s v="MARTES"/>
    <x v="26"/>
    <s v="TRIPACK CC+CC+IK PFM 3LX3 - RFNN"/>
    <n v="180"/>
    <n v="90"/>
    <n v="30.6"/>
  </r>
  <r>
    <x v="65"/>
    <s v="AGOSTO"/>
    <n v="34"/>
    <s v="MARTES"/>
    <x v="9"/>
    <s v="TRIPACK FT NAR+FT KI+SP PET 3L"/>
    <n v="1170"/>
    <n v="90"/>
    <n v="198.9"/>
  </r>
  <r>
    <x v="65"/>
    <s v="AGOSTO"/>
    <n v="34"/>
    <s v="MARTES"/>
    <x v="24"/>
    <s v="MONSTER ENERGY 473MLX4"/>
    <n v="4620"/>
    <n v="420"/>
    <n v="1940.3999999999999"/>
  </r>
  <r>
    <x v="65"/>
    <s v="AGOSTO"/>
    <n v="34"/>
    <s v="MARTES"/>
    <x v="10"/>
    <s v="TWO PACK CC + IK PFM 3LX2 - RFNN"/>
    <n v="1920"/>
    <n v="120"/>
    <n v="326.40000000000003"/>
  </r>
  <r>
    <x v="65"/>
    <s v="AGOSTO"/>
    <n v="34"/>
    <s v="MARTES"/>
    <x v="13"/>
    <s v="INCA KOLA VR 1.5LX8 - STICKER"/>
    <n v="120"/>
    <n v="30"/>
    <n v="48"/>
  </r>
  <r>
    <x v="65"/>
    <s v="AGOSTO"/>
    <n v="34"/>
    <s v="MARTES"/>
    <x v="28"/>
    <s v="COCA COLA VR 1.5LX8 - STICKER"/>
    <n v="60"/>
    <n v="30"/>
    <n v="13.8"/>
  </r>
  <r>
    <x v="65"/>
    <s v="AGOSTO"/>
    <n v="34"/>
    <s v="MARTES"/>
    <x v="0"/>
    <s v="SAN LUIS SIN GAS PET2500X6 STICKER"/>
    <n v="240"/>
    <n v="48"/>
    <n v="96"/>
  </r>
  <r>
    <x v="65"/>
    <s v="AGOSTO"/>
    <n v="34"/>
    <s v="MARTES"/>
    <x v="14"/>
    <s v="INCA KOLA VR 296MLX24 - STICKER"/>
    <n v="40"/>
    <n v="40"/>
    <n v="9.2000000000000011"/>
  </r>
  <r>
    <x v="65"/>
    <s v="AGOSTO"/>
    <n v="34"/>
    <s v="MARTES"/>
    <x v="6"/>
    <s v="INCA KOLA PET 3LX2 - RF"/>
    <n v="1200"/>
    <n v="120"/>
    <n v="204.00000000000003"/>
  </r>
  <r>
    <x v="65"/>
    <s v="AGOSTO"/>
    <n v="34"/>
    <s v="MARTES"/>
    <x v="23"/>
    <s v="TRIPACK CC+IK+IK PFM 3LX3 - RFNN"/>
    <n v="120"/>
    <n v="90"/>
    <n v="20.400000000000002"/>
  </r>
  <r>
    <x v="65"/>
    <s v="AGOSTO"/>
    <n v="34"/>
    <s v="MARTES"/>
    <x v="4"/>
    <s v="COCA-COLA PET 2.25LX2 RF"/>
    <n v="162"/>
    <n v="162"/>
    <n v="27.540000000000003"/>
  </r>
  <r>
    <x v="65"/>
    <s v="AGOSTO"/>
    <n v="34"/>
    <s v="MARTES"/>
    <x v="22"/>
    <s v="TWO PACK SCHWEPPES CITRUS PET 1.5LX2"/>
    <n v="198"/>
    <n v="198"/>
    <n v="33.660000000000004"/>
  </r>
  <r>
    <x v="65"/>
    <s v="AGOSTO"/>
    <n v="34"/>
    <s v="MARTES"/>
    <x v="2"/>
    <s v="INCA KOLA SIN AZUCAR PET 1.5LX2"/>
    <n v="216"/>
    <n v="198"/>
    <n v="36.720000000000006"/>
  </r>
  <r>
    <x v="66"/>
    <s v="AGOSTO"/>
    <n v="34"/>
    <s v="MIÉRCOLES"/>
    <x v="39"/>
    <s v="MONSTER ENERGY ZERO 473MLX4"/>
    <n v="2100"/>
    <n v="420"/>
    <n v="882"/>
  </r>
  <r>
    <x v="66"/>
    <s v="AGOSTO"/>
    <n v="34"/>
    <s v="MIÉRCOLES"/>
    <x v="4"/>
    <s v="COCA-COLA PET 2.25LX2 RF"/>
    <n v="162"/>
    <n v="162"/>
    <n v="27.540000000000003"/>
  </r>
  <r>
    <x v="66"/>
    <s v="AGOSTO"/>
    <n v="34"/>
    <s v="MIÉRCOLES"/>
    <x v="3"/>
    <s v="TWO PACK SCHWEPPES GINGER ALE PET 1.5LX2"/>
    <n v="594"/>
    <n v="198"/>
    <n v="100.98"/>
  </r>
  <r>
    <x v="66"/>
    <s v="AGOSTO"/>
    <n v="34"/>
    <s v="MIÉRCOLES"/>
    <x v="22"/>
    <s v="TWO PACK SCHWEPPES CITRUS PET 1.5LX2"/>
    <n v="594"/>
    <n v="198"/>
    <n v="100.98"/>
  </r>
  <r>
    <x v="66"/>
    <s v="AGOSTO"/>
    <n v="34"/>
    <s v="MIÉRCOLES"/>
    <x v="5"/>
    <s v="INCA KOLA PET 2.25LX2 RF"/>
    <n v="486"/>
    <n v="162"/>
    <n v="82.62"/>
  </r>
  <r>
    <x v="66"/>
    <s v="AGOSTO"/>
    <n v="34"/>
    <s v="MIÉRCOLES"/>
    <x v="40"/>
    <s v="SAN LUIS SPORT S/G 10 Lt x6 "/>
    <n v="112"/>
    <n v="240"/>
    <n v="44.800000000000004"/>
  </r>
  <r>
    <x v="66"/>
    <s v="AGOSTO"/>
    <n v="34"/>
    <s v="MIÉRCOLES"/>
    <x v="9"/>
    <s v="TRIPACK FT NAR+FT KI+SP PET 3L"/>
    <n v="180"/>
    <n v="90"/>
    <n v="30.6"/>
  </r>
  <r>
    <x v="66"/>
    <s v="AGOSTO"/>
    <n v="34"/>
    <s v="MIÉRCOLES"/>
    <x v="2"/>
    <s v="INCA KOLA SIN AZUCAR PET 1.5LX2"/>
    <n v="1728"/>
    <n v="198"/>
    <n v="293.76000000000005"/>
  </r>
  <r>
    <x v="66"/>
    <s v="AGOSTO"/>
    <n v="34"/>
    <s v="MIÉRCOLES"/>
    <x v="26"/>
    <s v="TRIPACK CC+CC+IK PFM 3LX3 - RFNN"/>
    <n v="720"/>
    <n v="90"/>
    <n v="122.4"/>
  </r>
  <r>
    <x v="66"/>
    <s v="AGOSTO"/>
    <n v="34"/>
    <s v="MIÉRCOLES"/>
    <x v="23"/>
    <s v="TRIPACK CC+IK+IK PFM 3LX3 - RFNN"/>
    <n v="720"/>
    <n v="90"/>
    <n v="122.4"/>
  </r>
  <r>
    <x v="66"/>
    <s v="AGOSTO"/>
    <n v="34"/>
    <s v="MIÉRCOLES"/>
    <x v="17"/>
    <s v="TWO PACK CC PFM 3LX2 - RFCC"/>
    <n v="1800"/>
    <n v="120"/>
    <n v="306"/>
  </r>
  <r>
    <x v="66"/>
    <s v="AGOSTO"/>
    <n v="34"/>
    <s v="MIÉRCOLES"/>
    <x v="11"/>
    <s v="TRIPACK (CC+IK)PFM+FT PET 3LX3 - RFNN"/>
    <n v="1800"/>
    <n v="90"/>
    <n v="306"/>
  </r>
  <r>
    <x v="66"/>
    <s v="AGOSTO"/>
    <n v="34"/>
    <s v="MIÉRCOLES"/>
    <x v="20"/>
    <s v="TRIPACK (FT NAR+SP)PET+IK RF PFM 3L"/>
    <n v="720"/>
    <n v="90"/>
    <n v="122.4"/>
  </r>
  <r>
    <x v="66"/>
    <s v="AGOSTO"/>
    <n v="34"/>
    <s v="MIÉRCOLES"/>
    <x v="16"/>
    <s v="SAN LUIS CON GAS PET 625MLX6"/>
    <n v="540"/>
    <n v="180"/>
    <n v="226.79999999999998"/>
  </r>
  <r>
    <x v="66"/>
    <s v="AGOSTO"/>
    <n v="34"/>
    <s v="MIÉRCOLES"/>
    <x v="24"/>
    <s v="MONSTER ENERGY 473MLX4"/>
    <n v="1260"/>
    <n v="420"/>
    <n v="529.19999999999993"/>
  </r>
  <r>
    <x v="66"/>
    <s v="AGOSTO"/>
    <n v="34"/>
    <s v="MIÉRCOLES"/>
    <x v="28"/>
    <s v="COCA COLA VR 1.5LX8 - STICKER"/>
    <n v="90"/>
    <n v="30"/>
    <n v="20.7"/>
  </r>
  <r>
    <x v="66"/>
    <s v="AGOSTO"/>
    <n v="34"/>
    <s v="MIÉRCOLES"/>
    <x v="13"/>
    <s v="INCA KOLA VR 1.5LX8 - STICKER"/>
    <n v="60"/>
    <n v="30"/>
    <n v="24"/>
  </r>
  <r>
    <x v="66"/>
    <s v="AGOSTO"/>
    <n v="34"/>
    <s v="MIÉRCOLES"/>
    <x v="33"/>
    <s v="COCA COLA VR 296MLX24 - STICKER"/>
    <n v="40"/>
    <n v="40"/>
    <n v="9.2000000000000011"/>
  </r>
  <r>
    <x v="66"/>
    <s v="AGOSTO"/>
    <n v="34"/>
    <s v="MIÉRCOLES"/>
    <x v="19"/>
    <s v="POWERADE ION4 MORA AZ PET473X6 MOD(STCK)"/>
    <n v="225"/>
    <n v="225"/>
    <n v="90"/>
  </r>
  <r>
    <x v="66"/>
    <s v="AGOSTO"/>
    <n v="34"/>
    <s v="MIÉRCOLES"/>
    <x v="0"/>
    <s v="SAN LUIS SIN GAS PET2500X6 STICKER"/>
    <n v="672"/>
    <n v="48"/>
    <n v="268.8"/>
  </r>
  <r>
    <x v="66"/>
    <s v="AGOSTO"/>
    <n v="34"/>
    <s v="MIÉRCOLES"/>
    <x v="1"/>
    <s v="COCA-COLA SIN AZUCAR PET 1.5LX2"/>
    <n v="1728"/>
    <n v="198"/>
    <n v="293.76000000000005"/>
  </r>
  <r>
    <x v="66"/>
    <s v="AGOSTO"/>
    <n v="34"/>
    <s v="MIÉRCOLES"/>
    <x v="6"/>
    <s v="INCA KOLA PET 3LX2 - RF"/>
    <n v="1080"/>
    <n v="120"/>
    <n v="183.60000000000002"/>
  </r>
  <r>
    <x v="66"/>
    <s v="AGOSTO"/>
    <n v="34"/>
    <s v="MIÉRCOLES"/>
    <x v="10"/>
    <s v="TWO PACK CC + IK PFM 3LX2 - RFNN"/>
    <n v="1440"/>
    <n v="120"/>
    <n v="244.8"/>
  </r>
  <r>
    <x v="67"/>
    <s v="AGOSTO"/>
    <n v="34"/>
    <s v="JUEVES"/>
    <x v="7"/>
    <s v="COCA-COLA PET 1.5LX2 RF"/>
    <n v="1512"/>
    <n v="198"/>
    <n v="257.04000000000002"/>
  </r>
  <r>
    <x v="67"/>
    <s v="AGOSTO"/>
    <n v="34"/>
    <s v="JUEVES"/>
    <x v="8"/>
    <s v="INCA KOLA PET 1.5LX2 RF"/>
    <n v="1080"/>
    <n v="198"/>
    <n v="183.60000000000002"/>
  </r>
  <r>
    <x v="67"/>
    <s v="AGOSTO"/>
    <n v="34"/>
    <s v="JUEVES"/>
    <x v="9"/>
    <s v="TRIPACK FT NAR+FT KI+SP PET 3L"/>
    <n v="810"/>
    <n v="90"/>
    <n v="137.70000000000002"/>
  </r>
  <r>
    <x v="67"/>
    <s v="AGOSTO"/>
    <n v="34"/>
    <s v="JUEVES"/>
    <x v="10"/>
    <s v="TWO PACK CC + IK PFM 3LX2 - RFNN"/>
    <n v="1200"/>
    <n v="120"/>
    <n v="204.00000000000003"/>
  </r>
  <r>
    <x v="67"/>
    <s v="AGOSTO"/>
    <n v="34"/>
    <s v="JUEVES"/>
    <x v="11"/>
    <s v="TRIPACK (CC+IK)PFM+FT PET 3LX3 - RFNN"/>
    <n v="2610"/>
    <n v="90"/>
    <n v="443.70000000000005"/>
  </r>
  <r>
    <x v="67"/>
    <s v="AGOSTO"/>
    <n v="34"/>
    <s v="JUEVES"/>
    <x v="13"/>
    <s v="INCA KOLA VR 1.5LX8 - STICKER"/>
    <n v="60"/>
    <n v="30"/>
    <n v="24"/>
  </r>
  <r>
    <x v="67"/>
    <s v="AGOSTO"/>
    <n v="34"/>
    <s v="JUEVES"/>
    <x v="14"/>
    <s v="INCA KOLA VR 296MLX24 - STICKER"/>
    <n v="80"/>
    <n v="40"/>
    <n v="18.400000000000002"/>
  </r>
  <r>
    <x v="67"/>
    <s v="AGOSTO"/>
    <n v="34"/>
    <s v="JUEVES"/>
    <x v="40"/>
    <s v="SAN LUIS SPORT S/G 10 Lt x6 "/>
    <n v="224"/>
    <n v="240"/>
    <n v="89.600000000000009"/>
  </r>
  <r>
    <x v="67"/>
    <s v="AGOSTO"/>
    <n v="34"/>
    <s v="JUEVES"/>
    <x v="38"/>
    <s v="SL S/G TAPA PLANA 1LT"/>
    <n v="224"/>
    <n v="112"/>
    <n v="89.600000000000009"/>
  </r>
  <r>
    <x v="67"/>
    <s v="AGOSTO"/>
    <n v="34"/>
    <s v="JUEVES"/>
    <x v="0"/>
    <s v="SAN LUIS SIN GAS PET2500X6 STICKER"/>
    <n v="480"/>
    <n v="48"/>
    <n v="192"/>
  </r>
  <r>
    <x v="67"/>
    <s v="AGOSTO"/>
    <n v="34"/>
    <s v="JUEVES"/>
    <x v="24"/>
    <s v="MONSTER ENERGY 473MLX4"/>
    <n v="3360"/>
    <n v="420"/>
    <n v="1411.2"/>
  </r>
  <r>
    <x v="67"/>
    <s v="AGOSTO"/>
    <n v="34"/>
    <s v="JUEVES"/>
    <x v="39"/>
    <s v="MONSTER ENERGY ZERO 473MLX4"/>
    <n v="1260"/>
    <n v="420"/>
    <n v="529.19999999999993"/>
  </r>
  <r>
    <x v="67"/>
    <s v="AGOSTO"/>
    <n v="34"/>
    <s v="JUEVES"/>
    <x v="16"/>
    <s v="SAN LUIS CON GAS PET 625MLX6"/>
    <n v="540"/>
    <n v="180"/>
    <n v="226.79999999999998"/>
  </r>
  <r>
    <x v="67"/>
    <s v="AGOSTO"/>
    <n v="34"/>
    <s v="JUEVES"/>
    <x v="1"/>
    <s v="COCA-COLA SIN AZUCAR PET 1.5LX2"/>
    <n v="3456"/>
    <n v="198"/>
    <n v="587.5200000000001"/>
  </r>
  <r>
    <x v="67"/>
    <s v="AGOSTO"/>
    <n v="34"/>
    <s v="JUEVES"/>
    <x v="2"/>
    <s v="INCA KOLA SIN AZUCAR PET 1.5LX2"/>
    <n v="1944"/>
    <n v="198"/>
    <n v="330.48"/>
  </r>
  <r>
    <x v="67"/>
    <s v="AGOSTO"/>
    <n v="34"/>
    <s v="JUEVES"/>
    <x v="22"/>
    <s v="TWO PACK SCHWEPPES CITRUS PET 1.5LX2"/>
    <n v="792"/>
    <n v="198"/>
    <n v="134.64000000000001"/>
  </r>
  <r>
    <x v="67"/>
    <s v="AGOSTO"/>
    <n v="34"/>
    <s v="JUEVES"/>
    <x v="3"/>
    <s v="TWO PACK SCHWEPPES GINGER ALE PET 1.5LX2"/>
    <n v="198"/>
    <n v="198"/>
    <n v="33.660000000000004"/>
  </r>
  <r>
    <x v="67"/>
    <s v="AGOSTO"/>
    <n v="34"/>
    <s v="JUEVES"/>
    <x v="4"/>
    <s v="COCA-COLA PET 2.25LX2 RF"/>
    <n v="810"/>
    <n v="162"/>
    <n v="137.70000000000002"/>
  </r>
  <r>
    <x v="67"/>
    <s v="AGOSTO"/>
    <n v="34"/>
    <s v="JUEVES"/>
    <x v="5"/>
    <s v="INCA KOLA PET 2.25LX2 RF"/>
    <n v="486"/>
    <n v="162"/>
    <n v="82.62"/>
  </r>
  <r>
    <x v="67"/>
    <s v="AGOSTO"/>
    <n v="34"/>
    <s v="JUEVES"/>
    <x v="6"/>
    <s v="INCA KOLA PET 3LX2 - RF"/>
    <n v="480"/>
    <n v="120"/>
    <n v="81.600000000000009"/>
  </r>
  <r>
    <x v="68"/>
    <s v="AGOSTO"/>
    <n v="34"/>
    <s v="VIERNES"/>
    <x v="14"/>
    <s v="INCA KOLA VR 296MLX24 - STICKER"/>
    <n v="120"/>
    <n v="40"/>
    <n v="27.6"/>
  </r>
  <r>
    <x v="68"/>
    <s v="AGOSTO"/>
    <n v="34"/>
    <s v="VIERNES"/>
    <x v="2"/>
    <s v="INCA KOLA SIN AZUCAR PET 1.5LX2"/>
    <n v="864"/>
    <n v="198"/>
    <n v="146.88000000000002"/>
  </r>
  <r>
    <x v="68"/>
    <s v="AGOSTO"/>
    <n v="34"/>
    <s v="VIERNES"/>
    <x v="40"/>
    <s v="SAN LUIS SPORT S/G 10 Lt x6 "/>
    <n v="366"/>
    <n v="240"/>
    <n v="146.4"/>
  </r>
  <r>
    <x v="68"/>
    <s v="AGOSTO"/>
    <n v="34"/>
    <s v="VIERNES"/>
    <x v="38"/>
    <s v="SL S/G TAPA PLANA 1LT"/>
    <n v="448"/>
    <n v="112"/>
    <n v="179.20000000000002"/>
  </r>
  <r>
    <x v="68"/>
    <s v="AGOSTO"/>
    <n v="34"/>
    <s v="VIERNES"/>
    <x v="23"/>
    <s v="TRIPACK CC+IK+IK PFM 3LX3 - RFNN"/>
    <n v="90"/>
    <n v="90"/>
    <n v="15.3"/>
  </r>
  <r>
    <x v="68"/>
    <s v="AGOSTO"/>
    <n v="34"/>
    <s v="VIERNES"/>
    <x v="9"/>
    <s v="TRIPACK FT NAR+FT KI+SP PET 3L"/>
    <n v="540"/>
    <n v="90"/>
    <n v="91.800000000000011"/>
  </r>
  <r>
    <x v="68"/>
    <s v="AGOSTO"/>
    <n v="34"/>
    <s v="VIERNES"/>
    <x v="39"/>
    <s v="MONSTER ENERGY ZERO 473MLX4"/>
    <n v="3360"/>
    <n v="420"/>
    <n v="1411.2"/>
  </r>
  <r>
    <x v="68"/>
    <s v="AGOSTO"/>
    <n v="34"/>
    <s v="VIERNES"/>
    <x v="24"/>
    <s v="MONSTER ENERGY 473MLX4"/>
    <n v="4200"/>
    <n v="420"/>
    <n v="1764"/>
  </r>
  <r>
    <x v="68"/>
    <s v="AGOSTO"/>
    <n v="34"/>
    <s v="VIERNES"/>
    <x v="32"/>
    <s v="MONSTER ENERGY ULTRA 473MLX4"/>
    <n v="1680"/>
    <n v="420"/>
    <n v="705.6"/>
  </r>
  <r>
    <x v="68"/>
    <s v="AGOSTO"/>
    <n v="34"/>
    <s v="VIERNES"/>
    <x v="1"/>
    <s v="COCA-COLA SIN AZUCAR PET 1.5LX2"/>
    <n v="1728"/>
    <n v="198"/>
    <n v="293.76000000000005"/>
  </r>
  <r>
    <x v="68"/>
    <s v="AGOSTO"/>
    <n v="34"/>
    <s v="VIERNES"/>
    <x v="11"/>
    <s v="TRIPACK (CC+IK)PFM+FT PET 3LX3 - RFNN"/>
    <n v="1170"/>
    <n v="90"/>
    <n v="198.9"/>
  </r>
  <r>
    <x v="68"/>
    <s v="AGOSTO"/>
    <n v="34"/>
    <s v="VIERNES"/>
    <x v="10"/>
    <s v="TWO PACK CC + IK PFM 3LX2 - RFNN"/>
    <n v="1440"/>
    <n v="120"/>
    <n v="244.8"/>
  </r>
  <r>
    <x v="68"/>
    <s v="AGOSTO"/>
    <n v="34"/>
    <s v="VIERNES"/>
    <x v="7"/>
    <s v="COCA-COLA PET 1.5LX2 RF"/>
    <n v="1080"/>
    <n v="198"/>
    <n v="183.60000000000002"/>
  </r>
  <r>
    <x v="68"/>
    <s v="AGOSTO"/>
    <n v="34"/>
    <s v="VIERNES"/>
    <x v="28"/>
    <s v="COCA COLA VR 1.5LX8 - STICKER"/>
    <n v="120"/>
    <n v="30"/>
    <n v="27.6"/>
  </r>
  <r>
    <x v="68"/>
    <s v="AGOSTO"/>
    <n v="34"/>
    <s v="VIERNES"/>
    <x v="8"/>
    <s v="INCA KOLA PET 1.5LX2 RF"/>
    <n v="1080"/>
    <n v="198"/>
    <n v="183.60000000000002"/>
  </r>
  <r>
    <x v="68"/>
    <s v="AGOSTO"/>
    <n v="34"/>
    <s v="VIERNES"/>
    <x v="6"/>
    <s v="INCA KOLA PET 3LX2 - RF"/>
    <n v="720"/>
    <n v="120"/>
    <n v="122.4"/>
  </r>
  <r>
    <x v="68"/>
    <s v="AGOSTO"/>
    <n v="34"/>
    <s v="VIERNES"/>
    <x v="3"/>
    <s v="TWO PACK SCHWEPPES GINGER ALE PET 1.5LX2"/>
    <n v="990"/>
    <n v="198"/>
    <n v="168.3"/>
  </r>
  <r>
    <x v="68"/>
    <s v="AGOSTO"/>
    <n v="34"/>
    <s v="VIERNES"/>
    <x v="22"/>
    <s v="TWO PACK SCHWEPPES CITRUS PET 1.5LX2"/>
    <n v="792"/>
    <n v="198"/>
    <n v="134.64000000000001"/>
  </r>
  <r>
    <x v="68"/>
    <s v="AGOSTO"/>
    <n v="34"/>
    <s v="VIERNES"/>
    <x v="33"/>
    <s v="COCA COLA VR 296MLX24 - STICKER"/>
    <n v="160"/>
    <n v="40"/>
    <n v="36.800000000000004"/>
  </r>
  <r>
    <x v="68"/>
    <s v="AGOSTO"/>
    <n v="34"/>
    <s v="VIERNES"/>
    <x v="16"/>
    <s v="SAN LUIS CON GAS PET 625MLX6"/>
    <n v="360"/>
    <n v="180"/>
    <n v="151.19999999999999"/>
  </r>
  <r>
    <x v="68"/>
    <s v="AGOSTO"/>
    <n v="34"/>
    <s v="VIERNES"/>
    <x v="13"/>
    <s v="INCA KOLA VR 1.5LX8 - STICKER"/>
    <n v="150"/>
    <n v="30"/>
    <n v="60"/>
  </r>
  <r>
    <x v="68"/>
    <s v="AGOSTO"/>
    <n v="34"/>
    <s v="VIERNES"/>
    <x v="4"/>
    <s v="COCA-COLA PET 2.25LX2 RF"/>
    <n v="162"/>
    <n v="162"/>
    <n v="27.540000000000003"/>
  </r>
  <r>
    <x v="68"/>
    <s v="AGOSTO"/>
    <n v="34"/>
    <s v="VIERNES"/>
    <x v="15"/>
    <s v="INCA KOLA VR 625MLX12 - STICKER"/>
    <n v="250"/>
    <n v="50"/>
    <n v="100"/>
  </r>
  <r>
    <x v="68"/>
    <s v="AGOSTO"/>
    <n v="34"/>
    <s v="VIERNES"/>
    <x v="34"/>
    <s v="TWO PACK CC PET 1.5LX2 - CRC"/>
    <n v="216"/>
    <n v="198"/>
    <n v="36.720000000000006"/>
  </r>
  <r>
    <x v="69"/>
    <s v="AGOSTO"/>
    <n v="35"/>
    <s v="SÁBADO"/>
    <x v="28"/>
    <s v="COCA COLA VR 1.5LX8 - STICKER"/>
    <n v="90"/>
    <n v="30"/>
    <n v="20.7"/>
  </r>
  <r>
    <x v="69"/>
    <s v="AGOSTO"/>
    <n v="35"/>
    <s v="SÁBADO"/>
    <x v="15"/>
    <s v="INCA KOLA VR 625MLX12 - STICKER"/>
    <n v="50"/>
    <n v="50"/>
    <n v="20"/>
  </r>
  <r>
    <x v="69"/>
    <s v="AGOSTO"/>
    <n v="35"/>
    <s v="SÁBADO"/>
    <x v="24"/>
    <s v="MONSTER ENERGY 473MLX4"/>
    <n v="2940"/>
    <n v="420"/>
    <n v="1234.8"/>
  </r>
  <r>
    <x v="69"/>
    <s v="AGOSTO"/>
    <n v="35"/>
    <s v="SÁBADO"/>
    <x v="32"/>
    <s v="MONSTER ENERGY ULTRA 473MLX4"/>
    <n v="1680"/>
    <n v="420"/>
    <n v="705.6"/>
  </r>
  <r>
    <x v="69"/>
    <s v="AGOSTO"/>
    <n v="35"/>
    <s v="SÁBADO"/>
    <x v="39"/>
    <s v="MONSTER ENERGY ZERO 473MLX4"/>
    <n v="2100"/>
    <n v="420"/>
    <n v="882"/>
  </r>
  <r>
    <x v="69"/>
    <s v="AGOSTO"/>
    <n v="35"/>
    <s v="SÁBADO"/>
    <x v="16"/>
    <s v="SAN LUIS CON GAS PET 625MLX6"/>
    <n v="180"/>
    <n v="180"/>
    <n v="75.599999999999994"/>
  </r>
  <r>
    <x v="69"/>
    <s v="AGOSTO"/>
    <n v="35"/>
    <s v="SÁBADO"/>
    <x v="2"/>
    <s v="INCA KOLA SIN AZUCAR PET 1.5LX2"/>
    <n v="1296"/>
    <n v="198"/>
    <n v="220.32000000000002"/>
  </r>
  <r>
    <x v="69"/>
    <s v="AGOSTO"/>
    <n v="35"/>
    <s v="SÁBADO"/>
    <x v="4"/>
    <s v="COCA-COLA PET 2.25LX2 RF"/>
    <n v="324"/>
    <n v="162"/>
    <n v="55.080000000000005"/>
  </r>
  <r>
    <x v="69"/>
    <s v="AGOSTO"/>
    <n v="35"/>
    <s v="SÁBADO"/>
    <x v="6"/>
    <s v="INCA KOLA PET 3LX2 - RF"/>
    <n v="1080"/>
    <n v="120"/>
    <n v="183.60000000000002"/>
  </r>
  <r>
    <x v="69"/>
    <s v="AGOSTO"/>
    <n v="35"/>
    <s v="SÁBADO"/>
    <x v="17"/>
    <s v="TWO PACK CC PFM 3LX2 - RFCC"/>
    <n v="360"/>
    <n v="120"/>
    <n v="61.2"/>
  </r>
  <r>
    <x v="69"/>
    <s v="AGOSTO"/>
    <n v="35"/>
    <s v="SÁBADO"/>
    <x v="9"/>
    <s v="TRIPACK FT NAR+FT KI+SP PET 3L"/>
    <n v="900"/>
    <n v="90"/>
    <n v="153"/>
  </r>
  <r>
    <x v="69"/>
    <s v="AGOSTO"/>
    <n v="35"/>
    <s v="SÁBADO"/>
    <x v="10"/>
    <s v="TWO PACK CC + IK PFM 3LX2 - RFNN"/>
    <n v="2400"/>
    <n v="120"/>
    <n v="408.00000000000006"/>
  </r>
  <r>
    <x v="69"/>
    <s v="AGOSTO"/>
    <n v="35"/>
    <s v="SÁBADO"/>
    <x v="23"/>
    <s v="TRIPACK CC+IK+IK PFM 3LX3 - RFNN"/>
    <n v="720"/>
    <n v="90"/>
    <n v="122.4"/>
  </r>
  <r>
    <x v="69"/>
    <s v="AGOSTO"/>
    <n v="35"/>
    <s v="SÁBADO"/>
    <x v="11"/>
    <s v="TRIPACK (CC+IK)PFM+FT PET 3LX3 - RFNN"/>
    <n v="2610"/>
    <n v="90"/>
    <n v="443.70000000000005"/>
  </r>
  <r>
    <x v="69"/>
    <s v="AGOSTO"/>
    <n v="35"/>
    <s v="SÁBADO"/>
    <x v="25"/>
    <s v="POWERADE 3MORA+3FRUT PET 473MLX6"/>
    <n v="225"/>
    <n v="225"/>
    <n v="94.5"/>
  </r>
  <r>
    <x v="69"/>
    <s v="AGOSTO"/>
    <n v="35"/>
    <s v="SÁBADO"/>
    <x v="1"/>
    <s v="COCA-COLA SIN AZUCAR PET 1.5LX2"/>
    <n v="1296"/>
    <n v="198"/>
    <n v="220.32000000000002"/>
  </r>
  <r>
    <x v="69"/>
    <s v="AGOSTO"/>
    <n v="35"/>
    <s v="SÁBADO"/>
    <x v="13"/>
    <s v="INCA KOLA VR 1.5LX8 - STICKER"/>
    <n v="90"/>
    <n v="30"/>
    <n v="36"/>
  </r>
  <r>
    <x v="69"/>
    <s v="AGOSTO"/>
    <n v="35"/>
    <s v="SÁBADO"/>
    <x v="38"/>
    <s v="SL S/G TAPA PLANA 1LT"/>
    <n v="224"/>
    <n v="112"/>
    <n v="89.600000000000009"/>
  </r>
  <r>
    <x v="69"/>
    <s v="AGOSTO"/>
    <n v="35"/>
    <s v="SÁBADO"/>
    <x v="40"/>
    <s v="SAN LUIS SPORT S/G 10 Lt x6 "/>
    <n v="224"/>
    <n v="240"/>
    <n v="89.600000000000009"/>
  </r>
  <r>
    <x v="70"/>
    <s v="AGOSTO"/>
    <n v="35"/>
    <s v="LUNES"/>
    <x v="8"/>
    <s v="INCA KOLA PET 1.5LX2 RF"/>
    <n v="648"/>
    <n v="198"/>
    <n v="110.16000000000001"/>
  </r>
  <r>
    <x v="70"/>
    <s v="AGOSTO"/>
    <n v="35"/>
    <s v="LUNES"/>
    <x v="20"/>
    <s v="TRIPACK (FT NAR+SP)PET+IK RF PFM 3L"/>
    <n v="360"/>
    <n v="90"/>
    <n v="61.2"/>
  </r>
  <r>
    <x v="70"/>
    <s v="AGOSTO"/>
    <n v="35"/>
    <s v="LUNES"/>
    <x v="25"/>
    <s v="POWERADE 3MORA+3FRUT PET 473MLX6"/>
    <n v="1575"/>
    <n v="225"/>
    <n v="661.5"/>
  </r>
  <r>
    <x v="70"/>
    <s v="AGOSTO"/>
    <n v="35"/>
    <s v="LUNES"/>
    <x v="12"/>
    <s v="POWERADE ION4 FRUTA PET473X6 MOD (STICK)"/>
    <n v="1350"/>
    <n v="225"/>
    <n v="540"/>
  </r>
  <r>
    <x v="70"/>
    <s v="AGOSTO"/>
    <n v="35"/>
    <s v="LUNES"/>
    <x v="19"/>
    <s v="POWERADE ION4 MORA AZ PET473X6 MOD(STCK)"/>
    <n v="1125"/>
    <n v="225"/>
    <n v="450"/>
  </r>
  <r>
    <x v="70"/>
    <s v="AGOSTO"/>
    <n v="35"/>
    <s v="LUNES"/>
    <x v="37"/>
    <s v="INCA KOLA PET 500MLX6"/>
    <n v="1250"/>
    <n v="225"/>
    <n v="525"/>
  </r>
  <r>
    <x v="70"/>
    <s v="AGOSTO"/>
    <n v="35"/>
    <s v="LUNES"/>
    <x v="0"/>
    <s v="SAN LUIS SIN GAS PET2500X6 STICKER"/>
    <n v="1680"/>
    <n v="48"/>
    <n v="672"/>
  </r>
  <r>
    <x v="70"/>
    <s v="AGOSTO"/>
    <n v="35"/>
    <s v="LUNES"/>
    <x v="10"/>
    <s v="TWO PACK CC + IK PFM 3LX2 - RFNN"/>
    <n v="960"/>
    <n v="120"/>
    <n v="163.20000000000002"/>
  </r>
  <r>
    <x v="70"/>
    <s v="AGOSTO"/>
    <n v="35"/>
    <s v="LUNES"/>
    <x v="2"/>
    <s v="INCA KOLA SIN AZUCAR PET 1.5LX2"/>
    <n v="864"/>
    <n v="198"/>
    <n v="146.88000000000002"/>
  </r>
  <r>
    <x v="70"/>
    <s v="AGOSTO"/>
    <n v="35"/>
    <s v="LUNES"/>
    <x v="11"/>
    <s v="TRIPACK (CC+IK)PFM+FT PET 3LX3 - RFNN"/>
    <n v="1350"/>
    <n v="90"/>
    <n v="229.50000000000003"/>
  </r>
  <r>
    <x v="70"/>
    <s v="AGOSTO"/>
    <n v="35"/>
    <s v="LUNES"/>
    <x v="9"/>
    <s v="TRIPACK FT NAR+FT KI+SP PET 3L"/>
    <n v="720"/>
    <n v="90"/>
    <n v="122.4"/>
  </r>
  <r>
    <x v="70"/>
    <s v="AGOSTO"/>
    <n v="35"/>
    <s v="LUNES"/>
    <x v="6"/>
    <s v="INCA KOLA PET 3LX2 - RF"/>
    <n v="720"/>
    <n v="120"/>
    <n v="122.4"/>
  </r>
  <r>
    <x v="70"/>
    <s v="AGOSTO"/>
    <n v="35"/>
    <s v="LUNES"/>
    <x v="23"/>
    <s v="TRIPACK CC+IK+IK PFM 3LX3 - RFNN"/>
    <n v="180"/>
    <n v="90"/>
    <n v="30.6"/>
  </r>
  <r>
    <x v="70"/>
    <s v="AGOSTO"/>
    <n v="35"/>
    <s v="LUNES"/>
    <x v="28"/>
    <s v="COCA COLA VR 1.5LX8 - STICKER"/>
    <n v="90"/>
    <n v="30"/>
    <n v="20.7"/>
  </r>
  <r>
    <x v="70"/>
    <s v="AGOSTO"/>
    <n v="35"/>
    <s v="LUNES"/>
    <x v="14"/>
    <s v="INCA KOLA VR 296MLX24 - STICKER"/>
    <n v="80"/>
    <n v="40"/>
    <n v="18.400000000000002"/>
  </r>
  <r>
    <x v="70"/>
    <s v="AGOSTO"/>
    <n v="35"/>
    <s v="LUNES"/>
    <x v="15"/>
    <s v="INCA KOLA VR 625MLX12 - STICKER"/>
    <n v="100"/>
    <n v="50"/>
    <n v="40"/>
  </r>
  <r>
    <x v="70"/>
    <s v="AGOSTO"/>
    <n v="35"/>
    <s v="LUNES"/>
    <x v="39"/>
    <s v="MONSTER ENERGY ZERO 473MLX4"/>
    <n v="1680"/>
    <n v="420"/>
    <n v="705.6"/>
  </r>
  <r>
    <x v="70"/>
    <s v="AGOSTO"/>
    <n v="35"/>
    <s v="LUNES"/>
    <x v="3"/>
    <s v="TWO PACK SCHWEPPES GINGER ALE PET 1.5LX2"/>
    <n v="594"/>
    <n v="198"/>
    <n v="100.98"/>
  </r>
  <r>
    <x v="70"/>
    <s v="AGOSTO"/>
    <n v="35"/>
    <s v="LUNES"/>
    <x v="4"/>
    <s v="COCA-COLA PET 2.25LX2 RF"/>
    <n v="648"/>
    <n v="162"/>
    <n v="110.16000000000001"/>
  </r>
  <r>
    <x v="70"/>
    <s v="AGOSTO"/>
    <n v="35"/>
    <s v="LUNES"/>
    <x v="41"/>
    <s v="COCA COLA PFM 3 LT PQX 2 - RF"/>
    <n v="720"/>
    <n v="120"/>
    <n v="122.4"/>
  </r>
  <r>
    <x v="70"/>
    <s v="AGOSTO"/>
    <n v="35"/>
    <s v="LUNES"/>
    <x v="7"/>
    <s v="COCA-COLA PET 1.5LX2 RF"/>
    <n v="1944"/>
    <n v="198"/>
    <n v="330.48"/>
  </r>
  <r>
    <x v="71"/>
    <s v="AGOSTO"/>
    <n v="35"/>
    <s v="MARTES"/>
    <x v="24"/>
    <s v="MONSTER ENERGY 473MLX4"/>
    <n v="2100"/>
    <n v="420"/>
    <n v="882"/>
  </r>
  <r>
    <x v="71"/>
    <s v="AGOSTO"/>
    <n v="35"/>
    <s v="MARTES"/>
    <x v="2"/>
    <s v="INCA KOLA SIN AZUCAR PET 1.5LX2"/>
    <n v="2160"/>
    <n v="198"/>
    <n v="367.20000000000005"/>
  </r>
  <r>
    <x v="71"/>
    <s v="AGOSTO"/>
    <n v="35"/>
    <s v="MARTES"/>
    <x v="7"/>
    <s v="COCA-COLA PET 1.5LX2 RF"/>
    <n v="3888"/>
    <n v="198"/>
    <n v="660.96"/>
  </r>
  <r>
    <x v="71"/>
    <s v="AGOSTO"/>
    <n v="35"/>
    <s v="MARTES"/>
    <x v="4"/>
    <s v="COCA-COLA PET 2.25LX2 RF"/>
    <n v="658"/>
    <n v="162"/>
    <n v="111.86000000000001"/>
  </r>
  <r>
    <x v="71"/>
    <s v="AGOSTO"/>
    <n v="35"/>
    <s v="MARTES"/>
    <x v="9"/>
    <s v="TRIPACK FT NAR+FT KI+SP PET 3L"/>
    <n v="1350"/>
    <n v="90"/>
    <n v="229.50000000000003"/>
  </r>
  <r>
    <x v="71"/>
    <s v="AGOSTO"/>
    <n v="35"/>
    <s v="MARTES"/>
    <x v="11"/>
    <s v="TRIPACK (CC+IK)PFM+FT PET 3LX3 - RFNN"/>
    <n v="720"/>
    <n v="90"/>
    <n v="122.4"/>
  </r>
  <r>
    <x v="71"/>
    <s v="AGOSTO"/>
    <n v="35"/>
    <s v="MARTES"/>
    <x v="6"/>
    <s v="INCA KOLA PET 3LX2 - RF"/>
    <n v="480"/>
    <n v="120"/>
    <n v="81.600000000000009"/>
  </r>
  <r>
    <x v="71"/>
    <s v="AGOSTO"/>
    <n v="35"/>
    <s v="MARTES"/>
    <x v="17"/>
    <s v="TWO PACK CC PFM 3LX2 - RFCC"/>
    <n v="240"/>
    <n v="120"/>
    <n v="40.800000000000004"/>
  </r>
  <r>
    <x v="71"/>
    <s v="AGOSTO"/>
    <n v="35"/>
    <s v="MARTES"/>
    <x v="10"/>
    <s v="TWO PACK CC + IK PFM 3LX2 - RFNN"/>
    <n v="2040"/>
    <n v="120"/>
    <n v="346.8"/>
  </r>
  <r>
    <x v="71"/>
    <s v="AGOSTO"/>
    <n v="35"/>
    <s v="MARTES"/>
    <x v="0"/>
    <s v="SAN LUIS SIN GAS PET2500X6 STICKER"/>
    <n v="912"/>
    <n v="48"/>
    <n v="364.8"/>
  </r>
  <r>
    <x v="71"/>
    <s v="AGOSTO"/>
    <n v="35"/>
    <s v="MARTES"/>
    <x v="3"/>
    <s v="TWO PACK SCHWEPPES GINGER ALE PET 1.5LX2"/>
    <n v="396"/>
    <n v="198"/>
    <n v="67.320000000000007"/>
  </r>
  <r>
    <x v="71"/>
    <s v="AGOSTO"/>
    <n v="35"/>
    <s v="MARTES"/>
    <x v="16"/>
    <s v="SAN LUIS CON GAS PET 625MLX6"/>
    <n v="540"/>
    <n v="180"/>
    <n v="226.79999999999998"/>
  </r>
  <r>
    <x v="71"/>
    <s v="AGOSTO"/>
    <n v="35"/>
    <s v="MARTES"/>
    <x v="1"/>
    <s v="COCA-COLA SIN AZUCAR PET 1.5LX2"/>
    <n v="4104"/>
    <n v="198"/>
    <n v="697.68000000000006"/>
  </r>
  <r>
    <x v="71"/>
    <s v="AGOSTO"/>
    <n v="35"/>
    <s v="MARTES"/>
    <x v="23"/>
    <s v="TRIPACK CC+IK+IK PFM 3LX3 - RFNN"/>
    <n v="180"/>
    <n v="90"/>
    <n v="30.6"/>
  </r>
  <r>
    <x v="71"/>
    <s v="AGOSTO"/>
    <n v="35"/>
    <s v="MARTES"/>
    <x v="12"/>
    <s v="POWERADE ION4 FRUTA PET473X6 MOD (STICK)"/>
    <n v="225"/>
    <n v="225"/>
    <n v="90"/>
  </r>
  <r>
    <x v="71"/>
    <s v="AGOSTO"/>
    <n v="35"/>
    <s v="MARTES"/>
    <x v="37"/>
    <s v="INCA KOLA PET 500MLX6"/>
    <n v="1000"/>
    <n v="225"/>
    <n v="420"/>
  </r>
  <r>
    <x v="71"/>
    <s v="AGOSTO"/>
    <n v="35"/>
    <s v="MARTES"/>
    <x v="25"/>
    <s v="POWERADE 3MORA+3FRUT PET 473MLX6"/>
    <n v="450"/>
    <n v="225"/>
    <n v="189"/>
  </r>
  <r>
    <x v="71"/>
    <s v="AGOSTO"/>
    <n v="35"/>
    <s v="MARTES"/>
    <x v="13"/>
    <s v="INCA KOLA VR 1.5LX8 - STICKER"/>
    <n v="30"/>
    <n v="30"/>
    <n v="12"/>
  </r>
  <r>
    <x v="71"/>
    <s v="AGOSTO"/>
    <n v="35"/>
    <s v="MARTES"/>
    <x v="15"/>
    <s v="INCA KOLA VR 625MLX12 - STICKER"/>
    <n v="150"/>
    <n v="50"/>
    <n v="60"/>
  </r>
  <r>
    <x v="71"/>
    <s v="AGOSTO"/>
    <n v="35"/>
    <s v="MARTES"/>
    <x v="5"/>
    <s v="INCA KOLA PET 2.25LX2 RF"/>
    <n v="324"/>
    <n v="162"/>
    <n v="55.080000000000005"/>
  </r>
  <r>
    <x v="71"/>
    <s v="AGOSTO"/>
    <n v="35"/>
    <s v="MARTES"/>
    <x v="8"/>
    <s v="INCA KOLA PET 1.5LX2 RF"/>
    <n v="2592"/>
    <n v="198"/>
    <n v="440.64000000000004"/>
  </r>
  <r>
    <x v="71"/>
    <s v="AGOSTO"/>
    <n v="35"/>
    <s v="MARTES"/>
    <x v="34"/>
    <s v="TWO PACK CC PET 1.5LX2 - CRC"/>
    <n v="216"/>
    <n v="198"/>
    <n v="36.720000000000006"/>
  </r>
  <r>
    <x v="71"/>
    <s v="AGOSTO"/>
    <n v="35"/>
    <s v="MARTES"/>
    <x v="39"/>
    <s v="MONSTER ENERGY ZERO 473MLX4"/>
    <n v="420"/>
    <n v="420"/>
    <n v="176.4"/>
  </r>
  <r>
    <x v="72"/>
    <s v="AGOSTO"/>
    <n v="35"/>
    <s v="MIÉRCOLES"/>
    <x v="0"/>
    <s v="SAN LUIS SIN GAS PET2500X6 STICKER"/>
    <n v="1008"/>
    <n v="48"/>
    <n v="403.20000000000005"/>
  </r>
  <r>
    <x v="72"/>
    <s v="AGOSTO"/>
    <n v="35"/>
    <s v="MIÉRCOLES"/>
    <x v="28"/>
    <s v="COCA COLA VR 1.5LX8 - STICKER"/>
    <n v="120"/>
    <n v="30"/>
    <n v="27.6"/>
  </r>
  <r>
    <x v="72"/>
    <s v="AGOSTO"/>
    <n v="35"/>
    <s v="MIÉRCOLES"/>
    <x v="19"/>
    <s v="POWERADE ION4 MORA AZ PET473X6 MOD(STCK)"/>
    <n v="900"/>
    <n v="225"/>
    <n v="360"/>
  </r>
  <r>
    <x v="72"/>
    <s v="AGOSTO"/>
    <n v="35"/>
    <s v="MIÉRCOLES"/>
    <x v="15"/>
    <s v="INCA KOLA VR 625MLX12 - STICKER"/>
    <n v="250"/>
    <n v="50"/>
    <n v="100"/>
  </r>
  <r>
    <x v="72"/>
    <s v="AGOSTO"/>
    <n v="35"/>
    <s v="MIÉRCOLES"/>
    <x v="2"/>
    <s v="INCA KOLA SIN AZUCAR PET 1.5LX2"/>
    <n v="1512"/>
    <n v="198"/>
    <n v="257.04000000000002"/>
  </r>
  <r>
    <x v="72"/>
    <s v="AGOSTO"/>
    <n v="35"/>
    <s v="MIÉRCOLES"/>
    <x v="11"/>
    <s v="TRIPACK (CC+IK)PFM+FT PET 3LX3 - RFNN"/>
    <n v="900"/>
    <n v="90"/>
    <n v="153"/>
  </r>
  <r>
    <x v="72"/>
    <s v="AGOSTO"/>
    <n v="35"/>
    <s v="MIÉRCOLES"/>
    <x v="32"/>
    <s v="MONSTER ENERGY ULTRA 473MLX4"/>
    <n v="2100"/>
    <n v="420"/>
    <n v="882"/>
  </r>
  <r>
    <x v="72"/>
    <s v="AGOSTO"/>
    <n v="35"/>
    <s v="MIÉRCOLES"/>
    <x v="39"/>
    <s v="MONSTER ENERGY ZERO 473MLX4"/>
    <n v="1260"/>
    <n v="420"/>
    <n v="529.19999999999993"/>
  </r>
  <r>
    <x v="72"/>
    <s v="AGOSTO"/>
    <n v="35"/>
    <s v="MIÉRCOLES"/>
    <x v="24"/>
    <s v="MONSTER ENERGY 473MLX4"/>
    <n v="2100"/>
    <n v="420"/>
    <n v="882"/>
  </r>
  <r>
    <x v="72"/>
    <s v="AGOSTO"/>
    <n v="35"/>
    <s v="MIÉRCOLES"/>
    <x v="8"/>
    <s v="INCA KOLA PET 1.5LX2 RF"/>
    <n v="1944"/>
    <n v="198"/>
    <n v="330.48"/>
  </r>
  <r>
    <x v="72"/>
    <s v="AGOSTO"/>
    <n v="35"/>
    <s v="MIÉRCOLES"/>
    <x v="1"/>
    <s v="COCA-COLA SIN AZUCAR PET 1.5LX2"/>
    <n v="1080"/>
    <n v="198"/>
    <n v="183.60000000000002"/>
  </r>
  <r>
    <x v="72"/>
    <s v="AGOSTO"/>
    <n v="35"/>
    <s v="MIÉRCOLES"/>
    <x v="7"/>
    <s v="COCA-COLA PET 1.5LX2 RF"/>
    <n v="1728"/>
    <n v="198"/>
    <n v="293.76000000000005"/>
  </r>
  <r>
    <x v="72"/>
    <s v="AGOSTO"/>
    <n v="35"/>
    <s v="MIÉRCOLES"/>
    <x v="17"/>
    <s v="TWO PACK CC PFM 3LX2 - RFCC"/>
    <n v="840"/>
    <n v="120"/>
    <n v="142.80000000000001"/>
  </r>
  <r>
    <x v="72"/>
    <s v="AGOSTO"/>
    <n v="35"/>
    <s v="MIÉRCOLES"/>
    <x v="9"/>
    <s v="TRIPACK FT NAR+FT KI+SP PET 3L"/>
    <n v="1080"/>
    <n v="90"/>
    <n v="183.60000000000002"/>
  </r>
  <r>
    <x v="72"/>
    <s v="AGOSTO"/>
    <n v="35"/>
    <s v="MIÉRCOLES"/>
    <x v="10"/>
    <s v="TWO PACK CC + IK PFM 3LX2 - RFNN"/>
    <n v="1440"/>
    <n v="120"/>
    <n v="244.8"/>
  </r>
  <r>
    <x v="72"/>
    <s v="AGOSTO"/>
    <n v="35"/>
    <s v="MIÉRCOLES"/>
    <x v="6"/>
    <s v="INCA KOLA PET 3LX2 - RF"/>
    <n v="720"/>
    <n v="120"/>
    <n v="122.4"/>
  </r>
  <r>
    <x v="72"/>
    <s v="AGOSTO"/>
    <n v="35"/>
    <s v="MIÉRCOLES"/>
    <x v="12"/>
    <s v="POWERADE ION4 FRUTA PET473X6 MOD (STICK)"/>
    <n v="1125"/>
    <n v="225"/>
    <n v="450"/>
  </r>
  <r>
    <x v="72"/>
    <s v="AGOSTO"/>
    <n v="35"/>
    <s v="MIÉRCOLES"/>
    <x v="27"/>
    <s v="FRUGOS BEBIDA DZ VNR 286MLX6 C/STICKER"/>
    <n v="350"/>
    <n v="350"/>
    <n v="80.5"/>
  </r>
  <r>
    <x v="72"/>
    <s v="AGOSTO"/>
    <n v="35"/>
    <s v="MIÉRCOLES"/>
    <x v="5"/>
    <s v="INCA KOLA PET 2.25LX2 RF"/>
    <n v="486"/>
    <n v="162"/>
    <n v="82.62"/>
  </r>
  <r>
    <x v="72"/>
    <s v="AGOSTO"/>
    <n v="35"/>
    <s v="MIÉRCOLES"/>
    <x v="25"/>
    <s v="POWERADE 3MORA+3FRUT PET 473MLX6"/>
    <n v="900"/>
    <n v="225"/>
    <n v="378"/>
  </r>
  <r>
    <x v="72"/>
    <s v="AGOSTO"/>
    <n v="35"/>
    <s v="MIÉRCOLES"/>
    <x v="38"/>
    <s v="SL S/G TAPA PLANA 1LT"/>
    <n v="336"/>
    <n v="112"/>
    <n v="134.4"/>
  </r>
  <r>
    <x v="72"/>
    <s v="AGOSTO"/>
    <n v="35"/>
    <s v="MIÉRCOLES"/>
    <x v="16"/>
    <s v="SAN LUIS CON GAS PET 625MLX6"/>
    <n v="360"/>
    <n v="180"/>
    <n v="151.19999999999999"/>
  </r>
  <r>
    <x v="72"/>
    <s v="AGOSTO"/>
    <n v="35"/>
    <s v="MIÉRCOLES"/>
    <x v="13"/>
    <s v="INCA KOLA VR 1.5LX8 - STICKER"/>
    <n v="90"/>
    <n v="30"/>
    <n v="36"/>
  </r>
  <r>
    <x v="72"/>
    <s v="AGOSTO"/>
    <n v="35"/>
    <s v="MIÉRCOLES"/>
    <x v="14"/>
    <s v="INCA KOLA VR 296MLX24 - STICKER"/>
    <n v="40"/>
    <n v="40"/>
    <n v="9.2000000000000011"/>
  </r>
  <r>
    <x v="72"/>
    <s v="AGOSTO"/>
    <n v="35"/>
    <s v="MIÉRCOLES"/>
    <x v="20"/>
    <s v="TRIPACK (FT NAR+SP)PET+IK RF PFM 3L"/>
    <n v="270"/>
    <n v="90"/>
    <n v="45.900000000000006"/>
  </r>
  <r>
    <x v="72"/>
    <s v="AGOSTO"/>
    <n v="35"/>
    <s v="MIÉRCOLES"/>
    <x v="23"/>
    <s v="TRIPACK CC+IK+IK PFM 3LX3 - RFNN"/>
    <n v="180"/>
    <n v="90"/>
    <n v="30.6"/>
  </r>
  <r>
    <x v="72"/>
    <s v="AGOSTO"/>
    <n v="35"/>
    <s v="MIÉRCOLES"/>
    <x v="42"/>
    <s v="FANTA NARANJA PET 500MLX6 BRANDEADO MOD"/>
    <n v="250"/>
    <n v="420"/>
    <n v="105"/>
  </r>
  <r>
    <x v="72"/>
    <s v="AGOSTO"/>
    <n v="35"/>
    <s v="MIÉRCOLES"/>
    <x v="43"/>
    <s v="SPRITE PET 500MLX6 BRANDEADO MOD"/>
    <n v="500"/>
    <n v="420"/>
    <n v="210"/>
  </r>
  <r>
    <x v="73"/>
    <s v="AGOSTO"/>
    <n v="35"/>
    <s v="JUEVES"/>
    <x v="0"/>
    <s v="SAN LUIS SIN GAS PET2500X6 STICKER"/>
    <n v="768"/>
    <n v="48"/>
    <n v="307.20000000000005"/>
  </r>
  <r>
    <x v="73"/>
    <s v="AGOSTO"/>
    <n v="35"/>
    <s v="JUEVES"/>
    <x v="39"/>
    <s v="MONSTER ENERGY ZERO 473MLX4"/>
    <n v="1680"/>
    <n v="420"/>
    <n v="705.6"/>
  </r>
  <r>
    <x v="73"/>
    <s v="AGOSTO"/>
    <n v="35"/>
    <s v="JUEVES"/>
    <x v="32"/>
    <s v="MONSTER ENERGY ULTRA 473MLX4"/>
    <n v="1680"/>
    <n v="420"/>
    <n v="705.6"/>
  </r>
  <r>
    <x v="73"/>
    <s v="AGOSTO"/>
    <n v="35"/>
    <s v="JUEVES"/>
    <x v="25"/>
    <s v="POWERADE 3MORA+3FRUT PET 473MLX6"/>
    <n v="900"/>
    <n v="225"/>
    <n v="378"/>
  </r>
  <r>
    <x v="73"/>
    <s v="AGOSTO"/>
    <n v="35"/>
    <s v="JUEVES"/>
    <x v="19"/>
    <s v="POWERADE ION4 MORA AZ PET473X6 MOD(STCK)"/>
    <n v="675"/>
    <n v="225"/>
    <n v="270"/>
  </r>
  <r>
    <x v="73"/>
    <s v="AGOSTO"/>
    <n v="35"/>
    <s v="JUEVES"/>
    <x v="12"/>
    <s v="POWERADE ION4 FRUTA PET473X6 MOD (STICK)"/>
    <n v="900"/>
    <n v="225"/>
    <n v="360"/>
  </r>
  <r>
    <x v="73"/>
    <s v="AGOSTO"/>
    <n v="35"/>
    <s v="JUEVES"/>
    <x v="28"/>
    <s v="COCA COLA VR 1.5LX8 - STICKER"/>
    <n v="120"/>
    <n v="30"/>
    <n v="27.6"/>
  </r>
  <r>
    <x v="73"/>
    <s v="AGOSTO"/>
    <n v="35"/>
    <s v="JUEVES"/>
    <x v="15"/>
    <s v="INCA KOLA VR 625MLX12 - STICKER"/>
    <n v="200"/>
    <n v="50"/>
    <n v="80"/>
  </r>
  <r>
    <x v="73"/>
    <s v="AGOSTO"/>
    <n v="35"/>
    <s v="JUEVES"/>
    <x v="1"/>
    <s v="COCA-COLA SIN AZUCAR PET 1.5LX2"/>
    <n v="3456"/>
    <n v="198"/>
    <n v="587.5200000000001"/>
  </r>
  <r>
    <x v="73"/>
    <s v="AGOSTO"/>
    <n v="35"/>
    <s v="JUEVES"/>
    <x v="6"/>
    <s v="INCA KOLA PET 3LX2 - RF"/>
    <n v="720"/>
    <n v="120"/>
    <n v="122.4"/>
  </r>
  <r>
    <x v="73"/>
    <s v="AGOSTO"/>
    <n v="35"/>
    <s v="JUEVES"/>
    <x v="2"/>
    <s v="INCA KOLA SIN AZUCAR PET 1.5LX2"/>
    <n v="1296"/>
    <n v="198"/>
    <n v="220.32000000000002"/>
  </r>
  <r>
    <x v="73"/>
    <s v="AGOSTO"/>
    <n v="35"/>
    <s v="JUEVES"/>
    <x v="9"/>
    <s v="TRIPACK FT NAR+FT KI+SP PET 3L"/>
    <n v="1530"/>
    <n v="90"/>
    <n v="260.10000000000002"/>
  </r>
  <r>
    <x v="73"/>
    <s v="AGOSTO"/>
    <n v="35"/>
    <s v="JUEVES"/>
    <x v="10"/>
    <s v="TWO PACK CC + IK PFM 3LX2 - RFNN"/>
    <n v="1920"/>
    <n v="120"/>
    <n v="326.40000000000003"/>
  </r>
  <r>
    <x v="73"/>
    <s v="AGOSTO"/>
    <n v="35"/>
    <s v="JUEVES"/>
    <x v="23"/>
    <s v="TRIPACK CC+IK+IK PFM 3LX3 - RFNN"/>
    <n v="900"/>
    <n v="90"/>
    <n v="153"/>
  </r>
  <r>
    <x v="73"/>
    <s v="AGOSTO"/>
    <n v="35"/>
    <s v="JUEVES"/>
    <x v="17"/>
    <s v="TWO PACK CC PFM 3LX2 - RFCC"/>
    <n v="720"/>
    <n v="120"/>
    <n v="122.4"/>
  </r>
  <r>
    <x v="73"/>
    <s v="AGOSTO"/>
    <n v="35"/>
    <s v="JUEVES"/>
    <x v="11"/>
    <s v="TRIPACK (CC+IK)PFM+FT PET 3LX3 - RFNN"/>
    <n v="2070"/>
    <n v="90"/>
    <n v="351.90000000000003"/>
  </r>
  <r>
    <x v="73"/>
    <s v="AGOSTO"/>
    <n v="35"/>
    <s v="JUEVES"/>
    <x v="8"/>
    <s v="INCA KOLA PET 1.5LX2 RF"/>
    <n v="1296"/>
    <n v="198"/>
    <n v="220.32000000000002"/>
  </r>
  <r>
    <x v="73"/>
    <s v="AGOSTO"/>
    <n v="35"/>
    <s v="JUEVES"/>
    <x v="7"/>
    <s v="COCA-COLA PET 1.5LX2 RF"/>
    <n v="2592"/>
    <n v="198"/>
    <n v="440.64000000000004"/>
  </r>
  <r>
    <x v="73"/>
    <s v="AGOSTO"/>
    <n v="35"/>
    <s v="JUEVES"/>
    <x v="16"/>
    <s v="SAN LUIS CON GAS PET 625MLX6"/>
    <n v="360"/>
    <n v="180"/>
    <n v="151.19999999999999"/>
  </r>
  <r>
    <x v="73"/>
    <s v="AGOSTO"/>
    <n v="35"/>
    <s v="JUEVES"/>
    <x v="14"/>
    <s v="INCA KOLA VR 296MLX24 - STICKER"/>
    <n v="80"/>
    <n v="40"/>
    <n v="18.400000000000002"/>
  </r>
  <r>
    <x v="73"/>
    <s v="AGOSTO"/>
    <n v="35"/>
    <s v="JUEVES"/>
    <x v="13"/>
    <s v="INCA KOLA VR 1.5LX8 - STICKER"/>
    <n v="60"/>
    <n v="30"/>
    <n v="24"/>
  </r>
  <r>
    <x v="73"/>
    <s v="AGOSTO"/>
    <n v="35"/>
    <s v="JUEVES"/>
    <x v="33"/>
    <s v="COCA COLA VR 296MLX24 - STICKER"/>
    <n v="80"/>
    <n v="40"/>
    <n v="18.400000000000002"/>
  </r>
  <r>
    <x v="73"/>
    <s v="AGOSTO"/>
    <n v="35"/>
    <s v="JUEVES"/>
    <x v="5"/>
    <s v="INCA KOLA PET 2.25LX2 RF"/>
    <n v="162"/>
    <n v="162"/>
    <n v="27.540000000000003"/>
  </r>
  <r>
    <x v="73"/>
    <s v="AGOSTO"/>
    <n v="35"/>
    <s v="JUEVES"/>
    <x v="3"/>
    <s v="TWO PACK SCHWEPPES GINGER ALE PET 1.5LX2"/>
    <n v="792"/>
    <n v="198"/>
    <n v="134.64000000000001"/>
  </r>
  <r>
    <x v="73"/>
    <s v="AGOSTO"/>
    <n v="35"/>
    <s v="JUEVES"/>
    <x v="20"/>
    <s v="TRIPACK (FT NAR+SP)PET+IK RF PFM 3L"/>
    <n v="180"/>
    <n v="90"/>
    <n v="30.6"/>
  </r>
  <r>
    <x v="73"/>
    <s v="AGOSTO"/>
    <n v="35"/>
    <s v="JUEVES"/>
    <x v="24"/>
    <s v="MONSTER ENERGY 473MLX4"/>
    <n v="2940"/>
    <n v="420"/>
    <n v="1234.8"/>
  </r>
  <r>
    <x v="73"/>
    <s v="AGOSTO"/>
    <n v="35"/>
    <s v="JUEVES"/>
    <x v="34"/>
    <s v="TWO PACK CC PET 1.5LX2 - CRC"/>
    <n v="216"/>
    <n v="198"/>
    <n v="36.720000000000006"/>
  </r>
  <r>
    <x v="74"/>
    <s v="AGOSTO"/>
    <n v="35"/>
    <s v="VIERNES"/>
    <x v="29"/>
    <s v="TWO PACK IK PET 1.5LX2 - CRCG"/>
    <n v="216"/>
    <n v="198"/>
    <n v="36.720000000000006"/>
  </r>
  <r>
    <x v="74"/>
    <s v="AGOSTO"/>
    <n v="35"/>
    <s v="VIERNES"/>
    <x v="24"/>
    <s v="MONSTER ENERGY 473MLX4"/>
    <n v="420"/>
    <n v="420"/>
    <n v="176.4"/>
  </r>
  <r>
    <x v="74"/>
    <s v="AGOSTO"/>
    <n v="35"/>
    <s v="VIERNES"/>
    <x v="39"/>
    <s v="MONSTER ENERGY ZERO 473MLX4"/>
    <n v="420"/>
    <n v="420"/>
    <n v="176.4"/>
  </r>
  <r>
    <x v="74"/>
    <s v="AGOSTO"/>
    <n v="35"/>
    <s v="VIERNES"/>
    <x v="19"/>
    <s v="POWERADE ION4 MORA AZ PET473X6 MOD(STCK)"/>
    <n v="900"/>
    <n v="225"/>
    <n v="360"/>
  </r>
  <r>
    <x v="74"/>
    <s v="AGOSTO"/>
    <n v="35"/>
    <s v="VIERNES"/>
    <x v="28"/>
    <s v="COCA COLA VR 1.5LX8 - STICKER"/>
    <n v="120"/>
    <n v="30"/>
    <n v="27.6"/>
  </r>
  <r>
    <x v="74"/>
    <s v="AGOSTO"/>
    <n v="35"/>
    <s v="VIERNES"/>
    <x v="0"/>
    <s v="SAN LUIS SIN GAS PET2500X6 STICKER"/>
    <n v="768"/>
    <n v="48"/>
    <n v="307.20000000000005"/>
  </r>
  <r>
    <x v="74"/>
    <s v="AGOSTO"/>
    <n v="35"/>
    <s v="VIERNES"/>
    <x v="12"/>
    <s v="POWERADE ION4 FRUTA PET473X6 MOD (STICK)"/>
    <n v="900"/>
    <n v="225"/>
    <n v="360"/>
  </r>
  <r>
    <x v="74"/>
    <s v="AGOSTO"/>
    <n v="35"/>
    <s v="VIERNES"/>
    <x v="13"/>
    <s v="INCA KOLA VR 1.5LX8 - STICKER"/>
    <n v="120"/>
    <n v="30"/>
    <n v="48"/>
  </r>
  <r>
    <x v="74"/>
    <s v="AGOSTO"/>
    <n v="35"/>
    <s v="VIERNES"/>
    <x v="6"/>
    <s v="INCA KOLA PET 3LX2 - RF"/>
    <n v="960"/>
    <n v="120"/>
    <n v="163.20000000000002"/>
  </r>
  <r>
    <x v="74"/>
    <s v="AGOSTO"/>
    <n v="35"/>
    <s v="VIERNES"/>
    <x v="5"/>
    <s v="INCA KOLA PET 2.25LX2 RF"/>
    <n v="648"/>
    <n v="162"/>
    <n v="110.16000000000001"/>
  </r>
  <r>
    <x v="74"/>
    <s v="AGOSTO"/>
    <n v="35"/>
    <s v="VIERNES"/>
    <x v="7"/>
    <s v="COCA-COLA PET 1.5LX2 RF"/>
    <n v="2592"/>
    <n v="198"/>
    <n v="440.64000000000004"/>
  </r>
  <r>
    <x v="74"/>
    <s v="AGOSTO"/>
    <n v="35"/>
    <s v="VIERNES"/>
    <x v="8"/>
    <s v="INCA KOLA PET 1.5LX2 RF"/>
    <n v="1944"/>
    <n v="198"/>
    <n v="330.48"/>
  </r>
  <r>
    <x v="74"/>
    <s v="AGOSTO"/>
    <n v="35"/>
    <s v="VIERNES"/>
    <x v="1"/>
    <s v="COCA-COLA SIN AZUCAR PET 1.5LX2"/>
    <n v="3240"/>
    <n v="198"/>
    <n v="550.80000000000007"/>
  </r>
  <r>
    <x v="74"/>
    <s v="AGOSTO"/>
    <n v="35"/>
    <s v="VIERNES"/>
    <x v="15"/>
    <s v="INCA KOLA VR 625MLX12 - STICKER"/>
    <n v="350"/>
    <n v="50"/>
    <n v="140"/>
  </r>
  <r>
    <x v="74"/>
    <s v="AGOSTO"/>
    <n v="35"/>
    <s v="VIERNES"/>
    <x v="38"/>
    <s v="SL S/G TAPA PLANA 1LT"/>
    <n v="224"/>
    <n v="112"/>
    <n v="89.600000000000009"/>
  </r>
  <r>
    <x v="74"/>
    <s v="AGOSTO"/>
    <n v="35"/>
    <s v="VIERNES"/>
    <x v="2"/>
    <s v="INCA KOLA SIN AZUCAR PET 1.5LX2"/>
    <n v="1512"/>
    <n v="198"/>
    <n v="257.04000000000002"/>
  </r>
  <r>
    <x v="74"/>
    <s v="AGOSTO"/>
    <n v="35"/>
    <s v="VIERNES"/>
    <x v="9"/>
    <s v="TRIPACK FT NAR+FT KI+SP PET 3L"/>
    <n v="1170"/>
    <n v="90"/>
    <n v="198.9"/>
  </r>
  <r>
    <x v="74"/>
    <s v="AGOSTO"/>
    <n v="35"/>
    <s v="VIERNES"/>
    <x v="10"/>
    <s v="TWO PACK CC + IK PFM 3LX2 - RFNN"/>
    <n v="2880"/>
    <n v="120"/>
    <n v="489.6"/>
  </r>
  <r>
    <x v="74"/>
    <s v="AGOSTO"/>
    <n v="35"/>
    <s v="VIERNES"/>
    <x v="23"/>
    <s v="TRIPACK CC+IK+IK PFM 3LX3 - RFNN"/>
    <n v="720"/>
    <n v="90"/>
    <n v="122.4"/>
  </r>
  <r>
    <x v="74"/>
    <s v="AGOSTO"/>
    <n v="35"/>
    <s v="VIERNES"/>
    <x v="17"/>
    <s v="TWO PACK CC PFM 3LX2 - RFCC"/>
    <n v="1320"/>
    <n v="120"/>
    <n v="224.4"/>
  </r>
  <r>
    <x v="74"/>
    <s v="AGOSTO"/>
    <n v="35"/>
    <s v="VIERNES"/>
    <x v="11"/>
    <s v="TRIPACK (CC+IK)PFM+FT PET 3LX3 - RFNN"/>
    <n v="720"/>
    <n v="90"/>
    <n v="122.4"/>
  </r>
  <r>
    <x v="74"/>
    <s v="AGOSTO"/>
    <n v="35"/>
    <s v="VIERNES"/>
    <x v="16"/>
    <s v="SAN LUIS CON GAS PET 625MLX6"/>
    <n v="360"/>
    <n v="180"/>
    <n v="151.19999999999999"/>
  </r>
  <r>
    <x v="74"/>
    <s v="AGOSTO"/>
    <n v="35"/>
    <s v="VIERNES"/>
    <x v="32"/>
    <s v="MONSTER ENERGY ULTRA 473MLX4"/>
    <n v="420"/>
    <n v="420"/>
    <n v="176.4"/>
  </r>
  <r>
    <x v="74"/>
    <s v="AGOSTO"/>
    <n v="35"/>
    <s v="VIERNES"/>
    <x v="25"/>
    <s v="POWERADE 3MORA+3FRUT PET 473MLX6"/>
    <n v="900"/>
    <n v="225"/>
    <n v="378"/>
  </r>
  <r>
    <x v="74"/>
    <s v="AGOSTO"/>
    <n v="35"/>
    <s v="VIERNES"/>
    <x v="33"/>
    <s v="COCA COLA VR 296MLX24 - STICKER"/>
    <n v="120"/>
    <n v="40"/>
    <n v="27.6"/>
  </r>
  <r>
    <x v="74"/>
    <s v="AGOSTO"/>
    <n v="35"/>
    <s v="VIERNES"/>
    <x v="3"/>
    <s v="TWO PACK SCHWEPPES GINGER ALE PET 1.5LX2"/>
    <n v="792"/>
    <n v="198"/>
    <n v="134.64000000000001"/>
  </r>
  <r>
    <x v="74"/>
    <s v="AGOSTO"/>
    <n v="35"/>
    <s v="VIERNES"/>
    <x v="14"/>
    <s v="INCA KOLA VR 296MLX24 - STICKER"/>
    <n v="160"/>
    <n v="40"/>
    <n v="36.800000000000004"/>
  </r>
  <r>
    <x v="74"/>
    <s v="AGOSTO"/>
    <n v="35"/>
    <s v="VIERNES"/>
    <x v="42"/>
    <s v="FANTA NARANJA PET 500MLX6 BRANDEADO MOD"/>
    <n v="1250"/>
    <n v="420"/>
    <n v="525"/>
  </r>
  <r>
    <x v="74"/>
    <s v="AGOSTO"/>
    <n v="35"/>
    <s v="VIERNES"/>
    <x v="43"/>
    <s v="SPRITE PET 500MLX6 BRANDEADO MOD"/>
    <n v="500"/>
    <n v="420"/>
    <n v="210"/>
  </r>
  <r>
    <x v="74"/>
    <s v="AGOSTO"/>
    <n v="35"/>
    <s v="VIERNES"/>
    <x v="26"/>
    <s v="TRIPACK CC+CC+IK PFM 3LX3 - RFNN"/>
    <n v="180"/>
    <n v="90"/>
    <n v="30.6"/>
  </r>
  <r>
    <x v="74"/>
    <s v="AGOSTO"/>
    <n v="35"/>
    <s v="VIERNES"/>
    <x v="34"/>
    <s v="TWO PACK CC PET 1.5LX2 - CRC"/>
    <n v="216"/>
    <n v="198"/>
    <n v="36.720000000000006"/>
  </r>
  <r>
    <x v="75"/>
    <s v="AGOSTO"/>
    <n v="36"/>
    <s v="SÁBADO"/>
    <x v="1"/>
    <s v="COCA-COLA SIN AZUCAR PET 1.5LX2"/>
    <n v="2160"/>
    <n v="198"/>
    <n v="367.20000000000005"/>
  </r>
  <r>
    <x v="75"/>
    <s v="AGOSTO"/>
    <n v="36"/>
    <s v="SÁBADO"/>
    <x v="42"/>
    <s v="FANTA NARANJA PET 500MLX6 BRANDEADO MOD"/>
    <n v="500"/>
    <n v="420"/>
    <n v="210"/>
  </r>
  <r>
    <x v="75"/>
    <s v="AGOSTO"/>
    <n v="36"/>
    <s v="SÁBADO"/>
    <x v="40"/>
    <s v="SAN LUIS SPORT S/G 10 Lt x6 "/>
    <n v="112"/>
    <n v="240"/>
    <n v="44.800000000000004"/>
  </r>
  <r>
    <x v="75"/>
    <s v="AGOSTO"/>
    <n v="36"/>
    <s v="SÁBADO"/>
    <x v="16"/>
    <s v="SAN LUIS CON GAS PET 625MLX6"/>
    <n v="1440"/>
    <n v="180"/>
    <n v="604.79999999999995"/>
  </r>
  <r>
    <x v="75"/>
    <s v="AGOSTO"/>
    <n v="36"/>
    <s v="SÁBADO"/>
    <x v="5"/>
    <s v="INCA KOLA PET 2.25LX2 RF"/>
    <n v="324"/>
    <n v="162"/>
    <n v="55.080000000000005"/>
  </r>
  <r>
    <x v="75"/>
    <s v="AGOSTO"/>
    <n v="36"/>
    <s v="SÁBADO"/>
    <x v="25"/>
    <s v="POWERADE 3MORA+3FRUT PET 473MLX6"/>
    <n v="3600"/>
    <n v="225"/>
    <n v="1512"/>
  </r>
  <r>
    <x v="75"/>
    <s v="AGOSTO"/>
    <n v="36"/>
    <s v="SÁBADO"/>
    <x v="12"/>
    <s v="POWERADE ION4 FRUTA PET473X6 MOD (STICK)"/>
    <n v="675"/>
    <n v="225"/>
    <n v="270"/>
  </r>
  <r>
    <x v="75"/>
    <s v="AGOSTO"/>
    <n v="36"/>
    <s v="SÁBADO"/>
    <x v="26"/>
    <s v="TRIPACK CC+CC+IK PFM 3LX3 - RFNN"/>
    <n v="180"/>
    <n v="90"/>
    <n v="30.6"/>
  </r>
  <r>
    <x v="75"/>
    <s v="AGOSTO"/>
    <n v="36"/>
    <s v="SÁBADO"/>
    <x v="20"/>
    <s v="TRIPACK (FT NAR+SP)PET+IK RF PFM 3L"/>
    <n v="450"/>
    <n v="90"/>
    <n v="76.5"/>
  </r>
  <r>
    <x v="75"/>
    <s v="AGOSTO"/>
    <n v="36"/>
    <s v="SÁBADO"/>
    <x v="4"/>
    <s v="COCA-COLA PET 2.25LX2 RF"/>
    <n v="810"/>
    <n v="162"/>
    <n v="137.70000000000002"/>
  </r>
  <r>
    <x v="75"/>
    <s v="AGOSTO"/>
    <n v="36"/>
    <s v="SÁBADO"/>
    <x v="38"/>
    <s v="SL S/G TAPA PLANA 1LT"/>
    <n v="112"/>
    <n v="112"/>
    <n v="44.800000000000004"/>
  </r>
  <r>
    <x v="75"/>
    <s v="AGOSTO"/>
    <n v="36"/>
    <s v="SÁBADO"/>
    <x v="28"/>
    <s v="COCA COLA VR 1.5LX8 - STICKER"/>
    <n v="60"/>
    <n v="30"/>
    <n v="13.8"/>
  </r>
  <r>
    <x v="75"/>
    <s v="AGOSTO"/>
    <n v="36"/>
    <s v="SÁBADO"/>
    <x v="33"/>
    <s v="COCA COLA VR 296MLX24 - STICKER"/>
    <n v="40"/>
    <n v="40"/>
    <n v="9.2000000000000011"/>
  </r>
  <r>
    <x v="75"/>
    <s v="AGOSTO"/>
    <n v="36"/>
    <s v="SÁBADO"/>
    <x v="13"/>
    <s v="INCA KOLA VR 1.5LX8 - STICKER"/>
    <n v="60"/>
    <n v="30"/>
    <n v="24"/>
  </r>
  <r>
    <x v="75"/>
    <s v="AGOSTO"/>
    <n v="36"/>
    <s v="SÁBADO"/>
    <x v="14"/>
    <s v="INCA KOLA VR 296MLX24 - STICKER"/>
    <n v="80"/>
    <n v="40"/>
    <n v="18.400000000000002"/>
  </r>
  <r>
    <x v="75"/>
    <s v="AGOSTO"/>
    <n v="36"/>
    <s v="SÁBADO"/>
    <x v="15"/>
    <s v="INCA KOLA VR 625MLX12 - STICKER"/>
    <n v="150"/>
    <n v="50"/>
    <n v="60"/>
  </r>
  <r>
    <x v="75"/>
    <s v="AGOSTO"/>
    <n v="36"/>
    <s v="SÁBADO"/>
    <x v="0"/>
    <s v="SAN LUIS SIN GAS PET2500X6 STICKER"/>
    <n v="288"/>
    <n v="48"/>
    <n v="115.2"/>
  </r>
  <r>
    <x v="75"/>
    <s v="AGOSTO"/>
    <n v="36"/>
    <s v="SÁBADO"/>
    <x v="8"/>
    <s v="INCA KOLA PET 1.5LX2 RF"/>
    <n v="1296"/>
    <n v="198"/>
    <n v="220.32000000000002"/>
  </r>
  <r>
    <x v="75"/>
    <s v="AGOSTO"/>
    <n v="36"/>
    <s v="SÁBADO"/>
    <x v="7"/>
    <s v="COCA-COLA PET 1.5LX2 RF"/>
    <n v="432"/>
    <n v="198"/>
    <n v="73.440000000000012"/>
  </r>
  <r>
    <x v="75"/>
    <s v="AGOSTO"/>
    <n v="36"/>
    <s v="SÁBADO"/>
    <x v="11"/>
    <s v="TRIPACK (CC+IK)PFM+FT PET 3LX3 - RFNN"/>
    <n v="1890"/>
    <n v="90"/>
    <n v="321.3"/>
  </r>
  <r>
    <x v="75"/>
    <s v="AGOSTO"/>
    <n v="36"/>
    <s v="SÁBADO"/>
    <x v="17"/>
    <s v="TWO PACK CC PFM 3LX2 - RFCC"/>
    <n v="360"/>
    <n v="120"/>
    <n v="61.2"/>
  </r>
  <r>
    <x v="75"/>
    <s v="AGOSTO"/>
    <n v="36"/>
    <s v="SÁBADO"/>
    <x v="23"/>
    <s v="TRIPACK CC+IK+IK PFM 3LX3 - RFNN"/>
    <n v="720"/>
    <n v="90"/>
    <n v="122.4"/>
  </r>
  <r>
    <x v="75"/>
    <s v="AGOSTO"/>
    <n v="36"/>
    <s v="SÁBADO"/>
    <x v="10"/>
    <s v="TWO PACK CC + IK PFM 3LX2 - RFNN"/>
    <n v="720"/>
    <n v="120"/>
    <n v="122.4"/>
  </r>
  <r>
    <x v="75"/>
    <s v="AGOSTO"/>
    <n v="36"/>
    <s v="SÁBADO"/>
    <x v="3"/>
    <s v="TWO PACK SCHWEPPES GINGER ALE PET 1.5LX2"/>
    <n v="396"/>
    <n v="198"/>
    <n v="67.320000000000007"/>
  </r>
  <r>
    <x v="75"/>
    <s v="AGOSTO"/>
    <n v="36"/>
    <s v="SÁBADO"/>
    <x v="2"/>
    <s v="INCA KOLA SIN AZUCAR PET 1.5LX2"/>
    <n v="2160"/>
    <n v="198"/>
    <n v="367.20000000000005"/>
  </r>
  <r>
    <x v="75"/>
    <s v="AGOSTO"/>
    <n v="36"/>
    <s v="SÁBADO"/>
    <x v="6"/>
    <s v="INCA KOLA PET 3LX2 - RF"/>
    <n v="240"/>
    <n v="120"/>
    <n v="40.800000000000004"/>
  </r>
  <r>
    <x v="76"/>
    <s v="AGOSTO"/>
    <n v="36"/>
    <s v="MARTES"/>
    <x v="23"/>
    <s v="TRIPACK CC+IK+IK PFM 3LX3 - RFNN"/>
    <n v="450"/>
    <n v="90"/>
    <n v="76.5"/>
  </r>
  <r>
    <x v="76"/>
    <s v="AGOSTO"/>
    <n v="36"/>
    <s v="MARTES"/>
    <x v="11"/>
    <s v="TRIPACK (CC+IK)PFM+FT PET 3LX3 - RFNN"/>
    <n v="1440"/>
    <n v="90"/>
    <n v="244.8"/>
  </r>
  <r>
    <x v="76"/>
    <s v="AGOSTO"/>
    <n v="36"/>
    <s v="MARTES"/>
    <x v="25"/>
    <s v="POWERADE 3MORA+3FRUT PET 473MLX6"/>
    <n v="900"/>
    <n v="225"/>
    <n v="378"/>
  </r>
  <r>
    <x v="76"/>
    <s v="AGOSTO"/>
    <n v="36"/>
    <s v="MARTES"/>
    <x v="24"/>
    <s v="MONSTER ENERGY 473MLX4"/>
    <n v="840"/>
    <n v="420"/>
    <n v="352.8"/>
  </r>
  <r>
    <x v="76"/>
    <s v="AGOSTO"/>
    <n v="36"/>
    <s v="MARTES"/>
    <x v="39"/>
    <s v="MONSTER ENERGY ZERO 473MLX4"/>
    <n v="840"/>
    <n v="420"/>
    <n v="352.8"/>
  </r>
  <r>
    <x v="76"/>
    <s v="AGOSTO"/>
    <n v="36"/>
    <s v="MARTES"/>
    <x v="32"/>
    <s v="MONSTER ENERGY ULTRA 473MLX4"/>
    <n v="2100"/>
    <n v="420"/>
    <n v="882"/>
  </r>
  <r>
    <x v="76"/>
    <s v="AGOSTO"/>
    <n v="36"/>
    <s v="MARTES"/>
    <x v="33"/>
    <s v="COCA COLA VR 296MLX24 - STICKER"/>
    <n v="40"/>
    <n v="40"/>
    <n v="9.2000000000000011"/>
  </r>
  <r>
    <x v="76"/>
    <s v="AGOSTO"/>
    <n v="36"/>
    <s v="MARTES"/>
    <x v="15"/>
    <s v="INCA KOLA VR 625MLX12 - STICKER"/>
    <n v="250"/>
    <n v="50"/>
    <n v="100"/>
  </r>
  <r>
    <x v="76"/>
    <s v="AGOSTO"/>
    <n v="36"/>
    <s v="MARTES"/>
    <x v="38"/>
    <s v="SL S/G TAPA PLANA 1LT"/>
    <n v="225"/>
    <n v="112"/>
    <n v="90"/>
  </r>
  <r>
    <x v="76"/>
    <s v="AGOSTO"/>
    <n v="36"/>
    <s v="MARTES"/>
    <x v="0"/>
    <s v="SAN LUIS SIN GAS PET2500X6 STICKER"/>
    <n v="480"/>
    <n v="48"/>
    <n v="192"/>
  </r>
  <r>
    <x v="76"/>
    <s v="AGOSTO"/>
    <n v="36"/>
    <s v="MARTES"/>
    <x v="16"/>
    <s v="SAN LUIS CON GAS PET 625MLX6"/>
    <n v="720"/>
    <n v="180"/>
    <n v="302.39999999999998"/>
  </r>
  <r>
    <x v="76"/>
    <s v="AGOSTO"/>
    <n v="36"/>
    <s v="MARTES"/>
    <x v="1"/>
    <s v="COCA-COLA SIN AZUCAR PET 1.5LX2"/>
    <n v="1728"/>
    <n v="198"/>
    <n v="293.76000000000005"/>
  </r>
  <r>
    <x v="76"/>
    <s v="AGOSTO"/>
    <n v="36"/>
    <s v="MARTES"/>
    <x v="2"/>
    <s v="INCA KOLA SIN AZUCAR PET 1.5LX2"/>
    <n v="432"/>
    <n v="198"/>
    <n v="73.440000000000012"/>
  </r>
  <r>
    <x v="76"/>
    <s v="AGOSTO"/>
    <n v="36"/>
    <s v="MARTES"/>
    <x v="3"/>
    <s v="TWO PACK SCHWEPPES GINGER ALE PET 1.5LX2"/>
    <n v="792"/>
    <n v="198"/>
    <n v="134.64000000000001"/>
  </r>
  <r>
    <x v="76"/>
    <s v="AGOSTO"/>
    <n v="36"/>
    <s v="MARTES"/>
    <x v="5"/>
    <s v="INCA KOLA PET 2.25LX2 RF"/>
    <n v="324"/>
    <n v="162"/>
    <n v="55.080000000000005"/>
  </r>
  <r>
    <x v="76"/>
    <s v="AGOSTO"/>
    <n v="36"/>
    <s v="MARTES"/>
    <x v="6"/>
    <s v="INCA KOLA PET 3LX2 - RF"/>
    <n v="240"/>
    <n v="120"/>
    <n v="40.800000000000004"/>
  </r>
  <r>
    <x v="76"/>
    <s v="AGOSTO"/>
    <n v="36"/>
    <s v="MARTES"/>
    <x v="17"/>
    <s v="TWO PACK CC PFM 3LX2 - RFCC"/>
    <n v="480"/>
    <n v="120"/>
    <n v="81.600000000000009"/>
  </r>
  <r>
    <x v="76"/>
    <s v="AGOSTO"/>
    <n v="36"/>
    <s v="MARTES"/>
    <x v="7"/>
    <s v="COCA-COLA PET 1.5LX2 RF"/>
    <n v="1080"/>
    <n v="198"/>
    <n v="183.60000000000002"/>
  </r>
  <r>
    <x v="76"/>
    <s v="AGOSTO"/>
    <n v="36"/>
    <s v="MARTES"/>
    <x v="8"/>
    <s v="INCA KOLA PET 1.5LX2 RF"/>
    <n v="1080"/>
    <n v="198"/>
    <n v="183.60000000000002"/>
  </r>
  <r>
    <x v="76"/>
    <s v="AGOSTO"/>
    <n v="36"/>
    <s v="MARTES"/>
    <x v="9"/>
    <s v="TRIPACK FT NAR+FT KI+SP PET 3L"/>
    <n v="1170"/>
    <n v="90"/>
    <n v="198.9"/>
  </r>
  <r>
    <x v="76"/>
    <s v="AGOSTO"/>
    <n v="36"/>
    <s v="MARTES"/>
    <x v="10"/>
    <s v="TWO PACK CC + IK PFM 3LX2 - RFNN"/>
    <n v="720"/>
    <n v="120"/>
    <n v="122.4"/>
  </r>
  <r>
    <x v="77"/>
    <s v="SETIEMBRE"/>
    <n v="36"/>
    <s v="MIÉRCOLES"/>
    <x v="8"/>
    <s v="INCA KOLA PET 1.5LX2 RF"/>
    <n v="1080"/>
    <n v="198"/>
    <n v="183.60000000000002"/>
  </r>
  <r>
    <x v="77"/>
    <s v="SETIEMBRE"/>
    <n v="36"/>
    <s v="MIÉRCOLES"/>
    <x v="11"/>
    <s v="TRIPACK (CC+IK)PFM+FT PET 3LX3 - RFNN"/>
    <n v="2160"/>
    <n v="90"/>
    <n v="367.20000000000005"/>
  </r>
  <r>
    <x v="77"/>
    <s v="SETIEMBRE"/>
    <n v="36"/>
    <s v="MIÉRCOLES"/>
    <x v="23"/>
    <s v="TRIPACK CC+IK+IK PFM 3LX3 - RFNN"/>
    <n v="450"/>
    <n v="90"/>
    <n v="76.5"/>
  </r>
  <r>
    <x v="77"/>
    <s v="SETIEMBRE"/>
    <n v="36"/>
    <s v="MIÉRCOLES"/>
    <x v="10"/>
    <s v="TWO PACK CC + IK PFM 3LX2 - RFNN"/>
    <n v="4080"/>
    <n v="120"/>
    <n v="693.6"/>
  </r>
  <r>
    <x v="77"/>
    <s v="SETIEMBRE"/>
    <n v="36"/>
    <s v="MIÉRCOLES"/>
    <x v="9"/>
    <s v="TRIPACK FT NAR+FT KI+SP PET 3L"/>
    <n v="900"/>
    <n v="90"/>
    <n v="153"/>
  </r>
  <r>
    <x v="77"/>
    <s v="SETIEMBRE"/>
    <n v="36"/>
    <s v="MIÉRCOLES"/>
    <x v="3"/>
    <s v="TWO PACK SCHWEPPES GINGER ALE PET 1.5LX2"/>
    <n v="396"/>
    <n v="198"/>
    <n v="67.320000000000007"/>
  </r>
  <r>
    <x v="77"/>
    <s v="SETIEMBRE"/>
    <n v="36"/>
    <s v="MIÉRCOLES"/>
    <x v="20"/>
    <s v="TRIPACK (FT NAR+SP)PET+IK RF PFM 3L"/>
    <n v="720"/>
    <n v="90"/>
    <n v="122.4"/>
  </r>
  <r>
    <x v="77"/>
    <s v="SETIEMBRE"/>
    <n v="36"/>
    <s v="MIÉRCOLES"/>
    <x v="20"/>
    <s v="TRIPACK (FT NAR+SP)PET+IK RF PFM 3L"/>
    <n v="270"/>
    <n v="90"/>
    <n v="45.900000000000006"/>
  </r>
  <r>
    <x v="77"/>
    <s v="SETIEMBRE"/>
    <n v="36"/>
    <s v="MIÉRCOLES"/>
    <x v="2"/>
    <s v="INCA KOLA SIN AZUCAR PET 1.5LX2"/>
    <n v="1296"/>
    <n v="198"/>
    <n v="220.32000000000002"/>
  </r>
  <r>
    <x v="77"/>
    <s v="SETIEMBRE"/>
    <n v="36"/>
    <s v="MIÉRCOLES"/>
    <x v="1"/>
    <s v="COCA-COLA SIN AZUCAR PET 1.5LX2"/>
    <n v="1728"/>
    <n v="198"/>
    <n v="293.76000000000005"/>
  </r>
  <r>
    <x v="77"/>
    <s v="SETIEMBRE"/>
    <n v="36"/>
    <s v="MIÉRCOLES"/>
    <x v="32"/>
    <s v="MONSTER ENERGY ULTRA 473MLX4"/>
    <n v="420"/>
    <n v="420"/>
    <n v="176.4"/>
  </r>
  <r>
    <x v="77"/>
    <s v="SETIEMBRE"/>
    <n v="36"/>
    <s v="MIÉRCOLES"/>
    <x v="32"/>
    <s v="MONSTER ENERGY ULTRA 473MLX4"/>
    <n v="420"/>
    <n v="420"/>
    <n v="176.4"/>
  </r>
  <r>
    <x v="77"/>
    <s v="SETIEMBRE"/>
    <n v="36"/>
    <s v="MIÉRCOLES"/>
    <x v="32"/>
    <s v="MONSTER ENERGY ULTRA 473MLX4"/>
    <n v="840"/>
    <n v="420"/>
    <n v="352.8"/>
  </r>
  <r>
    <x v="77"/>
    <s v="SETIEMBRE"/>
    <n v="36"/>
    <s v="MIÉRCOLES"/>
    <x v="0"/>
    <s v="SAN LUIS SIN GAS PET2500X6 STICKER"/>
    <n v="96"/>
    <n v="48"/>
    <n v="38.400000000000006"/>
  </r>
  <r>
    <x v="77"/>
    <s v="SETIEMBRE"/>
    <n v="36"/>
    <s v="MIÉRCOLES"/>
    <x v="0"/>
    <s v="SAN LUIS SIN GAS PET2500X6 STICKER"/>
    <n v="192"/>
    <n v="48"/>
    <n v="76.800000000000011"/>
  </r>
  <r>
    <x v="77"/>
    <s v="SETIEMBRE"/>
    <n v="36"/>
    <s v="MIÉRCOLES"/>
    <x v="7"/>
    <s v="COCA-COLA PET 1.5LX2 RF"/>
    <n v="432"/>
    <n v="198"/>
    <n v="73.440000000000012"/>
  </r>
  <r>
    <x v="77"/>
    <s v="SETIEMBRE"/>
    <n v="36"/>
    <s v="MIÉRCOLES"/>
    <x v="15"/>
    <s v="INCA KOLA VR 625MLX12 - STICKER"/>
    <n v="200"/>
    <n v="50"/>
    <n v="80"/>
  </r>
  <r>
    <x v="77"/>
    <s v="SETIEMBRE"/>
    <n v="36"/>
    <s v="MIÉRCOLES"/>
    <x v="26"/>
    <s v="TRIPACK CC+CC+IK PFM 3LX3 - RFNN"/>
    <n v="450"/>
    <n v="90"/>
    <n v="76.5"/>
  </r>
  <r>
    <x v="77"/>
    <s v="SETIEMBRE"/>
    <n v="36"/>
    <s v="MIÉRCOLES"/>
    <x v="17"/>
    <s v="TWO PACK CC PFM 3LX2 - RFCC"/>
    <n v="360"/>
    <n v="120"/>
    <n v="61.2"/>
  </r>
  <r>
    <x v="77"/>
    <s v="SETIEMBRE"/>
    <n v="36"/>
    <s v="MIÉRCOLES"/>
    <x v="5"/>
    <s v="INCA KOLA PET 2.25LX2 RF"/>
    <n v="162"/>
    <n v="162"/>
    <n v="27.540000000000003"/>
  </r>
  <r>
    <x v="77"/>
    <s v="SETIEMBRE"/>
    <n v="36"/>
    <s v="MIÉRCOLES"/>
    <x v="6"/>
    <s v="INCA KOLA PET 3LX2 - RF"/>
    <n v="1080"/>
    <n v="120"/>
    <n v="183.60000000000002"/>
  </r>
  <r>
    <x v="77"/>
    <s v="SETIEMBRE"/>
    <n v="36"/>
    <s v="MIÉRCOLES"/>
    <x v="25"/>
    <s v="POWERADE 3MORA+3FRUT PET 473MLX6"/>
    <n v="450"/>
    <n v="225"/>
    <n v="189"/>
  </r>
  <r>
    <x v="77"/>
    <s v="SETIEMBRE"/>
    <n v="36"/>
    <s v="MIÉRCOLES"/>
    <x v="4"/>
    <s v="COCA-COLA PET 2.25LX2 RF"/>
    <n v="486"/>
    <n v="162"/>
    <n v="82.62"/>
  </r>
  <r>
    <x v="77"/>
    <s v="SETIEMBRE"/>
    <n v="36"/>
    <s v="MIÉRCOLES"/>
    <x v="35"/>
    <s v="SAN LUIS SIN GAS PET 625MLX06 MOD"/>
    <n v="360"/>
    <n v="180"/>
    <n v="151.19999999999999"/>
  </r>
  <r>
    <x v="77"/>
    <s v="SETIEMBRE"/>
    <n v="36"/>
    <s v="MIÉRCOLES"/>
    <x v="38"/>
    <s v="SL S/G TAPA PLANA 1LT"/>
    <n v="112"/>
    <n v="112"/>
    <n v="44.800000000000004"/>
  </r>
  <r>
    <x v="77"/>
    <s v="SETIEMBRE"/>
    <n v="36"/>
    <s v="MIÉRCOLES"/>
    <x v="24"/>
    <s v="MONSTER ENERGY 473MLX4"/>
    <n v="420"/>
    <n v="420"/>
    <n v="176.4"/>
  </r>
  <r>
    <x v="77"/>
    <s v="SETIEMBRE"/>
    <n v="36"/>
    <s v="MIÉRCOLES"/>
    <x v="12"/>
    <s v="POWERADE ION4 FRUTA PET473X6 MOD (STICK)"/>
    <n v="450"/>
    <n v="225"/>
    <n v="180"/>
  </r>
  <r>
    <x v="78"/>
    <s v="SETIEMBRE"/>
    <n v="36"/>
    <s v="JUEVES"/>
    <x v="28"/>
    <s v="COCA COLA VR 1.5LX8 - STICKER"/>
    <n v="60"/>
    <n v="30"/>
    <n v="13.8"/>
  </r>
  <r>
    <x v="78"/>
    <s v="SETIEMBRE"/>
    <n v="36"/>
    <s v="JUEVES"/>
    <x v="40"/>
    <s v="SAN LUIS SPORT S/G 10 Lt x6 "/>
    <n v="112"/>
    <n v="240"/>
    <n v="44.800000000000004"/>
  </r>
  <r>
    <x v="78"/>
    <s v="SETIEMBRE"/>
    <n v="36"/>
    <s v="JUEVES"/>
    <x v="38"/>
    <s v="SL S/G TAPA PLANA 1LT"/>
    <n v="224"/>
    <n v="112"/>
    <n v="89.600000000000009"/>
  </r>
  <r>
    <x v="78"/>
    <s v="SETIEMBRE"/>
    <n v="36"/>
    <s v="JUEVES"/>
    <x v="17"/>
    <s v="TWO PACK CC PFM 3LX2 - RFCC"/>
    <n v="480"/>
    <n v="120"/>
    <n v="81.600000000000009"/>
  </r>
  <r>
    <x v="78"/>
    <s v="SETIEMBRE"/>
    <n v="36"/>
    <s v="JUEVES"/>
    <x v="25"/>
    <s v="POWERADE 3MORA+3FRUT PET 473MLX6"/>
    <n v="450"/>
    <n v="225"/>
    <n v="189"/>
  </r>
  <r>
    <x v="78"/>
    <s v="SETIEMBRE"/>
    <n v="36"/>
    <s v="JUEVES"/>
    <x v="35"/>
    <s v="SAN LUIS SIN GAS PET 625MLX06 MOD"/>
    <n v="180"/>
    <n v="180"/>
    <n v="75.599999999999994"/>
  </r>
  <r>
    <x v="78"/>
    <s v="SETIEMBRE"/>
    <n v="36"/>
    <s v="JUEVES"/>
    <x v="26"/>
    <s v="TRIPACK CC+CC+IK PFM 3LX3 - RFNN"/>
    <n v="450"/>
    <n v="90"/>
    <n v="76.5"/>
  </r>
  <r>
    <x v="78"/>
    <s v="SETIEMBRE"/>
    <n v="36"/>
    <s v="JUEVES"/>
    <x v="10"/>
    <s v="TWO PACK CC + IK PFM 3LX2 - RFNN"/>
    <n v="1440"/>
    <n v="120"/>
    <n v="244.8"/>
  </r>
  <r>
    <x v="78"/>
    <s v="SETIEMBRE"/>
    <n v="36"/>
    <s v="JUEVES"/>
    <x v="22"/>
    <s v="TWO PACK SCHWEPPES CITRUS PET 1.5LX2"/>
    <n v="2772"/>
    <n v="198"/>
    <n v="471.24"/>
  </r>
  <r>
    <x v="78"/>
    <s v="SETIEMBRE"/>
    <n v="36"/>
    <s v="JUEVES"/>
    <x v="4"/>
    <s v="COCA-COLA PET 2.25LX2 RF"/>
    <n v="648"/>
    <n v="162"/>
    <n v="110.16000000000001"/>
  </r>
  <r>
    <x v="78"/>
    <s v="SETIEMBRE"/>
    <n v="36"/>
    <s v="JUEVES"/>
    <x v="6"/>
    <s v="INCA KOLA PET 3LX2 - RF"/>
    <n v="960"/>
    <n v="120"/>
    <n v="163.20000000000002"/>
  </r>
  <r>
    <x v="78"/>
    <s v="SETIEMBRE"/>
    <n v="36"/>
    <s v="JUEVES"/>
    <x v="1"/>
    <s v="COCA-COLA SIN AZUCAR PET 1.5LX2"/>
    <n v="2160"/>
    <n v="198"/>
    <n v="367.20000000000005"/>
  </r>
  <r>
    <x v="78"/>
    <s v="SETIEMBRE"/>
    <n v="36"/>
    <s v="JUEVES"/>
    <x v="7"/>
    <s v="COCA-COLA PET 1.5LX2 RF"/>
    <n v="2160"/>
    <n v="198"/>
    <n v="367.20000000000005"/>
  </r>
  <r>
    <x v="78"/>
    <s v="SETIEMBRE"/>
    <n v="36"/>
    <s v="JUEVES"/>
    <x v="13"/>
    <s v="INCA KOLA VR 1.5LX8 - STICKER"/>
    <n v="60"/>
    <n v="30"/>
    <n v="24"/>
  </r>
  <r>
    <x v="78"/>
    <s v="SETIEMBRE"/>
    <n v="36"/>
    <s v="JUEVES"/>
    <x v="42"/>
    <s v="FANTA NARANJA PET 500MLX6 BRANDEADO MOD"/>
    <n v="500"/>
    <n v="420"/>
    <n v="210"/>
  </r>
  <r>
    <x v="78"/>
    <s v="SETIEMBRE"/>
    <n v="36"/>
    <s v="JUEVES"/>
    <x v="39"/>
    <s v="MONSTER ENERGY ZERO 473MLX4"/>
    <n v="840"/>
    <n v="420"/>
    <n v="352.8"/>
  </r>
  <r>
    <x v="78"/>
    <s v="SETIEMBRE"/>
    <n v="36"/>
    <s v="JUEVES"/>
    <x v="22"/>
    <s v="TWO PACK SCHWEPPES CITRUS PET 1.5LX2"/>
    <n v="792"/>
    <n v="198"/>
    <n v="134.64000000000001"/>
  </r>
  <r>
    <x v="79"/>
    <s v="SETIEMBRE"/>
    <n v="36"/>
    <s v="VIERNES"/>
    <x v="10"/>
    <s v="TWO PACK CC + IK PFM 3LX2 - RFNN"/>
    <n v="720"/>
    <n v="120"/>
    <n v="122.4"/>
  </r>
  <r>
    <x v="79"/>
    <s v="SETIEMBRE"/>
    <n v="36"/>
    <s v="VIERNES"/>
    <x v="7"/>
    <s v="COCA-COLA PET 1.5LX2 RF"/>
    <n v="864"/>
    <n v="198"/>
    <n v="146.88000000000002"/>
  </r>
  <r>
    <x v="79"/>
    <s v="SETIEMBRE"/>
    <n v="36"/>
    <s v="VIERNES"/>
    <x v="15"/>
    <s v="INCA KOLA VR 625MLX12 - STICKER"/>
    <n v="300"/>
    <n v="50"/>
    <n v="120"/>
  </r>
  <r>
    <x v="79"/>
    <s v="SETIEMBRE"/>
    <n v="36"/>
    <s v="VIERNES"/>
    <x v="38"/>
    <s v="SL S/G TAPA PLANA 1LT"/>
    <n v="336"/>
    <n v="112"/>
    <n v="134.4"/>
  </r>
  <r>
    <x v="79"/>
    <s v="SETIEMBRE"/>
    <n v="36"/>
    <s v="VIERNES"/>
    <x v="32"/>
    <s v="MONSTER ENERGY ULTRA 473MLX4"/>
    <n v="840"/>
    <n v="420"/>
    <n v="352.8"/>
  </r>
  <r>
    <x v="79"/>
    <s v="SETIEMBRE"/>
    <n v="36"/>
    <s v="VIERNES"/>
    <x v="17"/>
    <s v="TWO PACK CC PFM 3LX2 - RFCC"/>
    <n v="240"/>
    <n v="120"/>
    <n v="40.800000000000004"/>
  </r>
  <r>
    <x v="79"/>
    <s v="SETIEMBRE"/>
    <n v="36"/>
    <s v="VIERNES"/>
    <x v="1"/>
    <s v="COCA-COLA SIN AZUCAR PET 1.5LX2"/>
    <n v="2160"/>
    <n v="198"/>
    <n v="367.20000000000005"/>
  </r>
  <r>
    <x v="79"/>
    <s v="SETIEMBRE"/>
    <n v="36"/>
    <s v="VIERNES"/>
    <x v="22"/>
    <s v="TWO PACK SCHWEPPES CITRUS PET 1.5LX2"/>
    <n v="1188"/>
    <n v="198"/>
    <n v="201.96"/>
  </r>
  <r>
    <x v="79"/>
    <s v="SETIEMBRE"/>
    <n v="36"/>
    <s v="VIERNES"/>
    <x v="4"/>
    <s v="COCA-COLA PET 2.25LX2 RF"/>
    <n v="972"/>
    <n v="162"/>
    <n v="165.24"/>
  </r>
  <r>
    <x v="79"/>
    <s v="SETIEMBRE"/>
    <n v="36"/>
    <s v="VIERNES"/>
    <x v="26"/>
    <s v="TRIPACK CC+CC+IK PFM 3LX3 - RFNN"/>
    <n v="180"/>
    <n v="90"/>
    <n v="30.6"/>
  </r>
  <r>
    <x v="79"/>
    <s v="SETIEMBRE"/>
    <n v="36"/>
    <s v="VIERNES"/>
    <x v="6"/>
    <s v="INCA KOLA PET 3LX2 - RF"/>
    <n v="360"/>
    <n v="120"/>
    <n v="61.2"/>
  </r>
  <r>
    <x v="79"/>
    <s v="SETIEMBRE"/>
    <n v="36"/>
    <s v="VIERNES"/>
    <x v="11"/>
    <s v="TRIPACK (CC+IK)PFM+FT PET 3LX3 - RFNN"/>
    <n v="720"/>
    <n v="90"/>
    <n v="122.4"/>
  </r>
  <r>
    <x v="79"/>
    <s v="SETIEMBRE"/>
    <n v="36"/>
    <s v="VIERNES"/>
    <x v="25"/>
    <s v="POWERADE 3MORA+3FRUT PET 473MLX6"/>
    <n v="900"/>
    <n v="225"/>
    <n v="378"/>
  </r>
  <r>
    <x v="79"/>
    <s v="SETIEMBRE"/>
    <n v="36"/>
    <s v="VIERNES"/>
    <x v="12"/>
    <s v="POWERADE ION4 FRUTA PET473X6 MOD (STICK)"/>
    <n v="450"/>
    <n v="225"/>
    <n v="180"/>
  </r>
  <r>
    <x v="79"/>
    <s v="SETIEMBRE"/>
    <n v="36"/>
    <s v="VIERNES"/>
    <x v="13"/>
    <s v="INCA KOLA VR 1.5LX8 - STICKER"/>
    <n v="90"/>
    <n v="30"/>
    <n v="36"/>
  </r>
  <r>
    <x v="79"/>
    <s v="SETIEMBRE"/>
    <n v="36"/>
    <s v="VIERNES"/>
    <x v="14"/>
    <s v="INCA KOLA VR 296MLX24 - STICKER"/>
    <n v="80"/>
    <n v="40"/>
    <n v="18.400000000000002"/>
  </r>
  <r>
    <x v="79"/>
    <s v="SETIEMBRE"/>
    <n v="36"/>
    <s v="VIERNES"/>
    <x v="40"/>
    <s v="SAN LUIS SPORT S/G 10 Lt x6 "/>
    <n v="112"/>
    <n v="240"/>
    <n v="44.800000000000004"/>
  </r>
  <r>
    <x v="79"/>
    <s v="SETIEMBRE"/>
    <n v="36"/>
    <s v="VIERNES"/>
    <x v="28"/>
    <s v="COCA COLA VR 1.5LX8 - STICKER"/>
    <n v="90"/>
    <n v="30"/>
    <n v="20.7"/>
  </r>
  <r>
    <x v="79"/>
    <s v="SETIEMBRE"/>
    <n v="36"/>
    <s v="VIERNES"/>
    <x v="16"/>
    <s v="SAN LUIS CON GAS PET 625MLX6"/>
    <n v="180"/>
    <n v="180"/>
    <n v="75.599999999999994"/>
  </r>
  <r>
    <x v="79"/>
    <s v="SETIEMBRE"/>
    <n v="36"/>
    <s v="VIERNES"/>
    <x v="16"/>
    <s v="SAN LUIS CON GAS PET 625MLX6"/>
    <n v="180"/>
    <n v="180"/>
    <n v="75.599999999999994"/>
  </r>
  <r>
    <x v="79"/>
    <s v="SETIEMBRE"/>
    <n v="36"/>
    <s v="VIERNES"/>
    <x v="33"/>
    <s v="COCA COLA VR 296MLX24 - STICKER"/>
    <n v="120"/>
    <n v="40"/>
    <n v="27.6"/>
  </r>
  <r>
    <x v="80"/>
    <s v="SETIEMBRE"/>
    <n v="37"/>
    <s v="SÁBADO"/>
    <x v="22"/>
    <s v="TWO PACK SCHWEPPES CITRUS PET 1.5LX2"/>
    <n v="792"/>
    <n v="198"/>
    <n v="134.64000000000001"/>
  </r>
  <r>
    <x v="80"/>
    <s v="SETIEMBRE"/>
    <n v="37"/>
    <s v="SÁBADO"/>
    <x v="7"/>
    <s v="COCA-COLA PET 1.5LX2 RF"/>
    <n v="864"/>
    <n v="198"/>
    <n v="146.88000000000002"/>
  </r>
  <r>
    <x v="80"/>
    <s v="SETIEMBRE"/>
    <n v="37"/>
    <s v="SÁBADO"/>
    <x v="2"/>
    <s v="INCA KOLA SIN AZUCAR PET 1.5LX2"/>
    <n v="4320"/>
    <n v="198"/>
    <n v="734.40000000000009"/>
  </r>
  <r>
    <x v="80"/>
    <s v="SETIEMBRE"/>
    <n v="37"/>
    <s v="SÁBADO"/>
    <x v="1"/>
    <s v="COCA-COLA SIN AZUCAR PET 1.5LX2"/>
    <n v="1296"/>
    <n v="198"/>
    <n v="220.32000000000002"/>
  </r>
  <r>
    <x v="80"/>
    <s v="SETIEMBRE"/>
    <n v="37"/>
    <s v="SÁBADO"/>
    <x v="10"/>
    <s v="TWO PACK CC + IK PFM 3LX2 - RFNN"/>
    <n v="720"/>
    <n v="120"/>
    <n v="122.4"/>
  </r>
  <r>
    <x v="80"/>
    <s v="SETIEMBRE"/>
    <n v="37"/>
    <s v="SÁBADO"/>
    <x v="11"/>
    <s v="TRIPACK (CC+IK)PFM+FT PET 3LX3 - RFNN"/>
    <n v="2160"/>
    <n v="90"/>
    <n v="367.20000000000005"/>
  </r>
  <r>
    <x v="80"/>
    <s v="SETIEMBRE"/>
    <n v="37"/>
    <s v="SÁBADO"/>
    <x v="6"/>
    <s v="INCA KOLA PET 3LX2 - RF"/>
    <n v="360"/>
    <n v="120"/>
    <n v="61.2"/>
  </r>
  <r>
    <x v="80"/>
    <s v="SETIEMBRE"/>
    <n v="37"/>
    <s v="SÁBADO"/>
    <x v="3"/>
    <s v="TWO PACK SCHWEPPES GINGER ALE PET 1.5LX2"/>
    <n v="1188"/>
    <n v="198"/>
    <n v="201.96"/>
  </r>
  <r>
    <x v="80"/>
    <s v="SETIEMBRE"/>
    <n v="37"/>
    <s v="SÁBADO"/>
    <x v="25"/>
    <s v="POWERADE 3MORA+3FRUT PET 473MLX6"/>
    <n v="900"/>
    <n v="225"/>
    <n v="378"/>
  </r>
  <r>
    <x v="80"/>
    <s v="SETIEMBRE"/>
    <n v="37"/>
    <s v="SÁBADO"/>
    <x v="38"/>
    <s v="SL S/G TAPA PLANA 1LT"/>
    <n v="224"/>
    <n v="112"/>
    <n v="89.600000000000009"/>
  </r>
  <r>
    <x v="80"/>
    <s v="SETIEMBRE"/>
    <n v="37"/>
    <s v="SÁBADO"/>
    <x v="15"/>
    <s v="INCA KOLA VR 625MLX12 - STICKER"/>
    <n v="150"/>
    <n v="50"/>
    <n v="60"/>
  </r>
  <r>
    <x v="80"/>
    <s v="SETIEMBRE"/>
    <n v="37"/>
    <s v="SÁBADO"/>
    <x v="5"/>
    <s v="INCA KOLA PET 2.25LX2 RF"/>
    <n v="324"/>
    <n v="162"/>
    <n v="55.080000000000005"/>
  </r>
  <r>
    <x v="80"/>
    <s v="SETIEMBRE"/>
    <n v="37"/>
    <s v="SÁBADO"/>
    <x v="33"/>
    <s v="COCA COLA VR 296MLX24 - STICKER"/>
    <n v="80"/>
    <n v="40"/>
    <n v="18.400000000000002"/>
  </r>
  <r>
    <x v="80"/>
    <s v="SETIEMBRE"/>
    <n v="37"/>
    <s v="SÁBADO"/>
    <x v="13"/>
    <s v="INCA KOLA VR 1.5LX8 - STICKER"/>
    <n v="90"/>
    <n v="30"/>
    <n v="36"/>
  </r>
  <r>
    <x v="80"/>
    <s v="SETIEMBRE"/>
    <n v="37"/>
    <s v="SÁBADO"/>
    <x v="14"/>
    <s v="INCA KOLA VR 296MLX24 - STICKER"/>
    <n v="80"/>
    <n v="40"/>
    <n v="18.400000000000002"/>
  </r>
  <r>
    <x v="80"/>
    <s v="SETIEMBRE"/>
    <n v="37"/>
    <s v="SÁBADO"/>
    <x v="39"/>
    <s v="MONSTER ENERGY ZERO 473MLX4"/>
    <n v="420"/>
    <n v="420"/>
    <n v="176.4"/>
  </r>
  <r>
    <x v="81"/>
    <s v="SETIEMBRE"/>
    <n v="37"/>
    <s v="LUNES"/>
    <x v="8"/>
    <s v="INCA KOLA PET 1.5LX2 RF"/>
    <n v="216"/>
    <n v="198"/>
    <n v="36.720000000000006"/>
  </r>
  <r>
    <x v="81"/>
    <s v="SETIEMBRE"/>
    <n v="37"/>
    <s v="LUNES"/>
    <x v="17"/>
    <s v="TWO PACK CC PFM 3LX2 - RFCC"/>
    <n v="240"/>
    <n v="120"/>
    <n v="40.800000000000004"/>
  </r>
  <r>
    <x v="81"/>
    <s v="SETIEMBRE"/>
    <n v="37"/>
    <s v="LUNES"/>
    <x v="6"/>
    <s v="INCA KOLA PET 3LX2 - RF"/>
    <n v="480"/>
    <n v="120"/>
    <n v="81.600000000000009"/>
  </r>
  <r>
    <x v="81"/>
    <s v="SETIEMBRE"/>
    <n v="37"/>
    <s v="LUNES"/>
    <x v="1"/>
    <s v="COCA-COLA SIN AZUCAR PET 1.5LX2"/>
    <n v="864"/>
    <n v="198"/>
    <n v="146.88000000000002"/>
  </r>
  <r>
    <x v="81"/>
    <s v="SETIEMBRE"/>
    <n v="37"/>
    <s v="LUNES"/>
    <x v="26"/>
    <s v="TRIPACK CC+CC+IK PFM 3LX3 - RFNN"/>
    <n v="450"/>
    <n v="90"/>
    <n v="76.5"/>
  </r>
  <r>
    <x v="81"/>
    <s v="SETIEMBRE"/>
    <n v="37"/>
    <s v="LUNES"/>
    <x v="11"/>
    <s v="TRIPACK (CC+IK)PFM+FT PET 3LX3 - RFNN"/>
    <n v="1260"/>
    <n v="90"/>
    <n v="214.20000000000002"/>
  </r>
  <r>
    <x v="81"/>
    <s v="SETIEMBRE"/>
    <n v="37"/>
    <s v="LUNES"/>
    <x v="20"/>
    <s v="TRIPACK (FT NAR+SP)PET+IK RF PFM 3L"/>
    <n v="180"/>
    <n v="90"/>
    <n v="30.6"/>
  </r>
  <r>
    <x v="81"/>
    <s v="SETIEMBRE"/>
    <n v="37"/>
    <s v="LUNES"/>
    <x v="10"/>
    <s v="TWO PACK CC + IK PFM 3LX2 - RFNN"/>
    <n v="720"/>
    <n v="120"/>
    <n v="122.4"/>
  </r>
  <r>
    <x v="81"/>
    <s v="SETIEMBRE"/>
    <n v="37"/>
    <s v="LUNES"/>
    <x v="3"/>
    <s v="TWO PACK SCHWEPPES GINGER ALE PET 1.5LX2"/>
    <n v="1188"/>
    <n v="198"/>
    <n v="201.96"/>
  </r>
  <r>
    <x v="81"/>
    <s v="SETIEMBRE"/>
    <n v="37"/>
    <s v="LUNES"/>
    <x v="4"/>
    <s v="COCA-COLA PET 2.25LX2 RF"/>
    <n v="648"/>
    <n v="162"/>
    <n v="110.16000000000001"/>
  </r>
  <r>
    <x v="81"/>
    <s v="SETIEMBRE"/>
    <n v="37"/>
    <s v="LUNES"/>
    <x v="16"/>
    <s v="SAN LUIS CON GAS PET 625MLX6"/>
    <n v="180"/>
    <n v="180"/>
    <n v="75.599999999999994"/>
  </r>
  <r>
    <x v="81"/>
    <s v="SETIEMBRE"/>
    <n v="37"/>
    <s v="LUNES"/>
    <x v="0"/>
    <s v="SAN LUIS SIN GAS PET2500X6 STICKER"/>
    <n v="144"/>
    <n v="48"/>
    <n v="57.6"/>
  </r>
  <r>
    <x v="81"/>
    <s v="SETIEMBRE"/>
    <n v="37"/>
    <s v="LUNES"/>
    <x v="39"/>
    <s v="MONSTER ENERGY ZERO 473MLX4"/>
    <n v="420"/>
    <n v="420"/>
    <n v="176.4"/>
  </r>
  <r>
    <x v="81"/>
    <s v="SETIEMBRE"/>
    <n v="37"/>
    <s v="LUNES"/>
    <x v="19"/>
    <s v="POWERADE ION4 MORA AZ PET473X6 MOD(STCK)"/>
    <n v="225"/>
    <n v="225"/>
    <n v="90"/>
  </r>
  <r>
    <x v="81"/>
    <s v="SETIEMBRE"/>
    <n v="37"/>
    <s v="LUNES"/>
    <x v="13"/>
    <s v="INCA KOLA VR 1.5LX8 - STICKER"/>
    <n v="30"/>
    <n v="30"/>
    <n v="12"/>
  </r>
  <r>
    <x v="81"/>
    <s v="SETIEMBRE"/>
    <n v="37"/>
    <s v="LUNES"/>
    <x v="28"/>
    <s v="COCA COLA VR 1.5LX8 - STICKER"/>
    <n v="60"/>
    <n v="30"/>
    <n v="13.8"/>
  </r>
  <r>
    <x v="81"/>
    <s v="SETIEMBRE"/>
    <n v="37"/>
    <s v="LUNES"/>
    <x v="2"/>
    <s v="INCA KOLA SIN AZUCAR PET 1.5LX2"/>
    <n v="1296"/>
    <n v="198"/>
    <n v="220.32000000000002"/>
  </r>
  <r>
    <x v="81"/>
    <s v="SETIEMBRE"/>
    <n v="37"/>
    <s v="LUNES"/>
    <x v="7"/>
    <s v="COCA-COLA PET 1.5LX2 RF"/>
    <n v="864"/>
    <n v="198"/>
    <n v="146.88000000000002"/>
  </r>
  <r>
    <x v="81"/>
    <s v="SETIEMBRE"/>
    <n v="37"/>
    <s v="LUNES"/>
    <x v="22"/>
    <s v="TWO PACK SCHWEPPES CITRUS PET 1.5LX2"/>
    <n v="792"/>
    <n v="198"/>
    <n v="134.64000000000001"/>
  </r>
  <r>
    <x v="81"/>
    <s v="SETIEMBRE"/>
    <n v="37"/>
    <s v="LUNES"/>
    <x v="44"/>
    <s v="INCA KOLA SA ALUMINIO-3 DISEÑOS 330MLX12"/>
    <n v="250"/>
    <n v="420"/>
    <n v="105"/>
  </r>
  <r>
    <x v="82"/>
    <s v="SETIEMBRE"/>
    <n v="37"/>
    <s v="MARTES"/>
    <x v="26"/>
    <s v="TRIPACK CC+CC+IK PFM 3LX3 - RFNN"/>
    <n v="450"/>
    <n v="90"/>
    <n v="76.5"/>
  </r>
  <r>
    <x v="82"/>
    <s v="SETIEMBRE"/>
    <n v="37"/>
    <s v="MARTES"/>
    <x v="11"/>
    <s v="TRIPACK (CC+IK)PFM+FT PET 3LX3 - RFNN"/>
    <n v="720"/>
    <n v="90"/>
    <n v="122.4"/>
  </r>
  <r>
    <x v="82"/>
    <s v="SETIEMBRE"/>
    <n v="37"/>
    <s v="MARTES"/>
    <x v="10"/>
    <s v="TWO PACK CC + IK PFM 3LX2 - RFNN"/>
    <n v="720"/>
    <n v="120"/>
    <n v="122.4"/>
  </r>
  <r>
    <x v="82"/>
    <s v="SETIEMBRE"/>
    <n v="37"/>
    <s v="MARTES"/>
    <x v="17"/>
    <s v="TWO PACK CC PFM 3LX2 - RFCC"/>
    <n v="240"/>
    <n v="120"/>
    <n v="40.800000000000004"/>
  </r>
  <r>
    <x v="82"/>
    <s v="SETIEMBRE"/>
    <n v="37"/>
    <s v="MARTES"/>
    <x v="2"/>
    <s v="INCA KOLA SIN AZUCAR PET 1.5LX2"/>
    <n v="864"/>
    <n v="198"/>
    <n v="146.88000000000002"/>
  </r>
  <r>
    <x v="82"/>
    <s v="SETIEMBRE"/>
    <n v="37"/>
    <s v="MARTES"/>
    <x v="6"/>
    <s v="INCA KOLA PET 3LX2 - RF"/>
    <n v="480"/>
    <n v="120"/>
    <n v="81.600000000000009"/>
  </r>
  <r>
    <x v="82"/>
    <s v="SETIEMBRE"/>
    <n v="37"/>
    <s v="MARTES"/>
    <x v="22"/>
    <s v="TWO PACK SCHWEPPES CITRUS PET 1.5LX2"/>
    <n v="1188"/>
    <n v="198"/>
    <n v="201.96"/>
  </r>
  <r>
    <x v="82"/>
    <s v="SETIEMBRE"/>
    <n v="37"/>
    <s v="MARTES"/>
    <x v="3"/>
    <s v="TWO PACK SCHWEPPES GINGER ALE PET 1.5LX2"/>
    <n v="792"/>
    <n v="198"/>
    <n v="134.64000000000001"/>
  </r>
  <r>
    <x v="82"/>
    <s v="SETIEMBRE"/>
    <n v="37"/>
    <s v="MARTES"/>
    <x v="7"/>
    <s v="COCA-COLA PET 1.5LX2 RF"/>
    <n v="864"/>
    <n v="198"/>
    <n v="146.88000000000002"/>
  </r>
  <r>
    <x v="82"/>
    <s v="SETIEMBRE"/>
    <n v="37"/>
    <s v="MARTES"/>
    <x v="8"/>
    <s v="INCA KOLA PET 1.5LX2 RF"/>
    <n v="864"/>
    <n v="198"/>
    <n v="146.88000000000002"/>
  </r>
  <r>
    <x v="82"/>
    <s v="SETIEMBRE"/>
    <n v="37"/>
    <s v="MARTES"/>
    <x v="0"/>
    <s v="SAN LUIS SIN GAS PET2500X6 STICKER"/>
    <n v="624"/>
    <n v="48"/>
    <n v="249.60000000000002"/>
  </r>
  <r>
    <x v="82"/>
    <s v="SETIEMBRE"/>
    <n v="37"/>
    <s v="MARTES"/>
    <x v="0"/>
    <s v="SAN LUIS SIN GAS PET2500X6 STICKER"/>
    <n v="48"/>
    <n v="48"/>
    <n v="19.200000000000003"/>
  </r>
  <r>
    <x v="82"/>
    <s v="SETIEMBRE"/>
    <n v="37"/>
    <s v="MARTES"/>
    <x v="14"/>
    <s v="INCA KOLA VR 296MLX24 - STICKER"/>
    <n v="40"/>
    <n v="40"/>
    <n v="9.2000000000000011"/>
  </r>
  <r>
    <x v="82"/>
    <s v="SETIEMBRE"/>
    <n v="37"/>
    <s v="MARTES"/>
    <x v="13"/>
    <s v="INCA KOLA VR 1.5LX8 - STICKER"/>
    <n v="60"/>
    <n v="30"/>
    <n v="24"/>
  </r>
  <r>
    <x v="82"/>
    <s v="SETIEMBRE"/>
    <n v="37"/>
    <s v="MARTES"/>
    <x v="33"/>
    <s v="COCA COLA VR 296MLX24 - STICKER"/>
    <n v="40"/>
    <n v="40"/>
    <n v="9.2000000000000011"/>
  </r>
  <r>
    <x v="82"/>
    <s v="SETIEMBRE"/>
    <n v="37"/>
    <s v="MARTES"/>
    <x v="28"/>
    <s v="COCA COLA VR 1.5LX8 - STICKER"/>
    <n v="60"/>
    <n v="30"/>
    <n v="13.8"/>
  </r>
  <r>
    <x v="82"/>
    <s v="SETIEMBRE"/>
    <n v="37"/>
    <s v="MARTES"/>
    <x v="23"/>
    <s v="TRIPACK CC+IK+IK PFM 3LX3 - RFNN"/>
    <n v="180"/>
    <n v="90"/>
    <n v="30.6"/>
  </r>
  <r>
    <x v="82"/>
    <s v="SETIEMBRE"/>
    <n v="37"/>
    <s v="MARTES"/>
    <x v="5"/>
    <s v="INCA KOLA PET 2.25LX2 RF"/>
    <n v="324"/>
    <n v="162"/>
    <n v="55.080000000000005"/>
  </r>
  <r>
    <x v="82"/>
    <s v="SETIEMBRE"/>
    <n v="37"/>
    <s v="MARTES"/>
    <x v="25"/>
    <s v="POWERADE 3MORA+3FRUT PET 473MLX6"/>
    <n v="900"/>
    <n v="225"/>
    <n v="378"/>
  </r>
  <r>
    <x v="82"/>
    <s v="SETIEMBRE"/>
    <n v="37"/>
    <s v="MARTES"/>
    <x v="44"/>
    <s v="INCA KOLA SA ALUMINIO-3 DISEÑOS 330MLX12"/>
    <n v="875"/>
    <n v="420"/>
    <n v="367.5"/>
  </r>
  <r>
    <x v="82"/>
    <s v="SETIEMBRE"/>
    <n v="37"/>
    <s v="MARTES"/>
    <x v="12"/>
    <s v="POWERADE ION4 FRUTA PET473X6 MOD (STICK)"/>
    <n v="450"/>
    <n v="225"/>
    <n v="180"/>
  </r>
  <r>
    <x v="82"/>
    <s v="SETIEMBRE"/>
    <n v="37"/>
    <s v="MARTES"/>
    <x v="34"/>
    <s v="TWO PACK CC PET 1.5LX2 - CRC"/>
    <n v="216"/>
    <n v="198"/>
    <n v="36.720000000000006"/>
  </r>
  <r>
    <x v="83"/>
    <s v="SETIEMBRE"/>
    <n v="37"/>
    <s v="MIÉRCOLES"/>
    <x v="7"/>
    <s v="COCA-COLA PET 1.5LX2 RF"/>
    <n v="864"/>
    <n v="198"/>
    <n v="146.88000000000002"/>
  </r>
  <r>
    <x v="83"/>
    <s v="SETIEMBRE"/>
    <n v="37"/>
    <s v="MIÉRCOLES"/>
    <x v="26"/>
    <s v="TRIPACK CC+CC+IK PFM 3LX3 - RFNN"/>
    <n v="720"/>
    <n v="90"/>
    <n v="122.4"/>
  </r>
  <r>
    <x v="83"/>
    <s v="SETIEMBRE"/>
    <n v="37"/>
    <s v="MIÉRCOLES"/>
    <x v="5"/>
    <s v="INCA KOLA PET 2.25LX2 RF"/>
    <n v="648"/>
    <n v="162"/>
    <n v="110.16000000000001"/>
  </r>
  <r>
    <x v="83"/>
    <s v="SETIEMBRE"/>
    <n v="37"/>
    <s v="MIÉRCOLES"/>
    <x v="6"/>
    <s v="INCA KOLA PET 3LX2 - RF"/>
    <n v="480"/>
    <n v="120"/>
    <n v="81.600000000000009"/>
  </r>
  <r>
    <x v="83"/>
    <s v="SETIEMBRE"/>
    <n v="37"/>
    <s v="MIÉRCOLES"/>
    <x v="6"/>
    <s v="INCA KOLA PET 3LX2 - RF"/>
    <n v="1080"/>
    <n v="120"/>
    <n v="183.60000000000002"/>
  </r>
  <r>
    <x v="83"/>
    <s v="SETIEMBRE"/>
    <n v="37"/>
    <s v="MIÉRCOLES"/>
    <x v="8"/>
    <s v="INCA KOLA PET 1.5LX2 RF"/>
    <n v="432"/>
    <n v="198"/>
    <n v="73.440000000000012"/>
  </r>
  <r>
    <x v="83"/>
    <s v="SETIEMBRE"/>
    <n v="37"/>
    <s v="MIÉRCOLES"/>
    <x v="3"/>
    <s v="TWO PACK SCHWEPPES GINGER ALE PET 1.5LX2"/>
    <n v="792"/>
    <n v="198"/>
    <n v="134.64000000000001"/>
  </r>
  <r>
    <x v="83"/>
    <s v="SETIEMBRE"/>
    <n v="37"/>
    <s v="MIÉRCOLES"/>
    <x v="22"/>
    <s v="TWO PACK SCHWEPPES CITRUS PET 1.5LX2"/>
    <n v="792"/>
    <n v="198"/>
    <n v="134.64000000000001"/>
  </r>
  <r>
    <x v="83"/>
    <s v="SETIEMBRE"/>
    <n v="37"/>
    <s v="MIÉRCOLES"/>
    <x v="17"/>
    <s v="TWO PACK CC PFM 3LX2 - RFCC"/>
    <n v="720"/>
    <n v="120"/>
    <n v="122.4"/>
  </r>
  <r>
    <x v="83"/>
    <s v="SETIEMBRE"/>
    <n v="37"/>
    <s v="MIÉRCOLES"/>
    <x v="11"/>
    <s v="TRIPACK (CC+IK)PFM+FT PET 3LX3 - RFNN"/>
    <n v="1080"/>
    <n v="90"/>
    <n v="183.60000000000002"/>
  </r>
  <r>
    <x v="83"/>
    <s v="SETIEMBRE"/>
    <n v="37"/>
    <s v="MIÉRCOLES"/>
    <x v="28"/>
    <s v="COCA COLA VR 1.5LX8 - STICKER"/>
    <n v="60"/>
    <n v="30"/>
    <n v="13.8"/>
  </r>
  <r>
    <x v="83"/>
    <s v="SETIEMBRE"/>
    <n v="37"/>
    <s v="MIÉRCOLES"/>
    <x v="12"/>
    <s v="POWERADE ION4 FRUTA PET473X6 MOD (STICK)"/>
    <n v="225"/>
    <n v="225"/>
    <n v="90"/>
  </r>
  <r>
    <x v="83"/>
    <s v="SETIEMBRE"/>
    <n v="37"/>
    <s v="MIÉRCOLES"/>
    <x v="40"/>
    <s v="SAN LUIS SPORT S/G 10 Lt x6 "/>
    <n v="112"/>
    <n v="240"/>
    <n v="44.800000000000004"/>
  </r>
  <r>
    <x v="83"/>
    <s v="SETIEMBRE"/>
    <n v="37"/>
    <s v="MIÉRCOLES"/>
    <x v="0"/>
    <s v="SAN LUIS SIN GAS PET2500X6 STICKER"/>
    <n v="336"/>
    <n v="48"/>
    <n v="134.4"/>
  </r>
  <r>
    <x v="83"/>
    <s v="SETIEMBRE"/>
    <n v="37"/>
    <s v="MIÉRCOLES"/>
    <x v="13"/>
    <s v="INCA KOLA VR 1.5LX8 - STICKER"/>
    <n v="120"/>
    <n v="30"/>
    <n v="48"/>
  </r>
  <r>
    <x v="83"/>
    <s v="SETIEMBRE"/>
    <n v="37"/>
    <s v="MIÉRCOLES"/>
    <x v="15"/>
    <s v="INCA KOLA VR 625MLX12 - STICKER"/>
    <n v="100"/>
    <n v="50"/>
    <n v="40"/>
  </r>
  <r>
    <x v="83"/>
    <s v="SETIEMBRE"/>
    <n v="37"/>
    <s v="MIÉRCOLES"/>
    <x v="9"/>
    <s v="TRIPACK FT NAR+FT KI+SP PET 3L"/>
    <n v="720"/>
    <n v="90"/>
    <n v="122.4"/>
  </r>
  <r>
    <x v="83"/>
    <s v="SETIEMBRE"/>
    <n v="37"/>
    <s v="MIÉRCOLES"/>
    <x v="10"/>
    <s v="TWO PACK CC + IK PFM 3LX2 - RFNN"/>
    <n v="1200"/>
    <n v="120"/>
    <n v="204.00000000000003"/>
  </r>
  <r>
    <x v="83"/>
    <s v="SETIEMBRE"/>
    <n v="37"/>
    <s v="MIÉRCOLES"/>
    <x v="43"/>
    <s v="SPRITE PET 500MLX6 BRANDEADO MOD"/>
    <n v="1500"/>
    <n v="420"/>
    <n v="630"/>
  </r>
  <r>
    <x v="83"/>
    <s v="SETIEMBRE"/>
    <n v="37"/>
    <s v="MIÉRCOLES"/>
    <x v="23"/>
    <s v="TRIPACK CC+IK+IK PFM 3LX3 - RFNN"/>
    <n v="180"/>
    <n v="90"/>
    <n v="30.6"/>
  </r>
  <r>
    <x v="83"/>
    <s v="SETIEMBRE"/>
    <n v="37"/>
    <s v="MIÉRCOLES"/>
    <x v="25"/>
    <s v="POWERADE 3MORA+3FRUT PET 473MLX6"/>
    <n v="2250"/>
    <n v="225"/>
    <n v="945"/>
  </r>
  <r>
    <x v="83"/>
    <s v="SETIEMBRE"/>
    <n v="37"/>
    <s v="MIÉRCOLES"/>
    <x v="42"/>
    <s v="FANTA NARANJA PET 500MLX6 BRANDEADO MOD"/>
    <n v="500"/>
    <n v="420"/>
    <n v="210"/>
  </r>
  <r>
    <x v="83"/>
    <s v="SETIEMBRE"/>
    <n v="37"/>
    <s v="MIÉRCOLES"/>
    <x v="44"/>
    <s v="INCA KOLA SA ALUMINIO-3 DISEÑOS 330MLX12"/>
    <n v="750"/>
    <n v="420"/>
    <n v="315"/>
  </r>
  <r>
    <x v="83"/>
    <s v="SETIEMBRE"/>
    <n v="37"/>
    <s v="MIÉRCOLES"/>
    <x v="33"/>
    <s v="COCA COLA VR 296MLX24 - STICKER"/>
    <n v="40"/>
    <n v="40"/>
    <n v="9.2000000000000011"/>
  </r>
  <r>
    <x v="84"/>
    <s v="SETIEMBRE"/>
    <n v="37"/>
    <s v="JUEVES"/>
    <x v="16"/>
    <s v="SAN LUIS CON GAS PET 625MLX6"/>
    <n v="720"/>
    <n v="180"/>
    <n v="302.39999999999998"/>
  </r>
  <r>
    <x v="84"/>
    <s v="SETIEMBRE"/>
    <n v="37"/>
    <s v="JUEVES"/>
    <x v="23"/>
    <s v="TRIPACK CC+IK+IK PFM 3LX3 - RFNN"/>
    <n v="720"/>
    <n v="90"/>
    <n v="122.4"/>
  </r>
  <r>
    <x v="84"/>
    <s v="SETIEMBRE"/>
    <n v="37"/>
    <s v="JUEVES"/>
    <x v="6"/>
    <s v="INCA KOLA PET 3LX2 - RF"/>
    <n v="960"/>
    <n v="120"/>
    <n v="163.20000000000002"/>
  </r>
  <r>
    <x v="84"/>
    <s v="SETIEMBRE"/>
    <n v="37"/>
    <s v="JUEVES"/>
    <x v="7"/>
    <s v="COCA-COLA PET 1.5LX2 RF"/>
    <n v="864"/>
    <n v="198"/>
    <n v="146.88000000000002"/>
  </r>
  <r>
    <x v="84"/>
    <s v="SETIEMBRE"/>
    <n v="37"/>
    <s v="JUEVES"/>
    <x v="7"/>
    <s v="COCA-COLA PET 1.5LX2 RF"/>
    <n v="432"/>
    <n v="198"/>
    <n v="73.440000000000012"/>
  </r>
  <r>
    <x v="84"/>
    <s v="SETIEMBRE"/>
    <n v="37"/>
    <s v="JUEVES"/>
    <x v="8"/>
    <s v="INCA KOLA PET 1.5LX2 RF"/>
    <n v="1296"/>
    <n v="198"/>
    <n v="220.32000000000002"/>
  </r>
  <r>
    <x v="84"/>
    <s v="SETIEMBRE"/>
    <n v="37"/>
    <s v="JUEVES"/>
    <x v="17"/>
    <s v="TWO PACK CC PFM 3LX2 - RFCC"/>
    <n v="240"/>
    <n v="120"/>
    <n v="40.800000000000004"/>
  </r>
  <r>
    <x v="84"/>
    <s v="SETIEMBRE"/>
    <n v="37"/>
    <s v="JUEVES"/>
    <x v="11"/>
    <s v="TRIPACK (CC+IK)PFM+FT PET 3LX3 - RFNN"/>
    <n v="3060"/>
    <n v="90"/>
    <n v="520.20000000000005"/>
  </r>
  <r>
    <x v="84"/>
    <s v="SETIEMBRE"/>
    <n v="37"/>
    <s v="JUEVES"/>
    <x v="0"/>
    <s v="SAN LUIS SIN GAS PET2500X6 STICKER"/>
    <n v="1104"/>
    <n v="48"/>
    <n v="441.6"/>
  </r>
  <r>
    <x v="84"/>
    <s v="SETIEMBRE"/>
    <n v="37"/>
    <s v="JUEVES"/>
    <x v="0"/>
    <s v="SAN LUIS SIN GAS PET2500X6 STICKER"/>
    <n v="480"/>
    <n v="48"/>
    <n v="192"/>
  </r>
  <r>
    <x v="84"/>
    <s v="SETIEMBRE"/>
    <n v="37"/>
    <s v="JUEVES"/>
    <x v="1"/>
    <s v="COCA-COLA SIN AZUCAR PET 1.5LX2"/>
    <n v="1296"/>
    <n v="198"/>
    <n v="220.32000000000002"/>
  </r>
  <r>
    <x v="84"/>
    <s v="SETIEMBRE"/>
    <n v="37"/>
    <s v="JUEVES"/>
    <x v="10"/>
    <s v="TWO PACK CC + IK PFM 3LX2 - RFNN"/>
    <n v="1680"/>
    <n v="120"/>
    <n v="285.60000000000002"/>
  </r>
  <r>
    <x v="84"/>
    <s v="SETIEMBRE"/>
    <n v="37"/>
    <s v="JUEVES"/>
    <x v="33"/>
    <s v="COCA COLA VR 296MLX24 - STICKER"/>
    <n v="80"/>
    <n v="40"/>
    <n v="18.400000000000002"/>
  </r>
  <r>
    <x v="84"/>
    <s v="SETIEMBRE"/>
    <n v="37"/>
    <s v="JUEVES"/>
    <x v="13"/>
    <s v="INCA KOLA VR 1.5LX8 - STICKER"/>
    <n v="30"/>
    <n v="30"/>
    <n v="12"/>
  </r>
  <r>
    <x v="84"/>
    <s v="SETIEMBRE"/>
    <n v="37"/>
    <s v="JUEVES"/>
    <x v="28"/>
    <s v="COCA COLA VR 1.5LX8 - STICKER"/>
    <n v="30"/>
    <n v="30"/>
    <n v="6.9"/>
  </r>
  <r>
    <x v="84"/>
    <s v="SETIEMBRE"/>
    <n v="37"/>
    <s v="JUEVES"/>
    <x v="15"/>
    <s v="INCA KOLA VR 625MLX12 - STICKER"/>
    <n v="50"/>
    <n v="50"/>
    <n v="20"/>
  </r>
  <r>
    <x v="84"/>
    <s v="SETIEMBRE"/>
    <n v="37"/>
    <s v="JUEVES"/>
    <x v="44"/>
    <s v="INCA KOLA SA ALUMINIO-3 DISEÑOS 330MLX12"/>
    <n v="750"/>
    <n v="420"/>
    <n v="315"/>
  </r>
  <r>
    <x v="84"/>
    <s v="SETIEMBRE"/>
    <n v="37"/>
    <s v="JUEVES"/>
    <x v="20"/>
    <s v="TRIPACK (FT NAR+SP)PET+IK RF PFM 3L"/>
    <n v="810"/>
    <n v="90"/>
    <n v="137.70000000000002"/>
  </r>
  <r>
    <x v="84"/>
    <s v="SETIEMBRE"/>
    <n v="37"/>
    <s v="JUEVES"/>
    <x v="9"/>
    <s v="TRIPACK FT NAR+FT KI+SP PET 3L"/>
    <n v="270"/>
    <n v="90"/>
    <n v="45.900000000000006"/>
  </r>
  <r>
    <x v="84"/>
    <s v="SETIEMBRE"/>
    <n v="37"/>
    <s v="JUEVES"/>
    <x v="9"/>
    <s v="TRIPACK FT NAR+FT KI+SP PET 3L"/>
    <n v="900"/>
    <n v="90"/>
    <n v="153"/>
  </r>
  <r>
    <x v="84"/>
    <s v="SETIEMBRE"/>
    <n v="37"/>
    <s v="JUEVES"/>
    <x v="42"/>
    <s v="FANTA NARANJA PET 500MLX6 BRANDEADO MOD"/>
    <n v="1000"/>
    <n v="420"/>
    <n v="420"/>
  </r>
  <r>
    <x v="84"/>
    <s v="SETIEMBRE"/>
    <n v="37"/>
    <s v="JUEVES"/>
    <x v="43"/>
    <s v="SPRITE PET 500MLX6 BRANDEADO MOD"/>
    <n v="1000"/>
    <n v="420"/>
    <n v="420"/>
  </r>
  <r>
    <x v="85"/>
    <s v="SETIEMBRE"/>
    <n v="37"/>
    <s v="VIERNES"/>
    <x v="44"/>
    <s v="INCA KOLA SA ALUMINIO-3 DISEÑOS 330MLX12"/>
    <n v="1000"/>
    <n v="420"/>
    <n v="420"/>
  </r>
  <r>
    <x v="85"/>
    <s v="SETIEMBRE"/>
    <n v="37"/>
    <s v="VIERNES"/>
    <x v="8"/>
    <s v="INCA KOLA PET 1.5LX2 RF"/>
    <n v="216"/>
    <n v="198"/>
    <n v="36.720000000000006"/>
  </r>
  <r>
    <x v="85"/>
    <s v="SETIEMBRE"/>
    <n v="37"/>
    <s v="VIERNES"/>
    <x v="8"/>
    <s v="INCA KOLA PET 1.5LX2 RF"/>
    <n v="648"/>
    <n v="198"/>
    <n v="110.16000000000001"/>
  </r>
  <r>
    <x v="85"/>
    <s v="SETIEMBRE"/>
    <n v="37"/>
    <s v="VIERNES"/>
    <x v="20"/>
    <s v="TRIPACK (FT NAR+SP)PET+IK RF PFM 3L"/>
    <n v="180"/>
    <n v="90"/>
    <n v="30.6"/>
  </r>
  <r>
    <x v="85"/>
    <s v="SETIEMBRE"/>
    <n v="37"/>
    <s v="VIERNES"/>
    <x v="0"/>
    <s v="SAN LUIS SIN GAS PET2500X6 STICKER"/>
    <n v="336"/>
    <n v="48"/>
    <n v="134.4"/>
  </r>
  <r>
    <x v="85"/>
    <s v="SETIEMBRE"/>
    <n v="37"/>
    <s v="VIERNES"/>
    <x v="6"/>
    <s v="INCA KOLA PET 3LX2 - RF"/>
    <n v="720"/>
    <n v="120"/>
    <n v="122.4"/>
  </r>
  <r>
    <x v="85"/>
    <s v="SETIEMBRE"/>
    <n v="37"/>
    <s v="VIERNES"/>
    <x v="1"/>
    <s v="COCA-COLA SIN AZUCAR PET 1.5LX2"/>
    <n v="1296"/>
    <n v="198"/>
    <n v="220.32000000000002"/>
  </r>
  <r>
    <x v="85"/>
    <s v="SETIEMBRE"/>
    <n v="37"/>
    <s v="VIERNES"/>
    <x v="10"/>
    <s v="TWO PACK CC + IK PFM 3LX2 - RFNN"/>
    <n v="2160"/>
    <n v="120"/>
    <n v="367.20000000000005"/>
  </r>
  <r>
    <x v="85"/>
    <s v="SETIEMBRE"/>
    <n v="37"/>
    <s v="VIERNES"/>
    <x v="2"/>
    <s v="INCA KOLA SIN AZUCAR PET 1.5LX2"/>
    <n v="216"/>
    <n v="198"/>
    <n v="36.720000000000006"/>
  </r>
  <r>
    <x v="85"/>
    <s v="SETIEMBRE"/>
    <n v="37"/>
    <s v="VIERNES"/>
    <x v="9"/>
    <s v="TRIPACK FT NAR+FT KI+SP PET 3L"/>
    <n v="810"/>
    <n v="90"/>
    <n v="137.70000000000002"/>
  </r>
  <r>
    <x v="85"/>
    <s v="SETIEMBRE"/>
    <n v="37"/>
    <s v="VIERNES"/>
    <x v="11"/>
    <s v="TRIPACK (CC+IK)PFM+FT PET 3LX3 - RFNN"/>
    <n v="990"/>
    <n v="90"/>
    <n v="168.3"/>
  </r>
  <r>
    <x v="85"/>
    <s v="SETIEMBRE"/>
    <n v="37"/>
    <s v="VIERNES"/>
    <x v="28"/>
    <s v="COCA COLA VR 1.5LX8 - STICKER"/>
    <n v="30"/>
    <n v="30"/>
    <n v="6.9"/>
  </r>
  <r>
    <x v="85"/>
    <s v="SETIEMBRE"/>
    <n v="37"/>
    <s v="VIERNES"/>
    <x v="33"/>
    <s v="COCA COLA VR 296MLX24 - STICKER"/>
    <n v="40"/>
    <n v="40"/>
    <n v="9.2000000000000011"/>
  </r>
  <r>
    <x v="85"/>
    <s v="SETIEMBRE"/>
    <n v="37"/>
    <s v="VIERNES"/>
    <x v="13"/>
    <s v="INCA KOLA VR 1.5LX8 - STICKER"/>
    <n v="90"/>
    <n v="30"/>
    <n v="36"/>
  </r>
  <r>
    <x v="85"/>
    <s v="SETIEMBRE"/>
    <n v="37"/>
    <s v="VIERNES"/>
    <x v="14"/>
    <s v="INCA KOLA VR 296MLX24 - STICKER"/>
    <n v="40"/>
    <n v="40"/>
    <n v="9.2000000000000011"/>
  </r>
  <r>
    <x v="85"/>
    <s v="SETIEMBRE"/>
    <n v="37"/>
    <s v="VIERNES"/>
    <x v="15"/>
    <s v="INCA KOLA VR 625MLX12 - STICKER"/>
    <n v="150"/>
    <n v="50"/>
    <n v="60"/>
  </r>
  <r>
    <x v="85"/>
    <s v="SETIEMBRE"/>
    <n v="37"/>
    <s v="VIERNES"/>
    <x v="25"/>
    <s v="POWERADE 3MORA+3FRUT PET 473MLX6"/>
    <n v="225"/>
    <n v="225"/>
    <n v="94.5"/>
  </r>
  <r>
    <x v="85"/>
    <s v="SETIEMBRE"/>
    <n v="37"/>
    <s v="VIERNES"/>
    <x v="42"/>
    <s v="FANTA NARANJA PET 500MLX6 BRANDEADO MOD"/>
    <n v="1250"/>
    <n v="420"/>
    <n v="525"/>
  </r>
  <r>
    <x v="85"/>
    <s v="SETIEMBRE"/>
    <n v="37"/>
    <s v="VIERNES"/>
    <x v="23"/>
    <s v="TRIPACK CC+IK+IK PFM 3LX3 - RFNN"/>
    <n v="90"/>
    <n v="90"/>
    <n v="15.3"/>
  </r>
  <r>
    <x v="85"/>
    <s v="SETIEMBRE"/>
    <n v="37"/>
    <s v="VIERNES"/>
    <x v="7"/>
    <s v="COCA-COLA PET 1.5LX2 RF"/>
    <n v="648"/>
    <n v="198"/>
    <n v="110.16000000000001"/>
  </r>
  <r>
    <x v="86"/>
    <s v="SETIEMBRE"/>
    <n v="38"/>
    <s v="SÁBADO"/>
    <x v="20"/>
    <s v="TRIPACK (FT NAR+SP)PET+IK RF PFM 3L"/>
    <n v="90"/>
    <n v="90"/>
    <n v="15.3"/>
  </r>
  <r>
    <x v="86"/>
    <s v="SETIEMBRE"/>
    <n v="38"/>
    <s v="SÁBADO"/>
    <x v="10"/>
    <s v="TWO PACK CC + IK PFM 3LX2 - RFNN"/>
    <n v="2280"/>
    <n v="120"/>
    <n v="387.6"/>
  </r>
  <r>
    <x v="86"/>
    <s v="SETIEMBRE"/>
    <n v="38"/>
    <s v="SÁBADO"/>
    <x v="10"/>
    <s v="TWO PACK CC + IK PFM 3LX2 - RFNN"/>
    <n v="600"/>
    <n v="120"/>
    <n v="102.00000000000001"/>
  </r>
  <r>
    <x v="86"/>
    <s v="SETIEMBRE"/>
    <n v="38"/>
    <s v="SÁBADO"/>
    <x v="11"/>
    <s v="TRIPACK (CC+IK)PFM+FT PET 3LX3 - RFNN"/>
    <n v="1710"/>
    <n v="90"/>
    <n v="290.70000000000005"/>
  </r>
  <r>
    <x v="86"/>
    <s v="SETIEMBRE"/>
    <n v="38"/>
    <s v="SÁBADO"/>
    <x v="23"/>
    <s v="TRIPACK CC+IK+IK PFM 3LX3 - RFNN"/>
    <n v="810"/>
    <n v="90"/>
    <n v="137.70000000000002"/>
  </r>
  <r>
    <x v="86"/>
    <s v="SETIEMBRE"/>
    <n v="38"/>
    <s v="SÁBADO"/>
    <x v="9"/>
    <s v="TRIPACK FT NAR+FT KI+SP PET 3L"/>
    <n v="450"/>
    <n v="90"/>
    <n v="76.5"/>
  </r>
  <r>
    <x v="86"/>
    <s v="SETIEMBRE"/>
    <n v="38"/>
    <s v="SÁBADO"/>
    <x v="12"/>
    <s v="POWERADE ION4 FRUTA PET473X6 MOD (STICK)"/>
    <n v="225"/>
    <n v="225"/>
    <n v="90"/>
  </r>
  <r>
    <x v="86"/>
    <s v="SETIEMBRE"/>
    <n v="38"/>
    <s v="SÁBADO"/>
    <x v="33"/>
    <s v="COCA COLA VR 296MLX24 - STICKER"/>
    <n v="40"/>
    <n v="40"/>
    <n v="9.2000000000000011"/>
  </r>
  <r>
    <x v="86"/>
    <s v="SETIEMBRE"/>
    <n v="38"/>
    <s v="SÁBADO"/>
    <x v="15"/>
    <s v="INCA KOLA VR 625MLX12 - STICKER"/>
    <n v="250"/>
    <n v="50"/>
    <n v="100"/>
  </r>
  <r>
    <x v="86"/>
    <s v="SETIEMBRE"/>
    <n v="38"/>
    <s v="SÁBADO"/>
    <x v="0"/>
    <s v="SAN LUIS SIN GAS PET2500X6 STICKER"/>
    <n v="576"/>
    <n v="48"/>
    <n v="230.4"/>
  </r>
  <r>
    <x v="86"/>
    <s v="SETIEMBRE"/>
    <n v="38"/>
    <s v="SÁBADO"/>
    <x v="42"/>
    <s v="FANTA NARANJA PET 500MLX6 BRANDEADO MOD"/>
    <n v="500"/>
    <n v="420"/>
    <n v="210"/>
  </r>
  <r>
    <x v="86"/>
    <s v="SETIEMBRE"/>
    <n v="38"/>
    <s v="SÁBADO"/>
    <x v="8"/>
    <s v="INCA KOLA PET 1.5LX2 RF"/>
    <n v="432"/>
    <n v="198"/>
    <n v="73.440000000000012"/>
  </r>
  <r>
    <x v="86"/>
    <s v="SETIEMBRE"/>
    <n v="38"/>
    <s v="SÁBADO"/>
    <x v="2"/>
    <s v="INCA KOLA SIN AZUCAR PET 1.5LX2"/>
    <n v="1080"/>
    <n v="198"/>
    <n v="183.60000000000002"/>
  </r>
  <r>
    <x v="86"/>
    <s v="SETIEMBRE"/>
    <n v="38"/>
    <s v="SÁBADO"/>
    <x v="5"/>
    <s v="INCA KOLA PET 2.25LX2 RF"/>
    <n v="162"/>
    <n v="162"/>
    <n v="27.540000000000003"/>
  </r>
  <r>
    <x v="86"/>
    <s v="SETIEMBRE"/>
    <n v="38"/>
    <s v="SÁBADO"/>
    <x v="1"/>
    <s v="COCA-COLA SIN AZUCAR PET 1.5LX2"/>
    <n v="1080"/>
    <n v="198"/>
    <n v="183.60000000000002"/>
  </r>
  <r>
    <x v="86"/>
    <s v="SETIEMBRE"/>
    <n v="38"/>
    <s v="SÁBADO"/>
    <x v="6"/>
    <s v="INCA KOLA PET 3LX2 - RF"/>
    <n v="960"/>
    <n v="120"/>
    <n v="163.20000000000002"/>
  </r>
  <r>
    <x v="86"/>
    <s v="SETIEMBRE"/>
    <n v="38"/>
    <s v="SÁBADO"/>
    <x v="7"/>
    <s v="COCA-COLA PET 1.5LX2 RF"/>
    <n v="1512"/>
    <n v="198"/>
    <n v="257.04000000000002"/>
  </r>
  <r>
    <x v="86"/>
    <s v="SETIEMBRE"/>
    <n v="38"/>
    <s v="SÁBADO"/>
    <x v="17"/>
    <s v="TWO PACK CC PFM 3LX2 - RFCC"/>
    <n v="360"/>
    <n v="120"/>
    <n v="61.2"/>
  </r>
  <r>
    <x v="86"/>
    <s v="SETIEMBRE"/>
    <n v="38"/>
    <s v="SÁBADO"/>
    <x v="44"/>
    <s v="INCA KOLA SA ALUMINIO-3 DISEÑOS 330MLX12"/>
    <n v="2625"/>
    <n v="420"/>
    <n v="1102.5"/>
  </r>
  <r>
    <x v="86"/>
    <s v="SETIEMBRE"/>
    <n v="38"/>
    <s v="SÁBADO"/>
    <x v="44"/>
    <s v="INCA KOLA SA ALUMINIO-3 DISEÑOS 330MLX12"/>
    <n v="125"/>
    <n v="420"/>
    <n v="52.5"/>
  </r>
  <r>
    <x v="86"/>
    <s v="SETIEMBRE"/>
    <n v="38"/>
    <s v="SÁBADO"/>
    <x v="25"/>
    <s v="POWERADE 3MORA+3FRUT PET 473MLX6"/>
    <n v="225"/>
    <n v="225"/>
    <n v="94.5"/>
  </r>
  <r>
    <x v="87"/>
    <s v="SETIEMBRE"/>
    <n v="38"/>
    <s v="DOMINGO"/>
    <x v="43"/>
    <s v="SPRITE PET 500MLX6 BRANDEADO MOD"/>
    <n v="1000"/>
    <n v="420"/>
    <n v="420"/>
  </r>
  <r>
    <x v="87"/>
    <s v="SETIEMBRE"/>
    <n v="38"/>
    <s v="DOMINGO"/>
    <x v="25"/>
    <s v="POWERADE 3MORA+3FRUT PET 473MLX6"/>
    <n v="1125"/>
    <n v="225"/>
    <n v="472.5"/>
  </r>
  <r>
    <x v="87"/>
    <s v="SETIEMBRE"/>
    <n v="38"/>
    <s v="DOMINGO"/>
    <x v="16"/>
    <s v="SAN LUIS CON GAS PET 625MLX6"/>
    <n v="360"/>
    <n v="180"/>
    <n v="151.19999999999999"/>
  </r>
  <r>
    <x v="87"/>
    <s v="SETIEMBRE"/>
    <n v="38"/>
    <s v="DOMINGO"/>
    <x v="42"/>
    <s v="FANTA NARANJA PET 500MLX6 BRANDEADO MOD"/>
    <n v="500"/>
    <n v="420"/>
    <n v="210"/>
  </r>
  <r>
    <x v="88"/>
    <s v="SETIEMBRE"/>
    <n v="38"/>
    <s v="LUNES"/>
    <x v="44"/>
    <s v="INCA KOLA SA ALUMINIO-3 DISEÑOS 330MLX12"/>
    <n v="1375"/>
    <n v="420"/>
    <n v="577.5"/>
  </r>
  <r>
    <x v="88"/>
    <s v="SETIEMBRE"/>
    <n v="38"/>
    <s v="LUNES"/>
    <x v="28"/>
    <s v="COCA COLA VR 1.5LX8 - STICKER"/>
    <n v="60"/>
    <n v="30"/>
    <n v="13.8"/>
  </r>
  <r>
    <x v="88"/>
    <s v="SETIEMBRE"/>
    <n v="38"/>
    <s v="LUNES"/>
    <x v="33"/>
    <s v="COCA COLA VR 296MLX24 - STICKER"/>
    <n v="80"/>
    <n v="40"/>
    <n v="18.400000000000002"/>
  </r>
  <r>
    <x v="88"/>
    <s v="SETIEMBRE"/>
    <n v="38"/>
    <s v="LUNES"/>
    <x v="13"/>
    <s v="INCA KOLA VR 1.5LX8 - STICKER"/>
    <n v="60"/>
    <n v="30"/>
    <n v="24"/>
  </r>
  <r>
    <x v="88"/>
    <s v="SETIEMBRE"/>
    <n v="38"/>
    <s v="LUNES"/>
    <x v="15"/>
    <s v="INCA KOLA VR 625MLX12 - STICKER"/>
    <n v="100"/>
    <n v="50"/>
    <n v="40"/>
  </r>
  <r>
    <x v="88"/>
    <s v="SETIEMBRE"/>
    <n v="38"/>
    <s v="LUNES"/>
    <x v="0"/>
    <s v="SAN LUIS SIN GAS PET2500X6 STICKER"/>
    <n v="576"/>
    <n v="48"/>
    <n v="230.4"/>
  </r>
  <r>
    <x v="88"/>
    <s v="SETIEMBRE"/>
    <n v="38"/>
    <s v="LUNES"/>
    <x v="10"/>
    <s v="TWO PACK CC + IK PFM 3LX2 - RFNN"/>
    <n v="1440"/>
    <n v="120"/>
    <n v="244.8"/>
  </r>
  <r>
    <x v="88"/>
    <s v="SETIEMBRE"/>
    <n v="38"/>
    <s v="LUNES"/>
    <x v="17"/>
    <s v="TWO PACK CC PFM 3LX2 - RFCC"/>
    <n v="480"/>
    <n v="120"/>
    <n v="81.600000000000009"/>
  </r>
  <r>
    <x v="88"/>
    <s v="SETIEMBRE"/>
    <n v="38"/>
    <s v="LUNES"/>
    <x v="8"/>
    <s v="INCA KOLA PET 1.5LX2 RF"/>
    <n v="864"/>
    <n v="198"/>
    <n v="146.88000000000002"/>
  </r>
  <r>
    <x v="88"/>
    <s v="SETIEMBRE"/>
    <n v="38"/>
    <s v="LUNES"/>
    <x v="7"/>
    <s v="COCA-COLA PET 1.5LX2 RF"/>
    <n v="648"/>
    <n v="198"/>
    <n v="110.16000000000001"/>
  </r>
  <r>
    <x v="88"/>
    <s v="SETIEMBRE"/>
    <n v="38"/>
    <s v="LUNES"/>
    <x v="9"/>
    <s v="TRIPACK FT NAR+FT KI+SP PET 3L"/>
    <n v="720"/>
    <n v="90"/>
    <n v="122.4"/>
  </r>
  <r>
    <x v="88"/>
    <s v="SETIEMBRE"/>
    <n v="38"/>
    <s v="LUNES"/>
    <x v="6"/>
    <s v="INCA KOLA PET 3LX2 - RF"/>
    <n v="720"/>
    <n v="120"/>
    <n v="122.4"/>
  </r>
  <r>
    <x v="88"/>
    <s v="SETIEMBRE"/>
    <n v="38"/>
    <s v="LUNES"/>
    <x v="11"/>
    <s v="TRIPACK (CC+IK)PFM+FT PET 3LX3 - RFNN"/>
    <n v="720"/>
    <n v="90"/>
    <n v="122.4"/>
  </r>
  <r>
    <x v="88"/>
    <s v="SETIEMBRE"/>
    <n v="38"/>
    <s v="LUNES"/>
    <x v="1"/>
    <s v="COCA-COLA SIN AZUCAR PET 1.5LX2"/>
    <n v="216"/>
    <n v="198"/>
    <n v="36.720000000000006"/>
  </r>
  <r>
    <x v="88"/>
    <s v="SETIEMBRE"/>
    <n v="38"/>
    <s v="LUNES"/>
    <x v="2"/>
    <s v="INCA KOLA SIN AZUCAR PET 1.5LX2"/>
    <n v="1296"/>
    <n v="198"/>
    <n v="220.32000000000002"/>
  </r>
  <r>
    <x v="88"/>
    <s v="SETIEMBRE"/>
    <n v="38"/>
    <s v="LUNES"/>
    <x v="4"/>
    <s v="COCA-COLA PET 2.25LX2 RF"/>
    <n v="324"/>
    <n v="162"/>
    <n v="55.080000000000005"/>
  </r>
  <r>
    <x v="88"/>
    <s v="SETIEMBRE"/>
    <n v="38"/>
    <s v="LUNES"/>
    <x v="40"/>
    <s v="SAN LUIS SPORT S/G 10 Lt x6 "/>
    <n v="224"/>
    <n v="240"/>
    <n v="89.600000000000009"/>
  </r>
  <r>
    <x v="88"/>
    <s v="SETIEMBRE"/>
    <n v="38"/>
    <s v="LUNES"/>
    <x v="38"/>
    <s v="SL S/G TAPA PLANA 1LT"/>
    <n v="448"/>
    <n v="112"/>
    <n v="179.20000000000002"/>
  </r>
  <r>
    <x v="88"/>
    <s v="SETIEMBRE"/>
    <n v="38"/>
    <s v="LUNES"/>
    <x v="16"/>
    <s v="SAN LUIS CON GAS PET 625MLX6"/>
    <n v="540"/>
    <n v="180"/>
    <n v="226.79999999999998"/>
  </r>
  <r>
    <x v="88"/>
    <s v="SETIEMBRE"/>
    <n v="38"/>
    <s v="LUNES"/>
    <x v="20"/>
    <s v="TRIPACK (FT NAR+SP)PET+IK RF PFM 3L"/>
    <n v="720"/>
    <n v="90"/>
    <n v="122.4"/>
  </r>
  <r>
    <x v="88"/>
    <s v="SETIEMBRE"/>
    <n v="38"/>
    <s v="LUNES"/>
    <x v="42"/>
    <s v="FANTA NARANJA PET 500MLX6 BRANDEADO MOD"/>
    <n v="1000"/>
    <n v="420"/>
    <n v="420"/>
  </r>
  <r>
    <x v="88"/>
    <s v="SETIEMBRE"/>
    <n v="38"/>
    <s v="LUNES"/>
    <x v="25"/>
    <s v="POWERADE 3MORA+3FRUT PET 473MLX6"/>
    <n v="1350"/>
    <n v="225"/>
    <n v="567"/>
  </r>
  <r>
    <x v="88"/>
    <s v="SETIEMBRE"/>
    <n v="38"/>
    <s v="LUNES"/>
    <x v="12"/>
    <s v="POWERADE ION4 FRUTA PET473X6 MOD (STICK)"/>
    <n v="675"/>
    <n v="225"/>
    <n v="270"/>
  </r>
  <r>
    <x v="88"/>
    <s v="SETIEMBRE"/>
    <n v="38"/>
    <s v="LUNES"/>
    <x v="23"/>
    <s v="TRIPACK CC+IK+IK PFM 3LX3 - RFNN"/>
    <n v="720"/>
    <n v="90"/>
    <n v="122.4"/>
  </r>
  <r>
    <x v="88"/>
    <s v="SETIEMBRE"/>
    <n v="38"/>
    <s v="LUNES"/>
    <x v="7"/>
    <s v="COCA-COLA PET 1.5LX2 RF"/>
    <n v="648"/>
    <n v="198"/>
    <n v="110.16000000000001"/>
  </r>
  <r>
    <x v="88"/>
    <s v="SETIEMBRE"/>
    <n v="38"/>
    <s v="LUNES"/>
    <x v="11"/>
    <s v="TRIPACK (CC+IK)PFM+FT PET 3LX3 - RFNN"/>
    <n v="540"/>
    <n v="90"/>
    <n v="91.800000000000011"/>
  </r>
  <r>
    <x v="88"/>
    <s v="SETIEMBRE"/>
    <n v="38"/>
    <s v="LUNES"/>
    <x v="11"/>
    <s v="TRIPACK (CC+IK)PFM+FT PET 3LX3 - RFNN"/>
    <n v="270"/>
    <n v="90"/>
    <n v="45.900000000000006"/>
  </r>
  <r>
    <x v="88"/>
    <s v="SETIEMBRE"/>
    <n v="38"/>
    <s v="LUNES"/>
    <x v="1"/>
    <s v="COCA-COLA SIN AZUCAR PET 1.5LX2"/>
    <n v="1512"/>
    <n v="198"/>
    <n v="257.04000000000002"/>
  </r>
  <r>
    <x v="88"/>
    <s v="SETIEMBRE"/>
    <n v="38"/>
    <s v="LUNES"/>
    <x v="15"/>
    <s v="INCA KOLA VR 625MLX12 - STICKER"/>
    <n v="100"/>
    <n v="50"/>
    <n v="40"/>
  </r>
  <r>
    <x v="89"/>
    <s v="SETIEMBRE"/>
    <n v="38"/>
    <s v="MARTES"/>
    <x v="23"/>
    <s v="TRIPACK CC+IK+IK PFM 3LX3 - RFNN"/>
    <n v="720"/>
    <n v="90"/>
    <n v="122.4"/>
  </r>
  <r>
    <x v="89"/>
    <s v="SETIEMBRE"/>
    <n v="38"/>
    <s v="MARTES"/>
    <x v="20"/>
    <s v="TRIPACK (FT NAR+SP)PET+IK RF PFM 3L"/>
    <n v="720"/>
    <n v="90"/>
    <n v="122.4"/>
  </r>
  <r>
    <x v="89"/>
    <s v="SETIEMBRE"/>
    <n v="38"/>
    <s v="MARTES"/>
    <x v="13"/>
    <s v="INCA KOLA VR 1.5LX8 - STICKER"/>
    <n v="30"/>
    <n v="30"/>
    <n v="12"/>
  </r>
  <r>
    <x v="89"/>
    <s v="SETIEMBRE"/>
    <n v="38"/>
    <s v="MARTES"/>
    <x v="14"/>
    <s v="INCA KOLA VR 296MLX24 - STICKER"/>
    <n v="40"/>
    <n v="40"/>
    <n v="9.2000000000000011"/>
  </r>
  <r>
    <x v="89"/>
    <s v="SETIEMBRE"/>
    <n v="38"/>
    <s v="MARTES"/>
    <x v="15"/>
    <s v="INCA KOLA VR 625MLX12 - STICKER"/>
    <n v="100"/>
    <n v="50"/>
    <n v="40"/>
  </r>
  <r>
    <x v="89"/>
    <s v="SETIEMBRE"/>
    <n v="38"/>
    <s v="MARTES"/>
    <x v="27"/>
    <s v="FRUGOS BEBIDA DZ VNR 286MLX6 C/STICKER"/>
    <n v="350"/>
    <n v="350"/>
    <n v="80.5"/>
  </r>
  <r>
    <x v="89"/>
    <s v="SETIEMBRE"/>
    <n v="38"/>
    <s v="MARTES"/>
    <x v="40"/>
    <s v="SAN LUIS SPORT S/G 10 Lt x6 "/>
    <n v="112"/>
    <n v="240"/>
    <n v="44.800000000000004"/>
  </r>
  <r>
    <x v="89"/>
    <s v="SETIEMBRE"/>
    <n v="38"/>
    <s v="MARTES"/>
    <x v="38"/>
    <s v="SL S/G TAPA PLANA 1LT"/>
    <n v="112"/>
    <n v="112"/>
    <n v="44.800000000000004"/>
  </r>
  <r>
    <x v="89"/>
    <s v="SETIEMBRE"/>
    <n v="38"/>
    <s v="MARTES"/>
    <x v="1"/>
    <s v="COCA-COLA SIN AZUCAR PET 1.5LX2"/>
    <n v="1296"/>
    <n v="198"/>
    <n v="220.32000000000002"/>
  </r>
  <r>
    <x v="89"/>
    <s v="SETIEMBRE"/>
    <n v="38"/>
    <s v="MARTES"/>
    <x v="2"/>
    <s v="INCA KOLA SIN AZUCAR PET 1.5LX2"/>
    <n v="1080"/>
    <n v="198"/>
    <n v="183.60000000000002"/>
  </r>
  <r>
    <x v="89"/>
    <s v="SETIEMBRE"/>
    <n v="38"/>
    <s v="MARTES"/>
    <x v="5"/>
    <s v="INCA KOLA PET 2.25LX2 RF"/>
    <n v="162"/>
    <n v="162"/>
    <n v="27.540000000000003"/>
  </r>
  <r>
    <x v="89"/>
    <s v="SETIEMBRE"/>
    <n v="38"/>
    <s v="MARTES"/>
    <x v="17"/>
    <s v="TWO PACK CC PFM 3LX2 - RFCC"/>
    <n v="360"/>
    <n v="120"/>
    <n v="61.2"/>
  </r>
  <r>
    <x v="89"/>
    <s v="SETIEMBRE"/>
    <n v="38"/>
    <s v="MARTES"/>
    <x v="7"/>
    <s v="COCA-COLA PET 1.5LX2 RF"/>
    <n v="1080"/>
    <n v="198"/>
    <n v="183.60000000000002"/>
  </r>
  <r>
    <x v="89"/>
    <s v="SETIEMBRE"/>
    <n v="38"/>
    <s v="MARTES"/>
    <x v="8"/>
    <s v="INCA KOLA PET 1.5LX2 RF"/>
    <n v="864"/>
    <n v="198"/>
    <n v="146.88000000000002"/>
  </r>
  <r>
    <x v="89"/>
    <s v="SETIEMBRE"/>
    <n v="38"/>
    <s v="MARTES"/>
    <x v="9"/>
    <s v="TRIPACK FT NAR+FT KI+SP PET 3L"/>
    <n v="720"/>
    <n v="90"/>
    <n v="122.4"/>
  </r>
  <r>
    <x v="89"/>
    <s v="SETIEMBRE"/>
    <n v="38"/>
    <s v="MARTES"/>
    <x v="10"/>
    <s v="TWO PACK CC + IK PFM 3LX2 - RFNN"/>
    <n v="1920"/>
    <n v="120"/>
    <n v="326.40000000000003"/>
  </r>
  <r>
    <x v="89"/>
    <s v="SETIEMBRE"/>
    <n v="38"/>
    <s v="MARTES"/>
    <x v="11"/>
    <s v="TRIPACK (CC+IK)PFM+FT PET 3LX3 - RFNN"/>
    <n v="1440"/>
    <n v="90"/>
    <n v="244.8"/>
  </r>
  <r>
    <x v="89"/>
    <s v="SETIEMBRE"/>
    <n v="38"/>
    <s v="MARTES"/>
    <x v="25"/>
    <s v="POWERADE 3MORA+3FRUT PET 473MLX6"/>
    <n v="2025"/>
    <n v="225"/>
    <n v="850.5"/>
  </r>
  <r>
    <x v="89"/>
    <s v="SETIEMBRE"/>
    <n v="38"/>
    <s v="MARTES"/>
    <x v="42"/>
    <s v="FANTA NARANJA PET 500MLX6 BRANDEADO MOD"/>
    <n v="250"/>
    <n v="420"/>
    <n v="105"/>
  </r>
  <r>
    <x v="89"/>
    <s v="SETIEMBRE"/>
    <n v="38"/>
    <s v="MARTES"/>
    <x v="43"/>
    <s v="SPRITE PET 500MLX6 BRANDEADO MOD"/>
    <n v="1000"/>
    <n v="420"/>
    <n v="420"/>
  </r>
  <r>
    <x v="89"/>
    <s v="SETIEMBRE"/>
    <n v="38"/>
    <s v="MARTES"/>
    <x v="44"/>
    <s v="INCA KOLA SA ALUMINIO-3 DISEÑOS 330MLX12"/>
    <n v="1375"/>
    <n v="420"/>
    <n v="577.5"/>
  </r>
  <r>
    <x v="89"/>
    <s v="SETIEMBRE"/>
    <n v="38"/>
    <s v="MARTES"/>
    <x v="0"/>
    <s v="SAN LUIS SIN GAS PET2500X6 STICKER"/>
    <n v="384"/>
    <n v="48"/>
    <n v="153.60000000000002"/>
  </r>
  <r>
    <x v="89"/>
    <s v="SETIEMBRE"/>
    <n v="38"/>
    <s v="MARTES"/>
    <x v="12"/>
    <s v="POWERADE ION4 FRUTA PET473X6 MOD (STICK)"/>
    <n v="450"/>
    <n v="225"/>
    <n v="180"/>
  </r>
  <r>
    <x v="89"/>
    <s v="SETIEMBRE"/>
    <n v="38"/>
    <s v="MARTES"/>
    <x v="6"/>
    <s v="INCA KOLA PET 3LX2 - RF"/>
    <n v="480"/>
    <n v="120"/>
    <n v="81.600000000000009"/>
  </r>
  <r>
    <x v="90"/>
    <s v="SETIEMBRE"/>
    <n v="38"/>
    <s v="MIÉRCOLES"/>
    <x v="10"/>
    <s v="TWO PACK CC + IK PFM 3LX2 - RFNN"/>
    <n v="3840"/>
    <n v="120"/>
    <n v="652.80000000000007"/>
  </r>
  <r>
    <x v="90"/>
    <s v="SETIEMBRE"/>
    <n v="38"/>
    <s v="MIÉRCOLES"/>
    <x v="8"/>
    <s v="INCA KOLA PET 1.5LX2 RF"/>
    <n v="1296"/>
    <n v="198"/>
    <n v="220.32000000000002"/>
  </r>
  <r>
    <x v="90"/>
    <s v="SETIEMBRE"/>
    <n v="38"/>
    <s v="MIÉRCOLES"/>
    <x v="17"/>
    <s v="TWO PACK CC PFM 3LX2 - RFCC"/>
    <n v="1320"/>
    <n v="120"/>
    <n v="224.4"/>
  </r>
  <r>
    <x v="90"/>
    <s v="SETIEMBRE"/>
    <n v="38"/>
    <s v="MIÉRCOLES"/>
    <x v="6"/>
    <s v="INCA KOLA PET 3LX2 - RF"/>
    <n v="1080"/>
    <n v="120"/>
    <n v="183.60000000000002"/>
  </r>
  <r>
    <x v="90"/>
    <s v="SETIEMBRE"/>
    <n v="38"/>
    <s v="MIÉRCOLES"/>
    <x v="2"/>
    <s v="INCA KOLA SIN AZUCAR PET 1.5LX2"/>
    <n v="1296"/>
    <n v="198"/>
    <n v="220.32000000000002"/>
  </r>
  <r>
    <x v="90"/>
    <s v="SETIEMBRE"/>
    <n v="38"/>
    <s v="MIÉRCOLES"/>
    <x v="1"/>
    <s v="COCA-COLA SIN AZUCAR PET 1.5LX2"/>
    <n v="1728"/>
    <n v="198"/>
    <n v="293.76000000000005"/>
  </r>
  <r>
    <x v="90"/>
    <s v="SETIEMBRE"/>
    <n v="38"/>
    <s v="MIÉRCOLES"/>
    <x v="7"/>
    <s v="COCA-COLA PET 1.5LX2 RF"/>
    <n v="2160"/>
    <n v="198"/>
    <n v="367.20000000000005"/>
  </r>
  <r>
    <x v="90"/>
    <s v="SETIEMBRE"/>
    <n v="38"/>
    <s v="MIÉRCOLES"/>
    <x v="0"/>
    <s v="SAN LUIS SIN GAS PET2500X6 STICKER"/>
    <n v="576"/>
    <n v="48"/>
    <n v="230.4"/>
  </r>
  <r>
    <x v="90"/>
    <s v="SETIEMBRE"/>
    <n v="38"/>
    <s v="MIÉRCOLES"/>
    <x v="15"/>
    <s v="INCA KOLA VR 625MLX12 - STICKER"/>
    <n v="150"/>
    <n v="50"/>
    <n v="60"/>
  </r>
  <r>
    <x v="90"/>
    <s v="SETIEMBRE"/>
    <n v="38"/>
    <s v="MIÉRCOLES"/>
    <x v="33"/>
    <s v="COCA COLA VR 296MLX24 - STICKER"/>
    <n v="80"/>
    <n v="40"/>
    <n v="18.400000000000002"/>
  </r>
  <r>
    <x v="90"/>
    <s v="SETIEMBRE"/>
    <n v="38"/>
    <s v="MIÉRCOLES"/>
    <x v="13"/>
    <s v="INCA KOLA VR 1.5LX8 - STICKER"/>
    <n v="90"/>
    <n v="30"/>
    <n v="36"/>
  </r>
  <r>
    <x v="90"/>
    <s v="SETIEMBRE"/>
    <n v="38"/>
    <s v="MIÉRCOLES"/>
    <x v="12"/>
    <s v="POWERADE ION4 FRUTA PET473X6 MOD (STICK)"/>
    <n v="675"/>
    <n v="225"/>
    <n v="270"/>
  </r>
  <r>
    <x v="90"/>
    <s v="SETIEMBRE"/>
    <n v="38"/>
    <s v="MIÉRCOLES"/>
    <x v="9"/>
    <s v="TRIPACK FT NAR+FT KI+SP PET 3L"/>
    <n v="720"/>
    <n v="90"/>
    <n v="122.4"/>
  </r>
  <r>
    <x v="90"/>
    <s v="SETIEMBRE"/>
    <n v="38"/>
    <s v="MIÉRCOLES"/>
    <x v="11"/>
    <s v="TRIPACK (CC+IK)PFM+FT PET 3LX3 - RFNN"/>
    <n v="1440"/>
    <n v="90"/>
    <n v="244.8"/>
  </r>
  <r>
    <x v="90"/>
    <s v="SETIEMBRE"/>
    <n v="38"/>
    <s v="MIÉRCOLES"/>
    <x v="16"/>
    <s v="SAN LUIS CON GAS PET 625MLX6"/>
    <n v="540"/>
    <n v="180"/>
    <n v="226.79999999999998"/>
  </r>
  <r>
    <x v="90"/>
    <s v="SETIEMBRE"/>
    <n v="38"/>
    <s v="MIÉRCOLES"/>
    <x v="20"/>
    <s v="TRIPACK (FT NAR+SP)PET+IK RF PFM 3L"/>
    <n v="720"/>
    <n v="90"/>
    <n v="122.4"/>
  </r>
  <r>
    <x v="90"/>
    <s v="SETIEMBRE"/>
    <n v="38"/>
    <s v="MIÉRCOLES"/>
    <x v="25"/>
    <s v="POWERADE 3MORA+3FRUT PET 473MLX6"/>
    <n v="900"/>
    <n v="225"/>
    <n v="378"/>
  </r>
  <r>
    <x v="90"/>
    <s v="SETIEMBRE"/>
    <n v="38"/>
    <s v="MIÉRCOLES"/>
    <x v="23"/>
    <s v="TRIPACK CC+IK+IK PFM 3LX3 - RFNN"/>
    <n v="720"/>
    <n v="90"/>
    <n v="122.4"/>
  </r>
  <r>
    <x v="90"/>
    <s v="SETIEMBRE"/>
    <n v="38"/>
    <s v="MIÉRCOLES"/>
    <x v="38"/>
    <s v="SL S/G TAPA PLANA 1LT"/>
    <n v="336"/>
    <n v="112"/>
    <n v="134.4"/>
  </r>
  <r>
    <x v="90"/>
    <s v="SETIEMBRE"/>
    <n v="38"/>
    <s v="MIÉRCOLES"/>
    <x v="40"/>
    <s v="SAN LUIS SPORT S/G 10 Lt x6 "/>
    <n v="224"/>
    <n v="240"/>
    <n v="89.600000000000009"/>
  </r>
  <r>
    <x v="90"/>
    <s v="SETIEMBRE"/>
    <n v="38"/>
    <s v="MIÉRCOLES"/>
    <x v="43"/>
    <s v="SPRITE PET 500MLX6 BRANDEADO MOD"/>
    <n v="250"/>
    <n v="420"/>
    <n v="105"/>
  </r>
  <r>
    <x v="90"/>
    <s v="SETIEMBRE"/>
    <n v="38"/>
    <s v="MIÉRCOLES"/>
    <x v="44"/>
    <s v="INCA KOLA SA ALUMINIO-3 DISEÑOS 330MLX12"/>
    <n v="1625"/>
    <n v="420"/>
    <n v="682.5"/>
  </r>
  <r>
    <x v="90"/>
    <s v="SETIEMBRE"/>
    <n v="38"/>
    <s v="MIÉRCOLES"/>
    <x v="4"/>
    <s v="COCA-COLA PET 2.25LX2 RF"/>
    <n v="810"/>
    <n v="162"/>
    <n v="137.70000000000002"/>
  </r>
  <r>
    <x v="90"/>
    <s v="SETIEMBRE"/>
    <n v="38"/>
    <s v="MIÉRCOLES"/>
    <x v="27"/>
    <s v="FRUGOS BEBIDA DZ VNR 286MLX6 C/STICKER"/>
    <n v="350"/>
    <n v="350"/>
    <n v="80.5"/>
  </r>
  <r>
    <x v="90"/>
    <s v="SETIEMBRE"/>
    <n v="38"/>
    <s v="MIÉRCOLES"/>
    <x v="24"/>
    <s v="MONSTER ENERGY 473MLX4"/>
    <n v="3360"/>
    <n v="420"/>
    <n v="1411.2"/>
  </r>
  <r>
    <x v="91"/>
    <s v="SETIEMBRE"/>
    <n v="38"/>
    <s v="JUEVES"/>
    <x v="1"/>
    <s v="COCA-COLA SIN AZUCAR PET 1.5LX2"/>
    <n v="1296"/>
    <n v="198"/>
    <n v="220.32000000000002"/>
  </r>
  <r>
    <x v="91"/>
    <s v="SETIEMBRE"/>
    <n v="38"/>
    <s v="JUEVES"/>
    <x v="5"/>
    <s v="INCA KOLA PET 2.25LX2 RF"/>
    <n v="810"/>
    <n v="162"/>
    <n v="137.70000000000002"/>
  </r>
  <r>
    <x v="91"/>
    <s v="SETIEMBRE"/>
    <n v="38"/>
    <s v="JUEVES"/>
    <x v="6"/>
    <s v="INCA KOLA PET 3LX2 - RF"/>
    <n v="1080"/>
    <n v="120"/>
    <n v="183.60000000000002"/>
  </r>
  <r>
    <x v="91"/>
    <s v="SETIEMBRE"/>
    <n v="38"/>
    <s v="JUEVES"/>
    <x v="3"/>
    <s v="TWO PACK SCHWEPPES GINGER ALE PET 1.5LX2"/>
    <n v="594"/>
    <n v="198"/>
    <n v="100.98"/>
  </r>
  <r>
    <x v="91"/>
    <s v="SETIEMBRE"/>
    <n v="38"/>
    <s v="JUEVES"/>
    <x v="9"/>
    <s v="TRIPACK FT NAR+FT KI+SP PET 3L"/>
    <n v="720"/>
    <n v="90"/>
    <n v="122.4"/>
  </r>
  <r>
    <x v="91"/>
    <s v="SETIEMBRE"/>
    <n v="38"/>
    <s v="JUEVES"/>
    <x v="4"/>
    <s v="COCA-COLA PET 2.25LX2 RF"/>
    <n v="324"/>
    <n v="162"/>
    <n v="55.080000000000005"/>
  </r>
  <r>
    <x v="91"/>
    <s v="SETIEMBRE"/>
    <n v="38"/>
    <s v="JUEVES"/>
    <x v="10"/>
    <s v="TWO PACK CC + IK PFM 3LX2 - RFNN"/>
    <n v="840"/>
    <n v="120"/>
    <n v="142.80000000000001"/>
  </r>
  <r>
    <x v="91"/>
    <s v="SETIEMBRE"/>
    <n v="38"/>
    <s v="JUEVES"/>
    <x v="10"/>
    <s v="TWO PACK CC + IK PFM 3LX2 - RFNN"/>
    <n v="1080"/>
    <n v="120"/>
    <n v="183.60000000000002"/>
  </r>
  <r>
    <x v="91"/>
    <s v="SETIEMBRE"/>
    <n v="38"/>
    <s v="JUEVES"/>
    <x v="17"/>
    <s v="TWO PACK CC PFM 3LX2 - RFCC"/>
    <n v="720"/>
    <n v="120"/>
    <n v="122.4"/>
  </r>
  <r>
    <x v="91"/>
    <s v="SETIEMBRE"/>
    <n v="38"/>
    <s v="JUEVES"/>
    <x v="11"/>
    <s v="TRIPACK (CC+IK)PFM+FT PET 3LX3 - RFNN"/>
    <n v="1620"/>
    <n v="90"/>
    <n v="275.40000000000003"/>
  </r>
  <r>
    <x v="91"/>
    <s v="SETIEMBRE"/>
    <n v="38"/>
    <s v="JUEVES"/>
    <x v="7"/>
    <s v="COCA-COLA PET 1.5LX2 RF"/>
    <n v="1296"/>
    <n v="198"/>
    <n v="220.32000000000002"/>
  </r>
  <r>
    <x v="91"/>
    <s v="SETIEMBRE"/>
    <n v="38"/>
    <s v="JUEVES"/>
    <x v="8"/>
    <s v="INCA KOLA PET 1.5LX2 RF"/>
    <n v="1296"/>
    <n v="198"/>
    <n v="220.32000000000002"/>
  </r>
  <r>
    <x v="91"/>
    <s v="SETIEMBRE"/>
    <n v="38"/>
    <s v="JUEVES"/>
    <x v="23"/>
    <s v="TRIPACK CC+IK+IK PFM 3LX3 - RFNN"/>
    <n v="450"/>
    <n v="90"/>
    <n v="76.5"/>
  </r>
  <r>
    <x v="91"/>
    <s v="SETIEMBRE"/>
    <n v="38"/>
    <s v="JUEVES"/>
    <x v="23"/>
    <s v="TRIPACK CC+IK+IK PFM 3LX3 - RFNN"/>
    <n v="270"/>
    <n v="90"/>
    <n v="45.900000000000006"/>
  </r>
  <r>
    <x v="91"/>
    <s v="SETIEMBRE"/>
    <n v="38"/>
    <s v="JUEVES"/>
    <x v="2"/>
    <s v="INCA KOLA SIN AZUCAR PET 1.5LX2"/>
    <n v="432"/>
    <n v="198"/>
    <n v="73.440000000000012"/>
  </r>
  <r>
    <x v="91"/>
    <s v="SETIEMBRE"/>
    <n v="38"/>
    <s v="JUEVES"/>
    <x v="44"/>
    <s v="INCA KOLA SA ALUMINIO-3 DISEÑOS 330MLX12"/>
    <n v="2500"/>
    <n v="420"/>
    <n v="1050"/>
  </r>
  <r>
    <x v="91"/>
    <s v="SETIEMBRE"/>
    <n v="38"/>
    <s v="JUEVES"/>
    <x v="43"/>
    <s v="SPRITE PET 500MLX6 BRANDEADO MOD"/>
    <n v="250"/>
    <n v="420"/>
    <n v="105"/>
  </r>
  <r>
    <x v="91"/>
    <s v="SETIEMBRE"/>
    <n v="38"/>
    <s v="JUEVES"/>
    <x v="16"/>
    <s v="SAN LUIS CON GAS PET 625MLX6"/>
    <n v="180"/>
    <n v="180"/>
    <n v="75.599999999999994"/>
  </r>
  <r>
    <x v="91"/>
    <s v="SETIEMBRE"/>
    <n v="38"/>
    <s v="JUEVES"/>
    <x v="27"/>
    <s v="FRUGOS BEBIDA DZ VNR 286MLX6 C/STICKER"/>
    <n v="700"/>
    <n v="350"/>
    <n v="161"/>
  </r>
  <r>
    <x v="91"/>
    <s v="SETIEMBRE"/>
    <n v="38"/>
    <s v="JUEVES"/>
    <x v="38"/>
    <s v="SL S/G TAPA PLANA 1LT"/>
    <n v="560"/>
    <n v="112"/>
    <n v="224"/>
  </r>
  <r>
    <x v="91"/>
    <s v="SETIEMBRE"/>
    <n v="38"/>
    <s v="JUEVES"/>
    <x v="24"/>
    <s v="MONSTER ENERGY 473MLX4"/>
    <n v="2100"/>
    <n v="420"/>
    <n v="882"/>
  </r>
  <r>
    <x v="91"/>
    <s v="SETIEMBRE"/>
    <n v="38"/>
    <s v="JUEVES"/>
    <x v="43"/>
    <s v="SPRITE PET 500MLX6 BRANDEADO MOD"/>
    <n v="750"/>
    <n v="420"/>
    <n v="315"/>
  </r>
  <r>
    <x v="92"/>
    <s v="SETIEMBRE"/>
    <n v="38"/>
    <s v="VIERNES"/>
    <x v="14"/>
    <s v="INCA KOLA VR 296MLX24 - STICKER"/>
    <n v="40"/>
    <n v="40"/>
    <n v="9.2000000000000011"/>
  </r>
  <r>
    <x v="92"/>
    <s v="SETIEMBRE"/>
    <n v="38"/>
    <s v="VIERNES"/>
    <x v="15"/>
    <s v="INCA KOLA VR 625MLX12 - STICKER"/>
    <n v="650"/>
    <n v="50"/>
    <n v="260"/>
  </r>
  <r>
    <x v="92"/>
    <s v="SETIEMBRE"/>
    <n v="38"/>
    <s v="VIERNES"/>
    <x v="45"/>
    <s v="INCA KOLA POWER (CAMU+MACA) PET 410MLX12"/>
    <n v="1300"/>
    <n v="420"/>
    <n v="1560"/>
  </r>
  <r>
    <x v="92"/>
    <s v="SETIEMBRE"/>
    <n v="38"/>
    <s v="VIERNES"/>
    <x v="10"/>
    <s v="TWO PACK CC + IK PFM 3LX2 - RFNN"/>
    <n v="1200"/>
    <n v="120"/>
    <n v="204.00000000000003"/>
  </r>
  <r>
    <x v="92"/>
    <s v="SETIEMBRE"/>
    <n v="38"/>
    <s v="VIERNES"/>
    <x v="17"/>
    <s v="TWO PACK CC PFM 3LX2 - RFCC"/>
    <n v="1200"/>
    <n v="120"/>
    <n v="204.00000000000003"/>
  </r>
  <r>
    <x v="92"/>
    <s v="SETIEMBRE"/>
    <n v="38"/>
    <s v="VIERNES"/>
    <x v="6"/>
    <s v="INCA KOLA PET 3LX2 - RF"/>
    <n v="960"/>
    <n v="120"/>
    <n v="163.20000000000002"/>
  </r>
  <r>
    <x v="92"/>
    <s v="SETIEMBRE"/>
    <n v="38"/>
    <s v="VIERNES"/>
    <x v="0"/>
    <s v="SAN LUIS SIN GAS PET2500X6 STICKER"/>
    <n v="96"/>
    <n v="48"/>
    <n v="38.400000000000006"/>
  </r>
  <r>
    <x v="92"/>
    <s v="SETIEMBRE"/>
    <n v="38"/>
    <s v="VIERNES"/>
    <x v="44"/>
    <s v="INCA KOLA SA ALUMINIO-3 DISEÑOS 330MLX12"/>
    <n v="625"/>
    <n v="420"/>
    <n v="262.5"/>
  </r>
  <r>
    <x v="92"/>
    <s v="SETIEMBRE"/>
    <n v="38"/>
    <s v="VIERNES"/>
    <x v="9"/>
    <s v="TRIPACK FT NAR+FT KI+SP PET 3L"/>
    <n v="720"/>
    <n v="90"/>
    <n v="122.4"/>
  </r>
  <r>
    <x v="92"/>
    <s v="SETIEMBRE"/>
    <n v="38"/>
    <s v="VIERNES"/>
    <x v="24"/>
    <s v="MONSTER ENERGY 473MLX4"/>
    <n v="2100"/>
    <n v="420"/>
    <n v="882"/>
  </r>
  <r>
    <x v="92"/>
    <s v="SETIEMBRE"/>
    <n v="38"/>
    <s v="VIERNES"/>
    <x v="1"/>
    <s v="COCA-COLA SIN AZUCAR PET 1.5LX2"/>
    <n v="648"/>
    <n v="198"/>
    <n v="110.16000000000001"/>
  </r>
  <r>
    <x v="92"/>
    <s v="SETIEMBRE"/>
    <n v="38"/>
    <s v="VIERNES"/>
    <x v="11"/>
    <s v="TRIPACK (CC+IK)PFM+FT PET 3LX3 - RFNN"/>
    <n v="720"/>
    <n v="90"/>
    <n v="122.4"/>
  </r>
  <r>
    <x v="92"/>
    <s v="SETIEMBRE"/>
    <n v="38"/>
    <s v="VIERNES"/>
    <x v="8"/>
    <s v="INCA KOLA PET 1.5LX2 RF"/>
    <n v="432"/>
    <n v="198"/>
    <n v="73.440000000000012"/>
  </r>
  <r>
    <x v="92"/>
    <s v="SETIEMBRE"/>
    <n v="38"/>
    <s v="VIERNES"/>
    <x v="16"/>
    <s v="SAN LUIS CON GAS PET 625MLX6"/>
    <n v="180"/>
    <n v="180"/>
    <n v="75.599999999999994"/>
  </r>
  <r>
    <x v="92"/>
    <s v="SETIEMBRE"/>
    <n v="38"/>
    <s v="VIERNES"/>
    <x v="40"/>
    <s v="SAN LUIS SPORT S/G 10 Lt x6 "/>
    <n v="112"/>
    <n v="240"/>
    <n v="44.800000000000004"/>
  </r>
  <r>
    <x v="92"/>
    <s v="SETIEMBRE"/>
    <n v="38"/>
    <s v="VIERNES"/>
    <x v="28"/>
    <s v="COCA COLA VR 1.5LX8 - STICKER"/>
    <n v="90"/>
    <n v="30"/>
    <n v="20.7"/>
  </r>
  <r>
    <x v="92"/>
    <s v="SETIEMBRE"/>
    <n v="38"/>
    <s v="VIERNES"/>
    <x v="25"/>
    <s v="POWERADE 3MORA+3FRUT PET 473MLX6"/>
    <n v="900"/>
    <n v="225"/>
    <n v="378"/>
  </r>
  <r>
    <x v="92"/>
    <s v="SETIEMBRE"/>
    <n v="38"/>
    <s v="VIERNES"/>
    <x v="25"/>
    <s v="POWERADE 3MORA+3FRUT PET 473MLX6"/>
    <n v="450"/>
    <n v="225"/>
    <n v="189"/>
  </r>
  <r>
    <x v="92"/>
    <s v="SETIEMBRE"/>
    <n v="38"/>
    <s v="VIERNES"/>
    <x v="44"/>
    <s v="INCA KOLA SA ALUMINIO-3 DISEÑOS 330MLX12"/>
    <n v="500"/>
    <n v="420"/>
    <n v="210"/>
  </r>
  <r>
    <x v="92"/>
    <s v="SETIEMBRE"/>
    <n v="38"/>
    <s v="VIERNES"/>
    <x v="44"/>
    <s v="INCA KOLA SA ALUMINIO-3 DISEÑOS 330MLX12"/>
    <n v="500"/>
    <n v="420"/>
    <n v="210"/>
  </r>
  <r>
    <x v="92"/>
    <s v="SETIEMBRE"/>
    <n v="38"/>
    <s v="VIERNES"/>
    <x v="43"/>
    <s v="SPRITE PET 500MLX6 BRANDEADO MOD"/>
    <n v="500"/>
    <n v="420"/>
    <n v="210"/>
  </r>
  <r>
    <x v="92"/>
    <s v="SETIEMBRE"/>
    <n v="38"/>
    <s v="VIERNES"/>
    <x v="45"/>
    <s v="INCA KOLA POWER (CAMU+MACA) PET 410MLX12"/>
    <n v="260"/>
    <n v="420"/>
    <n v="312"/>
  </r>
  <r>
    <x v="93"/>
    <s v="SETIEMBRE"/>
    <n v="39"/>
    <s v="SÁBADO"/>
    <x v="45"/>
    <s v="INCA KOLA POWER (CAMU+MACA) PET 410MLX12"/>
    <n v="1430"/>
    <n v="420"/>
    <n v="1716"/>
  </r>
  <r>
    <x v="93"/>
    <s v="SETIEMBRE"/>
    <n v="39"/>
    <s v="SÁBADO"/>
    <x v="28"/>
    <s v="COCA COLA VR 1.5LX8 - STICKER"/>
    <n v="90"/>
    <n v="30"/>
    <n v="20.7"/>
  </r>
  <r>
    <x v="93"/>
    <s v="SETIEMBRE"/>
    <n v="39"/>
    <s v="SÁBADO"/>
    <x v="14"/>
    <s v="INCA KOLA VR 296MLX24 - STICKER"/>
    <n v="40"/>
    <n v="40"/>
    <n v="9.2000000000000011"/>
  </r>
  <r>
    <x v="93"/>
    <s v="SETIEMBRE"/>
    <n v="39"/>
    <s v="SÁBADO"/>
    <x v="0"/>
    <s v="SAN LUIS SIN GAS PET2500X6 STICKER"/>
    <n v="816"/>
    <n v="48"/>
    <n v="326.40000000000003"/>
  </r>
  <r>
    <x v="93"/>
    <s v="SETIEMBRE"/>
    <n v="39"/>
    <s v="SÁBADO"/>
    <x v="24"/>
    <s v="MONSTER ENERGY 473MLX4"/>
    <n v="1260"/>
    <n v="420"/>
    <n v="529.19999999999993"/>
  </r>
  <r>
    <x v="93"/>
    <s v="SETIEMBRE"/>
    <n v="39"/>
    <s v="SÁBADO"/>
    <x v="16"/>
    <s v="SAN LUIS CON GAS PET 625MLX6"/>
    <n v="900"/>
    <n v="180"/>
    <n v="378"/>
  </r>
  <r>
    <x v="93"/>
    <s v="SETIEMBRE"/>
    <n v="39"/>
    <s v="SÁBADO"/>
    <x v="1"/>
    <s v="COCA-COLA SIN AZUCAR PET 1.5LX2"/>
    <n v="1080"/>
    <n v="198"/>
    <n v="183.60000000000002"/>
  </r>
  <r>
    <x v="93"/>
    <s v="SETIEMBRE"/>
    <n v="39"/>
    <s v="SÁBADO"/>
    <x v="2"/>
    <s v="INCA KOLA SIN AZUCAR PET 1.5LX2"/>
    <n v="1080"/>
    <n v="198"/>
    <n v="183.60000000000002"/>
  </r>
  <r>
    <x v="93"/>
    <s v="SETIEMBRE"/>
    <n v="39"/>
    <s v="SÁBADO"/>
    <x v="3"/>
    <s v="TWO PACK SCHWEPPES GINGER ALE PET 1.5LX2"/>
    <n v="198"/>
    <n v="198"/>
    <n v="33.660000000000004"/>
  </r>
  <r>
    <x v="93"/>
    <s v="SETIEMBRE"/>
    <n v="39"/>
    <s v="SÁBADO"/>
    <x v="4"/>
    <s v="COCA-COLA PET 2.25LX2 RF"/>
    <n v="324"/>
    <n v="162"/>
    <n v="55.080000000000005"/>
  </r>
  <r>
    <x v="93"/>
    <s v="SETIEMBRE"/>
    <n v="39"/>
    <s v="SÁBADO"/>
    <x v="5"/>
    <s v="INCA KOLA PET 2.25LX2 RF"/>
    <n v="162"/>
    <n v="162"/>
    <n v="27.540000000000003"/>
  </r>
  <r>
    <x v="93"/>
    <s v="SETIEMBRE"/>
    <n v="39"/>
    <s v="SÁBADO"/>
    <x v="6"/>
    <s v="INCA KOLA PET 3LX2 - RF"/>
    <n v="960"/>
    <n v="120"/>
    <n v="163.20000000000002"/>
  </r>
  <r>
    <x v="93"/>
    <s v="SETIEMBRE"/>
    <n v="39"/>
    <s v="SÁBADO"/>
    <x v="9"/>
    <s v="TRIPACK FT NAR+FT KI+SP PET 3L"/>
    <n v="90"/>
    <n v="90"/>
    <n v="15.3"/>
  </r>
  <r>
    <x v="93"/>
    <s v="SETIEMBRE"/>
    <n v="39"/>
    <s v="SÁBADO"/>
    <x v="10"/>
    <s v="TWO PACK CC + IK PFM 3LX2 - RFNN"/>
    <n v="1200"/>
    <n v="120"/>
    <n v="204.00000000000003"/>
  </r>
  <r>
    <x v="93"/>
    <s v="SETIEMBRE"/>
    <n v="39"/>
    <s v="SÁBADO"/>
    <x v="11"/>
    <s v="TRIPACK (CC+IK)PFM+FT PET 3LX3 - RFNN"/>
    <n v="2160"/>
    <n v="90"/>
    <n v="367.20000000000005"/>
  </r>
  <r>
    <x v="93"/>
    <s v="SETIEMBRE"/>
    <n v="39"/>
    <s v="SÁBADO"/>
    <x v="25"/>
    <s v="POWERADE 3MORA+3FRUT PET 473MLX6"/>
    <n v="1350"/>
    <n v="225"/>
    <n v="567"/>
  </r>
  <r>
    <x v="93"/>
    <s v="SETIEMBRE"/>
    <n v="39"/>
    <s v="SÁBADO"/>
    <x v="19"/>
    <s v="POWERADE ION4 MORA AZ PET473X6 MOD(STCK)"/>
    <n v="225"/>
    <n v="225"/>
    <n v="90"/>
  </r>
  <r>
    <x v="93"/>
    <s v="SETIEMBRE"/>
    <n v="39"/>
    <s v="SÁBADO"/>
    <x v="17"/>
    <s v="TWO PACK CC PFM 3LX2 - RFCC"/>
    <n v="240"/>
    <n v="120"/>
    <n v="40.800000000000004"/>
  </r>
  <r>
    <x v="93"/>
    <s v="SETIEMBRE"/>
    <n v="39"/>
    <s v="SÁBADO"/>
    <x v="42"/>
    <s v="FANTA NARANJA PET 500MLX6 BRANDEADO MOD"/>
    <n v="250"/>
    <n v="420"/>
    <n v="105"/>
  </r>
  <r>
    <x v="94"/>
    <s v="SETIEMBRE"/>
    <n v="39"/>
    <s v="LUNES"/>
    <x v="4"/>
    <s v="COCA-COLA PET 2.25LX2 RF"/>
    <n v="648"/>
    <n v="162"/>
    <n v="110.16000000000001"/>
  </r>
  <r>
    <x v="94"/>
    <s v="SETIEMBRE"/>
    <n v="39"/>
    <s v="LUNES"/>
    <x v="17"/>
    <s v="TWO PACK CC PFM 3LX2 - RFCC"/>
    <n v="960"/>
    <n v="120"/>
    <n v="163.20000000000002"/>
  </r>
  <r>
    <x v="94"/>
    <s v="SETIEMBRE"/>
    <n v="39"/>
    <s v="LUNES"/>
    <x v="6"/>
    <s v="INCA KOLA PET 3LX2 - RF"/>
    <n v="1200"/>
    <n v="120"/>
    <n v="204.00000000000003"/>
  </r>
  <r>
    <x v="94"/>
    <s v="SETIEMBRE"/>
    <n v="39"/>
    <s v="LUNES"/>
    <x v="46"/>
    <s v="COCA COLA PET 500MLX6"/>
    <n v="1750"/>
    <n v="250"/>
    <n v="735"/>
  </r>
  <r>
    <x v="95"/>
    <s v="SETIEMBRE"/>
    <n v="39"/>
    <s v="DOMINGO"/>
    <x v="45"/>
    <s v="INCA KOLA POWER (CAMU+MACA) PET 410MLX12"/>
    <n v="1170"/>
    <n v="420"/>
    <n v="1404"/>
  </r>
  <r>
    <x v="94"/>
    <s v="SETIEMBRE"/>
    <n v="39"/>
    <s v="LUNES"/>
    <x v="2"/>
    <s v="INCA KOLA SIN AZUCAR PET 1.5LX2"/>
    <n v="1080"/>
    <n v="198"/>
    <n v="183.60000000000002"/>
  </r>
  <r>
    <x v="94"/>
    <s v="SETIEMBRE"/>
    <n v="39"/>
    <s v="LUNES"/>
    <x v="2"/>
    <s v="INCA KOLA SIN AZUCAR PET 1.5LX2"/>
    <n v="216"/>
    <n v="198"/>
    <n v="36.720000000000006"/>
  </r>
  <r>
    <x v="94"/>
    <s v="SETIEMBRE"/>
    <n v="39"/>
    <s v="LUNES"/>
    <x v="7"/>
    <s v="COCA-COLA PET 1.5LX2 RF"/>
    <n v="1296"/>
    <n v="198"/>
    <n v="220.32000000000002"/>
  </r>
  <r>
    <x v="94"/>
    <s v="SETIEMBRE"/>
    <n v="39"/>
    <s v="LUNES"/>
    <x v="1"/>
    <s v="COCA-COLA SIN AZUCAR PET 1.5LX2"/>
    <n v="1296"/>
    <n v="198"/>
    <n v="220.32000000000002"/>
  </r>
  <r>
    <x v="94"/>
    <s v="SETIEMBRE"/>
    <n v="39"/>
    <s v="LUNES"/>
    <x v="32"/>
    <s v="MONSTER ENERGY ULTRA 473MLX4"/>
    <n v="1680"/>
    <n v="420"/>
    <n v="705.6"/>
  </r>
  <r>
    <x v="94"/>
    <s v="SETIEMBRE"/>
    <n v="39"/>
    <s v="LUNES"/>
    <x v="24"/>
    <s v="MONSTER ENERGY 473MLX4"/>
    <n v="420"/>
    <n v="420"/>
    <n v="176.4"/>
  </r>
  <r>
    <x v="94"/>
    <s v="SETIEMBRE"/>
    <n v="39"/>
    <s v="LUNES"/>
    <x v="10"/>
    <s v="TWO PACK CC + IK PFM 3LX2 - RFNN"/>
    <n v="1680"/>
    <n v="120"/>
    <n v="285.60000000000002"/>
  </r>
  <r>
    <x v="94"/>
    <s v="SETIEMBRE"/>
    <n v="39"/>
    <s v="LUNES"/>
    <x v="9"/>
    <s v="TRIPACK FT NAR+FT KI+SP PET 3L"/>
    <n v="720"/>
    <n v="90"/>
    <n v="122.4"/>
  </r>
  <r>
    <x v="94"/>
    <s v="SETIEMBRE"/>
    <n v="39"/>
    <s v="LUNES"/>
    <x v="11"/>
    <s v="TRIPACK (CC+IK)PFM+FT PET 3LX3 - RFNN"/>
    <n v="1710"/>
    <n v="90"/>
    <n v="290.70000000000005"/>
  </r>
  <r>
    <x v="94"/>
    <s v="SETIEMBRE"/>
    <n v="39"/>
    <s v="LUNES"/>
    <x v="26"/>
    <s v="TRIPACK CC+CC+IK PFM 3LX3 - RFNN"/>
    <n v="180"/>
    <n v="90"/>
    <n v="30.6"/>
  </r>
  <r>
    <x v="94"/>
    <s v="SETIEMBRE"/>
    <n v="39"/>
    <s v="LUNES"/>
    <x v="16"/>
    <s v="SAN LUIS CON GAS PET 625MLX6"/>
    <n v="180"/>
    <n v="180"/>
    <n v="75.599999999999994"/>
  </r>
  <r>
    <x v="94"/>
    <s v="SETIEMBRE"/>
    <n v="39"/>
    <s v="LUNES"/>
    <x v="19"/>
    <s v="POWERADE ION4 MORA AZ PET473X6 MOD(STCK)"/>
    <n v="225"/>
    <n v="225"/>
    <n v="90"/>
  </r>
  <r>
    <x v="94"/>
    <s v="SETIEMBRE"/>
    <n v="39"/>
    <s v="LUNES"/>
    <x v="0"/>
    <s v="SAN LUIS SIN GAS PET2500X6 STICKER"/>
    <n v="96"/>
    <n v="48"/>
    <n v="38.400000000000006"/>
  </r>
  <r>
    <x v="94"/>
    <s v="SETIEMBRE"/>
    <n v="39"/>
    <s v="LUNES"/>
    <x v="25"/>
    <s v="POWERADE 3MORA+3FRUT PET 473MLX6"/>
    <n v="450"/>
    <n v="225"/>
    <n v="189"/>
  </r>
  <r>
    <x v="94"/>
    <s v="SETIEMBRE"/>
    <n v="39"/>
    <s v="LUNES"/>
    <x v="45"/>
    <s v="INCA KOLA POWER (CAMU+MACA) PET 410MLX12"/>
    <n v="3250"/>
    <n v="420"/>
    <n v="3900"/>
  </r>
  <r>
    <x v="94"/>
    <s v="SETIEMBRE"/>
    <n v="39"/>
    <s v="LUNES"/>
    <x v="45"/>
    <s v="INCA KOLA POWER (CAMU+MACA) PET 410MLX12"/>
    <n v="390"/>
    <n v="420"/>
    <n v="468"/>
  </r>
  <r>
    <x v="96"/>
    <s v="SETIEMBRE"/>
    <n v="39"/>
    <s v="MARTES"/>
    <x v="0"/>
    <s v="SAN LUIS SIN GAS PET2500X6 STICKER"/>
    <n v="384"/>
    <n v="48"/>
    <n v="153.60000000000002"/>
  </r>
  <r>
    <x v="96"/>
    <s v="SETIEMBRE"/>
    <n v="39"/>
    <s v="MARTES"/>
    <x v="14"/>
    <s v="INCA KOLA VR 296MLX24 - STICKER"/>
    <n v="40"/>
    <n v="40"/>
    <n v="9.2000000000000011"/>
  </r>
  <r>
    <x v="96"/>
    <s v="SETIEMBRE"/>
    <n v="39"/>
    <s v="MARTES"/>
    <x v="42"/>
    <s v="FANTA NARANJA PET 500MLX6 BRANDEADO MOD"/>
    <n v="250"/>
    <n v="420"/>
    <n v="105"/>
  </r>
  <r>
    <x v="96"/>
    <s v="SETIEMBRE"/>
    <n v="39"/>
    <s v="MARTES"/>
    <x v="2"/>
    <s v="INCA KOLA SIN AZUCAR PET 1.5LX2"/>
    <n v="432"/>
    <n v="198"/>
    <n v="73.440000000000012"/>
  </r>
  <r>
    <x v="96"/>
    <s v="SETIEMBRE"/>
    <n v="39"/>
    <s v="MARTES"/>
    <x v="3"/>
    <s v="TWO PACK SCHWEPPES GINGER ALE PET 1.5LX2"/>
    <n v="396"/>
    <n v="198"/>
    <n v="67.320000000000007"/>
  </r>
  <r>
    <x v="96"/>
    <s v="SETIEMBRE"/>
    <n v="39"/>
    <s v="MARTES"/>
    <x v="1"/>
    <s v="COCA-COLA SIN AZUCAR PET 1.5LX2"/>
    <n v="1512"/>
    <n v="198"/>
    <n v="257.04000000000002"/>
  </r>
  <r>
    <x v="96"/>
    <s v="SETIEMBRE"/>
    <n v="39"/>
    <s v="MARTES"/>
    <x v="6"/>
    <s v="INCA KOLA PET 3LX2 - RF"/>
    <n v="240"/>
    <n v="120"/>
    <n v="40.800000000000004"/>
  </r>
  <r>
    <x v="96"/>
    <s v="SETIEMBRE"/>
    <n v="39"/>
    <s v="MARTES"/>
    <x v="20"/>
    <s v="TRIPACK (FT NAR+SP)PET+IK RF PFM 3L"/>
    <n v="450"/>
    <n v="90"/>
    <n v="76.5"/>
  </r>
  <r>
    <x v="96"/>
    <s v="SETIEMBRE"/>
    <n v="39"/>
    <s v="MARTES"/>
    <x v="4"/>
    <s v="COCA-COLA PET 2.25LX2 RF"/>
    <n v="162"/>
    <n v="162"/>
    <n v="27.540000000000003"/>
  </r>
  <r>
    <x v="96"/>
    <s v="SETIEMBRE"/>
    <n v="39"/>
    <s v="MARTES"/>
    <x v="11"/>
    <s v="TRIPACK (CC+IK)PFM+FT PET 3LX3 - RFNN"/>
    <n v="1440"/>
    <n v="90"/>
    <n v="244.8"/>
  </r>
  <r>
    <x v="96"/>
    <s v="SETIEMBRE"/>
    <n v="39"/>
    <s v="MARTES"/>
    <x v="37"/>
    <s v="INCA KOLA PET 500MLX6"/>
    <n v="500"/>
    <n v="225"/>
    <n v="210"/>
  </r>
  <r>
    <x v="96"/>
    <s v="SETIEMBRE"/>
    <n v="39"/>
    <s v="MARTES"/>
    <x v="15"/>
    <s v="INCA KOLA VR 625MLX12 - STICKER"/>
    <n v="200"/>
    <n v="50"/>
    <n v="80"/>
  </r>
  <r>
    <x v="96"/>
    <s v="SETIEMBRE"/>
    <n v="39"/>
    <s v="MARTES"/>
    <x v="26"/>
    <s v="TRIPACK CC+CC+IK PFM 3LX3 - RFNN"/>
    <n v="270"/>
    <n v="90"/>
    <n v="45.900000000000006"/>
  </r>
  <r>
    <x v="96"/>
    <s v="SETIEMBRE"/>
    <n v="39"/>
    <s v="MARTES"/>
    <x v="36"/>
    <s v="SAN LUIS SIN GAS PET 625MLX15 C/STICKER"/>
    <n v="270"/>
    <n v="90"/>
    <n v="108"/>
  </r>
  <r>
    <x v="96"/>
    <s v="SETIEMBRE"/>
    <n v="39"/>
    <s v="MARTES"/>
    <x v="5"/>
    <s v="INCA KOLA PET 2.25LX2 RF"/>
    <n v="324"/>
    <n v="162"/>
    <n v="55.080000000000005"/>
  </r>
  <r>
    <x v="96"/>
    <s v="SETIEMBRE"/>
    <n v="39"/>
    <s v="MARTES"/>
    <x v="16"/>
    <s v="SAN LUIS CON GAS PET 625MLX6"/>
    <n v="540"/>
    <n v="180"/>
    <n v="226.79999999999998"/>
  </r>
  <r>
    <x v="96"/>
    <s v="SETIEMBRE"/>
    <n v="39"/>
    <s v="MARTES"/>
    <x v="46"/>
    <s v="COCA COLA PET 500MLX6"/>
    <n v="500"/>
    <n v="250"/>
    <n v="210"/>
  </r>
  <r>
    <x v="96"/>
    <s v="SETIEMBRE"/>
    <n v="39"/>
    <s v="MARTES"/>
    <x v="32"/>
    <s v="MONSTER ENERGY ULTRA 473MLX4"/>
    <n v="3360"/>
    <n v="420"/>
    <n v="1411.2"/>
  </r>
  <r>
    <x v="96"/>
    <s v="SETIEMBRE"/>
    <n v="39"/>
    <s v="MARTES"/>
    <x v="12"/>
    <s v="POWERADE ION4 FRUTA PET473X6 MOD (STICK)"/>
    <n v="225"/>
    <n v="225"/>
    <n v="90"/>
  </r>
  <r>
    <x v="96"/>
    <s v="SETIEMBRE"/>
    <n v="39"/>
    <s v="MARTES"/>
    <x v="19"/>
    <s v="POWERADE ION4 MORA AZ PET473X6 MOD(STCK)"/>
    <n v="450"/>
    <n v="225"/>
    <n v="180"/>
  </r>
  <r>
    <x v="96"/>
    <s v="SETIEMBRE"/>
    <n v="39"/>
    <s v="MARTES"/>
    <x v="10"/>
    <s v="TWO PACK CC + IK PFM 3LX2 - RFNN"/>
    <n v="1680"/>
    <n v="120"/>
    <n v="285.60000000000002"/>
  </r>
  <r>
    <x v="96"/>
    <s v="SETIEMBRE"/>
    <n v="39"/>
    <s v="MARTES"/>
    <x v="35"/>
    <s v="SAN LUIS SIN GAS PET 625MLX06 MOD"/>
    <n v="180"/>
    <n v="180"/>
    <n v="75.599999999999994"/>
  </r>
  <r>
    <x v="96"/>
    <s v="SETIEMBRE"/>
    <n v="39"/>
    <s v="MARTES"/>
    <x v="45"/>
    <s v="INCA KOLA POWER (CAMU+MACA) PET 410MLX12"/>
    <n v="5200"/>
    <n v="420"/>
    <n v="6240"/>
  </r>
  <r>
    <x v="97"/>
    <s v="SETIEMBRE"/>
    <n v="39"/>
    <s v="MIÉRCOLES"/>
    <x v="34"/>
    <s v="TWO PACK CC PET 1.5LX2 - CRC"/>
    <n v="216"/>
    <n v="198"/>
    <n v="36.720000000000006"/>
  </r>
  <r>
    <x v="97"/>
    <s v="SETIEMBRE"/>
    <n v="39"/>
    <s v="MIÉRCOLES"/>
    <x v="0"/>
    <s v="SAN LUIS SIN GAS PET2500X6 STICKER"/>
    <n v="528"/>
    <n v="48"/>
    <n v="211.20000000000002"/>
  </r>
  <r>
    <x v="97"/>
    <s v="SETIEMBRE"/>
    <n v="39"/>
    <s v="MIÉRCOLES"/>
    <x v="15"/>
    <s v="INCA KOLA VR 625MLX12 - STICKER"/>
    <n v="350"/>
    <n v="50"/>
    <n v="140"/>
  </r>
  <r>
    <x v="97"/>
    <s v="SETIEMBRE"/>
    <n v="39"/>
    <s v="MIÉRCOLES"/>
    <x v="14"/>
    <s v="INCA KOLA VR 296MLX24 - STICKER"/>
    <n v="200"/>
    <n v="40"/>
    <n v="46"/>
  </r>
  <r>
    <x v="97"/>
    <s v="SETIEMBRE"/>
    <n v="39"/>
    <s v="MIÉRCOLES"/>
    <x v="13"/>
    <s v="INCA KOLA VR 1.5LX8 - STICKER"/>
    <n v="60"/>
    <n v="30"/>
    <n v="24"/>
  </r>
  <r>
    <x v="97"/>
    <s v="SETIEMBRE"/>
    <n v="39"/>
    <s v="MIÉRCOLES"/>
    <x v="28"/>
    <s v="COCA COLA VR 1.5LX8 - STICKER"/>
    <n v="60"/>
    <n v="30"/>
    <n v="13.8"/>
  </r>
  <r>
    <x v="97"/>
    <s v="SETIEMBRE"/>
    <n v="39"/>
    <s v="MIÉRCOLES"/>
    <x v="8"/>
    <s v="INCA KOLA PET 1.5LX2 RF"/>
    <n v="864"/>
    <n v="198"/>
    <n v="146.88000000000002"/>
  </r>
  <r>
    <x v="97"/>
    <s v="SETIEMBRE"/>
    <n v="39"/>
    <s v="MIÉRCOLES"/>
    <x v="26"/>
    <s v="TRIPACK CC+CC+IK PFM 3LX3 - RFNN"/>
    <n v="1440"/>
    <n v="90"/>
    <n v="244.8"/>
  </r>
  <r>
    <x v="97"/>
    <s v="SETIEMBRE"/>
    <n v="39"/>
    <s v="MIÉRCOLES"/>
    <x v="25"/>
    <s v="POWERADE 3MORA+3FRUT PET 473MLX6"/>
    <n v="450"/>
    <n v="225"/>
    <n v="189"/>
  </r>
  <r>
    <x v="97"/>
    <s v="SETIEMBRE"/>
    <n v="39"/>
    <s v="MIÉRCOLES"/>
    <x v="12"/>
    <s v="POWERADE ION4 FRUTA PET473X6 MOD (STICK)"/>
    <n v="2250"/>
    <n v="225"/>
    <n v="900"/>
  </r>
  <r>
    <x v="97"/>
    <s v="SETIEMBRE"/>
    <n v="39"/>
    <s v="MIÉRCOLES"/>
    <x v="19"/>
    <s v="POWERADE ION4 MORA AZ PET473X6 MOD(STCK)"/>
    <n v="1575"/>
    <n v="225"/>
    <n v="630"/>
  </r>
  <r>
    <x v="97"/>
    <s v="SETIEMBRE"/>
    <n v="39"/>
    <s v="MIÉRCOLES"/>
    <x v="42"/>
    <s v="FANTA NARANJA PET 500MLX6 BRANDEADO MOD"/>
    <n v="1000"/>
    <n v="420"/>
    <n v="420"/>
  </r>
  <r>
    <x v="97"/>
    <s v="SETIEMBRE"/>
    <n v="39"/>
    <s v="MIÉRCOLES"/>
    <x v="5"/>
    <s v="INCA KOLA PET 2.25LX2 RF"/>
    <n v="1134"/>
    <n v="162"/>
    <n v="192.78"/>
  </r>
  <r>
    <x v="97"/>
    <s v="SETIEMBRE"/>
    <n v="39"/>
    <s v="MIÉRCOLES"/>
    <x v="4"/>
    <s v="COCA-COLA PET 2.25LX2 RF"/>
    <n v="648"/>
    <n v="162"/>
    <n v="110.16000000000001"/>
  </r>
  <r>
    <x v="97"/>
    <s v="SETIEMBRE"/>
    <n v="39"/>
    <s v="MIÉRCOLES"/>
    <x v="3"/>
    <s v="TWO PACK SCHWEPPES GINGER ALE PET 1.5LX2"/>
    <n v="1584"/>
    <n v="198"/>
    <n v="269.28000000000003"/>
  </r>
  <r>
    <x v="97"/>
    <s v="SETIEMBRE"/>
    <n v="39"/>
    <s v="MIÉRCOLES"/>
    <x v="29"/>
    <s v="TWO PACK IK PET 1.5LX2 - CRCG"/>
    <n v="864"/>
    <n v="198"/>
    <n v="146.88000000000002"/>
  </r>
  <r>
    <x v="97"/>
    <s v="SETIEMBRE"/>
    <n v="39"/>
    <s v="MIÉRCOLES"/>
    <x v="2"/>
    <s v="INCA KOLA SIN AZUCAR PET 1.5LX2"/>
    <n v="1728"/>
    <n v="198"/>
    <n v="293.76000000000005"/>
  </r>
  <r>
    <x v="97"/>
    <s v="SETIEMBRE"/>
    <n v="39"/>
    <s v="MIÉRCOLES"/>
    <x v="1"/>
    <s v="COCA-COLA SIN AZUCAR PET 1.5LX2"/>
    <n v="1728"/>
    <n v="198"/>
    <n v="293.76000000000005"/>
  </r>
  <r>
    <x v="97"/>
    <s v="SETIEMBRE"/>
    <n v="39"/>
    <s v="MIÉRCOLES"/>
    <x v="16"/>
    <s v="SAN LUIS CON GAS PET 625MLX6"/>
    <n v="360"/>
    <n v="180"/>
    <n v="151.19999999999999"/>
  </r>
  <r>
    <x v="97"/>
    <s v="SETIEMBRE"/>
    <n v="39"/>
    <s v="MIÉRCOLES"/>
    <x v="16"/>
    <s v="SAN LUIS CON GAS PET 625MLX6"/>
    <n v="540"/>
    <n v="180"/>
    <n v="226.79999999999998"/>
  </r>
  <r>
    <x v="97"/>
    <s v="SETIEMBRE"/>
    <n v="39"/>
    <s v="MIÉRCOLES"/>
    <x v="32"/>
    <s v="MONSTER ENERGY ULTRA 473MLX4"/>
    <n v="1680"/>
    <n v="420"/>
    <n v="705.6"/>
  </r>
  <r>
    <x v="97"/>
    <s v="SETIEMBRE"/>
    <n v="39"/>
    <s v="MIÉRCOLES"/>
    <x v="24"/>
    <s v="MONSTER ENERGY 473MLX4"/>
    <n v="840"/>
    <n v="420"/>
    <n v="352.8"/>
  </r>
  <r>
    <x v="97"/>
    <s v="SETIEMBRE"/>
    <n v="39"/>
    <s v="MIÉRCOLES"/>
    <x v="45"/>
    <s v="INCA KOLA POWER (CAMU+MACA) PET 410MLX12"/>
    <n v="3900"/>
    <n v="420"/>
    <n v="4680"/>
  </r>
  <r>
    <x v="97"/>
    <s v="SETIEMBRE"/>
    <n v="39"/>
    <s v="MIÉRCOLES"/>
    <x v="32"/>
    <s v="MONSTER ENERGY ULTRA 473MLX4"/>
    <n v="420"/>
    <n v="420"/>
    <n v="176.4"/>
  </r>
  <r>
    <x v="97"/>
    <s v="SETIEMBRE"/>
    <n v="39"/>
    <s v="MIÉRCOLES"/>
    <x v="35"/>
    <s v="SAN LUIS SIN GAS PET 625MLX06 MOD"/>
    <n v="180"/>
    <n v="180"/>
    <n v="75.599999999999994"/>
  </r>
  <r>
    <x v="97"/>
    <s v="SETIEMBRE"/>
    <n v="39"/>
    <s v="MIÉRCOLES"/>
    <x v="45"/>
    <s v="INCA KOLA POWER (CAMU+MACA) PET 410MLX12"/>
    <n v="650"/>
    <n v="420"/>
    <n v="780"/>
  </r>
  <r>
    <x v="98"/>
    <s v="SETIEMBRE"/>
    <n v="39"/>
    <s v="JUEVES"/>
    <x v="0"/>
    <s v="SAN LUIS SIN GAS PET2500X6 STICKER"/>
    <n v="336"/>
    <n v="48"/>
    <n v="134.4"/>
  </r>
  <r>
    <x v="98"/>
    <s v="SETIEMBRE"/>
    <n v="39"/>
    <s v="JUEVES"/>
    <x v="0"/>
    <s v="SAN LUIS SIN GAS PET2500X6 STICKER"/>
    <n v="48"/>
    <n v="48"/>
    <n v="19.200000000000003"/>
  </r>
  <r>
    <x v="98"/>
    <s v="SETIEMBRE"/>
    <n v="39"/>
    <s v="JUEVES"/>
    <x v="6"/>
    <s v="INCA KOLA PET 3LX2 - RF"/>
    <n v="1440"/>
    <n v="120"/>
    <n v="244.8"/>
  </r>
  <r>
    <x v="98"/>
    <s v="SETIEMBRE"/>
    <n v="39"/>
    <s v="JUEVES"/>
    <x v="8"/>
    <s v="INCA KOLA PET 1.5LX2 RF"/>
    <n v="864"/>
    <n v="198"/>
    <n v="146.88000000000002"/>
  </r>
  <r>
    <x v="98"/>
    <s v="SETIEMBRE"/>
    <n v="39"/>
    <s v="JUEVES"/>
    <x v="17"/>
    <s v="TWO PACK CC PFM 3LX2 - RFCC"/>
    <n v="720"/>
    <n v="120"/>
    <n v="122.4"/>
  </r>
  <r>
    <x v="98"/>
    <s v="SETIEMBRE"/>
    <n v="39"/>
    <s v="JUEVES"/>
    <x v="23"/>
    <s v="TRIPACK CC+IK+IK PFM 3LX3 - RFNN"/>
    <n v="720"/>
    <n v="90"/>
    <n v="122.4"/>
  </r>
  <r>
    <x v="98"/>
    <s v="SETIEMBRE"/>
    <n v="39"/>
    <s v="JUEVES"/>
    <x v="14"/>
    <s v="INCA KOLA VR 296MLX24 - STICKER"/>
    <n v="320"/>
    <n v="40"/>
    <n v="73.600000000000009"/>
  </r>
  <r>
    <x v="98"/>
    <s v="SETIEMBRE"/>
    <n v="39"/>
    <s v="JUEVES"/>
    <x v="1"/>
    <s v="COCA-COLA SIN AZUCAR PET 1.5LX2"/>
    <n v="648"/>
    <n v="198"/>
    <n v="110.16000000000001"/>
  </r>
  <r>
    <x v="98"/>
    <s v="SETIEMBRE"/>
    <n v="39"/>
    <s v="JUEVES"/>
    <x v="16"/>
    <s v="SAN LUIS CON GAS PET 625MLX6"/>
    <n v="540"/>
    <n v="180"/>
    <n v="226.79999999999998"/>
  </r>
  <r>
    <x v="98"/>
    <s v="SETIEMBRE"/>
    <n v="39"/>
    <s v="JUEVES"/>
    <x v="38"/>
    <s v="SL S/G TAPA PLANA 1LT"/>
    <n v="560"/>
    <n v="112"/>
    <n v="224"/>
  </r>
  <r>
    <x v="98"/>
    <s v="SETIEMBRE"/>
    <n v="39"/>
    <s v="JUEVES"/>
    <x v="2"/>
    <s v="INCA KOLA SIN AZUCAR PET 1.5LX2"/>
    <n v="1080"/>
    <n v="198"/>
    <n v="183.60000000000002"/>
  </r>
  <r>
    <x v="98"/>
    <s v="SETIEMBRE"/>
    <n v="39"/>
    <s v="JUEVES"/>
    <x v="3"/>
    <s v="TWO PACK SCHWEPPES GINGER ALE PET 1.5LX2"/>
    <n v="990"/>
    <n v="198"/>
    <n v="168.3"/>
  </r>
  <r>
    <x v="98"/>
    <s v="SETIEMBRE"/>
    <n v="39"/>
    <s v="JUEVES"/>
    <x v="40"/>
    <s v="SAN LUIS SPORT S/G 10 Lt x6 "/>
    <n v="448"/>
    <n v="240"/>
    <n v="179.20000000000002"/>
  </r>
  <r>
    <x v="98"/>
    <s v="SETIEMBRE"/>
    <n v="39"/>
    <s v="JUEVES"/>
    <x v="4"/>
    <s v="COCA-COLA PET 2.25LX2 RF"/>
    <n v="972"/>
    <n v="162"/>
    <n v="165.24"/>
  </r>
  <r>
    <x v="98"/>
    <s v="SETIEMBRE"/>
    <n v="39"/>
    <s v="JUEVES"/>
    <x v="5"/>
    <s v="INCA KOLA PET 2.25LX2 RF"/>
    <n v="324"/>
    <n v="162"/>
    <n v="55.080000000000005"/>
  </r>
  <r>
    <x v="98"/>
    <s v="SETIEMBRE"/>
    <n v="39"/>
    <s v="JUEVES"/>
    <x v="5"/>
    <s v="INCA KOLA PET 2.25LX2 RF"/>
    <n v="486"/>
    <n v="162"/>
    <n v="82.62"/>
  </r>
  <r>
    <x v="98"/>
    <s v="SETIEMBRE"/>
    <n v="39"/>
    <s v="JUEVES"/>
    <x v="19"/>
    <s v="POWERADE ION4 MORA AZ PET473X6 MOD(STCK)"/>
    <n v="450"/>
    <n v="225"/>
    <n v="180"/>
  </r>
  <r>
    <x v="98"/>
    <s v="SETIEMBRE"/>
    <n v="39"/>
    <s v="JUEVES"/>
    <x v="13"/>
    <s v="INCA KOLA VR 1.5LX8 - STICKER"/>
    <n v="210"/>
    <n v="30"/>
    <n v="84"/>
  </r>
  <r>
    <x v="98"/>
    <s v="SETIEMBRE"/>
    <n v="39"/>
    <s v="JUEVES"/>
    <x v="28"/>
    <s v="COCA COLA VR 1.5LX8 - STICKER"/>
    <n v="240"/>
    <n v="30"/>
    <n v="55.2"/>
  </r>
  <r>
    <x v="98"/>
    <s v="SETIEMBRE"/>
    <n v="39"/>
    <s v="JUEVES"/>
    <x v="28"/>
    <s v="COCA COLA VR 1.5LX8 - STICKER"/>
    <n v="30"/>
    <n v="30"/>
    <n v="6.9"/>
  </r>
  <r>
    <x v="98"/>
    <s v="SETIEMBRE"/>
    <n v="39"/>
    <s v="JUEVES"/>
    <x v="34"/>
    <s v="TWO PACK CC PET 1.5LX2 - CRC"/>
    <n v="1080"/>
    <n v="198"/>
    <n v="183.60000000000002"/>
  </r>
  <r>
    <x v="98"/>
    <s v="SETIEMBRE"/>
    <n v="39"/>
    <s v="JUEVES"/>
    <x v="42"/>
    <s v="FANTA NARANJA PET 500MLX6 BRANDEADO MOD"/>
    <n v="1000"/>
    <n v="420"/>
    <n v="420"/>
  </r>
  <r>
    <x v="98"/>
    <s v="SETIEMBRE"/>
    <n v="39"/>
    <s v="JUEVES"/>
    <x v="29"/>
    <s v="TWO PACK IK PET 1.5LX2 - CRCG"/>
    <n v="1080"/>
    <n v="198"/>
    <n v="183.60000000000002"/>
  </r>
  <r>
    <x v="98"/>
    <s v="SETIEMBRE"/>
    <n v="39"/>
    <s v="JUEVES"/>
    <x v="32"/>
    <s v="MONSTER ENERGY ULTRA 473MLX4"/>
    <n v="840"/>
    <n v="420"/>
    <n v="352.8"/>
  </r>
  <r>
    <x v="98"/>
    <s v="SETIEMBRE"/>
    <n v="39"/>
    <s v="JUEVES"/>
    <x v="24"/>
    <s v="MONSTER ENERGY 473MLX4"/>
    <n v="2100"/>
    <n v="420"/>
    <n v="882"/>
  </r>
  <r>
    <x v="98"/>
    <s v="SETIEMBRE"/>
    <n v="39"/>
    <s v="JUEVES"/>
    <x v="26"/>
    <s v="TRIPACK CC+CC+IK PFM 3LX3 - RFNN"/>
    <n v="2160"/>
    <n v="90"/>
    <n v="367.20000000000005"/>
  </r>
  <r>
    <x v="98"/>
    <s v="SETIEMBRE"/>
    <n v="39"/>
    <s v="JUEVES"/>
    <x v="12"/>
    <s v="POWERADE ION4 FRUTA PET473X6 MOD (STICK)"/>
    <n v="1125"/>
    <n v="225"/>
    <n v="450"/>
  </r>
  <r>
    <x v="98"/>
    <s v="SETIEMBRE"/>
    <n v="39"/>
    <s v="JUEVES"/>
    <x v="25"/>
    <s v="POWERADE 3MORA+3FRUT PET 473MLX6"/>
    <n v="1350"/>
    <n v="225"/>
    <n v="567"/>
  </r>
  <r>
    <x v="98"/>
    <s v="SETIEMBRE"/>
    <n v="39"/>
    <s v="JUEVES"/>
    <x v="11"/>
    <s v="TRIPACK (CC+IK)PFM+FT PET 3LX3 - RFNN"/>
    <n v="1440"/>
    <n v="90"/>
    <n v="244.8"/>
  </r>
  <r>
    <x v="98"/>
    <s v="SETIEMBRE"/>
    <n v="39"/>
    <s v="JUEVES"/>
    <x v="15"/>
    <s v="INCA KOLA VR 625MLX12 - STICKER"/>
    <n v="250"/>
    <n v="50"/>
    <n v="100"/>
  </r>
  <r>
    <x v="98"/>
    <s v="SETIEMBRE"/>
    <n v="39"/>
    <s v="JUEVES"/>
    <x v="33"/>
    <s v="COCA COLA VR 296MLX24 - STICKER"/>
    <n v="40"/>
    <n v="40"/>
    <n v="9.2000000000000011"/>
  </r>
  <r>
    <x v="98"/>
    <s v="SETIEMBRE"/>
    <n v="39"/>
    <s v="JUEVES"/>
    <x v="45"/>
    <s v="INCA KOLA POWER (CAMU+MACA) PET 410MLX12"/>
    <n v="260"/>
    <n v="420"/>
    <n v="312"/>
  </r>
  <r>
    <x v="99"/>
    <s v="SETIEMBRE"/>
    <n v="39"/>
    <s v="VIERNES"/>
    <x v="43"/>
    <s v="SPRITE PET 500MLX6 BRANDEADO MOD"/>
    <n v="500"/>
    <n v="420"/>
    <n v="210"/>
  </r>
  <r>
    <x v="98"/>
    <s v="SETIEMBRE"/>
    <n v="39"/>
    <s v="JUEVES"/>
    <x v="32"/>
    <s v="MONSTER ENERGY ULTRA 473MLX4"/>
    <n v="1260"/>
    <n v="420"/>
    <n v="529.19999999999993"/>
  </r>
  <r>
    <x v="99"/>
    <s v="SETIEMBRE"/>
    <n v="39"/>
    <s v="VIERNES"/>
    <x v="25"/>
    <s v="POWERADE 3MORA+3FRUT PET 473MLX6"/>
    <n v="675"/>
    <n v="225"/>
    <n v="283.5"/>
  </r>
  <r>
    <x v="99"/>
    <s v="SETIEMBRE"/>
    <n v="39"/>
    <s v="VIERNES"/>
    <x v="43"/>
    <s v="SPRITE PET 500MLX6 BRANDEADO MOD"/>
    <n v="250"/>
    <n v="420"/>
    <n v="105"/>
  </r>
  <r>
    <x v="99"/>
    <s v="SETIEMBRE"/>
    <n v="39"/>
    <s v="VIERNES"/>
    <x v="42"/>
    <s v="FANTA NARANJA PET 500MLX6 BRANDEADO MOD"/>
    <n v="250"/>
    <n v="420"/>
    <n v="105"/>
  </r>
  <r>
    <x v="99"/>
    <s v="SETIEMBRE"/>
    <n v="39"/>
    <s v="VIERNES"/>
    <x v="12"/>
    <s v="POWERADE ION4 FRUTA PET473X6 MOD (STICK)"/>
    <n v="450"/>
    <n v="225"/>
    <n v="180"/>
  </r>
  <r>
    <x v="99"/>
    <s v="SETIEMBRE"/>
    <n v="39"/>
    <s v="VIERNES"/>
    <x v="28"/>
    <s v="COCA COLA VR 1.5LX8 - STICKER"/>
    <n v="90"/>
    <n v="30"/>
    <n v="20.7"/>
  </r>
  <r>
    <x v="99"/>
    <s v="SETIEMBRE"/>
    <n v="39"/>
    <s v="VIERNES"/>
    <x v="15"/>
    <s v="INCA KOLA VR 625MLX12 - STICKER"/>
    <n v="100"/>
    <n v="50"/>
    <n v="40"/>
  </r>
  <r>
    <x v="99"/>
    <s v="SETIEMBRE"/>
    <n v="39"/>
    <s v="VIERNES"/>
    <x v="38"/>
    <s v="SL S/G TAPA PLANA 1LT"/>
    <n v="224"/>
    <n v="112"/>
    <n v="89.600000000000009"/>
  </r>
  <r>
    <x v="99"/>
    <s v="SETIEMBRE"/>
    <n v="39"/>
    <s v="VIERNES"/>
    <x v="24"/>
    <s v="MONSTER ENERGY 473MLX4"/>
    <n v="2520"/>
    <n v="420"/>
    <n v="1058.3999999999999"/>
  </r>
  <r>
    <x v="99"/>
    <s v="SETIEMBRE"/>
    <n v="39"/>
    <s v="VIERNES"/>
    <x v="32"/>
    <s v="MONSTER ENERGY ULTRA 473MLX4"/>
    <n v="840"/>
    <n v="420"/>
    <n v="352.8"/>
  </r>
  <r>
    <x v="99"/>
    <s v="SETIEMBRE"/>
    <n v="39"/>
    <s v="VIERNES"/>
    <x v="32"/>
    <s v="MONSTER ENERGY ULTRA 473MLX4"/>
    <n v="840"/>
    <n v="420"/>
    <n v="352.8"/>
  </r>
  <r>
    <x v="99"/>
    <s v="SETIEMBRE"/>
    <n v="39"/>
    <s v="VIERNES"/>
    <x v="16"/>
    <s v="SAN LUIS CON GAS PET 625MLX6"/>
    <n v="360"/>
    <n v="180"/>
    <n v="151.19999999999999"/>
  </r>
  <r>
    <x v="99"/>
    <s v="SETIEMBRE"/>
    <n v="39"/>
    <s v="VIERNES"/>
    <x v="1"/>
    <s v="COCA-COLA SIN AZUCAR PET 1.5LX2"/>
    <n v="432"/>
    <n v="198"/>
    <n v="73.440000000000012"/>
  </r>
  <r>
    <x v="99"/>
    <s v="SETIEMBRE"/>
    <n v="39"/>
    <s v="VIERNES"/>
    <x v="3"/>
    <s v="TWO PACK SCHWEPPES GINGER ALE PET 1.5LX2"/>
    <n v="594"/>
    <n v="198"/>
    <n v="100.98"/>
  </r>
  <r>
    <x v="99"/>
    <s v="SETIEMBRE"/>
    <n v="39"/>
    <s v="VIERNES"/>
    <x v="4"/>
    <s v="COCA-COLA PET 2.25LX2 RF"/>
    <n v="324"/>
    <n v="162"/>
    <n v="55.080000000000005"/>
  </r>
  <r>
    <x v="99"/>
    <s v="SETIEMBRE"/>
    <n v="39"/>
    <s v="VIERNES"/>
    <x v="5"/>
    <s v="INCA KOLA PET 2.25LX2 RF"/>
    <n v="324"/>
    <n v="162"/>
    <n v="55.080000000000005"/>
  </r>
  <r>
    <x v="99"/>
    <s v="SETIEMBRE"/>
    <n v="39"/>
    <s v="VIERNES"/>
    <x v="10"/>
    <s v="TWO PACK CC + IK PFM 3LX2 - RFNN"/>
    <n v="4800"/>
    <n v="120"/>
    <n v="816.00000000000011"/>
  </r>
  <r>
    <x v="99"/>
    <s v="SETIEMBRE"/>
    <n v="39"/>
    <s v="VIERNES"/>
    <x v="9"/>
    <s v="TRIPACK FT NAR+FT KI+SP PET 3L"/>
    <n v="2430"/>
    <n v="90"/>
    <n v="413.1"/>
  </r>
  <r>
    <x v="99"/>
    <s v="SETIEMBRE"/>
    <n v="39"/>
    <s v="VIERNES"/>
    <x v="9"/>
    <s v="TRIPACK FT NAR+FT KI+SP PET 3L"/>
    <n v="450"/>
    <n v="90"/>
    <n v="76.5"/>
  </r>
  <r>
    <x v="99"/>
    <s v="SETIEMBRE"/>
    <n v="39"/>
    <s v="VIERNES"/>
    <x v="11"/>
    <s v="TRIPACK (CC+IK)PFM+FT PET 3LX3 - RFNN"/>
    <n v="3060"/>
    <n v="90"/>
    <n v="520.20000000000005"/>
  </r>
  <r>
    <x v="99"/>
    <s v="SETIEMBRE"/>
    <n v="39"/>
    <s v="VIERNES"/>
    <x v="25"/>
    <s v="POWERADE 3MORA+3FRUT PET 473MLX6"/>
    <n v="675"/>
    <n v="225"/>
    <n v="283.5"/>
  </r>
  <r>
    <x v="99"/>
    <s v="SETIEMBRE"/>
    <n v="39"/>
    <s v="VIERNES"/>
    <x v="6"/>
    <s v="INCA KOLA PET 3LX2 - RF"/>
    <n v="960"/>
    <n v="120"/>
    <n v="163.20000000000002"/>
  </r>
  <r>
    <x v="99"/>
    <s v="SETIEMBRE"/>
    <n v="39"/>
    <s v="VIERNES"/>
    <x v="26"/>
    <s v="TRIPACK CC+CC+IK PFM 3LX3 - RFNN"/>
    <n v="1080"/>
    <n v="90"/>
    <n v="183.60000000000002"/>
  </r>
  <r>
    <x v="99"/>
    <s v="SETIEMBRE"/>
    <n v="39"/>
    <s v="VIERNES"/>
    <x v="23"/>
    <s v="TRIPACK CC+IK+IK PFM 3LX3 - RFNN"/>
    <n v="1080"/>
    <n v="90"/>
    <n v="183.60000000000002"/>
  </r>
  <r>
    <x v="99"/>
    <s v="SETIEMBRE"/>
    <n v="39"/>
    <s v="VIERNES"/>
    <x v="7"/>
    <s v="COCA-COLA PET 1.5LX2 RF"/>
    <n v="648"/>
    <n v="198"/>
    <n v="110.16000000000001"/>
  </r>
  <r>
    <x v="99"/>
    <s v="SETIEMBRE"/>
    <n v="39"/>
    <s v="VIERNES"/>
    <x v="22"/>
    <s v="TWO PACK SCHWEPPES CITRUS PET 1.5LX2"/>
    <n v="396"/>
    <n v="198"/>
    <n v="67.320000000000007"/>
  </r>
  <r>
    <x v="100"/>
    <s v="SETIEMBRE"/>
    <n v="40"/>
    <s v="SÁBADO"/>
    <x v="0"/>
    <s v="SAN LUIS SIN GAS PET2500X6 STICKER"/>
    <n v="576"/>
    <n v="48"/>
    <n v="230.4"/>
  </r>
  <r>
    <x v="100"/>
    <s v="SETIEMBRE"/>
    <n v="40"/>
    <s v="SÁBADO"/>
    <x v="33"/>
    <s v="COCA COLA VR 296MLX24 - STICKER"/>
    <n v="160"/>
    <n v="40"/>
    <n v="36.800000000000004"/>
  </r>
  <r>
    <x v="100"/>
    <s v="SETIEMBRE"/>
    <n v="40"/>
    <s v="SÁBADO"/>
    <x v="14"/>
    <s v="INCA KOLA VR 296MLX24 - STICKER"/>
    <n v="160"/>
    <n v="40"/>
    <n v="36.800000000000004"/>
  </r>
  <r>
    <x v="100"/>
    <s v="SETIEMBRE"/>
    <n v="40"/>
    <s v="SÁBADO"/>
    <x v="15"/>
    <s v="INCA KOLA VR 625MLX12 - STICKER"/>
    <n v="550"/>
    <n v="50"/>
    <n v="220"/>
  </r>
  <r>
    <x v="100"/>
    <s v="SETIEMBRE"/>
    <n v="40"/>
    <s v="SÁBADO"/>
    <x v="24"/>
    <s v="MONSTER ENERGY 473MLX4"/>
    <n v="1680"/>
    <n v="420"/>
    <n v="705.6"/>
  </r>
  <r>
    <x v="100"/>
    <s v="SETIEMBRE"/>
    <n v="40"/>
    <s v="SÁBADO"/>
    <x v="16"/>
    <s v="SAN LUIS CON GAS PET 625MLX6"/>
    <n v="1080"/>
    <n v="180"/>
    <n v="453.59999999999997"/>
  </r>
  <r>
    <x v="100"/>
    <s v="SETIEMBRE"/>
    <n v="40"/>
    <s v="SÁBADO"/>
    <x v="11"/>
    <s v="TRIPACK (CC+IK)PFM+FT PET 3LX3 - RFNN"/>
    <n v="1980"/>
    <n v="90"/>
    <n v="336.6"/>
  </r>
  <r>
    <x v="100"/>
    <s v="SETIEMBRE"/>
    <n v="40"/>
    <s v="SÁBADO"/>
    <x v="11"/>
    <s v="TRIPACK (CC+IK)PFM+FT PET 3LX3 - RFNN"/>
    <n v="180"/>
    <n v="90"/>
    <n v="30.6"/>
  </r>
  <r>
    <x v="100"/>
    <s v="SETIEMBRE"/>
    <n v="40"/>
    <s v="SÁBADO"/>
    <x v="10"/>
    <s v="TWO PACK CC + IK PFM 3LX2 - RFNN"/>
    <n v="360"/>
    <n v="120"/>
    <n v="61.2"/>
  </r>
  <r>
    <x v="100"/>
    <s v="SETIEMBRE"/>
    <n v="40"/>
    <s v="SÁBADO"/>
    <x v="10"/>
    <s v="TWO PACK CC + IK PFM 3LX2 - RFNN"/>
    <n v="5160"/>
    <n v="120"/>
    <n v="877.2"/>
  </r>
  <r>
    <x v="100"/>
    <s v="SETIEMBRE"/>
    <n v="40"/>
    <s v="SÁBADO"/>
    <x v="9"/>
    <s v="TRIPACK FT NAR+FT KI+SP PET 3L"/>
    <n v="2880"/>
    <n v="90"/>
    <n v="489.6"/>
  </r>
  <r>
    <x v="100"/>
    <s v="SETIEMBRE"/>
    <n v="40"/>
    <s v="SÁBADO"/>
    <x v="22"/>
    <s v="TWO PACK SCHWEPPES CITRUS PET 1.5LX2"/>
    <n v="594"/>
    <n v="198"/>
    <n v="100.98"/>
  </r>
  <r>
    <x v="100"/>
    <s v="SETIEMBRE"/>
    <n v="40"/>
    <s v="SÁBADO"/>
    <x v="5"/>
    <s v="INCA KOLA PET 2.25LX2 RF"/>
    <n v="162"/>
    <n v="162"/>
    <n v="27.540000000000003"/>
  </r>
  <r>
    <x v="100"/>
    <s v="SETIEMBRE"/>
    <n v="40"/>
    <s v="SÁBADO"/>
    <x v="6"/>
    <s v="INCA KOLA PET 3LX2 - RF"/>
    <n v="120"/>
    <n v="120"/>
    <n v="20.400000000000002"/>
  </r>
  <r>
    <x v="100"/>
    <s v="SETIEMBRE"/>
    <n v="40"/>
    <s v="SÁBADO"/>
    <x v="2"/>
    <s v="INCA KOLA SIN AZUCAR PET 1.5LX2"/>
    <n v="1296"/>
    <n v="198"/>
    <n v="220.32000000000002"/>
  </r>
  <r>
    <x v="100"/>
    <s v="SETIEMBRE"/>
    <n v="40"/>
    <s v="SÁBADO"/>
    <x v="1"/>
    <s v="COCA-COLA SIN AZUCAR PET 1.5LX2"/>
    <n v="1080"/>
    <n v="198"/>
    <n v="183.60000000000002"/>
  </r>
  <r>
    <x v="100"/>
    <s v="SETIEMBRE"/>
    <n v="40"/>
    <s v="SÁBADO"/>
    <x v="28"/>
    <s v="COCA COLA VR 1.5LX8 - STICKER"/>
    <n v="210"/>
    <n v="30"/>
    <n v="48.300000000000004"/>
  </r>
  <r>
    <x v="100"/>
    <s v="SETIEMBRE"/>
    <n v="40"/>
    <s v="SÁBADO"/>
    <x v="13"/>
    <s v="INCA KOLA VR 1.5LX8 - STICKER"/>
    <n v="120"/>
    <n v="30"/>
    <n v="48"/>
  </r>
  <r>
    <x v="100"/>
    <s v="SETIEMBRE"/>
    <n v="40"/>
    <s v="SÁBADO"/>
    <x v="32"/>
    <s v="MONSTER ENERGY ULTRA 473MLX4"/>
    <n v="1260"/>
    <n v="420"/>
    <n v="529.19999999999993"/>
  </r>
  <r>
    <x v="100"/>
    <s v="SETIEMBRE"/>
    <n v="40"/>
    <s v="SÁBADO"/>
    <x v="7"/>
    <s v="COCA-COLA PET 1.5LX2 RF"/>
    <n v="1728"/>
    <n v="198"/>
    <n v="293.76000000000005"/>
  </r>
  <r>
    <x v="100"/>
    <s v="SETIEMBRE"/>
    <n v="40"/>
    <s v="SÁBADO"/>
    <x v="3"/>
    <s v="TWO PACK SCHWEPPES GINGER ALE PET 1.5LX2"/>
    <n v="396"/>
    <n v="198"/>
    <n v="67.320000000000007"/>
  </r>
  <r>
    <x v="101"/>
    <s v="SETIEMBRE"/>
    <n v="40"/>
    <s v="DOMINGO"/>
    <x v="25"/>
    <s v="POWERADE 3MORA+3FRUT PET 473MLX6"/>
    <n v="1125"/>
    <n v="225"/>
    <n v="472.5"/>
  </r>
  <r>
    <x v="101"/>
    <s v="SETIEMBRE"/>
    <n v="40"/>
    <s v="DOMINGO"/>
    <x v="32"/>
    <s v="MONSTER ENERGY ULTRA 473MLX4"/>
    <n v="2100"/>
    <n v="420"/>
    <n v="882"/>
  </r>
  <r>
    <x v="101"/>
    <s v="SETIEMBRE"/>
    <n v="40"/>
    <s v="DOMINGO"/>
    <x v="24"/>
    <s v="MONSTER ENERGY 473MLX4"/>
    <n v="2520"/>
    <n v="420"/>
    <n v="1058.3999999999999"/>
  </r>
  <r>
    <x v="101"/>
    <s v="SETIEMBRE"/>
    <n v="40"/>
    <s v="DOMINGO"/>
    <x v="25"/>
    <s v="POWERADE 3MORA+3FRUT PET 473MLX6"/>
    <n v="1125"/>
    <n v="225"/>
    <n v="472.5"/>
  </r>
  <r>
    <x v="101"/>
    <s v="SETIEMBRE"/>
    <n v="40"/>
    <s v="DOMINGO"/>
    <x v="7"/>
    <s v="COCA-COLA PET 1.5LX2 RF"/>
    <n v="1944"/>
    <n v="198"/>
    <n v="330.48"/>
  </r>
  <r>
    <x v="101"/>
    <s v="SETIEMBRE"/>
    <n v="40"/>
    <s v="DOMINGO"/>
    <x v="8"/>
    <s v="INCA KOLA PET 1.5LX2 RF"/>
    <n v="1296"/>
    <n v="198"/>
    <n v="220.32000000000002"/>
  </r>
  <r>
    <x v="101"/>
    <s v="SETIEMBRE"/>
    <n v="40"/>
    <s v="DOMINGO"/>
    <x v="11"/>
    <s v="TRIPACK (CC+IK)PFM+FT PET 3LX3 - RFNN"/>
    <n v="720"/>
    <n v="90"/>
    <n v="122.4"/>
  </r>
  <r>
    <x v="101"/>
    <s v="SETIEMBRE"/>
    <n v="40"/>
    <s v="DOMINGO"/>
    <x v="4"/>
    <s v="COCA-COLA PET 2.25LX2 RF"/>
    <n v="324"/>
    <n v="162"/>
    <n v="55.080000000000005"/>
  </r>
  <r>
    <x v="101"/>
    <s v="SETIEMBRE"/>
    <n v="40"/>
    <s v="DOMINGO"/>
    <x v="2"/>
    <s v="INCA KOLA SIN AZUCAR PET 1.5LX2"/>
    <n v="2160"/>
    <n v="198"/>
    <n v="367.20000000000005"/>
  </r>
  <r>
    <x v="101"/>
    <s v="SETIEMBRE"/>
    <n v="40"/>
    <s v="DOMINGO"/>
    <x v="6"/>
    <s v="INCA KOLA PET 3LX2 - RF"/>
    <n v="2640"/>
    <n v="120"/>
    <n v="448.8"/>
  </r>
  <r>
    <x v="101"/>
    <s v="SETIEMBRE"/>
    <n v="40"/>
    <s v="DOMINGO"/>
    <x v="17"/>
    <s v="TWO PACK CC PFM 3LX2 - RFCC"/>
    <n v="360"/>
    <n v="120"/>
    <n v="61.2"/>
  </r>
  <r>
    <x v="101"/>
    <s v="SETIEMBRE"/>
    <n v="40"/>
    <s v="DOMINGO"/>
    <x v="10"/>
    <s v="TWO PACK CC + IK PFM 3LX2 - RFNN"/>
    <n v="2640"/>
    <n v="120"/>
    <n v="448.8"/>
  </r>
  <r>
    <x v="101"/>
    <s v="SETIEMBRE"/>
    <n v="40"/>
    <s v="DOMINGO"/>
    <x v="0"/>
    <s v="SAN LUIS SIN GAS PET2500X6 STICKER"/>
    <n v="336"/>
    <n v="48"/>
    <n v="134.4"/>
  </r>
  <r>
    <x v="101"/>
    <s v="SETIEMBRE"/>
    <n v="40"/>
    <s v="DOMINGO"/>
    <x v="43"/>
    <s v="SPRITE PET 500MLX6 BRANDEADO MOD"/>
    <n v="1000"/>
    <n v="420"/>
    <n v="420"/>
  </r>
  <r>
    <x v="101"/>
    <s v="SETIEMBRE"/>
    <n v="40"/>
    <s v="DOMINGO"/>
    <x v="1"/>
    <s v="COCA-COLA SIN AZUCAR PET 1.5LX2"/>
    <n v="1296"/>
    <n v="198"/>
    <n v="220.32000000000002"/>
  </r>
  <r>
    <x v="102"/>
    <s v="SETIEMBRE"/>
    <n v="40"/>
    <s v="LUNES"/>
    <x v="11"/>
    <s v="TRIPACK (CC+IK)PFM+FT PET 3LX3 - RFNN"/>
    <n v="540"/>
    <n v="90"/>
    <n v="91.800000000000011"/>
  </r>
  <r>
    <x v="102"/>
    <s v="SETIEMBRE"/>
    <n v="40"/>
    <s v="LUNES"/>
    <x v="10"/>
    <s v="TWO PACK CC + IK PFM 3LX2 - RFNN"/>
    <n v="240"/>
    <n v="120"/>
    <n v="40.800000000000004"/>
  </r>
  <r>
    <x v="102"/>
    <s v="SETIEMBRE"/>
    <n v="40"/>
    <s v="LUNES"/>
    <x v="22"/>
    <s v="TWO PACK SCHWEPPES CITRUS PET 1.5LX2"/>
    <n v="396"/>
    <n v="198"/>
    <n v="67.320000000000007"/>
  </r>
  <r>
    <x v="102"/>
    <s v="SETIEMBRE"/>
    <n v="40"/>
    <s v="LUNES"/>
    <x v="8"/>
    <s v="INCA KOLA PET 1.5LX2 RF"/>
    <n v="432"/>
    <n v="198"/>
    <n v="73.440000000000012"/>
  </r>
  <r>
    <x v="102"/>
    <s v="SETIEMBRE"/>
    <n v="40"/>
    <s v="LUNES"/>
    <x v="2"/>
    <s v="INCA KOLA SIN AZUCAR PET 1.5LX2"/>
    <n v="648"/>
    <n v="198"/>
    <n v="110.16000000000001"/>
  </r>
  <r>
    <x v="102"/>
    <s v="SETIEMBRE"/>
    <n v="40"/>
    <s v="LUNES"/>
    <x v="7"/>
    <s v="COCA-COLA PET 1.5LX2 RF"/>
    <n v="432"/>
    <n v="198"/>
    <n v="73.440000000000012"/>
  </r>
  <r>
    <x v="102"/>
    <s v="SETIEMBRE"/>
    <n v="40"/>
    <s v="LUNES"/>
    <x v="17"/>
    <s v="TWO PACK CC PFM 3LX2 - RFCC"/>
    <n v="720"/>
    <n v="120"/>
    <n v="122.4"/>
  </r>
  <r>
    <x v="103"/>
    <s v="SETIEMBRE"/>
    <n v="40"/>
    <s v="MARTES"/>
    <x v="1"/>
    <s v="COCA-COLA SIN AZUCAR PET 1.5LX2"/>
    <n v="6048"/>
    <n v="198"/>
    <n v="1028.1600000000001"/>
  </r>
  <r>
    <x v="103"/>
    <s v="SETIEMBRE"/>
    <n v="40"/>
    <s v="MARTES"/>
    <x v="13"/>
    <s v="INCA KOLA VR 1.5LX8 - STICKER"/>
    <n v="30"/>
    <n v="30"/>
    <n v="12"/>
  </r>
  <r>
    <x v="103"/>
    <s v="SETIEMBRE"/>
    <n v="40"/>
    <s v="MARTES"/>
    <x v="15"/>
    <s v="INCA KOLA VR 625MLX12 - STICKER"/>
    <n v="50"/>
    <n v="50"/>
    <n v="20"/>
  </r>
  <r>
    <x v="103"/>
    <s v="SETIEMBRE"/>
    <n v="40"/>
    <s v="MARTES"/>
    <x v="0"/>
    <s v="SAN LUIS SIN GAS PET2500X6 STICKER"/>
    <n v="576"/>
    <n v="48"/>
    <n v="230.4"/>
  </r>
  <r>
    <x v="103"/>
    <s v="SETIEMBRE"/>
    <n v="40"/>
    <s v="MARTES"/>
    <x v="24"/>
    <s v="MONSTER ENERGY 473MLX4"/>
    <n v="3360"/>
    <n v="420"/>
    <n v="1411.2"/>
  </r>
  <r>
    <x v="103"/>
    <s v="SETIEMBRE"/>
    <n v="40"/>
    <s v="MARTES"/>
    <x v="2"/>
    <s v="INCA KOLA SIN AZUCAR PET 1.5LX2"/>
    <n v="2808"/>
    <n v="198"/>
    <n v="477.36"/>
  </r>
  <r>
    <x v="103"/>
    <s v="SETIEMBRE"/>
    <n v="40"/>
    <s v="MARTES"/>
    <x v="22"/>
    <s v="TWO PACK SCHWEPPES CITRUS PET 1.5LX2"/>
    <n v="990"/>
    <n v="198"/>
    <n v="168.3"/>
  </r>
  <r>
    <x v="103"/>
    <s v="SETIEMBRE"/>
    <n v="40"/>
    <s v="MARTES"/>
    <x v="3"/>
    <s v="TWO PACK SCHWEPPES GINGER ALE PET 1.5LX2"/>
    <n v="594"/>
    <n v="198"/>
    <n v="100.98"/>
  </r>
  <r>
    <x v="103"/>
    <s v="SETIEMBRE"/>
    <n v="40"/>
    <s v="MARTES"/>
    <x v="6"/>
    <s v="INCA KOLA PET 3LX2 - RF"/>
    <n v="1200"/>
    <n v="120"/>
    <n v="204.00000000000003"/>
  </r>
  <r>
    <x v="103"/>
    <s v="SETIEMBRE"/>
    <n v="40"/>
    <s v="MARTES"/>
    <x v="7"/>
    <s v="COCA-COLA PET 1.5LX2 RF"/>
    <n v="5400"/>
    <n v="198"/>
    <n v="918.00000000000011"/>
  </r>
  <r>
    <x v="103"/>
    <s v="SETIEMBRE"/>
    <n v="40"/>
    <s v="MARTES"/>
    <x v="8"/>
    <s v="INCA KOLA PET 1.5LX2 RF"/>
    <n v="4752"/>
    <n v="198"/>
    <n v="807.84"/>
  </r>
  <r>
    <x v="103"/>
    <s v="SETIEMBRE"/>
    <n v="40"/>
    <s v="MARTES"/>
    <x v="11"/>
    <s v="TRIPACK (CC+IK)PFM+FT PET 3LX3 - RFNN"/>
    <n v="3240"/>
    <n v="90"/>
    <n v="550.80000000000007"/>
  </r>
  <r>
    <x v="103"/>
    <s v="SETIEMBRE"/>
    <n v="40"/>
    <s v="MARTES"/>
    <x v="25"/>
    <s v="POWERADE 3MORA+3FRUT PET 473MLX6"/>
    <n v="450"/>
    <n v="225"/>
    <n v="189"/>
  </r>
  <r>
    <x v="103"/>
    <s v="SETIEMBRE"/>
    <n v="40"/>
    <s v="MARTES"/>
    <x v="38"/>
    <s v="SL S/G TAPA PLANA 1LT"/>
    <n v="112"/>
    <n v="112"/>
    <n v="44.800000000000004"/>
  </r>
  <r>
    <x v="103"/>
    <s v="SETIEMBRE"/>
    <n v="40"/>
    <s v="MARTES"/>
    <x v="1"/>
    <s v="COCA-COLA SIN AZUCAR PET 1.5LX2"/>
    <n v="432"/>
    <n v="198"/>
    <n v="73.440000000000012"/>
  </r>
  <r>
    <x v="103"/>
    <s v="SETIEMBRE"/>
    <n v="40"/>
    <s v="MARTES"/>
    <x v="17"/>
    <s v="TWO PACK CC PFM 3LX2 - RFCC"/>
    <n v="1200"/>
    <n v="120"/>
    <n v="204.00000000000003"/>
  </r>
  <r>
    <x v="103"/>
    <s v="SETIEMBRE"/>
    <n v="40"/>
    <s v="MARTES"/>
    <x v="24"/>
    <s v="MONSTER ENERGY 473MLX4"/>
    <n v="1680"/>
    <n v="420"/>
    <n v="705.6"/>
  </r>
  <r>
    <x v="104"/>
    <s v="SETIEMBRE"/>
    <n v="40"/>
    <s v="MIÉRCOLES"/>
    <x v="7"/>
    <s v="COCA-COLA PET 1.5LX2 RF"/>
    <n v="1728"/>
    <n v="198"/>
    <n v="293.76000000000005"/>
  </r>
  <r>
    <x v="104"/>
    <s v="SETIEMBRE"/>
    <n v="40"/>
    <s v="MIÉRCOLES"/>
    <x v="8"/>
    <s v="INCA KOLA PET 1.5LX2 RF"/>
    <n v="864"/>
    <n v="198"/>
    <n v="146.88000000000002"/>
  </r>
  <r>
    <x v="104"/>
    <s v="SETIEMBRE"/>
    <n v="40"/>
    <s v="MIÉRCOLES"/>
    <x v="10"/>
    <s v="TWO PACK CC + IK PFM 3LX2 - RFNN"/>
    <n v="600"/>
    <n v="120"/>
    <n v="102.00000000000001"/>
  </r>
  <r>
    <x v="104"/>
    <s v="SETIEMBRE"/>
    <n v="40"/>
    <s v="MIÉRCOLES"/>
    <x v="28"/>
    <s v="COCA COLA VR 1.5LX8 - STICKER"/>
    <n v="60"/>
    <n v="30"/>
    <n v="13.8"/>
  </r>
  <r>
    <x v="104"/>
    <s v="SETIEMBRE"/>
    <n v="40"/>
    <s v="MIÉRCOLES"/>
    <x v="15"/>
    <s v="INCA KOLA VR 625MLX12 - STICKER"/>
    <n v="150"/>
    <n v="50"/>
    <n v="60"/>
  </r>
  <r>
    <x v="104"/>
    <s v="SETIEMBRE"/>
    <n v="40"/>
    <s v="MIÉRCOLES"/>
    <x v="0"/>
    <s v="SAN LUIS SIN GAS PET2500X6 STICKER"/>
    <n v="336"/>
    <n v="48"/>
    <n v="134.4"/>
  </r>
  <r>
    <x v="104"/>
    <s v="SETIEMBRE"/>
    <n v="40"/>
    <s v="MIÉRCOLES"/>
    <x v="2"/>
    <s v="INCA KOLA SIN AZUCAR PET 1.5LX2"/>
    <n v="1512"/>
    <n v="198"/>
    <n v="257.04000000000002"/>
  </r>
  <r>
    <x v="104"/>
    <s v="SETIEMBRE"/>
    <n v="40"/>
    <s v="MIÉRCOLES"/>
    <x v="11"/>
    <s v="TRIPACK (CC+IK)PFM+FT PET 3LX3 - RFNN"/>
    <n v="1440"/>
    <n v="90"/>
    <n v="244.8"/>
  </r>
  <r>
    <x v="104"/>
    <s v="SETIEMBRE"/>
    <n v="40"/>
    <s v="MIÉRCOLES"/>
    <x v="25"/>
    <s v="POWERADE 3MORA+3FRUT PET 473MLX6"/>
    <n v="675"/>
    <n v="225"/>
    <n v="283.5"/>
  </r>
  <r>
    <x v="104"/>
    <s v="SETIEMBRE"/>
    <n v="40"/>
    <s v="MIÉRCOLES"/>
    <x v="22"/>
    <s v="TWO PACK SCHWEPPES CITRUS PET 1.5LX2"/>
    <n v="396"/>
    <n v="198"/>
    <n v="67.320000000000007"/>
  </r>
  <r>
    <x v="104"/>
    <s v="SETIEMBRE"/>
    <n v="40"/>
    <s v="MIÉRCOLES"/>
    <x v="3"/>
    <s v="TWO PACK SCHWEPPES GINGER ALE PET 1.5LX2"/>
    <n v="198"/>
    <n v="198"/>
    <n v="33.660000000000004"/>
  </r>
  <r>
    <x v="104"/>
    <s v="SETIEMBRE"/>
    <n v="40"/>
    <s v="MIÉRCOLES"/>
    <x v="6"/>
    <s v="INCA KOLA PET 3LX2 - RF"/>
    <n v="1200"/>
    <n v="120"/>
    <n v="204.00000000000003"/>
  </r>
  <r>
    <x v="104"/>
    <s v="SETIEMBRE"/>
    <n v="40"/>
    <s v="MIÉRCOLES"/>
    <x v="4"/>
    <s v="COCA-COLA PET 2.25LX2 RF"/>
    <n v="486"/>
    <n v="162"/>
    <n v="82.62"/>
  </r>
  <r>
    <x v="104"/>
    <s v="SETIEMBRE"/>
    <n v="40"/>
    <s v="MIÉRCOLES"/>
    <x v="17"/>
    <s v="TWO PACK CC PFM 3LX2 - RFCC"/>
    <n v="1200"/>
    <n v="120"/>
    <n v="204.00000000000003"/>
  </r>
  <r>
    <x v="104"/>
    <s v="SETIEMBRE"/>
    <n v="40"/>
    <s v="MIÉRCOLES"/>
    <x v="20"/>
    <s v="TRIPACK (FT NAR+SP)PET+IK RF PFM 3L"/>
    <n v="180"/>
    <n v="90"/>
    <n v="30.6"/>
  </r>
  <r>
    <x v="104"/>
    <s v="SETIEMBRE"/>
    <n v="40"/>
    <s v="MIÉRCOLES"/>
    <x v="24"/>
    <s v="MONSTER ENERGY 473MLX4"/>
    <n v="840"/>
    <n v="420"/>
    <n v="352.8"/>
  </r>
  <r>
    <x v="104"/>
    <s v="SETIEMBRE"/>
    <n v="40"/>
    <s v="MIÉRCOLES"/>
    <x v="45"/>
    <s v="INCA KOLA POWER (CAMU+MACA) PET 410MLX12"/>
    <n v="650"/>
    <n v="420"/>
    <n v="780"/>
  </r>
  <r>
    <x v="104"/>
    <s v="SETIEMBRE"/>
    <n v="40"/>
    <s v="MIÉRCOLES"/>
    <x v="6"/>
    <s v="INCA KOLA PET 3LX2 - RF"/>
    <n v="480"/>
    <n v="120"/>
    <n v="81.600000000000009"/>
  </r>
  <r>
    <x v="104"/>
    <s v="SETIEMBRE"/>
    <n v="40"/>
    <s v="MIÉRCOLES"/>
    <x v="10"/>
    <s v="TWO PACK CC + IK PFM 3LX2 - RFNN"/>
    <n v="3960"/>
    <n v="120"/>
    <n v="673.2"/>
  </r>
  <r>
    <x v="104"/>
    <s v="SETIEMBRE"/>
    <n v="40"/>
    <s v="MIÉRCOLES"/>
    <x v="25"/>
    <s v="POWERADE 3MORA+3FRUT PET 473MLX6"/>
    <n v="450"/>
    <n v="225"/>
    <n v="189"/>
  </r>
  <r>
    <x v="104"/>
    <s v="SETIEMBRE"/>
    <n v="40"/>
    <s v="MIÉRCOLES"/>
    <x v="45"/>
    <s v="INCA KOLA POWER (CAMU+MACA) PET 410MLX12"/>
    <n v="650"/>
    <n v="420"/>
    <n v="780"/>
  </r>
  <r>
    <x v="105"/>
    <s v="SETIEMBRE"/>
    <n v="40"/>
    <s v="JUEVES"/>
    <x v="40"/>
    <s v="SAN LUIS SPORT S/G 10 Lt x6 "/>
    <n v="224"/>
    <n v="240"/>
    <n v="89.600000000000009"/>
  </r>
  <r>
    <x v="105"/>
    <s v="SETIEMBRE"/>
    <n v="40"/>
    <s v="JUEVES"/>
    <x v="38"/>
    <s v="SL S/G TAPA PLANA 1LT"/>
    <n v="448"/>
    <n v="112"/>
    <n v="179.20000000000002"/>
  </r>
  <r>
    <x v="105"/>
    <s v="SETIEMBRE"/>
    <n v="40"/>
    <s v="JUEVES"/>
    <x v="25"/>
    <s v="POWERADE 3MORA+3FRUT PET 473MLX6"/>
    <n v="2925"/>
    <n v="225"/>
    <n v="1228.5"/>
  </r>
  <r>
    <x v="105"/>
    <s v="SETIEMBRE"/>
    <n v="40"/>
    <s v="JUEVES"/>
    <x v="22"/>
    <s v="TWO PACK SCHWEPPES CITRUS PET 1.5LX2"/>
    <n v="792"/>
    <n v="198"/>
    <n v="134.64000000000001"/>
  </r>
  <r>
    <x v="105"/>
    <s v="SETIEMBRE"/>
    <n v="40"/>
    <s v="JUEVES"/>
    <x v="3"/>
    <s v="TWO PACK SCHWEPPES GINGER ALE PET 1.5LX2"/>
    <n v="198"/>
    <n v="198"/>
    <n v="33.660000000000004"/>
  </r>
  <r>
    <x v="105"/>
    <s v="SETIEMBRE"/>
    <n v="40"/>
    <s v="JUEVES"/>
    <x v="8"/>
    <s v="INCA KOLA PET 1.5LX2 RF"/>
    <n v="216"/>
    <n v="198"/>
    <n v="36.720000000000006"/>
  </r>
  <r>
    <x v="105"/>
    <s v="SETIEMBRE"/>
    <n v="40"/>
    <s v="JUEVES"/>
    <x v="5"/>
    <s v="INCA KOLA PET 2.25LX2 RF"/>
    <n v="162"/>
    <n v="162"/>
    <n v="27.540000000000003"/>
  </r>
  <r>
    <x v="105"/>
    <s v="SETIEMBRE"/>
    <n v="40"/>
    <s v="JUEVES"/>
    <x v="4"/>
    <s v="COCA-COLA PET 2.25LX2 RF"/>
    <n v="162"/>
    <n v="162"/>
    <n v="27.540000000000003"/>
  </r>
  <r>
    <x v="105"/>
    <s v="SETIEMBRE"/>
    <n v="40"/>
    <s v="JUEVES"/>
    <x v="42"/>
    <s v="FANTA NARANJA PET 500MLX6 BRANDEADO MOD"/>
    <n v="750"/>
    <n v="420"/>
    <n v="315"/>
  </r>
  <r>
    <x v="105"/>
    <s v="SETIEMBRE"/>
    <n v="40"/>
    <s v="JUEVES"/>
    <x v="0"/>
    <s v="SAN LUIS SIN GAS PET2500X6 STICKER"/>
    <n v="144"/>
    <n v="48"/>
    <n v="57.6"/>
  </r>
  <r>
    <x v="105"/>
    <s v="SETIEMBRE"/>
    <n v="40"/>
    <s v="JUEVES"/>
    <x v="7"/>
    <s v="COCA-COLA PET 1.5LX2 RF"/>
    <n v="648"/>
    <n v="198"/>
    <n v="110.16000000000001"/>
  </r>
  <r>
    <x v="105"/>
    <s v="SETIEMBRE"/>
    <n v="40"/>
    <s v="JUEVES"/>
    <x v="17"/>
    <s v="TWO PACK CC PFM 3LX2 - RFCC"/>
    <n v="1200"/>
    <n v="120"/>
    <n v="204.00000000000003"/>
  </r>
  <r>
    <x v="105"/>
    <s v="SETIEMBRE"/>
    <n v="40"/>
    <s v="JUEVES"/>
    <x v="10"/>
    <s v="TWO PACK CC + IK PFM 3LX2 - RFNN"/>
    <n v="2160"/>
    <n v="120"/>
    <n v="367.20000000000005"/>
  </r>
  <r>
    <x v="105"/>
    <s v="SETIEMBRE"/>
    <n v="40"/>
    <s v="JUEVES"/>
    <x v="26"/>
    <s v="TRIPACK CC+CC+IK PFM 3LX3 - RFNN"/>
    <n v="180"/>
    <n v="90"/>
    <n v="30.6"/>
  </r>
  <r>
    <x v="105"/>
    <s v="SETIEMBRE"/>
    <n v="40"/>
    <s v="JUEVES"/>
    <x v="11"/>
    <s v="TRIPACK (CC+IK)PFM+FT PET 3LX3 - RFNN"/>
    <n v="2160"/>
    <n v="90"/>
    <n v="367.20000000000005"/>
  </r>
  <r>
    <x v="105"/>
    <s v="SETIEMBRE"/>
    <n v="40"/>
    <s v="JUEVES"/>
    <x v="9"/>
    <s v="TRIPACK FT NAR+FT KI+SP PET 3L"/>
    <n v="360"/>
    <n v="90"/>
    <n v="61.2"/>
  </r>
  <r>
    <x v="105"/>
    <s v="SETIEMBRE"/>
    <n v="40"/>
    <s v="JUEVES"/>
    <x v="23"/>
    <s v="TRIPACK CC+IK+IK PFM 3LX3 - RFNN"/>
    <n v="360"/>
    <n v="90"/>
    <n v="61.2"/>
  </r>
  <r>
    <x v="105"/>
    <s v="SETIEMBRE"/>
    <n v="40"/>
    <s v="JUEVES"/>
    <x v="24"/>
    <s v="MONSTER ENERGY 473MLX4"/>
    <n v="2100"/>
    <n v="420"/>
    <n v="882"/>
  </r>
  <r>
    <x v="105"/>
    <s v="SETIEMBRE"/>
    <n v="40"/>
    <s v="JUEVES"/>
    <x v="1"/>
    <s v="COCA-COLA SIN AZUCAR PET 1.5LX2"/>
    <n v="864"/>
    <n v="198"/>
    <n v="146.88000000000002"/>
  </r>
  <r>
    <x v="105"/>
    <s v="SETIEMBRE"/>
    <n v="40"/>
    <s v="JUEVES"/>
    <x v="2"/>
    <s v="INCA KOLA SIN AZUCAR PET 1.5LX2"/>
    <n v="1512"/>
    <n v="198"/>
    <n v="257.04000000000002"/>
  </r>
  <r>
    <x v="105"/>
    <s v="SETIEMBRE"/>
    <n v="40"/>
    <s v="JUEVES"/>
    <x v="6"/>
    <s v="INCA KOLA PET 3LX2 - RF"/>
    <n v="840"/>
    <n v="120"/>
    <n v="142.80000000000001"/>
  </r>
  <r>
    <x v="105"/>
    <s v="SETIEMBRE"/>
    <n v="40"/>
    <s v="JUEVES"/>
    <x v="13"/>
    <s v="INCA KOLA VR 1.5LX8 - STICKER"/>
    <n v="120"/>
    <n v="30"/>
    <n v="48"/>
  </r>
  <r>
    <x v="105"/>
    <s v="SETIEMBRE"/>
    <n v="40"/>
    <s v="JUEVES"/>
    <x v="19"/>
    <s v="POWERADE ION4 MORA AZ PET473X6 MOD(STCK)"/>
    <n v="225"/>
    <n v="225"/>
    <n v="90"/>
  </r>
  <r>
    <x v="105"/>
    <s v="SETIEMBRE"/>
    <n v="40"/>
    <s v="JUEVES"/>
    <x v="12"/>
    <s v="POWERADE ION4 FRUTA PET473X6 MOD (STICK)"/>
    <n v="900"/>
    <n v="225"/>
    <n v="360"/>
  </r>
  <r>
    <x v="105"/>
    <s v="SETIEMBRE"/>
    <n v="40"/>
    <s v="JUEVES"/>
    <x v="0"/>
    <s v="SAN LUIS SIN GAS PET2500X6 STICKER"/>
    <n v="480"/>
    <n v="48"/>
    <n v="192"/>
  </r>
  <r>
    <x v="105"/>
    <s v="SETIEMBRE"/>
    <n v="40"/>
    <s v="JUEVES"/>
    <x v="7"/>
    <s v="COCA-COLA PET 1.5LX2 RF"/>
    <n v="1080"/>
    <n v="198"/>
    <n v="183.60000000000002"/>
  </r>
  <r>
    <x v="105"/>
    <s v="SETIEMBRE"/>
    <n v="40"/>
    <s v="JUEVES"/>
    <x v="7"/>
    <s v="COCA-COLA PET 1.5LX2 RF"/>
    <n v="864"/>
    <n v="198"/>
    <n v="146.88000000000002"/>
  </r>
  <r>
    <x v="105"/>
    <s v="SETIEMBRE"/>
    <n v="40"/>
    <s v="JUEVES"/>
    <x v="3"/>
    <s v="TWO PACK SCHWEPPES GINGER ALE PET 1.5LX2"/>
    <n v="396"/>
    <n v="198"/>
    <n v="67.320000000000007"/>
  </r>
  <r>
    <x v="105"/>
    <s v="SETIEMBRE"/>
    <n v="40"/>
    <s v="JUEVES"/>
    <x v="22"/>
    <s v="TWO PACK SCHWEPPES CITRUS PET 1.5LX2"/>
    <n v="396"/>
    <n v="198"/>
    <n v="67.320000000000007"/>
  </r>
  <r>
    <x v="105"/>
    <s v="SETIEMBRE"/>
    <n v="40"/>
    <s v="JUEVES"/>
    <x v="2"/>
    <s v="INCA KOLA SIN AZUCAR PET 1.5LX2"/>
    <n v="432"/>
    <n v="198"/>
    <n v="73.440000000000012"/>
  </r>
  <r>
    <x v="105"/>
    <s v="SETIEMBRE"/>
    <n v="40"/>
    <s v="JUEVES"/>
    <x v="4"/>
    <s v="COCA-COLA PET 2.25LX2 RF"/>
    <n v="486"/>
    <n v="162"/>
    <n v="82.62"/>
  </r>
  <r>
    <x v="106"/>
    <s v="OCTUBRE"/>
    <n v="40"/>
    <s v="VIERNES"/>
    <x v="47"/>
    <n v="0"/>
    <n v="137"/>
    <n v="0"/>
    <n v="0"/>
  </r>
  <r>
    <x v="106"/>
    <s v="OCTUBRE"/>
    <n v="40"/>
    <s v="VIERNES"/>
    <x v="48"/>
    <n v="0"/>
    <n v="29"/>
    <n v="0"/>
    <n v="0"/>
  </r>
  <r>
    <x v="106"/>
    <s v="OCTUBRE"/>
    <n v="40"/>
    <s v="VIERNES"/>
    <x v="49"/>
    <n v="0"/>
    <n v="66"/>
    <n v="0"/>
    <n v="0"/>
  </r>
  <r>
    <x v="106"/>
    <s v="OCTUBRE"/>
    <n v="40"/>
    <s v="VIERNES"/>
    <x v="7"/>
    <s v="COCA-COLA PET 1.5LX2 RF"/>
    <n v="864"/>
    <n v="198"/>
    <n v="146.88000000000002"/>
  </r>
  <r>
    <x v="106"/>
    <s v="OCTUBRE"/>
    <n v="40"/>
    <s v="VIERNES"/>
    <x v="10"/>
    <s v="TWO PACK CC + IK PFM 3LX2 - RFNN"/>
    <n v="1680"/>
    <n v="120"/>
    <n v="285.60000000000002"/>
  </r>
  <r>
    <x v="106"/>
    <s v="OCTUBRE"/>
    <n v="40"/>
    <s v="VIERNES"/>
    <x v="17"/>
    <s v="TWO PACK CC PFM 3LX2 - RFCC"/>
    <n v="960"/>
    <n v="120"/>
    <n v="163.20000000000002"/>
  </r>
  <r>
    <x v="106"/>
    <s v="OCTUBRE"/>
    <n v="40"/>
    <s v="VIERNES"/>
    <x v="1"/>
    <s v="COCA-COLA SIN AZUCAR PET 1.5LX2"/>
    <n v="1944"/>
    <n v="198"/>
    <n v="330.48"/>
  </r>
  <r>
    <x v="106"/>
    <s v="OCTUBRE"/>
    <n v="40"/>
    <s v="VIERNES"/>
    <x v="0"/>
    <s v="SAN LUIS SIN GAS PET2500X6 STICKER"/>
    <n v="288"/>
    <n v="48"/>
    <n v="115.2"/>
  </r>
  <r>
    <x v="106"/>
    <s v="OCTUBRE"/>
    <n v="40"/>
    <s v="VIERNES"/>
    <x v="6"/>
    <s v="INCA KOLA PET 3LX2 - RF"/>
    <n v="1560"/>
    <n v="120"/>
    <n v="265.20000000000005"/>
  </r>
  <r>
    <x v="106"/>
    <s v="OCTUBRE"/>
    <n v="40"/>
    <s v="VIERNES"/>
    <x v="28"/>
    <s v="COCA COLA VR 1.5LX8 - STICKER"/>
    <n v="60"/>
    <n v="30"/>
    <n v="13.8"/>
  </r>
  <r>
    <x v="106"/>
    <s v="OCTUBRE"/>
    <n v="40"/>
    <s v="VIERNES"/>
    <x v="13"/>
    <s v="INCA KOLA VR 1.5LX8 - STICKER"/>
    <n v="60"/>
    <n v="30"/>
    <n v="24"/>
  </r>
  <r>
    <x v="106"/>
    <s v="OCTUBRE"/>
    <n v="40"/>
    <s v="VIERNES"/>
    <x v="15"/>
    <s v="INCA KOLA VR 625MLX12 - STICKER"/>
    <n v="100"/>
    <n v="50"/>
    <n v="40"/>
  </r>
  <r>
    <x v="106"/>
    <s v="OCTUBRE"/>
    <n v="40"/>
    <s v="VIERNES"/>
    <x v="9"/>
    <s v="TRIPACK FT NAR+FT KI+SP PET 3L"/>
    <n v="180"/>
    <n v="90"/>
    <n v="30.6"/>
  </r>
  <r>
    <x v="106"/>
    <s v="OCTUBRE"/>
    <n v="40"/>
    <s v="VIERNES"/>
    <x v="19"/>
    <s v="POWERADE ION4 MORA AZ PET473X6 MOD(STCK)"/>
    <n v="450"/>
    <n v="225"/>
    <n v="180"/>
  </r>
  <r>
    <x v="106"/>
    <s v="OCTUBRE"/>
    <n v="40"/>
    <s v="VIERNES"/>
    <x v="11"/>
    <s v="TRIPACK (CC+IK)PFM+FT PET 3LX3 - RFNN"/>
    <n v="270"/>
    <n v="90"/>
    <n v="45.900000000000006"/>
  </r>
  <r>
    <x v="106"/>
    <s v="OCTUBRE"/>
    <n v="40"/>
    <s v="VIERNES"/>
    <x v="12"/>
    <s v="POWERADE ION4 FRUTA PET473X6 MOD (STICK)"/>
    <n v="675"/>
    <n v="225"/>
    <n v="270"/>
  </r>
  <r>
    <x v="106"/>
    <s v="OCTUBRE"/>
    <n v="40"/>
    <s v="VIERNES"/>
    <x v="22"/>
    <s v="TWO PACK SCHWEPPES CITRUS PET 1.5LX2"/>
    <n v="792"/>
    <n v="198"/>
    <n v="134.64000000000001"/>
  </r>
  <r>
    <x v="106"/>
    <s v="OCTUBRE"/>
    <n v="40"/>
    <s v="VIERNES"/>
    <x v="3"/>
    <s v="TWO PACK SCHWEPPES GINGER ALE PET 1.5LX2"/>
    <n v="792"/>
    <n v="198"/>
    <n v="134.64000000000001"/>
  </r>
  <r>
    <x v="106"/>
    <s v="OCTUBRE"/>
    <n v="40"/>
    <s v="VIERNES"/>
    <x v="8"/>
    <s v="INCA KOLA PET 1.5LX2 RF"/>
    <n v="2376"/>
    <n v="198"/>
    <n v="403.92"/>
  </r>
  <r>
    <x v="106"/>
    <s v="OCTUBRE"/>
    <n v="40"/>
    <s v="VIERNES"/>
    <x v="38"/>
    <s v="SL S/G TAPA PLANA 1LT"/>
    <n v="112"/>
    <n v="112"/>
    <n v="44.800000000000004"/>
  </r>
  <r>
    <x v="106"/>
    <s v="OCTUBRE"/>
    <n v="40"/>
    <s v="VIERNES"/>
    <x v="42"/>
    <s v="FANTA NARANJA PET 500MLX6 BRANDEADO MOD"/>
    <n v="250"/>
    <n v="420"/>
    <n v="105"/>
  </r>
  <r>
    <x v="106"/>
    <s v="OCTUBRE"/>
    <n v="40"/>
    <s v="VIERNES"/>
    <x v="16"/>
    <s v="SAN LUIS CON GAS PET 625MLX6"/>
    <n v="360"/>
    <n v="180"/>
    <n v="151.19999999999999"/>
  </r>
  <r>
    <x v="106"/>
    <s v="OCTUBRE"/>
    <n v="40"/>
    <s v="VIERNES"/>
    <x v="20"/>
    <s v="TRIPACK (FT NAR+SP)PET+IK RF PFM 3L"/>
    <n v="90"/>
    <n v="90"/>
    <n v="15.3"/>
  </r>
  <r>
    <x v="106"/>
    <s v="OCTUBRE"/>
    <n v="40"/>
    <s v="VIERNES"/>
    <x v="25"/>
    <s v="POWERADE 3MORA+3FRUT PET 473MLX6"/>
    <n v="4950"/>
    <n v="225"/>
    <n v="2079"/>
  </r>
  <r>
    <x v="106"/>
    <s v="OCTUBRE"/>
    <n v="40"/>
    <s v="VIERNES"/>
    <x v="43"/>
    <s v="SPRITE PET 500MLX6 BRANDEADO MOD"/>
    <n v="1250"/>
    <n v="420"/>
    <n v="525"/>
  </r>
  <r>
    <x v="106"/>
    <s v="OCTUBRE"/>
    <n v="40"/>
    <s v="VIERNES"/>
    <x v="6"/>
    <s v="INCA KOLA PET 3LX2 - RF"/>
    <n v="360"/>
    <n v="120"/>
    <n v="61.2"/>
  </r>
  <r>
    <x v="107"/>
    <s v="OCTUBRE"/>
    <n v="41"/>
    <s v="SÁBADO"/>
    <x v="7"/>
    <s v="COCA-COLA PET 1.5LX2 RF"/>
    <n v="1728"/>
    <n v="198"/>
    <n v="293.76000000000005"/>
  </r>
  <r>
    <x v="107"/>
    <s v="OCTUBRE"/>
    <n v="41"/>
    <s v="SÁBADO"/>
    <x v="8"/>
    <s v="INCA KOLA PET 1.5LX2 RF"/>
    <n v="864"/>
    <n v="198"/>
    <n v="146.88000000000002"/>
  </r>
  <r>
    <x v="107"/>
    <s v="OCTUBRE"/>
    <n v="41"/>
    <s v="SÁBADO"/>
    <x v="17"/>
    <s v="TWO PACK CC PFM 3LX2 - RFCC"/>
    <n v="720"/>
    <n v="120"/>
    <n v="122.4"/>
  </r>
  <r>
    <x v="107"/>
    <s v="OCTUBRE"/>
    <n v="41"/>
    <s v="SÁBADO"/>
    <x v="10"/>
    <s v="TWO PACK CC + IK PFM 3LX2 - RFNN"/>
    <n v="2160"/>
    <n v="120"/>
    <n v="367.20000000000005"/>
  </r>
  <r>
    <x v="107"/>
    <s v="OCTUBRE"/>
    <n v="41"/>
    <s v="SÁBADO"/>
    <x v="42"/>
    <s v="FANTA NARANJA PET 500MLX6 BRANDEADO MOD"/>
    <n v="750"/>
    <n v="420"/>
    <n v="315"/>
  </r>
  <r>
    <x v="107"/>
    <s v="OCTUBRE"/>
    <n v="41"/>
    <s v="SÁBADO"/>
    <x v="0"/>
    <s v="SAN LUIS SIN GAS PET2500X6 STICKER"/>
    <n v="288"/>
    <n v="48"/>
    <n v="115.2"/>
  </r>
  <r>
    <x v="107"/>
    <s v="OCTUBRE"/>
    <n v="41"/>
    <s v="SÁBADO"/>
    <x v="38"/>
    <s v="SL S/G TAPA PLANA 1LT"/>
    <n v="224"/>
    <n v="112"/>
    <n v="89.600000000000009"/>
  </r>
  <r>
    <x v="107"/>
    <s v="OCTUBRE"/>
    <n v="41"/>
    <s v="SÁBADO"/>
    <x v="16"/>
    <s v="SAN LUIS CON GAS PET 625MLX6"/>
    <n v="360"/>
    <n v="180"/>
    <n v="151.19999999999999"/>
  </r>
  <r>
    <x v="107"/>
    <s v="OCTUBRE"/>
    <n v="41"/>
    <s v="SÁBADO"/>
    <x v="6"/>
    <s v="INCA KOLA PET 3LX2 - RF"/>
    <n v="840"/>
    <n v="120"/>
    <n v="142.80000000000001"/>
  </r>
  <r>
    <x v="107"/>
    <s v="OCTUBRE"/>
    <n v="41"/>
    <s v="SÁBADO"/>
    <x v="9"/>
    <s v="TRIPACK FT NAR+FT KI+SP PET 3L"/>
    <n v="720"/>
    <n v="90"/>
    <n v="122.4"/>
  </r>
  <r>
    <x v="107"/>
    <s v="OCTUBRE"/>
    <n v="41"/>
    <s v="SÁBADO"/>
    <x v="15"/>
    <s v="INCA KOLA VR 625MLX12 - STICKER"/>
    <n v="50"/>
    <n v="50"/>
    <n v="20"/>
  </r>
  <r>
    <x v="107"/>
    <s v="OCTUBRE"/>
    <n v="41"/>
    <s v="SÁBADO"/>
    <x v="11"/>
    <s v="TRIPACK (CC+IK)PFM+FT PET 3LX3 - RFNN"/>
    <n v="1710"/>
    <n v="90"/>
    <n v="290.70000000000005"/>
  </r>
  <r>
    <x v="107"/>
    <s v="OCTUBRE"/>
    <n v="41"/>
    <s v="SÁBADO"/>
    <x v="23"/>
    <s v="TRIPACK CC+IK+IK PFM 3LX3 - RFNN"/>
    <n v="180"/>
    <n v="90"/>
    <n v="30.6"/>
  </r>
  <r>
    <x v="107"/>
    <s v="OCTUBRE"/>
    <n v="41"/>
    <s v="SÁBADO"/>
    <x v="2"/>
    <s v="INCA KOLA SIN AZUCAR PET 1.5LX2"/>
    <n v="1728"/>
    <n v="198"/>
    <n v="293.76000000000005"/>
  </r>
  <r>
    <x v="107"/>
    <s v="OCTUBRE"/>
    <n v="41"/>
    <s v="SÁBADO"/>
    <x v="3"/>
    <s v="TWO PACK SCHWEPPES GINGER ALE PET 1.5LX2"/>
    <n v="396"/>
    <n v="198"/>
    <n v="67.320000000000007"/>
  </r>
  <r>
    <x v="107"/>
    <s v="OCTUBRE"/>
    <n v="41"/>
    <s v="SÁBADO"/>
    <x v="4"/>
    <s v="COCA-COLA PET 2.25LX2 RF"/>
    <n v="162"/>
    <n v="162"/>
    <n v="27.540000000000003"/>
  </r>
  <r>
    <x v="107"/>
    <s v="OCTUBRE"/>
    <n v="41"/>
    <s v="SÁBADO"/>
    <x v="1"/>
    <s v="COCA-COLA SIN AZUCAR PET 1.5LX2"/>
    <n v="2160"/>
    <n v="198"/>
    <n v="367.20000000000005"/>
  </r>
  <r>
    <x v="107"/>
    <s v="OCTUBRE"/>
    <n v="41"/>
    <s v="SÁBADO"/>
    <x v="33"/>
    <s v="COCA COLA VR 296MLX24 - STICKER"/>
    <n v="160"/>
    <n v="40"/>
    <n v="36.800000000000004"/>
  </r>
  <r>
    <x v="107"/>
    <s v="OCTUBRE"/>
    <n v="41"/>
    <s v="SÁBADO"/>
    <x v="28"/>
    <s v="COCA COLA VR 1.5LX8 - STICKER"/>
    <n v="60"/>
    <n v="30"/>
    <n v="13.8"/>
  </r>
  <r>
    <x v="107"/>
    <s v="OCTUBRE"/>
    <n v="41"/>
    <s v="SÁBADO"/>
    <x v="19"/>
    <s v="POWERADE ION4 MORA AZ PET473X6 MOD(STCK)"/>
    <n v="450"/>
    <n v="225"/>
    <n v="180"/>
  </r>
  <r>
    <x v="107"/>
    <s v="OCTUBRE"/>
    <n v="41"/>
    <s v="SÁBADO"/>
    <x v="12"/>
    <s v="POWERADE ION4 FRUTA PET473X6 MOD (STICK)"/>
    <n v="450"/>
    <n v="225"/>
    <n v="180"/>
  </r>
  <r>
    <x v="108"/>
    <s v="OCTUBRE"/>
    <n v="41"/>
    <s v="LUNES"/>
    <x v="6"/>
    <s v="INCA KOLA PET 3LX2 - RF"/>
    <n v="1200"/>
    <n v="120"/>
    <n v="204.00000000000003"/>
  </r>
  <r>
    <x v="108"/>
    <s v="OCTUBRE"/>
    <n v="41"/>
    <s v="LUNES"/>
    <x v="1"/>
    <s v="COCA-COLA SIN AZUCAR PET 1.5LX2"/>
    <n v="1296"/>
    <n v="198"/>
    <n v="220.32000000000002"/>
  </r>
  <r>
    <x v="108"/>
    <s v="OCTUBRE"/>
    <n v="41"/>
    <s v="LUNES"/>
    <x v="17"/>
    <s v="TWO PACK CC PFM 3LX2 - RFCC"/>
    <n v="960"/>
    <n v="120"/>
    <n v="163.20000000000002"/>
  </r>
  <r>
    <x v="108"/>
    <s v="OCTUBRE"/>
    <n v="41"/>
    <s v="LUNES"/>
    <x v="7"/>
    <s v="COCA-COLA PET 1.5LX2 RF"/>
    <n v="1296"/>
    <n v="198"/>
    <n v="220.32000000000002"/>
  </r>
  <r>
    <x v="108"/>
    <s v="OCTUBRE"/>
    <n v="41"/>
    <s v="LUNES"/>
    <x v="38"/>
    <s v="SL S/G TAPA PLANA 1LT"/>
    <n v="448"/>
    <n v="112"/>
    <n v="179.20000000000002"/>
  </r>
  <r>
    <x v="108"/>
    <s v="OCTUBRE"/>
    <n v="41"/>
    <s v="LUNES"/>
    <x v="13"/>
    <s v="INCA KOLA VR 1.5LX8 - STICKER"/>
    <n v="150"/>
    <n v="30"/>
    <n v="60"/>
  </r>
  <r>
    <x v="108"/>
    <s v="OCTUBRE"/>
    <n v="41"/>
    <s v="LUNES"/>
    <x v="15"/>
    <s v="INCA KOLA VR 625MLX12 - STICKER"/>
    <n v="150"/>
    <n v="50"/>
    <n v="60"/>
  </r>
  <r>
    <x v="108"/>
    <s v="OCTUBRE"/>
    <n v="41"/>
    <s v="LUNES"/>
    <x v="42"/>
    <s v="FANTA NARANJA PET 500MLX6 BRANDEADO MOD"/>
    <n v="500"/>
    <n v="420"/>
    <n v="210"/>
  </r>
  <r>
    <x v="108"/>
    <s v="OCTUBRE"/>
    <n v="41"/>
    <s v="LUNES"/>
    <x v="43"/>
    <s v="SPRITE PET 500MLX6 BRANDEADO MOD"/>
    <n v="250"/>
    <n v="420"/>
    <n v="105"/>
  </r>
  <r>
    <x v="108"/>
    <s v="OCTUBRE"/>
    <n v="41"/>
    <s v="LUNES"/>
    <x v="16"/>
    <s v="SAN LUIS CON GAS PET 625MLX6"/>
    <n v="360"/>
    <n v="180"/>
    <n v="151.19999999999999"/>
  </r>
  <r>
    <x v="108"/>
    <s v="OCTUBRE"/>
    <n v="41"/>
    <s v="LUNES"/>
    <x v="11"/>
    <s v="TRIPACK (CC+IK)PFM+FT PET 3LX3 - RFNN"/>
    <n v="1440"/>
    <n v="90"/>
    <n v="244.8"/>
  </r>
  <r>
    <x v="108"/>
    <s v="OCTUBRE"/>
    <n v="41"/>
    <s v="LUNES"/>
    <x v="10"/>
    <s v="TWO PACK CC + IK PFM 3LX2 - RFNN"/>
    <n v="1680"/>
    <n v="120"/>
    <n v="285.60000000000002"/>
  </r>
  <r>
    <x v="108"/>
    <s v="OCTUBRE"/>
    <n v="41"/>
    <s v="LUNES"/>
    <x v="4"/>
    <s v="COCA-COLA PET 2.25LX2 RF"/>
    <n v="648"/>
    <n v="162"/>
    <n v="110.16000000000001"/>
  </r>
  <r>
    <x v="108"/>
    <s v="OCTUBRE"/>
    <n v="41"/>
    <s v="LUNES"/>
    <x v="9"/>
    <s v="TRIPACK FT NAR+FT KI+SP PET 3L"/>
    <n v="720"/>
    <n v="90"/>
    <n v="122.4"/>
  </r>
  <r>
    <x v="108"/>
    <s v="OCTUBRE"/>
    <n v="41"/>
    <s v="LUNES"/>
    <x v="2"/>
    <s v="INCA KOLA SIN AZUCAR PET 1.5LX2"/>
    <n v="1296"/>
    <n v="198"/>
    <n v="220.32000000000002"/>
  </r>
  <r>
    <x v="108"/>
    <s v="OCTUBRE"/>
    <n v="41"/>
    <s v="LUNES"/>
    <x v="5"/>
    <s v="INCA KOLA PET 2.25LX2 RF"/>
    <n v="648"/>
    <n v="162"/>
    <n v="110.16000000000001"/>
  </r>
  <r>
    <x v="108"/>
    <s v="OCTUBRE"/>
    <n v="41"/>
    <s v="LUNES"/>
    <x v="20"/>
    <s v="TRIPACK (FT NAR+SP)PET+IK RF PFM 3L"/>
    <n v="180"/>
    <n v="90"/>
    <n v="30.6"/>
  </r>
  <r>
    <x v="108"/>
    <s v="OCTUBRE"/>
    <n v="41"/>
    <s v="LUNES"/>
    <x v="3"/>
    <s v="TWO PACK SCHWEPPES GINGER ALE PET 1.5LX2"/>
    <n v="594"/>
    <n v="198"/>
    <n v="100.98"/>
  </r>
  <r>
    <x v="108"/>
    <s v="OCTUBRE"/>
    <n v="41"/>
    <s v="LUNES"/>
    <x v="40"/>
    <s v="SAN LUIS SPORT S/G 10 Lt x6 "/>
    <n v="112"/>
    <n v="240"/>
    <n v="44.800000000000004"/>
  </r>
  <r>
    <x v="108"/>
    <s v="OCTUBRE"/>
    <n v="41"/>
    <s v="LUNES"/>
    <x v="35"/>
    <s v="SAN LUIS SIN GAS PET 625MLX06 MOD"/>
    <n v="180"/>
    <n v="180"/>
    <n v="75.599999999999994"/>
  </r>
  <r>
    <x v="108"/>
    <s v="OCTUBRE"/>
    <n v="41"/>
    <s v="LUNES"/>
    <x v="50"/>
    <n v="0"/>
    <n v="10"/>
    <n v="0"/>
    <n v="0"/>
  </r>
  <r>
    <x v="108"/>
    <s v="OCTUBRE"/>
    <n v="41"/>
    <s v="LUNES"/>
    <x v="48"/>
    <n v="0"/>
    <n v="4"/>
    <n v="0"/>
    <n v="0"/>
  </r>
  <r>
    <x v="108"/>
    <s v="OCTUBRE"/>
    <n v="41"/>
    <s v="LUNES"/>
    <x v="51"/>
    <n v="0"/>
    <n v="3"/>
    <n v="0"/>
    <n v="0"/>
  </r>
  <r>
    <x v="108"/>
    <s v="OCTUBRE"/>
    <n v="41"/>
    <s v="LUNES"/>
    <x v="52"/>
    <n v="0"/>
    <n v="17"/>
    <n v="0"/>
    <n v="0"/>
  </r>
  <r>
    <x v="108"/>
    <s v="OCTUBRE"/>
    <n v="41"/>
    <s v="LUNES"/>
    <x v="53"/>
    <n v="0"/>
    <n v="4"/>
    <n v="0"/>
    <n v="0"/>
  </r>
  <r>
    <x v="108"/>
    <s v="OCTUBRE"/>
    <n v="41"/>
    <s v="LUNES"/>
    <x v="54"/>
    <n v="0"/>
    <n v="12"/>
    <n v="0"/>
    <n v="0"/>
  </r>
  <r>
    <x v="108"/>
    <s v="OCTUBRE"/>
    <n v="41"/>
    <s v="LUNES"/>
    <x v="55"/>
    <n v="0"/>
    <n v="4"/>
    <n v="0"/>
    <n v="0"/>
  </r>
  <r>
    <x v="108"/>
    <s v="OCTUBRE"/>
    <n v="41"/>
    <s v="LUNES"/>
    <x v="56"/>
    <n v="0"/>
    <n v="3"/>
    <n v="0"/>
    <n v="0"/>
  </r>
  <r>
    <x v="108"/>
    <s v="OCTUBRE"/>
    <n v="41"/>
    <s v="LUNES"/>
    <x v="57"/>
    <n v="0"/>
    <n v="2"/>
    <n v="0"/>
    <n v="0"/>
  </r>
  <r>
    <x v="108"/>
    <s v="OCTUBRE"/>
    <n v="41"/>
    <s v="LUNES"/>
    <x v="58"/>
    <n v="0"/>
    <n v="16"/>
    <n v="0"/>
    <n v="0"/>
  </r>
  <r>
    <x v="108"/>
    <s v="OCTUBRE"/>
    <n v="41"/>
    <s v="LUNES"/>
    <x v="59"/>
    <n v="0"/>
    <n v="4"/>
    <n v="0"/>
    <n v="0"/>
  </r>
  <r>
    <x v="109"/>
    <s v="OCTUBRE"/>
    <n v="41"/>
    <s v="MARTES"/>
    <x v="1"/>
    <s v="COCA-COLA SIN AZUCAR PET 1.5LX2"/>
    <n v="1296"/>
    <n v="198"/>
    <n v="220.32000000000002"/>
  </r>
  <r>
    <x v="109"/>
    <s v="OCTUBRE"/>
    <n v="41"/>
    <s v="MARTES"/>
    <x v="10"/>
    <s v="TWO PACK CC + IK PFM 3LX2 - RFNN"/>
    <n v="2400"/>
    <n v="120"/>
    <n v="408.00000000000006"/>
  </r>
  <r>
    <x v="109"/>
    <s v="OCTUBRE"/>
    <n v="41"/>
    <s v="MARTES"/>
    <x v="6"/>
    <s v="INCA KOLA PET 3LX2 - RF"/>
    <n v="1320"/>
    <n v="120"/>
    <n v="224.4"/>
  </r>
  <r>
    <x v="109"/>
    <s v="OCTUBRE"/>
    <n v="41"/>
    <s v="MARTES"/>
    <x v="7"/>
    <s v="COCA-COLA PET 1.5LX2 RF"/>
    <n v="1296"/>
    <n v="198"/>
    <n v="220.32000000000002"/>
  </r>
  <r>
    <x v="109"/>
    <s v="OCTUBRE"/>
    <n v="41"/>
    <s v="MARTES"/>
    <x v="8"/>
    <s v="INCA KOLA PET 1.5LX2 RF"/>
    <n v="864"/>
    <n v="198"/>
    <n v="146.88000000000002"/>
  </r>
  <r>
    <x v="109"/>
    <s v="OCTUBRE"/>
    <n v="41"/>
    <s v="MARTES"/>
    <x v="17"/>
    <s v="TWO PACK CC PFM 3LX2 - RFCC"/>
    <n v="960"/>
    <n v="120"/>
    <n v="163.20000000000002"/>
  </r>
  <r>
    <x v="109"/>
    <s v="OCTUBRE"/>
    <n v="41"/>
    <s v="MARTES"/>
    <x v="40"/>
    <s v="SAN LUIS SPORT S/G 10 Lt x6 "/>
    <n v="224"/>
    <n v="240"/>
    <n v="89.600000000000009"/>
  </r>
  <r>
    <x v="109"/>
    <s v="OCTUBRE"/>
    <n v="41"/>
    <s v="MARTES"/>
    <x v="2"/>
    <s v="INCA KOLA SIN AZUCAR PET 1.5LX2"/>
    <n v="1296"/>
    <n v="198"/>
    <n v="220.32000000000002"/>
  </r>
  <r>
    <x v="109"/>
    <s v="OCTUBRE"/>
    <n v="41"/>
    <s v="MARTES"/>
    <x v="0"/>
    <s v="SAN LUIS SIN GAS PET2500X6 STICKER"/>
    <n v="816"/>
    <n v="48"/>
    <n v="326.40000000000003"/>
  </r>
  <r>
    <x v="109"/>
    <s v="OCTUBRE"/>
    <n v="41"/>
    <s v="MARTES"/>
    <x v="9"/>
    <s v="TRIPACK FT NAR+FT KI+SP PET 3L"/>
    <n v="990"/>
    <n v="90"/>
    <n v="168.3"/>
  </r>
  <r>
    <x v="109"/>
    <s v="OCTUBRE"/>
    <n v="41"/>
    <s v="MARTES"/>
    <x v="11"/>
    <s v="TRIPACK (CC+IK)PFM+FT PET 3LX3 - RFNN"/>
    <n v="2880"/>
    <n v="90"/>
    <n v="489.6"/>
  </r>
  <r>
    <x v="109"/>
    <s v="OCTUBRE"/>
    <n v="41"/>
    <s v="MARTES"/>
    <x v="9"/>
    <s v="TRIPACK FT NAR+FT KI+SP PET 3L"/>
    <n v="180"/>
    <n v="90"/>
    <n v="30.6"/>
  </r>
  <r>
    <x v="109"/>
    <s v="OCTUBRE"/>
    <n v="41"/>
    <s v="MARTES"/>
    <x v="23"/>
    <s v="TRIPACK CC+IK+IK PFM 3LX3 - RFNN"/>
    <n v="450"/>
    <n v="90"/>
    <n v="76.5"/>
  </r>
  <r>
    <x v="109"/>
    <s v="OCTUBRE"/>
    <n v="41"/>
    <s v="MARTES"/>
    <x v="42"/>
    <s v="FANTA NARANJA PET 500MLX6 BRANDEADO MOD"/>
    <n v="500"/>
    <n v="420"/>
    <n v="210"/>
  </r>
  <r>
    <x v="109"/>
    <s v="OCTUBRE"/>
    <n v="41"/>
    <s v="MARTES"/>
    <x v="16"/>
    <s v="SAN LUIS CON GAS PET 625MLX6"/>
    <n v="360"/>
    <n v="180"/>
    <n v="151.19999999999999"/>
  </r>
  <r>
    <x v="109"/>
    <s v="OCTUBRE"/>
    <n v="41"/>
    <s v="MARTES"/>
    <x v="38"/>
    <s v="SL S/G TAPA PLANA 1LT"/>
    <n v="112"/>
    <n v="112"/>
    <n v="44.800000000000004"/>
  </r>
  <r>
    <x v="109"/>
    <s v="OCTUBRE"/>
    <n v="41"/>
    <s v="MARTES"/>
    <x v="43"/>
    <s v="SPRITE PET 500MLX6 BRANDEADO MOD"/>
    <n v="250"/>
    <n v="420"/>
    <n v="105"/>
  </r>
  <r>
    <x v="109"/>
    <s v="OCTUBRE"/>
    <n v="41"/>
    <s v="MARTES"/>
    <x v="15"/>
    <s v="INCA KOLA VR 625MLX12 - STICKER"/>
    <n v="50"/>
    <n v="50"/>
    <n v="20"/>
  </r>
  <r>
    <x v="109"/>
    <s v="OCTUBRE"/>
    <n v="41"/>
    <s v="MARTES"/>
    <x v="13"/>
    <s v="INCA KOLA VR 1.5LX8 - STICKER"/>
    <n v="30"/>
    <n v="30"/>
    <n v="12"/>
  </r>
  <r>
    <x v="109"/>
    <s v="OCTUBRE"/>
    <n v="41"/>
    <s v="MARTES"/>
    <x v="4"/>
    <s v="COCA-COLA PET 2.25LX2 RF"/>
    <n v="324"/>
    <n v="162"/>
    <n v="55.080000000000005"/>
  </r>
  <r>
    <x v="109"/>
    <s v="OCTUBRE"/>
    <n v="41"/>
    <s v="MARTES"/>
    <x v="3"/>
    <s v="TWO PACK SCHWEPPES GINGER ALE PET 1.5LX2"/>
    <n v="198"/>
    <n v="198"/>
    <n v="33.660000000000004"/>
  </r>
  <r>
    <x v="109"/>
    <s v="OCTUBRE"/>
    <n v="41"/>
    <s v="MARTES"/>
    <x v="22"/>
    <s v="TWO PACK SCHWEPPES CITRUS PET 1.5LX2"/>
    <n v="396"/>
    <n v="198"/>
    <n v="67.320000000000007"/>
  </r>
  <r>
    <x v="109"/>
    <s v="OCTUBRE"/>
    <n v="41"/>
    <s v="MARTES"/>
    <x v="5"/>
    <s v="INCA KOLA PET 2.25LX2 RF"/>
    <n v="162"/>
    <n v="162"/>
    <n v="27.540000000000003"/>
  </r>
  <r>
    <x v="109"/>
    <s v="OCTUBRE"/>
    <n v="41"/>
    <s v="MARTES"/>
    <x v="25"/>
    <s v="POWERADE 3MORA+3FRUT PET 473MLX6"/>
    <n v="900"/>
    <n v="225"/>
    <n v="378"/>
  </r>
  <r>
    <x v="109"/>
    <s v="OCTUBRE"/>
    <n v="41"/>
    <s v="MARTES"/>
    <x v="12"/>
    <s v="POWERADE ION4 FRUTA PET473X6 MOD (STICK)"/>
    <n v="225"/>
    <n v="225"/>
    <n v="90"/>
  </r>
  <r>
    <x v="110"/>
    <s v="OCTUBRE"/>
    <n v="41"/>
    <s v="MIÉRCOLES"/>
    <x v="1"/>
    <s v="COCA-COLA SIN AZUCAR PET 1.5LX2"/>
    <n v="864"/>
    <n v="198"/>
    <n v="146.88000000000002"/>
  </r>
  <r>
    <x v="110"/>
    <s v="OCTUBRE"/>
    <n v="41"/>
    <s v="MIÉRCOLES"/>
    <x v="16"/>
    <s v="SAN LUIS CON GAS PET 625MLX6"/>
    <n v="720"/>
    <n v="180"/>
    <n v="302.39999999999998"/>
  </r>
  <r>
    <x v="110"/>
    <s v="OCTUBRE"/>
    <n v="41"/>
    <s v="MIÉRCOLES"/>
    <x v="12"/>
    <s v="POWERADE ION4 FRUTA PET473X6 MOD (STICK)"/>
    <n v="900"/>
    <n v="225"/>
    <n v="360"/>
  </r>
  <r>
    <x v="110"/>
    <s v="OCTUBRE"/>
    <n v="41"/>
    <s v="MIÉRCOLES"/>
    <x v="6"/>
    <s v="INCA KOLA PET 3LX2 - RF"/>
    <n v="1680"/>
    <n v="120"/>
    <n v="285.60000000000002"/>
  </r>
  <r>
    <x v="110"/>
    <s v="OCTUBRE"/>
    <n v="41"/>
    <s v="MIÉRCOLES"/>
    <x v="10"/>
    <s v="TWO PACK CC + IK PFM 3LX2 - RFNN"/>
    <n v="1920"/>
    <n v="120"/>
    <n v="326.40000000000003"/>
  </r>
  <r>
    <x v="110"/>
    <s v="OCTUBRE"/>
    <n v="41"/>
    <s v="MIÉRCOLES"/>
    <x v="9"/>
    <s v="TRIPACK FT NAR+FT KI+SP PET 3L"/>
    <n v="900"/>
    <n v="90"/>
    <n v="153"/>
  </r>
  <r>
    <x v="110"/>
    <s v="OCTUBRE"/>
    <n v="41"/>
    <s v="MIÉRCOLES"/>
    <x v="11"/>
    <s v="TRIPACK (CC+IK)PFM+FT PET 3LX3 - RFNN"/>
    <n v="3330"/>
    <n v="90"/>
    <n v="566.1"/>
  </r>
  <r>
    <x v="110"/>
    <s v="OCTUBRE"/>
    <n v="41"/>
    <s v="MIÉRCOLES"/>
    <x v="23"/>
    <s v="TRIPACK CC+IK+IK PFM 3LX3 - RFNN"/>
    <n v="450"/>
    <n v="90"/>
    <n v="76.5"/>
  </r>
  <r>
    <x v="110"/>
    <s v="OCTUBRE"/>
    <n v="41"/>
    <s v="MIÉRCOLES"/>
    <x v="0"/>
    <s v="SAN LUIS SIN GAS PET2500X6 STICKER"/>
    <n v="672"/>
    <n v="48"/>
    <n v="268.8"/>
  </r>
  <r>
    <x v="110"/>
    <s v="OCTUBRE"/>
    <n v="41"/>
    <s v="MIÉRCOLES"/>
    <x v="13"/>
    <s v="INCA KOLA VR 1.5LX8 - STICKER"/>
    <n v="60"/>
    <n v="30"/>
    <n v="24"/>
  </r>
  <r>
    <x v="110"/>
    <s v="OCTUBRE"/>
    <n v="41"/>
    <s v="MIÉRCOLES"/>
    <x v="15"/>
    <s v="INCA KOLA VR 625MLX12 - STICKER"/>
    <n v="100"/>
    <n v="50"/>
    <n v="40"/>
  </r>
  <r>
    <x v="110"/>
    <s v="OCTUBRE"/>
    <n v="41"/>
    <s v="MIÉRCOLES"/>
    <x v="40"/>
    <s v="SAN LUIS SPORT S/G 10 Lt x6 "/>
    <n v="224"/>
    <n v="240"/>
    <n v="89.600000000000009"/>
  </r>
  <r>
    <x v="110"/>
    <s v="OCTUBRE"/>
    <n v="41"/>
    <s v="MIÉRCOLES"/>
    <x v="2"/>
    <s v="INCA KOLA SIN AZUCAR PET 1.5LX2"/>
    <n v="1728"/>
    <n v="198"/>
    <n v="293.76000000000005"/>
  </r>
  <r>
    <x v="110"/>
    <s v="OCTUBRE"/>
    <n v="41"/>
    <s v="MIÉRCOLES"/>
    <x v="22"/>
    <s v="TWO PACK SCHWEPPES CITRUS PET 1.5LX2"/>
    <n v="198"/>
    <n v="198"/>
    <n v="33.660000000000004"/>
  </r>
  <r>
    <x v="110"/>
    <s v="OCTUBRE"/>
    <n v="41"/>
    <s v="MIÉRCOLES"/>
    <x v="28"/>
    <s v="COCA COLA VR 1.5LX8 - STICKER"/>
    <n v="30"/>
    <n v="30"/>
    <n v="6.9"/>
  </r>
  <r>
    <x v="110"/>
    <s v="OCTUBRE"/>
    <n v="41"/>
    <s v="MIÉRCOLES"/>
    <x v="33"/>
    <s v="COCA COLA VR 296MLX24 - STICKER"/>
    <n v="40"/>
    <n v="40"/>
    <n v="9.2000000000000011"/>
  </r>
  <r>
    <x v="110"/>
    <s v="OCTUBRE"/>
    <n v="41"/>
    <s v="MIÉRCOLES"/>
    <x v="4"/>
    <s v="COCA-COLA PET 2.25LX2 RF"/>
    <n v="162"/>
    <n v="162"/>
    <n v="27.540000000000003"/>
  </r>
  <r>
    <x v="110"/>
    <s v="OCTUBRE"/>
    <n v="41"/>
    <s v="MIÉRCOLES"/>
    <x v="5"/>
    <s v="INCA KOLA PET 2.25LX2 RF"/>
    <n v="648"/>
    <n v="162"/>
    <n v="110.16000000000001"/>
  </r>
  <r>
    <x v="110"/>
    <s v="OCTUBRE"/>
    <n v="41"/>
    <s v="MIÉRCOLES"/>
    <x v="8"/>
    <s v="INCA KOLA PET 1.5LX2 RF"/>
    <n v="648"/>
    <n v="198"/>
    <n v="110.16000000000001"/>
  </r>
  <r>
    <x v="110"/>
    <s v="OCTUBRE"/>
    <n v="41"/>
    <s v="MIÉRCOLES"/>
    <x v="4"/>
    <s v="COCA-COLA PET 2.25LX2 RF"/>
    <n v="486"/>
    <n v="162"/>
    <n v="82.62"/>
  </r>
  <r>
    <x v="111"/>
    <s v="OCTUBRE"/>
    <n v="41"/>
    <s v="JUEVES"/>
    <x v="6"/>
    <s v="INCA KOLA PET 3LX2 - RF"/>
    <n v="1680"/>
    <n v="120"/>
    <n v="285.60000000000002"/>
  </r>
  <r>
    <x v="111"/>
    <s v="OCTUBRE"/>
    <n v="41"/>
    <s v="JUEVES"/>
    <x v="9"/>
    <s v="TRIPACK FT NAR+FT KI+SP PET 3L"/>
    <n v="720"/>
    <n v="90"/>
    <n v="122.4"/>
  </r>
  <r>
    <x v="111"/>
    <s v="OCTUBRE"/>
    <n v="41"/>
    <s v="JUEVES"/>
    <x v="10"/>
    <s v="TWO PACK CC + IK PFM 3LX2 - RFNN"/>
    <n v="1920"/>
    <n v="120"/>
    <n v="326.40000000000003"/>
  </r>
  <r>
    <x v="111"/>
    <s v="OCTUBRE"/>
    <n v="41"/>
    <s v="JUEVES"/>
    <x v="11"/>
    <s v="TRIPACK (CC+IK)PFM+FT PET 3LX3 - RFNN"/>
    <n v="2160"/>
    <n v="90"/>
    <n v="367.20000000000005"/>
  </r>
  <r>
    <x v="111"/>
    <s v="OCTUBRE"/>
    <n v="41"/>
    <s v="JUEVES"/>
    <x v="23"/>
    <s v="TRIPACK CC+IK+IK PFM 3LX3 - RFNN"/>
    <n v="720"/>
    <n v="90"/>
    <n v="122.4"/>
  </r>
  <r>
    <x v="111"/>
    <s v="OCTUBRE"/>
    <n v="41"/>
    <s v="JUEVES"/>
    <x v="0"/>
    <s v="SAN LUIS SIN GAS PET2500X6 STICKER"/>
    <n v="672"/>
    <n v="48"/>
    <n v="268.8"/>
  </r>
  <r>
    <x v="111"/>
    <s v="OCTUBRE"/>
    <n v="41"/>
    <s v="JUEVES"/>
    <x v="15"/>
    <s v="INCA KOLA VR 625MLX12 - STICKER"/>
    <n v="100"/>
    <n v="50"/>
    <n v="40"/>
  </r>
  <r>
    <x v="111"/>
    <s v="OCTUBRE"/>
    <n v="41"/>
    <s v="JUEVES"/>
    <x v="40"/>
    <s v="SAN LUIS SPORT S/G 10 Lt x6 "/>
    <n v="224"/>
    <n v="240"/>
    <n v="89.600000000000009"/>
  </r>
  <r>
    <x v="111"/>
    <s v="OCTUBRE"/>
    <n v="41"/>
    <s v="JUEVES"/>
    <x v="13"/>
    <s v="INCA KOLA VR 1.5LX8 - STICKER"/>
    <n v="60"/>
    <n v="30"/>
    <n v="24"/>
  </r>
  <r>
    <x v="111"/>
    <s v="OCTUBRE"/>
    <n v="41"/>
    <s v="JUEVES"/>
    <x v="12"/>
    <s v="POWERADE ION4 FRUTA PET473X6 MOD (STICK)"/>
    <n v="900"/>
    <n v="225"/>
    <n v="360"/>
  </r>
  <r>
    <x v="111"/>
    <s v="OCTUBRE"/>
    <n v="41"/>
    <s v="JUEVES"/>
    <x v="1"/>
    <s v="COCA-COLA SIN AZUCAR PET 1.5LX2"/>
    <n v="3024"/>
    <n v="198"/>
    <n v="514.08000000000004"/>
  </r>
  <r>
    <x v="111"/>
    <s v="OCTUBRE"/>
    <n v="41"/>
    <s v="JUEVES"/>
    <x v="5"/>
    <s v="INCA KOLA PET 2.25LX2 RF"/>
    <n v="648"/>
    <n v="162"/>
    <n v="110.16000000000001"/>
  </r>
  <r>
    <x v="111"/>
    <s v="OCTUBRE"/>
    <n v="41"/>
    <s v="JUEVES"/>
    <x v="7"/>
    <s v="COCA-COLA PET 1.5LX2 RF"/>
    <n v="864"/>
    <n v="198"/>
    <n v="146.88000000000002"/>
  </r>
  <r>
    <x v="111"/>
    <s v="OCTUBRE"/>
    <n v="41"/>
    <s v="JUEVES"/>
    <x v="38"/>
    <s v="SL S/G TAPA PLANA 1LT"/>
    <n v="224"/>
    <n v="112"/>
    <n v="89.600000000000009"/>
  </r>
  <r>
    <x v="111"/>
    <s v="OCTUBRE"/>
    <n v="41"/>
    <s v="JUEVES"/>
    <x v="16"/>
    <s v="SAN LUIS CON GAS PET 625MLX6"/>
    <n v="360"/>
    <n v="180"/>
    <n v="151.19999999999999"/>
  </r>
  <r>
    <x v="111"/>
    <s v="OCTUBRE"/>
    <n v="41"/>
    <s v="JUEVES"/>
    <x v="17"/>
    <s v="TWO PACK CC PFM 3LX2 - RFCC"/>
    <n v="240"/>
    <n v="120"/>
    <n v="40.800000000000004"/>
  </r>
  <r>
    <x v="111"/>
    <s v="OCTUBRE"/>
    <n v="41"/>
    <s v="JUEVES"/>
    <x v="4"/>
    <s v="COCA-COLA PET 2.25LX2 RF"/>
    <n v="324"/>
    <n v="162"/>
    <n v="55.080000000000005"/>
  </r>
  <r>
    <x v="111"/>
    <s v="OCTUBRE"/>
    <n v="41"/>
    <s v="JUEVES"/>
    <x v="2"/>
    <s v="INCA KOLA SIN AZUCAR PET 1.5LX2"/>
    <n v="1728"/>
    <n v="198"/>
    <n v="293.76000000000005"/>
  </r>
  <r>
    <x v="111"/>
    <s v="OCTUBRE"/>
    <n v="41"/>
    <s v="JUEVES"/>
    <x v="8"/>
    <s v="INCA KOLA PET 1.5LX2 RF"/>
    <n v="1728"/>
    <n v="198"/>
    <n v="293.76000000000005"/>
  </r>
  <r>
    <x v="111"/>
    <s v="OCTUBRE"/>
    <n v="41"/>
    <s v="JUEVES"/>
    <x v="42"/>
    <s v="FANTA NARANJA PET 500MLX6 BRANDEADO MOD"/>
    <n v="250"/>
    <n v="420"/>
    <n v="105"/>
  </r>
  <r>
    <x v="111"/>
    <s v="OCTUBRE"/>
    <n v="41"/>
    <s v="JUEVES"/>
    <x v="35"/>
    <s v="SAN LUIS SIN GAS PET 625MLX06 MOD"/>
    <n v="180"/>
    <n v="180"/>
    <n v="75.599999999999994"/>
  </r>
  <r>
    <x v="111"/>
    <s v="OCTUBRE"/>
    <n v="41"/>
    <s v="JUEVES"/>
    <x v="28"/>
    <s v="COCA COLA VR 1.5LX8 - STICKER"/>
    <n v="120"/>
    <n v="30"/>
    <n v="27.6"/>
  </r>
  <r>
    <x v="112"/>
    <s v="OCTUBRE"/>
    <n v="41"/>
    <s v="VIERNES"/>
    <x v="60"/>
    <n v="0"/>
    <n v="89"/>
    <n v="0"/>
    <n v="0"/>
  </r>
  <r>
    <x v="112"/>
    <s v="OCTUBRE"/>
    <n v="41"/>
    <s v="VIERNES"/>
    <x v="61"/>
    <n v="0"/>
    <n v="45"/>
    <n v="0"/>
    <n v="0"/>
  </r>
  <r>
    <x v="112"/>
    <s v="OCTUBRE"/>
    <n v="41"/>
    <s v="VIERNES"/>
    <x v="40"/>
    <s v="SAN LUIS SPORT S/G 10 Lt x6 "/>
    <n v="112"/>
    <n v="240"/>
    <n v="44.800000000000004"/>
  </r>
  <r>
    <x v="112"/>
    <s v="OCTUBRE"/>
    <n v="41"/>
    <s v="VIERNES"/>
    <x v="16"/>
    <s v="SAN LUIS CON GAS PET 625MLX6"/>
    <n v="180"/>
    <n v="180"/>
    <n v="75.599999999999994"/>
  </r>
  <r>
    <x v="112"/>
    <s v="OCTUBRE"/>
    <n v="41"/>
    <s v="VIERNES"/>
    <x v="0"/>
    <s v="SAN LUIS SIN GAS PET2500X6 STICKER"/>
    <n v="48"/>
    <n v="48"/>
    <n v="19.200000000000003"/>
  </r>
  <r>
    <x v="112"/>
    <s v="OCTUBRE"/>
    <n v="41"/>
    <s v="VIERNES"/>
    <x v="28"/>
    <s v="COCA COLA VR 1.5LX8 - STICKER"/>
    <n v="30"/>
    <n v="30"/>
    <n v="6.9"/>
  </r>
  <r>
    <x v="112"/>
    <s v="OCTUBRE"/>
    <n v="41"/>
    <s v="VIERNES"/>
    <x v="11"/>
    <s v="TRIPACK (CC+IK)PFM+FT PET 3LX3 - RFNN"/>
    <n v="900"/>
    <n v="90"/>
    <n v="153"/>
  </r>
  <r>
    <x v="112"/>
    <s v="OCTUBRE"/>
    <n v="41"/>
    <s v="VIERNES"/>
    <x v="3"/>
    <s v="TWO PACK SCHWEPPES GINGER ALE PET 1.5LX2"/>
    <n v="792"/>
    <n v="198"/>
    <n v="134.64000000000001"/>
  </r>
  <r>
    <x v="112"/>
    <s v="OCTUBRE"/>
    <n v="41"/>
    <s v="VIERNES"/>
    <x v="10"/>
    <s v="TWO PACK CC + IK PFM 3LX2 - RFNN"/>
    <n v="1080"/>
    <n v="120"/>
    <n v="183.60000000000002"/>
  </r>
  <r>
    <x v="112"/>
    <s v="OCTUBRE"/>
    <n v="41"/>
    <s v="VIERNES"/>
    <x v="8"/>
    <s v="INCA KOLA PET 1.5LX2 RF"/>
    <n v="864"/>
    <n v="198"/>
    <n v="146.88000000000002"/>
  </r>
  <r>
    <x v="112"/>
    <s v="OCTUBRE"/>
    <n v="41"/>
    <s v="VIERNES"/>
    <x v="4"/>
    <s v="COCA-COLA PET 2.25LX2 RF"/>
    <n v="486"/>
    <n v="162"/>
    <n v="82.62"/>
  </r>
  <r>
    <x v="112"/>
    <s v="OCTUBRE"/>
    <n v="41"/>
    <s v="VIERNES"/>
    <x v="9"/>
    <s v="TRIPACK FT NAR+FT KI+SP PET 3L"/>
    <n v="270"/>
    <n v="90"/>
    <n v="45.900000000000006"/>
  </r>
  <r>
    <x v="112"/>
    <s v="OCTUBRE"/>
    <n v="41"/>
    <s v="VIERNES"/>
    <x v="5"/>
    <s v="INCA KOLA PET 2.25LX2 RF"/>
    <n v="486"/>
    <n v="162"/>
    <n v="82.62"/>
  </r>
  <r>
    <x v="112"/>
    <s v="OCTUBRE"/>
    <n v="41"/>
    <s v="VIERNES"/>
    <x v="6"/>
    <s v="INCA KOLA PET 3LX2 - RF"/>
    <n v="840"/>
    <n v="120"/>
    <n v="142.80000000000001"/>
  </r>
  <r>
    <x v="112"/>
    <s v="OCTUBRE"/>
    <n v="41"/>
    <s v="VIERNES"/>
    <x v="2"/>
    <s v="INCA KOLA SIN AZUCAR PET 1.5LX2"/>
    <n v="648"/>
    <n v="198"/>
    <n v="110.16000000000001"/>
  </r>
  <r>
    <x v="112"/>
    <s v="OCTUBRE"/>
    <n v="41"/>
    <s v="VIERNES"/>
    <x v="1"/>
    <s v="COCA-COLA SIN AZUCAR PET 1.5LX2"/>
    <n v="1728"/>
    <n v="198"/>
    <n v="293.76000000000005"/>
  </r>
  <r>
    <x v="113"/>
    <s v="OCTUBRE"/>
    <n v="42"/>
    <s v="SÁBADO"/>
    <x v="29"/>
    <s v="TWO PACK IK PET 1.5LX2 - CRCG"/>
    <n v="216"/>
    <n v="198"/>
    <n v="36.720000000000006"/>
  </r>
  <r>
    <x v="113"/>
    <s v="OCTUBRE"/>
    <n v="42"/>
    <s v="SÁBADO"/>
    <x v="6"/>
    <s v="INCA KOLA PET 3LX2 - RF"/>
    <n v="1440"/>
    <n v="120"/>
    <n v="244.8"/>
  </r>
  <r>
    <x v="113"/>
    <s v="OCTUBRE"/>
    <n v="42"/>
    <s v="SÁBADO"/>
    <x v="3"/>
    <s v="TWO PACK SCHWEPPES GINGER ALE PET 1.5LX2"/>
    <n v="1188"/>
    <n v="198"/>
    <n v="201.96"/>
  </r>
  <r>
    <x v="113"/>
    <s v="OCTUBRE"/>
    <n v="42"/>
    <s v="SÁBADO"/>
    <x v="4"/>
    <s v="COCA-COLA PET 2.25LX2 RF"/>
    <n v="648"/>
    <n v="162"/>
    <n v="110.16000000000001"/>
  </r>
  <r>
    <x v="113"/>
    <s v="OCTUBRE"/>
    <n v="42"/>
    <s v="SÁBADO"/>
    <x v="22"/>
    <s v="TWO PACK SCHWEPPES CITRUS PET 1.5LX2"/>
    <n v="1188"/>
    <n v="198"/>
    <n v="201.96"/>
  </r>
  <r>
    <x v="113"/>
    <s v="OCTUBRE"/>
    <n v="42"/>
    <s v="SÁBADO"/>
    <x v="8"/>
    <s v="INCA KOLA PET 1.5LX2 RF"/>
    <n v="1296"/>
    <n v="198"/>
    <n v="220.32000000000002"/>
  </r>
  <r>
    <x v="113"/>
    <s v="OCTUBRE"/>
    <n v="42"/>
    <s v="SÁBADO"/>
    <x v="11"/>
    <s v="TRIPACK (CC+IK)PFM+FT PET 3LX3 - RFNN"/>
    <n v="900"/>
    <n v="90"/>
    <n v="153"/>
  </r>
  <r>
    <x v="113"/>
    <s v="OCTUBRE"/>
    <n v="42"/>
    <s v="SÁBADO"/>
    <x v="5"/>
    <s v="INCA KOLA PET 2.25LX2 RF"/>
    <n v="648"/>
    <n v="162"/>
    <n v="110.16000000000001"/>
  </r>
  <r>
    <x v="113"/>
    <s v="OCTUBRE"/>
    <n v="42"/>
    <s v="SÁBADO"/>
    <x v="1"/>
    <s v="COCA-COLA SIN AZUCAR PET 1.5LX2"/>
    <n v="3024"/>
    <n v="198"/>
    <n v="514.08000000000004"/>
  </r>
  <r>
    <x v="113"/>
    <s v="OCTUBRE"/>
    <n v="42"/>
    <s v="SÁBADO"/>
    <x v="2"/>
    <s v="INCA KOLA SIN AZUCAR PET 1.5LX2"/>
    <n v="864"/>
    <n v="198"/>
    <n v="146.88000000000002"/>
  </r>
  <r>
    <x v="113"/>
    <s v="OCTUBRE"/>
    <n v="42"/>
    <s v="SÁBADO"/>
    <x v="9"/>
    <s v="TRIPACK FT NAR+FT KI+SP PET 3L"/>
    <n v="450"/>
    <n v="90"/>
    <n v="76.5"/>
  </r>
  <r>
    <x v="113"/>
    <s v="OCTUBRE"/>
    <n v="42"/>
    <s v="SÁBADO"/>
    <x v="10"/>
    <s v="TWO PACK CC + IK PFM 3LX2 - RFNN"/>
    <n v="1440"/>
    <n v="120"/>
    <n v="244.8"/>
  </r>
  <r>
    <x v="113"/>
    <s v="OCTUBRE"/>
    <n v="42"/>
    <s v="SÁBADO"/>
    <x v="35"/>
    <s v="SAN LUIS SIN GAS PET 625MLX06 MOD"/>
    <n v="1260"/>
    <n v="180"/>
    <n v="529.19999999999993"/>
  </r>
  <r>
    <x v="113"/>
    <s v="OCTUBRE"/>
    <n v="42"/>
    <s v="SÁBADO"/>
    <x v="16"/>
    <s v="SAN LUIS CON GAS PET 625MLX6"/>
    <n v="360"/>
    <n v="180"/>
    <n v="151.19999999999999"/>
  </r>
  <r>
    <x v="113"/>
    <s v="OCTUBRE"/>
    <n v="42"/>
    <s v="SÁBADO"/>
    <x v="28"/>
    <s v="COCA COLA VR 1.5LX8 - STICKER"/>
    <n v="90"/>
    <n v="30"/>
    <n v="20.7"/>
  </r>
  <r>
    <x v="113"/>
    <s v="OCTUBRE"/>
    <n v="42"/>
    <s v="SÁBADO"/>
    <x v="13"/>
    <s v="INCA KOLA VR 1.5LX8 - STICKER"/>
    <n v="210"/>
    <n v="30"/>
    <n v="84"/>
  </r>
  <r>
    <x v="113"/>
    <s v="OCTUBRE"/>
    <n v="42"/>
    <s v="SÁBADO"/>
    <x v="43"/>
    <s v="SPRITE PET 500MLX6 BRANDEADO MOD"/>
    <n v="250"/>
    <n v="420"/>
    <n v="105"/>
  </r>
  <r>
    <x v="113"/>
    <s v="OCTUBRE"/>
    <n v="42"/>
    <s v="SÁBADO"/>
    <x v="19"/>
    <s v="POWERADE ION4 MORA AZ PET473X6 MOD(STCK)"/>
    <n v="765"/>
    <n v="225"/>
    <n v="306"/>
  </r>
  <r>
    <x v="113"/>
    <s v="OCTUBRE"/>
    <n v="42"/>
    <s v="SÁBADO"/>
    <x v="0"/>
    <s v="SAN LUIS SIN GAS PET2500X6 STICKER"/>
    <n v="240"/>
    <n v="48"/>
    <n v="96"/>
  </r>
  <r>
    <x v="113"/>
    <s v="OCTUBRE"/>
    <n v="42"/>
    <s v="SÁBADO"/>
    <x v="7"/>
    <s v="COCA-COLA PET 1.5LX2 RF"/>
    <n v="1296"/>
    <n v="198"/>
    <n v="220.32000000000002"/>
  </r>
  <r>
    <x v="113"/>
    <s v="OCTUBRE"/>
    <n v="42"/>
    <s v="SÁBADO"/>
    <x v="17"/>
    <s v="TWO PACK CC PFM 3LX2 - RFCC"/>
    <n v="480"/>
    <n v="120"/>
    <n v="81.600000000000009"/>
  </r>
  <r>
    <x v="113"/>
    <s v="OCTUBRE"/>
    <n v="42"/>
    <s v="SÁBADO"/>
    <x v="25"/>
    <s v="POWERADE 3MORA+3FRUT PET 473MLX6"/>
    <n v="1350"/>
    <n v="225"/>
    <n v="567"/>
  </r>
  <r>
    <x v="113"/>
    <s v="OCTUBRE"/>
    <n v="42"/>
    <s v="SÁBADO"/>
    <x v="38"/>
    <s v="SL S/G TAPA PLANA 1LT"/>
    <n v="224"/>
    <n v="112"/>
    <n v="89.600000000000009"/>
  </r>
  <r>
    <x v="113"/>
    <s v="OCTUBRE"/>
    <n v="42"/>
    <s v="SÁBADO"/>
    <x v="36"/>
    <s v="SAN LUIS SIN GAS PET 625MLX15 C/STICKER"/>
    <n v="180"/>
    <n v="90"/>
    <n v="72"/>
  </r>
  <r>
    <x v="114"/>
    <s v="OCTUBRE"/>
    <n v="42"/>
    <s v="DOMINGO"/>
    <x v="36"/>
    <s v="SAN LUIS SIN GAS PET 625MLX15 C/STICKER"/>
    <n v="1170"/>
    <n v="90"/>
    <n v="468"/>
  </r>
  <r>
    <x v="114"/>
    <s v="OCTUBRE"/>
    <n v="42"/>
    <s v="DOMINGO"/>
    <x v="35"/>
    <s v="SAN LUIS SIN GAS PET 625MLX06 MOD"/>
    <n v="2160"/>
    <n v="180"/>
    <n v="907.19999999999993"/>
  </r>
  <r>
    <x v="115"/>
    <s v="OCTUBRE"/>
    <n v="42"/>
    <s v="LUNES"/>
    <x v="2"/>
    <s v="INCA KOLA SIN AZUCAR PET 1.5LX2"/>
    <n v="648"/>
    <n v="198"/>
    <n v="110.16000000000001"/>
  </r>
  <r>
    <x v="115"/>
    <s v="OCTUBRE"/>
    <n v="42"/>
    <s v="LUNES"/>
    <x v="1"/>
    <s v="COCA-COLA SIN AZUCAR PET 1.5LX2"/>
    <n v="1728"/>
    <n v="198"/>
    <n v="293.76000000000005"/>
  </r>
  <r>
    <x v="115"/>
    <s v="OCTUBRE"/>
    <n v="42"/>
    <s v="LUNES"/>
    <x v="6"/>
    <s v="INCA KOLA PET 3LX2 - RF"/>
    <n v="840"/>
    <n v="120"/>
    <n v="142.80000000000001"/>
  </r>
  <r>
    <x v="115"/>
    <s v="OCTUBRE"/>
    <n v="42"/>
    <s v="LUNES"/>
    <x v="10"/>
    <s v="TWO PACK CC + IK PFM 3LX2 - RFNN"/>
    <n v="2640"/>
    <n v="120"/>
    <n v="448.8"/>
  </r>
  <r>
    <x v="115"/>
    <s v="OCTUBRE"/>
    <n v="42"/>
    <s v="LUNES"/>
    <x v="11"/>
    <s v="TRIPACK (CC+IK)PFM+FT PET 3LX3 - RFNN"/>
    <n v="3780"/>
    <n v="90"/>
    <n v="642.6"/>
  </r>
  <r>
    <x v="115"/>
    <s v="OCTUBRE"/>
    <n v="42"/>
    <s v="LUNES"/>
    <x v="8"/>
    <s v="INCA KOLA PET 1.5LX2 RF"/>
    <n v="864"/>
    <n v="198"/>
    <n v="146.88000000000002"/>
  </r>
  <r>
    <x v="115"/>
    <s v="OCTUBRE"/>
    <n v="42"/>
    <s v="LUNES"/>
    <x v="5"/>
    <s v="INCA KOLA PET 2.25LX2 RF"/>
    <n v="486"/>
    <n v="162"/>
    <n v="82.62"/>
  </r>
  <r>
    <x v="115"/>
    <s v="OCTUBRE"/>
    <n v="42"/>
    <s v="LUNES"/>
    <x v="9"/>
    <s v="TRIPACK FT NAR+FT KI+SP PET 3L"/>
    <n v="450"/>
    <n v="90"/>
    <n v="76.5"/>
  </r>
  <r>
    <x v="115"/>
    <s v="OCTUBRE"/>
    <n v="42"/>
    <s v="LUNES"/>
    <x v="3"/>
    <s v="TWO PACK SCHWEPPES GINGER ALE PET 1.5LX2"/>
    <n v="1188"/>
    <n v="198"/>
    <n v="201.96"/>
  </r>
  <r>
    <x v="115"/>
    <s v="OCTUBRE"/>
    <n v="42"/>
    <s v="LUNES"/>
    <x v="35"/>
    <s v="SAN LUIS SIN GAS PET 625MLX06 MOD"/>
    <n v="1980"/>
    <n v="180"/>
    <n v="831.6"/>
  </r>
  <r>
    <x v="115"/>
    <s v="OCTUBRE"/>
    <n v="42"/>
    <s v="LUNES"/>
    <x v="0"/>
    <s v="SAN LUIS SIN GAS PET2500X6 STICKER"/>
    <n v="528"/>
    <n v="48"/>
    <n v="211.20000000000002"/>
  </r>
  <r>
    <x v="115"/>
    <s v="OCTUBRE"/>
    <n v="42"/>
    <s v="LUNES"/>
    <x v="7"/>
    <s v="COCA-COLA PET 1.5LX2 RF"/>
    <n v="648"/>
    <n v="198"/>
    <n v="110.16000000000001"/>
  </r>
  <r>
    <x v="115"/>
    <s v="OCTUBRE"/>
    <n v="42"/>
    <s v="LUNES"/>
    <x v="17"/>
    <s v="TWO PACK CC PFM 3LX2 - RFCC"/>
    <n v="840"/>
    <n v="120"/>
    <n v="142.80000000000001"/>
  </r>
  <r>
    <x v="115"/>
    <s v="OCTUBRE"/>
    <n v="42"/>
    <s v="LUNES"/>
    <x v="33"/>
    <s v="COCA COLA VR 296MLX24 - STICKER"/>
    <n v="40"/>
    <n v="40"/>
    <n v="9.2000000000000011"/>
  </r>
  <r>
    <x v="115"/>
    <s v="OCTUBRE"/>
    <n v="42"/>
    <s v="LUNES"/>
    <x v="28"/>
    <s v="COCA COLA VR 1.5LX8 - STICKER"/>
    <n v="30"/>
    <n v="30"/>
    <n v="6.9"/>
  </r>
  <r>
    <x v="115"/>
    <s v="OCTUBRE"/>
    <n v="42"/>
    <s v="LUNES"/>
    <x v="12"/>
    <s v="POWERADE ION4 FRUTA PET473X6 MOD (STICK)"/>
    <n v="225"/>
    <n v="225"/>
    <n v="90"/>
  </r>
  <r>
    <x v="115"/>
    <s v="OCTUBRE"/>
    <n v="42"/>
    <s v="LUNES"/>
    <x v="19"/>
    <s v="POWERADE ION4 MORA AZ PET473X6 MOD(STCK)"/>
    <n v="225"/>
    <n v="225"/>
    <n v="90"/>
  </r>
  <r>
    <x v="115"/>
    <s v="OCTUBRE"/>
    <n v="42"/>
    <s v="LUNES"/>
    <x v="20"/>
    <s v="TRIPACK (FT NAR+SP)PET+IK RF PFM 3L"/>
    <n v="90"/>
    <n v="90"/>
    <n v="15.3"/>
  </r>
  <r>
    <x v="115"/>
    <s v="OCTUBRE"/>
    <n v="42"/>
    <s v="LUNES"/>
    <x v="24"/>
    <s v="MONSTER ENERGY 473MLX4"/>
    <n v="2940"/>
    <n v="420"/>
    <n v="1234.8"/>
  </r>
  <r>
    <x v="116"/>
    <s v="OCTUBRE"/>
    <n v="42"/>
    <s v="MARTES"/>
    <x v="38"/>
    <s v="SL S/G TAPA PLANA 1LT"/>
    <n v="112"/>
    <n v="112"/>
    <n v="44.800000000000004"/>
  </r>
  <r>
    <x v="116"/>
    <s v="OCTUBRE"/>
    <n v="42"/>
    <s v="MARTES"/>
    <x v="33"/>
    <s v="COCA COLA VR 296MLX24 - STICKER"/>
    <n v="40"/>
    <n v="40"/>
    <n v="9.2000000000000011"/>
  </r>
  <r>
    <x v="116"/>
    <s v="OCTUBRE"/>
    <n v="42"/>
    <s v="MARTES"/>
    <x v="15"/>
    <s v="INCA KOLA VR 625MLX12 - STICKER"/>
    <n v="150"/>
    <n v="50"/>
    <n v="60"/>
  </r>
  <r>
    <x v="116"/>
    <s v="OCTUBRE"/>
    <n v="42"/>
    <s v="MARTES"/>
    <x v="0"/>
    <s v="SAN LUIS SIN GAS PET2500X6 STICKER"/>
    <n v="672"/>
    <n v="48"/>
    <n v="268.8"/>
  </r>
  <r>
    <x v="116"/>
    <s v="OCTUBRE"/>
    <n v="42"/>
    <s v="MARTES"/>
    <x v="24"/>
    <s v="MONSTER ENERGY 473MLX4"/>
    <n v="3780"/>
    <n v="420"/>
    <n v="1587.6"/>
  </r>
  <r>
    <x v="116"/>
    <s v="OCTUBRE"/>
    <n v="42"/>
    <s v="MARTES"/>
    <x v="17"/>
    <s v="TWO PACK CC PFM 3LX2 - RFCC"/>
    <n v="720"/>
    <n v="120"/>
    <n v="122.4"/>
  </r>
  <r>
    <x v="116"/>
    <s v="OCTUBRE"/>
    <n v="42"/>
    <s v="MARTES"/>
    <x v="8"/>
    <s v="INCA KOLA PET 1.5LX2 RF"/>
    <n v="432"/>
    <n v="198"/>
    <n v="73.440000000000012"/>
  </r>
  <r>
    <x v="116"/>
    <s v="OCTUBRE"/>
    <n v="42"/>
    <s v="MARTES"/>
    <x v="7"/>
    <s v="COCA-COLA PET 1.5LX2 RF"/>
    <n v="2160"/>
    <n v="198"/>
    <n v="367.20000000000005"/>
  </r>
  <r>
    <x v="116"/>
    <s v="OCTUBRE"/>
    <n v="42"/>
    <s v="MARTES"/>
    <x v="3"/>
    <s v="TWO PACK SCHWEPPES GINGER ALE PET 1.5LX2"/>
    <n v="396"/>
    <n v="198"/>
    <n v="67.320000000000007"/>
  </r>
  <r>
    <x v="116"/>
    <s v="OCTUBRE"/>
    <n v="42"/>
    <s v="MARTES"/>
    <x v="22"/>
    <s v="TWO PACK SCHWEPPES CITRUS PET 1.5LX2"/>
    <n v="1386"/>
    <n v="198"/>
    <n v="235.62"/>
  </r>
  <r>
    <x v="116"/>
    <s v="OCTUBRE"/>
    <n v="42"/>
    <s v="MARTES"/>
    <x v="2"/>
    <s v="INCA KOLA SIN AZUCAR PET 1.5LX2"/>
    <n v="1512"/>
    <n v="198"/>
    <n v="257.04000000000002"/>
  </r>
  <r>
    <x v="116"/>
    <s v="OCTUBRE"/>
    <n v="42"/>
    <s v="MARTES"/>
    <x v="20"/>
    <s v="TRIPACK (FT NAR+SP)PET+IK RF PFM 3L"/>
    <n v="180"/>
    <n v="90"/>
    <n v="30.6"/>
  </r>
  <r>
    <x v="116"/>
    <s v="OCTUBRE"/>
    <n v="42"/>
    <s v="MARTES"/>
    <x v="16"/>
    <s v="SAN LUIS CON GAS PET 625MLX6"/>
    <n v="360"/>
    <n v="180"/>
    <n v="151.19999999999999"/>
  </r>
  <r>
    <x v="116"/>
    <s v="OCTUBRE"/>
    <n v="42"/>
    <s v="MARTES"/>
    <x v="25"/>
    <s v="POWERADE 3MORA+3FRUT PET 473MLX6"/>
    <n v="900"/>
    <n v="225"/>
    <n v="378"/>
  </r>
  <r>
    <x v="116"/>
    <s v="OCTUBRE"/>
    <n v="42"/>
    <s v="MARTES"/>
    <x v="42"/>
    <s v="FANTA NARANJA PET 500MLX6 BRANDEADO MOD"/>
    <n v="250"/>
    <n v="420"/>
    <n v="105"/>
  </r>
  <r>
    <x v="116"/>
    <s v="OCTUBRE"/>
    <n v="42"/>
    <s v="MARTES"/>
    <x v="43"/>
    <s v="SPRITE PET 500MLX6 BRANDEADO MOD"/>
    <n v="250"/>
    <n v="420"/>
    <n v="105"/>
  </r>
  <r>
    <x v="116"/>
    <s v="OCTUBRE"/>
    <n v="42"/>
    <s v="MARTES"/>
    <x v="11"/>
    <s v="TRIPACK (CC+IK)PFM+FT PET 3LX3 - RFNN"/>
    <n v="450"/>
    <n v="90"/>
    <n v="76.5"/>
  </r>
  <r>
    <x v="116"/>
    <s v="OCTUBRE"/>
    <n v="42"/>
    <s v="MARTES"/>
    <x v="23"/>
    <s v="TRIPACK CC+IK+IK PFM 3LX3 - RFNN"/>
    <n v="270"/>
    <n v="90"/>
    <n v="45.900000000000006"/>
  </r>
  <r>
    <x v="116"/>
    <s v="OCTUBRE"/>
    <n v="42"/>
    <s v="MARTES"/>
    <x v="10"/>
    <s v="TWO PACK CC + IK PFM 3LX2 - RFNN"/>
    <n v="2400"/>
    <n v="120"/>
    <n v="408.00000000000006"/>
  </r>
  <r>
    <x v="116"/>
    <s v="OCTUBRE"/>
    <n v="42"/>
    <s v="MARTES"/>
    <x v="62"/>
    <n v="0"/>
    <n v="11"/>
    <n v="0"/>
    <n v="0"/>
  </r>
  <r>
    <x v="117"/>
    <s v="OCTUBRE"/>
    <n v="42"/>
    <s v="MIÉRCOLES"/>
    <x v="13"/>
    <s v="INCA KOLA VR 1.5LX8 - STICKER"/>
    <n v="60"/>
    <n v="30"/>
    <n v="24"/>
  </r>
  <r>
    <x v="117"/>
    <s v="OCTUBRE"/>
    <n v="42"/>
    <s v="MIÉRCOLES"/>
    <x v="6"/>
    <s v="INCA KOLA PET 3LX2 - RF"/>
    <n v="3840"/>
    <n v="120"/>
    <n v="652.80000000000007"/>
  </r>
  <r>
    <x v="117"/>
    <s v="OCTUBRE"/>
    <n v="42"/>
    <s v="MIÉRCOLES"/>
    <x v="15"/>
    <s v="INCA KOLA VR 625MLX12 - STICKER"/>
    <n v="200"/>
    <n v="50"/>
    <n v="80"/>
  </r>
  <r>
    <x v="117"/>
    <s v="OCTUBRE"/>
    <n v="42"/>
    <s v="MIÉRCOLES"/>
    <x v="0"/>
    <s v="SAN LUIS SIN GAS PET2500X6 STICKER"/>
    <n v="912"/>
    <n v="48"/>
    <n v="364.8"/>
  </r>
  <r>
    <x v="117"/>
    <s v="OCTUBRE"/>
    <n v="42"/>
    <s v="MIÉRCOLES"/>
    <x v="11"/>
    <s v="TRIPACK (CC+IK)PFM+FT PET 3LX3 - RFNN"/>
    <n v="2160"/>
    <n v="90"/>
    <n v="367.20000000000005"/>
  </r>
  <r>
    <x v="117"/>
    <s v="OCTUBRE"/>
    <n v="42"/>
    <s v="MIÉRCOLES"/>
    <x v="10"/>
    <s v="TWO PACK CC + IK PFM 3LX2 - RFNN"/>
    <n v="4560"/>
    <n v="120"/>
    <n v="775.2"/>
  </r>
  <r>
    <x v="117"/>
    <s v="OCTUBRE"/>
    <n v="42"/>
    <s v="MIÉRCOLES"/>
    <x v="17"/>
    <s v="TWO PACK CC PFM 3LX2 - RFCC"/>
    <n v="720"/>
    <n v="120"/>
    <n v="122.4"/>
  </r>
  <r>
    <x v="117"/>
    <s v="OCTUBRE"/>
    <n v="42"/>
    <s v="MIÉRCOLES"/>
    <x v="8"/>
    <s v="INCA KOLA PET 1.5LX2 RF"/>
    <n v="864"/>
    <n v="198"/>
    <n v="146.88000000000002"/>
  </r>
  <r>
    <x v="117"/>
    <s v="OCTUBRE"/>
    <n v="42"/>
    <s v="MIÉRCOLES"/>
    <x v="7"/>
    <s v="COCA-COLA PET 1.5LX2 RF"/>
    <n v="2160"/>
    <n v="198"/>
    <n v="367.20000000000005"/>
  </r>
  <r>
    <x v="117"/>
    <s v="OCTUBRE"/>
    <n v="42"/>
    <s v="MIÉRCOLES"/>
    <x v="3"/>
    <s v="TWO PACK SCHWEPPES GINGER ALE PET 1.5LX2"/>
    <n v="990"/>
    <n v="198"/>
    <n v="168.3"/>
  </r>
  <r>
    <x v="117"/>
    <s v="OCTUBRE"/>
    <n v="42"/>
    <s v="MIÉRCOLES"/>
    <x v="22"/>
    <s v="TWO PACK SCHWEPPES CITRUS PET 1.5LX2"/>
    <n v="1980"/>
    <n v="198"/>
    <n v="336.6"/>
  </r>
  <r>
    <x v="117"/>
    <s v="OCTUBRE"/>
    <n v="42"/>
    <s v="MIÉRCOLES"/>
    <x v="2"/>
    <s v="INCA KOLA SIN AZUCAR PET 1.5LX2"/>
    <n v="1512"/>
    <n v="198"/>
    <n v="257.04000000000002"/>
  </r>
  <r>
    <x v="117"/>
    <s v="OCTUBRE"/>
    <n v="42"/>
    <s v="MIÉRCOLES"/>
    <x v="25"/>
    <s v="POWERADE 3MORA+3FRUT PET 473MLX6"/>
    <n v="900"/>
    <n v="225"/>
    <n v="378"/>
  </r>
  <r>
    <x v="117"/>
    <s v="OCTUBRE"/>
    <n v="42"/>
    <s v="MIÉRCOLES"/>
    <x v="38"/>
    <s v="SL S/G TAPA PLANA 1LT"/>
    <n v="224"/>
    <n v="112"/>
    <n v="89.600000000000009"/>
  </r>
  <r>
    <x v="117"/>
    <s v="OCTUBRE"/>
    <n v="42"/>
    <s v="MIÉRCOLES"/>
    <x v="35"/>
    <s v="SAN LUIS SIN GAS PET 625MLX06 MOD"/>
    <n v="360"/>
    <n v="180"/>
    <n v="151.19999999999999"/>
  </r>
  <r>
    <x v="117"/>
    <s v="OCTUBRE"/>
    <n v="42"/>
    <s v="MIÉRCOLES"/>
    <x v="43"/>
    <s v="SPRITE PET 500MLX6 BRANDEADO MOD"/>
    <n v="500"/>
    <n v="420"/>
    <n v="210"/>
  </r>
  <r>
    <x v="117"/>
    <s v="OCTUBRE"/>
    <n v="42"/>
    <s v="MIÉRCOLES"/>
    <x v="33"/>
    <s v="COCA COLA VR 296MLX24 - STICKER"/>
    <n v="40"/>
    <n v="40"/>
    <n v="9.2000000000000011"/>
  </r>
  <r>
    <x v="117"/>
    <s v="OCTUBRE"/>
    <n v="42"/>
    <s v="MIÉRCOLES"/>
    <x v="24"/>
    <s v="MONSTER ENERGY 473MLX4"/>
    <n v="1680"/>
    <n v="420"/>
    <n v="705.6"/>
  </r>
  <r>
    <x v="117"/>
    <s v="OCTUBRE"/>
    <n v="42"/>
    <s v="MIÉRCOLES"/>
    <x v="23"/>
    <s v="TRIPACK CC+IK+IK PFM 3LX3 - RFNN"/>
    <n v="270"/>
    <n v="90"/>
    <n v="45.900000000000006"/>
  </r>
  <r>
    <x v="117"/>
    <s v="OCTUBRE"/>
    <n v="42"/>
    <s v="MIÉRCOLES"/>
    <x v="42"/>
    <s v="FANTA NARANJA PET 500MLX6 BRANDEADO MOD"/>
    <n v="250"/>
    <n v="420"/>
    <n v="105"/>
  </r>
  <r>
    <x v="117"/>
    <s v="OCTUBRE"/>
    <n v="42"/>
    <s v="MIÉRCOLES"/>
    <x v="20"/>
    <s v="TRIPACK (FT NAR+SP)PET+IK RF PFM 3L"/>
    <n v="180"/>
    <n v="90"/>
    <n v="30.6"/>
  </r>
  <r>
    <x v="118"/>
    <s v="OCTUBRE"/>
    <n v="42"/>
    <s v="JUEVES"/>
    <x v="17"/>
    <s v="TWO PACK CC PFM 3LX2 - RFCC"/>
    <n v="1440"/>
    <n v="120"/>
    <n v="244.8"/>
  </r>
  <r>
    <x v="118"/>
    <s v="OCTUBRE"/>
    <n v="42"/>
    <s v="JUEVES"/>
    <x v="11"/>
    <s v="TRIPACK (CC+IK)PFM+FT PET 3LX3 - RFNN"/>
    <n v="2880"/>
    <n v="90"/>
    <n v="489.6"/>
  </r>
  <r>
    <x v="118"/>
    <s v="OCTUBRE"/>
    <n v="42"/>
    <s v="JUEVES"/>
    <x v="9"/>
    <s v="TRIPACK FT NAR+FT KI+SP PET 3L"/>
    <n v="720"/>
    <n v="90"/>
    <n v="122.4"/>
  </r>
  <r>
    <x v="118"/>
    <s v="OCTUBRE"/>
    <n v="42"/>
    <s v="JUEVES"/>
    <x v="1"/>
    <s v="COCA-COLA SIN AZUCAR PET 1.5LX2"/>
    <n v="1296"/>
    <n v="198"/>
    <n v="220.32000000000002"/>
  </r>
  <r>
    <x v="118"/>
    <s v="OCTUBRE"/>
    <n v="42"/>
    <s v="JUEVES"/>
    <x v="10"/>
    <s v="TWO PACK CC + IK PFM 3LX2 - RFNN"/>
    <n v="3360"/>
    <n v="120"/>
    <n v="571.20000000000005"/>
  </r>
  <r>
    <x v="118"/>
    <s v="OCTUBRE"/>
    <n v="42"/>
    <s v="JUEVES"/>
    <x v="20"/>
    <s v="TRIPACK (FT NAR+SP)PET+IK RF PFM 3L"/>
    <n v="450"/>
    <n v="90"/>
    <n v="76.5"/>
  </r>
  <r>
    <x v="118"/>
    <s v="OCTUBRE"/>
    <n v="42"/>
    <s v="JUEVES"/>
    <x v="7"/>
    <s v="COCA-COLA PET 1.5LX2 RF"/>
    <n v="1296"/>
    <n v="198"/>
    <n v="220.32000000000002"/>
  </r>
  <r>
    <x v="118"/>
    <s v="OCTUBRE"/>
    <n v="42"/>
    <s v="JUEVES"/>
    <x v="2"/>
    <s v="INCA KOLA SIN AZUCAR PET 1.5LX2"/>
    <n v="864"/>
    <n v="198"/>
    <n v="146.88000000000002"/>
  </r>
  <r>
    <x v="118"/>
    <s v="OCTUBRE"/>
    <n v="42"/>
    <s v="JUEVES"/>
    <x v="0"/>
    <s v="SAN LUIS SIN GAS PET2500X6 STICKER"/>
    <n v="384"/>
    <n v="48"/>
    <n v="153.60000000000002"/>
  </r>
  <r>
    <x v="118"/>
    <s v="OCTUBRE"/>
    <n v="42"/>
    <s v="JUEVES"/>
    <x v="6"/>
    <s v="INCA KOLA PET 3LX2 - RF"/>
    <n v="1680"/>
    <n v="120"/>
    <n v="285.60000000000002"/>
  </r>
  <r>
    <x v="118"/>
    <s v="OCTUBRE"/>
    <n v="42"/>
    <s v="JUEVES"/>
    <x v="23"/>
    <s v="TRIPACK CC+IK+IK PFM 3LX3 - RFNN"/>
    <n v="720"/>
    <n v="90"/>
    <n v="122.4"/>
  </r>
  <r>
    <x v="118"/>
    <s v="OCTUBRE"/>
    <n v="42"/>
    <s v="JUEVES"/>
    <x v="24"/>
    <s v="MONSTER ENERGY 473MLX4"/>
    <n v="840"/>
    <n v="420"/>
    <n v="352.8"/>
  </r>
  <r>
    <x v="118"/>
    <s v="OCTUBRE"/>
    <n v="42"/>
    <s v="JUEVES"/>
    <x v="13"/>
    <s v="INCA KOLA VR 1.5LX8 - STICKER"/>
    <n v="180"/>
    <n v="30"/>
    <n v="72"/>
  </r>
  <r>
    <x v="118"/>
    <s v="OCTUBRE"/>
    <n v="42"/>
    <s v="JUEVES"/>
    <x v="42"/>
    <s v="FANTA NARANJA PET 500MLX6 BRANDEADO MOD"/>
    <n v="1000"/>
    <n v="420"/>
    <n v="420"/>
  </r>
  <r>
    <x v="118"/>
    <s v="OCTUBRE"/>
    <n v="42"/>
    <s v="JUEVES"/>
    <x v="35"/>
    <s v="SAN LUIS SIN GAS PET 625MLX06 MOD"/>
    <n v="180"/>
    <n v="180"/>
    <n v="75.599999999999994"/>
  </r>
  <r>
    <x v="118"/>
    <s v="OCTUBRE"/>
    <n v="42"/>
    <s v="JUEVES"/>
    <x v="28"/>
    <s v="COCA COLA VR 1.5LX8 - STICKER"/>
    <n v="210"/>
    <n v="30"/>
    <n v="48.300000000000004"/>
  </r>
  <r>
    <x v="118"/>
    <s v="OCTUBRE"/>
    <n v="42"/>
    <s v="JUEVES"/>
    <x v="8"/>
    <s v="INCA KOLA PET 1.5LX2 RF"/>
    <n v="864"/>
    <n v="198"/>
    <n v="146.88000000000002"/>
  </r>
  <r>
    <x v="119"/>
    <s v="OCTUBRE"/>
    <n v="42"/>
    <s v="VIERNES"/>
    <x v="6"/>
    <s v="INCA KOLA PET 3LX2 - RF"/>
    <n v="960"/>
    <n v="120"/>
    <n v="163.20000000000002"/>
  </r>
  <r>
    <x v="119"/>
    <s v="OCTUBRE"/>
    <n v="42"/>
    <s v="VIERNES"/>
    <x v="1"/>
    <s v="COCA-COLA SIN AZUCAR PET 1.5LX2"/>
    <n v="1296"/>
    <n v="198"/>
    <n v="220.32000000000002"/>
  </r>
  <r>
    <x v="119"/>
    <s v="OCTUBRE"/>
    <n v="42"/>
    <s v="VIERNES"/>
    <x v="3"/>
    <s v="TWO PACK SCHWEPPES GINGER ALE PET 1.5LX2"/>
    <n v="792"/>
    <n v="198"/>
    <n v="134.64000000000001"/>
  </r>
  <r>
    <x v="119"/>
    <s v="OCTUBRE"/>
    <n v="42"/>
    <s v="VIERNES"/>
    <x v="22"/>
    <s v="TWO PACK SCHWEPPES CITRUS PET 1.5LX2"/>
    <n v="1188"/>
    <n v="198"/>
    <n v="201.96"/>
  </r>
  <r>
    <x v="119"/>
    <s v="OCTUBRE"/>
    <n v="42"/>
    <s v="VIERNES"/>
    <x v="7"/>
    <s v="COCA-COLA PET 1.5LX2 RF"/>
    <n v="2592"/>
    <n v="198"/>
    <n v="440.64000000000004"/>
  </r>
  <r>
    <x v="119"/>
    <s v="OCTUBRE"/>
    <n v="42"/>
    <s v="VIERNES"/>
    <x v="8"/>
    <s v="INCA KOLA PET 1.5LX2 RF"/>
    <n v="864"/>
    <n v="198"/>
    <n v="146.88000000000002"/>
  </r>
  <r>
    <x v="119"/>
    <s v="OCTUBRE"/>
    <n v="42"/>
    <s v="VIERNES"/>
    <x v="10"/>
    <s v="TWO PACK CC + IK PFM 3LX2 - RFNN"/>
    <n v="4080"/>
    <n v="120"/>
    <n v="693.6"/>
  </r>
  <r>
    <x v="119"/>
    <s v="OCTUBRE"/>
    <n v="42"/>
    <s v="VIERNES"/>
    <x v="17"/>
    <s v="TWO PACK CC PFM 3LX2 - RFCC"/>
    <n v="960"/>
    <n v="120"/>
    <n v="163.20000000000002"/>
  </r>
  <r>
    <x v="119"/>
    <s v="OCTUBRE"/>
    <n v="42"/>
    <s v="VIERNES"/>
    <x v="16"/>
    <s v="SAN LUIS CON GAS PET 625MLX6"/>
    <n v="360"/>
    <n v="180"/>
    <n v="151.19999999999999"/>
  </r>
  <r>
    <x v="119"/>
    <s v="OCTUBRE"/>
    <n v="42"/>
    <s v="VIERNES"/>
    <x v="11"/>
    <s v="TRIPACK (CC+IK)PFM+FT PET 3LX3 - RFNN"/>
    <n v="1440"/>
    <n v="90"/>
    <n v="244.8"/>
  </r>
  <r>
    <x v="119"/>
    <s v="OCTUBRE"/>
    <n v="42"/>
    <s v="VIERNES"/>
    <x v="42"/>
    <s v="FANTA NARANJA PET 500MLX6 BRANDEADO MOD"/>
    <n v="500"/>
    <n v="420"/>
    <n v="210"/>
  </r>
  <r>
    <x v="119"/>
    <s v="OCTUBRE"/>
    <n v="42"/>
    <s v="VIERNES"/>
    <x v="25"/>
    <s v="POWERADE 3MORA+3FRUT PET 473MLX6"/>
    <n v="1350"/>
    <n v="225"/>
    <n v="567"/>
  </r>
  <r>
    <x v="119"/>
    <s v="OCTUBRE"/>
    <n v="42"/>
    <s v="VIERNES"/>
    <x v="15"/>
    <s v="INCA KOLA VR 625MLX12 - STICKER"/>
    <n v="200"/>
    <n v="50"/>
    <n v="80"/>
  </r>
  <r>
    <x v="119"/>
    <s v="OCTUBRE"/>
    <n v="42"/>
    <s v="VIERNES"/>
    <x v="43"/>
    <s v="SPRITE PET 500MLX6 BRANDEADO MOD"/>
    <n v="500"/>
    <n v="420"/>
    <n v="210"/>
  </r>
  <r>
    <x v="119"/>
    <s v="OCTUBRE"/>
    <n v="42"/>
    <s v="VIERNES"/>
    <x v="0"/>
    <s v="SAN LUIS SIN GAS PET2500X6 STICKER"/>
    <n v="576"/>
    <n v="48"/>
    <n v="230.4"/>
  </r>
  <r>
    <x v="119"/>
    <s v="OCTUBRE"/>
    <n v="42"/>
    <s v="VIERNES"/>
    <x v="16"/>
    <s v="SAN LUIS CON GAS PET 625MLX6"/>
    <n v="360"/>
    <n v="180"/>
    <n v="151.19999999999999"/>
  </r>
  <r>
    <x v="119"/>
    <s v="OCTUBRE"/>
    <n v="42"/>
    <s v="VIERNES"/>
    <x v="35"/>
    <s v="SAN LUIS SIN GAS PET 625MLX06 MOD"/>
    <n v="540"/>
    <n v="180"/>
    <n v="226.79999999999998"/>
  </r>
  <r>
    <x v="119"/>
    <s v="OCTUBRE"/>
    <n v="42"/>
    <s v="VIERNES"/>
    <x v="34"/>
    <s v="TWO PACK CC PET 1.5LX2 - CRC"/>
    <n v="648"/>
    <n v="198"/>
    <n v="110.16000000000001"/>
  </r>
  <r>
    <x v="119"/>
    <s v="OCTUBRE"/>
    <n v="42"/>
    <s v="VIERNES"/>
    <x v="14"/>
    <s v="INCA KOLA VR 296MLX24 - STICKER"/>
    <n v="120"/>
    <n v="40"/>
    <n v="27.6"/>
  </r>
  <r>
    <x v="119"/>
    <s v="OCTUBRE"/>
    <n v="42"/>
    <s v="VIERNES"/>
    <x v="20"/>
    <s v="TRIPACK (FT NAR+SP)PET+IK RF PFM 3L"/>
    <n v="270"/>
    <n v="90"/>
    <n v="45.900000000000006"/>
  </r>
  <r>
    <x v="119"/>
    <s v="OCTUBRE"/>
    <n v="42"/>
    <s v="VIERNES"/>
    <x v="9"/>
    <s v="TRIPACK FT NAR+FT KI+SP PET 3L"/>
    <n v="450"/>
    <n v="90"/>
    <n v="76.5"/>
  </r>
  <r>
    <x v="119"/>
    <s v="OCTUBRE"/>
    <n v="42"/>
    <s v="VIERNES"/>
    <x v="2"/>
    <s v="INCA KOLA SIN AZUCAR PET 1.5LX2"/>
    <n v="1080"/>
    <n v="198"/>
    <n v="183.60000000000002"/>
  </r>
  <r>
    <x v="119"/>
    <s v="OCTUBRE"/>
    <n v="42"/>
    <s v="VIERNES"/>
    <x v="12"/>
    <s v="POWERADE ION4 FRUTA PET473X6 MOD (STICK)"/>
    <n v="450"/>
    <n v="225"/>
    <n v="180"/>
  </r>
  <r>
    <x v="119"/>
    <s v="OCTUBRE"/>
    <n v="42"/>
    <s v="VIERNES"/>
    <x v="4"/>
    <s v="COCA-COLA PET 2.25LX2 RF"/>
    <n v="324"/>
    <n v="162"/>
    <n v="55.080000000000005"/>
  </r>
  <r>
    <x v="119"/>
    <s v="OCTUBRE"/>
    <n v="42"/>
    <s v="VIERNES"/>
    <x v="28"/>
    <s v="COCA COLA VR 1.5LX8 - STICKER"/>
    <n v="60"/>
    <n v="30"/>
    <n v="13.8"/>
  </r>
  <r>
    <x v="119"/>
    <s v="OCTUBRE"/>
    <n v="42"/>
    <s v="VIERNES"/>
    <x v="13"/>
    <s v="INCA KOLA VR 1.5LX8 - STICKER"/>
    <n v="30"/>
    <n v="30"/>
    <n v="12"/>
  </r>
  <r>
    <x v="119"/>
    <s v="OCTUBRE"/>
    <n v="42"/>
    <s v="VIERNES"/>
    <x v="24"/>
    <s v="MONSTER ENERGY 473MLX4"/>
    <n v="2940"/>
    <n v="420"/>
    <n v="1234.8"/>
  </r>
  <r>
    <x v="119"/>
    <s v="OCTUBRE"/>
    <n v="42"/>
    <s v="VIERNES"/>
    <x v="38"/>
    <s v="SL S/G TAPA PLANA 1LT"/>
    <n v="112"/>
    <n v="112"/>
    <n v="44.800000000000004"/>
  </r>
  <r>
    <x v="120"/>
    <s v="OCTUBRE"/>
    <n v="43"/>
    <s v="SÁBADO"/>
    <x v="1"/>
    <s v="COCA-COLA SIN AZUCAR PET 1.5LX2"/>
    <n v="2160"/>
    <n v="198"/>
    <n v="367.20000000000005"/>
  </r>
  <r>
    <x v="120"/>
    <s v="OCTUBRE"/>
    <n v="43"/>
    <s v="SÁBADO"/>
    <x v="6"/>
    <s v="INCA KOLA PET 3LX2 - RF"/>
    <n v="720"/>
    <n v="120"/>
    <n v="122.4"/>
  </r>
  <r>
    <x v="120"/>
    <s v="OCTUBRE"/>
    <n v="43"/>
    <s v="SÁBADO"/>
    <x v="22"/>
    <s v="TWO PACK SCHWEPPES CITRUS PET 1.5LX2"/>
    <n v="792"/>
    <n v="198"/>
    <n v="134.64000000000001"/>
  </r>
  <r>
    <x v="120"/>
    <s v="OCTUBRE"/>
    <n v="43"/>
    <s v="SÁBADO"/>
    <x v="3"/>
    <s v="TWO PACK SCHWEPPES GINGER ALE PET 1.5LX2"/>
    <n v="792"/>
    <n v="198"/>
    <n v="134.64000000000001"/>
  </r>
  <r>
    <x v="120"/>
    <s v="OCTUBRE"/>
    <n v="43"/>
    <s v="SÁBADO"/>
    <x v="7"/>
    <s v="COCA-COLA PET 1.5LX2 RF"/>
    <n v="1728"/>
    <n v="198"/>
    <n v="293.76000000000005"/>
  </r>
  <r>
    <x v="120"/>
    <s v="OCTUBRE"/>
    <n v="43"/>
    <s v="SÁBADO"/>
    <x v="8"/>
    <s v="INCA KOLA PET 1.5LX2 RF"/>
    <n v="1296"/>
    <n v="198"/>
    <n v="220.32000000000002"/>
  </r>
  <r>
    <x v="120"/>
    <s v="OCTUBRE"/>
    <n v="43"/>
    <s v="SÁBADO"/>
    <x v="17"/>
    <s v="TWO PACK CC PFM 3LX2 - RFCC"/>
    <n v="720"/>
    <n v="120"/>
    <n v="122.4"/>
  </r>
  <r>
    <x v="120"/>
    <s v="OCTUBRE"/>
    <n v="43"/>
    <s v="SÁBADO"/>
    <x v="10"/>
    <s v="TWO PACK CC + IK PFM 3LX2 - RFNN"/>
    <n v="3120"/>
    <n v="120"/>
    <n v="530.40000000000009"/>
  </r>
  <r>
    <x v="120"/>
    <s v="OCTUBRE"/>
    <n v="43"/>
    <s v="SÁBADO"/>
    <x v="11"/>
    <s v="TRIPACK (CC+IK)PFM+FT PET 3LX3 - RFNN"/>
    <n v="2160"/>
    <n v="90"/>
    <n v="367.20000000000005"/>
  </r>
  <r>
    <x v="120"/>
    <s v="OCTUBRE"/>
    <n v="43"/>
    <s v="SÁBADO"/>
    <x v="16"/>
    <s v="SAN LUIS CON GAS PET 625MLX6"/>
    <n v="360"/>
    <n v="180"/>
    <n v="151.19999999999999"/>
  </r>
  <r>
    <x v="120"/>
    <s v="OCTUBRE"/>
    <n v="43"/>
    <s v="SÁBADO"/>
    <x v="42"/>
    <s v="FANTA NARANJA PET 500MLX6 BRANDEADO MOD"/>
    <n v="500"/>
    <n v="420"/>
    <n v="210"/>
  </r>
  <r>
    <x v="120"/>
    <s v="OCTUBRE"/>
    <n v="43"/>
    <s v="SÁBADO"/>
    <x v="43"/>
    <s v="SPRITE PET 500MLX6 BRANDEADO MOD"/>
    <n v="500"/>
    <n v="420"/>
    <n v="210"/>
  </r>
  <r>
    <x v="120"/>
    <s v="OCTUBRE"/>
    <n v="43"/>
    <s v="SÁBADO"/>
    <x v="25"/>
    <s v="POWERADE 3MORA+3FRUT PET 473MLX6"/>
    <n v="450"/>
    <n v="225"/>
    <n v="189"/>
  </r>
  <r>
    <x v="120"/>
    <s v="OCTUBRE"/>
    <n v="43"/>
    <s v="SÁBADO"/>
    <x v="15"/>
    <s v="INCA KOLA VR 625MLX12 - STICKER"/>
    <n v="200"/>
    <n v="50"/>
    <n v="80"/>
  </r>
  <r>
    <x v="120"/>
    <s v="OCTUBRE"/>
    <n v="43"/>
    <s v="SÁBADO"/>
    <x v="0"/>
    <s v="SAN LUIS SIN GAS PET2500X6 STICKER"/>
    <n v="384"/>
    <n v="48"/>
    <n v="153.60000000000002"/>
  </r>
  <r>
    <x v="120"/>
    <s v="OCTUBRE"/>
    <n v="43"/>
    <s v="SÁBADO"/>
    <x v="2"/>
    <s v="INCA KOLA SIN AZUCAR PET 1.5LX2"/>
    <n v="1728"/>
    <n v="198"/>
    <n v="293.76000000000005"/>
  </r>
  <r>
    <x v="120"/>
    <s v="OCTUBRE"/>
    <n v="43"/>
    <s v="SÁBADO"/>
    <x v="9"/>
    <s v="TRIPACK FT NAR+FT KI+SP PET 3L"/>
    <n v="720"/>
    <n v="90"/>
    <n v="122.4"/>
  </r>
  <r>
    <x v="120"/>
    <s v="OCTUBRE"/>
    <n v="43"/>
    <s v="SÁBADO"/>
    <x v="20"/>
    <s v="TRIPACK (FT NAR+SP)PET+IK RF PFM 3L"/>
    <n v="720"/>
    <n v="90"/>
    <n v="122.4"/>
  </r>
  <r>
    <x v="120"/>
    <s v="OCTUBRE"/>
    <n v="43"/>
    <s v="SÁBADO"/>
    <x v="13"/>
    <s v="INCA KOLA VR 1.5LX8 - STICKER"/>
    <n v="210"/>
    <n v="30"/>
    <n v="84"/>
  </r>
  <r>
    <x v="120"/>
    <s v="OCTUBRE"/>
    <n v="43"/>
    <s v="SÁBADO"/>
    <x v="28"/>
    <s v="COCA COLA VR 1.5LX8 - STICKER"/>
    <n v="150"/>
    <n v="30"/>
    <n v="34.5"/>
  </r>
  <r>
    <x v="120"/>
    <s v="OCTUBRE"/>
    <n v="43"/>
    <s v="SÁBADO"/>
    <x v="14"/>
    <s v="INCA KOLA VR 296MLX24 - STICKER"/>
    <n v="160"/>
    <n v="40"/>
    <n v="36.800000000000004"/>
  </r>
  <r>
    <x v="120"/>
    <s v="OCTUBRE"/>
    <n v="43"/>
    <s v="SÁBADO"/>
    <x v="35"/>
    <s v="SAN LUIS SIN GAS PET 625MLX06 MOD"/>
    <n v="180"/>
    <n v="180"/>
    <n v="75.599999999999994"/>
  </r>
  <r>
    <x v="120"/>
    <s v="OCTUBRE"/>
    <n v="43"/>
    <s v="SÁBADO"/>
    <x v="24"/>
    <s v="MONSTER ENERGY 473MLX4"/>
    <n v="2100"/>
    <n v="420"/>
    <n v="882"/>
  </r>
  <r>
    <x v="120"/>
    <s v="OCTUBRE"/>
    <n v="43"/>
    <s v="SÁBADO"/>
    <x v="25"/>
    <s v="POWERADE 3MORA+3FRUT PET 473MLX6"/>
    <n v="450"/>
    <n v="225"/>
    <n v="189"/>
  </r>
  <r>
    <x v="121"/>
    <s v="OCTUBRE"/>
    <n v="43"/>
    <s v="LUNES"/>
    <x v="3"/>
    <s v="TWO PACK SCHWEPPES GINGER ALE PET 1.5LX2"/>
    <n v="792"/>
    <n v="198"/>
    <n v="134.64000000000001"/>
  </r>
  <r>
    <x v="121"/>
    <s v="OCTUBRE"/>
    <n v="43"/>
    <s v="LUNES"/>
    <x v="6"/>
    <s v="INCA KOLA PET 3LX2 - RF"/>
    <n v="960"/>
    <n v="120"/>
    <n v="163.20000000000002"/>
  </r>
  <r>
    <x v="121"/>
    <s v="OCTUBRE"/>
    <n v="43"/>
    <s v="LUNES"/>
    <x v="17"/>
    <s v="TWO PACK CC PFM 3LX2 - RFCC"/>
    <n v="960"/>
    <n v="120"/>
    <n v="163.20000000000002"/>
  </r>
  <r>
    <x v="121"/>
    <s v="OCTUBRE"/>
    <n v="43"/>
    <s v="LUNES"/>
    <x v="8"/>
    <s v="INCA KOLA PET 1.5LX2 RF"/>
    <n v="864"/>
    <n v="198"/>
    <n v="146.88000000000002"/>
  </r>
  <r>
    <x v="121"/>
    <s v="OCTUBRE"/>
    <n v="43"/>
    <s v="LUNES"/>
    <x v="10"/>
    <s v="TWO PACK CC + IK PFM 3LX2 - RFNN"/>
    <n v="1920"/>
    <n v="120"/>
    <n v="326.40000000000003"/>
  </r>
  <r>
    <x v="121"/>
    <s v="OCTUBRE"/>
    <n v="43"/>
    <s v="LUNES"/>
    <x v="7"/>
    <s v="COCA-COLA PET 1.5LX2 RF"/>
    <n v="2592"/>
    <n v="198"/>
    <n v="440.64000000000004"/>
  </r>
  <r>
    <x v="121"/>
    <s v="OCTUBRE"/>
    <n v="43"/>
    <s v="LUNES"/>
    <x v="1"/>
    <s v="COCA-COLA SIN AZUCAR PET 1.5LX2"/>
    <n v="2808"/>
    <n v="198"/>
    <n v="477.36"/>
  </r>
  <r>
    <x v="121"/>
    <s v="OCTUBRE"/>
    <n v="43"/>
    <s v="LUNES"/>
    <x v="11"/>
    <s v="TRIPACK (CC+IK)PFM+FT PET 3LX3 - RFNN"/>
    <n v="1440"/>
    <n v="90"/>
    <n v="244.8"/>
  </r>
  <r>
    <x v="121"/>
    <s v="OCTUBRE"/>
    <n v="43"/>
    <s v="LUNES"/>
    <x v="16"/>
    <s v="SAN LUIS CON GAS PET 625MLX6"/>
    <n v="720"/>
    <n v="180"/>
    <n v="302.39999999999998"/>
  </r>
  <r>
    <x v="121"/>
    <s v="OCTUBRE"/>
    <n v="43"/>
    <s v="LUNES"/>
    <x v="0"/>
    <s v="SAN LUIS SIN GAS PET2500X6 STICKER"/>
    <n v="576"/>
    <n v="48"/>
    <n v="230.4"/>
  </r>
  <r>
    <x v="121"/>
    <s v="OCTUBRE"/>
    <n v="43"/>
    <s v="LUNES"/>
    <x v="15"/>
    <s v="INCA KOLA VR 625MLX12 - STICKER"/>
    <n v="720"/>
    <n v="50"/>
    <n v="288"/>
  </r>
  <r>
    <x v="121"/>
    <s v="OCTUBRE"/>
    <n v="43"/>
    <s v="LUNES"/>
    <x v="28"/>
    <s v="COCA COLA VR 1.5LX8 - STICKER"/>
    <n v="270"/>
    <n v="30"/>
    <n v="62.1"/>
  </r>
  <r>
    <x v="121"/>
    <s v="OCTUBRE"/>
    <n v="43"/>
    <s v="LUNES"/>
    <x v="33"/>
    <s v="COCA COLA VR 296MLX24 - STICKER"/>
    <n v="80"/>
    <n v="40"/>
    <n v="18.400000000000002"/>
  </r>
  <r>
    <x v="121"/>
    <s v="OCTUBRE"/>
    <n v="43"/>
    <s v="LUNES"/>
    <x v="38"/>
    <s v="SL S/G TAPA PLANA 1LT"/>
    <n v="448"/>
    <n v="112"/>
    <n v="179.20000000000002"/>
  </r>
  <r>
    <x v="121"/>
    <s v="OCTUBRE"/>
    <n v="43"/>
    <s v="LUNES"/>
    <x v="13"/>
    <s v="INCA KOLA VR 1.5LX8 - STICKER"/>
    <n v="700"/>
    <n v="30"/>
    <n v="280"/>
  </r>
  <r>
    <x v="121"/>
    <s v="OCTUBRE"/>
    <n v="43"/>
    <s v="LUNES"/>
    <x v="24"/>
    <s v="MONSTER ENERGY 473MLX4"/>
    <n v="840"/>
    <n v="420"/>
    <n v="352.8"/>
  </r>
  <r>
    <x v="121"/>
    <s v="OCTUBRE"/>
    <n v="43"/>
    <s v="LUNES"/>
    <x v="4"/>
    <s v="COCA-COLA PET 2.25LX2 RF"/>
    <n v="972"/>
    <n v="162"/>
    <n v="165.24"/>
  </r>
  <r>
    <x v="121"/>
    <s v="OCTUBRE"/>
    <n v="43"/>
    <s v="LUNES"/>
    <x v="5"/>
    <s v="INCA KOLA PET 2.25LX2 RF"/>
    <n v="162"/>
    <n v="162"/>
    <n v="27.540000000000003"/>
  </r>
  <r>
    <x v="121"/>
    <s v="OCTUBRE"/>
    <n v="43"/>
    <s v="LUNES"/>
    <x v="12"/>
    <s v="POWERADE ION4 FRUTA PET473X6 MOD (STICK)"/>
    <n v="225"/>
    <n v="225"/>
    <n v="90"/>
  </r>
  <r>
    <x v="121"/>
    <s v="OCTUBRE"/>
    <n v="43"/>
    <s v="LUNES"/>
    <x v="19"/>
    <s v="POWERADE ION4 MORA AZ PET473X6 MOD(STCK)"/>
    <n v="900"/>
    <n v="225"/>
    <n v="360"/>
  </r>
  <r>
    <x v="121"/>
    <s v="OCTUBRE"/>
    <n v="43"/>
    <s v="LUNES"/>
    <x v="2"/>
    <s v="INCA KOLA SIN AZUCAR PET 1.5LX2"/>
    <n v="2592"/>
    <n v="198"/>
    <n v="440.64000000000004"/>
  </r>
  <r>
    <x v="121"/>
    <s v="OCTUBRE"/>
    <n v="43"/>
    <s v="LUNES"/>
    <x v="14"/>
    <s v="INCA KOLA VR 296MLX24 - STICKER"/>
    <n v="120"/>
    <n v="40"/>
    <n v="27.6"/>
  </r>
  <r>
    <x v="121"/>
    <s v="OCTUBRE"/>
    <n v="43"/>
    <s v="LUNES"/>
    <x v="9"/>
    <s v="TRIPACK FT NAR+FT KI+SP PET 3L"/>
    <n v="720"/>
    <n v="90"/>
    <n v="122.4"/>
  </r>
  <r>
    <x v="122"/>
    <s v="OCTUBRE"/>
    <n v="43"/>
    <s v="MARTES"/>
    <x v="2"/>
    <s v="INCA KOLA SIN AZUCAR PET 1.5LX2"/>
    <n v="3888"/>
    <n v="198"/>
    <n v="660.96"/>
  </r>
  <r>
    <x v="122"/>
    <s v="OCTUBRE"/>
    <n v="43"/>
    <s v="MARTES"/>
    <x v="11"/>
    <s v="TRIPACK (CC+IK)PFM+FT PET 3LX3 - RFNN"/>
    <n v="2340"/>
    <n v="90"/>
    <n v="397.8"/>
  </r>
  <r>
    <x v="122"/>
    <s v="OCTUBRE"/>
    <n v="43"/>
    <s v="MARTES"/>
    <x v="3"/>
    <s v="TWO PACK SCHWEPPES GINGER ALE PET 1.5LX2"/>
    <n v="792"/>
    <n v="198"/>
    <n v="134.64000000000001"/>
  </r>
  <r>
    <x v="122"/>
    <s v="OCTUBRE"/>
    <n v="43"/>
    <s v="MARTES"/>
    <x v="1"/>
    <s v="COCA-COLA SIN AZUCAR PET 1.5LX2"/>
    <n v="4104"/>
    <n v="198"/>
    <n v="697.68000000000006"/>
  </r>
  <r>
    <x v="122"/>
    <s v="OCTUBRE"/>
    <n v="43"/>
    <s v="MARTES"/>
    <x v="8"/>
    <s v="INCA KOLA PET 1.5LX2 RF"/>
    <n v="1728"/>
    <n v="198"/>
    <n v="293.76000000000005"/>
  </r>
  <r>
    <x v="122"/>
    <s v="OCTUBRE"/>
    <n v="43"/>
    <s v="MARTES"/>
    <x v="6"/>
    <s v="INCA KOLA PET 3LX2 - RF"/>
    <n v="2040"/>
    <n v="120"/>
    <n v="346.8"/>
  </r>
  <r>
    <x v="122"/>
    <s v="OCTUBRE"/>
    <n v="43"/>
    <s v="MARTES"/>
    <x v="0"/>
    <s v="SAN LUIS SIN GAS PET2500X6 STICKER"/>
    <n v="912"/>
    <n v="48"/>
    <n v="364.8"/>
  </r>
  <r>
    <x v="122"/>
    <s v="OCTUBRE"/>
    <n v="43"/>
    <s v="MARTES"/>
    <x v="28"/>
    <s v="COCA COLA VR 1.5LX8 - STICKER"/>
    <n v="180"/>
    <n v="30"/>
    <n v="41.4"/>
  </r>
  <r>
    <x v="122"/>
    <s v="OCTUBRE"/>
    <n v="43"/>
    <s v="MARTES"/>
    <x v="15"/>
    <s v="INCA KOLA VR 625MLX12 - STICKER"/>
    <n v="400"/>
    <n v="50"/>
    <n v="160"/>
  </r>
  <r>
    <x v="122"/>
    <s v="OCTUBRE"/>
    <n v="43"/>
    <s v="MARTES"/>
    <x v="24"/>
    <s v="MONSTER ENERGY 473MLX4"/>
    <n v="1680"/>
    <n v="420"/>
    <n v="705.6"/>
  </r>
  <r>
    <x v="122"/>
    <s v="OCTUBRE"/>
    <n v="43"/>
    <s v="MARTES"/>
    <x v="25"/>
    <s v="POWERADE 3MORA+3FRUT PET 473MLX6"/>
    <n v="2250"/>
    <n v="225"/>
    <n v="945"/>
  </r>
  <r>
    <x v="122"/>
    <s v="OCTUBRE"/>
    <n v="43"/>
    <s v="MARTES"/>
    <x v="38"/>
    <s v="SL S/G TAPA PLANA 1LT"/>
    <n v="896"/>
    <n v="112"/>
    <n v="358.40000000000003"/>
  </r>
  <r>
    <x v="122"/>
    <s v="OCTUBRE"/>
    <n v="43"/>
    <s v="MARTES"/>
    <x v="14"/>
    <s v="INCA KOLA VR 296MLX24 - STICKER"/>
    <n v="160"/>
    <n v="40"/>
    <n v="36.800000000000004"/>
  </r>
  <r>
    <x v="122"/>
    <s v="OCTUBRE"/>
    <n v="43"/>
    <s v="MARTES"/>
    <x v="23"/>
    <s v="TRIPACK CC+IK+IK PFM 3LX3 - RFNN"/>
    <n v="360"/>
    <n v="90"/>
    <n v="61.2"/>
  </r>
  <r>
    <x v="122"/>
    <s v="OCTUBRE"/>
    <n v="43"/>
    <s v="MARTES"/>
    <x v="33"/>
    <s v="COCA COLA VR 296MLX24 - STICKER"/>
    <n v="200"/>
    <n v="40"/>
    <n v="46"/>
  </r>
  <r>
    <x v="122"/>
    <s v="OCTUBRE"/>
    <n v="43"/>
    <s v="MARTES"/>
    <x v="13"/>
    <s v="INCA KOLA VR 1.5LX8 - STICKER"/>
    <n v="350"/>
    <n v="30"/>
    <n v="140"/>
  </r>
  <r>
    <x v="122"/>
    <s v="OCTUBRE"/>
    <n v="43"/>
    <s v="MARTES"/>
    <x v="40"/>
    <s v="SAN LUIS SPORT S/G 10 Lt x6 "/>
    <n v="112"/>
    <n v="240"/>
    <n v="44.800000000000004"/>
  </r>
  <r>
    <x v="122"/>
    <s v="OCTUBRE"/>
    <n v="43"/>
    <s v="MARTES"/>
    <x v="16"/>
    <s v="SAN LUIS CON GAS PET 625MLX6"/>
    <n v="180"/>
    <n v="180"/>
    <n v="75.599999999999994"/>
  </r>
  <r>
    <x v="122"/>
    <s v="OCTUBRE"/>
    <n v="43"/>
    <s v="MARTES"/>
    <x v="4"/>
    <s v="COCA-COLA PET 2.25LX2 RF"/>
    <n v="1458"/>
    <n v="162"/>
    <n v="247.86"/>
  </r>
  <r>
    <x v="122"/>
    <s v="OCTUBRE"/>
    <n v="43"/>
    <s v="MARTES"/>
    <x v="5"/>
    <s v="INCA KOLA PET 2.25LX2 RF"/>
    <n v="162"/>
    <n v="162"/>
    <n v="27.540000000000003"/>
  </r>
  <r>
    <x v="122"/>
    <s v="OCTUBRE"/>
    <n v="43"/>
    <s v="MARTES"/>
    <x v="17"/>
    <s v="TWO PACK CC PFM 3LX2 - RFCC"/>
    <n v="240"/>
    <n v="120"/>
    <n v="40.800000000000004"/>
  </r>
  <r>
    <x v="122"/>
    <s v="OCTUBRE"/>
    <n v="43"/>
    <s v="MARTES"/>
    <x v="7"/>
    <s v="COCA-COLA PET 1.5LX2 RF"/>
    <n v="1296"/>
    <n v="198"/>
    <n v="220.32000000000002"/>
  </r>
  <r>
    <x v="122"/>
    <s v="OCTUBRE"/>
    <n v="43"/>
    <s v="MARTES"/>
    <x v="9"/>
    <s v="TRIPACK FT NAR+FT KI+SP PET 3L"/>
    <n v="360"/>
    <n v="90"/>
    <n v="61.2"/>
  </r>
  <r>
    <x v="122"/>
    <s v="OCTUBRE"/>
    <n v="43"/>
    <s v="MARTES"/>
    <x v="10"/>
    <s v="TWO PACK CC + IK PFM 3LX2 - RFNN"/>
    <n v="4560"/>
    <n v="120"/>
    <n v="775.2"/>
  </r>
  <r>
    <x v="122"/>
    <s v="OCTUBRE"/>
    <n v="43"/>
    <s v="MARTES"/>
    <x v="20"/>
    <s v="TRIPACK (FT NAR+SP)PET+IK RF PFM 3L"/>
    <n v="180"/>
    <n v="90"/>
    <n v="30.6"/>
  </r>
  <r>
    <x v="122"/>
    <s v="OCTUBRE"/>
    <n v="43"/>
    <s v="MARTES"/>
    <x v="12"/>
    <s v="POWERADE ION4 FRUTA PET473X6 MOD (STICK)"/>
    <n v="900"/>
    <n v="225"/>
    <n v="360"/>
  </r>
  <r>
    <x v="122"/>
    <s v="OCTUBRE"/>
    <n v="43"/>
    <s v="MARTES"/>
    <x v="19"/>
    <s v="POWERADE ION4 MORA AZ PET473X6 MOD(STCK)"/>
    <n v="900"/>
    <n v="225"/>
    <n v="360"/>
  </r>
  <r>
    <x v="123"/>
    <s v="OCTUBRE"/>
    <n v="43"/>
    <s v="MIÉRCOLES"/>
    <x v="0"/>
    <s v="SAN LUIS SIN GAS PET2500X6 STICKER"/>
    <n v="336"/>
    <n v="48"/>
    <n v="134.4"/>
  </r>
  <r>
    <x v="123"/>
    <s v="OCTUBRE"/>
    <n v="43"/>
    <s v="MIÉRCOLES"/>
    <x v="25"/>
    <s v="POWERADE 3MORA+3FRUT PET 473MLX6"/>
    <n v="450"/>
    <n v="225"/>
    <n v="189"/>
  </r>
  <r>
    <x v="123"/>
    <s v="OCTUBRE"/>
    <n v="43"/>
    <s v="MIÉRCOLES"/>
    <x v="23"/>
    <s v="TRIPACK CC+IK+IK PFM 3LX3 - RFNN"/>
    <n v="900"/>
    <n v="90"/>
    <n v="153"/>
  </r>
  <r>
    <x v="123"/>
    <s v="OCTUBRE"/>
    <n v="43"/>
    <s v="MIÉRCOLES"/>
    <x v="11"/>
    <s v="TRIPACK (CC+IK)PFM+FT PET 3LX3 - RFNN"/>
    <n v="720"/>
    <n v="90"/>
    <n v="122.4"/>
  </r>
  <r>
    <x v="123"/>
    <s v="OCTUBRE"/>
    <n v="43"/>
    <s v="MIÉRCOLES"/>
    <x v="17"/>
    <s v="TWO PACK CC PFM 3LX2 - RFCC"/>
    <n v="600"/>
    <n v="120"/>
    <n v="102.00000000000001"/>
  </r>
  <r>
    <x v="123"/>
    <s v="OCTUBRE"/>
    <n v="43"/>
    <s v="MIÉRCOLES"/>
    <x v="8"/>
    <s v="INCA KOLA PET 1.5LX2 RF"/>
    <n v="864"/>
    <n v="198"/>
    <n v="146.88000000000002"/>
  </r>
  <r>
    <x v="123"/>
    <s v="OCTUBRE"/>
    <n v="43"/>
    <s v="MIÉRCOLES"/>
    <x v="10"/>
    <s v="TWO PACK CC + IK PFM 3LX2 - RFNN"/>
    <n v="1200"/>
    <n v="120"/>
    <n v="204.00000000000003"/>
  </r>
  <r>
    <x v="123"/>
    <s v="OCTUBRE"/>
    <n v="43"/>
    <s v="MIÉRCOLES"/>
    <x v="3"/>
    <s v="TWO PACK SCHWEPPES GINGER ALE PET 1.5LX2"/>
    <n v="792"/>
    <n v="198"/>
    <n v="134.64000000000001"/>
  </r>
  <r>
    <x v="123"/>
    <s v="OCTUBRE"/>
    <n v="43"/>
    <s v="MIÉRCOLES"/>
    <x v="6"/>
    <s v="INCA KOLA PET 3LX2 - RF"/>
    <n v="600"/>
    <n v="120"/>
    <n v="102.00000000000001"/>
  </r>
  <r>
    <x v="123"/>
    <s v="OCTUBRE"/>
    <n v="43"/>
    <s v="MIÉRCOLES"/>
    <x v="22"/>
    <s v="TWO PACK SCHWEPPES CITRUS PET 1.5LX2"/>
    <n v="792"/>
    <n v="198"/>
    <n v="134.64000000000001"/>
  </r>
  <r>
    <x v="123"/>
    <s v="OCTUBRE"/>
    <n v="43"/>
    <s v="MIÉRCOLES"/>
    <x v="1"/>
    <s v="COCA-COLA SIN AZUCAR PET 1.5LX2"/>
    <n v="864"/>
    <n v="198"/>
    <n v="146.88000000000002"/>
  </r>
  <r>
    <x v="123"/>
    <s v="OCTUBRE"/>
    <n v="43"/>
    <s v="MIÉRCOLES"/>
    <x v="7"/>
    <s v="COCA-COLA PET 1.5LX2 RF"/>
    <n v="1728"/>
    <n v="198"/>
    <n v="293.76000000000005"/>
  </r>
  <r>
    <x v="123"/>
    <s v="OCTUBRE"/>
    <n v="43"/>
    <s v="MIÉRCOLES"/>
    <x v="28"/>
    <s v="COCA COLA VR 1.5LX8 - STICKER"/>
    <n v="270"/>
    <n v="30"/>
    <n v="62.1"/>
  </r>
  <r>
    <x v="123"/>
    <s v="OCTUBRE"/>
    <n v="43"/>
    <s v="MIÉRCOLES"/>
    <x v="33"/>
    <s v="COCA COLA VR 296MLX24 - STICKER"/>
    <n v="240"/>
    <n v="40"/>
    <n v="55.2"/>
  </r>
  <r>
    <x v="123"/>
    <s v="OCTUBRE"/>
    <n v="43"/>
    <s v="MIÉRCOLES"/>
    <x v="13"/>
    <s v="INCA KOLA VR 1.5LX8 - STICKER"/>
    <n v="180"/>
    <n v="30"/>
    <n v="72"/>
  </r>
  <r>
    <x v="123"/>
    <s v="OCTUBRE"/>
    <n v="43"/>
    <s v="MIÉRCOLES"/>
    <x v="14"/>
    <s v="INCA KOLA VR 296MLX24 - STICKER"/>
    <n v="160"/>
    <n v="40"/>
    <n v="36.800000000000004"/>
  </r>
  <r>
    <x v="123"/>
    <s v="OCTUBRE"/>
    <n v="43"/>
    <s v="MIÉRCOLES"/>
    <x v="38"/>
    <s v="SL S/G TAPA PLANA 1LT"/>
    <n v="448"/>
    <n v="112"/>
    <n v="179.20000000000002"/>
  </r>
  <r>
    <x v="123"/>
    <s v="OCTUBRE"/>
    <n v="43"/>
    <s v="MIÉRCOLES"/>
    <x v="24"/>
    <s v="MONSTER ENERGY 473MLX4"/>
    <n v="2520"/>
    <n v="420"/>
    <n v="1058.3999999999999"/>
  </r>
  <r>
    <x v="123"/>
    <s v="OCTUBRE"/>
    <n v="43"/>
    <s v="MIÉRCOLES"/>
    <x v="2"/>
    <s v="INCA KOLA SIN AZUCAR PET 1.5LX2"/>
    <n v="1080"/>
    <n v="198"/>
    <n v="183.60000000000002"/>
  </r>
  <r>
    <x v="123"/>
    <s v="OCTUBRE"/>
    <n v="43"/>
    <s v="MIÉRCOLES"/>
    <x v="4"/>
    <s v="COCA-COLA PET 2.25LX2 RF"/>
    <n v="486"/>
    <n v="162"/>
    <n v="82.62"/>
  </r>
  <r>
    <x v="123"/>
    <s v="OCTUBRE"/>
    <n v="43"/>
    <s v="MIÉRCOLES"/>
    <x v="12"/>
    <s v="POWERADE ION4 FRUTA PET473X6 MOD (STICK)"/>
    <n v="450"/>
    <n v="225"/>
    <n v="180"/>
  </r>
  <r>
    <x v="123"/>
    <s v="OCTUBRE"/>
    <n v="43"/>
    <s v="MIÉRCOLES"/>
    <x v="35"/>
    <s v="SAN LUIS SIN GAS PET 625MLX06 MOD"/>
    <n v="540"/>
    <n v="180"/>
    <n v="226.79999999999998"/>
  </r>
  <r>
    <x v="123"/>
    <s v="OCTUBRE"/>
    <n v="43"/>
    <s v="MIÉRCOLES"/>
    <x v="19"/>
    <s v="POWERADE ION4 MORA AZ PET473X6 MOD(STCK)"/>
    <n v="900"/>
    <n v="225"/>
    <n v="360"/>
  </r>
  <r>
    <x v="123"/>
    <s v="OCTUBRE"/>
    <n v="43"/>
    <s v="MIÉRCOLES"/>
    <x v="26"/>
    <s v="TRIPACK CC+CC+IK PFM 3LX3 - RFNN"/>
    <n v="900"/>
    <n v="90"/>
    <n v="153"/>
  </r>
  <r>
    <x v="123"/>
    <s v="OCTUBRE"/>
    <n v="43"/>
    <s v="MIÉRCOLES"/>
    <x v="15"/>
    <s v="INCA KOLA VR 625MLX12 - STICKER"/>
    <n v="400"/>
    <n v="50"/>
    <n v="160"/>
  </r>
  <r>
    <x v="123"/>
    <s v="OCTUBRE"/>
    <n v="43"/>
    <s v="MIÉRCOLES"/>
    <x v="40"/>
    <s v="SAN LUIS SPORT S/G 10 Lt x6 "/>
    <n v="224"/>
    <n v="240"/>
    <n v="89.600000000000009"/>
  </r>
  <r>
    <x v="124"/>
    <s v="OCTUBRE"/>
    <n v="43"/>
    <s v="JUEVES"/>
    <x v="23"/>
    <s v="TRIPACK CC+IK+IK PFM 3LX3 - RFNN"/>
    <n v="1440"/>
    <n v="90"/>
    <n v="244.8"/>
  </r>
  <r>
    <x v="124"/>
    <s v="OCTUBRE"/>
    <n v="43"/>
    <s v="JUEVES"/>
    <x v="12"/>
    <s v="POWERADE ION4 FRUTA PET473X6 MOD (STICK)"/>
    <n v="900"/>
    <n v="225"/>
    <n v="360"/>
  </r>
  <r>
    <x v="124"/>
    <s v="OCTUBRE"/>
    <n v="43"/>
    <s v="JUEVES"/>
    <x v="19"/>
    <s v="POWERADE ION4 MORA AZ PET473X6 MOD(STCK)"/>
    <n v="675"/>
    <n v="225"/>
    <n v="270"/>
  </r>
  <r>
    <x v="124"/>
    <s v="OCTUBRE"/>
    <n v="43"/>
    <s v="JUEVES"/>
    <x v="38"/>
    <s v="SL S/G TAPA PLANA 1LT"/>
    <n v="112"/>
    <n v="112"/>
    <n v="44.800000000000004"/>
  </r>
  <r>
    <x v="124"/>
    <s v="OCTUBRE"/>
    <n v="43"/>
    <s v="JUEVES"/>
    <x v="35"/>
    <s v="SAN LUIS SIN GAS PET 625MLX06 MOD"/>
    <n v="180"/>
    <n v="180"/>
    <n v="75.599999999999994"/>
  </r>
  <r>
    <x v="124"/>
    <s v="OCTUBRE"/>
    <n v="43"/>
    <s v="JUEVES"/>
    <x v="25"/>
    <s v="POWERADE 3MORA+3FRUT PET 473MLX6"/>
    <n v="1800"/>
    <n v="225"/>
    <n v="756"/>
  </r>
  <r>
    <x v="124"/>
    <s v="OCTUBRE"/>
    <n v="43"/>
    <s v="JUEVES"/>
    <x v="33"/>
    <s v="COCA COLA VR 296MLX24 - STICKER"/>
    <n v="40"/>
    <n v="40"/>
    <n v="9.2000000000000011"/>
  </r>
  <r>
    <x v="124"/>
    <s v="OCTUBRE"/>
    <n v="43"/>
    <s v="JUEVES"/>
    <x v="17"/>
    <s v="TWO PACK CC PFM 3LX2 - RFCC"/>
    <n v="200"/>
    <n v="120"/>
    <n v="34"/>
  </r>
  <r>
    <x v="124"/>
    <s v="OCTUBRE"/>
    <n v="43"/>
    <s v="JUEVES"/>
    <x v="6"/>
    <s v="INCA KOLA PET 3LX2 - RF"/>
    <n v="600"/>
    <n v="120"/>
    <n v="102.00000000000001"/>
  </r>
  <r>
    <x v="124"/>
    <s v="OCTUBRE"/>
    <n v="43"/>
    <s v="JUEVES"/>
    <x v="22"/>
    <s v="TWO PACK SCHWEPPES CITRUS PET 1.5LX2"/>
    <n v="792"/>
    <n v="198"/>
    <n v="134.64000000000001"/>
  </r>
  <r>
    <x v="124"/>
    <s v="OCTUBRE"/>
    <n v="43"/>
    <s v="JUEVES"/>
    <x v="3"/>
    <s v="TWO PACK SCHWEPPES GINGER ALE PET 1.5LX2"/>
    <n v="792"/>
    <n v="198"/>
    <n v="134.64000000000001"/>
  </r>
  <r>
    <x v="124"/>
    <s v="OCTUBRE"/>
    <n v="43"/>
    <s v="JUEVES"/>
    <x v="7"/>
    <s v="COCA-COLA PET 1.5LX2 RF"/>
    <n v="1512"/>
    <n v="198"/>
    <n v="257.04000000000002"/>
  </r>
  <r>
    <x v="124"/>
    <s v="OCTUBRE"/>
    <n v="43"/>
    <s v="JUEVES"/>
    <x v="1"/>
    <s v="COCA-COLA SIN AZUCAR PET 1.5LX2"/>
    <n v="864"/>
    <n v="198"/>
    <n v="146.88000000000002"/>
  </r>
  <r>
    <x v="124"/>
    <s v="OCTUBRE"/>
    <n v="43"/>
    <s v="JUEVES"/>
    <x v="10"/>
    <s v="TWO PACK CC + IK PFM 3LX2 - RFNN"/>
    <n v="4320"/>
    <n v="120"/>
    <n v="734.40000000000009"/>
  </r>
  <r>
    <x v="124"/>
    <s v="OCTUBRE"/>
    <n v="43"/>
    <s v="JUEVES"/>
    <x v="8"/>
    <s v="INCA KOLA PET 1.5LX2 RF"/>
    <n v="864"/>
    <n v="198"/>
    <n v="146.88000000000002"/>
  </r>
  <r>
    <x v="124"/>
    <s v="OCTUBRE"/>
    <n v="43"/>
    <s v="JUEVES"/>
    <x v="11"/>
    <s v="TRIPACK (CC+IK)PFM+FT PET 3LX3 - RFNN"/>
    <n v="1170"/>
    <n v="90"/>
    <n v="198.9"/>
  </r>
  <r>
    <x v="124"/>
    <s v="OCTUBRE"/>
    <n v="43"/>
    <s v="JUEVES"/>
    <x v="15"/>
    <s v="INCA KOLA VR 625MLX12 - STICKER"/>
    <n v="150"/>
    <n v="50"/>
    <n v="60"/>
  </r>
  <r>
    <x v="124"/>
    <s v="OCTUBRE"/>
    <n v="43"/>
    <s v="JUEVES"/>
    <x v="0"/>
    <s v="SAN LUIS SIN GAS PET2500X6 STICKER"/>
    <n v="336"/>
    <n v="48"/>
    <n v="134.4"/>
  </r>
  <r>
    <x v="124"/>
    <s v="OCTUBRE"/>
    <n v="43"/>
    <s v="JUEVES"/>
    <x v="26"/>
    <s v="TRIPACK CC+CC+IK PFM 3LX3 - RFNN"/>
    <n v="1440"/>
    <n v="90"/>
    <n v="244.8"/>
  </r>
  <r>
    <x v="124"/>
    <s v="OCTUBRE"/>
    <n v="43"/>
    <s v="JUEVES"/>
    <x v="9"/>
    <s v="TRIPACK FT NAR+FT KI+SP PET 3L"/>
    <n v="720"/>
    <n v="90"/>
    <n v="122.4"/>
  </r>
  <r>
    <x v="124"/>
    <s v="OCTUBRE"/>
    <n v="43"/>
    <s v="JUEVES"/>
    <x v="5"/>
    <s v="INCA KOLA PET 2.25LX2 RF"/>
    <n v="486"/>
    <n v="162"/>
    <n v="82.62"/>
  </r>
  <r>
    <x v="124"/>
    <s v="OCTUBRE"/>
    <n v="43"/>
    <s v="JUEVES"/>
    <x v="9"/>
    <s v="TRIPACK FT NAR+FT KI+SP PET 3L"/>
    <n v="1170"/>
    <n v="90"/>
    <n v="198.9"/>
  </r>
  <r>
    <x v="124"/>
    <s v="OCTUBRE"/>
    <n v="43"/>
    <s v="JUEVES"/>
    <x v="20"/>
    <s v="TRIPACK (FT NAR+SP)PET+IK RF PFM 3L"/>
    <n v="270"/>
    <n v="90"/>
    <n v="45.900000000000006"/>
  </r>
  <r>
    <x v="124"/>
    <s v="OCTUBRE"/>
    <n v="43"/>
    <s v="JUEVES"/>
    <x v="16"/>
    <s v="SAN LUIS CON GAS PET 625MLX6"/>
    <n v="360"/>
    <n v="180"/>
    <n v="151.19999999999999"/>
  </r>
  <r>
    <x v="124"/>
    <s v="OCTUBRE"/>
    <n v="43"/>
    <s v="JUEVES"/>
    <x v="34"/>
    <s v="TWO PACK CC PET 1.5LX2 - CRC"/>
    <n v="216"/>
    <n v="198"/>
    <n v="36.720000000000006"/>
  </r>
  <r>
    <x v="125"/>
    <s v="OCTUBRE"/>
    <n v="43"/>
    <s v="VIERNES"/>
    <x v="25"/>
    <s v="POWERADE 3MORA+3FRUT PET 473MLX6"/>
    <n v="900"/>
    <n v="225"/>
    <n v="378"/>
  </r>
  <r>
    <x v="125"/>
    <s v="OCTUBRE"/>
    <n v="43"/>
    <s v="VIERNES"/>
    <x v="28"/>
    <s v="COCA COLA VR 1.5LX8 - STICKER"/>
    <n v="90"/>
    <n v="30"/>
    <n v="20.7"/>
  </r>
  <r>
    <x v="125"/>
    <s v="OCTUBRE"/>
    <n v="43"/>
    <s v="VIERNES"/>
    <x v="4"/>
    <s v="COCA-COLA PET 2.25LX2 RF"/>
    <n v="648"/>
    <n v="162"/>
    <n v="110.16000000000001"/>
  </r>
  <r>
    <x v="125"/>
    <s v="OCTUBRE"/>
    <n v="43"/>
    <s v="VIERNES"/>
    <x v="26"/>
    <s v="TRIPACK CC+CC+IK PFM 3LX3 - RFNN"/>
    <n v="2160"/>
    <n v="90"/>
    <n v="367.20000000000005"/>
  </r>
  <r>
    <x v="125"/>
    <s v="OCTUBRE"/>
    <n v="43"/>
    <s v="VIERNES"/>
    <x v="5"/>
    <s v="INCA KOLA PET 2.25LX2 RF"/>
    <n v="972"/>
    <n v="162"/>
    <n v="165.24"/>
  </r>
  <r>
    <x v="125"/>
    <s v="OCTUBRE"/>
    <n v="43"/>
    <s v="VIERNES"/>
    <x v="9"/>
    <s v="TRIPACK FT NAR+FT KI+SP PET 3L"/>
    <n v="900"/>
    <n v="90"/>
    <n v="153"/>
  </r>
  <r>
    <x v="125"/>
    <s v="OCTUBRE"/>
    <n v="43"/>
    <s v="VIERNES"/>
    <x v="8"/>
    <s v="INCA KOLA PET 1.5LX2 RF"/>
    <n v="864"/>
    <n v="198"/>
    <n v="146.88000000000002"/>
  </r>
  <r>
    <x v="125"/>
    <s v="OCTUBRE"/>
    <n v="43"/>
    <s v="VIERNES"/>
    <x v="6"/>
    <s v="INCA KOLA PET 3LX2 - RF"/>
    <n v="480"/>
    <n v="120"/>
    <n v="81.600000000000009"/>
  </r>
  <r>
    <x v="125"/>
    <s v="OCTUBRE"/>
    <n v="43"/>
    <s v="VIERNES"/>
    <x v="23"/>
    <s v="TRIPACK CC+IK+IK PFM 3LX3 - RFNN"/>
    <n v="720"/>
    <n v="90"/>
    <n v="122.4"/>
  </r>
  <r>
    <x v="125"/>
    <s v="OCTUBRE"/>
    <n v="43"/>
    <s v="VIERNES"/>
    <x v="2"/>
    <s v="INCA KOLA SIN AZUCAR PET 1.5LX2"/>
    <n v="1296"/>
    <n v="198"/>
    <n v="220.32000000000002"/>
  </r>
  <r>
    <x v="125"/>
    <s v="OCTUBRE"/>
    <n v="43"/>
    <s v="VIERNES"/>
    <x v="11"/>
    <s v="TRIPACK (CC+IK)PFM+FT PET 3LX3 - RFNN"/>
    <n v="1440"/>
    <n v="90"/>
    <n v="244.8"/>
  </r>
  <r>
    <x v="125"/>
    <s v="OCTUBRE"/>
    <n v="43"/>
    <s v="VIERNES"/>
    <x v="1"/>
    <s v="COCA-COLA SIN AZUCAR PET 1.5LX2"/>
    <n v="1296"/>
    <n v="198"/>
    <n v="220.32000000000002"/>
  </r>
  <r>
    <x v="125"/>
    <s v="OCTUBRE"/>
    <n v="43"/>
    <s v="VIERNES"/>
    <x v="16"/>
    <s v="SAN LUIS CON GAS PET 625MLX6"/>
    <n v="720"/>
    <n v="180"/>
    <n v="302.39999999999998"/>
  </r>
  <r>
    <x v="125"/>
    <s v="OCTUBRE"/>
    <n v="43"/>
    <s v="VIERNES"/>
    <x v="20"/>
    <s v="TRIPACK (FT NAR+SP)PET+IK RF PFM 3L"/>
    <n v="540"/>
    <n v="90"/>
    <n v="91.800000000000011"/>
  </r>
  <r>
    <x v="125"/>
    <s v="OCTUBRE"/>
    <n v="43"/>
    <s v="VIERNES"/>
    <x v="42"/>
    <s v="FANTA NARANJA PET 500MLX6 BRANDEADO MOD"/>
    <n v="2000"/>
    <n v="420"/>
    <n v="840"/>
  </r>
  <r>
    <x v="125"/>
    <s v="OCTUBRE"/>
    <n v="43"/>
    <s v="VIERNES"/>
    <x v="40"/>
    <s v="SAN LUIS SPORT S/G 10 Lt x6 "/>
    <n v="112"/>
    <n v="240"/>
    <n v="44.800000000000004"/>
  </r>
  <r>
    <x v="125"/>
    <s v="OCTUBRE"/>
    <n v="43"/>
    <s v="VIERNES"/>
    <x v="10"/>
    <s v="TWO PACK CC + IK PFM 3LX2 - RFNN"/>
    <n v="4320"/>
    <n v="120"/>
    <n v="734.40000000000009"/>
  </r>
  <r>
    <x v="125"/>
    <s v="OCTUBRE"/>
    <n v="43"/>
    <s v="VIERNES"/>
    <x v="19"/>
    <s v="POWERADE ION4 MORA AZ PET473X6 MOD(STCK)"/>
    <n v="225"/>
    <n v="225"/>
    <n v="90"/>
  </r>
  <r>
    <x v="125"/>
    <s v="OCTUBRE"/>
    <n v="43"/>
    <s v="VIERNES"/>
    <x v="12"/>
    <s v="POWERADE ION4 FRUTA PET473X6 MOD (STICK)"/>
    <n v="225"/>
    <n v="225"/>
    <n v="90"/>
  </r>
  <r>
    <x v="125"/>
    <s v="OCTUBRE"/>
    <n v="43"/>
    <s v="VIERNES"/>
    <x v="35"/>
    <s v="SAN LUIS SIN GAS PET 625MLX06 MOD"/>
    <n v="180"/>
    <n v="180"/>
    <n v="75.599999999999994"/>
  </r>
  <r>
    <x v="126"/>
    <s v="OCTUBRE"/>
    <n v="44"/>
    <s v="SÁBADO"/>
    <x v="0"/>
    <s v="SAN LUIS SIN GAS PET2500X6 STICKER"/>
    <n v="96"/>
    <n v="48"/>
    <n v="38.400000000000006"/>
  </r>
  <r>
    <x v="126"/>
    <s v="OCTUBRE"/>
    <n v="44"/>
    <s v="SÁBADO"/>
    <x v="5"/>
    <s v="INCA KOLA PET 2.25LX2 RF"/>
    <n v="162"/>
    <n v="162"/>
    <n v="27.540000000000003"/>
  </r>
  <r>
    <x v="126"/>
    <s v="OCTUBRE"/>
    <n v="44"/>
    <s v="SÁBADO"/>
    <x v="9"/>
    <s v="TRIPACK FT NAR+FT KI+SP PET 3L"/>
    <n v="180"/>
    <n v="90"/>
    <n v="30.6"/>
  </r>
  <r>
    <x v="126"/>
    <s v="OCTUBRE"/>
    <n v="44"/>
    <s v="SÁBADO"/>
    <x v="19"/>
    <s v="POWERADE ION4 MORA AZ PET473X6 MOD(STCK)"/>
    <n v="450"/>
    <n v="225"/>
    <n v="180"/>
  </r>
  <r>
    <x v="126"/>
    <s v="OCTUBRE"/>
    <n v="44"/>
    <s v="SÁBADO"/>
    <x v="12"/>
    <s v="POWERADE ION4 FRUTA PET473X6 MOD (STICK)"/>
    <n v="225"/>
    <n v="225"/>
    <n v="90"/>
  </r>
  <r>
    <x v="126"/>
    <s v="OCTUBRE"/>
    <n v="44"/>
    <s v="SÁBADO"/>
    <x v="43"/>
    <s v="SPRITE PET 500MLX6 BRANDEADO MOD"/>
    <n v="500"/>
    <n v="420"/>
    <n v="210"/>
  </r>
  <r>
    <x v="126"/>
    <s v="OCTUBRE"/>
    <n v="44"/>
    <s v="SÁBADO"/>
    <x v="20"/>
    <s v="TRIPACK (FT NAR+SP)PET+IK RF PFM 3L"/>
    <n v="180"/>
    <n v="90"/>
    <n v="30.6"/>
  </r>
  <r>
    <x v="126"/>
    <s v="OCTUBRE"/>
    <n v="44"/>
    <s v="SÁBADO"/>
    <x v="35"/>
    <s v="SAN LUIS SIN GAS PET 625MLX06 MOD"/>
    <n v="180"/>
    <n v="180"/>
    <n v="75.599999999999994"/>
  </r>
  <r>
    <x v="126"/>
    <s v="OCTUBRE"/>
    <n v="44"/>
    <s v="SÁBADO"/>
    <x v="36"/>
    <s v="SAN LUIS SIN GAS PET 625MLX15 C/STICKER"/>
    <n v="90"/>
    <n v="90"/>
    <n v="36"/>
  </r>
  <r>
    <x v="126"/>
    <s v="OCTUBRE"/>
    <n v="44"/>
    <s v="SÁBADO"/>
    <x v="25"/>
    <s v="POWERADE 3MORA+3FRUT PET 473MLX6"/>
    <n v="900"/>
    <n v="225"/>
    <n v="378"/>
  </r>
  <r>
    <x v="126"/>
    <s v="OCTUBRE"/>
    <n v="44"/>
    <s v="SÁBADO"/>
    <x v="10"/>
    <s v="TWO PACK CC + IK PFM 3LX2 - RFNN"/>
    <n v="4320"/>
    <n v="120"/>
    <n v="734.40000000000009"/>
  </r>
  <r>
    <x v="126"/>
    <s v="OCTUBRE"/>
    <n v="44"/>
    <s v="SÁBADO"/>
    <x v="1"/>
    <s v="COCA-COLA SIN AZUCAR PET 1.5LX2"/>
    <n v="1296"/>
    <n v="198"/>
    <n v="220.32000000000002"/>
  </r>
  <r>
    <x v="126"/>
    <s v="OCTUBRE"/>
    <n v="44"/>
    <s v="SÁBADO"/>
    <x v="2"/>
    <s v="INCA KOLA SIN AZUCAR PET 1.5LX2"/>
    <n v="1296"/>
    <n v="198"/>
    <n v="220.32000000000002"/>
  </r>
  <r>
    <x v="126"/>
    <s v="OCTUBRE"/>
    <n v="44"/>
    <s v="SÁBADO"/>
    <x v="26"/>
    <s v="TRIPACK CC+CC+IK PFM 3LX3 - RFNN"/>
    <n v="900"/>
    <n v="90"/>
    <n v="153"/>
  </r>
  <r>
    <x v="126"/>
    <s v="OCTUBRE"/>
    <n v="44"/>
    <s v="SÁBADO"/>
    <x v="7"/>
    <s v="COCA-COLA PET 1.5LX2 RF"/>
    <n v="1260"/>
    <n v="198"/>
    <n v="214.20000000000002"/>
  </r>
  <r>
    <x v="126"/>
    <s v="OCTUBRE"/>
    <n v="44"/>
    <s v="SÁBADO"/>
    <x v="11"/>
    <s v="TRIPACK (CC+IK)PFM+FT PET 3LX3 - RFNN"/>
    <n v="1620"/>
    <n v="90"/>
    <n v="275.40000000000003"/>
  </r>
  <r>
    <x v="126"/>
    <s v="OCTUBRE"/>
    <n v="44"/>
    <s v="SÁBADO"/>
    <x v="14"/>
    <s v="INCA KOLA VR 296MLX24 - STICKER"/>
    <n v="160"/>
    <n v="40"/>
    <n v="36.800000000000004"/>
  </r>
  <r>
    <x v="126"/>
    <s v="OCTUBRE"/>
    <n v="44"/>
    <s v="SÁBADO"/>
    <x v="13"/>
    <s v="INCA KOLA VR 1.5LX8 - STICKER"/>
    <n v="240"/>
    <n v="30"/>
    <n v="96"/>
  </r>
  <r>
    <x v="126"/>
    <s v="OCTUBRE"/>
    <n v="44"/>
    <s v="SÁBADO"/>
    <x v="28"/>
    <s v="COCA COLA VR 1.5LX8 - STICKER"/>
    <n v="120"/>
    <n v="30"/>
    <n v="27.6"/>
  </r>
  <r>
    <x v="126"/>
    <s v="OCTUBRE"/>
    <n v="44"/>
    <s v="SÁBADO"/>
    <x v="15"/>
    <s v="INCA KOLA VR 625MLX12 - STICKER"/>
    <n v="200"/>
    <n v="50"/>
    <n v="80"/>
  </r>
  <r>
    <x v="126"/>
    <s v="OCTUBRE"/>
    <n v="44"/>
    <s v="SÁBADO"/>
    <x v="8"/>
    <s v="INCA KOLA PET 1.5LX2 RF"/>
    <n v="864"/>
    <n v="198"/>
    <n v="146.88000000000002"/>
  </r>
  <r>
    <x v="126"/>
    <s v="OCTUBRE"/>
    <n v="44"/>
    <s v="SÁBADO"/>
    <x v="6"/>
    <s v="INCA KOLA PET 3LX2 - RF"/>
    <n v="480"/>
    <n v="120"/>
    <n v="81.600000000000009"/>
  </r>
  <r>
    <x v="126"/>
    <s v="OCTUBRE"/>
    <n v="44"/>
    <s v="SÁBADO"/>
    <x v="4"/>
    <s v="COCA-COLA PET 2.25LX2 RF"/>
    <n v="324"/>
    <n v="162"/>
    <n v="55.080000000000005"/>
  </r>
  <r>
    <x v="126"/>
    <s v="OCTUBRE"/>
    <n v="44"/>
    <s v="SÁBADO"/>
    <x v="38"/>
    <s v="SL S/G TAPA PLANA 1LT"/>
    <n v="224"/>
    <n v="112"/>
    <n v="89.600000000000009"/>
  </r>
  <r>
    <x v="127"/>
    <s v="OCTUBRE"/>
    <n v="44"/>
    <s v="LUNES"/>
    <x v="23"/>
    <s v="TRIPACK CC+IK+IK PFM 3LX3 - RFNN"/>
    <n v="900"/>
    <n v="90"/>
    <n v="153"/>
  </r>
  <r>
    <x v="127"/>
    <s v="OCTUBRE"/>
    <n v="44"/>
    <s v="LUNES"/>
    <x v="17"/>
    <s v="TWO PACK CC PFM 3LX2 - RFCC"/>
    <n v="720"/>
    <n v="120"/>
    <n v="122.4"/>
  </r>
  <r>
    <x v="127"/>
    <s v="OCTUBRE"/>
    <n v="44"/>
    <s v="LUNES"/>
    <x v="16"/>
    <s v="SAN LUIS CON GAS PET 625MLX6"/>
    <n v="720"/>
    <n v="180"/>
    <n v="302.39999999999998"/>
  </r>
  <r>
    <x v="127"/>
    <s v="OCTUBRE"/>
    <n v="44"/>
    <s v="LUNES"/>
    <x v="26"/>
    <s v="TRIPACK CC+CC+IK PFM 3LX3 - RFNN"/>
    <n v="180"/>
    <n v="90"/>
    <n v="30.6"/>
  </r>
  <r>
    <x v="127"/>
    <s v="OCTUBRE"/>
    <n v="44"/>
    <s v="LUNES"/>
    <x v="1"/>
    <s v="COCA-COLA SIN AZUCAR PET 1.5LX2"/>
    <n v="1296"/>
    <n v="198"/>
    <n v="220.32000000000002"/>
  </r>
  <r>
    <x v="127"/>
    <s v="OCTUBRE"/>
    <n v="44"/>
    <s v="LUNES"/>
    <x v="6"/>
    <s v="INCA KOLA PET 3LX2 - RF"/>
    <n v="720"/>
    <n v="120"/>
    <n v="122.4"/>
  </r>
  <r>
    <x v="127"/>
    <s v="OCTUBRE"/>
    <n v="44"/>
    <s v="LUNES"/>
    <x v="10"/>
    <s v="TWO PACK CC + IK PFM 3LX2 - RFNN"/>
    <n v="4320"/>
    <n v="120"/>
    <n v="734.40000000000009"/>
  </r>
  <r>
    <x v="127"/>
    <s v="OCTUBRE"/>
    <n v="44"/>
    <s v="LUNES"/>
    <x v="2"/>
    <s v="INCA KOLA SIN AZUCAR PET 1.5LX2"/>
    <n v="1296"/>
    <n v="198"/>
    <n v="220.32000000000002"/>
  </r>
  <r>
    <x v="127"/>
    <s v="OCTUBRE"/>
    <n v="44"/>
    <s v="LUNES"/>
    <x v="23"/>
    <s v="TRIPACK CC+IK+IK PFM 3LX3 - RFNN"/>
    <n v="720"/>
    <n v="90"/>
    <n v="122.4"/>
  </r>
  <r>
    <x v="127"/>
    <s v="OCTUBRE"/>
    <n v="44"/>
    <s v="LUNES"/>
    <x v="26"/>
    <s v="TRIPACK CC+CC+IK PFM 3LX3 - RFNN"/>
    <n v="1170"/>
    <n v="90"/>
    <n v="198.9"/>
  </r>
  <r>
    <x v="127"/>
    <s v="OCTUBRE"/>
    <n v="44"/>
    <s v="LUNES"/>
    <x v="11"/>
    <s v="TRIPACK (CC+IK)PFM+FT PET 3LX3 - RFNN"/>
    <n v="1620"/>
    <n v="90"/>
    <n v="275.40000000000003"/>
  </r>
  <r>
    <x v="127"/>
    <s v="OCTUBRE"/>
    <n v="44"/>
    <s v="LUNES"/>
    <x v="8"/>
    <s v="INCA KOLA PET 1.5LX2 RF"/>
    <n v="864"/>
    <n v="198"/>
    <n v="146.88000000000002"/>
  </r>
  <r>
    <x v="127"/>
    <s v="OCTUBRE"/>
    <n v="44"/>
    <s v="LUNES"/>
    <x v="9"/>
    <s v="TRIPACK FT NAR+FT KI+SP PET 3L"/>
    <n v="720"/>
    <n v="90"/>
    <n v="122.4"/>
  </r>
  <r>
    <x v="127"/>
    <s v="OCTUBRE"/>
    <n v="44"/>
    <s v="LUNES"/>
    <x v="0"/>
    <s v="SAN LUIS SIN GAS PET2500X6 STICKER"/>
    <n v="384"/>
    <n v="48"/>
    <n v="153.60000000000002"/>
  </r>
  <r>
    <x v="127"/>
    <s v="OCTUBRE"/>
    <n v="44"/>
    <s v="LUNES"/>
    <x v="12"/>
    <s v="POWERADE ION4 FRUTA PET473X6 MOD (STICK)"/>
    <n v="225"/>
    <n v="225"/>
    <n v="90"/>
  </r>
  <r>
    <x v="127"/>
    <s v="OCTUBRE"/>
    <n v="44"/>
    <s v="LUNES"/>
    <x v="19"/>
    <s v="POWERADE ION4 MORA AZ PET473X6 MOD(STCK)"/>
    <n v="450"/>
    <n v="225"/>
    <n v="180"/>
  </r>
  <r>
    <x v="127"/>
    <s v="OCTUBRE"/>
    <n v="44"/>
    <s v="LUNES"/>
    <x v="42"/>
    <s v="FANTA NARANJA PET 500MLX6 BRANDEADO MOD"/>
    <n v="500"/>
    <n v="420"/>
    <n v="210"/>
  </r>
  <r>
    <x v="127"/>
    <s v="OCTUBRE"/>
    <n v="44"/>
    <s v="LUNES"/>
    <x v="5"/>
    <s v="INCA KOLA PET 2.25LX2 RF"/>
    <n v="324"/>
    <n v="162"/>
    <n v="55.080000000000005"/>
  </r>
  <r>
    <x v="127"/>
    <s v="OCTUBRE"/>
    <n v="44"/>
    <s v="LUNES"/>
    <x v="35"/>
    <s v="SAN LUIS SIN GAS PET 625MLX06 MOD"/>
    <n v="1800"/>
    <n v="180"/>
    <n v="756"/>
  </r>
  <r>
    <x v="128"/>
    <s v="OCTUBRE"/>
    <n v="44"/>
    <s v="MARTES"/>
    <x v="23"/>
    <s v="TRIPACK CC+IK+IK PFM 3LX3 - RFNN"/>
    <n v="720"/>
    <n v="90"/>
    <n v="122.4"/>
  </r>
  <r>
    <x v="128"/>
    <s v="OCTUBRE"/>
    <n v="44"/>
    <s v="MARTES"/>
    <x v="10"/>
    <s v="TWO PACK CC + IK PFM 3LX2 - RFNN"/>
    <n v="2400"/>
    <n v="120"/>
    <n v="408.00000000000006"/>
  </r>
  <r>
    <x v="128"/>
    <s v="OCTUBRE"/>
    <n v="44"/>
    <s v="MARTES"/>
    <x v="9"/>
    <s v="TRIPACK FT NAR+FT KI+SP PET 3L"/>
    <n v="720"/>
    <n v="90"/>
    <n v="122.4"/>
  </r>
  <r>
    <x v="128"/>
    <s v="OCTUBRE"/>
    <n v="44"/>
    <s v="MARTES"/>
    <x v="2"/>
    <s v="INCA KOLA SIN AZUCAR PET 1.5LX2"/>
    <n v="864"/>
    <n v="198"/>
    <n v="146.88000000000002"/>
  </r>
  <r>
    <x v="128"/>
    <s v="OCTUBRE"/>
    <n v="44"/>
    <s v="MARTES"/>
    <x v="8"/>
    <s v="INCA KOLA PET 1.5LX2 RF"/>
    <n v="648"/>
    <n v="198"/>
    <n v="110.16000000000001"/>
  </r>
  <r>
    <x v="128"/>
    <s v="OCTUBRE"/>
    <n v="44"/>
    <s v="MARTES"/>
    <x v="11"/>
    <s v="TRIPACK (CC+IK)PFM+FT PET 3LX3 - RFNN"/>
    <n v="3960"/>
    <n v="90"/>
    <n v="673.2"/>
  </r>
  <r>
    <x v="128"/>
    <s v="OCTUBRE"/>
    <n v="44"/>
    <s v="MARTES"/>
    <x v="26"/>
    <s v="TRIPACK CC+CC+IK PFM 3LX3 - RFNN"/>
    <n v="720"/>
    <n v="90"/>
    <n v="122.4"/>
  </r>
  <r>
    <x v="128"/>
    <s v="OCTUBRE"/>
    <n v="44"/>
    <s v="MARTES"/>
    <x v="1"/>
    <s v="COCA-COLA SIN AZUCAR PET 1.5LX2"/>
    <n v="864"/>
    <n v="198"/>
    <n v="146.88000000000002"/>
  </r>
  <r>
    <x v="128"/>
    <s v="OCTUBRE"/>
    <n v="44"/>
    <s v="MARTES"/>
    <x v="16"/>
    <s v="SAN LUIS CON GAS PET 625MLX6"/>
    <n v="900"/>
    <n v="180"/>
    <n v="378"/>
  </r>
  <r>
    <x v="128"/>
    <s v="OCTUBRE"/>
    <n v="44"/>
    <s v="MARTES"/>
    <x v="6"/>
    <s v="INCA KOLA PET 3LX2 - RF"/>
    <n v="1800"/>
    <n v="120"/>
    <n v="306"/>
  </r>
  <r>
    <x v="128"/>
    <s v="OCTUBRE"/>
    <n v="44"/>
    <s v="MARTES"/>
    <x v="35"/>
    <s v="SAN LUIS SIN GAS PET 625MLX06 MOD"/>
    <n v="900"/>
    <n v="180"/>
    <n v="378"/>
  </r>
  <r>
    <x v="128"/>
    <s v="OCTUBRE"/>
    <n v="44"/>
    <s v="MARTES"/>
    <x v="0"/>
    <s v="SAN LUIS SIN GAS PET2500X6 STICKER"/>
    <n v="192"/>
    <n v="48"/>
    <n v="76.800000000000011"/>
  </r>
  <r>
    <x v="128"/>
    <s v="OCTUBRE"/>
    <n v="44"/>
    <s v="MARTES"/>
    <x v="24"/>
    <s v="MONSTER ENERGY 473MLX4"/>
    <n v="840"/>
    <n v="420"/>
    <n v="352.8"/>
  </r>
  <r>
    <x v="128"/>
    <s v="OCTUBRE"/>
    <n v="44"/>
    <s v="MARTES"/>
    <x v="17"/>
    <s v="TWO PACK CC PFM 3LX2 - RFCC"/>
    <n v="960"/>
    <n v="120"/>
    <n v="163.20000000000002"/>
  </r>
  <r>
    <x v="128"/>
    <s v="OCTUBRE"/>
    <n v="44"/>
    <s v="MARTES"/>
    <x v="20"/>
    <s v="TRIPACK (FT NAR+SP)PET+IK RF PFM 3L"/>
    <n v="180"/>
    <n v="90"/>
    <n v="30.6"/>
  </r>
  <r>
    <x v="128"/>
    <s v="OCTUBRE"/>
    <n v="44"/>
    <s v="MARTES"/>
    <x v="42"/>
    <s v="FANTA NARANJA PET 500MLX6 BRANDEADO MOD"/>
    <n v="250"/>
    <n v="420"/>
    <n v="105"/>
  </r>
  <r>
    <x v="128"/>
    <s v="OCTUBRE"/>
    <n v="44"/>
    <s v="MARTES"/>
    <x v="7"/>
    <s v="COCA-COLA PET 1.5LX2 RF"/>
    <n v="216"/>
    <n v="198"/>
    <n v="36.720000000000006"/>
  </r>
  <r>
    <x v="128"/>
    <s v="OCTUBRE"/>
    <n v="44"/>
    <s v="MARTES"/>
    <x v="43"/>
    <s v="SPRITE PET 500MLX6 BRANDEADO MOD"/>
    <n v="1000"/>
    <n v="420"/>
    <n v="420"/>
  </r>
  <r>
    <x v="128"/>
    <s v="OCTUBRE"/>
    <n v="44"/>
    <s v="MARTES"/>
    <x v="35"/>
    <s v="SAN LUIS SIN GAS PET 625MLX06 MOD"/>
    <n v="540"/>
    <n v="180"/>
    <n v="226.79999999999998"/>
  </r>
  <r>
    <x v="129"/>
    <s v="ENERO"/>
    <n v="1"/>
    <s v="DOMINGO"/>
    <x v="11"/>
    <s v="TRIPACK (CC+IK)PFM+FT PET 3LX3 - RFNN"/>
    <n v="1440"/>
    <n v="90"/>
    <n v="244.8"/>
  </r>
  <r>
    <x v="130"/>
    <s v="OCTUBRE"/>
    <n v="44"/>
    <s v="MIÉRCOLES"/>
    <x v="1"/>
    <s v="COCA-COLA SIN AZUCAR PET 1.5LX2"/>
    <n v="1296"/>
    <n v="198"/>
    <n v="220.32000000000002"/>
  </r>
  <r>
    <x v="130"/>
    <s v="OCTUBRE"/>
    <n v="44"/>
    <s v="MIÉRCOLES"/>
    <x v="7"/>
    <s v="COCA-COLA PET 1.5LX2 RF"/>
    <n v="2592"/>
    <n v="198"/>
    <n v="440.64000000000004"/>
  </r>
  <r>
    <x v="130"/>
    <s v="OCTUBRE"/>
    <n v="44"/>
    <s v="MIÉRCOLES"/>
    <x v="17"/>
    <s v="TWO PACK CC PFM 3LX2 - RFCC"/>
    <n v="1080"/>
    <n v="120"/>
    <n v="183.60000000000002"/>
  </r>
  <r>
    <x v="130"/>
    <s v="OCTUBRE"/>
    <n v="44"/>
    <s v="MIÉRCOLES"/>
    <x v="10"/>
    <s v="TWO PACK CC + IK PFM 3LX2 - RFNN"/>
    <n v="1920"/>
    <n v="120"/>
    <n v="326.40000000000003"/>
  </r>
  <r>
    <x v="130"/>
    <s v="OCTUBRE"/>
    <n v="44"/>
    <s v="MIÉRCOLES"/>
    <x v="6"/>
    <s v="INCA KOLA PET 3LX2 - RF"/>
    <n v="1560"/>
    <n v="120"/>
    <n v="265.20000000000005"/>
  </r>
  <r>
    <x v="130"/>
    <s v="OCTUBRE"/>
    <n v="44"/>
    <s v="MIÉRCOLES"/>
    <x v="3"/>
    <s v="TWO PACK SCHWEPPES GINGER ALE PET 1.5LX2"/>
    <n v="1782"/>
    <n v="198"/>
    <n v="302.94"/>
  </r>
  <r>
    <x v="130"/>
    <s v="OCTUBRE"/>
    <n v="44"/>
    <s v="MIÉRCOLES"/>
    <x v="8"/>
    <s v="INCA KOLA PET 1.5LX2 RF"/>
    <n v="864"/>
    <n v="198"/>
    <n v="146.88000000000002"/>
  </r>
  <r>
    <x v="130"/>
    <s v="OCTUBRE"/>
    <n v="44"/>
    <s v="MIÉRCOLES"/>
    <x v="35"/>
    <s v="SAN LUIS SIN GAS PET 625MLX06 MOD"/>
    <n v="360"/>
    <n v="180"/>
    <n v="151.19999999999999"/>
  </r>
  <r>
    <x v="130"/>
    <s v="OCTUBRE"/>
    <n v="44"/>
    <s v="MIÉRCOLES"/>
    <x v="34"/>
    <s v="TWO PACK CC PET 1.5LX2 - CRC"/>
    <n v="648"/>
    <n v="198"/>
    <n v="110.16000000000001"/>
  </r>
  <r>
    <x v="130"/>
    <s v="OCTUBRE"/>
    <n v="44"/>
    <s v="MIÉRCOLES"/>
    <x v="5"/>
    <s v="INCA KOLA PET 2.25LX2 RF"/>
    <n v="324"/>
    <n v="162"/>
    <n v="55.080000000000005"/>
  </r>
  <r>
    <x v="130"/>
    <s v="OCTUBRE"/>
    <n v="44"/>
    <s v="MIÉRCOLES"/>
    <x v="9"/>
    <s v="TRIPACK FT NAR+FT KI+SP PET 3L"/>
    <n v="900"/>
    <n v="90"/>
    <n v="153"/>
  </r>
  <r>
    <x v="130"/>
    <s v="OCTUBRE"/>
    <n v="44"/>
    <s v="MIÉRCOLES"/>
    <x v="25"/>
    <s v="POWERADE 3MORA+3FRUT PET 473MLX6"/>
    <n v="2250"/>
    <n v="225"/>
    <n v="945"/>
  </r>
  <r>
    <x v="130"/>
    <s v="OCTUBRE"/>
    <n v="44"/>
    <s v="MIÉRCOLES"/>
    <x v="12"/>
    <s v="POWERADE ION4 FRUTA PET473X6 MOD (STICK)"/>
    <n v="225"/>
    <n v="225"/>
    <n v="90"/>
  </r>
  <r>
    <x v="130"/>
    <s v="OCTUBRE"/>
    <n v="44"/>
    <s v="MIÉRCOLES"/>
    <x v="19"/>
    <s v="POWERADE ION4 MORA AZ PET473X6 MOD(STCK)"/>
    <n v="225"/>
    <n v="225"/>
    <n v="90"/>
  </r>
  <r>
    <x v="130"/>
    <s v="OCTUBRE"/>
    <n v="44"/>
    <s v="MIÉRCOLES"/>
    <x v="42"/>
    <s v="FANTA NARANJA PET 500MLX6 BRANDEADO MOD"/>
    <n v="1000"/>
    <n v="420"/>
    <n v="420"/>
  </r>
  <r>
    <x v="130"/>
    <s v="OCTUBRE"/>
    <n v="44"/>
    <s v="MIÉRCOLES"/>
    <x v="43"/>
    <s v="SPRITE PET 500MLX6 BRANDEADO MOD"/>
    <n v="1000"/>
    <n v="420"/>
    <n v="420"/>
  </r>
  <r>
    <x v="130"/>
    <s v="OCTUBRE"/>
    <n v="44"/>
    <s v="MIÉRCOLES"/>
    <x v="40"/>
    <s v="SAN LUIS SPORT S/G 10 Lt x6 "/>
    <n v="112"/>
    <n v="240"/>
    <n v="44.800000000000004"/>
  </r>
  <r>
    <x v="130"/>
    <s v="OCTUBRE"/>
    <n v="44"/>
    <s v="MIÉRCOLES"/>
    <x v="0"/>
    <s v="SAN LUIS SIN GAS PET2500X6 STICKER"/>
    <n v="816"/>
    <n v="48"/>
    <n v="326.40000000000003"/>
  </r>
  <r>
    <x v="130"/>
    <s v="OCTUBRE"/>
    <n v="44"/>
    <s v="MIÉRCOLES"/>
    <x v="16"/>
    <s v="SAN LUIS CON GAS PET 625MLX6"/>
    <n v="1080"/>
    <n v="180"/>
    <n v="453.59999999999997"/>
  </r>
  <r>
    <x v="130"/>
    <s v="OCTUBRE"/>
    <n v="44"/>
    <s v="MIÉRCOLES"/>
    <x v="2"/>
    <s v="INCA KOLA SIN AZUCAR PET 1.5LX2"/>
    <n v="864"/>
    <n v="198"/>
    <n v="146.88000000000002"/>
  </r>
  <r>
    <x v="130"/>
    <s v="OCTUBRE"/>
    <n v="44"/>
    <s v="MIÉRCOLES"/>
    <x v="38"/>
    <s v="SL S/G TAPA PLANA 1LT"/>
    <n v="112"/>
    <n v="112"/>
    <n v="44.800000000000004"/>
  </r>
  <r>
    <x v="131"/>
    <s v="OCTUBRE"/>
    <n v="44"/>
    <s v="JUEVES"/>
    <x v="38"/>
    <s v="SL S/G TAPA PLANA 1LT"/>
    <n v="224"/>
    <n v="112"/>
    <n v="89.600000000000009"/>
  </r>
  <r>
    <x v="131"/>
    <s v="OCTUBRE"/>
    <n v="44"/>
    <s v="JUEVES"/>
    <x v="0"/>
    <s v="SAN LUIS SIN GAS PET2500X6 STICKER"/>
    <n v="912"/>
    <n v="48"/>
    <n v="364.8"/>
  </r>
  <r>
    <x v="131"/>
    <s v="OCTUBRE"/>
    <n v="44"/>
    <s v="JUEVES"/>
    <x v="1"/>
    <s v="COCA-COLA SIN AZUCAR PET 1.5LX2"/>
    <n v="1944"/>
    <n v="198"/>
    <n v="330.48"/>
  </r>
  <r>
    <x v="131"/>
    <s v="OCTUBRE"/>
    <n v="44"/>
    <s v="JUEVES"/>
    <x v="2"/>
    <s v="INCA KOLA SIN AZUCAR PET 1.5LX2"/>
    <n v="2592"/>
    <n v="198"/>
    <n v="440.64000000000004"/>
  </r>
  <r>
    <x v="131"/>
    <s v="OCTUBRE"/>
    <n v="44"/>
    <s v="JUEVES"/>
    <x v="22"/>
    <s v="TWO PACK SCHWEPPES CITRUS PET 1.5LX2"/>
    <n v="396"/>
    <n v="198"/>
    <n v="67.320000000000007"/>
  </r>
  <r>
    <x v="131"/>
    <s v="OCTUBRE"/>
    <n v="44"/>
    <s v="JUEVES"/>
    <x v="3"/>
    <s v="TWO PACK SCHWEPPES GINGER ALE PET 1.5LX2"/>
    <n v="990"/>
    <n v="198"/>
    <n v="168.3"/>
  </r>
  <r>
    <x v="131"/>
    <s v="OCTUBRE"/>
    <n v="44"/>
    <s v="JUEVES"/>
    <x v="4"/>
    <s v="COCA-COLA PET 2.25LX2 RF"/>
    <n v="648"/>
    <n v="162"/>
    <n v="110.16000000000001"/>
  </r>
  <r>
    <x v="131"/>
    <s v="OCTUBRE"/>
    <n v="44"/>
    <s v="JUEVES"/>
    <x v="5"/>
    <s v="INCA KOLA PET 2.25LX2 RF"/>
    <n v="972"/>
    <n v="162"/>
    <n v="165.24"/>
  </r>
  <r>
    <x v="131"/>
    <s v="OCTUBRE"/>
    <n v="44"/>
    <s v="JUEVES"/>
    <x v="6"/>
    <s v="INCA KOLA PET 3LX2 - RF"/>
    <n v="1560"/>
    <n v="120"/>
    <n v="265.20000000000005"/>
  </r>
  <r>
    <x v="131"/>
    <s v="OCTUBRE"/>
    <n v="44"/>
    <s v="JUEVES"/>
    <x v="17"/>
    <s v="TWO PACK CC PFM 3LX2 - RFCC"/>
    <n v="360"/>
    <n v="120"/>
    <n v="61.2"/>
  </r>
  <r>
    <x v="131"/>
    <s v="OCTUBRE"/>
    <n v="44"/>
    <s v="JUEVES"/>
    <x v="7"/>
    <s v="COCA-COLA PET 1.5LX2 RF"/>
    <n v="864"/>
    <n v="198"/>
    <n v="146.88000000000002"/>
  </r>
  <r>
    <x v="131"/>
    <s v="OCTUBRE"/>
    <n v="44"/>
    <s v="JUEVES"/>
    <x v="8"/>
    <s v="INCA KOLA PET 1.5LX2 RF"/>
    <n v="1728"/>
    <n v="198"/>
    <n v="293.76000000000005"/>
  </r>
  <r>
    <x v="131"/>
    <s v="OCTUBRE"/>
    <n v="44"/>
    <s v="JUEVES"/>
    <x v="9"/>
    <s v="TRIPACK FT NAR+FT KI+SP PET 3L"/>
    <n v="720"/>
    <n v="90"/>
    <n v="122.4"/>
  </r>
  <r>
    <x v="131"/>
    <s v="OCTUBRE"/>
    <n v="44"/>
    <s v="JUEVES"/>
    <x v="10"/>
    <s v="TWO PACK CC + IK PFM 3LX2 - RFNN"/>
    <n v="720"/>
    <n v="120"/>
    <n v="122.4"/>
  </r>
  <r>
    <x v="131"/>
    <s v="OCTUBRE"/>
    <n v="44"/>
    <s v="JUEVES"/>
    <x v="20"/>
    <s v="TRIPACK (FT NAR+SP)PET+IK RF PFM 3L"/>
    <n v="450"/>
    <n v="90"/>
    <n v="76.5"/>
  </r>
  <r>
    <x v="131"/>
    <s v="OCTUBRE"/>
    <n v="44"/>
    <s v="JUEVES"/>
    <x v="19"/>
    <s v="POWERADE ION4 MORA AZ PET473X6 MOD(STCK)"/>
    <n v="675"/>
    <n v="225"/>
    <n v="270"/>
  </r>
  <r>
    <x v="131"/>
    <s v="OCTUBRE"/>
    <n v="44"/>
    <s v="JUEVES"/>
    <x v="12"/>
    <s v="POWERADE ION4 FRUTA PET473X6 MOD (STICK)"/>
    <n v="450"/>
    <n v="225"/>
    <n v="180"/>
  </r>
  <r>
    <x v="131"/>
    <s v="OCTUBRE"/>
    <n v="44"/>
    <s v="JUEVES"/>
    <x v="25"/>
    <s v="POWERADE 3MORA+3FRUT PET 473MLX6"/>
    <n v="900"/>
    <n v="225"/>
    <n v="378"/>
  </r>
  <r>
    <x v="131"/>
    <s v="OCTUBRE"/>
    <n v="44"/>
    <s v="JUEVES"/>
    <x v="1"/>
    <s v="COCA-COLA SIN AZUCAR PET 1.5LX2"/>
    <n v="1728"/>
    <n v="198"/>
    <n v="293.76000000000005"/>
  </r>
  <r>
    <x v="131"/>
    <s v="OCTUBRE"/>
    <n v="44"/>
    <s v="JUEVES"/>
    <x v="7"/>
    <s v="COCA-COLA PET 1.5LX2 RF"/>
    <n v="864"/>
    <n v="198"/>
    <n v="146.88000000000002"/>
  </r>
  <r>
    <x v="131"/>
    <s v="OCTUBRE"/>
    <n v="44"/>
    <s v="JUEVES"/>
    <x v="22"/>
    <s v="TWO PACK SCHWEPPES CITRUS PET 1.5LX2"/>
    <n v="792"/>
    <n v="198"/>
    <n v="134.64000000000001"/>
  </r>
  <r>
    <x v="131"/>
    <s v="OCTUBRE"/>
    <n v="44"/>
    <s v="JUEVES"/>
    <x v="17"/>
    <s v="TWO PACK CC PFM 3LX2 - RFCC"/>
    <n v="600"/>
    <n v="120"/>
    <n v="102.00000000000001"/>
  </r>
  <r>
    <x v="132"/>
    <s v="OCTUBRE"/>
    <n v="44"/>
    <s v="VIERNES"/>
    <x v="7"/>
    <s v="COCA-COLA PET 1.5LX2 RF"/>
    <n v="1296"/>
    <n v="198"/>
    <n v="220.32000000000002"/>
  </r>
  <r>
    <x v="132"/>
    <s v="OCTUBRE"/>
    <n v="44"/>
    <s v="VIERNES"/>
    <x v="8"/>
    <s v="INCA KOLA PET 1.5LX2 RF"/>
    <n v="432"/>
    <n v="198"/>
    <n v="73.440000000000012"/>
  </r>
  <r>
    <x v="132"/>
    <s v="OCTUBRE"/>
    <n v="44"/>
    <s v="VIERNES"/>
    <x v="10"/>
    <s v="TWO PACK CC + IK PFM 3LX2 - RFNN"/>
    <n v="1680"/>
    <n v="120"/>
    <n v="285.60000000000002"/>
  </r>
  <r>
    <x v="132"/>
    <s v="OCTUBRE"/>
    <n v="44"/>
    <s v="VIERNES"/>
    <x v="20"/>
    <s v="TRIPACK (FT NAR+SP)PET+IK RF PFM 3L"/>
    <n v="450"/>
    <n v="90"/>
    <n v="76.5"/>
  </r>
  <r>
    <x v="132"/>
    <s v="OCTUBRE"/>
    <n v="44"/>
    <s v="VIERNES"/>
    <x v="25"/>
    <s v="POWERADE 3MORA+3FRUT PET 473MLX6"/>
    <n v="450"/>
    <n v="225"/>
    <n v="189"/>
  </r>
  <r>
    <x v="132"/>
    <s v="OCTUBRE"/>
    <n v="44"/>
    <s v="VIERNES"/>
    <x v="12"/>
    <s v="POWERADE ION4 FRUTA PET473X6 MOD (STICK)"/>
    <n v="900"/>
    <n v="225"/>
    <n v="360"/>
  </r>
  <r>
    <x v="132"/>
    <s v="OCTUBRE"/>
    <n v="44"/>
    <s v="VIERNES"/>
    <x v="19"/>
    <s v="POWERADE ION4 MORA AZ PET473X6 MOD(STCK)"/>
    <n v="675"/>
    <n v="225"/>
    <n v="270"/>
  </r>
  <r>
    <x v="132"/>
    <s v="OCTUBRE"/>
    <n v="44"/>
    <s v="VIERNES"/>
    <x v="28"/>
    <s v="COCA COLA VR 1.5LX8 - STICKER"/>
    <n v="60"/>
    <n v="30"/>
    <n v="13.8"/>
  </r>
  <r>
    <x v="132"/>
    <s v="OCTUBRE"/>
    <n v="44"/>
    <s v="VIERNES"/>
    <x v="33"/>
    <s v="COCA COLA VR 296MLX24 - STICKER"/>
    <n v="80"/>
    <n v="40"/>
    <n v="18.400000000000002"/>
  </r>
  <r>
    <x v="132"/>
    <s v="OCTUBRE"/>
    <n v="44"/>
    <s v="VIERNES"/>
    <x v="13"/>
    <s v="INCA KOLA VR 1.5LX8 - STICKER"/>
    <n v="270"/>
    <n v="30"/>
    <n v="108"/>
  </r>
  <r>
    <x v="132"/>
    <s v="OCTUBRE"/>
    <n v="44"/>
    <s v="VIERNES"/>
    <x v="15"/>
    <s v="INCA KOLA VR 625MLX12 - STICKER"/>
    <n v="500"/>
    <n v="50"/>
    <n v="200"/>
  </r>
  <r>
    <x v="132"/>
    <s v="OCTUBRE"/>
    <n v="44"/>
    <s v="VIERNES"/>
    <x v="38"/>
    <s v="SL S/G TAPA PLANA 1LT"/>
    <n v="112"/>
    <n v="112"/>
    <n v="44.800000000000004"/>
  </r>
  <r>
    <x v="132"/>
    <s v="OCTUBRE"/>
    <n v="44"/>
    <s v="VIERNES"/>
    <x v="0"/>
    <s v="SAN LUIS SIN GAS PET2500X6 STICKER"/>
    <n v="288"/>
    <n v="48"/>
    <n v="115.2"/>
  </r>
  <r>
    <x v="132"/>
    <s v="OCTUBRE"/>
    <n v="44"/>
    <s v="VIERNES"/>
    <x v="24"/>
    <s v="MONSTER ENERGY 473MLX4"/>
    <n v="3360"/>
    <n v="420"/>
    <n v="1411.2"/>
  </r>
  <r>
    <x v="132"/>
    <s v="OCTUBRE"/>
    <n v="44"/>
    <s v="VIERNES"/>
    <x v="1"/>
    <s v="COCA-COLA SIN AZUCAR PET 1.5LX2"/>
    <n v="1512"/>
    <n v="198"/>
    <n v="257.04000000000002"/>
  </r>
  <r>
    <x v="132"/>
    <s v="OCTUBRE"/>
    <n v="44"/>
    <s v="VIERNES"/>
    <x v="2"/>
    <s v="INCA KOLA SIN AZUCAR PET 1.5LX2"/>
    <n v="1728"/>
    <n v="198"/>
    <n v="293.76000000000005"/>
  </r>
  <r>
    <x v="132"/>
    <s v="OCTUBRE"/>
    <n v="44"/>
    <s v="VIERNES"/>
    <x v="22"/>
    <s v="TWO PACK SCHWEPPES CITRUS PET 1.5LX2"/>
    <n v="594"/>
    <n v="198"/>
    <n v="100.98"/>
  </r>
  <r>
    <x v="132"/>
    <s v="OCTUBRE"/>
    <n v="44"/>
    <s v="VIERNES"/>
    <x v="3"/>
    <s v="TWO PACK SCHWEPPES GINGER ALE PET 1.5LX2"/>
    <n v="198"/>
    <n v="198"/>
    <n v="33.660000000000004"/>
  </r>
  <r>
    <x v="132"/>
    <s v="OCTUBRE"/>
    <n v="44"/>
    <s v="VIERNES"/>
    <x v="4"/>
    <s v="COCA-COLA PET 2.25LX2 RF"/>
    <n v="324"/>
    <n v="162"/>
    <n v="55.080000000000005"/>
  </r>
  <r>
    <x v="132"/>
    <s v="OCTUBRE"/>
    <n v="44"/>
    <s v="VIERNES"/>
    <x v="5"/>
    <s v="INCA KOLA PET 2.25LX2 RF"/>
    <n v="162"/>
    <n v="162"/>
    <n v="27.540000000000003"/>
  </r>
  <r>
    <x v="132"/>
    <s v="OCTUBRE"/>
    <n v="44"/>
    <s v="VIERNES"/>
    <x v="6"/>
    <s v="INCA KOLA PET 3LX2 - RF"/>
    <n v="3480"/>
    <n v="120"/>
    <n v="591.6"/>
  </r>
  <r>
    <x v="132"/>
    <s v="OCTUBRE"/>
    <n v="44"/>
    <s v="VIERNES"/>
    <x v="17"/>
    <s v="TWO PACK CC PFM 3LX2 - RFCC"/>
    <n v="720"/>
    <n v="120"/>
    <n v="122.4"/>
  </r>
  <r>
    <x v="133"/>
    <s v="OCTUBRE"/>
    <n v="45"/>
    <s v="SÁBADO"/>
    <x v="10"/>
    <s v="TWO PACK CC + IK PFM 3LX2 - RFNN"/>
    <n v="2880"/>
    <n v="120"/>
    <n v="489.6"/>
  </r>
  <r>
    <x v="133"/>
    <s v="OCTUBRE"/>
    <n v="45"/>
    <s v="SÁBADO"/>
    <x v="17"/>
    <s v="TWO PACK CC PFM 3LX2 - RFCC"/>
    <n v="1560"/>
    <n v="120"/>
    <n v="265.20000000000005"/>
  </r>
  <r>
    <x v="133"/>
    <s v="OCTUBRE"/>
    <n v="45"/>
    <s v="SÁBADO"/>
    <x v="6"/>
    <s v="INCA KOLA PET 3LX2 - RF"/>
    <n v="1440"/>
    <n v="120"/>
    <n v="244.8"/>
  </r>
  <r>
    <x v="133"/>
    <s v="OCTUBRE"/>
    <n v="45"/>
    <s v="SÁBADO"/>
    <x v="5"/>
    <s v="INCA KOLA PET 2.25LX2 RF"/>
    <n v="648"/>
    <n v="162"/>
    <n v="110.16000000000001"/>
  </r>
  <r>
    <x v="133"/>
    <s v="OCTUBRE"/>
    <n v="45"/>
    <s v="SÁBADO"/>
    <x v="3"/>
    <s v="TWO PACK SCHWEPPES GINGER ALE PET 1.5LX2"/>
    <n v="1188"/>
    <n v="198"/>
    <n v="201.96"/>
  </r>
  <r>
    <x v="133"/>
    <s v="OCTUBRE"/>
    <n v="45"/>
    <s v="SÁBADO"/>
    <x v="22"/>
    <s v="TWO PACK SCHWEPPES CITRUS PET 1.5LX2"/>
    <n v="1188"/>
    <n v="198"/>
    <n v="201.96"/>
  </r>
  <r>
    <x v="133"/>
    <s v="OCTUBRE"/>
    <n v="45"/>
    <s v="SÁBADO"/>
    <x v="11"/>
    <s v="TRIPACK (CC+IK)PFM+FT PET 3LX3 - RFNN"/>
    <n v="3240"/>
    <n v="90"/>
    <n v="550.80000000000007"/>
  </r>
  <r>
    <x v="133"/>
    <s v="OCTUBRE"/>
    <n v="45"/>
    <s v="SÁBADO"/>
    <x v="8"/>
    <s v="INCA KOLA PET 1.5LX2 RF"/>
    <n v="1944"/>
    <n v="198"/>
    <n v="330.48"/>
  </r>
  <r>
    <x v="133"/>
    <s v="OCTUBRE"/>
    <n v="45"/>
    <s v="SÁBADO"/>
    <x v="9"/>
    <s v="TRIPACK FT NAR+FT KI+SP PET 3L"/>
    <n v="1080"/>
    <n v="90"/>
    <n v="183.60000000000002"/>
  </r>
  <r>
    <x v="133"/>
    <s v="OCTUBRE"/>
    <n v="45"/>
    <s v="SÁBADO"/>
    <x v="7"/>
    <s v="COCA-COLA PET 1.5LX2 RF"/>
    <n v="2160"/>
    <n v="198"/>
    <n v="367.20000000000005"/>
  </r>
  <r>
    <x v="133"/>
    <s v="OCTUBRE"/>
    <n v="45"/>
    <s v="SÁBADO"/>
    <x v="0"/>
    <s v="SAN LUIS SIN GAS PET2500X6 STICKER"/>
    <n v="720"/>
    <n v="48"/>
    <n v="288"/>
  </r>
  <r>
    <x v="133"/>
    <s v="OCTUBRE"/>
    <n v="45"/>
    <s v="SÁBADO"/>
    <x v="15"/>
    <s v="INCA KOLA VR 625MLX12 - STICKER"/>
    <n v="200"/>
    <n v="50"/>
    <n v="80"/>
  </r>
  <r>
    <x v="133"/>
    <s v="OCTUBRE"/>
    <n v="45"/>
    <s v="SÁBADO"/>
    <x v="33"/>
    <s v="COCA COLA VR 296MLX24 - STICKER"/>
    <n v="160"/>
    <n v="40"/>
    <n v="36.800000000000004"/>
  </r>
  <r>
    <x v="133"/>
    <s v="OCTUBRE"/>
    <n v="45"/>
    <s v="SÁBADO"/>
    <x v="20"/>
    <s v="TRIPACK (FT NAR+SP)PET+IK RF PFM 3L"/>
    <n v="720"/>
    <n v="90"/>
    <n v="122.4"/>
  </r>
  <r>
    <x v="133"/>
    <s v="OCTUBRE"/>
    <n v="45"/>
    <s v="SÁBADO"/>
    <x v="13"/>
    <s v="INCA KOLA VR 1.5LX8 - STICKER"/>
    <n v="150"/>
    <n v="30"/>
    <n v="60"/>
  </r>
  <r>
    <x v="133"/>
    <s v="OCTUBRE"/>
    <n v="45"/>
    <s v="SÁBADO"/>
    <x v="38"/>
    <s v="SL S/G TAPA PLANA 1LT"/>
    <n v="336"/>
    <n v="112"/>
    <n v="134.4"/>
  </r>
  <r>
    <x v="133"/>
    <s v="OCTUBRE"/>
    <n v="45"/>
    <s v="SÁBADO"/>
    <x v="1"/>
    <s v="COCA-COLA SIN AZUCAR PET 1.5LX2"/>
    <n v="1080"/>
    <n v="198"/>
    <n v="183.60000000000002"/>
  </r>
  <r>
    <x v="133"/>
    <s v="OCTUBRE"/>
    <n v="45"/>
    <s v="SÁBADO"/>
    <x v="2"/>
    <s v="INCA KOLA SIN AZUCAR PET 1.5LX2"/>
    <n v="1728"/>
    <n v="198"/>
    <n v="293.76000000000005"/>
  </r>
  <r>
    <x v="133"/>
    <s v="OCTUBRE"/>
    <n v="45"/>
    <s v="SÁBADO"/>
    <x v="4"/>
    <s v="COCA-COLA PET 2.25LX2 RF"/>
    <n v="810"/>
    <n v="162"/>
    <n v="137.70000000000002"/>
  </r>
  <r>
    <x v="133"/>
    <s v="OCTUBRE"/>
    <n v="45"/>
    <s v="SÁBADO"/>
    <x v="25"/>
    <s v="POWERADE 3MORA+3FRUT PET 473MLX6"/>
    <n v="900"/>
    <n v="225"/>
    <n v="378"/>
  </r>
  <r>
    <x v="133"/>
    <s v="OCTUBRE"/>
    <n v="45"/>
    <s v="SÁBADO"/>
    <x v="12"/>
    <s v="POWERADE ION4 FRUTA PET473X6 MOD (STICK)"/>
    <n v="225"/>
    <n v="225"/>
    <n v="90"/>
  </r>
  <r>
    <x v="133"/>
    <s v="OCTUBRE"/>
    <n v="45"/>
    <s v="SÁBADO"/>
    <x v="19"/>
    <s v="POWERADE ION4 MORA AZ PET473X6 MOD(STCK)"/>
    <n v="225"/>
    <n v="225"/>
    <n v="90"/>
  </r>
  <r>
    <x v="133"/>
    <s v="OCTUBRE"/>
    <n v="45"/>
    <s v="SÁBADO"/>
    <x v="35"/>
    <s v="SAN LUIS SIN GAS PET 625MLX06 MOD"/>
    <n v="180"/>
    <n v="180"/>
    <n v="75.599999999999994"/>
  </r>
  <r>
    <x v="133"/>
    <s v="OCTUBRE"/>
    <n v="45"/>
    <s v="SÁBADO"/>
    <x v="42"/>
    <s v="FANTA NARANJA PET 500MLX6 BRANDEADO MOD"/>
    <n v="500"/>
    <n v="420"/>
    <n v="210"/>
  </r>
  <r>
    <x v="133"/>
    <s v="OCTUBRE"/>
    <n v="45"/>
    <s v="SÁBADO"/>
    <x v="40"/>
    <s v="SAN LUIS SPORT S/G 10 Lt x6 "/>
    <n v="112"/>
    <n v="240"/>
    <n v="44.800000000000004"/>
  </r>
  <r>
    <x v="134"/>
    <s v="NOVIEMBRE"/>
    <n v="45"/>
    <s v="MARTES"/>
    <x v="26"/>
    <s v="TRIPACK CC+CC+IK PFM 3LX3 - RFNN"/>
    <n v="3060"/>
    <n v="90"/>
    <n v="520.20000000000005"/>
  </r>
  <r>
    <x v="134"/>
    <s v="NOVIEMBRE"/>
    <n v="45"/>
    <s v="MARTES"/>
    <x v="22"/>
    <s v="TWO PACK SCHWEPPES CITRUS PET 1.5LX2"/>
    <n v="792"/>
    <n v="198"/>
    <n v="134.64000000000001"/>
  </r>
  <r>
    <x v="134"/>
    <s v="NOVIEMBRE"/>
    <n v="45"/>
    <s v="MARTES"/>
    <x v="3"/>
    <s v="TWO PACK SCHWEPPES GINGER ALE PET 1.5LX2"/>
    <n v="792"/>
    <n v="198"/>
    <n v="134.64000000000001"/>
  </r>
  <r>
    <x v="134"/>
    <s v="NOVIEMBRE"/>
    <n v="45"/>
    <s v="MARTES"/>
    <x v="15"/>
    <s v="INCA KOLA VR 625MLX12 - STICKER"/>
    <n v="350"/>
    <n v="50"/>
    <n v="140"/>
  </r>
  <r>
    <x v="134"/>
    <s v="NOVIEMBRE"/>
    <n v="45"/>
    <s v="MARTES"/>
    <x v="6"/>
    <s v="INCA KOLA PET 3LX2 - RF"/>
    <n v="1200"/>
    <n v="120"/>
    <n v="204.00000000000003"/>
  </r>
  <r>
    <x v="134"/>
    <s v="NOVIEMBRE"/>
    <n v="45"/>
    <s v="MARTES"/>
    <x v="1"/>
    <s v="COCA-COLA SIN AZUCAR PET 1.5LX2"/>
    <n v="216"/>
    <n v="198"/>
    <n v="36.720000000000006"/>
  </r>
  <r>
    <x v="134"/>
    <s v="NOVIEMBRE"/>
    <n v="45"/>
    <s v="MARTES"/>
    <x v="7"/>
    <s v="COCA-COLA PET 1.5LX2 RF"/>
    <n v="1296"/>
    <n v="198"/>
    <n v="220.32000000000002"/>
  </r>
  <r>
    <x v="134"/>
    <s v="NOVIEMBRE"/>
    <n v="45"/>
    <s v="MARTES"/>
    <x v="4"/>
    <s v="COCA-COLA PET 2.25LX2 RF"/>
    <n v="1134"/>
    <n v="162"/>
    <n v="192.78"/>
  </r>
  <r>
    <x v="134"/>
    <s v="NOVIEMBRE"/>
    <n v="45"/>
    <s v="MARTES"/>
    <x v="23"/>
    <s v="TRIPACK CC+IK+IK PFM 3LX3 - RFNN"/>
    <n v="180"/>
    <n v="90"/>
    <n v="30.6"/>
  </r>
  <r>
    <x v="134"/>
    <s v="NOVIEMBRE"/>
    <n v="45"/>
    <s v="MARTES"/>
    <x v="42"/>
    <s v="FANTA NARANJA PET 500MLX6 BRANDEADO MOD"/>
    <n v="1500"/>
    <n v="420"/>
    <n v="630"/>
  </r>
  <r>
    <x v="134"/>
    <s v="NOVIEMBRE"/>
    <n v="45"/>
    <s v="MARTES"/>
    <x v="10"/>
    <s v="TWO PACK CC + IK PFM 3LX2 - RFNN"/>
    <n v="3180"/>
    <n v="120"/>
    <n v="540.6"/>
  </r>
  <r>
    <x v="134"/>
    <s v="NOVIEMBRE"/>
    <n v="45"/>
    <s v="MARTES"/>
    <x v="17"/>
    <s v="TWO PACK CC PFM 3LX2 - RFCC"/>
    <n v="2160"/>
    <n v="120"/>
    <n v="367.20000000000005"/>
  </r>
  <r>
    <x v="134"/>
    <s v="NOVIEMBRE"/>
    <n v="45"/>
    <s v="MARTES"/>
    <x v="9"/>
    <s v="TRIPACK FT NAR+FT KI+SP PET 3L"/>
    <n v="1440"/>
    <n v="90"/>
    <n v="244.8"/>
  </r>
  <r>
    <x v="134"/>
    <s v="NOVIEMBRE"/>
    <n v="45"/>
    <s v="MARTES"/>
    <x v="20"/>
    <s v="TRIPACK (FT NAR+SP)PET+IK RF PFM 3L"/>
    <n v="180"/>
    <n v="90"/>
    <n v="30.6"/>
  </r>
  <r>
    <x v="134"/>
    <s v="NOVIEMBRE"/>
    <n v="45"/>
    <s v="MARTES"/>
    <x v="34"/>
    <s v="TWO PACK CC PET 1.5LX2 - CRC"/>
    <n v="216"/>
    <n v="198"/>
    <n v="36.720000000000006"/>
  </r>
  <r>
    <x v="134"/>
    <s v="NOVIEMBRE"/>
    <n v="45"/>
    <s v="MARTES"/>
    <x v="8"/>
    <s v="INCA KOLA PET 1.5LX2 RF"/>
    <n v="648"/>
    <n v="198"/>
    <n v="110.16000000000001"/>
  </r>
  <r>
    <x v="134"/>
    <s v="NOVIEMBRE"/>
    <n v="45"/>
    <s v="MARTES"/>
    <x v="11"/>
    <s v="TRIPACK (CC+IK)PFM+FT PET 3LX3 - RFNN"/>
    <n v="540"/>
    <n v="90"/>
    <n v="91.800000000000011"/>
  </r>
  <r>
    <x v="134"/>
    <s v="NOVIEMBRE"/>
    <n v="45"/>
    <s v="MARTES"/>
    <x v="12"/>
    <s v="POWERADE ION4 FRUTA PET473X6 MOD (STICK)"/>
    <n v="675"/>
    <n v="225"/>
    <n v="270"/>
  </r>
  <r>
    <x v="134"/>
    <s v="NOVIEMBRE"/>
    <n v="45"/>
    <s v="MARTES"/>
    <x v="43"/>
    <s v="SPRITE PET 500MLX6 BRANDEADO MOD"/>
    <n v="1500"/>
    <n v="420"/>
    <n v="630"/>
  </r>
  <r>
    <x v="134"/>
    <s v="NOVIEMBRE"/>
    <n v="45"/>
    <s v="MARTES"/>
    <x v="38"/>
    <s v="SL S/G TAPA PLANA 1LT"/>
    <n v="224"/>
    <n v="112"/>
    <n v="89.600000000000009"/>
  </r>
  <r>
    <x v="134"/>
    <s v="NOVIEMBRE"/>
    <n v="45"/>
    <s v="MARTES"/>
    <x v="24"/>
    <s v="MONSTER ENERGY 473MLX4"/>
    <n v="420"/>
    <n v="420"/>
    <n v="176.4"/>
  </r>
  <r>
    <x v="134"/>
    <s v="NOVIEMBRE"/>
    <n v="45"/>
    <s v="MARTES"/>
    <x v="16"/>
    <s v="SAN LUIS CON GAS PET 625MLX6"/>
    <n v="180"/>
    <n v="180"/>
    <n v="75.599999999999994"/>
  </r>
  <r>
    <x v="134"/>
    <s v="NOVIEMBRE"/>
    <n v="45"/>
    <s v="MARTES"/>
    <x v="20"/>
    <s v="TRIPACK (FT NAR+SP)PET+IK RF PFM 3L"/>
    <n v="180"/>
    <n v="90"/>
    <n v="30.6"/>
  </r>
  <r>
    <x v="135"/>
    <s v="NOVIEMBRE"/>
    <n v="45"/>
    <s v="MIÉRCOLES"/>
    <x v="26"/>
    <s v="TRIPACK CC+CC+IK PFM 3LX3 - RFNN"/>
    <n v="540"/>
    <n v="90"/>
    <n v="91.800000000000011"/>
  </r>
  <r>
    <x v="135"/>
    <s v="NOVIEMBRE"/>
    <n v="45"/>
    <s v="MIÉRCOLES"/>
    <x v="11"/>
    <s v="TRIPACK (CC+IK)PFM+FT PET 3LX3 - RFNN"/>
    <n v="450"/>
    <n v="90"/>
    <n v="76.5"/>
  </r>
  <r>
    <x v="135"/>
    <s v="NOVIEMBRE"/>
    <n v="45"/>
    <s v="MIÉRCOLES"/>
    <x v="10"/>
    <s v="TWO PACK CC + IK PFM 3LX2 - RFNN"/>
    <n v="240"/>
    <n v="120"/>
    <n v="40.800000000000004"/>
  </r>
  <r>
    <x v="135"/>
    <s v="NOVIEMBRE"/>
    <n v="45"/>
    <s v="MIÉRCOLES"/>
    <x v="25"/>
    <s v="POWERADE 3MORA+3FRUT PET 473MLX6"/>
    <n v="1125"/>
    <n v="225"/>
    <n v="472.5"/>
  </r>
  <r>
    <x v="135"/>
    <s v="NOVIEMBRE"/>
    <n v="45"/>
    <s v="MIÉRCOLES"/>
    <x v="19"/>
    <s v="POWERADE ION4 MORA AZ PET473X6 MOD(STCK)"/>
    <n v="900"/>
    <n v="225"/>
    <n v="360"/>
  </r>
  <r>
    <x v="135"/>
    <s v="NOVIEMBRE"/>
    <n v="45"/>
    <s v="MIÉRCOLES"/>
    <x v="0"/>
    <s v="SAN LUIS SIN GAS PET2500X6 STICKER"/>
    <n v="288"/>
    <n v="48"/>
    <n v="115.2"/>
  </r>
  <r>
    <x v="135"/>
    <s v="NOVIEMBRE"/>
    <n v="45"/>
    <s v="MIÉRCOLES"/>
    <x v="28"/>
    <s v="COCA COLA VR 1.5LX8 - STICKER"/>
    <n v="120"/>
    <n v="30"/>
    <n v="27.6"/>
  </r>
  <r>
    <x v="135"/>
    <s v="NOVIEMBRE"/>
    <n v="45"/>
    <s v="MIÉRCOLES"/>
    <x v="14"/>
    <s v="INCA KOLA VR 296MLX24 - STICKER"/>
    <n v="200"/>
    <n v="40"/>
    <n v="46"/>
  </r>
  <r>
    <x v="135"/>
    <s v="NOVIEMBRE"/>
    <n v="45"/>
    <s v="MIÉRCOLES"/>
    <x v="33"/>
    <s v="COCA COLA VR 296MLX24 - STICKER"/>
    <n v="80"/>
    <n v="40"/>
    <n v="18.400000000000002"/>
  </r>
  <r>
    <x v="135"/>
    <s v="NOVIEMBRE"/>
    <n v="45"/>
    <s v="MIÉRCOLES"/>
    <x v="28"/>
    <s v="COCA COLA VR 1.5LX8 - STICKER"/>
    <n v="90"/>
    <n v="30"/>
    <n v="20.7"/>
  </r>
  <r>
    <x v="135"/>
    <s v="NOVIEMBRE"/>
    <n v="45"/>
    <s v="MIÉRCOLES"/>
    <x v="33"/>
    <s v="COCA COLA VR 296MLX24 - STICKER"/>
    <n v="200"/>
    <n v="40"/>
    <n v="46"/>
  </r>
  <r>
    <x v="135"/>
    <s v="NOVIEMBRE"/>
    <n v="45"/>
    <s v="MIÉRCOLES"/>
    <x v="14"/>
    <s v="INCA KOLA VR 296MLX24 - STICKER"/>
    <n v="240"/>
    <n v="40"/>
    <n v="55.2"/>
  </r>
  <r>
    <x v="135"/>
    <s v="NOVIEMBRE"/>
    <n v="45"/>
    <s v="MIÉRCOLES"/>
    <x v="15"/>
    <s v="INCA KOLA VR 625MLX12 - STICKER"/>
    <n v="100"/>
    <n v="50"/>
    <n v="40"/>
  </r>
  <r>
    <x v="135"/>
    <s v="NOVIEMBRE"/>
    <n v="45"/>
    <s v="MIÉRCOLES"/>
    <x v="38"/>
    <s v="SL S/G TAPA PLANA 1LT"/>
    <n v="112"/>
    <n v="112"/>
    <n v="44.800000000000004"/>
  </r>
  <r>
    <x v="135"/>
    <s v="NOVIEMBRE"/>
    <n v="45"/>
    <s v="MIÉRCOLES"/>
    <x v="0"/>
    <s v="SAN LUIS SIN GAS PET2500X6 STICKER"/>
    <n v="384"/>
    <n v="48"/>
    <n v="153.60000000000002"/>
  </r>
  <r>
    <x v="135"/>
    <s v="NOVIEMBRE"/>
    <n v="45"/>
    <s v="MIÉRCOLES"/>
    <x v="16"/>
    <s v="SAN LUIS CON GAS PET 625MLX6"/>
    <n v="720"/>
    <n v="180"/>
    <n v="302.39999999999998"/>
  </r>
  <r>
    <x v="135"/>
    <s v="NOVIEMBRE"/>
    <n v="45"/>
    <s v="MIÉRCOLES"/>
    <x v="1"/>
    <s v="COCA-COLA SIN AZUCAR PET 1.5LX2"/>
    <n v="1512"/>
    <n v="198"/>
    <n v="257.04000000000002"/>
  </r>
  <r>
    <x v="135"/>
    <s v="NOVIEMBRE"/>
    <n v="45"/>
    <s v="MIÉRCOLES"/>
    <x v="34"/>
    <s v="TWO PACK CC PET 1.5LX2 - CRC"/>
    <n v="216"/>
    <n v="198"/>
    <n v="36.720000000000006"/>
  </r>
  <r>
    <x v="135"/>
    <s v="NOVIEMBRE"/>
    <n v="45"/>
    <s v="MIÉRCOLES"/>
    <x v="22"/>
    <s v="TWO PACK SCHWEPPES CITRUS PET 1.5LX2"/>
    <n v="1386"/>
    <n v="198"/>
    <n v="235.62"/>
  </r>
  <r>
    <x v="135"/>
    <s v="NOVIEMBRE"/>
    <n v="45"/>
    <s v="MIÉRCOLES"/>
    <x v="3"/>
    <s v="TWO PACK SCHWEPPES GINGER ALE PET 1.5LX2"/>
    <n v="990"/>
    <n v="198"/>
    <n v="168.3"/>
  </r>
  <r>
    <x v="135"/>
    <s v="NOVIEMBRE"/>
    <n v="45"/>
    <s v="MIÉRCOLES"/>
    <x v="4"/>
    <s v="COCA-COLA PET 2.25LX2 RF"/>
    <n v="324"/>
    <n v="162"/>
    <n v="55.080000000000005"/>
  </r>
  <r>
    <x v="135"/>
    <s v="NOVIEMBRE"/>
    <n v="45"/>
    <s v="MIÉRCOLES"/>
    <x v="6"/>
    <s v="INCA KOLA PET 3LX2 - RF"/>
    <n v="3600"/>
    <n v="120"/>
    <n v="612"/>
  </r>
  <r>
    <x v="135"/>
    <s v="NOVIEMBRE"/>
    <n v="45"/>
    <s v="MIÉRCOLES"/>
    <x v="7"/>
    <s v="COCA-COLA PET 1.5LX2 RF"/>
    <n v="1512"/>
    <n v="198"/>
    <n v="257.04000000000002"/>
  </r>
  <r>
    <x v="135"/>
    <s v="NOVIEMBRE"/>
    <n v="45"/>
    <s v="MIÉRCOLES"/>
    <x v="8"/>
    <s v="INCA KOLA PET 1.5LX2 RF"/>
    <n v="648"/>
    <n v="198"/>
    <n v="110.16000000000001"/>
  </r>
  <r>
    <x v="135"/>
    <s v="NOVIEMBRE"/>
    <n v="45"/>
    <s v="MIÉRCOLES"/>
    <x v="9"/>
    <s v="TRIPACK FT NAR+FT KI+SP PET 3L"/>
    <n v="1440"/>
    <n v="90"/>
    <n v="244.8"/>
  </r>
  <r>
    <x v="135"/>
    <s v="NOVIEMBRE"/>
    <n v="45"/>
    <s v="MIÉRCOLES"/>
    <x v="10"/>
    <s v="TWO PACK CC + IK PFM 3LX2 - RFNN"/>
    <n v="720"/>
    <n v="120"/>
    <n v="122.4"/>
  </r>
  <r>
    <x v="135"/>
    <s v="NOVIEMBRE"/>
    <n v="45"/>
    <s v="MIÉRCOLES"/>
    <x v="11"/>
    <s v="TRIPACK (CC+IK)PFM+FT PET 3LX3 - RFNN"/>
    <n v="1440"/>
    <n v="90"/>
    <n v="244.8"/>
  </r>
  <r>
    <x v="135"/>
    <s v="NOVIEMBRE"/>
    <n v="45"/>
    <s v="MIÉRCOLES"/>
    <x v="25"/>
    <s v="POWERADE 3MORA+3FRUT PET 473MLX6"/>
    <n v="2925"/>
    <n v="225"/>
    <n v="1228.5"/>
  </r>
  <r>
    <x v="135"/>
    <s v="NOVIEMBRE"/>
    <n v="45"/>
    <s v="MIÉRCOLES"/>
    <x v="12"/>
    <s v="POWERADE ION4 FRUTA PET473X6 MOD (STICK)"/>
    <n v="1125"/>
    <n v="225"/>
    <n v="450"/>
  </r>
  <r>
    <x v="135"/>
    <s v="NOVIEMBRE"/>
    <n v="45"/>
    <s v="MIÉRCOLES"/>
    <x v="19"/>
    <s v="POWERADE ION4 MORA AZ PET473X6 MOD(STCK)"/>
    <n v="1350"/>
    <n v="225"/>
    <n v="540"/>
  </r>
  <r>
    <x v="135"/>
    <s v="NOVIEMBRE"/>
    <n v="45"/>
    <s v="MIÉRCOLES"/>
    <x v="42"/>
    <s v="FANTA NARANJA PET 500MLX6 BRANDEADO MOD"/>
    <n v="1250"/>
    <n v="420"/>
    <n v="525"/>
  </r>
  <r>
    <x v="135"/>
    <s v="NOVIEMBRE"/>
    <n v="45"/>
    <s v="MIÉRCOLES"/>
    <x v="43"/>
    <s v="SPRITE PET 500MLX6 BRANDEADO MOD"/>
    <n v="1250"/>
    <n v="420"/>
    <n v="525"/>
  </r>
  <r>
    <x v="135"/>
    <s v="NOVIEMBRE"/>
    <n v="45"/>
    <s v="MIÉRCOLES"/>
    <x v="40"/>
    <s v="SAN LUIS SPORT S/G 10 Lt x6 "/>
    <n v="448"/>
    <n v="240"/>
    <n v="179.20000000000002"/>
  </r>
  <r>
    <x v="136"/>
    <s v="NOVIEMBRE"/>
    <n v="45"/>
    <s v="JUEVES"/>
    <x v="5"/>
    <s v="INCA KOLA PET 2.25LX2 RF"/>
    <n v="486"/>
    <n v="162"/>
    <n v="82.62"/>
  </r>
  <r>
    <x v="136"/>
    <s v="NOVIEMBRE"/>
    <n v="45"/>
    <s v="JUEVES"/>
    <x v="25"/>
    <s v="POWERADE 3MORA+3FRUT PET 473MLX6"/>
    <n v="1575"/>
    <n v="225"/>
    <n v="661.5"/>
  </r>
  <r>
    <x v="136"/>
    <s v="NOVIEMBRE"/>
    <n v="45"/>
    <s v="JUEVES"/>
    <x v="35"/>
    <s v="SAN LUIS SIN GAS PET 625MLX06 MOD"/>
    <n v="540"/>
    <n v="180"/>
    <n v="226.79999999999998"/>
  </r>
  <r>
    <x v="136"/>
    <s v="NOVIEMBRE"/>
    <n v="45"/>
    <s v="JUEVES"/>
    <x v="22"/>
    <s v="TWO PACK SCHWEPPES CITRUS PET 1.5LX2"/>
    <n v="1386"/>
    <n v="198"/>
    <n v="235.62"/>
  </r>
  <r>
    <x v="136"/>
    <s v="NOVIEMBRE"/>
    <n v="45"/>
    <s v="JUEVES"/>
    <x v="3"/>
    <s v="TWO PACK SCHWEPPES GINGER ALE PET 1.5LX2"/>
    <n v="990"/>
    <n v="198"/>
    <n v="168.3"/>
  </r>
  <r>
    <x v="136"/>
    <s v="NOVIEMBRE"/>
    <n v="45"/>
    <s v="JUEVES"/>
    <x v="10"/>
    <s v="TWO PACK CC + IK PFM 3LX2 - RFNN"/>
    <n v="3360"/>
    <n v="120"/>
    <n v="571.20000000000005"/>
  </r>
  <r>
    <x v="136"/>
    <s v="NOVIEMBRE"/>
    <n v="45"/>
    <s v="JUEVES"/>
    <x v="11"/>
    <s v="TRIPACK (CC+IK)PFM+FT PET 3LX3 - RFNN"/>
    <n v="2250"/>
    <n v="90"/>
    <n v="382.5"/>
  </r>
  <r>
    <x v="136"/>
    <s v="NOVIEMBRE"/>
    <n v="45"/>
    <s v="JUEVES"/>
    <x v="28"/>
    <s v="COCA COLA VR 1.5LX8 - STICKER"/>
    <n v="90"/>
    <n v="30"/>
    <n v="20.7"/>
  </r>
  <r>
    <x v="136"/>
    <s v="NOVIEMBRE"/>
    <n v="45"/>
    <s v="JUEVES"/>
    <x v="33"/>
    <s v="COCA COLA VR 296MLX24 - STICKER"/>
    <n v="200"/>
    <n v="40"/>
    <n v="46"/>
  </r>
  <r>
    <x v="136"/>
    <s v="NOVIEMBRE"/>
    <n v="45"/>
    <s v="JUEVES"/>
    <x v="14"/>
    <s v="INCA KOLA VR 296MLX24 - STICKER"/>
    <n v="240"/>
    <n v="40"/>
    <n v="55.2"/>
  </r>
  <r>
    <x v="136"/>
    <s v="NOVIEMBRE"/>
    <n v="45"/>
    <s v="JUEVES"/>
    <x v="15"/>
    <s v="INCA KOLA VR 625MLX12 - STICKER"/>
    <n v="100"/>
    <n v="50"/>
    <n v="40"/>
  </r>
  <r>
    <x v="136"/>
    <s v="NOVIEMBRE"/>
    <n v="45"/>
    <s v="JUEVES"/>
    <x v="38"/>
    <s v="SL S/G TAPA PLANA 1LT"/>
    <n v="112"/>
    <n v="112"/>
    <n v="44.800000000000004"/>
  </r>
  <r>
    <x v="136"/>
    <s v="NOVIEMBRE"/>
    <n v="45"/>
    <s v="JUEVES"/>
    <x v="0"/>
    <s v="SAN LUIS SIN GAS PET2500X6 STICKER"/>
    <n v="384"/>
    <n v="48"/>
    <n v="153.60000000000002"/>
  </r>
  <r>
    <x v="136"/>
    <s v="NOVIEMBRE"/>
    <n v="45"/>
    <s v="JUEVES"/>
    <x v="16"/>
    <s v="SAN LUIS CON GAS PET 625MLX6"/>
    <n v="360"/>
    <n v="180"/>
    <n v="151.19999999999999"/>
  </r>
  <r>
    <x v="136"/>
    <s v="NOVIEMBRE"/>
    <n v="45"/>
    <s v="JUEVES"/>
    <x v="1"/>
    <s v="COCA-COLA SIN AZUCAR PET 1.5LX2"/>
    <n v="1512"/>
    <n v="198"/>
    <n v="257.04000000000002"/>
  </r>
  <r>
    <x v="136"/>
    <s v="NOVIEMBRE"/>
    <n v="45"/>
    <s v="JUEVES"/>
    <x v="4"/>
    <s v="COCA-COLA PET 2.25LX2 RF"/>
    <n v="324"/>
    <n v="162"/>
    <n v="55.080000000000005"/>
  </r>
  <r>
    <x v="136"/>
    <s v="NOVIEMBRE"/>
    <n v="45"/>
    <s v="JUEVES"/>
    <x v="5"/>
    <s v="INCA KOLA PET 2.25LX2 RF"/>
    <n v="486"/>
    <n v="162"/>
    <n v="82.62"/>
  </r>
  <r>
    <x v="136"/>
    <s v="NOVIEMBRE"/>
    <n v="45"/>
    <s v="JUEVES"/>
    <x v="6"/>
    <s v="INCA KOLA PET 3LX2 - RF"/>
    <n v="600"/>
    <n v="120"/>
    <n v="102.00000000000001"/>
  </r>
  <r>
    <x v="136"/>
    <s v="NOVIEMBRE"/>
    <n v="45"/>
    <s v="JUEVES"/>
    <x v="7"/>
    <s v="COCA-COLA PET 1.5LX2 RF"/>
    <n v="1512"/>
    <n v="198"/>
    <n v="257.04000000000002"/>
  </r>
  <r>
    <x v="136"/>
    <s v="NOVIEMBRE"/>
    <n v="45"/>
    <s v="JUEVES"/>
    <x v="8"/>
    <s v="INCA KOLA PET 1.5LX2 RF"/>
    <n v="648"/>
    <n v="198"/>
    <n v="110.16000000000001"/>
  </r>
  <r>
    <x v="136"/>
    <s v="NOVIEMBRE"/>
    <n v="45"/>
    <s v="JUEVES"/>
    <x v="9"/>
    <s v="TRIPACK FT NAR+FT KI+SP PET 3L"/>
    <n v="1170"/>
    <n v="90"/>
    <n v="198.9"/>
  </r>
  <r>
    <x v="136"/>
    <s v="NOVIEMBRE"/>
    <n v="45"/>
    <s v="JUEVES"/>
    <x v="26"/>
    <s v="TRIPACK CC+CC+IK PFM 3LX3 - RFNN"/>
    <n v="1440"/>
    <n v="90"/>
    <n v="244.8"/>
  </r>
  <r>
    <x v="136"/>
    <s v="NOVIEMBRE"/>
    <n v="45"/>
    <s v="JUEVES"/>
    <x v="23"/>
    <s v="TRIPACK CC+IK+IK PFM 3LX3 - RFNN"/>
    <n v="900"/>
    <n v="90"/>
    <n v="153"/>
  </r>
  <r>
    <x v="136"/>
    <s v="NOVIEMBRE"/>
    <n v="45"/>
    <s v="JUEVES"/>
    <x v="20"/>
    <s v="TRIPACK (FT NAR+SP)PET+IK RF PFM 3L"/>
    <n v="450"/>
    <n v="90"/>
    <n v="76.5"/>
  </r>
  <r>
    <x v="136"/>
    <s v="NOVIEMBRE"/>
    <n v="45"/>
    <s v="JUEVES"/>
    <x v="35"/>
    <s v="SAN LUIS SIN GAS PET 625MLX06 MOD"/>
    <n v="540"/>
    <n v="180"/>
    <n v="226.79999999999998"/>
  </r>
  <r>
    <x v="136"/>
    <s v="NOVIEMBRE"/>
    <n v="45"/>
    <s v="JUEVES"/>
    <x v="42"/>
    <s v="FANTA NARANJA PET 500MLX6 BRANDEADO MOD"/>
    <n v="1250"/>
    <n v="420"/>
    <n v="525"/>
  </r>
  <r>
    <x v="136"/>
    <s v="NOVIEMBRE"/>
    <n v="45"/>
    <s v="JUEVES"/>
    <x v="43"/>
    <s v="SPRITE PET 500MLX6 BRANDEADO MOD"/>
    <n v="1250"/>
    <n v="420"/>
    <n v="525"/>
  </r>
  <r>
    <x v="136"/>
    <s v="NOVIEMBRE"/>
    <n v="45"/>
    <s v="JUEVES"/>
    <x v="34"/>
    <s v="TWO PACK CC PET 1.5LX2 - CRC"/>
    <n v="216"/>
    <n v="198"/>
    <n v="36.720000000000006"/>
  </r>
  <r>
    <x v="136"/>
    <s v="NOVIEMBRE"/>
    <n v="45"/>
    <s v="JUEVES"/>
    <x v="36"/>
    <s v="SAN LUIS SIN GAS PET 625MLX15 C/STICKER"/>
    <n v="180"/>
    <n v="90"/>
    <n v="72"/>
  </r>
  <r>
    <x v="137"/>
    <s v="NOVIEMBRE"/>
    <n v="45"/>
    <s v="VIERNES"/>
    <x v="1"/>
    <s v="COCA-COLA SIN AZUCAR PET 1.5LX2"/>
    <n v="3240"/>
    <n v="198"/>
    <n v="550.80000000000007"/>
  </r>
  <r>
    <x v="137"/>
    <s v="NOVIEMBRE"/>
    <n v="45"/>
    <s v="VIERNES"/>
    <x v="2"/>
    <s v="INCA KOLA SIN AZUCAR PET 1.5LX2"/>
    <n v="2592"/>
    <n v="198"/>
    <n v="440.64000000000004"/>
  </r>
  <r>
    <x v="137"/>
    <s v="NOVIEMBRE"/>
    <n v="45"/>
    <s v="VIERNES"/>
    <x v="11"/>
    <s v="TRIPACK (CC+IK)PFM+FT PET 3LX3 - RFNN"/>
    <n v="2880"/>
    <n v="90"/>
    <n v="489.6"/>
  </r>
  <r>
    <x v="137"/>
    <s v="NOVIEMBRE"/>
    <n v="45"/>
    <s v="VIERNES"/>
    <x v="23"/>
    <s v="TRIPACK CC+IK+IK PFM 3LX3 - RFNN"/>
    <n v="900"/>
    <n v="90"/>
    <n v="153"/>
  </r>
  <r>
    <x v="137"/>
    <s v="NOVIEMBRE"/>
    <n v="45"/>
    <s v="VIERNES"/>
    <x v="9"/>
    <s v="TRIPACK FT NAR+FT KI+SP PET 3L"/>
    <n v="900"/>
    <n v="90"/>
    <n v="153"/>
  </r>
  <r>
    <x v="137"/>
    <s v="NOVIEMBRE"/>
    <n v="45"/>
    <s v="VIERNES"/>
    <x v="20"/>
    <s v="TRIPACK (FT NAR+SP)PET+IK RF PFM 3L"/>
    <n v="450"/>
    <n v="90"/>
    <n v="76.5"/>
  </r>
  <r>
    <x v="137"/>
    <s v="NOVIEMBRE"/>
    <n v="45"/>
    <s v="VIERNES"/>
    <x v="6"/>
    <s v="INCA KOLA PET 3LX2 - RF"/>
    <n v="1920"/>
    <n v="120"/>
    <n v="326.40000000000003"/>
  </r>
  <r>
    <x v="137"/>
    <s v="NOVIEMBRE"/>
    <n v="45"/>
    <s v="VIERNES"/>
    <x v="4"/>
    <s v="COCA-COLA PET 2.25LX2 RF"/>
    <n v="810"/>
    <n v="162"/>
    <n v="137.70000000000002"/>
  </r>
  <r>
    <x v="137"/>
    <s v="NOVIEMBRE"/>
    <n v="45"/>
    <s v="VIERNES"/>
    <x v="3"/>
    <s v="TWO PACK SCHWEPPES GINGER ALE PET 1.5LX2"/>
    <n v="594"/>
    <n v="198"/>
    <n v="100.98"/>
  </r>
  <r>
    <x v="137"/>
    <s v="NOVIEMBRE"/>
    <n v="45"/>
    <s v="VIERNES"/>
    <x v="8"/>
    <s v="INCA KOLA PET 1.5LX2 RF"/>
    <n v="1080"/>
    <n v="198"/>
    <n v="183.60000000000002"/>
  </r>
  <r>
    <x v="137"/>
    <s v="NOVIEMBRE"/>
    <n v="45"/>
    <s v="VIERNES"/>
    <x v="34"/>
    <s v="TWO PACK CC PET 1.5LX2 - CRC"/>
    <n v="1080"/>
    <n v="198"/>
    <n v="183.60000000000002"/>
  </r>
  <r>
    <x v="137"/>
    <s v="NOVIEMBRE"/>
    <n v="45"/>
    <s v="VIERNES"/>
    <x v="0"/>
    <s v="SAN LUIS SIN GAS PET2500X6 STICKER"/>
    <n v="240"/>
    <n v="48"/>
    <n v="96"/>
  </r>
  <r>
    <x v="137"/>
    <s v="NOVIEMBRE"/>
    <n v="45"/>
    <s v="VIERNES"/>
    <x v="28"/>
    <s v="COCA COLA VR 1.5LX8 - STICKER"/>
    <n v="150"/>
    <n v="30"/>
    <n v="34.5"/>
  </r>
  <r>
    <x v="137"/>
    <s v="NOVIEMBRE"/>
    <n v="45"/>
    <s v="VIERNES"/>
    <x v="33"/>
    <s v="COCA COLA VR 296MLX24 - STICKER"/>
    <n v="200"/>
    <n v="40"/>
    <n v="46"/>
  </r>
  <r>
    <x v="137"/>
    <s v="NOVIEMBRE"/>
    <n v="45"/>
    <s v="VIERNES"/>
    <x v="5"/>
    <s v="INCA KOLA PET 2.25LX2 RF"/>
    <n v="972"/>
    <n v="162"/>
    <n v="165.24"/>
  </r>
  <r>
    <x v="137"/>
    <s v="NOVIEMBRE"/>
    <n v="45"/>
    <s v="VIERNES"/>
    <x v="38"/>
    <s v="SL S/G TAPA PLANA 1LT"/>
    <n v="336"/>
    <n v="112"/>
    <n v="134.4"/>
  </r>
  <r>
    <x v="137"/>
    <s v="NOVIEMBRE"/>
    <n v="45"/>
    <s v="VIERNES"/>
    <x v="25"/>
    <s v="POWERADE 3MORA+3FRUT PET 473MLX6"/>
    <n v="1350"/>
    <n v="225"/>
    <n v="567"/>
  </r>
  <r>
    <x v="137"/>
    <s v="NOVIEMBRE"/>
    <n v="45"/>
    <s v="VIERNES"/>
    <x v="29"/>
    <s v="TWO PACK IK PET 1.5LX2 - CRCG"/>
    <n v="1080"/>
    <n v="198"/>
    <n v="183.60000000000002"/>
  </r>
  <r>
    <x v="137"/>
    <s v="NOVIEMBRE"/>
    <n v="45"/>
    <s v="VIERNES"/>
    <x v="40"/>
    <s v="SAN LUIS SPORT S/G 10 Lt x6 "/>
    <n v="560"/>
    <n v="240"/>
    <n v="224"/>
  </r>
  <r>
    <x v="137"/>
    <s v="NOVIEMBRE"/>
    <n v="45"/>
    <s v="VIERNES"/>
    <x v="36"/>
    <s v="SAN LUIS SIN GAS PET 625MLX15 C/STICKER"/>
    <n v="540"/>
    <n v="90"/>
    <n v="216"/>
  </r>
  <r>
    <x v="137"/>
    <s v="NOVIEMBRE"/>
    <n v="45"/>
    <s v="VIERNES"/>
    <x v="16"/>
    <s v="SAN LUIS CON GAS PET 625MLX6"/>
    <n v="1080"/>
    <n v="180"/>
    <n v="453.59999999999997"/>
  </r>
  <r>
    <x v="137"/>
    <s v="NOVIEMBRE"/>
    <n v="45"/>
    <s v="VIERNES"/>
    <x v="38"/>
    <s v="SL S/G TAPA PLANA 1LT"/>
    <n v="112"/>
    <n v="112"/>
    <n v="44.800000000000004"/>
  </r>
  <r>
    <x v="137"/>
    <s v="NOVIEMBRE"/>
    <n v="45"/>
    <s v="VIERNES"/>
    <x v="35"/>
    <s v="SAN LUIS SIN GAS PET 625MLX06 MOD"/>
    <n v="1080"/>
    <n v="180"/>
    <n v="453.59999999999997"/>
  </r>
  <r>
    <x v="137"/>
    <s v="NOVIEMBRE"/>
    <n v="45"/>
    <s v="VIERNES"/>
    <x v="25"/>
    <s v="POWERADE 3MORA+3FRUT PET 473MLX6"/>
    <n v="2250"/>
    <n v="225"/>
    <n v="945"/>
  </r>
  <r>
    <x v="138"/>
    <s v="NOVIEMBRE"/>
    <n v="46"/>
    <s v="SÁBADO"/>
    <x v="0"/>
    <s v="SAN LUIS SIN GAS PET2500X6 STICKER"/>
    <n v="480"/>
    <n v="48"/>
    <n v="192"/>
  </r>
  <r>
    <x v="138"/>
    <s v="NOVIEMBRE"/>
    <n v="46"/>
    <s v="SÁBADO"/>
    <x v="13"/>
    <s v="INCA KOLA VR 1.5LX8 - STICKER"/>
    <n v="180"/>
    <n v="30"/>
    <n v="72"/>
  </r>
  <r>
    <x v="138"/>
    <s v="NOVIEMBRE"/>
    <n v="46"/>
    <s v="SÁBADO"/>
    <x v="28"/>
    <s v="COCA COLA VR 1.5LX8 - STICKER"/>
    <n v="210"/>
    <n v="30"/>
    <n v="48.300000000000004"/>
  </r>
  <r>
    <x v="138"/>
    <s v="NOVIEMBRE"/>
    <n v="46"/>
    <s v="SÁBADO"/>
    <x v="14"/>
    <s v="INCA KOLA VR 296MLX24 - STICKER"/>
    <n v="200"/>
    <n v="40"/>
    <n v="46"/>
  </r>
  <r>
    <x v="138"/>
    <s v="NOVIEMBRE"/>
    <n v="46"/>
    <s v="SÁBADO"/>
    <x v="15"/>
    <s v="INCA KOLA VR 625MLX12 - STICKER"/>
    <n v="200"/>
    <n v="50"/>
    <n v="80"/>
  </r>
  <r>
    <x v="138"/>
    <s v="NOVIEMBRE"/>
    <n v="46"/>
    <s v="SÁBADO"/>
    <x v="19"/>
    <s v="POWERADE ION4 MORA AZ PET473X6 MOD(STCK)"/>
    <n v="1125"/>
    <n v="225"/>
    <n v="450"/>
  </r>
  <r>
    <x v="138"/>
    <s v="NOVIEMBRE"/>
    <n v="46"/>
    <s v="SÁBADO"/>
    <x v="12"/>
    <s v="POWERADE ION4 FRUTA PET473X6 MOD (STICK)"/>
    <n v="1125"/>
    <n v="225"/>
    <n v="450"/>
  </r>
  <r>
    <x v="138"/>
    <s v="NOVIEMBRE"/>
    <n v="46"/>
    <s v="SÁBADO"/>
    <x v="5"/>
    <s v="INCA KOLA PET 2.25LX2 RF"/>
    <n v="810"/>
    <n v="162"/>
    <n v="137.70000000000002"/>
  </r>
  <r>
    <x v="138"/>
    <s v="NOVIEMBRE"/>
    <n v="46"/>
    <s v="SÁBADO"/>
    <x v="10"/>
    <s v="TWO PACK CC + IK PFM 3LX2 - RFNN"/>
    <n v="3120"/>
    <n v="120"/>
    <n v="530.40000000000009"/>
  </r>
  <r>
    <x v="138"/>
    <s v="NOVIEMBRE"/>
    <n v="46"/>
    <s v="SÁBADO"/>
    <x v="17"/>
    <s v="TWO PACK CC PFM 3LX2 - RFCC"/>
    <n v="1320"/>
    <n v="120"/>
    <n v="224.4"/>
  </r>
  <r>
    <x v="138"/>
    <s v="NOVIEMBRE"/>
    <n v="46"/>
    <s v="SÁBADO"/>
    <x v="6"/>
    <s v="INCA KOLA PET 3LX2 - RF"/>
    <n v="360"/>
    <n v="120"/>
    <n v="61.2"/>
  </r>
  <r>
    <x v="138"/>
    <s v="NOVIEMBRE"/>
    <n v="46"/>
    <s v="SÁBADO"/>
    <x v="20"/>
    <s v="TRIPACK (FT NAR+SP)PET+IK RF PFM 3L"/>
    <n v="270"/>
    <n v="90"/>
    <n v="45.900000000000006"/>
  </r>
  <r>
    <x v="138"/>
    <s v="NOVIEMBRE"/>
    <n v="46"/>
    <s v="SÁBADO"/>
    <x v="26"/>
    <s v="TRIPACK CC+CC+IK PFM 3LX3 - RFNN"/>
    <n v="1170"/>
    <n v="90"/>
    <n v="198.9"/>
  </r>
  <r>
    <x v="138"/>
    <s v="NOVIEMBRE"/>
    <n v="46"/>
    <s v="SÁBADO"/>
    <x v="9"/>
    <s v="TRIPACK FT NAR+FT KI+SP PET 3L"/>
    <n v="900"/>
    <n v="90"/>
    <n v="153"/>
  </r>
  <r>
    <x v="138"/>
    <s v="NOVIEMBRE"/>
    <n v="46"/>
    <s v="SÁBADO"/>
    <x v="11"/>
    <s v="TRIPACK (CC+IK)PFM+FT PET 3LX3 - RFNN"/>
    <n v="1800"/>
    <n v="90"/>
    <n v="306"/>
  </r>
  <r>
    <x v="138"/>
    <s v="NOVIEMBRE"/>
    <n v="46"/>
    <s v="SÁBADO"/>
    <x v="4"/>
    <s v="COCA-COLA PET 2.25LX2 RF"/>
    <n v="972"/>
    <n v="162"/>
    <n v="165.24"/>
  </r>
  <r>
    <x v="138"/>
    <s v="NOVIEMBRE"/>
    <n v="46"/>
    <s v="SÁBADO"/>
    <x v="7"/>
    <s v="COCA-COLA PET 1.5LX2 RF"/>
    <n v="216"/>
    <n v="198"/>
    <n v="36.720000000000006"/>
  </r>
  <r>
    <x v="138"/>
    <s v="NOVIEMBRE"/>
    <n v="46"/>
    <s v="SÁBADO"/>
    <x v="22"/>
    <s v="TWO PACK SCHWEPPES CITRUS PET 1.5LX2"/>
    <n v="990"/>
    <n v="198"/>
    <n v="168.3"/>
  </r>
  <r>
    <x v="138"/>
    <s v="NOVIEMBRE"/>
    <n v="46"/>
    <s v="SÁBADO"/>
    <x v="16"/>
    <s v="SAN LUIS CON GAS PET 625MLX6"/>
    <n v="900"/>
    <n v="180"/>
    <n v="378"/>
  </r>
  <r>
    <x v="138"/>
    <s v="NOVIEMBRE"/>
    <n v="46"/>
    <s v="SÁBADO"/>
    <x v="36"/>
    <s v="SAN LUIS SIN GAS PET 625MLX15 C/STICKER"/>
    <n v="360"/>
    <n v="90"/>
    <n v="144"/>
  </r>
  <r>
    <x v="138"/>
    <s v="NOVIEMBRE"/>
    <n v="46"/>
    <s v="SÁBADO"/>
    <x v="35"/>
    <s v="SAN LUIS SIN GAS PET 625MLX06 MOD"/>
    <n v="900"/>
    <n v="180"/>
    <n v="378"/>
  </r>
  <r>
    <x v="138"/>
    <s v="NOVIEMBRE"/>
    <n v="46"/>
    <s v="SÁBADO"/>
    <x v="25"/>
    <s v="POWERADE 3MORA+3FRUT PET 473MLX6"/>
    <n v="1350"/>
    <n v="225"/>
    <n v="567"/>
  </r>
  <r>
    <x v="138"/>
    <s v="NOVIEMBRE"/>
    <n v="46"/>
    <s v="SÁBADO"/>
    <x v="3"/>
    <s v="TWO PACK SCHWEPPES GINGER ALE PET 1.5LX2"/>
    <n v="792"/>
    <n v="198"/>
    <n v="134.64000000000001"/>
  </r>
  <r>
    <x v="138"/>
    <s v="NOVIEMBRE"/>
    <n v="46"/>
    <s v="SÁBADO"/>
    <x v="3"/>
    <s v="TWO PACK SCHWEPPES GINGER ALE PET 1.5LX2"/>
    <n v="990"/>
    <n v="198"/>
    <n v="168.3"/>
  </r>
  <r>
    <x v="139"/>
    <s v="NOVIEMBRE"/>
    <n v="46"/>
    <s v="LUNES"/>
    <x v="15"/>
    <s v="INCA KOLA VR 625MLX12 - STICKER"/>
    <n v="350"/>
    <n v="50"/>
    <n v="140"/>
  </r>
  <r>
    <x v="139"/>
    <s v="NOVIEMBRE"/>
    <n v="46"/>
    <s v="LUNES"/>
    <x v="28"/>
    <s v="COCA COLA VR 1.5LX8 - STICKER"/>
    <n v="120"/>
    <n v="30"/>
    <n v="27.6"/>
  </r>
  <r>
    <x v="139"/>
    <s v="NOVIEMBRE"/>
    <n v="46"/>
    <s v="LUNES"/>
    <x v="33"/>
    <s v="COCA COLA VR 296MLX24 - STICKER"/>
    <n v="280"/>
    <n v="40"/>
    <n v="64.400000000000006"/>
  </r>
  <r>
    <x v="139"/>
    <s v="NOVIEMBRE"/>
    <n v="46"/>
    <s v="LUNES"/>
    <x v="17"/>
    <s v="TWO PACK CC PFM 3LX2 - RFCC"/>
    <n v="1080"/>
    <n v="120"/>
    <n v="183.60000000000002"/>
  </r>
  <r>
    <x v="139"/>
    <s v="NOVIEMBRE"/>
    <n v="46"/>
    <s v="LUNES"/>
    <x v="11"/>
    <s v="TRIPACK (CC+IK)PFM+FT PET 3LX3 - RFNN"/>
    <n v="1440"/>
    <n v="90"/>
    <n v="244.8"/>
  </r>
  <r>
    <x v="139"/>
    <s v="NOVIEMBRE"/>
    <n v="46"/>
    <s v="LUNES"/>
    <x v="4"/>
    <s v="COCA-COLA PET 2.25LX2 RF"/>
    <n v="324"/>
    <n v="162"/>
    <n v="55.080000000000005"/>
  </r>
  <r>
    <x v="139"/>
    <s v="NOVIEMBRE"/>
    <n v="46"/>
    <s v="LUNES"/>
    <x v="6"/>
    <s v="INCA KOLA PET 3LX2 - RF"/>
    <n v="1800"/>
    <n v="120"/>
    <n v="306"/>
  </r>
  <r>
    <x v="139"/>
    <s v="NOVIEMBRE"/>
    <n v="46"/>
    <s v="LUNES"/>
    <x v="9"/>
    <s v="TRIPACK FT NAR+FT KI+SP PET 3L"/>
    <n v="1440"/>
    <n v="90"/>
    <n v="244.8"/>
  </r>
  <r>
    <x v="139"/>
    <s v="NOVIEMBRE"/>
    <n v="46"/>
    <s v="LUNES"/>
    <x v="10"/>
    <s v="TWO PACK CC + IK PFM 3LX2 - RFNN"/>
    <n v="1920"/>
    <n v="120"/>
    <n v="326.40000000000003"/>
  </r>
  <r>
    <x v="139"/>
    <s v="NOVIEMBRE"/>
    <n v="46"/>
    <s v="LUNES"/>
    <x v="23"/>
    <s v="TRIPACK CC+IK+IK PFM 3LX3 - RFNN"/>
    <n v="720"/>
    <n v="90"/>
    <n v="122.4"/>
  </r>
  <r>
    <x v="139"/>
    <s v="NOVIEMBRE"/>
    <n v="46"/>
    <s v="LUNES"/>
    <x v="16"/>
    <s v="SAN LUIS CON GAS PET 625MLX6"/>
    <n v="1620"/>
    <n v="180"/>
    <n v="680.4"/>
  </r>
  <r>
    <x v="139"/>
    <s v="NOVIEMBRE"/>
    <n v="46"/>
    <s v="LUNES"/>
    <x v="12"/>
    <s v="POWERADE ION4 FRUTA PET473X6 MOD (STICK)"/>
    <n v="450"/>
    <n v="225"/>
    <n v="180"/>
  </r>
  <r>
    <x v="139"/>
    <s v="NOVIEMBRE"/>
    <n v="46"/>
    <s v="LUNES"/>
    <x v="36"/>
    <s v="SAN LUIS SIN GAS PET 625MLX15 C/STICKER"/>
    <n v="270"/>
    <n v="90"/>
    <n v="108"/>
  </r>
  <r>
    <x v="139"/>
    <s v="NOVIEMBRE"/>
    <n v="46"/>
    <s v="LUNES"/>
    <x v="35"/>
    <s v="SAN LUIS SIN GAS PET 625MLX06 MOD"/>
    <n v="900"/>
    <n v="180"/>
    <n v="378"/>
  </r>
  <r>
    <x v="139"/>
    <s v="NOVIEMBRE"/>
    <n v="46"/>
    <s v="LUNES"/>
    <x v="1"/>
    <s v="COCA-COLA SIN AZUCAR PET 1.5LX2"/>
    <n v="2160"/>
    <n v="198"/>
    <n v="367.20000000000005"/>
  </r>
  <r>
    <x v="139"/>
    <s v="NOVIEMBRE"/>
    <n v="46"/>
    <s v="LUNES"/>
    <x v="2"/>
    <s v="INCA KOLA SIN AZUCAR PET 1.5LX2"/>
    <n v="1944"/>
    <n v="198"/>
    <n v="330.48"/>
  </r>
  <r>
    <x v="139"/>
    <s v="NOVIEMBRE"/>
    <n v="46"/>
    <s v="LUNES"/>
    <x v="7"/>
    <s v="COCA-COLA PET 1.5LX2 RF"/>
    <n v="1512"/>
    <n v="198"/>
    <n v="257.04000000000002"/>
  </r>
  <r>
    <x v="139"/>
    <s v="NOVIEMBRE"/>
    <n v="46"/>
    <s v="LUNES"/>
    <x v="8"/>
    <s v="INCA KOLA PET 1.5LX2 RF"/>
    <n v="1080"/>
    <n v="198"/>
    <n v="183.60000000000002"/>
  </r>
  <r>
    <x v="139"/>
    <s v="NOVIEMBRE"/>
    <n v="46"/>
    <s v="LUNES"/>
    <x v="0"/>
    <s v="SAN LUIS SIN GAS PET2500X6 STICKER"/>
    <n v="1200"/>
    <n v="48"/>
    <n v="480"/>
  </r>
  <r>
    <x v="139"/>
    <s v="NOVIEMBRE"/>
    <n v="46"/>
    <s v="LUNES"/>
    <x v="43"/>
    <s v="SPRITE PET 500MLX6 BRANDEADO MOD"/>
    <n v="250"/>
    <n v="420"/>
    <n v="105"/>
  </r>
  <r>
    <x v="139"/>
    <s v="NOVIEMBRE"/>
    <n v="46"/>
    <s v="LUNES"/>
    <x v="42"/>
    <s v="FANTA NARANJA PET 500MLX6 BRANDEADO MOD"/>
    <n v="250"/>
    <n v="420"/>
    <n v="105"/>
  </r>
  <r>
    <x v="139"/>
    <s v="NOVIEMBRE"/>
    <n v="46"/>
    <s v="LUNES"/>
    <x v="40"/>
    <s v="SAN LUIS SPORT S/G 10 Lt x6 "/>
    <n v="896"/>
    <n v="240"/>
    <n v="358.40000000000003"/>
  </r>
  <r>
    <x v="139"/>
    <s v="NOVIEMBRE"/>
    <n v="46"/>
    <s v="LUNES"/>
    <x v="7"/>
    <s v="COCA-COLA PET 1.5LX2 RF"/>
    <n v="2160"/>
    <n v="198"/>
    <n v="367.20000000000005"/>
  </r>
  <r>
    <x v="139"/>
    <s v="NOVIEMBRE"/>
    <n v="46"/>
    <s v="LUNES"/>
    <x v="8"/>
    <s v="INCA KOLA PET 1.5LX2 RF"/>
    <n v="648"/>
    <n v="198"/>
    <n v="110.16000000000001"/>
  </r>
  <r>
    <x v="139"/>
    <s v="NOVIEMBRE"/>
    <n v="46"/>
    <s v="LUNES"/>
    <x v="5"/>
    <s v="INCA KOLA PET 2.25LX2 RF"/>
    <n v="810"/>
    <n v="162"/>
    <n v="137.70000000000002"/>
  </r>
  <r>
    <x v="139"/>
    <s v="NOVIEMBRE"/>
    <n v="46"/>
    <s v="LUNES"/>
    <x v="42"/>
    <s v="FANTA NARANJA PET 500MLX6 BRANDEADO MOD"/>
    <n v="250"/>
    <n v="420"/>
    <n v="105"/>
  </r>
  <r>
    <x v="139"/>
    <s v="NOVIEMBRE"/>
    <n v="46"/>
    <s v="LUNES"/>
    <x v="43"/>
    <s v="SPRITE PET 500MLX6 BRANDEADO MOD"/>
    <n v="250"/>
    <n v="420"/>
    <n v="105"/>
  </r>
  <r>
    <x v="140"/>
    <s v="NOVIEMBRE"/>
    <n v="46"/>
    <s v="MARTES"/>
    <x v="6"/>
    <s v="INCA KOLA PET 3LX2 - RF"/>
    <n v="1800"/>
    <n v="120"/>
    <n v="306"/>
  </r>
  <r>
    <x v="140"/>
    <s v="NOVIEMBRE"/>
    <n v="46"/>
    <s v="MARTES"/>
    <x v="8"/>
    <s v="INCA KOLA PET 1.5LX2 RF"/>
    <n v="1080"/>
    <n v="198"/>
    <n v="183.60000000000002"/>
  </r>
  <r>
    <x v="140"/>
    <s v="NOVIEMBRE"/>
    <n v="46"/>
    <s v="MARTES"/>
    <x v="3"/>
    <s v="TWO PACK SCHWEPPES GINGER ALE PET 1.5LX2"/>
    <n v="792"/>
    <n v="198"/>
    <n v="134.64000000000001"/>
  </r>
  <r>
    <x v="140"/>
    <s v="NOVIEMBRE"/>
    <n v="46"/>
    <s v="MARTES"/>
    <x v="2"/>
    <s v="INCA KOLA SIN AZUCAR PET 1.5LX2"/>
    <n v="1512"/>
    <n v="198"/>
    <n v="257.04000000000002"/>
  </r>
  <r>
    <x v="140"/>
    <s v="NOVIEMBRE"/>
    <n v="46"/>
    <s v="MARTES"/>
    <x v="1"/>
    <s v="COCA-COLA SIN AZUCAR PET 1.5LX2"/>
    <n v="2160"/>
    <n v="198"/>
    <n v="367.20000000000005"/>
  </r>
  <r>
    <x v="140"/>
    <s v="NOVIEMBRE"/>
    <n v="46"/>
    <s v="MARTES"/>
    <x v="38"/>
    <s v="SL S/G TAPA PLANA 1LT"/>
    <n v="896"/>
    <n v="112"/>
    <n v="358.40000000000003"/>
  </r>
  <r>
    <x v="140"/>
    <s v="NOVIEMBRE"/>
    <n v="46"/>
    <s v="MARTES"/>
    <x v="43"/>
    <s v="SPRITE PET 500MLX6 BRANDEADO MOD"/>
    <n v="1000"/>
    <n v="420"/>
    <n v="420"/>
  </r>
  <r>
    <x v="140"/>
    <s v="NOVIEMBRE"/>
    <n v="46"/>
    <s v="MARTES"/>
    <x v="0"/>
    <s v="SAN LUIS SIN GAS PET2500X6 STICKER"/>
    <n v="2400"/>
    <n v="48"/>
    <n v="960"/>
  </r>
  <r>
    <x v="140"/>
    <s v="NOVIEMBRE"/>
    <n v="46"/>
    <s v="MARTES"/>
    <x v="11"/>
    <s v="TRIPACK (CC+IK)PFM+FT PET 3LX3 - RFNN"/>
    <n v="2880"/>
    <n v="90"/>
    <n v="489.6"/>
  </r>
  <r>
    <x v="140"/>
    <s v="NOVIEMBRE"/>
    <n v="46"/>
    <s v="MARTES"/>
    <x v="9"/>
    <s v="TRIPACK FT NAR+FT KI+SP PET 3L"/>
    <n v="1710"/>
    <n v="90"/>
    <n v="290.70000000000005"/>
  </r>
  <r>
    <x v="140"/>
    <s v="NOVIEMBRE"/>
    <n v="46"/>
    <s v="MARTES"/>
    <x v="35"/>
    <s v="SAN LUIS SIN GAS PET 625MLX06 MOD"/>
    <n v="900"/>
    <n v="180"/>
    <n v="378"/>
  </r>
  <r>
    <x v="140"/>
    <s v="NOVIEMBRE"/>
    <n v="46"/>
    <s v="MARTES"/>
    <x v="28"/>
    <s v="COCA COLA VR 1.5LX8 - STICKER"/>
    <n v="150"/>
    <n v="30"/>
    <n v="34.5"/>
  </r>
  <r>
    <x v="140"/>
    <s v="NOVIEMBRE"/>
    <n v="46"/>
    <s v="MARTES"/>
    <x v="13"/>
    <s v="INCA KOLA VR 1.5LX8 - STICKER"/>
    <n v="90"/>
    <n v="30"/>
    <n v="36"/>
  </r>
  <r>
    <x v="140"/>
    <s v="NOVIEMBRE"/>
    <n v="46"/>
    <s v="MARTES"/>
    <x v="22"/>
    <s v="TWO PACK SCHWEPPES CITRUS PET 1.5LX2"/>
    <n v="792"/>
    <n v="198"/>
    <n v="134.64000000000001"/>
  </r>
  <r>
    <x v="140"/>
    <s v="NOVIEMBRE"/>
    <n v="46"/>
    <s v="MARTES"/>
    <x v="17"/>
    <s v="TWO PACK CC PFM 3LX2 - RFCC"/>
    <n v="1920"/>
    <n v="120"/>
    <n v="326.40000000000003"/>
  </r>
  <r>
    <x v="140"/>
    <s v="NOVIEMBRE"/>
    <n v="46"/>
    <s v="MARTES"/>
    <x v="7"/>
    <s v="COCA-COLA PET 1.5LX2 RF"/>
    <n v="648"/>
    <n v="198"/>
    <n v="110.16000000000001"/>
  </r>
  <r>
    <x v="140"/>
    <s v="NOVIEMBRE"/>
    <n v="46"/>
    <s v="MARTES"/>
    <x v="10"/>
    <s v="TWO PACK CC + IK PFM 3LX2 - RFNN"/>
    <n v="1920"/>
    <n v="120"/>
    <n v="326.40000000000003"/>
  </r>
  <r>
    <x v="140"/>
    <s v="NOVIEMBRE"/>
    <n v="46"/>
    <s v="MARTES"/>
    <x v="25"/>
    <s v="POWERADE 3MORA+3FRUT PET 473MLX6"/>
    <n v="1800"/>
    <n v="225"/>
    <n v="756"/>
  </r>
  <r>
    <x v="140"/>
    <s v="NOVIEMBRE"/>
    <n v="46"/>
    <s v="MARTES"/>
    <x v="12"/>
    <s v="POWERADE ION4 FRUTA PET473X6 MOD (STICK)"/>
    <n v="450"/>
    <n v="225"/>
    <n v="180"/>
  </r>
  <r>
    <x v="141"/>
    <s v="NOVIEMBRE"/>
    <n v="46"/>
    <s v="MIÉRCOLES"/>
    <x v="1"/>
    <s v="COCA-COLA SIN AZUCAR PET 1.5LX2"/>
    <n v="2160"/>
    <n v="198"/>
    <n v="367.20000000000005"/>
  </r>
  <r>
    <x v="141"/>
    <s v="NOVIEMBRE"/>
    <n v="46"/>
    <s v="MIÉRCOLES"/>
    <x v="2"/>
    <s v="INCA KOLA SIN AZUCAR PET 1.5LX2"/>
    <n v="2592"/>
    <n v="198"/>
    <n v="440.64000000000004"/>
  </r>
  <r>
    <x v="141"/>
    <s v="NOVIEMBRE"/>
    <n v="46"/>
    <s v="MIÉRCOLES"/>
    <x v="7"/>
    <s v="COCA-COLA PET 1.5LX2 RF"/>
    <n v="2160"/>
    <n v="198"/>
    <n v="367.20000000000005"/>
  </r>
  <r>
    <x v="141"/>
    <s v="NOVIEMBRE"/>
    <n v="46"/>
    <s v="MIÉRCOLES"/>
    <x v="11"/>
    <s v="TRIPACK (CC+IK)PFM+FT PET 3LX3 - RFNN"/>
    <n v="4410"/>
    <n v="90"/>
    <n v="749.7"/>
  </r>
  <r>
    <x v="141"/>
    <s v="NOVIEMBRE"/>
    <n v="46"/>
    <s v="MIÉRCOLES"/>
    <x v="38"/>
    <s v="SL S/G TAPA PLANA 1LT"/>
    <n v="336"/>
    <n v="112"/>
    <n v="134.4"/>
  </r>
  <r>
    <x v="141"/>
    <s v="NOVIEMBRE"/>
    <n v="46"/>
    <s v="MIÉRCOLES"/>
    <x v="0"/>
    <s v="SAN LUIS SIN GAS PET2500X6 STICKER"/>
    <n v="768"/>
    <n v="48"/>
    <n v="307.20000000000005"/>
  </r>
  <r>
    <x v="141"/>
    <s v="NOVIEMBRE"/>
    <n v="46"/>
    <s v="MIÉRCOLES"/>
    <x v="12"/>
    <s v="POWERADE ION4 FRUTA PET473X6 MOD (STICK)"/>
    <n v="900"/>
    <n v="225"/>
    <n v="360"/>
  </r>
  <r>
    <x v="141"/>
    <s v="NOVIEMBRE"/>
    <n v="46"/>
    <s v="MIÉRCOLES"/>
    <x v="13"/>
    <s v="INCA KOLA VR 1.5LX8 - STICKER"/>
    <n v="210"/>
    <n v="30"/>
    <n v="84"/>
  </r>
  <r>
    <x v="141"/>
    <s v="NOVIEMBRE"/>
    <n v="46"/>
    <s v="MIÉRCOLES"/>
    <x v="28"/>
    <s v="COCA COLA VR 1.5LX8 - STICKER"/>
    <n v="300"/>
    <n v="30"/>
    <n v="69"/>
  </r>
  <r>
    <x v="141"/>
    <s v="NOVIEMBRE"/>
    <n v="46"/>
    <s v="MIÉRCOLES"/>
    <x v="16"/>
    <s v="SAN LUIS CON GAS PET 625MLX6"/>
    <n v="1080"/>
    <n v="180"/>
    <n v="453.59999999999997"/>
  </r>
  <r>
    <x v="141"/>
    <s v="NOVIEMBRE"/>
    <n v="46"/>
    <s v="MIÉRCOLES"/>
    <x v="4"/>
    <s v="COCA-COLA PET 2.25LX2 RF"/>
    <n v="324"/>
    <n v="162"/>
    <n v="55.080000000000005"/>
  </r>
  <r>
    <x v="141"/>
    <s v="NOVIEMBRE"/>
    <n v="46"/>
    <s v="MIÉRCOLES"/>
    <x v="3"/>
    <s v="TWO PACK SCHWEPPES GINGER ALE PET 1.5LX2"/>
    <n v="792"/>
    <n v="198"/>
    <n v="134.64000000000001"/>
  </r>
  <r>
    <x v="141"/>
    <s v="NOVIEMBRE"/>
    <n v="46"/>
    <s v="MIÉRCOLES"/>
    <x v="22"/>
    <s v="TWO PACK SCHWEPPES CITRUS PET 1.5LX2"/>
    <n v="594"/>
    <n v="198"/>
    <n v="100.98"/>
  </r>
  <r>
    <x v="141"/>
    <s v="NOVIEMBRE"/>
    <n v="46"/>
    <s v="MIÉRCOLES"/>
    <x v="8"/>
    <s v="INCA KOLA PET 1.5LX2 RF"/>
    <n v="1512"/>
    <n v="198"/>
    <n v="257.04000000000002"/>
  </r>
  <r>
    <x v="141"/>
    <s v="NOVIEMBRE"/>
    <n v="46"/>
    <s v="MIÉRCOLES"/>
    <x v="15"/>
    <s v="INCA KOLA VR 625MLX12 - STICKER"/>
    <n v="400"/>
    <n v="50"/>
    <n v="160"/>
  </r>
  <r>
    <x v="141"/>
    <s v="NOVIEMBRE"/>
    <n v="46"/>
    <s v="MIÉRCOLES"/>
    <x v="6"/>
    <s v="INCA KOLA PET 3LX2 - RF"/>
    <n v="840"/>
    <n v="120"/>
    <n v="142.80000000000001"/>
  </r>
  <r>
    <x v="141"/>
    <s v="NOVIEMBRE"/>
    <n v="46"/>
    <s v="MIÉRCOLES"/>
    <x v="17"/>
    <s v="TWO PACK CC PFM 3LX2 - RFCC"/>
    <n v="120"/>
    <n v="120"/>
    <n v="20.400000000000002"/>
  </r>
  <r>
    <x v="141"/>
    <s v="NOVIEMBRE"/>
    <n v="46"/>
    <s v="MIÉRCOLES"/>
    <x v="10"/>
    <s v="TWO PACK CC + IK PFM 3LX2 - RFNN"/>
    <n v="1920"/>
    <n v="120"/>
    <n v="326.40000000000003"/>
  </r>
  <r>
    <x v="141"/>
    <s v="NOVIEMBRE"/>
    <n v="46"/>
    <s v="MIÉRCOLES"/>
    <x v="25"/>
    <s v="POWERADE 3MORA+3FRUT PET 473MLX6"/>
    <n v="2250"/>
    <n v="225"/>
    <n v="945"/>
  </r>
  <r>
    <x v="141"/>
    <s v="NOVIEMBRE"/>
    <n v="46"/>
    <s v="MIÉRCOLES"/>
    <x v="35"/>
    <s v="SAN LUIS SIN GAS PET 625MLX06 MOD"/>
    <n v="900"/>
    <n v="180"/>
    <n v="378"/>
  </r>
  <r>
    <x v="141"/>
    <s v="NOVIEMBRE"/>
    <n v="46"/>
    <s v="MIÉRCOLES"/>
    <x v="25"/>
    <s v="POWERADE 3MORA+3FRUT PET 473MLX6"/>
    <n v="225"/>
    <n v="225"/>
    <n v="94.5"/>
  </r>
  <r>
    <x v="142"/>
    <s v="NOVIEMBRE"/>
    <n v="46"/>
    <s v="JUEVES"/>
    <x v="13"/>
    <s v="INCA KOLA VR 1.5LX8 - STICKER"/>
    <n v="90"/>
    <n v="30"/>
    <n v="36"/>
  </r>
  <r>
    <x v="142"/>
    <s v="NOVIEMBRE"/>
    <n v="46"/>
    <s v="JUEVES"/>
    <x v="15"/>
    <s v="INCA KOLA VR 625MLX12 - STICKER"/>
    <n v="50"/>
    <n v="50"/>
    <n v="20"/>
  </r>
  <r>
    <x v="142"/>
    <s v="NOVIEMBRE"/>
    <n v="46"/>
    <s v="JUEVES"/>
    <x v="0"/>
    <s v="SAN LUIS SIN GAS PET2500X6 STICKER"/>
    <n v="576"/>
    <n v="48"/>
    <n v="230.4"/>
  </r>
  <r>
    <x v="142"/>
    <s v="NOVIEMBRE"/>
    <n v="46"/>
    <s v="JUEVES"/>
    <x v="1"/>
    <s v="COCA-COLA SIN AZUCAR PET 1.5LX2"/>
    <n v="3024"/>
    <n v="198"/>
    <n v="514.08000000000004"/>
  </r>
  <r>
    <x v="142"/>
    <s v="NOVIEMBRE"/>
    <n v="46"/>
    <s v="JUEVES"/>
    <x v="7"/>
    <s v="COCA-COLA PET 1.5LX2 RF"/>
    <n v="864"/>
    <n v="198"/>
    <n v="146.88000000000002"/>
  </r>
  <r>
    <x v="142"/>
    <s v="NOVIEMBRE"/>
    <n v="46"/>
    <s v="JUEVES"/>
    <x v="8"/>
    <s v="INCA KOLA PET 1.5LX2 RF"/>
    <n v="1296"/>
    <n v="198"/>
    <n v="220.32000000000002"/>
  </r>
  <r>
    <x v="142"/>
    <s v="NOVIEMBRE"/>
    <n v="46"/>
    <s v="JUEVES"/>
    <x v="9"/>
    <s v="TRIPACK FT NAR+FT KI+SP PET 3L"/>
    <n v="1140"/>
    <n v="90"/>
    <n v="193.8"/>
  </r>
  <r>
    <x v="142"/>
    <s v="NOVIEMBRE"/>
    <n v="46"/>
    <s v="JUEVES"/>
    <x v="10"/>
    <s v="TWO PACK CC + IK PFM 3LX2 - RFNN"/>
    <n v="3120"/>
    <n v="120"/>
    <n v="530.40000000000009"/>
  </r>
  <r>
    <x v="142"/>
    <s v="NOVIEMBRE"/>
    <n v="46"/>
    <s v="JUEVES"/>
    <x v="11"/>
    <s v="TRIPACK (CC+IK)PFM+FT PET 3LX3 - RFNN"/>
    <n v="3060"/>
    <n v="90"/>
    <n v="520.20000000000005"/>
  </r>
  <r>
    <x v="142"/>
    <s v="NOVIEMBRE"/>
    <n v="46"/>
    <s v="JUEVES"/>
    <x v="25"/>
    <s v="POWERADE 3MORA+3FRUT PET 473MLX6"/>
    <n v="2700"/>
    <n v="225"/>
    <n v="1134"/>
  </r>
  <r>
    <x v="142"/>
    <s v="NOVIEMBRE"/>
    <n v="46"/>
    <s v="JUEVES"/>
    <x v="35"/>
    <s v="SAN LUIS SIN GAS PET 625MLX06 MOD"/>
    <n v="540"/>
    <n v="180"/>
    <n v="226.79999999999998"/>
  </r>
  <r>
    <x v="142"/>
    <s v="NOVIEMBRE"/>
    <n v="46"/>
    <s v="JUEVES"/>
    <x v="63"/>
    <s v="INCA KOLA SIN AZUCAR PET300MLX6-C/STICK"/>
    <n v="4900"/>
    <n v="350"/>
    <n v="1127"/>
  </r>
  <r>
    <x v="142"/>
    <s v="NOVIEMBRE"/>
    <n v="46"/>
    <s v="JUEVES"/>
    <x v="0"/>
    <s v="SAN LUIS SIN GAS PET2500X6 STICKER"/>
    <n v="960"/>
    <n v="48"/>
    <n v="384"/>
  </r>
  <r>
    <x v="143"/>
    <s v="NOVIEMBRE"/>
    <n v="46"/>
    <s v="VIERNES"/>
    <x v="6"/>
    <s v="INCA KOLA PET 3LX2 - RF"/>
    <n v="840"/>
    <n v="120"/>
    <n v="142.80000000000001"/>
  </r>
  <r>
    <x v="143"/>
    <s v="NOVIEMBRE"/>
    <n v="46"/>
    <s v="VIERNES"/>
    <x v="10"/>
    <s v="TWO PACK CC + IK PFM 3LX2 - RFNN"/>
    <n v="2400"/>
    <n v="120"/>
    <n v="408.00000000000006"/>
  </r>
  <r>
    <x v="143"/>
    <s v="NOVIEMBRE"/>
    <n v="46"/>
    <s v="VIERNES"/>
    <x v="17"/>
    <s v="TWO PACK CC PFM 3LX2 - RFCC"/>
    <n v="600"/>
    <n v="120"/>
    <n v="102.00000000000001"/>
  </r>
  <r>
    <x v="143"/>
    <s v="NOVIEMBRE"/>
    <n v="46"/>
    <s v="VIERNES"/>
    <x v="28"/>
    <s v="COCA COLA VR 1.5LX8 - STICKER"/>
    <n v="240"/>
    <n v="30"/>
    <n v="55.2"/>
  </r>
  <r>
    <x v="143"/>
    <s v="NOVIEMBRE"/>
    <n v="46"/>
    <s v="VIERNES"/>
    <x v="13"/>
    <s v="INCA KOLA VR 1.5LX8 - STICKER"/>
    <n v="240"/>
    <n v="30"/>
    <n v="96"/>
  </r>
  <r>
    <x v="143"/>
    <s v="NOVIEMBRE"/>
    <n v="46"/>
    <s v="VIERNES"/>
    <x v="15"/>
    <s v="INCA KOLA VR 625MLX12 - STICKER"/>
    <n v="100"/>
    <n v="50"/>
    <n v="40"/>
  </r>
  <r>
    <x v="143"/>
    <s v="NOVIEMBRE"/>
    <n v="46"/>
    <s v="VIERNES"/>
    <x v="36"/>
    <s v="SAN LUIS SIN GAS PET 625MLX15 C/STICKER"/>
    <n v="360"/>
    <n v="90"/>
    <n v="144"/>
  </r>
  <r>
    <x v="143"/>
    <s v="NOVIEMBRE"/>
    <n v="46"/>
    <s v="VIERNES"/>
    <x v="0"/>
    <s v="SAN LUIS SIN GAS PET2500X6 STICKER"/>
    <n v="1056"/>
    <n v="48"/>
    <n v="422.40000000000003"/>
  </r>
  <r>
    <x v="143"/>
    <s v="NOVIEMBRE"/>
    <n v="46"/>
    <s v="VIERNES"/>
    <x v="16"/>
    <s v="SAN LUIS CON GAS PET 625MLX6"/>
    <n v="360"/>
    <n v="180"/>
    <n v="151.19999999999999"/>
  </r>
  <r>
    <x v="143"/>
    <s v="NOVIEMBRE"/>
    <n v="46"/>
    <s v="VIERNES"/>
    <x v="1"/>
    <s v="COCA-COLA SIN AZUCAR PET 1.5LX2"/>
    <n v="432"/>
    <n v="198"/>
    <n v="73.440000000000012"/>
  </r>
  <r>
    <x v="143"/>
    <s v="NOVIEMBRE"/>
    <n v="46"/>
    <s v="VIERNES"/>
    <x v="2"/>
    <s v="INCA KOLA SIN AZUCAR PET 1.5LX2"/>
    <n v="1512"/>
    <n v="198"/>
    <n v="257.04000000000002"/>
  </r>
  <r>
    <x v="143"/>
    <s v="NOVIEMBRE"/>
    <n v="46"/>
    <s v="VIERNES"/>
    <x v="7"/>
    <s v="COCA-COLA PET 1.5LX2 RF"/>
    <n v="1512"/>
    <n v="198"/>
    <n v="257.04000000000002"/>
  </r>
  <r>
    <x v="143"/>
    <s v="NOVIEMBRE"/>
    <n v="46"/>
    <s v="VIERNES"/>
    <x v="8"/>
    <s v="INCA KOLA PET 1.5LX2 RF"/>
    <n v="1080"/>
    <n v="198"/>
    <n v="183.60000000000002"/>
  </r>
  <r>
    <x v="143"/>
    <s v="NOVIEMBRE"/>
    <n v="46"/>
    <s v="VIERNES"/>
    <x v="11"/>
    <s v="TRIPACK (CC+IK)PFM+FT PET 3LX3 - RFNN"/>
    <n v="1440"/>
    <n v="90"/>
    <n v="244.8"/>
  </r>
  <r>
    <x v="143"/>
    <s v="NOVIEMBRE"/>
    <n v="46"/>
    <s v="VIERNES"/>
    <x v="20"/>
    <s v="TRIPACK (FT NAR+SP)PET+IK RF PFM 3L"/>
    <n v="720"/>
    <n v="90"/>
    <n v="122.4"/>
  </r>
  <r>
    <x v="143"/>
    <s v="NOVIEMBRE"/>
    <n v="46"/>
    <s v="VIERNES"/>
    <x v="35"/>
    <s v="SAN LUIS SIN GAS PET 625MLX06 MOD"/>
    <n v="540"/>
    <n v="180"/>
    <n v="226.79999999999998"/>
  </r>
  <r>
    <x v="143"/>
    <s v="NOVIEMBRE"/>
    <n v="46"/>
    <s v="VIERNES"/>
    <x v="42"/>
    <s v="FANTA NARANJA PET 500MLX6 BRANDEADO MOD"/>
    <n v="750"/>
    <n v="420"/>
    <n v="315"/>
  </r>
  <r>
    <x v="143"/>
    <s v="NOVIEMBRE"/>
    <n v="46"/>
    <s v="VIERNES"/>
    <x v="63"/>
    <s v="INCA KOLA SIN AZUCAR PET300MLX6-C/STICK"/>
    <n v="3500"/>
    <n v="350"/>
    <n v="805"/>
  </r>
  <r>
    <x v="144"/>
    <s v="NOVIEMBRE"/>
    <n v="47"/>
    <s v="SÁBADO"/>
    <x v="63"/>
    <s v="INCA KOLA SIN AZUCAR PET300MLX6-C/STICK"/>
    <n v="3500"/>
    <n v="350"/>
    <n v="805"/>
  </r>
  <r>
    <x v="144"/>
    <s v="NOVIEMBRE"/>
    <n v="47"/>
    <s v="SÁBADO"/>
    <x v="13"/>
    <s v="INCA KOLA VR 1.5LX8 - STICKER"/>
    <n v="90"/>
    <n v="30"/>
    <n v="36"/>
  </r>
  <r>
    <x v="144"/>
    <s v="NOVIEMBRE"/>
    <n v="47"/>
    <s v="SÁBADO"/>
    <x v="15"/>
    <s v="INCA KOLA VR 625MLX12 - STICKER"/>
    <n v="150"/>
    <n v="50"/>
    <n v="60"/>
  </r>
  <r>
    <x v="144"/>
    <s v="NOVIEMBRE"/>
    <n v="47"/>
    <s v="SÁBADO"/>
    <x v="0"/>
    <s v="SAN LUIS SIN GAS PET2500X6 STICKER"/>
    <n v="1440"/>
    <n v="48"/>
    <n v="576"/>
  </r>
  <r>
    <x v="144"/>
    <s v="NOVIEMBRE"/>
    <n v="47"/>
    <s v="SÁBADO"/>
    <x v="16"/>
    <s v="SAN LUIS CON GAS PET 625MLX6"/>
    <n v="1080"/>
    <n v="180"/>
    <n v="453.59999999999997"/>
  </r>
  <r>
    <x v="144"/>
    <s v="NOVIEMBRE"/>
    <n v="47"/>
    <s v="SÁBADO"/>
    <x v="35"/>
    <s v="SAN LUIS SIN GAS PET 625MLX06 MOD"/>
    <n v="360"/>
    <n v="180"/>
    <n v="151.19999999999999"/>
  </r>
  <r>
    <x v="144"/>
    <s v="NOVIEMBRE"/>
    <n v="47"/>
    <s v="SÁBADO"/>
    <x v="11"/>
    <s v="TRIPACK (CC+IK)PFM+FT PET 3LX3 - RFNN"/>
    <n v="2160"/>
    <n v="90"/>
    <n v="367.20000000000005"/>
  </r>
  <r>
    <x v="144"/>
    <s v="NOVIEMBRE"/>
    <n v="47"/>
    <s v="SÁBADO"/>
    <x v="10"/>
    <s v="TWO PACK CC + IK PFM 3LX2 - RFNN"/>
    <n v="2160"/>
    <n v="120"/>
    <n v="367.20000000000005"/>
  </r>
  <r>
    <x v="144"/>
    <s v="NOVIEMBRE"/>
    <n v="47"/>
    <s v="SÁBADO"/>
    <x v="8"/>
    <s v="INCA KOLA PET 1.5LX2 RF"/>
    <n v="1296"/>
    <n v="198"/>
    <n v="220.32000000000002"/>
  </r>
  <r>
    <x v="144"/>
    <s v="NOVIEMBRE"/>
    <n v="47"/>
    <s v="SÁBADO"/>
    <x v="7"/>
    <s v="COCA-COLA PET 1.5LX2 RF"/>
    <n v="1296"/>
    <n v="198"/>
    <n v="220.32000000000002"/>
  </r>
  <r>
    <x v="144"/>
    <s v="NOVIEMBRE"/>
    <n v="47"/>
    <s v="SÁBADO"/>
    <x v="6"/>
    <s v="INCA KOLA PET 3LX2 - RF"/>
    <n v="1200"/>
    <n v="120"/>
    <n v="204.00000000000003"/>
  </r>
  <r>
    <x v="144"/>
    <s v="NOVIEMBRE"/>
    <n v="47"/>
    <s v="SÁBADO"/>
    <x v="1"/>
    <s v="COCA-COLA SIN AZUCAR PET 1.5LX2"/>
    <n v="728"/>
    <n v="198"/>
    <n v="123.76"/>
  </r>
  <r>
    <x v="144"/>
    <s v="NOVIEMBRE"/>
    <n v="47"/>
    <s v="SÁBADO"/>
    <x v="25"/>
    <s v="POWERADE 3MORA+3FRUT PET 473MLX6"/>
    <n v="2700"/>
    <n v="225"/>
    <n v="1134"/>
  </r>
  <r>
    <x v="145"/>
    <s v="NOVIEMBRE"/>
    <n v="47"/>
    <s v="DOMINGO"/>
    <x v="42"/>
    <s v="FANTA NARANJA PET 500MLX6 BRANDEADO MOD"/>
    <n v="500"/>
    <n v="420"/>
    <n v="210"/>
  </r>
  <r>
    <x v="145"/>
    <s v="NOVIEMBRE"/>
    <n v="47"/>
    <s v="DOMINGO"/>
    <x v="43"/>
    <s v="SPRITE PET 500MLX6 BRANDEADO MOD"/>
    <n v="750"/>
    <n v="420"/>
    <n v="315"/>
  </r>
  <r>
    <x v="146"/>
    <s v="NOVIEMBRE"/>
    <n v="47"/>
    <s v="LUNES"/>
    <x v="2"/>
    <s v="INCA KOLA SIN AZUCAR PET 1.5LX2"/>
    <n v="1296"/>
    <n v="198"/>
    <n v="220.32000000000002"/>
  </r>
  <r>
    <x v="146"/>
    <s v="NOVIEMBRE"/>
    <n v="47"/>
    <s v="LUNES"/>
    <x v="9"/>
    <s v="TRIPACK FT NAR+FT KI+SP PET 3L"/>
    <n v="1440"/>
    <n v="90"/>
    <n v="244.8"/>
  </r>
  <r>
    <x v="146"/>
    <s v="NOVIEMBRE"/>
    <n v="47"/>
    <s v="LUNES"/>
    <x v="6"/>
    <s v="INCA KOLA PET 3LX2 - RF"/>
    <n v="1440"/>
    <n v="120"/>
    <n v="244.8"/>
  </r>
  <r>
    <x v="146"/>
    <s v="NOVIEMBRE"/>
    <n v="47"/>
    <s v="LUNES"/>
    <x v="17"/>
    <s v="TWO PACK CC PFM 3LX2 - RFCC"/>
    <n v="720"/>
    <n v="120"/>
    <n v="122.4"/>
  </r>
  <r>
    <x v="146"/>
    <s v="NOVIEMBRE"/>
    <n v="47"/>
    <s v="LUNES"/>
    <x v="10"/>
    <s v="TWO PACK CC + IK PFM 3LX2 - RFNN"/>
    <n v="4800"/>
    <n v="120"/>
    <n v="816.00000000000011"/>
  </r>
  <r>
    <x v="146"/>
    <s v="NOVIEMBRE"/>
    <n v="47"/>
    <s v="LUNES"/>
    <x v="11"/>
    <s v="TRIPACK (CC+IK)PFM+FT PET 3LX3 - RFNN"/>
    <n v="2880"/>
    <n v="90"/>
    <n v="489.6"/>
  </r>
  <r>
    <x v="146"/>
    <s v="NOVIEMBRE"/>
    <n v="47"/>
    <s v="LUNES"/>
    <x v="0"/>
    <s v="SAN LUIS SIN GAS PET2500X6 STICKER"/>
    <n v="2160"/>
    <n v="48"/>
    <n v="864"/>
  </r>
  <r>
    <x v="146"/>
    <s v="NOVIEMBRE"/>
    <n v="47"/>
    <s v="LUNES"/>
    <x v="36"/>
    <s v="SAN LUIS SIN GAS PET 625MLX15 C/STICKER"/>
    <n v="720"/>
    <n v="90"/>
    <n v="288"/>
  </r>
  <r>
    <x v="146"/>
    <s v="NOVIEMBRE"/>
    <n v="47"/>
    <s v="LUNES"/>
    <x v="7"/>
    <s v="COCA-COLA PET 1.5LX2 RF"/>
    <n v="1296"/>
    <n v="198"/>
    <n v="220.32000000000002"/>
  </r>
  <r>
    <x v="146"/>
    <s v="NOVIEMBRE"/>
    <n v="47"/>
    <s v="LUNES"/>
    <x v="35"/>
    <s v="SAN LUIS SIN GAS PET 625MLX06 MOD"/>
    <n v="360"/>
    <n v="180"/>
    <n v="151.19999999999999"/>
  </r>
  <r>
    <x v="146"/>
    <s v="NOVIEMBRE"/>
    <n v="47"/>
    <s v="LUNES"/>
    <x v="38"/>
    <s v="SL S/G TAPA PLANA 1LT"/>
    <n v="896"/>
    <n v="112"/>
    <n v="358.40000000000003"/>
  </r>
  <r>
    <x v="146"/>
    <s v="NOVIEMBRE"/>
    <n v="47"/>
    <s v="LUNES"/>
    <x v="15"/>
    <s v="INCA KOLA VR 625MLX12 - STICKER"/>
    <n v="600"/>
    <n v="50"/>
    <n v="240"/>
  </r>
  <r>
    <x v="147"/>
    <s v="NOVIEMBRE"/>
    <n v="47"/>
    <s v="MARTES"/>
    <x v="8"/>
    <s v="INCA KOLA PET 1.5LX2 RF"/>
    <n v="1296"/>
    <n v="198"/>
    <n v="220.32000000000002"/>
  </r>
  <r>
    <x v="147"/>
    <s v="NOVIEMBRE"/>
    <n v="47"/>
    <s v="MARTES"/>
    <x v="3"/>
    <s v="TWO PACK SCHWEPPES GINGER ALE PET 1.5LX2"/>
    <n v="1980"/>
    <n v="198"/>
    <n v="336.6"/>
  </r>
  <r>
    <x v="147"/>
    <s v="NOVIEMBRE"/>
    <n v="47"/>
    <s v="MARTES"/>
    <x v="22"/>
    <s v="TWO PACK SCHWEPPES CITRUS PET 1.5LX2"/>
    <n v="792"/>
    <n v="198"/>
    <n v="134.64000000000001"/>
  </r>
  <r>
    <x v="147"/>
    <s v="NOVIEMBRE"/>
    <n v="47"/>
    <s v="MARTES"/>
    <x v="6"/>
    <s v="INCA KOLA PET 3LX2 - RF"/>
    <n v="600"/>
    <n v="120"/>
    <n v="102.00000000000001"/>
  </r>
  <r>
    <x v="147"/>
    <s v="NOVIEMBRE"/>
    <n v="47"/>
    <s v="MARTES"/>
    <x v="10"/>
    <s v="TWO PACK CC + IK PFM 3LX2 - RFNN"/>
    <n v="1920"/>
    <n v="120"/>
    <n v="326.40000000000003"/>
  </r>
  <r>
    <x v="147"/>
    <s v="NOVIEMBRE"/>
    <n v="47"/>
    <s v="MARTES"/>
    <x v="11"/>
    <s v="TRIPACK (CC+IK)PFM+FT PET 3LX3 - RFNN"/>
    <n v="2160"/>
    <n v="90"/>
    <n v="367.20000000000005"/>
  </r>
  <r>
    <x v="147"/>
    <s v="NOVIEMBRE"/>
    <n v="47"/>
    <s v="MARTES"/>
    <x v="23"/>
    <s v="TRIPACK CC+IK+IK PFM 3LX3 - RFNN"/>
    <n v="1440"/>
    <n v="90"/>
    <n v="244.8"/>
  </r>
  <r>
    <x v="147"/>
    <s v="NOVIEMBRE"/>
    <n v="47"/>
    <s v="MARTES"/>
    <x v="0"/>
    <s v="SAN LUIS SIN GAS PET2500X6 STICKER"/>
    <n v="576"/>
    <n v="48"/>
    <n v="230.4"/>
  </r>
  <r>
    <x v="147"/>
    <s v="NOVIEMBRE"/>
    <n v="47"/>
    <s v="MARTES"/>
    <x v="38"/>
    <s v="SL S/G TAPA PLANA 1LT"/>
    <n v="224"/>
    <n v="112"/>
    <n v="89.600000000000009"/>
  </r>
  <r>
    <x v="147"/>
    <s v="NOVIEMBRE"/>
    <n v="47"/>
    <s v="MARTES"/>
    <x v="16"/>
    <s v="SAN LUIS CON GAS PET 625MLX6"/>
    <n v="900"/>
    <n v="180"/>
    <n v="378"/>
  </r>
  <r>
    <x v="147"/>
    <s v="NOVIEMBRE"/>
    <n v="47"/>
    <s v="MARTES"/>
    <x v="7"/>
    <s v="COCA-COLA PET 1.5LX2 RF"/>
    <n v="4320"/>
    <n v="198"/>
    <n v="734.40000000000009"/>
  </r>
  <r>
    <x v="147"/>
    <s v="NOVIEMBRE"/>
    <n v="47"/>
    <s v="MARTES"/>
    <x v="25"/>
    <s v="POWERADE 3MORA+3FRUT PET 473MLX6"/>
    <n v="1800"/>
    <n v="225"/>
    <n v="756"/>
  </r>
  <r>
    <x v="147"/>
    <s v="NOVIEMBRE"/>
    <n v="47"/>
    <s v="MARTES"/>
    <x v="12"/>
    <s v="POWERADE ION4 FRUTA PET473X6 MOD (STICK)"/>
    <n v="450"/>
    <n v="225"/>
    <n v="180"/>
  </r>
  <r>
    <x v="147"/>
    <s v="NOVIEMBRE"/>
    <n v="47"/>
    <s v="MARTES"/>
    <x v="35"/>
    <s v="SAN LUIS SIN GAS PET 625MLX06 MOD"/>
    <n v="900"/>
    <n v="180"/>
    <n v="378"/>
  </r>
  <r>
    <x v="147"/>
    <s v="NOVIEMBRE"/>
    <n v="47"/>
    <s v="MARTES"/>
    <x v="35"/>
    <s v="SAN LUIS SIN GAS PET 625MLX06 MOD"/>
    <n v="360"/>
    <n v="180"/>
    <n v="151.19999999999999"/>
  </r>
  <r>
    <x v="148"/>
    <s v="NOVIEMBRE"/>
    <n v="47"/>
    <s v="MIÉRCOLES"/>
    <x v="30"/>
    <s v="INCA KOLA SA PET 500MLX6 - C/STICKER"/>
    <n v="3500"/>
    <n v="250"/>
    <n v="805"/>
  </r>
  <r>
    <x v="148"/>
    <s v="NOVIEMBRE"/>
    <n v="47"/>
    <s v="MIÉRCOLES"/>
    <x v="1"/>
    <s v="COCA-COLA SIN AZUCAR PET 1.5LX2"/>
    <n v="1728"/>
    <n v="198"/>
    <n v="293.76000000000005"/>
  </r>
  <r>
    <x v="148"/>
    <s v="NOVIEMBRE"/>
    <n v="47"/>
    <s v="MIÉRCOLES"/>
    <x v="2"/>
    <s v="INCA KOLA SIN AZUCAR PET 1.5LX2"/>
    <n v="1296"/>
    <n v="198"/>
    <n v="220.32000000000002"/>
  </r>
  <r>
    <x v="148"/>
    <s v="NOVIEMBRE"/>
    <n v="47"/>
    <s v="MIÉRCOLES"/>
    <x v="6"/>
    <s v="INCA KOLA PET 3LX2 - RF"/>
    <n v="1440"/>
    <n v="120"/>
    <n v="244.8"/>
  </r>
  <r>
    <x v="148"/>
    <s v="NOVIEMBRE"/>
    <n v="47"/>
    <s v="MIÉRCOLES"/>
    <x v="5"/>
    <s v="INCA KOLA PET 2.25LX2 RF"/>
    <n v="486"/>
    <n v="162"/>
    <n v="82.62"/>
  </r>
  <r>
    <x v="148"/>
    <s v="NOVIEMBRE"/>
    <n v="47"/>
    <s v="MIÉRCOLES"/>
    <x v="22"/>
    <s v="TWO PACK SCHWEPPES CITRUS PET 1.5LX2"/>
    <n v="792"/>
    <n v="198"/>
    <n v="134.64000000000001"/>
  </r>
  <r>
    <x v="148"/>
    <s v="NOVIEMBRE"/>
    <n v="47"/>
    <s v="MIÉRCOLES"/>
    <x v="3"/>
    <s v="TWO PACK SCHWEPPES GINGER ALE PET 1.5LX2"/>
    <n v="1188"/>
    <n v="198"/>
    <n v="201.96"/>
  </r>
  <r>
    <x v="148"/>
    <s v="NOVIEMBRE"/>
    <n v="47"/>
    <s v="MIÉRCOLES"/>
    <x v="4"/>
    <s v="COCA-COLA PET 2.25LX2 RF"/>
    <n v="486"/>
    <n v="162"/>
    <n v="82.62"/>
  </r>
  <r>
    <x v="148"/>
    <s v="NOVIEMBRE"/>
    <n v="47"/>
    <s v="MIÉRCOLES"/>
    <x v="7"/>
    <s v="COCA-COLA PET 1.5LX2 RF"/>
    <n v="2160"/>
    <n v="198"/>
    <n v="367.20000000000005"/>
  </r>
  <r>
    <x v="148"/>
    <s v="NOVIEMBRE"/>
    <n v="47"/>
    <s v="MIÉRCOLES"/>
    <x v="17"/>
    <s v="TWO PACK CC PFM 3LX2 - RFCC"/>
    <n v="1440"/>
    <n v="120"/>
    <n v="244.8"/>
  </r>
  <r>
    <x v="148"/>
    <s v="NOVIEMBRE"/>
    <n v="47"/>
    <s v="MIÉRCOLES"/>
    <x v="10"/>
    <s v="TWO PACK CC + IK PFM 3LX2 - RFNN"/>
    <n v="1920"/>
    <n v="120"/>
    <n v="326.40000000000003"/>
  </r>
  <r>
    <x v="148"/>
    <s v="NOVIEMBRE"/>
    <n v="47"/>
    <s v="MIÉRCOLES"/>
    <x v="20"/>
    <s v="TRIPACK (FT NAR+SP)PET+IK RF PFM 3L"/>
    <n v="180"/>
    <n v="90"/>
    <n v="30.6"/>
  </r>
  <r>
    <x v="148"/>
    <s v="NOVIEMBRE"/>
    <n v="47"/>
    <s v="MIÉRCOLES"/>
    <x v="16"/>
    <s v="SAN LUIS CON GAS PET 625MLX6"/>
    <n v="540"/>
    <n v="180"/>
    <n v="226.79999999999998"/>
  </r>
  <r>
    <x v="148"/>
    <s v="NOVIEMBRE"/>
    <n v="47"/>
    <s v="MIÉRCOLES"/>
    <x v="36"/>
    <s v="SAN LUIS SIN GAS PET 625MLX15 C/STICKER"/>
    <n v="180"/>
    <n v="90"/>
    <n v="72"/>
  </r>
  <r>
    <x v="148"/>
    <s v="NOVIEMBRE"/>
    <n v="47"/>
    <s v="MIÉRCOLES"/>
    <x v="42"/>
    <s v="FANTA NARANJA PET 500MLX6 BRANDEADO MOD"/>
    <n v="1250"/>
    <n v="420"/>
    <n v="525"/>
  </r>
  <r>
    <x v="148"/>
    <s v="NOVIEMBRE"/>
    <n v="47"/>
    <s v="MIÉRCOLES"/>
    <x v="43"/>
    <s v="SPRITE PET 500MLX6 BRANDEADO MOD"/>
    <n v="1250"/>
    <n v="420"/>
    <n v="525"/>
  </r>
  <r>
    <x v="148"/>
    <s v="NOVIEMBRE"/>
    <n v="47"/>
    <s v="MIÉRCOLES"/>
    <x v="0"/>
    <s v="SAN LUIS SIN GAS PET2500X6 STICKER"/>
    <n v="1440"/>
    <n v="48"/>
    <n v="576"/>
  </r>
  <r>
    <x v="148"/>
    <s v="NOVIEMBRE"/>
    <n v="47"/>
    <s v="MIÉRCOLES"/>
    <x v="13"/>
    <s v="INCA KOLA VR 1.5LX8 - STICKER"/>
    <n v="90"/>
    <n v="30"/>
    <n v="36"/>
  </r>
  <r>
    <x v="148"/>
    <s v="NOVIEMBRE"/>
    <n v="47"/>
    <s v="MIÉRCOLES"/>
    <x v="28"/>
    <s v="COCA COLA VR 1.5LX8 - STICKER"/>
    <n v="120"/>
    <n v="30"/>
    <n v="27.6"/>
  </r>
  <r>
    <x v="148"/>
    <s v="NOVIEMBRE"/>
    <n v="47"/>
    <s v="MIÉRCOLES"/>
    <x v="30"/>
    <s v="INCA KOLA SA PET 500MLX6 - C/STICKER"/>
    <n v="1500"/>
    <n v="250"/>
    <n v="345"/>
  </r>
  <r>
    <x v="149"/>
    <s v="NOVIEMBRE"/>
    <n v="47"/>
    <s v="JUEVES"/>
    <x v="36"/>
    <s v="SAN LUIS SIN GAS PET 625MLX15 C/STICKER"/>
    <n v="180"/>
    <n v="90"/>
    <n v="72"/>
  </r>
  <r>
    <x v="149"/>
    <s v="NOVIEMBRE"/>
    <n v="47"/>
    <s v="JUEVES"/>
    <x v="40"/>
    <s v="SAN LUIS SPORT S/G 10 Lt x6 "/>
    <n v="336"/>
    <n v="240"/>
    <n v="134.4"/>
  </r>
  <r>
    <x v="149"/>
    <s v="NOVIEMBRE"/>
    <n v="47"/>
    <s v="JUEVES"/>
    <x v="38"/>
    <s v="SL S/G TAPA PLANA 1LT"/>
    <n v="224"/>
    <n v="112"/>
    <n v="89.600000000000009"/>
  </r>
  <r>
    <x v="149"/>
    <s v="NOVIEMBRE"/>
    <n v="47"/>
    <s v="JUEVES"/>
    <x v="0"/>
    <s v="SAN LUIS SIN GAS PET2500X6 STICKER"/>
    <n v="720"/>
    <n v="48"/>
    <n v="288"/>
  </r>
  <r>
    <x v="149"/>
    <s v="NOVIEMBRE"/>
    <n v="47"/>
    <s v="JUEVES"/>
    <x v="16"/>
    <s v="SAN LUIS CON GAS PET 625MLX6"/>
    <n v="720"/>
    <n v="180"/>
    <n v="302.39999999999998"/>
  </r>
  <r>
    <x v="149"/>
    <s v="NOVIEMBRE"/>
    <n v="47"/>
    <s v="JUEVES"/>
    <x v="1"/>
    <s v="COCA-COLA SIN AZUCAR PET 1.5LX2"/>
    <n v="1728"/>
    <n v="198"/>
    <n v="293.76000000000005"/>
  </r>
  <r>
    <x v="149"/>
    <s v="NOVIEMBRE"/>
    <n v="47"/>
    <s v="JUEVES"/>
    <x v="2"/>
    <s v="INCA KOLA SIN AZUCAR PET 1.5LX2"/>
    <n v="2160"/>
    <n v="198"/>
    <n v="367.20000000000005"/>
  </r>
  <r>
    <x v="149"/>
    <s v="NOVIEMBRE"/>
    <n v="47"/>
    <s v="JUEVES"/>
    <x v="6"/>
    <s v="INCA KOLA PET 3LX2 - RF"/>
    <n v="1920"/>
    <n v="120"/>
    <n v="326.40000000000003"/>
  </r>
  <r>
    <x v="149"/>
    <s v="NOVIEMBRE"/>
    <n v="47"/>
    <s v="JUEVES"/>
    <x v="17"/>
    <s v="TWO PACK CC PFM 3LX2 - RFCC"/>
    <n v="960"/>
    <n v="120"/>
    <n v="163.20000000000002"/>
  </r>
  <r>
    <x v="149"/>
    <s v="NOVIEMBRE"/>
    <n v="47"/>
    <s v="JUEVES"/>
    <x v="7"/>
    <s v="COCA-COLA PET 1.5LX2 RF"/>
    <n v="2592"/>
    <n v="198"/>
    <n v="440.64000000000004"/>
  </r>
  <r>
    <x v="149"/>
    <s v="NOVIEMBRE"/>
    <n v="47"/>
    <s v="JUEVES"/>
    <x v="9"/>
    <s v="TRIPACK FT NAR+FT KI+SP PET 3L"/>
    <n v="2160"/>
    <n v="90"/>
    <n v="367.20000000000005"/>
  </r>
  <r>
    <x v="149"/>
    <s v="NOVIEMBRE"/>
    <n v="47"/>
    <s v="JUEVES"/>
    <x v="25"/>
    <s v="POWERADE 3MORA+3FRUT PET 473MLX6"/>
    <n v="3150"/>
    <n v="225"/>
    <n v="1323"/>
  </r>
  <r>
    <x v="149"/>
    <s v="NOVIEMBRE"/>
    <n v="47"/>
    <s v="JUEVES"/>
    <x v="12"/>
    <s v="POWERADE ION4 FRUTA PET473X6 MOD (STICK)"/>
    <n v="900"/>
    <n v="225"/>
    <n v="360"/>
  </r>
  <r>
    <x v="149"/>
    <s v="NOVIEMBRE"/>
    <n v="47"/>
    <s v="JUEVES"/>
    <x v="42"/>
    <s v="FANTA NARANJA PET 500MLX6 BRANDEADO MOD"/>
    <n v="500"/>
    <n v="420"/>
    <n v="210"/>
  </r>
  <r>
    <x v="149"/>
    <s v="NOVIEMBRE"/>
    <n v="47"/>
    <s v="JUEVES"/>
    <x v="43"/>
    <s v="SPRITE PET 500MLX6 BRANDEADO MOD"/>
    <n v="250"/>
    <n v="420"/>
    <n v="105"/>
  </r>
  <r>
    <x v="149"/>
    <s v="NOVIEMBRE"/>
    <n v="47"/>
    <s v="JUEVES"/>
    <x v="30"/>
    <s v="INCA KOLA SA PET 500MLX6 - C/STICKER"/>
    <n v="750"/>
    <n v="250"/>
    <n v="172.5"/>
  </r>
  <r>
    <x v="149"/>
    <s v="NOVIEMBRE"/>
    <n v="47"/>
    <s v="JUEVES"/>
    <x v="10"/>
    <s v="TWO PACK CC + IK PFM 3LX2 - RFNN"/>
    <n v="3360"/>
    <n v="120"/>
    <n v="571.20000000000005"/>
  </r>
  <r>
    <x v="149"/>
    <s v="NOVIEMBRE"/>
    <n v="47"/>
    <s v="JUEVES"/>
    <x v="11"/>
    <s v="TRIPACK (CC+IK)PFM+FT PET 3LX3 - RFNN"/>
    <n v="2160"/>
    <n v="90"/>
    <n v="367.20000000000005"/>
  </r>
  <r>
    <x v="150"/>
    <s v="NOVIEMBRE"/>
    <n v="47"/>
    <s v="VIERNES"/>
    <x v="1"/>
    <s v="COCA-COLA SIN AZUCAR PET 1.5LX2"/>
    <n v="2160"/>
    <n v="198"/>
    <n v="367.20000000000005"/>
  </r>
  <r>
    <x v="150"/>
    <s v="NOVIEMBRE"/>
    <n v="47"/>
    <s v="VIERNES"/>
    <x v="2"/>
    <s v="INCA KOLA SIN AZUCAR PET 1.5LX2"/>
    <n v="1944"/>
    <n v="198"/>
    <n v="330.48"/>
  </r>
  <r>
    <x v="150"/>
    <s v="NOVIEMBRE"/>
    <n v="47"/>
    <s v="VIERNES"/>
    <x v="4"/>
    <s v="COCA-COLA PET 2.25LX2 RF"/>
    <n v="648"/>
    <n v="162"/>
    <n v="110.16000000000001"/>
  </r>
  <r>
    <x v="150"/>
    <s v="NOVIEMBRE"/>
    <n v="47"/>
    <s v="VIERNES"/>
    <x v="11"/>
    <s v="TRIPACK (CC+IK)PFM+FT PET 3LX3 - RFNN"/>
    <n v="2880"/>
    <n v="90"/>
    <n v="489.6"/>
  </r>
  <r>
    <x v="150"/>
    <s v="NOVIEMBRE"/>
    <n v="47"/>
    <s v="VIERNES"/>
    <x v="8"/>
    <s v="INCA KOLA PET 1.5LX2 RF"/>
    <n v="1080"/>
    <n v="198"/>
    <n v="183.60000000000002"/>
  </r>
  <r>
    <x v="150"/>
    <s v="NOVIEMBRE"/>
    <n v="47"/>
    <s v="VIERNES"/>
    <x v="10"/>
    <s v="TWO PACK CC + IK PFM 3LX2 - RFNN"/>
    <n v="240"/>
    <n v="120"/>
    <n v="40.800000000000004"/>
  </r>
  <r>
    <x v="150"/>
    <s v="NOVIEMBRE"/>
    <n v="47"/>
    <s v="VIERNES"/>
    <x v="35"/>
    <s v="SAN LUIS SIN GAS PET 625MLX06 MOD"/>
    <n v="1440"/>
    <n v="180"/>
    <n v="604.79999999999995"/>
  </r>
  <r>
    <x v="150"/>
    <s v="NOVIEMBRE"/>
    <n v="47"/>
    <s v="VIERNES"/>
    <x v="36"/>
    <s v="SAN LUIS SIN GAS PET 625MLX15 C/STICKER"/>
    <n v="720"/>
    <n v="90"/>
    <n v="288"/>
  </r>
  <r>
    <x v="150"/>
    <s v="NOVIEMBRE"/>
    <n v="47"/>
    <s v="VIERNES"/>
    <x v="42"/>
    <s v="FANTA NARANJA PET 500MLX6 BRANDEADO MOD"/>
    <n v="1250"/>
    <n v="420"/>
    <n v="525"/>
  </r>
  <r>
    <x v="150"/>
    <s v="NOVIEMBRE"/>
    <n v="47"/>
    <s v="VIERNES"/>
    <x v="43"/>
    <s v="SPRITE PET 500MLX6 BRANDEADO MOD"/>
    <n v="1000"/>
    <n v="420"/>
    <n v="420"/>
  </r>
  <r>
    <x v="150"/>
    <s v="NOVIEMBRE"/>
    <n v="47"/>
    <s v="VIERNES"/>
    <x v="0"/>
    <s v="SAN LUIS SIN GAS PET2500X6 STICKER"/>
    <n v="1440"/>
    <n v="48"/>
    <n v="576"/>
  </r>
  <r>
    <x v="150"/>
    <s v="NOVIEMBRE"/>
    <n v="47"/>
    <s v="VIERNES"/>
    <x v="13"/>
    <s v="INCA KOLA VR 1.5LX8 - STICKER"/>
    <n v="120"/>
    <n v="30"/>
    <n v="48"/>
  </r>
  <r>
    <x v="150"/>
    <s v="NOVIEMBRE"/>
    <n v="47"/>
    <s v="VIERNES"/>
    <x v="30"/>
    <s v="INCA KOLA SA PET 500MLX6 - C/STICKER"/>
    <n v="250"/>
    <n v="250"/>
    <n v="57.5"/>
  </r>
  <r>
    <x v="150"/>
    <s v="NOVIEMBRE"/>
    <n v="47"/>
    <s v="VIERNES"/>
    <x v="30"/>
    <s v="INCA KOLA SA PET 500MLX6 - C/STICKER"/>
    <n v="250"/>
    <n v="250"/>
    <n v="57.5"/>
  </r>
  <r>
    <x v="151"/>
    <s v="NOVIEMBRE"/>
    <n v="48"/>
    <s v="SÁBADO"/>
    <x v="1"/>
    <s v="COCA-COLA SIN AZUCAR PET 1.5LX2"/>
    <n v="1728"/>
    <n v="198"/>
    <n v="293.76000000000005"/>
  </r>
  <r>
    <x v="151"/>
    <s v="NOVIEMBRE"/>
    <n v="48"/>
    <s v="SÁBADO"/>
    <x v="2"/>
    <s v="INCA KOLA SIN AZUCAR PET 1.5LX2"/>
    <n v="2160"/>
    <n v="198"/>
    <n v="367.20000000000005"/>
  </r>
  <r>
    <x v="151"/>
    <s v="NOVIEMBRE"/>
    <n v="48"/>
    <s v="SÁBADO"/>
    <x v="6"/>
    <s v="INCA KOLA PET 3LX2 - RF"/>
    <n v="2280"/>
    <n v="120"/>
    <n v="387.6"/>
  </r>
  <r>
    <x v="151"/>
    <s v="NOVIEMBRE"/>
    <n v="48"/>
    <s v="SÁBADO"/>
    <x v="9"/>
    <s v="TRIPACK FT NAR+FT KI+SP PET 3L"/>
    <n v="1890"/>
    <n v="90"/>
    <n v="321.3"/>
  </r>
  <r>
    <x v="151"/>
    <s v="NOVIEMBRE"/>
    <n v="48"/>
    <s v="SÁBADO"/>
    <x v="7"/>
    <s v="COCA-COLA PET 1.5LX2 RF"/>
    <n v="2592"/>
    <n v="198"/>
    <n v="440.64000000000004"/>
  </r>
  <r>
    <x v="151"/>
    <s v="NOVIEMBRE"/>
    <n v="48"/>
    <s v="SÁBADO"/>
    <x v="17"/>
    <s v="TWO PACK CC PFM 3LX2 - RFCC"/>
    <n v="1920"/>
    <n v="120"/>
    <n v="326.40000000000003"/>
  </r>
  <r>
    <x v="151"/>
    <s v="NOVIEMBRE"/>
    <n v="48"/>
    <s v="SÁBADO"/>
    <x v="10"/>
    <s v="TWO PACK CC + IK PFM 3LX2 - RFNN"/>
    <n v="3360"/>
    <n v="120"/>
    <n v="571.20000000000005"/>
  </r>
  <r>
    <x v="151"/>
    <s v="NOVIEMBRE"/>
    <n v="48"/>
    <s v="SÁBADO"/>
    <x v="11"/>
    <s v="TRIPACK (CC+IK)PFM+FT PET 3LX3 - RFNN"/>
    <n v="2160"/>
    <n v="90"/>
    <n v="367.20000000000005"/>
  </r>
  <r>
    <x v="151"/>
    <s v="NOVIEMBRE"/>
    <n v="48"/>
    <s v="SÁBADO"/>
    <x v="16"/>
    <s v="SAN LUIS CON GAS PET 625MLX6"/>
    <n v="720"/>
    <n v="180"/>
    <n v="302.39999999999998"/>
  </r>
  <r>
    <x v="151"/>
    <s v="NOVIEMBRE"/>
    <n v="48"/>
    <s v="SÁBADO"/>
    <x v="36"/>
    <s v="SAN LUIS SIN GAS PET 625MLX15 C/STICKER"/>
    <n v="180"/>
    <n v="90"/>
    <n v="72"/>
  </r>
  <r>
    <x v="151"/>
    <s v="NOVIEMBRE"/>
    <n v="48"/>
    <s v="SÁBADO"/>
    <x v="25"/>
    <s v="POWERADE 3MORA+3FRUT PET 473MLX6"/>
    <n v="3150"/>
    <n v="225"/>
    <n v="1323"/>
  </r>
  <r>
    <x v="151"/>
    <s v="NOVIEMBRE"/>
    <n v="48"/>
    <s v="SÁBADO"/>
    <x v="42"/>
    <s v="FANTA NARANJA PET 500MLX6 BRANDEADO MOD"/>
    <n v="500"/>
    <n v="420"/>
    <n v="210"/>
  </r>
  <r>
    <x v="151"/>
    <s v="NOVIEMBRE"/>
    <n v="48"/>
    <s v="SÁBADO"/>
    <x v="43"/>
    <s v="SPRITE PET 500MLX6 BRANDEADO MOD"/>
    <n v="500"/>
    <n v="420"/>
    <n v="210"/>
  </r>
  <r>
    <x v="151"/>
    <s v="NOVIEMBRE"/>
    <n v="48"/>
    <s v="SÁBADO"/>
    <x v="0"/>
    <s v="SAN LUIS SIN GAS PET2500X6 STICKER"/>
    <n v="720"/>
    <n v="48"/>
    <n v="288"/>
  </r>
  <r>
    <x v="151"/>
    <s v="NOVIEMBRE"/>
    <n v="48"/>
    <s v="SÁBADO"/>
    <x v="40"/>
    <s v="SAN LUIS SPORT S/G 10 Lt x6 "/>
    <n v="336"/>
    <n v="240"/>
    <n v="134.4"/>
  </r>
  <r>
    <x v="151"/>
    <s v="NOVIEMBRE"/>
    <n v="48"/>
    <s v="SÁBADO"/>
    <x v="38"/>
    <s v="SL S/G TAPA PLANA 1LT"/>
    <n v="224"/>
    <n v="112"/>
    <n v="89.600000000000009"/>
  </r>
  <r>
    <x v="151"/>
    <s v="NOVIEMBRE"/>
    <n v="48"/>
    <s v="SÁBADO"/>
    <x v="12"/>
    <s v="POWERADE ION4 FRUTA PET473X6 MOD (STICK)"/>
    <n v="900"/>
    <n v="225"/>
    <n v="360"/>
  </r>
  <r>
    <x v="151"/>
    <s v="NOVIEMBRE"/>
    <n v="48"/>
    <s v="SÁBADO"/>
    <x v="30"/>
    <s v="INCA KOLA SA PET 500MLX6 - C/STICKER"/>
    <n v="250"/>
    <n v="250"/>
    <n v="57.5"/>
  </r>
  <r>
    <x v="152"/>
    <s v="NOVIEMBRE"/>
    <n v="48"/>
    <s v="DOMINGO"/>
    <x v="30"/>
    <s v="INCA KOLA SA PET 500MLX6 - C/STICKER"/>
    <n v="2250"/>
    <n v="250"/>
    <n v="517.5"/>
  </r>
  <r>
    <x v="153"/>
    <s v="NOVIEMBRE"/>
    <n v="48"/>
    <s v="LUNES"/>
    <x v="15"/>
    <s v="INCA KOLA VR 625MLX12 - STICKER"/>
    <n v="150"/>
    <n v="50"/>
    <n v="60"/>
  </r>
  <r>
    <x v="153"/>
    <s v="NOVIEMBRE"/>
    <n v="48"/>
    <s v="LUNES"/>
    <x v="6"/>
    <s v="INCA KOLA PET 3LX2 - RF"/>
    <n v="6240"/>
    <n v="120"/>
    <n v="1060.8000000000002"/>
  </r>
  <r>
    <x v="153"/>
    <s v="NOVIEMBRE"/>
    <n v="48"/>
    <s v="LUNES"/>
    <x v="10"/>
    <s v="TWO PACK CC + IK PFM 3LX2 - RFNN"/>
    <n v="4080"/>
    <n v="120"/>
    <n v="693.6"/>
  </r>
  <r>
    <x v="153"/>
    <s v="NOVIEMBRE"/>
    <n v="48"/>
    <s v="LUNES"/>
    <x v="43"/>
    <s v="SPRITE PET 500MLX6 BRANDEADO MOD"/>
    <n v="500"/>
    <n v="420"/>
    <n v="210"/>
  </r>
  <r>
    <x v="154"/>
    <s v="NOVIEMBRE"/>
    <n v="48"/>
    <s v="MARTES"/>
    <x v="32"/>
    <s v="MONSTER ENERGY ULTRA 473MLX4"/>
    <n v="2940"/>
    <n v="420"/>
    <n v="1234.8"/>
  </r>
  <r>
    <x v="154"/>
    <s v="NOVIEMBRE"/>
    <n v="48"/>
    <s v="MARTES"/>
    <x v="6"/>
    <s v="INCA KOLA PET 3LX2 - RF"/>
    <n v="5880"/>
    <n v="120"/>
    <n v="999.6"/>
  </r>
  <r>
    <x v="154"/>
    <s v="NOVIEMBRE"/>
    <n v="48"/>
    <s v="MARTES"/>
    <x v="22"/>
    <s v="TWO PACK SCHWEPPES CITRUS PET 1.5LX2"/>
    <n v="198"/>
    <n v="198"/>
    <n v="33.660000000000004"/>
  </r>
  <r>
    <x v="154"/>
    <s v="NOVIEMBRE"/>
    <n v="48"/>
    <s v="MARTES"/>
    <x v="3"/>
    <s v="TWO PACK SCHWEPPES GINGER ALE PET 1.5LX2"/>
    <n v="198"/>
    <n v="198"/>
    <n v="33.660000000000004"/>
  </r>
  <r>
    <x v="154"/>
    <s v="NOVIEMBRE"/>
    <n v="48"/>
    <s v="MARTES"/>
    <x v="8"/>
    <s v="INCA KOLA PET 1.5LX2 RF"/>
    <n v="864"/>
    <n v="198"/>
    <n v="146.88000000000002"/>
  </r>
  <r>
    <x v="154"/>
    <s v="NOVIEMBRE"/>
    <n v="48"/>
    <s v="MARTES"/>
    <x v="17"/>
    <s v="TWO PACK CC PFM 3LX2 - RFCC"/>
    <n v="1320"/>
    <n v="120"/>
    <n v="224.4"/>
  </r>
  <r>
    <x v="154"/>
    <s v="NOVIEMBRE"/>
    <n v="48"/>
    <s v="MARTES"/>
    <x v="10"/>
    <s v="TWO PACK CC + IK PFM 3LX2 - RFNN"/>
    <n v="2880"/>
    <n v="120"/>
    <n v="489.6"/>
  </r>
  <r>
    <x v="154"/>
    <s v="NOVIEMBRE"/>
    <n v="48"/>
    <s v="MARTES"/>
    <x v="36"/>
    <s v="SAN LUIS SIN GAS PET 625MLX15 C/STICKER"/>
    <n v="360"/>
    <n v="90"/>
    <n v="144"/>
  </r>
  <r>
    <x v="154"/>
    <s v="NOVIEMBRE"/>
    <n v="48"/>
    <s v="MARTES"/>
    <x v="15"/>
    <s v="INCA KOLA VR 625MLX12 - STICKER"/>
    <n v="150"/>
    <n v="50"/>
    <n v="60"/>
  </r>
  <r>
    <x v="154"/>
    <s v="NOVIEMBRE"/>
    <n v="48"/>
    <s v="MARTES"/>
    <x v="5"/>
    <s v="INCA KOLA PET 2.25LX2 RF"/>
    <n v="162"/>
    <n v="162"/>
    <n v="27.540000000000003"/>
  </r>
  <r>
    <x v="154"/>
    <s v="NOVIEMBRE"/>
    <n v="48"/>
    <s v="MARTES"/>
    <x v="32"/>
    <s v="MONSTER ENERGY ULTRA 473MLX4"/>
    <n v="840"/>
    <n v="420"/>
    <n v="352.8"/>
  </r>
  <r>
    <x v="154"/>
    <s v="NOVIEMBRE"/>
    <n v="48"/>
    <s v="MARTES"/>
    <x v="32"/>
    <s v="MONSTER ENERGY ULTRA 473MLX4"/>
    <n v="840"/>
    <n v="420"/>
    <n v="352.8"/>
  </r>
  <r>
    <x v="155"/>
    <s v="NOVIEMBRE"/>
    <n v="48"/>
    <s v="MIÉRCOLES"/>
    <x v="1"/>
    <s v="COCA-COLA SIN AZUCAR PET 1.5LX2"/>
    <n v="1944"/>
    <n v="198"/>
    <n v="330.48"/>
  </r>
  <r>
    <x v="155"/>
    <s v="NOVIEMBRE"/>
    <n v="48"/>
    <s v="MIÉRCOLES"/>
    <x v="2"/>
    <s v="INCA KOLA SIN AZUCAR PET 1.5LX2"/>
    <n v="1296"/>
    <n v="198"/>
    <n v="220.32000000000002"/>
  </r>
  <r>
    <x v="155"/>
    <s v="NOVIEMBRE"/>
    <n v="48"/>
    <s v="MIÉRCOLES"/>
    <x v="22"/>
    <s v="TWO PACK SCHWEPPES CITRUS PET 1.5LX2"/>
    <n v="396"/>
    <n v="198"/>
    <n v="67.320000000000007"/>
  </r>
  <r>
    <x v="155"/>
    <s v="NOVIEMBRE"/>
    <n v="48"/>
    <s v="MIÉRCOLES"/>
    <x v="3"/>
    <s v="TWO PACK SCHWEPPES GINGER ALE PET 1.5LX2"/>
    <n v="792"/>
    <n v="198"/>
    <n v="134.64000000000001"/>
  </r>
  <r>
    <x v="155"/>
    <s v="NOVIEMBRE"/>
    <n v="48"/>
    <s v="MIÉRCOLES"/>
    <x v="8"/>
    <s v="INCA KOLA PET 1.5LX2 RF"/>
    <n v="198"/>
    <n v="198"/>
    <n v="33.660000000000004"/>
  </r>
  <r>
    <x v="155"/>
    <s v="NOVIEMBRE"/>
    <n v="48"/>
    <s v="MIÉRCOLES"/>
    <x v="17"/>
    <s v="TWO PACK CC PFM 3LX2 - RFCC"/>
    <n v="2160"/>
    <n v="120"/>
    <n v="367.20000000000005"/>
  </r>
  <r>
    <x v="155"/>
    <s v="NOVIEMBRE"/>
    <n v="48"/>
    <s v="MIÉRCOLES"/>
    <x v="10"/>
    <s v="TWO PACK CC + IK PFM 3LX2 - RFNN"/>
    <n v="4680"/>
    <n v="120"/>
    <n v="795.6"/>
  </r>
  <r>
    <x v="155"/>
    <s v="NOVIEMBRE"/>
    <n v="48"/>
    <s v="MIÉRCOLES"/>
    <x v="20"/>
    <s v="TRIPACK (FT NAR+SP)PET+IK RF PFM 3L"/>
    <n v="180"/>
    <n v="90"/>
    <n v="30.6"/>
  </r>
  <r>
    <x v="155"/>
    <s v="NOVIEMBRE"/>
    <n v="48"/>
    <s v="MIÉRCOLES"/>
    <x v="36"/>
    <s v="SAN LUIS SIN GAS PET 625MLX15 C/STICKER"/>
    <n v="450"/>
    <n v="90"/>
    <n v="180"/>
  </r>
  <r>
    <x v="155"/>
    <s v="NOVIEMBRE"/>
    <n v="48"/>
    <s v="MIÉRCOLES"/>
    <x v="15"/>
    <s v="INCA KOLA VR 625MLX12 - STICKER"/>
    <n v="150"/>
    <n v="50"/>
    <n v="60"/>
  </r>
  <r>
    <x v="155"/>
    <s v="NOVIEMBRE"/>
    <n v="48"/>
    <s v="MIÉRCOLES"/>
    <x v="13"/>
    <s v="INCA KOLA VR 1.5LX8 - STICKER"/>
    <n v="60"/>
    <n v="30"/>
    <n v="24"/>
  </r>
  <r>
    <x v="155"/>
    <s v="NOVIEMBRE"/>
    <n v="48"/>
    <s v="MIÉRCOLES"/>
    <x v="28"/>
    <s v="COCA COLA VR 1.5LX8 - STICKER"/>
    <n v="60"/>
    <n v="30"/>
    <n v="13.8"/>
  </r>
  <r>
    <x v="155"/>
    <s v="NOVIEMBRE"/>
    <n v="48"/>
    <s v="MIÉRCOLES"/>
    <x v="6"/>
    <s v="INCA KOLA PET 3LX2 - RF"/>
    <n v="1680"/>
    <n v="120"/>
    <n v="285.60000000000002"/>
  </r>
  <r>
    <x v="155"/>
    <s v="NOVIEMBRE"/>
    <n v="48"/>
    <s v="MIÉRCOLES"/>
    <x v="23"/>
    <s v="TRIPACK CC+IK+IK PFM 3LX3 - RFNN"/>
    <n v="1440"/>
    <n v="90"/>
    <n v="244.8"/>
  </r>
  <r>
    <x v="155"/>
    <s v="NOVIEMBRE"/>
    <n v="48"/>
    <s v="MIÉRCOLES"/>
    <x v="10"/>
    <s v="TWO PACK CC + IK PFM 3LX2 - RFNN"/>
    <n v="6240"/>
    <n v="120"/>
    <n v="1060.8000000000002"/>
  </r>
  <r>
    <x v="155"/>
    <s v="NOVIEMBRE"/>
    <n v="48"/>
    <s v="MIÉRCOLES"/>
    <x v="11"/>
    <s v="TRIPACK (CC+IK)PFM+FT PET 3LX3 - RFNN"/>
    <n v="4320"/>
    <n v="90"/>
    <n v="734.40000000000009"/>
  </r>
  <r>
    <x v="155"/>
    <s v="NOVIEMBRE"/>
    <n v="48"/>
    <s v="MIÉRCOLES"/>
    <x v="9"/>
    <s v="TRIPACK FT NAR+FT KI+SP PET 3L"/>
    <n v="2160"/>
    <n v="90"/>
    <n v="367.20000000000005"/>
  </r>
  <r>
    <x v="155"/>
    <s v="NOVIEMBRE"/>
    <n v="48"/>
    <s v="MIÉRCOLES"/>
    <x v="17"/>
    <s v="TWO PACK CC PFM 3LX2 - RFCC"/>
    <n v="1200"/>
    <n v="120"/>
    <n v="204.00000000000003"/>
  </r>
  <r>
    <x v="156"/>
    <s v="NOVIEMBRE"/>
    <n v="48"/>
    <s v="JUEVES"/>
    <x v="1"/>
    <s v="COCA-COLA SIN AZUCAR PET 1.5LX2"/>
    <n v="1728"/>
    <n v="198"/>
    <n v="293.76000000000005"/>
  </r>
  <r>
    <x v="156"/>
    <s v="NOVIEMBRE"/>
    <n v="48"/>
    <s v="JUEVES"/>
    <x v="2"/>
    <s v="INCA KOLA SIN AZUCAR PET 1.5LX2"/>
    <n v="432"/>
    <n v="198"/>
    <n v="73.440000000000012"/>
  </r>
  <r>
    <x v="156"/>
    <s v="NOVIEMBRE"/>
    <n v="48"/>
    <s v="JUEVES"/>
    <x v="6"/>
    <s v="INCA KOLA PET 3LX2 - RF"/>
    <n v="1920"/>
    <n v="120"/>
    <n v="326.40000000000003"/>
  </r>
  <r>
    <x v="156"/>
    <s v="NOVIEMBRE"/>
    <n v="48"/>
    <s v="JUEVES"/>
    <x v="5"/>
    <s v="INCA KOLA PET 2.25LX2 RF"/>
    <n v="162"/>
    <n v="162"/>
    <n v="27.540000000000003"/>
  </r>
  <r>
    <x v="156"/>
    <s v="NOVIEMBRE"/>
    <n v="48"/>
    <s v="JUEVES"/>
    <x v="22"/>
    <s v="TWO PACK SCHWEPPES CITRUS PET 1.5LX2"/>
    <n v="396"/>
    <n v="198"/>
    <n v="67.320000000000007"/>
  </r>
  <r>
    <x v="156"/>
    <s v="NOVIEMBRE"/>
    <n v="48"/>
    <s v="JUEVES"/>
    <x v="3"/>
    <s v="TWO PACK SCHWEPPES GINGER ALE PET 1.5LX2"/>
    <n v="594"/>
    <n v="198"/>
    <n v="100.98"/>
  </r>
  <r>
    <x v="156"/>
    <s v="NOVIEMBRE"/>
    <n v="48"/>
    <s v="JUEVES"/>
    <x v="8"/>
    <s v="INCA KOLA PET 1.5LX2 RF"/>
    <n v="648"/>
    <n v="198"/>
    <n v="110.16000000000001"/>
  </r>
  <r>
    <x v="156"/>
    <s v="NOVIEMBRE"/>
    <n v="48"/>
    <s v="JUEVES"/>
    <x v="17"/>
    <s v="TWO PACK CC PFM 3LX2 - RFCC"/>
    <n v="1200"/>
    <n v="120"/>
    <n v="204.00000000000003"/>
  </r>
  <r>
    <x v="156"/>
    <s v="NOVIEMBRE"/>
    <n v="48"/>
    <s v="JUEVES"/>
    <x v="10"/>
    <s v="TWO PACK CC + IK PFM 3LX2 - RFNN"/>
    <n v="3360"/>
    <n v="120"/>
    <n v="571.20000000000005"/>
  </r>
  <r>
    <x v="156"/>
    <s v="NOVIEMBRE"/>
    <n v="48"/>
    <s v="JUEVES"/>
    <x v="20"/>
    <s v="TRIPACK (FT NAR+SP)PET+IK RF PFM 3L"/>
    <n v="270"/>
    <n v="90"/>
    <n v="45.900000000000006"/>
  </r>
  <r>
    <x v="156"/>
    <s v="NOVIEMBRE"/>
    <n v="48"/>
    <s v="JUEVES"/>
    <x v="35"/>
    <s v="SAN LUIS SIN GAS PET 625MLX06 MOD"/>
    <n v="180"/>
    <n v="180"/>
    <n v="75.599999999999994"/>
  </r>
  <r>
    <x v="156"/>
    <s v="NOVIEMBRE"/>
    <n v="48"/>
    <s v="JUEVES"/>
    <x v="36"/>
    <s v="SAN LUIS SIN GAS PET 625MLX15 C/STICKER"/>
    <n v="360"/>
    <n v="90"/>
    <n v="144"/>
  </r>
  <r>
    <x v="156"/>
    <s v="NOVIEMBRE"/>
    <n v="48"/>
    <s v="JUEVES"/>
    <x v="32"/>
    <s v="MONSTER ENERGY ULTRA 473MLX4"/>
    <n v="420"/>
    <n v="420"/>
    <n v="176.4"/>
  </r>
  <r>
    <x v="156"/>
    <s v="NOVIEMBRE"/>
    <n v="48"/>
    <s v="JUEVES"/>
    <x v="15"/>
    <s v="INCA KOLA VR 625MLX12 - STICKER"/>
    <n v="150"/>
    <n v="50"/>
    <n v="60"/>
  </r>
  <r>
    <x v="156"/>
    <s v="NOVIEMBRE"/>
    <n v="48"/>
    <s v="JUEVES"/>
    <x v="13"/>
    <s v="INCA KOLA VR 1.5LX8 - STICKER"/>
    <n v="90"/>
    <n v="30"/>
    <n v="36"/>
  </r>
  <r>
    <x v="156"/>
    <s v="NOVIEMBRE"/>
    <n v="48"/>
    <s v="JUEVES"/>
    <x v="28"/>
    <s v="COCA COLA VR 1.5LX8 - STICKER"/>
    <n v="60"/>
    <n v="30"/>
    <n v="13.8"/>
  </r>
  <r>
    <x v="156"/>
    <s v="NOVIEMBRE"/>
    <n v="48"/>
    <s v="JUEVES"/>
    <x v="12"/>
    <s v="POWERADE ION4 FRUTA PET473X6 MOD (STICK)"/>
    <n v="675"/>
    <n v="225"/>
    <n v="270"/>
  </r>
  <r>
    <x v="156"/>
    <s v="NOVIEMBRE"/>
    <n v="48"/>
    <s v="JUEVES"/>
    <x v="9"/>
    <s v="TRIPACK FT NAR+FT KI+SP PET 3L"/>
    <n v="270"/>
    <n v="90"/>
    <n v="45.900000000000006"/>
  </r>
  <r>
    <x v="156"/>
    <s v="NOVIEMBRE"/>
    <n v="48"/>
    <s v="JUEVES"/>
    <x v="10"/>
    <s v="TWO PACK CC + IK PFM 3LX2 - RFNN"/>
    <n v="8160"/>
    <n v="120"/>
    <n v="1387.2"/>
  </r>
  <r>
    <x v="156"/>
    <s v="NOVIEMBRE"/>
    <n v="48"/>
    <s v="JUEVES"/>
    <x v="11"/>
    <s v="TRIPACK (CC+IK)PFM+FT PET 3LX3 - RFNN"/>
    <n v="3690"/>
    <n v="90"/>
    <n v="627.30000000000007"/>
  </r>
  <r>
    <x v="156"/>
    <s v="NOVIEMBRE"/>
    <n v="48"/>
    <s v="JUEVES"/>
    <x v="23"/>
    <s v="TRIPACK CC+IK+IK PFM 3LX3 - RFNN"/>
    <n v="1530"/>
    <n v="90"/>
    <n v="260.10000000000002"/>
  </r>
  <r>
    <x v="156"/>
    <s v="NOVIEMBRE"/>
    <n v="48"/>
    <s v="JUEVES"/>
    <x v="6"/>
    <s v="INCA KOLA PET 3LX2 - RF"/>
    <n v="360"/>
    <n v="120"/>
    <n v="61.2"/>
  </r>
  <r>
    <x v="157"/>
    <s v="NOVIEMBRE"/>
    <n v="48"/>
    <s v="VIERNES"/>
    <x v="1"/>
    <s v="COCA-COLA SIN AZUCAR PET 1.5LX2"/>
    <n v="2592"/>
    <n v="198"/>
    <n v="440.64000000000004"/>
  </r>
  <r>
    <x v="157"/>
    <s v="NOVIEMBRE"/>
    <n v="48"/>
    <s v="VIERNES"/>
    <x v="2"/>
    <s v="INCA KOLA SIN AZUCAR PET 1.5LX2"/>
    <n v="1728"/>
    <n v="198"/>
    <n v="293.76000000000005"/>
  </r>
  <r>
    <x v="157"/>
    <s v="NOVIEMBRE"/>
    <n v="48"/>
    <s v="VIERNES"/>
    <x v="6"/>
    <s v="INCA KOLA PET 3LX2 - RF"/>
    <n v="5640"/>
    <n v="120"/>
    <n v="958.80000000000007"/>
  </r>
  <r>
    <x v="157"/>
    <s v="NOVIEMBRE"/>
    <n v="48"/>
    <s v="VIERNES"/>
    <x v="5"/>
    <s v="INCA KOLA PET 2.25LX2 RF"/>
    <n v="324"/>
    <n v="162"/>
    <n v="55.080000000000005"/>
  </r>
  <r>
    <x v="157"/>
    <s v="NOVIEMBRE"/>
    <n v="48"/>
    <s v="VIERNES"/>
    <x v="22"/>
    <s v="TWO PACK SCHWEPPES CITRUS PET 1.5LX2"/>
    <n v="594"/>
    <n v="198"/>
    <n v="100.98"/>
  </r>
  <r>
    <x v="157"/>
    <s v="NOVIEMBRE"/>
    <n v="48"/>
    <s v="VIERNES"/>
    <x v="3"/>
    <s v="TWO PACK SCHWEPPES GINGER ALE PET 1.5LX2"/>
    <n v="990"/>
    <n v="198"/>
    <n v="168.3"/>
  </r>
  <r>
    <x v="157"/>
    <s v="NOVIEMBRE"/>
    <n v="48"/>
    <s v="VIERNES"/>
    <x v="4"/>
    <s v="COCA-COLA PET 2.25LX2 RF"/>
    <n v="324"/>
    <n v="162"/>
    <n v="55.080000000000005"/>
  </r>
  <r>
    <x v="157"/>
    <s v="NOVIEMBRE"/>
    <n v="48"/>
    <s v="VIERNES"/>
    <x v="8"/>
    <s v="INCA KOLA PET 1.5LX2 RF"/>
    <n v="1728"/>
    <n v="198"/>
    <n v="293.76000000000005"/>
  </r>
  <r>
    <x v="157"/>
    <s v="NOVIEMBRE"/>
    <n v="48"/>
    <s v="VIERNES"/>
    <x v="17"/>
    <s v="TWO PACK CC PFM 3LX2 - RFCC"/>
    <n v="3720"/>
    <n v="120"/>
    <n v="632.40000000000009"/>
  </r>
  <r>
    <x v="157"/>
    <s v="NOVIEMBRE"/>
    <n v="48"/>
    <s v="VIERNES"/>
    <x v="10"/>
    <s v="TWO PACK CC + IK PFM 3LX2 - RFNN"/>
    <n v="240"/>
    <n v="120"/>
    <n v="40.800000000000004"/>
  </r>
  <r>
    <x v="157"/>
    <s v="NOVIEMBRE"/>
    <n v="48"/>
    <s v="VIERNES"/>
    <x v="35"/>
    <s v="SAN LUIS SIN GAS PET 625MLX06 MOD"/>
    <n v="180"/>
    <n v="180"/>
    <n v="75.599999999999994"/>
  </r>
  <r>
    <x v="157"/>
    <s v="NOVIEMBRE"/>
    <n v="48"/>
    <s v="VIERNES"/>
    <x v="36"/>
    <s v="SAN LUIS SIN GAS PET 625MLX15 C/STICKER"/>
    <n v="720"/>
    <n v="90"/>
    <n v="288"/>
  </r>
  <r>
    <x v="157"/>
    <s v="NOVIEMBRE"/>
    <n v="48"/>
    <s v="VIERNES"/>
    <x v="0"/>
    <s v="SAN LUIS SIN GAS PET2500X6 STICKER"/>
    <n v="288"/>
    <n v="48"/>
    <n v="115.2"/>
  </r>
  <r>
    <x v="157"/>
    <s v="NOVIEMBRE"/>
    <n v="48"/>
    <s v="VIERNES"/>
    <x v="15"/>
    <s v="INCA KOLA VR 625MLX12 - STICKER"/>
    <n v="350"/>
    <n v="50"/>
    <n v="140"/>
  </r>
  <r>
    <x v="157"/>
    <s v="NOVIEMBRE"/>
    <n v="48"/>
    <s v="VIERNES"/>
    <x v="13"/>
    <s v="INCA KOLA VR 1.5LX8 - STICKER"/>
    <n v="180"/>
    <n v="30"/>
    <n v="72"/>
  </r>
  <r>
    <x v="157"/>
    <s v="NOVIEMBRE"/>
    <n v="48"/>
    <s v="VIERNES"/>
    <x v="28"/>
    <s v="COCA COLA VR 1.5LX8 - STICKER"/>
    <n v="240"/>
    <n v="30"/>
    <n v="55.2"/>
  </r>
  <r>
    <x v="157"/>
    <s v="NOVIEMBRE"/>
    <n v="48"/>
    <s v="VIERNES"/>
    <x v="12"/>
    <s v="POWERADE ION4 FRUTA PET473X6 MOD (STICK)"/>
    <n v="225"/>
    <n v="225"/>
    <n v="90"/>
  </r>
  <r>
    <x v="157"/>
    <s v="NOVIEMBRE"/>
    <n v="48"/>
    <s v="VIERNES"/>
    <x v="20"/>
    <s v="TRIPACK (FT NAR+SP)PET+IK RF PFM 3L"/>
    <n v="180"/>
    <n v="90"/>
    <n v="30.6"/>
  </r>
  <r>
    <x v="157"/>
    <s v="NOVIEMBRE"/>
    <n v="48"/>
    <s v="VIERNES"/>
    <x v="10"/>
    <s v="TWO PACK CC + IK PFM 3LX2 - RFNN"/>
    <n v="720"/>
    <n v="120"/>
    <n v="122.4"/>
  </r>
  <r>
    <x v="157"/>
    <s v="NOVIEMBRE"/>
    <n v="48"/>
    <s v="VIERNES"/>
    <x v="17"/>
    <s v="TWO PACK CC PFM 3LX2 - RFCC"/>
    <n v="480"/>
    <n v="120"/>
    <n v="81.600000000000009"/>
  </r>
  <r>
    <x v="157"/>
    <s v="NOVIEMBRE"/>
    <n v="48"/>
    <s v="VIERNES"/>
    <x v="6"/>
    <s v="INCA KOLA PET 3LX2 - RF"/>
    <n v="1800"/>
    <n v="120"/>
    <n v="306"/>
  </r>
  <r>
    <x v="157"/>
    <s v="NOVIEMBRE"/>
    <n v="48"/>
    <s v="VIERNES"/>
    <x v="10"/>
    <s v="TWO PACK CC + IK PFM 3LX2 - RFNN"/>
    <n v="5280"/>
    <n v="120"/>
    <n v="897.6"/>
  </r>
  <r>
    <x v="157"/>
    <s v="NOVIEMBRE"/>
    <n v="48"/>
    <s v="VIERNES"/>
    <x v="11"/>
    <s v="TRIPACK (CC+IK)PFM+FT PET 3LX3 - RFNN"/>
    <n v="2880"/>
    <n v="90"/>
    <n v="489.6"/>
  </r>
  <r>
    <x v="157"/>
    <s v="NOVIEMBRE"/>
    <n v="48"/>
    <s v="VIERNES"/>
    <x v="9"/>
    <s v="TRIPACK FT NAR+FT KI+SP PET 3L"/>
    <n v="2430"/>
    <n v="90"/>
    <n v="413.1"/>
  </r>
  <r>
    <x v="158"/>
    <s v="NOVIEMBRE"/>
    <n v="49"/>
    <s v="SÁBADO"/>
    <x v="13"/>
    <s v="INCA KOLA VR 1.5LX8 - STICKER"/>
    <n v="120"/>
    <n v="30"/>
    <n v="48"/>
  </r>
  <r>
    <x v="158"/>
    <s v="NOVIEMBRE"/>
    <n v="49"/>
    <s v="SÁBADO"/>
    <x v="14"/>
    <s v="INCA KOLA VR 296MLX24 - STICKER"/>
    <n v="120"/>
    <n v="40"/>
    <n v="27.6"/>
  </r>
  <r>
    <x v="158"/>
    <s v="NOVIEMBRE"/>
    <n v="49"/>
    <s v="SÁBADO"/>
    <x v="15"/>
    <s v="INCA KOLA VR 625MLX12 - STICKER"/>
    <n v="350"/>
    <n v="50"/>
    <n v="140"/>
  </r>
  <r>
    <x v="158"/>
    <s v="NOVIEMBRE"/>
    <n v="49"/>
    <s v="SÁBADO"/>
    <x v="38"/>
    <s v="SL S/G TAPA PLANA 1LT"/>
    <n v="560"/>
    <n v="112"/>
    <n v="224"/>
  </r>
  <r>
    <x v="158"/>
    <s v="NOVIEMBRE"/>
    <n v="49"/>
    <s v="SÁBADO"/>
    <x v="0"/>
    <s v="SAN LUIS SIN GAS PET2500X6 STICKER"/>
    <n v="1200"/>
    <n v="48"/>
    <n v="480"/>
  </r>
  <r>
    <x v="158"/>
    <s v="NOVIEMBRE"/>
    <n v="49"/>
    <s v="SÁBADO"/>
    <x v="16"/>
    <s v="SAN LUIS CON GAS PET 625MLX6"/>
    <n v="900"/>
    <n v="180"/>
    <n v="378"/>
  </r>
  <r>
    <x v="158"/>
    <s v="NOVIEMBRE"/>
    <n v="49"/>
    <s v="SÁBADO"/>
    <x v="22"/>
    <s v="TWO PACK SCHWEPPES CITRUS PET 1.5LX2"/>
    <n v="990"/>
    <n v="198"/>
    <n v="168.3"/>
  </r>
  <r>
    <x v="158"/>
    <s v="NOVIEMBRE"/>
    <n v="49"/>
    <s v="SÁBADO"/>
    <x v="3"/>
    <s v="TWO PACK SCHWEPPES GINGER ALE PET 1.5LX2"/>
    <n v="792"/>
    <n v="198"/>
    <n v="134.64000000000001"/>
  </r>
  <r>
    <x v="158"/>
    <s v="NOVIEMBRE"/>
    <n v="49"/>
    <s v="SÁBADO"/>
    <x v="4"/>
    <s v="COCA-COLA PET 2.25LX2 RF"/>
    <n v="810"/>
    <n v="162"/>
    <n v="137.70000000000002"/>
  </r>
  <r>
    <x v="158"/>
    <s v="NOVIEMBRE"/>
    <n v="49"/>
    <s v="SÁBADO"/>
    <x v="5"/>
    <s v="INCA KOLA PET 2.25LX2 RF"/>
    <n v="810"/>
    <n v="162"/>
    <n v="137.70000000000002"/>
  </r>
  <r>
    <x v="158"/>
    <s v="NOVIEMBRE"/>
    <n v="49"/>
    <s v="SÁBADO"/>
    <x v="7"/>
    <s v="COCA-COLA PET 1.5LX2 RF"/>
    <n v="1296"/>
    <n v="198"/>
    <n v="220.32000000000002"/>
  </r>
  <r>
    <x v="158"/>
    <s v="NOVIEMBRE"/>
    <n v="49"/>
    <s v="SÁBADO"/>
    <x v="8"/>
    <s v="INCA KOLA PET 1.5LX2 RF"/>
    <n v="648"/>
    <n v="198"/>
    <n v="110.16000000000001"/>
  </r>
  <r>
    <x v="158"/>
    <s v="NOVIEMBRE"/>
    <n v="49"/>
    <s v="SÁBADO"/>
    <x v="10"/>
    <s v="TWO PACK CC + IK PFM 3LX2 - RFNN"/>
    <n v="7920"/>
    <n v="120"/>
    <n v="1346.4"/>
  </r>
  <r>
    <x v="158"/>
    <s v="NOVIEMBRE"/>
    <n v="49"/>
    <s v="SÁBADO"/>
    <x v="23"/>
    <s v="TRIPACK CC+IK+IK PFM 3LX3 - RFNN"/>
    <n v="990"/>
    <n v="90"/>
    <n v="168.3"/>
  </r>
  <r>
    <x v="158"/>
    <s v="NOVIEMBRE"/>
    <n v="49"/>
    <s v="SÁBADO"/>
    <x v="11"/>
    <s v="TRIPACK (CC+IK)PFM+FT PET 3LX3 - RFNN"/>
    <n v="2880"/>
    <n v="90"/>
    <n v="489.6"/>
  </r>
  <r>
    <x v="158"/>
    <s v="NOVIEMBRE"/>
    <n v="49"/>
    <s v="SÁBADO"/>
    <x v="20"/>
    <s v="TRIPACK (FT NAR+SP)PET+IK RF PFM 3L"/>
    <n v="450"/>
    <n v="90"/>
    <n v="76.5"/>
  </r>
  <r>
    <x v="158"/>
    <s v="NOVIEMBRE"/>
    <n v="49"/>
    <s v="SÁBADO"/>
    <x v="12"/>
    <s v="POWERADE ION4 FRUTA PET473X6 MOD (STICK)"/>
    <n v="900"/>
    <n v="225"/>
    <n v="360"/>
  </r>
  <r>
    <x v="158"/>
    <s v="NOVIEMBRE"/>
    <n v="49"/>
    <s v="SÁBADO"/>
    <x v="35"/>
    <s v="SAN LUIS SIN GAS PET 625MLX06 MOD"/>
    <n v="900"/>
    <n v="180"/>
    <n v="378"/>
  </r>
  <r>
    <x v="158"/>
    <s v="NOVIEMBRE"/>
    <n v="49"/>
    <s v="SÁBADO"/>
    <x v="42"/>
    <s v="FANTA NARANJA PET 500MLX6 BRANDEADO MOD"/>
    <n v="1000"/>
    <n v="420"/>
    <n v="420"/>
  </r>
  <r>
    <x v="158"/>
    <s v="NOVIEMBRE"/>
    <n v="49"/>
    <s v="SÁBADO"/>
    <x v="6"/>
    <s v="INCA KOLA PET 3LX2 - RF"/>
    <n v="3240"/>
    <n v="120"/>
    <n v="550.80000000000007"/>
  </r>
  <r>
    <x v="158"/>
    <s v="NOVIEMBRE"/>
    <n v="49"/>
    <s v="SÁBADO"/>
    <x v="9"/>
    <s v="TRIPACK FT NAR+FT KI+SP PET 3L"/>
    <n v="360"/>
    <n v="90"/>
    <n v="61.2"/>
  </r>
  <r>
    <x v="158"/>
    <s v="NOVIEMBRE"/>
    <n v="49"/>
    <s v="SÁBADO"/>
    <x v="19"/>
    <s v="POWERADE ION4 MORA AZ PET473X6 MOD(STCK)"/>
    <n v="225"/>
    <n v="225"/>
    <n v="90"/>
  </r>
  <r>
    <x v="158"/>
    <s v="NOVIEMBRE"/>
    <n v="49"/>
    <s v="SÁBADO"/>
    <x v="6"/>
    <s v="INCA KOLA PET 3LX2 - RF"/>
    <n v="960"/>
    <n v="120"/>
    <n v="163.20000000000002"/>
  </r>
  <r>
    <x v="159"/>
    <s v="NOVIEMBRE"/>
    <n v="49"/>
    <s v="LUNES"/>
    <x v="28"/>
    <s v="COCA COLA VR 1.5LX8 - STICKER"/>
    <n v="150"/>
    <n v="30"/>
    <n v="34.5"/>
  </r>
  <r>
    <x v="159"/>
    <s v="NOVIEMBRE"/>
    <n v="49"/>
    <s v="LUNES"/>
    <x v="33"/>
    <s v="COCA COLA VR 296MLX24 - STICKER"/>
    <n v="120"/>
    <n v="40"/>
    <n v="27.6"/>
  </r>
  <r>
    <x v="159"/>
    <s v="NOVIEMBRE"/>
    <n v="49"/>
    <s v="LUNES"/>
    <x v="13"/>
    <s v="INCA KOLA VR 1.5LX8 - STICKER"/>
    <n v="300"/>
    <n v="30"/>
    <n v="120"/>
  </r>
  <r>
    <x v="159"/>
    <s v="NOVIEMBRE"/>
    <n v="49"/>
    <s v="LUNES"/>
    <x v="40"/>
    <s v="SAN LUIS SPORT S/G 10 Lt x6 "/>
    <n v="448"/>
    <n v="240"/>
    <n v="179.20000000000002"/>
  </r>
  <r>
    <x v="159"/>
    <s v="NOVIEMBRE"/>
    <n v="49"/>
    <s v="LUNES"/>
    <x v="1"/>
    <s v="COCA-COLA SIN AZUCAR PET 1.5LX2"/>
    <n v="1296"/>
    <n v="198"/>
    <n v="220.32000000000002"/>
  </r>
  <r>
    <x v="159"/>
    <s v="NOVIEMBRE"/>
    <n v="49"/>
    <s v="LUNES"/>
    <x v="2"/>
    <s v="INCA KOLA SIN AZUCAR PET 1.5LX2"/>
    <n v="1728"/>
    <n v="198"/>
    <n v="293.76000000000005"/>
  </r>
  <r>
    <x v="159"/>
    <s v="NOVIEMBRE"/>
    <n v="49"/>
    <s v="LUNES"/>
    <x v="22"/>
    <s v="TWO PACK SCHWEPPES CITRUS PET 1.5LX2"/>
    <n v="1584"/>
    <n v="198"/>
    <n v="269.28000000000003"/>
  </r>
  <r>
    <x v="159"/>
    <s v="NOVIEMBRE"/>
    <n v="49"/>
    <s v="LUNES"/>
    <x v="4"/>
    <s v="COCA-COLA PET 2.25LX2 RF"/>
    <n v="972"/>
    <n v="162"/>
    <n v="165.24"/>
  </r>
  <r>
    <x v="159"/>
    <s v="NOVIEMBRE"/>
    <n v="49"/>
    <s v="LUNES"/>
    <x v="5"/>
    <s v="INCA KOLA PET 2.25LX2 RF"/>
    <n v="648"/>
    <n v="162"/>
    <n v="110.16000000000001"/>
  </r>
  <r>
    <x v="159"/>
    <s v="NOVIEMBRE"/>
    <n v="49"/>
    <s v="LUNES"/>
    <x v="6"/>
    <s v="INCA KOLA PET 3LX2 - RF"/>
    <n v="1200"/>
    <n v="120"/>
    <n v="204.00000000000003"/>
  </r>
  <r>
    <x v="159"/>
    <s v="NOVIEMBRE"/>
    <n v="49"/>
    <s v="LUNES"/>
    <x v="17"/>
    <s v="TWO PACK CC PFM 3LX2 - RFCC"/>
    <n v="1200"/>
    <n v="120"/>
    <n v="204.00000000000003"/>
  </r>
  <r>
    <x v="159"/>
    <s v="NOVIEMBRE"/>
    <n v="49"/>
    <s v="LUNES"/>
    <x v="8"/>
    <s v="INCA KOLA PET 1.5LX2 RF"/>
    <n v="2160"/>
    <n v="198"/>
    <n v="367.20000000000005"/>
  </r>
  <r>
    <x v="159"/>
    <s v="NOVIEMBRE"/>
    <n v="49"/>
    <s v="LUNES"/>
    <x v="9"/>
    <s v="TRIPACK FT NAR+FT KI+SP PET 3L"/>
    <n v="1440"/>
    <n v="90"/>
    <n v="244.8"/>
  </r>
  <r>
    <x v="159"/>
    <s v="NOVIEMBRE"/>
    <n v="49"/>
    <s v="LUNES"/>
    <x v="10"/>
    <s v="TWO PACK CC + IK PFM 3LX2 - RFNN"/>
    <n v="3120"/>
    <n v="120"/>
    <n v="530.40000000000009"/>
  </r>
  <r>
    <x v="159"/>
    <s v="NOVIEMBRE"/>
    <n v="49"/>
    <s v="LUNES"/>
    <x v="23"/>
    <s v="TRIPACK CC+IK+IK PFM 3LX3 - RFNN"/>
    <n v="720"/>
    <n v="90"/>
    <n v="122.4"/>
  </r>
  <r>
    <x v="159"/>
    <s v="NOVIEMBRE"/>
    <n v="49"/>
    <s v="LUNES"/>
    <x v="11"/>
    <s v="TRIPACK (CC+IK)PFM+FT PET 3LX3 - RFNN"/>
    <n v="3600"/>
    <n v="90"/>
    <n v="612"/>
  </r>
  <r>
    <x v="159"/>
    <s v="NOVIEMBRE"/>
    <n v="49"/>
    <s v="LUNES"/>
    <x v="42"/>
    <s v="FANTA NARANJA PET 500MLX6 BRANDEADO MOD"/>
    <n v="250"/>
    <n v="420"/>
    <n v="105"/>
  </r>
  <r>
    <x v="159"/>
    <s v="NOVIEMBRE"/>
    <n v="49"/>
    <s v="LUNES"/>
    <x v="36"/>
    <s v="SAN LUIS SIN GAS PET 625MLX15 C/STICKER"/>
    <n v="180"/>
    <n v="90"/>
    <n v="72"/>
  </r>
  <r>
    <x v="159"/>
    <s v="NOVIEMBRE"/>
    <n v="49"/>
    <s v="LUNES"/>
    <x v="11"/>
    <s v="TRIPACK (CC+IK)PFM+FT PET 3LX3 - RFNN"/>
    <n v="810"/>
    <n v="90"/>
    <n v="137.70000000000002"/>
  </r>
  <r>
    <x v="159"/>
    <s v="NOVIEMBRE"/>
    <n v="49"/>
    <s v="LUNES"/>
    <x v="9"/>
    <s v="TRIPACK FT NAR+FT KI+SP PET 3L"/>
    <n v="450"/>
    <n v="90"/>
    <n v="76.5"/>
  </r>
  <r>
    <x v="159"/>
    <s v="NOVIEMBRE"/>
    <n v="49"/>
    <s v="LUNES"/>
    <x v="23"/>
    <s v="TRIPACK CC+IK+IK PFM 3LX3 - RFNN"/>
    <n v="450"/>
    <n v="90"/>
    <n v="76.5"/>
  </r>
  <r>
    <x v="159"/>
    <s v="NOVIEMBRE"/>
    <n v="49"/>
    <s v="LUNES"/>
    <x v="10"/>
    <s v="TWO PACK CC + IK PFM 3LX2 - RFNN"/>
    <n v="4080"/>
    <n v="120"/>
    <n v="693.6"/>
  </r>
  <r>
    <x v="159"/>
    <s v="NOVIEMBRE"/>
    <n v="49"/>
    <s v="LUNES"/>
    <x v="17"/>
    <s v="TWO PACK CC PFM 3LX2 - RFCC"/>
    <n v="1200"/>
    <n v="120"/>
    <n v="204.00000000000003"/>
  </r>
  <r>
    <x v="160"/>
    <s v="NOVIEMBRE"/>
    <n v="49"/>
    <s v="DOMINGO"/>
    <x v="6"/>
    <s v="INCA KOLA PET 3LX2 - RF"/>
    <n v="1680"/>
    <n v="120"/>
    <n v="285.60000000000002"/>
  </r>
  <r>
    <x v="159"/>
    <s v="NOVIEMBRE"/>
    <m/>
    <m/>
    <x v="9"/>
    <s v="TRIPACK FT NAR+FT KI+SP PET 3L"/>
    <n v="1620"/>
    <n v="90"/>
    <n v="275.40000000000003"/>
  </r>
  <r>
    <x v="151"/>
    <s v="NOVIEMBRE"/>
    <m/>
    <m/>
    <x v="23"/>
    <s v="TRIPACK CC+IK+IK PFM 3LX3 - RFNN"/>
    <n v="810"/>
    <n v="90"/>
    <n v="137.70000000000002"/>
  </r>
  <r>
    <x v="161"/>
    <s v="NOVIEMBRE"/>
    <n v="49"/>
    <s v="MARTES"/>
    <x v="28"/>
    <s v="COCA COLA VR 1.5LX8 - STICKER"/>
    <n v="150"/>
    <n v="30"/>
    <n v="34.5"/>
  </r>
  <r>
    <x v="161"/>
    <s v="NOVIEMBRE"/>
    <n v="49"/>
    <s v="MARTES"/>
    <x v="15"/>
    <s v="INCA KOLA VR 625MLX12 - STICKER"/>
    <n v="250"/>
    <n v="50"/>
    <n v="100"/>
  </r>
  <r>
    <x v="161"/>
    <s v="NOVIEMBRE"/>
    <n v="49"/>
    <s v="MARTES"/>
    <x v="36"/>
    <s v="SAN LUIS SIN GAS PET 625MLX15 C/STICKER"/>
    <n v="450"/>
    <n v="90"/>
    <n v="180"/>
  </r>
  <r>
    <x v="161"/>
    <s v="NOVIEMBRE"/>
    <n v="49"/>
    <s v="MARTES"/>
    <x v="38"/>
    <s v="SL S/G TAPA PLANA 1LT"/>
    <n v="560"/>
    <n v="112"/>
    <n v="224"/>
  </r>
  <r>
    <x v="161"/>
    <s v="NOVIEMBRE"/>
    <n v="49"/>
    <s v="MARTES"/>
    <x v="0"/>
    <s v="SAN LUIS SIN GAS PET2500X6 STICKER"/>
    <n v="480"/>
    <n v="48"/>
    <n v="192"/>
  </r>
  <r>
    <x v="161"/>
    <s v="NOVIEMBRE"/>
    <n v="49"/>
    <s v="MARTES"/>
    <x v="1"/>
    <s v="COCA-COLA SIN AZUCAR PET 1.5LX2"/>
    <n v="1512"/>
    <n v="198"/>
    <n v="257.04000000000002"/>
  </r>
  <r>
    <x v="161"/>
    <s v="NOVIEMBRE"/>
    <n v="49"/>
    <s v="MARTES"/>
    <x v="2"/>
    <s v="INCA KOLA SIN AZUCAR PET 1.5LX2"/>
    <n v="1944"/>
    <n v="198"/>
    <n v="330.48"/>
  </r>
  <r>
    <x v="161"/>
    <s v="NOVIEMBRE"/>
    <n v="49"/>
    <s v="MARTES"/>
    <x v="34"/>
    <s v="TWO PACK CC PET 1.5LX2 - CRC"/>
    <n v="432"/>
    <n v="198"/>
    <n v="73.440000000000012"/>
  </r>
  <r>
    <x v="161"/>
    <s v="NOVIEMBRE"/>
    <n v="49"/>
    <s v="MARTES"/>
    <x v="29"/>
    <s v="TWO PACK IK PET 1.5LX2 - CRCG"/>
    <n v="432"/>
    <n v="198"/>
    <n v="73.440000000000012"/>
  </r>
  <r>
    <x v="161"/>
    <s v="NOVIEMBRE"/>
    <n v="49"/>
    <s v="MARTES"/>
    <x v="3"/>
    <s v="TWO PACK SCHWEPPES GINGER ALE PET 1.5LX2"/>
    <n v="792"/>
    <n v="198"/>
    <n v="134.64000000000001"/>
  </r>
  <r>
    <x v="161"/>
    <s v="NOVIEMBRE"/>
    <n v="49"/>
    <s v="MARTES"/>
    <x v="4"/>
    <s v="COCA-COLA PET 2.25LX2 RF"/>
    <n v="648"/>
    <n v="162"/>
    <n v="110.16000000000001"/>
  </r>
  <r>
    <x v="161"/>
    <s v="NOVIEMBRE"/>
    <n v="49"/>
    <s v="MARTES"/>
    <x v="5"/>
    <s v="INCA KOLA PET 2.25LX2 RF"/>
    <n v="648"/>
    <n v="162"/>
    <n v="110.16000000000001"/>
  </r>
  <r>
    <x v="161"/>
    <s v="NOVIEMBRE"/>
    <n v="49"/>
    <s v="MARTES"/>
    <x v="6"/>
    <s v="INCA KOLA PET 3LX2 - RF"/>
    <n v="3840"/>
    <n v="120"/>
    <n v="652.80000000000007"/>
  </r>
  <r>
    <x v="161"/>
    <s v="NOVIEMBRE"/>
    <n v="49"/>
    <s v="MARTES"/>
    <x v="17"/>
    <s v="TWO PACK CC PFM 3LX2 - RFCC"/>
    <n v="1800"/>
    <n v="120"/>
    <n v="306"/>
  </r>
  <r>
    <x v="161"/>
    <s v="NOVIEMBRE"/>
    <n v="49"/>
    <s v="MARTES"/>
    <x v="7"/>
    <s v="COCA-COLA PET 1.5LX2 RF"/>
    <n v="864"/>
    <n v="198"/>
    <n v="146.88000000000002"/>
  </r>
  <r>
    <x v="161"/>
    <s v="NOVIEMBRE"/>
    <n v="49"/>
    <s v="MARTES"/>
    <x v="8"/>
    <s v="INCA KOLA PET 1.5LX2 RF"/>
    <n v="1296"/>
    <n v="198"/>
    <n v="220.32000000000002"/>
  </r>
  <r>
    <x v="161"/>
    <s v="NOVIEMBRE"/>
    <n v="49"/>
    <s v="MARTES"/>
    <x v="9"/>
    <s v="TRIPACK FT NAR+FT KI+SP PET 3L"/>
    <n v="1800"/>
    <n v="90"/>
    <n v="306"/>
  </r>
  <r>
    <x v="161"/>
    <s v="NOVIEMBRE"/>
    <n v="49"/>
    <s v="MARTES"/>
    <x v="10"/>
    <s v="TWO PACK CC + IK PFM 3LX2 - RFNN"/>
    <n v="5520"/>
    <n v="120"/>
    <n v="938.40000000000009"/>
  </r>
  <r>
    <x v="161"/>
    <s v="NOVIEMBRE"/>
    <n v="49"/>
    <s v="MARTES"/>
    <x v="11"/>
    <s v="TRIPACK (CC+IK)PFM+FT PET 3LX3 - RFNN"/>
    <n v="1440"/>
    <n v="90"/>
    <n v="244.8"/>
  </r>
  <r>
    <x v="161"/>
    <s v="NOVIEMBRE"/>
    <n v="49"/>
    <s v="MARTES"/>
    <x v="25"/>
    <s v="POWERADE 3MORA+3FRUT PET 473MLX6"/>
    <n v="900"/>
    <n v="225"/>
    <n v="378"/>
  </r>
  <r>
    <x v="161"/>
    <s v="NOVIEMBRE"/>
    <n v="49"/>
    <s v="MARTES"/>
    <x v="12"/>
    <s v="POWERADE ION4 FRUTA PET473X6 MOD (STICK)"/>
    <n v="450"/>
    <n v="225"/>
    <n v="180"/>
  </r>
  <r>
    <x v="161"/>
    <s v="NOVIEMBRE"/>
    <n v="49"/>
    <s v="MARTES"/>
    <x v="19"/>
    <s v="POWERADE ION4 MORA AZ PET473X6 MOD(STCK)"/>
    <n v="225"/>
    <n v="225"/>
    <n v="90"/>
  </r>
  <r>
    <x v="161"/>
    <s v="NOVIEMBRE"/>
    <n v="49"/>
    <s v="MARTES"/>
    <x v="35"/>
    <s v="SAN LUIS SIN GAS PET 625MLX06 MOD"/>
    <n v="1800"/>
    <n v="180"/>
    <n v="756"/>
  </r>
  <r>
    <x v="161"/>
    <s v="NOVIEMBRE"/>
    <n v="49"/>
    <s v="MARTES"/>
    <x v="42"/>
    <s v="FANTA NARANJA PET 500MLX6 BRANDEADO MOD"/>
    <n v="500"/>
    <n v="420"/>
    <n v="210"/>
  </r>
  <r>
    <x v="161"/>
    <s v="NOVIEMBRE"/>
    <n v="49"/>
    <s v="MARTES"/>
    <x v="43"/>
    <s v="SPRITE PET 500MLX6 BRANDEADO MOD"/>
    <n v="1000"/>
    <n v="420"/>
    <n v="420"/>
  </r>
  <r>
    <x v="161"/>
    <s v="NOVIEMBRE"/>
    <n v="49"/>
    <s v="MARTES"/>
    <x v="25"/>
    <s v="POWERADE 3MORA+3FRUT PET 473MLX6"/>
    <n v="1350"/>
    <n v="225"/>
    <n v="567"/>
  </r>
  <r>
    <x v="161"/>
    <s v="NOVIEMBRE"/>
    <n v="49"/>
    <s v="MARTES"/>
    <x v="6"/>
    <s v="INCA KOLA PET 3LX2 - RF"/>
    <n v="480"/>
    <n v="120"/>
    <n v="81.600000000000009"/>
  </r>
  <r>
    <x v="161"/>
    <s v="NOVIEMBRE"/>
    <n v="49"/>
    <s v="MARTES"/>
    <x v="10"/>
    <s v="TWO PACK CC + IK PFM 3LX2 - RFNN"/>
    <n v="480"/>
    <n v="120"/>
    <n v="81.600000000000009"/>
  </r>
  <r>
    <x v="161"/>
    <s v="NOVIEMBRE"/>
    <n v="49"/>
    <s v="MARTES"/>
    <x v="6"/>
    <s v="INCA KOLA PET 3LX2 - RF"/>
    <n v="1080"/>
    <n v="120"/>
    <n v="183.60000000000002"/>
  </r>
  <r>
    <x v="161"/>
    <s v="NOVIEMBRE"/>
    <n v="49"/>
    <s v="MARTES"/>
    <x v="17"/>
    <s v="TWO PACK CC PFM 3LX2 - RFCC"/>
    <n v="4320"/>
    <n v="120"/>
    <n v="734.40000000000009"/>
  </r>
  <r>
    <x v="161"/>
    <s v="NOVIEMBRE"/>
    <n v="49"/>
    <s v="MARTES"/>
    <x v="9"/>
    <s v="TRIPACK FT NAR+FT KI+SP PET 3L"/>
    <n v="1260"/>
    <n v="90"/>
    <n v="214.20000000000002"/>
  </r>
  <r>
    <x v="161"/>
    <s v="NOVIEMBRE"/>
    <n v="49"/>
    <s v="MARTES"/>
    <x v="11"/>
    <s v="TRIPACK (CC+IK)PFM+FT PET 3LX3 - RFNN"/>
    <n v="1080"/>
    <n v="90"/>
    <n v="183.60000000000002"/>
  </r>
  <r>
    <x v="161"/>
    <s v="NOVIEMBRE"/>
    <n v="49"/>
    <s v="MARTES"/>
    <x v="9"/>
    <s v="TRIPACK FT NAR+FT KI+SP PET 3L"/>
    <n v="360"/>
    <n v="90"/>
    <n v="61.2"/>
  </r>
  <r>
    <x v="159"/>
    <s v="NOVIEMBRE"/>
    <n v="49"/>
    <s v="LUNES"/>
    <x v="23"/>
    <s v="TRIPACK CC+IK+IK PFM 3LX3 - RFNN"/>
    <n v="270"/>
    <n v="90"/>
    <n v="45.900000000000006"/>
  </r>
  <r>
    <x v="161"/>
    <s v="NOVIEMBRE"/>
    <n v="49"/>
    <s v="MARTES"/>
    <x v="9"/>
    <s v="TRIPACK FT NAR+FT KI+SP PET 3L"/>
    <n v="1080"/>
    <n v="90"/>
    <n v="183.60000000000002"/>
  </r>
  <r>
    <x v="161"/>
    <s v="NOVIEMBRE"/>
    <n v="49"/>
    <s v="MARTES"/>
    <x v="42"/>
    <s v="FANTA NARANJA PET 500MLX6 BRANDEADO MOD"/>
    <n v="500"/>
    <n v="420"/>
    <n v="210"/>
  </r>
  <r>
    <x v="161"/>
    <s v="NOVIEMBRE"/>
    <n v="49"/>
    <s v="MARTES"/>
    <x v="43"/>
    <s v="SPRITE PET 500MLX6 BRANDEADO MOD"/>
    <n v="750"/>
    <n v="420"/>
    <n v="315"/>
  </r>
  <r>
    <x v="161"/>
    <s v="NOVIEMBRE"/>
    <n v="49"/>
    <s v="MARTES"/>
    <x v="9"/>
    <s v="TRIPACK FT NAR+FT KI+SP PET 3L"/>
    <n v="360"/>
    <n v="90"/>
    <n v="61.2"/>
  </r>
  <r>
    <x v="161"/>
    <s v="NOVIEMBRE"/>
    <n v="49"/>
    <s v="MARTES"/>
    <x v="11"/>
    <s v="TRIPACK (CC+IK)PFM+FT PET 3LX3 - RFNN"/>
    <n v="360"/>
    <n v="90"/>
    <n v="61.2"/>
  </r>
  <r>
    <x v="162"/>
    <s v="DICIEMBRE"/>
    <n v="49"/>
    <s v="MIÉRCOLES"/>
    <x v="9"/>
    <s v="TRIPACK FT NAR+FT KI+SP PET 3L"/>
    <n v="720"/>
    <n v="90"/>
    <n v="122.4"/>
  </r>
  <r>
    <x v="162"/>
    <s v="DICIEMBRE"/>
    <n v="49"/>
    <s v="MIÉRCOLES"/>
    <x v="15"/>
    <s v="INCA KOLA VR 625MLX12 - STICKER"/>
    <n v="300"/>
    <n v="50"/>
    <n v="120"/>
  </r>
  <r>
    <x v="162"/>
    <s v="DICIEMBRE"/>
    <n v="49"/>
    <s v="MIÉRCOLES"/>
    <x v="17"/>
    <s v="TWO PACK CC PFM 3LX2 - RFCC"/>
    <n v="480"/>
    <n v="120"/>
    <n v="81.600000000000009"/>
  </r>
  <r>
    <x v="162"/>
    <s v="DICIEMBRE"/>
    <n v="49"/>
    <s v="MIÉRCOLES"/>
    <x v="10"/>
    <s v="TWO PACK CC + IK PFM 3LX2 - RFNN"/>
    <n v="240"/>
    <n v="120"/>
    <n v="40.800000000000004"/>
  </r>
  <r>
    <x v="162"/>
    <s v="DICIEMBRE"/>
    <n v="49"/>
    <s v="MIÉRCOLES"/>
    <x v="9"/>
    <s v="TRIPACK FT NAR+FT KI+SP PET 3L"/>
    <n v="360"/>
    <n v="90"/>
    <n v="61.2"/>
  </r>
  <r>
    <x v="162"/>
    <s v="DICIEMBRE"/>
    <n v="49"/>
    <s v="MIÉRCOLES"/>
    <x v="11"/>
    <s v="TRIPACK (CC+IK)PFM+FT PET 3LX3 - RFNN"/>
    <n v="1440"/>
    <n v="90"/>
    <n v="244.8"/>
  </r>
  <r>
    <x v="162"/>
    <s v="DICIEMBRE"/>
    <n v="49"/>
    <s v="MIÉRCOLES"/>
    <x v="6"/>
    <s v="INCA KOLA PET 3LX2 - RF"/>
    <n v="2880"/>
    <n v="120"/>
    <n v="489.6"/>
  </r>
  <r>
    <x v="162"/>
    <s v="DICIEMBRE"/>
    <n v="49"/>
    <s v="MIÉRCOLES"/>
    <x v="0"/>
    <s v="SAN LUIS SIN GAS PET2500X6 STICKER"/>
    <n v="960"/>
    <n v="48"/>
    <n v="384"/>
  </r>
  <r>
    <x v="162"/>
    <s v="DICIEMBRE"/>
    <n v="49"/>
    <s v="MIÉRCOLES"/>
    <x v="13"/>
    <s v="INCA KOLA VR 1.5LX8 - STICKER"/>
    <n v="150"/>
    <n v="30"/>
    <n v="60"/>
  </r>
  <r>
    <x v="162"/>
    <s v="DICIEMBRE"/>
    <n v="49"/>
    <s v="MIÉRCOLES"/>
    <x v="28"/>
    <s v="COCA COLA VR 1.5LX8 - STICKER"/>
    <n v="30"/>
    <n v="30"/>
    <n v="6.9"/>
  </r>
  <r>
    <x v="162"/>
    <s v="DICIEMBRE"/>
    <n v="49"/>
    <s v="MIÉRCOLES"/>
    <x v="38"/>
    <s v="SL S/G TAPA PLANA 1LT"/>
    <n v="448"/>
    <n v="112"/>
    <n v="179.20000000000002"/>
  </r>
  <r>
    <x v="162"/>
    <s v="DICIEMBRE"/>
    <n v="49"/>
    <s v="MIÉRCOLES"/>
    <x v="1"/>
    <s v="COCA-COLA SIN AZUCAR PET 1.5LX2"/>
    <n v="1728"/>
    <n v="198"/>
    <n v="293.76000000000005"/>
  </r>
  <r>
    <x v="162"/>
    <s v="DICIEMBRE"/>
    <n v="49"/>
    <s v="MIÉRCOLES"/>
    <x v="2"/>
    <s v="INCA KOLA SIN AZUCAR PET 1.5LX2"/>
    <n v="1080"/>
    <n v="198"/>
    <n v="183.60000000000002"/>
  </r>
  <r>
    <x v="162"/>
    <s v="DICIEMBRE"/>
    <n v="49"/>
    <s v="MIÉRCOLES"/>
    <x v="6"/>
    <s v="INCA KOLA PET 3LX2 - RF"/>
    <n v="2400"/>
    <n v="120"/>
    <n v="408.00000000000006"/>
  </r>
  <r>
    <x v="162"/>
    <s v="DICIEMBRE"/>
    <n v="49"/>
    <s v="MIÉRCOLES"/>
    <x v="22"/>
    <s v="TWO PACK SCHWEPPES CITRUS PET 1.5LX2"/>
    <n v="792"/>
    <n v="198"/>
    <n v="134.64000000000001"/>
  </r>
  <r>
    <x v="162"/>
    <s v="DICIEMBRE"/>
    <n v="49"/>
    <s v="MIÉRCOLES"/>
    <x v="3"/>
    <s v="TWO PACK SCHWEPPES GINGER ALE PET 1.5LX2"/>
    <n v="990"/>
    <n v="198"/>
    <n v="168.3"/>
  </r>
  <r>
    <x v="162"/>
    <s v="DICIEMBRE"/>
    <n v="49"/>
    <s v="MIÉRCOLES"/>
    <x v="8"/>
    <s v="INCA KOLA PET 1.5LX2 RF"/>
    <n v="1080"/>
    <n v="198"/>
    <n v="183.60000000000002"/>
  </r>
  <r>
    <x v="162"/>
    <s v="DICIEMBRE"/>
    <n v="49"/>
    <s v="MIÉRCOLES"/>
    <x v="17"/>
    <s v="TWO PACK CC PFM 3LX2 - RFCC"/>
    <n v="2040"/>
    <n v="120"/>
    <n v="346.8"/>
  </r>
  <r>
    <x v="162"/>
    <s v="DICIEMBRE"/>
    <n v="49"/>
    <s v="MIÉRCOLES"/>
    <x v="10"/>
    <s v="TWO PACK CC + IK PFM 3LX2 - RFNN"/>
    <n v="6960"/>
    <n v="120"/>
    <n v="1183.2"/>
  </r>
  <r>
    <x v="162"/>
    <s v="DICIEMBRE"/>
    <n v="49"/>
    <s v="MIÉRCOLES"/>
    <x v="11"/>
    <s v="TRIPACK (CC+IK)PFM+FT PET 3LX3 - RFNN"/>
    <n v="2880"/>
    <n v="90"/>
    <n v="489.6"/>
  </r>
  <r>
    <x v="162"/>
    <s v="DICIEMBRE"/>
    <n v="49"/>
    <s v="MIÉRCOLES"/>
    <x v="9"/>
    <s v="TRIPACK FT NAR+FT KI+SP PET 3L"/>
    <n v="720"/>
    <n v="90"/>
    <n v="122.4"/>
  </r>
  <r>
    <x v="162"/>
    <s v="DICIEMBRE"/>
    <n v="49"/>
    <s v="MIÉRCOLES"/>
    <x v="20"/>
    <s v="TRIPACK (FT NAR+SP)PET+IK RF PFM 3L"/>
    <n v="720"/>
    <n v="90"/>
    <n v="122.4"/>
  </r>
  <r>
    <x v="162"/>
    <s v="DICIEMBRE"/>
    <n v="49"/>
    <s v="MIÉRCOLES"/>
    <x v="16"/>
    <s v="SAN LUIS CON GAS PET 625MLX6"/>
    <n v="900"/>
    <n v="180"/>
    <n v="378"/>
  </r>
  <r>
    <x v="162"/>
    <s v="DICIEMBRE"/>
    <n v="49"/>
    <s v="MIÉRCOLES"/>
    <x v="36"/>
    <s v="SAN LUIS SIN GAS PET 625MLX15 C/STICKER"/>
    <n v="450"/>
    <n v="90"/>
    <n v="180"/>
  </r>
  <r>
    <x v="162"/>
    <s v="DICIEMBRE"/>
    <n v="49"/>
    <s v="MIÉRCOLES"/>
    <x v="42"/>
    <s v="FANTA NARANJA PET 500MLX6 BRANDEADO MOD"/>
    <n v="500"/>
    <n v="420"/>
    <n v="210"/>
  </r>
  <r>
    <x v="162"/>
    <s v="DICIEMBRE"/>
    <n v="49"/>
    <s v="MIÉRCOLES"/>
    <x v="43"/>
    <s v="SPRITE PET 500MLX6 BRANDEADO MOD"/>
    <n v="500"/>
    <n v="420"/>
    <n v="210"/>
  </r>
  <r>
    <x v="162"/>
    <s v="DICIEMBRE"/>
    <n v="49"/>
    <s v="MIÉRCOLES"/>
    <x v="17"/>
    <s v="TWO PACK CC PFM 3LX2 - RFCC"/>
    <n v="6120"/>
    <n v="120"/>
    <n v="1040.4000000000001"/>
  </r>
  <r>
    <x v="162"/>
    <s v="DICIEMBRE"/>
    <n v="49"/>
    <s v="MIÉRCOLES"/>
    <x v="10"/>
    <s v="TWO PACK CC + IK PFM 3LX2 - RFNN"/>
    <n v="1440"/>
    <n v="120"/>
    <n v="244.8"/>
  </r>
  <r>
    <x v="162"/>
    <s v="DICIEMBRE"/>
    <n v="49"/>
    <s v="MIÉRCOLES"/>
    <x v="9"/>
    <s v="TRIPACK FT NAR+FT KI+SP PET 3L"/>
    <n v="1260"/>
    <n v="90"/>
    <n v="214.20000000000002"/>
  </r>
  <r>
    <x v="162"/>
    <s v="DICIEMBRE"/>
    <n v="49"/>
    <s v="MIÉRCOLES"/>
    <x v="23"/>
    <s v="TRIPACK CC+IK+IK PFM 3LX3 - RFNN"/>
    <n v="1440"/>
    <n v="90"/>
    <n v="244.8"/>
  </r>
  <r>
    <x v="162"/>
    <s v="DICIEMBRE"/>
    <n v="49"/>
    <s v="MIÉRCOLES"/>
    <x v="6"/>
    <s v="INCA KOLA PET 3LX2 - RF"/>
    <n v="2160"/>
    <n v="120"/>
    <n v="367.20000000000005"/>
  </r>
  <r>
    <x v="162"/>
    <s v="DICIEMBRE"/>
    <n v="49"/>
    <s v="MIÉRCOLES"/>
    <x v="26"/>
    <s v="TRIPACK CC+CC+IK PFM 3LX3 - RFNN"/>
    <n v="450"/>
    <n v="90"/>
    <n v="76.5"/>
  </r>
  <r>
    <x v="162"/>
    <s v="DICIEMBRE"/>
    <n v="49"/>
    <s v="MIÉRCOLES"/>
    <x v="6"/>
    <s v="INCA KOLA PET 3LX2 - RF"/>
    <n v="2400"/>
    <n v="120"/>
    <n v="408.00000000000006"/>
  </r>
  <r>
    <x v="162"/>
    <s v="DICIEMBRE"/>
    <n v="49"/>
    <s v="MIÉRCOLES"/>
    <x v="10"/>
    <s v="TWO PACK CC + IK PFM 3LX2 - RFNN"/>
    <n v="4560"/>
    <n v="120"/>
    <n v="775.2"/>
  </r>
  <r>
    <x v="162"/>
    <s v="DICIEMBRE"/>
    <n v="49"/>
    <s v="MIÉRCOLES"/>
    <x v="17"/>
    <s v="TWO PACK CC PFM 3LX2 - RFCC"/>
    <n v="480"/>
    <n v="120"/>
    <n v="81.600000000000009"/>
  </r>
  <r>
    <x v="163"/>
    <s v="DICIEMBRE"/>
    <n v="49"/>
    <s v="JUEVES"/>
    <x v="25"/>
    <s v="POWERADE 3MORA+3FRUT PET 473MLX6"/>
    <n v="1350"/>
    <n v="225"/>
    <n v="567"/>
  </r>
  <r>
    <x v="163"/>
    <s v="DICIEMBRE"/>
    <n v="49"/>
    <s v="JUEVES"/>
    <x v="12"/>
    <s v="POWERADE ION4 FRUTA PET473X6 MOD (STICK)"/>
    <n v="900"/>
    <n v="225"/>
    <n v="360"/>
  </r>
  <r>
    <x v="163"/>
    <s v="DICIEMBRE"/>
    <n v="49"/>
    <s v="JUEVES"/>
    <x v="43"/>
    <s v="SPRITE PET 500MLX6 BRANDEADO MOD"/>
    <n v="500"/>
    <n v="420"/>
    <n v="210"/>
  </r>
  <r>
    <x v="163"/>
    <s v="DICIEMBRE"/>
    <n v="49"/>
    <s v="JUEVES"/>
    <x v="13"/>
    <s v="INCA KOLA VR 1.5LX8 - STICKER"/>
    <n v="150"/>
    <n v="30"/>
    <n v="60"/>
  </r>
  <r>
    <x v="163"/>
    <s v="DICIEMBRE"/>
    <n v="49"/>
    <s v="JUEVES"/>
    <x v="9"/>
    <s v="TRIPACK FT NAR+FT KI+SP PET 3L"/>
    <n v="180"/>
    <n v="90"/>
    <n v="30.6"/>
  </r>
  <r>
    <x v="163"/>
    <s v="DICIEMBRE"/>
    <n v="49"/>
    <s v="JUEVES"/>
    <x v="1"/>
    <s v="COCA-COLA SIN AZUCAR PET 1.5LX2"/>
    <n v="2160"/>
    <n v="198"/>
    <n v="367.20000000000005"/>
  </r>
  <r>
    <x v="163"/>
    <s v="DICIEMBRE"/>
    <n v="49"/>
    <s v="JUEVES"/>
    <x v="2"/>
    <s v="INCA KOLA SIN AZUCAR PET 1.5LX2"/>
    <n v="2160"/>
    <n v="198"/>
    <n v="367.20000000000005"/>
  </r>
  <r>
    <x v="163"/>
    <s v="DICIEMBRE"/>
    <n v="49"/>
    <s v="JUEVES"/>
    <x v="6"/>
    <s v="INCA KOLA PET 3LX2 - RF"/>
    <n v="1200"/>
    <n v="120"/>
    <n v="204.00000000000003"/>
  </r>
  <r>
    <x v="163"/>
    <s v="DICIEMBRE"/>
    <n v="49"/>
    <s v="JUEVES"/>
    <x v="5"/>
    <s v="INCA KOLA PET 2.25LX2 RF"/>
    <n v="972"/>
    <n v="162"/>
    <n v="165.24"/>
  </r>
  <r>
    <x v="163"/>
    <s v="DICIEMBRE"/>
    <n v="49"/>
    <s v="JUEVES"/>
    <x v="22"/>
    <s v="TWO PACK SCHWEPPES CITRUS PET 1.5LX2"/>
    <n v="1188"/>
    <n v="198"/>
    <n v="201.96"/>
  </r>
  <r>
    <x v="163"/>
    <s v="DICIEMBRE"/>
    <n v="49"/>
    <s v="JUEVES"/>
    <x v="3"/>
    <s v="TWO PACK SCHWEPPES GINGER ALE PET 1.5LX2"/>
    <n v="792"/>
    <n v="198"/>
    <n v="134.64000000000001"/>
  </r>
  <r>
    <x v="163"/>
    <s v="DICIEMBRE"/>
    <n v="49"/>
    <s v="JUEVES"/>
    <x v="8"/>
    <s v="INCA KOLA PET 1.5LX2 RF"/>
    <n v="1512"/>
    <n v="198"/>
    <n v="257.04000000000002"/>
  </r>
  <r>
    <x v="163"/>
    <s v="DICIEMBRE"/>
    <n v="49"/>
    <s v="JUEVES"/>
    <x v="4"/>
    <s v="COCA-COLA PET 2.25LX2 RF"/>
    <n v="1296"/>
    <n v="162"/>
    <n v="220.32000000000002"/>
  </r>
  <r>
    <x v="163"/>
    <s v="DICIEMBRE"/>
    <n v="49"/>
    <s v="JUEVES"/>
    <x v="17"/>
    <s v="TWO PACK CC PFM 3LX2 - RFCC"/>
    <n v="1200"/>
    <n v="120"/>
    <n v="204.00000000000003"/>
  </r>
  <r>
    <x v="163"/>
    <s v="DICIEMBRE"/>
    <n v="49"/>
    <s v="JUEVES"/>
    <x v="10"/>
    <s v="TWO PACK CC + IK PFM 3LX2 - RFNN"/>
    <n v="7320"/>
    <n v="120"/>
    <n v="1244.4000000000001"/>
  </r>
  <r>
    <x v="163"/>
    <s v="DICIEMBRE"/>
    <n v="49"/>
    <s v="JUEVES"/>
    <x v="20"/>
    <s v="TRIPACK (FT NAR+SP)PET+IK RF PFM 3L"/>
    <n v="360"/>
    <n v="90"/>
    <n v="61.2"/>
  </r>
  <r>
    <x v="163"/>
    <s v="DICIEMBRE"/>
    <n v="49"/>
    <s v="JUEVES"/>
    <x v="0"/>
    <s v="SAN LUIS SIN GAS PET2500X6 STICKER"/>
    <n v="960"/>
    <n v="48"/>
    <n v="384"/>
  </r>
  <r>
    <x v="163"/>
    <s v="DICIEMBRE"/>
    <n v="49"/>
    <s v="JUEVES"/>
    <x v="9"/>
    <s v="TRIPACK FT NAR+FT KI+SP PET 3L"/>
    <n v="900"/>
    <n v="90"/>
    <n v="153"/>
  </r>
  <r>
    <x v="163"/>
    <s v="DICIEMBRE"/>
    <n v="49"/>
    <s v="JUEVES"/>
    <x v="36"/>
    <s v="SAN LUIS SIN GAS PET 625MLX15 C/STICKER"/>
    <n v="450"/>
    <n v="90"/>
    <n v="180"/>
  </r>
  <r>
    <x v="163"/>
    <s v="DICIEMBRE"/>
    <n v="49"/>
    <s v="JUEVES"/>
    <x v="9"/>
    <s v="TRIPACK FT NAR+FT KI+SP PET 3L"/>
    <n v="2160"/>
    <n v="90"/>
    <n v="367.20000000000005"/>
  </r>
  <r>
    <x v="163"/>
    <s v="DICIEMBRE"/>
    <n v="49"/>
    <s v="JUEVES"/>
    <x v="11"/>
    <s v="TRIPACK (CC+IK)PFM+FT PET 3LX3 - RFNN"/>
    <n v="720"/>
    <n v="90"/>
    <n v="122.4"/>
  </r>
  <r>
    <x v="163"/>
    <s v="DICIEMBRE"/>
    <n v="49"/>
    <s v="JUEVES"/>
    <x v="6"/>
    <s v="INCA KOLA PET 3LX2 - RF"/>
    <n v="3360"/>
    <n v="120"/>
    <n v="571.20000000000005"/>
  </r>
  <r>
    <x v="163"/>
    <s v="DICIEMBRE"/>
    <n v="49"/>
    <s v="JUEVES"/>
    <x v="17"/>
    <s v="TWO PACK CC PFM 3LX2 - RFCC"/>
    <n v="3840"/>
    <n v="120"/>
    <n v="652.80000000000007"/>
  </r>
  <r>
    <x v="163"/>
    <s v="DICIEMBRE"/>
    <n v="49"/>
    <s v="JUEVES"/>
    <x v="10"/>
    <s v="TWO PACK CC + IK PFM 3LX2 - RFNN"/>
    <n v="4200"/>
    <n v="120"/>
    <n v="714"/>
  </r>
  <r>
    <x v="164"/>
    <s v="DICIEMBRE"/>
    <n v="49"/>
    <s v="VIERNES"/>
    <x v="25"/>
    <s v="POWERADE 3MORA+3FRUT PET 473MLX6"/>
    <n v="900"/>
    <n v="225"/>
    <n v="378"/>
  </r>
  <r>
    <x v="164"/>
    <s v="DICIEMBRE"/>
    <n v="49"/>
    <s v="VIERNES"/>
    <x v="1"/>
    <s v="COCA-COLA SIN AZUCAR PET 1.5LX2"/>
    <n v="1080"/>
    <n v="198"/>
    <n v="183.60000000000002"/>
  </r>
  <r>
    <x v="164"/>
    <s v="DICIEMBRE"/>
    <n v="49"/>
    <s v="VIERNES"/>
    <x v="2"/>
    <s v="INCA KOLA SIN AZUCAR PET 1.5LX2"/>
    <n v="1080"/>
    <n v="198"/>
    <n v="183.60000000000002"/>
  </r>
  <r>
    <x v="164"/>
    <s v="DICIEMBRE"/>
    <n v="49"/>
    <s v="VIERNES"/>
    <x v="6"/>
    <s v="INCA KOLA PET 3LX2 - RF"/>
    <n v="2400"/>
    <n v="120"/>
    <n v="408.00000000000006"/>
  </r>
  <r>
    <x v="164"/>
    <s v="DICIEMBRE"/>
    <n v="49"/>
    <s v="VIERNES"/>
    <x v="17"/>
    <s v="TWO PACK CC PFM 3LX2 - RFCC"/>
    <n v="1800"/>
    <n v="120"/>
    <n v="306"/>
  </r>
  <r>
    <x v="164"/>
    <s v="DICIEMBRE"/>
    <n v="49"/>
    <s v="VIERNES"/>
    <x v="7"/>
    <s v="COCA-COLA PET 1.5LX2 RF"/>
    <n v="4320"/>
    <n v="198"/>
    <n v="734.40000000000009"/>
  </r>
  <r>
    <x v="164"/>
    <s v="DICIEMBRE"/>
    <n v="49"/>
    <s v="VIERNES"/>
    <x v="9"/>
    <s v="TRIPACK FT NAR+FT KI+SP PET 3L"/>
    <n v="1440"/>
    <n v="90"/>
    <n v="244.8"/>
  </r>
  <r>
    <x v="164"/>
    <s v="DICIEMBRE"/>
    <n v="49"/>
    <s v="VIERNES"/>
    <x v="10"/>
    <s v="TWO PACK CC + IK PFM 3LX2 - RFNN"/>
    <n v="4320"/>
    <n v="120"/>
    <n v="734.40000000000009"/>
  </r>
  <r>
    <x v="164"/>
    <s v="DICIEMBRE"/>
    <n v="49"/>
    <s v="VIERNES"/>
    <x v="11"/>
    <s v="TRIPACK (CC+IK)PFM+FT PET 3LX3 - RFNN"/>
    <n v="3600"/>
    <n v="90"/>
    <n v="612"/>
  </r>
  <r>
    <x v="164"/>
    <s v="DICIEMBRE"/>
    <n v="49"/>
    <s v="VIERNES"/>
    <x v="23"/>
    <s v="TRIPACK CC+IK+IK PFM 3LX3 - RFNN"/>
    <n v="1440"/>
    <n v="90"/>
    <n v="244.8"/>
  </r>
  <r>
    <x v="164"/>
    <s v="DICIEMBRE"/>
    <n v="49"/>
    <s v="VIERNES"/>
    <x v="25"/>
    <s v="POWERADE 3MORA+3FRUT PET 473MLX6"/>
    <n v="450"/>
    <n v="225"/>
    <n v="189"/>
  </r>
  <r>
    <x v="164"/>
    <s v="DICIEMBRE"/>
    <n v="49"/>
    <s v="VIERNES"/>
    <x v="19"/>
    <s v="POWERADE ION4 MORA AZ PET473X6 MOD(STCK)"/>
    <n v="675"/>
    <n v="225"/>
    <n v="270"/>
  </r>
  <r>
    <x v="164"/>
    <s v="DICIEMBRE"/>
    <n v="49"/>
    <s v="VIERNES"/>
    <x v="35"/>
    <s v="SAN LUIS SIN GAS PET 625MLX06 MOD"/>
    <n v="900"/>
    <n v="180"/>
    <n v="378"/>
  </r>
  <r>
    <x v="164"/>
    <s v="DICIEMBRE"/>
    <n v="49"/>
    <s v="VIERNES"/>
    <x v="42"/>
    <s v="FANTA NARANJA PET 500MLX6 BRANDEADO MOD"/>
    <n v="1000"/>
    <n v="420"/>
    <n v="420"/>
  </r>
  <r>
    <x v="164"/>
    <s v="DICIEMBRE"/>
    <n v="49"/>
    <s v="VIERNES"/>
    <x v="43"/>
    <s v="SPRITE PET 500MLX6 BRANDEADO MOD"/>
    <n v="500"/>
    <n v="420"/>
    <n v="210"/>
  </r>
  <r>
    <x v="164"/>
    <s v="DICIEMBRE"/>
    <n v="49"/>
    <s v="VIERNES"/>
    <x v="14"/>
    <s v="INCA KOLA VR 296MLX24 - STICKER"/>
    <n v="120"/>
    <n v="40"/>
    <n v="27.6"/>
  </r>
  <r>
    <x v="164"/>
    <s v="DICIEMBRE"/>
    <n v="49"/>
    <s v="VIERNES"/>
    <x v="15"/>
    <s v="INCA KOLA VR 625MLX12 - STICKER"/>
    <n v="400"/>
    <n v="50"/>
    <n v="160"/>
  </r>
  <r>
    <x v="164"/>
    <s v="DICIEMBRE"/>
    <n v="49"/>
    <s v="VIERNES"/>
    <x v="36"/>
    <s v="SAN LUIS SIN GAS PET 625MLX15 C/STICKER"/>
    <n v="360"/>
    <n v="90"/>
    <n v="144"/>
  </r>
  <r>
    <x v="164"/>
    <s v="DICIEMBRE"/>
    <n v="49"/>
    <s v="VIERNES"/>
    <x v="38"/>
    <s v="SL S/G TAPA PLANA 1LT"/>
    <n v="1008"/>
    <n v="112"/>
    <n v="403.20000000000005"/>
  </r>
  <r>
    <x v="164"/>
    <s v="DICIEMBRE"/>
    <n v="49"/>
    <s v="VIERNES"/>
    <x v="7"/>
    <s v="COCA-COLA PET 1.5LX2 RF"/>
    <n v="2160"/>
    <n v="198"/>
    <n v="367.20000000000005"/>
  </r>
  <r>
    <x v="164"/>
    <s v="DICIEMBRE"/>
    <n v="49"/>
    <s v="VIERNES"/>
    <x v="8"/>
    <s v="INCA KOLA PET 1.5LX2 RF"/>
    <n v="2160"/>
    <n v="198"/>
    <n v="367.20000000000005"/>
  </r>
  <r>
    <x v="164"/>
    <s v="DICIEMBRE"/>
    <n v="49"/>
    <s v="VIERNES"/>
    <x v="22"/>
    <s v="TWO PACK SCHWEPPES CITRUS PET 1.5LX2"/>
    <n v="1980"/>
    <n v="198"/>
    <n v="336.6"/>
  </r>
  <r>
    <x v="164"/>
    <s v="DICIEMBRE"/>
    <n v="49"/>
    <s v="VIERNES"/>
    <x v="6"/>
    <s v="INCA KOLA PET 3LX2 - RF"/>
    <n v="2880"/>
    <n v="120"/>
    <n v="489.6"/>
  </r>
  <r>
    <x v="164"/>
    <s v="DICIEMBRE"/>
    <n v="49"/>
    <s v="VIERNES"/>
    <x v="10"/>
    <s v="TWO PACK CC + IK PFM 3LX2 - RFNN"/>
    <n v="4320"/>
    <n v="120"/>
    <n v="734.40000000000009"/>
  </r>
  <r>
    <x v="164"/>
    <s v="DICIEMBRE"/>
    <n v="49"/>
    <s v="VIERNES"/>
    <x v="9"/>
    <s v="TRIPACK FT NAR+FT KI+SP PET 3L"/>
    <n v="720"/>
    <n v="90"/>
    <n v="122.4"/>
  </r>
  <r>
    <x v="165"/>
    <s v="DICIEMBRE"/>
    <n v="50"/>
    <s v="SÁBADO"/>
    <x v="28"/>
    <s v="COCA COLA VR 1.5LX8 - STICKER"/>
    <n v="90"/>
    <n v="30"/>
    <n v="20.7"/>
  </r>
  <r>
    <x v="165"/>
    <s v="DICIEMBRE"/>
    <n v="50"/>
    <s v="SÁBADO"/>
    <x v="0"/>
    <s v="SAN LUIS SIN GAS PET2500X6 STICKER"/>
    <n v="1440"/>
    <n v="48"/>
    <n v="576"/>
  </r>
  <r>
    <x v="165"/>
    <s v="DICIEMBRE"/>
    <n v="50"/>
    <s v="SÁBADO"/>
    <x v="16"/>
    <s v="SAN LUIS CON GAS PET 625MLX6"/>
    <n v="1080"/>
    <n v="180"/>
    <n v="453.59999999999997"/>
  </r>
  <r>
    <x v="165"/>
    <s v="DICIEMBRE"/>
    <n v="50"/>
    <s v="SÁBADO"/>
    <x v="34"/>
    <s v="TWO PACK CC PET 1.5LX2 - CRC"/>
    <n v="216"/>
    <n v="198"/>
    <n v="36.720000000000006"/>
  </r>
  <r>
    <x v="165"/>
    <s v="DICIEMBRE"/>
    <n v="50"/>
    <s v="SÁBADO"/>
    <x v="29"/>
    <s v="TWO PACK IK PET 1.5LX2 - CRCG"/>
    <n v="216"/>
    <n v="198"/>
    <n v="36.720000000000006"/>
  </r>
  <r>
    <x v="165"/>
    <s v="DICIEMBRE"/>
    <n v="50"/>
    <s v="SÁBADO"/>
    <x v="6"/>
    <s v="INCA KOLA PET 3LX2 - RF"/>
    <n v="3360"/>
    <n v="120"/>
    <n v="571.20000000000005"/>
  </r>
  <r>
    <x v="165"/>
    <s v="DICIEMBRE"/>
    <n v="50"/>
    <s v="SÁBADO"/>
    <x v="10"/>
    <s v="TWO PACK CC + IK PFM 3LX2 - RFNN"/>
    <n v="6480"/>
    <n v="120"/>
    <n v="1101.6000000000001"/>
  </r>
  <r>
    <x v="165"/>
    <s v="DICIEMBRE"/>
    <n v="50"/>
    <s v="SÁBADO"/>
    <x v="25"/>
    <s v="POWERADE 3MORA+3FRUT PET 473MLX6"/>
    <n v="1800"/>
    <n v="225"/>
    <n v="756"/>
  </r>
  <r>
    <x v="165"/>
    <s v="DICIEMBRE"/>
    <n v="50"/>
    <s v="SÁBADO"/>
    <x v="35"/>
    <s v="SAN LUIS SIN GAS PET 625MLX06 MOD"/>
    <n v="540"/>
    <n v="180"/>
    <n v="226.79999999999998"/>
  </r>
  <r>
    <x v="165"/>
    <s v="DICIEMBRE"/>
    <n v="50"/>
    <s v="SÁBADO"/>
    <x v="10"/>
    <s v="TWO PACK CC + IK PFM 3LX2 - RFNN"/>
    <n v="1440"/>
    <n v="120"/>
    <n v="244.8"/>
  </r>
  <r>
    <x v="165"/>
    <s v="DICIEMBRE"/>
    <n v="50"/>
    <s v="SÁBADO"/>
    <x v="17"/>
    <s v="TWO PACK CC PFM 3LX2 - RFCC"/>
    <n v="480"/>
    <n v="120"/>
    <n v="81.600000000000009"/>
  </r>
  <r>
    <x v="165"/>
    <s v="DICIEMBRE"/>
    <n v="50"/>
    <s v="SÁBADO"/>
    <x v="1"/>
    <s v="COCA-COLA SIN AZUCAR PET 1.5LX2"/>
    <n v="5400"/>
    <n v="198"/>
    <n v="918.00000000000011"/>
  </r>
  <r>
    <x v="165"/>
    <s v="DICIEMBRE"/>
    <n v="50"/>
    <s v="SÁBADO"/>
    <x v="7"/>
    <s v="COCA-COLA PET 1.5LX2 RF"/>
    <n v="4320"/>
    <n v="198"/>
    <n v="734.40000000000009"/>
  </r>
  <r>
    <x v="166"/>
    <s v="DICIEMBRE"/>
    <n v="50"/>
    <s v="LUNES"/>
    <x v="40"/>
    <s v="SAN LUIS SPORT S/G 10 Lt x6 "/>
    <n v="560"/>
    <n v="240"/>
    <n v="224"/>
  </r>
  <r>
    <x v="166"/>
    <s v="DICIEMBRE"/>
    <n v="50"/>
    <s v="LUNES"/>
    <x v="38"/>
    <s v="SL S/G TAPA PLANA 1LT"/>
    <n v="224"/>
    <n v="112"/>
    <n v="89.600000000000009"/>
  </r>
  <r>
    <x v="166"/>
    <s v="DICIEMBRE"/>
    <n v="50"/>
    <s v="LUNES"/>
    <x v="0"/>
    <s v="SAN LUIS SIN GAS PET2500X6 STICKER"/>
    <n v="1440"/>
    <n v="48"/>
    <n v="576"/>
  </r>
  <r>
    <x v="166"/>
    <s v="DICIEMBRE"/>
    <n v="50"/>
    <s v="LUNES"/>
    <x v="1"/>
    <s v="COCA-COLA SIN AZUCAR PET 1.5LX2"/>
    <n v="2160"/>
    <n v="198"/>
    <n v="367.20000000000005"/>
  </r>
  <r>
    <x v="166"/>
    <s v="DICIEMBRE"/>
    <n v="50"/>
    <s v="LUNES"/>
    <x v="2"/>
    <s v="INCA KOLA SIN AZUCAR PET 1.5LX2"/>
    <n v="1080"/>
    <n v="198"/>
    <n v="183.60000000000002"/>
  </r>
  <r>
    <x v="166"/>
    <s v="DICIEMBRE"/>
    <n v="50"/>
    <s v="LUNES"/>
    <x v="6"/>
    <s v="INCA KOLA PET 3LX2 - RF"/>
    <n v="2400"/>
    <n v="120"/>
    <n v="408.00000000000006"/>
  </r>
  <r>
    <x v="166"/>
    <s v="DICIEMBRE"/>
    <n v="50"/>
    <s v="LUNES"/>
    <x v="17"/>
    <s v="TWO PACK CC PFM 3LX2 - RFCC"/>
    <n v="1800"/>
    <n v="120"/>
    <n v="306"/>
  </r>
  <r>
    <x v="166"/>
    <s v="DICIEMBRE"/>
    <n v="50"/>
    <s v="LUNES"/>
    <x v="7"/>
    <s v="COCA-COLA PET 1.5LX2 RF"/>
    <n v="2160"/>
    <n v="198"/>
    <n v="367.20000000000005"/>
  </r>
  <r>
    <x v="166"/>
    <s v="DICIEMBRE"/>
    <n v="50"/>
    <s v="LUNES"/>
    <x v="9"/>
    <s v="TRIPACK FT NAR+FT KI+SP PET 3L"/>
    <n v="720"/>
    <n v="90"/>
    <n v="122.4"/>
  </r>
  <r>
    <x v="166"/>
    <s v="DICIEMBRE"/>
    <n v="50"/>
    <s v="LUNES"/>
    <x v="10"/>
    <s v="TWO PACK CC + IK PFM 3LX2 - RFNN"/>
    <n v="2400"/>
    <n v="120"/>
    <n v="408.00000000000006"/>
  </r>
  <r>
    <x v="166"/>
    <s v="DICIEMBRE"/>
    <n v="50"/>
    <s v="LUNES"/>
    <x v="23"/>
    <s v="TRIPACK CC+IK+IK PFM 3LX3 - RFNN"/>
    <n v="720"/>
    <n v="90"/>
    <n v="122.4"/>
  </r>
  <r>
    <x v="166"/>
    <s v="DICIEMBRE"/>
    <n v="50"/>
    <s v="LUNES"/>
    <x v="11"/>
    <s v="TRIPACK (CC+IK)PFM+FT PET 3LX3 - RFNN"/>
    <n v="2160"/>
    <n v="90"/>
    <n v="367.20000000000005"/>
  </r>
  <r>
    <x v="166"/>
    <s v="DICIEMBRE"/>
    <n v="50"/>
    <s v="LUNES"/>
    <x v="38"/>
    <s v="SL S/G TAPA PLANA 1LT"/>
    <n v="336"/>
    <n v="112"/>
    <n v="134.4"/>
  </r>
  <r>
    <x v="166"/>
    <s v="DICIEMBRE"/>
    <n v="50"/>
    <s v="LUNES"/>
    <x v="43"/>
    <s v="SPRITE PET 500MLX6 BRANDEADO MOD"/>
    <n v="750"/>
    <n v="420"/>
    <n v="315"/>
  </r>
  <r>
    <x v="166"/>
    <s v="DICIEMBRE"/>
    <n v="50"/>
    <s v="LUNES"/>
    <x v="11"/>
    <s v="TRIPACK (CC+IK)PFM+FT PET 3LX3 - RFNN"/>
    <n v="1440"/>
    <n v="90"/>
    <n v="244.8"/>
  </r>
  <r>
    <x v="166"/>
    <s v="DICIEMBRE"/>
    <n v="50"/>
    <s v="LUNES"/>
    <x v="10"/>
    <s v="TWO PACK CC + IK PFM 3LX2 - RFNN"/>
    <n v="6480"/>
    <n v="120"/>
    <n v="1101.6000000000001"/>
  </r>
  <r>
    <x v="166"/>
    <s v="DICIEMBRE"/>
    <n v="50"/>
    <s v="LUNES"/>
    <x v="11"/>
    <s v="TRIPACK (CC+IK)PFM+FT PET 3LX3 - RFNN"/>
    <n v="2160"/>
    <n v="90"/>
    <n v="367.20000000000005"/>
  </r>
  <r>
    <x v="166"/>
    <s v="DICIEMBRE"/>
    <n v="50"/>
    <s v="LUNES"/>
    <x v="23"/>
    <s v="TRIPACK CC+IK+IK PFM 3LX3 - RFNN"/>
    <n v="2700"/>
    <n v="90"/>
    <n v="459.00000000000006"/>
  </r>
  <r>
    <x v="167"/>
    <s v="DICIEMBRE"/>
    <n v="50"/>
    <s v="MARTES"/>
    <x v="64"/>
    <s v="PACK-2 FT NAR+FT KI+FT PIÑA+SP RP 1.5LX8"/>
    <n v="60"/>
    <n v="30"/>
    <n v="12.6"/>
  </r>
  <r>
    <x v="167"/>
    <s v="DICIEMBRE"/>
    <n v="50"/>
    <s v="MARTES"/>
    <x v="15"/>
    <s v="INCA KOLA VR 625MLX12 - STICKER"/>
    <n v="450"/>
    <n v="50"/>
    <n v="180"/>
  </r>
  <r>
    <x v="167"/>
    <s v="DICIEMBRE"/>
    <n v="50"/>
    <s v="MARTES"/>
    <x v="38"/>
    <s v="SL S/G TAPA PLANA 1LT"/>
    <n v="224"/>
    <n v="112"/>
    <n v="89.600000000000009"/>
  </r>
  <r>
    <x v="167"/>
    <s v="DICIEMBRE"/>
    <n v="50"/>
    <s v="MARTES"/>
    <x v="1"/>
    <s v="COCA-COLA SIN AZUCAR PET 1.5LX2"/>
    <n v="2160"/>
    <n v="198"/>
    <n v="367.20000000000005"/>
  </r>
  <r>
    <x v="167"/>
    <s v="DICIEMBRE"/>
    <n v="50"/>
    <s v="MARTES"/>
    <x v="2"/>
    <s v="INCA KOLA SIN AZUCAR PET 1.5LX2"/>
    <n v="2160"/>
    <n v="198"/>
    <n v="367.20000000000005"/>
  </r>
  <r>
    <x v="167"/>
    <s v="DICIEMBRE"/>
    <n v="50"/>
    <s v="MARTES"/>
    <x v="22"/>
    <s v="TWO PACK SCHWEPPES CITRUS PET 1.5LX2"/>
    <n v="594"/>
    <n v="198"/>
    <n v="100.98"/>
  </r>
  <r>
    <x v="167"/>
    <s v="DICIEMBRE"/>
    <n v="50"/>
    <s v="MARTES"/>
    <x v="3"/>
    <s v="TWO PACK SCHWEPPES GINGER ALE PET 1.5LX2"/>
    <n v="1782"/>
    <n v="198"/>
    <n v="302.94"/>
  </r>
  <r>
    <x v="167"/>
    <s v="DICIEMBRE"/>
    <n v="50"/>
    <s v="MARTES"/>
    <x v="5"/>
    <s v="INCA KOLA PET 2.25LX2 RF"/>
    <n v="486"/>
    <n v="162"/>
    <n v="82.62"/>
  </r>
  <r>
    <x v="167"/>
    <s v="DICIEMBRE"/>
    <n v="50"/>
    <s v="MARTES"/>
    <x v="6"/>
    <s v="INCA KOLA PET 3LX2 - RF"/>
    <n v="1080"/>
    <n v="120"/>
    <n v="183.60000000000002"/>
  </r>
  <r>
    <x v="167"/>
    <s v="DICIEMBRE"/>
    <n v="50"/>
    <s v="MARTES"/>
    <x v="8"/>
    <s v="INCA KOLA PET 1.5LX2 RF"/>
    <n v="3240"/>
    <n v="198"/>
    <n v="550.80000000000007"/>
  </r>
  <r>
    <x v="167"/>
    <s v="DICIEMBRE"/>
    <n v="50"/>
    <s v="MARTES"/>
    <x v="10"/>
    <s v="TWO PACK CC + IK PFM 3LX2 - RFNN"/>
    <n v="6000"/>
    <n v="120"/>
    <n v="1020.0000000000001"/>
  </r>
  <r>
    <x v="167"/>
    <s v="DICIEMBRE"/>
    <n v="50"/>
    <s v="MARTES"/>
    <x v="23"/>
    <s v="TRIPACK CC+IK+IK PFM 3LX3 - RFNN"/>
    <n v="720"/>
    <n v="90"/>
    <n v="122.4"/>
  </r>
  <r>
    <x v="167"/>
    <s v="DICIEMBRE"/>
    <n v="50"/>
    <s v="MARTES"/>
    <x v="11"/>
    <s v="TRIPACK (CC+IK)PFM+FT PET 3LX3 - RFNN"/>
    <n v="3600"/>
    <n v="90"/>
    <n v="612"/>
  </r>
  <r>
    <x v="167"/>
    <s v="DICIEMBRE"/>
    <n v="50"/>
    <s v="MARTES"/>
    <x v="42"/>
    <s v="FANTA NARANJA PET 500MLX6 BRANDEADO MOD"/>
    <n v="500"/>
    <n v="420"/>
    <n v="210"/>
  </r>
  <r>
    <x v="167"/>
    <s v="DICIEMBRE"/>
    <n v="50"/>
    <s v="MARTES"/>
    <x v="43"/>
    <s v="SPRITE PET 500MLX6 BRANDEADO MOD"/>
    <n v="1000"/>
    <n v="420"/>
    <n v="420"/>
  </r>
  <r>
    <x v="167"/>
    <s v="DICIEMBRE"/>
    <n v="50"/>
    <s v="MARTES"/>
    <x v="64"/>
    <s v="PACK-2 FT NAR+FT KI+FT PIÑA+SP RP 1.5LX8"/>
    <m/>
    <n v="30"/>
    <n v="0"/>
  </r>
  <r>
    <x v="167"/>
    <s v="DICIEMBRE"/>
    <n v="50"/>
    <s v="MARTES"/>
    <x v="10"/>
    <s v="TWO PACK CC + IK PFM 3LX2 - RFNN"/>
    <n v="9120"/>
    <n v="120"/>
    <n v="1550.4"/>
  </r>
  <r>
    <x v="167"/>
    <s v="DICIEMBRE"/>
    <n v="50"/>
    <s v="MARTES"/>
    <x v="11"/>
    <s v="TRIPACK (CC+IK)PFM+FT PET 3LX3 - RFNN"/>
    <n v="1440"/>
    <n v="90"/>
    <n v="244.8"/>
  </r>
  <r>
    <x v="167"/>
    <s v="DICIEMBRE"/>
    <n v="50"/>
    <s v="MARTES"/>
    <x v="26"/>
    <s v="TRIPACK CC+CC+IK PFM 3LX3 - RFNN"/>
    <n v="1260"/>
    <n v="90"/>
    <n v="214.20000000000002"/>
  </r>
  <r>
    <x v="167"/>
    <s v="DICIEMBRE"/>
    <n v="50"/>
    <s v="MARTES"/>
    <x v="2"/>
    <s v="INCA KOLA SIN AZUCAR PET 1.5LX2"/>
    <n v="216"/>
    <n v="198"/>
    <n v="36.720000000000006"/>
  </r>
  <r>
    <x v="168"/>
    <s v="DICIEMBRE"/>
    <n v="50"/>
    <s v="MIÉRCOLES"/>
    <x v="28"/>
    <s v="COCA COLA VR 1.5LX8 - STICKER"/>
    <n v="300"/>
    <n v="30"/>
    <n v="69"/>
  </r>
  <r>
    <x v="168"/>
    <s v="DICIEMBRE"/>
    <n v="50"/>
    <s v="MIÉRCOLES"/>
    <x v="13"/>
    <s v="INCA KOLA VR 1.5LX8 - STICKER"/>
    <n v="60"/>
    <n v="30"/>
    <n v="24"/>
  </r>
  <r>
    <x v="168"/>
    <s v="DICIEMBRE"/>
    <n v="50"/>
    <s v="MIÉRCOLES"/>
    <x v="38"/>
    <s v="SL S/G TAPA PLANA 1LT"/>
    <n v="448"/>
    <n v="112"/>
    <n v="179.20000000000002"/>
  </r>
  <r>
    <x v="168"/>
    <s v="DICIEMBRE"/>
    <n v="50"/>
    <s v="MIÉRCOLES"/>
    <x v="16"/>
    <s v="SAN LUIS CON GAS PET 625MLX6"/>
    <n v="900"/>
    <n v="180"/>
    <n v="378"/>
  </r>
  <r>
    <x v="168"/>
    <s v="DICIEMBRE"/>
    <n v="50"/>
    <s v="MIÉRCOLES"/>
    <x v="1"/>
    <s v="COCA-COLA SIN AZUCAR PET 1.5LX2"/>
    <n v="3240"/>
    <n v="198"/>
    <n v="550.80000000000007"/>
  </r>
  <r>
    <x v="168"/>
    <s v="DICIEMBRE"/>
    <n v="50"/>
    <s v="MIÉRCOLES"/>
    <x v="2"/>
    <s v="INCA KOLA SIN AZUCAR PET 1.5LX2"/>
    <n v="1728"/>
    <n v="198"/>
    <n v="293.76000000000005"/>
  </r>
  <r>
    <x v="168"/>
    <s v="DICIEMBRE"/>
    <n v="50"/>
    <s v="MIÉRCOLES"/>
    <x v="22"/>
    <s v="TWO PACK SCHWEPPES CITRUS PET 1.5LX2"/>
    <n v="396"/>
    <n v="198"/>
    <n v="67.320000000000007"/>
  </r>
  <r>
    <x v="168"/>
    <s v="DICIEMBRE"/>
    <n v="50"/>
    <s v="MIÉRCOLES"/>
    <x v="3"/>
    <s v="TWO PACK SCHWEPPES GINGER ALE PET 1.5LX2"/>
    <n v="990"/>
    <n v="198"/>
    <n v="168.3"/>
  </r>
  <r>
    <x v="168"/>
    <s v="DICIEMBRE"/>
    <n v="50"/>
    <s v="MIÉRCOLES"/>
    <x v="4"/>
    <s v="COCA-COLA PET 2.25LX2 RF"/>
    <n v="810"/>
    <n v="162"/>
    <n v="137.70000000000002"/>
  </r>
  <r>
    <x v="168"/>
    <s v="DICIEMBRE"/>
    <n v="50"/>
    <s v="MIÉRCOLES"/>
    <x v="5"/>
    <s v="INCA KOLA PET 2.25LX2 RF"/>
    <n v="810"/>
    <n v="162"/>
    <n v="137.70000000000002"/>
  </r>
  <r>
    <x v="168"/>
    <s v="DICIEMBRE"/>
    <n v="50"/>
    <s v="MIÉRCOLES"/>
    <x v="6"/>
    <s v="INCA KOLA PET 3LX2 - RF"/>
    <n v="2400"/>
    <n v="120"/>
    <n v="408.00000000000006"/>
  </r>
  <r>
    <x v="168"/>
    <s v="DICIEMBRE"/>
    <n v="50"/>
    <s v="MIÉRCOLES"/>
    <x v="17"/>
    <s v="TWO PACK CC PFM 3LX2 - RFCC"/>
    <n v="600"/>
    <n v="120"/>
    <n v="102.00000000000001"/>
  </r>
  <r>
    <x v="168"/>
    <s v="DICIEMBRE"/>
    <n v="50"/>
    <s v="MIÉRCOLES"/>
    <x v="7"/>
    <s v="COCA-COLA PET 1.5LX2 RF"/>
    <n v="4320"/>
    <n v="198"/>
    <n v="734.40000000000009"/>
  </r>
  <r>
    <x v="168"/>
    <s v="DICIEMBRE"/>
    <n v="50"/>
    <s v="MIÉRCOLES"/>
    <x v="8"/>
    <s v="INCA KOLA PET 1.5LX2 RF"/>
    <n v="1080"/>
    <n v="198"/>
    <n v="183.60000000000002"/>
  </r>
  <r>
    <x v="168"/>
    <s v="DICIEMBRE"/>
    <n v="50"/>
    <s v="MIÉRCOLES"/>
    <x v="9"/>
    <s v="TRIPACK FT NAR+FT KI+SP PET 3L"/>
    <n v="1260"/>
    <n v="90"/>
    <n v="214.20000000000002"/>
  </r>
  <r>
    <x v="168"/>
    <s v="DICIEMBRE"/>
    <n v="50"/>
    <s v="MIÉRCOLES"/>
    <x v="10"/>
    <s v="TWO PACK CC + IK PFM 3LX2 - RFNN"/>
    <n v="2400"/>
    <n v="120"/>
    <n v="408.00000000000006"/>
  </r>
  <r>
    <x v="168"/>
    <s v="DICIEMBRE"/>
    <n v="50"/>
    <s v="MIÉRCOLES"/>
    <x v="20"/>
    <s v="TRIPACK (FT NAR+SP)PET+IK RF PFM 3L"/>
    <n v="270"/>
    <n v="90"/>
    <n v="45.900000000000006"/>
  </r>
  <r>
    <x v="168"/>
    <s v="DICIEMBRE"/>
    <n v="50"/>
    <s v="MIÉRCOLES"/>
    <x v="25"/>
    <s v="POWERADE 3MORA+3FRUT PET 473MLX6"/>
    <n v="2250"/>
    <n v="225"/>
    <n v="945"/>
  </r>
  <r>
    <x v="168"/>
    <s v="DICIEMBRE"/>
    <n v="50"/>
    <s v="MIÉRCOLES"/>
    <x v="12"/>
    <s v="POWERADE ION4 FRUTA PET473X6 MOD (STICK)"/>
    <n v="450"/>
    <n v="225"/>
    <n v="180"/>
  </r>
  <r>
    <x v="168"/>
    <s v="DICIEMBRE"/>
    <n v="50"/>
    <s v="MIÉRCOLES"/>
    <x v="19"/>
    <s v="POWERADE ION4 MORA AZ PET473X6 MOD(STCK)"/>
    <n v="225"/>
    <n v="225"/>
    <n v="90"/>
  </r>
  <r>
    <x v="168"/>
    <s v="DICIEMBRE"/>
    <n v="50"/>
    <s v="MIÉRCOLES"/>
    <x v="42"/>
    <s v="FANTA NARANJA PET 500MLX6 BRANDEADO MOD"/>
    <n v="750"/>
    <n v="420"/>
    <n v="315"/>
  </r>
  <r>
    <x v="168"/>
    <s v="DICIEMBRE"/>
    <n v="50"/>
    <s v="MIÉRCOLES"/>
    <x v="43"/>
    <s v="SPRITE PET 500MLX6 BRANDEADO MOD"/>
    <n v="750"/>
    <n v="420"/>
    <n v="315"/>
  </r>
  <r>
    <x v="168"/>
    <s v="DICIEMBRE"/>
    <n v="50"/>
    <s v="MIÉRCOLES"/>
    <x v="64"/>
    <s v="PACK-2 FT NAR+FT KI+FT PIÑA+SP RP 1.5LX8"/>
    <n v="1800"/>
    <n v="30"/>
    <n v="378"/>
  </r>
  <r>
    <x v="168"/>
    <s v="DICIEMBRE"/>
    <n v="50"/>
    <s v="MIÉRCOLES"/>
    <x v="23"/>
    <s v="TRIPACK CC+IK+IK PFM 3LX3 - RFNN"/>
    <n v="90"/>
    <n v="90"/>
    <n v="15.3"/>
  </r>
  <r>
    <x v="168"/>
    <s v="DICIEMBRE"/>
    <n v="50"/>
    <s v="MIÉRCOLES"/>
    <x v="10"/>
    <s v="TWO PACK CC + IK PFM 3LX2 - RFNN"/>
    <n v="9120"/>
    <n v="120"/>
    <n v="1550.4"/>
  </r>
  <r>
    <x v="168"/>
    <s v="DICIEMBRE"/>
    <n v="50"/>
    <s v="MIÉRCOLES"/>
    <x v="23"/>
    <s v="TRIPACK CC+IK+IK PFM 3LX3 - RFNN"/>
    <n v="360"/>
    <n v="90"/>
    <n v="61.2"/>
  </r>
  <r>
    <x v="168"/>
    <s v="DICIEMBRE"/>
    <n v="50"/>
    <s v="MIÉRCOLES"/>
    <x v="22"/>
    <s v="TWO PACK SCHWEPPES CITRUS PET 1.5LX2"/>
    <n v="792"/>
    <n v="198"/>
    <n v="134.64000000000001"/>
  </r>
  <r>
    <x v="168"/>
    <s v="DICIEMBRE"/>
    <n v="50"/>
    <s v="MIÉRCOLES"/>
    <x v="15"/>
    <s v="INCA KOLA VR 625MLX12 - STICKER"/>
    <n v="200"/>
    <n v="50"/>
    <n v="80"/>
  </r>
  <r>
    <x v="168"/>
    <s v="DICIEMBRE"/>
    <n v="50"/>
    <s v="MIÉRCOLES"/>
    <x v="13"/>
    <s v="INCA KOLA VR 1.5LX8 - STICKER"/>
    <n v="240"/>
    <n v="30"/>
    <n v="96"/>
  </r>
  <r>
    <x v="168"/>
    <s v="DICIEMBRE"/>
    <n v="50"/>
    <s v="MIÉRCOLES"/>
    <x v="64"/>
    <s v="PACK-2 FT NAR+FT KI+FT PIÑA+SP RP 1.5LX8"/>
    <n v="60"/>
    <n v="30"/>
    <n v="12.6"/>
  </r>
  <r>
    <x v="169"/>
    <s v="DICIEMBRE"/>
    <n v="50"/>
    <s v="JUEVES"/>
    <x v="28"/>
    <s v="COCA COLA VR 1.5LX8 - STICKER"/>
    <n v="150"/>
    <n v="30"/>
    <n v="34.5"/>
  </r>
  <r>
    <x v="169"/>
    <s v="DICIEMBRE"/>
    <n v="50"/>
    <s v="JUEVES"/>
    <x v="33"/>
    <s v="COCA COLA VR 296MLX24 - STICKER"/>
    <n v="200"/>
    <n v="40"/>
    <n v="46"/>
  </r>
  <r>
    <x v="169"/>
    <s v="DICIEMBRE"/>
    <n v="50"/>
    <s v="JUEVES"/>
    <x v="13"/>
    <s v="INCA KOLA VR 1.5LX8 - STICKER"/>
    <n v="150"/>
    <n v="30"/>
    <n v="60"/>
  </r>
  <r>
    <x v="169"/>
    <s v="DICIEMBRE"/>
    <n v="50"/>
    <s v="JUEVES"/>
    <x v="14"/>
    <s v="INCA KOLA VR 296MLX24 - STICKER"/>
    <n v="200"/>
    <n v="40"/>
    <n v="46"/>
  </r>
  <r>
    <x v="169"/>
    <s v="DICIEMBRE"/>
    <n v="50"/>
    <s v="JUEVES"/>
    <x v="15"/>
    <s v="INCA KOLA VR 625MLX12 - STICKER"/>
    <n v="200"/>
    <n v="50"/>
    <n v="80"/>
  </r>
  <r>
    <x v="169"/>
    <s v="DICIEMBRE"/>
    <n v="50"/>
    <s v="JUEVES"/>
    <x v="1"/>
    <s v="COCA-COLA SIN AZUCAR PET 1.5LX2"/>
    <n v="1080"/>
    <n v="198"/>
    <n v="183.60000000000002"/>
  </r>
  <r>
    <x v="169"/>
    <s v="DICIEMBRE"/>
    <n v="50"/>
    <s v="JUEVES"/>
    <x v="4"/>
    <s v="COCA-COLA PET 2.25LX2 RF"/>
    <n v="486"/>
    <n v="162"/>
    <n v="82.62"/>
  </r>
  <r>
    <x v="169"/>
    <s v="DICIEMBRE"/>
    <n v="50"/>
    <s v="JUEVES"/>
    <x v="5"/>
    <s v="INCA KOLA PET 2.25LX2 RF"/>
    <n v="486"/>
    <n v="162"/>
    <n v="82.62"/>
  </r>
  <r>
    <x v="169"/>
    <s v="DICIEMBRE"/>
    <n v="50"/>
    <s v="JUEVES"/>
    <x v="17"/>
    <s v="TWO PACK CC PFM 3LX2 - RFCC"/>
    <n v="600"/>
    <n v="120"/>
    <n v="102.00000000000001"/>
  </r>
  <r>
    <x v="169"/>
    <s v="DICIEMBRE"/>
    <n v="50"/>
    <s v="JUEVES"/>
    <x v="9"/>
    <s v="TRIPACK FT NAR+FT KI+SP PET 3L"/>
    <n v="630"/>
    <n v="90"/>
    <n v="107.10000000000001"/>
  </r>
  <r>
    <x v="169"/>
    <s v="DICIEMBRE"/>
    <n v="50"/>
    <s v="JUEVES"/>
    <x v="10"/>
    <s v="TWO PACK CC + IK PFM 3LX2 - RFNN"/>
    <n v="2520"/>
    <n v="120"/>
    <n v="428.40000000000003"/>
  </r>
  <r>
    <x v="169"/>
    <s v="DICIEMBRE"/>
    <n v="50"/>
    <s v="JUEVES"/>
    <x v="11"/>
    <s v="TRIPACK (CC+IK)PFM+FT PET 3LX3 - RFNN"/>
    <n v="1440"/>
    <n v="90"/>
    <n v="244.8"/>
  </r>
  <r>
    <x v="169"/>
    <s v="DICIEMBRE"/>
    <n v="50"/>
    <s v="JUEVES"/>
    <x v="64"/>
    <s v="PACK-2 FT NAR+FT KI+FT PIÑA+SP RP 1.5LX8"/>
    <n v="870"/>
    <n v="30"/>
    <n v="182.7"/>
  </r>
  <r>
    <x v="169"/>
    <s v="DICIEMBRE"/>
    <n v="50"/>
    <s v="JUEVES"/>
    <x v="22"/>
    <s v="TWO PACK SCHWEPPES CITRUS PET 1.5LX2"/>
    <n v="396"/>
    <n v="198"/>
    <n v="67.320000000000007"/>
  </r>
  <r>
    <x v="169"/>
    <s v="DICIEMBRE"/>
    <n v="50"/>
    <s v="JUEVES"/>
    <x v="17"/>
    <s v="TWO PACK CC PFM 3LX2 - RFCC"/>
    <n v="240"/>
    <n v="120"/>
    <n v="40.800000000000004"/>
  </r>
  <r>
    <x v="169"/>
    <s v="DICIEMBRE"/>
    <n v="50"/>
    <s v="JUEVES"/>
    <x v="1"/>
    <s v="COCA-COLA SIN AZUCAR PET 1.5LX2"/>
    <n v="4320"/>
    <n v="198"/>
    <n v="734.40000000000009"/>
  </r>
  <r>
    <x v="169"/>
    <s v="DICIEMBRE"/>
    <n v="50"/>
    <s v="JUEVES"/>
    <x v="8"/>
    <s v="INCA KOLA PET 1.5LX2 RF"/>
    <n v="1512"/>
    <n v="198"/>
    <n v="257.04000000000002"/>
  </r>
  <r>
    <x v="169"/>
    <s v="DICIEMBRE"/>
    <n v="50"/>
    <s v="JUEVES"/>
    <x v="23"/>
    <s v="TRIPACK CC+IK+IK PFM 3LX3 - RFNN"/>
    <n v="900"/>
    <n v="90"/>
    <n v="153"/>
  </r>
  <r>
    <x v="169"/>
    <s v="DICIEMBRE"/>
    <n v="50"/>
    <s v="JUEVES"/>
    <x v="9"/>
    <s v="TRIPACK FT NAR+FT KI+SP PET 3L"/>
    <n v="270"/>
    <n v="90"/>
    <n v="45.900000000000006"/>
  </r>
  <r>
    <x v="169"/>
    <s v="DICIEMBRE"/>
    <n v="50"/>
    <s v="JUEVES"/>
    <x v="11"/>
    <s v="TRIPACK (CC+IK)PFM+FT PET 3LX3 - RFNN"/>
    <n v="2340"/>
    <n v="90"/>
    <n v="397.8"/>
  </r>
  <r>
    <x v="169"/>
    <s v="DICIEMBRE"/>
    <n v="50"/>
    <s v="JUEVES"/>
    <x v="10"/>
    <s v="TWO PACK CC + IK PFM 3LX2 - RFNN"/>
    <n v="5640"/>
    <n v="120"/>
    <n v="958.80000000000007"/>
  </r>
  <r>
    <x v="169"/>
    <s v="DICIEMBRE"/>
    <n v="50"/>
    <s v="JUEVES"/>
    <x v="10"/>
    <s v="TWO PACK CC + IK PFM 3LX2 - RFNN"/>
    <n v="2160"/>
    <n v="120"/>
    <n v="367.20000000000005"/>
  </r>
  <r>
    <x v="169"/>
    <s v="DICIEMBRE"/>
    <n v="50"/>
    <s v="JUEVES"/>
    <x v="9"/>
    <s v="TRIPACK FT NAR+FT KI+SP PET 3L"/>
    <n v="1440"/>
    <n v="90"/>
    <n v="244.8"/>
  </r>
  <r>
    <x v="169"/>
    <s v="DICIEMBRE"/>
    <n v="50"/>
    <s v="JUEVES"/>
    <x v="11"/>
    <s v="TRIPACK (CC+IK)PFM+FT PET 3LX3 - RFNN"/>
    <n v="1440"/>
    <n v="90"/>
    <n v="244.8"/>
  </r>
  <r>
    <x v="170"/>
    <s v="DICIEMBRE"/>
    <n v="50"/>
    <s v="VIERNES"/>
    <x v="1"/>
    <s v="COCA-COLA SIN AZUCAR PET 1.5LX2"/>
    <n v="2592"/>
    <n v="198"/>
    <n v="440.64000000000004"/>
  </r>
  <r>
    <x v="170"/>
    <s v="DICIEMBRE"/>
    <n v="50"/>
    <s v="VIERNES"/>
    <x v="29"/>
    <s v="TWO PACK IK PET 1.5LX2 - CRCG"/>
    <n v="216"/>
    <n v="198"/>
    <n v="36.720000000000006"/>
  </r>
  <r>
    <x v="170"/>
    <s v="DICIEMBRE"/>
    <n v="50"/>
    <s v="VIERNES"/>
    <x v="22"/>
    <s v="TWO PACK SCHWEPPES CITRUS PET 1.5LX2"/>
    <n v="594"/>
    <n v="198"/>
    <n v="100.98"/>
  </r>
  <r>
    <x v="170"/>
    <s v="DICIEMBRE"/>
    <n v="50"/>
    <s v="VIERNES"/>
    <x v="6"/>
    <s v="INCA KOLA PET 3LX2 - RF"/>
    <n v="3600"/>
    <n v="120"/>
    <n v="612"/>
  </r>
  <r>
    <x v="170"/>
    <s v="DICIEMBRE"/>
    <n v="50"/>
    <s v="VIERNES"/>
    <x v="10"/>
    <s v="TWO PACK CC + IK PFM 3LX2 - RFNN"/>
    <n v="10800"/>
    <n v="120"/>
    <n v="1836.0000000000002"/>
  </r>
  <r>
    <x v="170"/>
    <s v="DICIEMBRE"/>
    <n v="50"/>
    <s v="VIERNES"/>
    <x v="11"/>
    <s v="TRIPACK (CC+IK)PFM+FT PET 3LX3 - RFNN"/>
    <n v="3600"/>
    <n v="90"/>
    <n v="612"/>
  </r>
  <r>
    <x v="170"/>
    <s v="DICIEMBRE"/>
    <n v="50"/>
    <s v="VIERNES"/>
    <x v="20"/>
    <s v="TRIPACK (FT NAR+SP)PET+IK RF PFM 3L"/>
    <n v="720"/>
    <n v="90"/>
    <n v="122.4"/>
  </r>
  <r>
    <x v="170"/>
    <s v="DICIEMBRE"/>
    <n v="50"/>
    <s v="VIERNES"/>
    <x v="23"/>
    <s v="TRIPACK CC+IK+IK PFM 3LX3 - RFNN"/>
    <n v="1800"/>
    <n v="90"/>
    <n v="306"/>
  </r>
  <r>
    <x v="170"/>
    <s v="DICIEMBRE"/>
    <n v="50"/>
    <s v="VIERNES"/>
    <x v="26"/>
    <s v="TRIPACK CC+CC+IK PFM 3LX3 - RFNN"/>
    <n v="1800"/>
    <n v="90"/>
    <n v="306"/>
  </r>
  <r>
    <x v="170"/>
    <s v="DICIEMBRE"/>
    <n v="50"/>
    <s v="VIERNES"/>
    <x v="9"/>
    <s v="TRIPACK FT NAR+FT KI+SP PET 3L"/>
    <n v="360"/>
    <n v="90"/>
    <n v="61.2"/>
  </r>
  <r>
    <x v="170"/>
    <s v="DICIEMBRE"/>
    <n v="50"/>
    <s v="VIERNES"/>
    <x v="10"/>
    <s v="TWO PACK CC + IK PFM 3LX2 - RFNN"/>
    <n v="480"/>
    <n v="120"/>
    <n v="81.600000000000009"/>
  </r>
  <r>
    <x v="170"/>
    <s v="DICIEMBRE"/>
    <n v="50"/>
    <s v="VIERNES"/>
    <x v="23"/>
    <s v="TRIPACK CC+IK+IK PFM 3LX3 - RFNN"/>
    <n v="1170"/>
    <n v="90"/>
    <n v="198.9"/>
  </r>
  <r>
    <x v="170"/>
    <s v="DICIEMBRE"/>
    <n v="50"/>
    <s v="VIERNES"/>
    <x v="9"/>
    <s v="TRIPACK FT NAR+FT KI+SP PET 3L"/>
    <n v="180"/>
    <n v="90"/>
    <n v="30.6"/>
  </r>
  <r>
    <x v="170"/>
    <s v="DICIEMBRE"/>
    <n v="50"/>
    <s v="VIERNES"/>
    <x v="11"/>
    <s v="TRIPACK (CC+IK)PFM+FT PET 3LX3 - RFNN"/>
    <n v="4230"/>
    <n v="90"/>
    <n v="719.1"/>
  </r>
  <r>
    <x v="171"/>
    <s v="DICIEMBRE"/>
    <n v="51"/>
    <s v="SÁBADO"/>
    <x v="13"/>
    <s v="INCA KOLA VR 1.5LX8 - STICKER"/>
    <n v="180"/>
    <n v="30"/>
    <n v="72"/>
  </r>
  <r>
    <x v="171"/>
    <s v="DICIEMBRE"/>
    <n v="51"/>
    <s v="SÁBADO"/>
    <x v="15"/>
    <s v="INCA KOLA VR 625MLX12 - STICKER"/>
    <n v="150"/>
    <n v="50"/>
    <n v="60"/>
  </r>
  <r>
    <x v="171"/>
    <s v="DICIEMBRE"/>
    <n v="51"/>
    <s v="SÁBADO"/>
    <x v="38"/>
    <s v="SL S/G TAPA PLANA 1LT"/>
    <n v="336"/>
    <n v="112"/>
    <n v="134.4"/>
  </r>
  <r>
    <x v="171"/>
    <s v="DICIEMBRE"/>
    <n v="51"/>
    <s v="SÁBADO"/>
    <x v="16"/>
    <s v="SAN LUIS CON GAS PET 625MLX6"/>
    <n v="1440"/>
    <n v="180"/>
    <n v="604.79999999999995"/>
  </r>
  <r>
    <x v="171"/>
    <s v="DICIEMBRE"/>
    <n v="51"/>
    <s v="SÁBADO"/>
    <x v="1"/>
    <s v="COCA-COLA SIN AZUCAR PET 1.5LX2"/>
    <n v="1944"/>
    <n v="198"/>
    <n v="330.48"/>
  </r>
  <r>
    <x v="171"/>
    <s v="DICIEMBRE"/>
    <n v="51"/>
    <s v="SÁBADO"/>
    <x v="2"/>
    <s v="INCA KOLA SIN AZUCAR PET 1.5LX2"/>
    <n v="2160"/>
    <n v="198"/>
    <n v="367.20000000000005"/>
  </r>
  <r>
    <x v="171"/>
    <s v="DICIEMBRE"/>
    <n v="51"/>
    <s v="SÁBADO"/>
    <x v="3"/>
    <s v="TWO PACK SCHWEPPES GINGER ALE PET 1.5LX2"/>
    <n v="990"/>
    <n v="198"/>
    <n v="168.3"/>
  </r>
  <r>
    <x v="171"/>
    <s v="DICIEMBRE"/>
    <n v="51"/>
    <s v="SÁBADO"/>
    <x v="6"/>
    <s v="INCA KOLA PET 3LX2 - RF"/>
    <n v="2400"/>
    <n v="120"/>
    <n v="408.00000000000006"/>
  </r>
  <r>
    <x v="171"/>
    <s v="DICIEMBRE"/>
    <n v="51"/>
    <s v="SÁBADO"/>
    <x v="8"/>
    <s v="INCA KOLA PET 1.5LX2 RF"/>
    <n v="1944"/>
    <n v="198"/>
    <n v="330.48"/>
  </r>
  <r>
    <x v="171"/>
    <s v="DICIEMBRE"/>
    <n v="51"/>
    <s v="SÁBADO"/>
    <x v="9"/>
    <s v="TRIPACK FT NAR+FT KI+SP PET 3L"/>
    <n v="720"/>
    <n v="90"/>
    <n v="122.4"/>
  </r>
  <r>
    <x v="171"/>
    <s v="DICIEMBRE"/>
    <n v="51"/>
    <s v="SÁBADO"/>
    <x v="10"/>
    <s v="TWO PACK CC + IK PFM 3LX2 - RFNN"/>
    <n v="5040"/>
    <n v="120"/>
    <n v="856.80000000000007"/>
  </r>
  <r>
    <x v="171"/>
    <s v="DICIEMBRE"/>
    <n v="51"/>
    <s v="SÁBADO"/>
    <x v="20"/>
    <s v="TRIPACK (FT NAR+SP)PET+IK RF PFM 3L"/>
    <n v="450"/>
    <n v="90"/>
    <n v="76.5"/>
  </r>
  <r>
    <x v="171"/>
    <s v="DICIEMBRE"/>
    <n v="51"/>
    <s v="SÁBADO"/>
    <x v="25"/>
    <s v="POWERADE 3MORA+3FRUT PET 473MLX6"/>
    <n v="1350"/>
    <n v="225"/>
    <n v="567"/>
  </r>
  <r>
    <x v="171"/>
    <s v="DICIEMBRE"/>
    <n v="51"/>
    <s v="SÁBADO"/>
    <x v="42"/>
    <s v="FANTA NARANJA PET 500MLX6 BRANDEADO MOD"/>
    <n v="500"/>
    <n v="420"/>
    <n v="210"/>
  </r>
  <r>
    <x v="171"/>
    <s v="DICIEMBRE"/>
    <n v="51"/>
    <s v="SÁBADO"/>
    <x v="24"/>
    <s v="MONSTER ENERGY 473MLX4"/>
    <n v="1680"/>
    <n v="420"/>
    <n v="705.6"/>
  </r>
  <r>
    <x v="171"/>
    <s v="DICIEMBRE"/>
    <n v="51"/>
    <s v="SÁBADO"/>
    <x v="10"/>
    <s v="TWO PACK CC + IK PFM 3LX2 - RFNN"/>
    <n v="4080"/>
    <n v="120"/>
    <n v="693.6"/>
  </r>
  <r>
    <x v="171"/>
    <s v="DICIEMBRE"/>
    <n v="51"/>
    <s v="SÁBADO"/>
    <x v="11"/>
    <s v="TRIPACK (CC+IK)PFM+FT PET 3LX3 - RFNN"/>
    <n v="4500"/>
    <n v="90"/>
    <n v="765"/>
  </r>
  <r>
    <x v="171"/>
    <s v="DICIEMBRE"/>
    <n v="51"/>
    <s v="SÁBADO"/>
    <x v="20"/>
    <s v="TRIPACK (FT NAR+SP)PET+IK RF PFM 3L"/>
    <n v="2880"/>
    <n v="90"/>
    <n v="489.6"/>
  </r>
  <r>
    <x v="171"/>
    <s v="DICIEMBRE"/>
    <n v="51"/>
    <s v="SÁBADO"/>
    <x v="23"/>
    <s v="TRIPACK CC+IK+IK PFM 3LX3 - RFNN"/>
    <n v="1800"/>
    <n v="90"/>
    <n v="306"/>
  </r>
  <r>
    <x v="171"/>
    <s v="DICIEMBRE"/>
    <n v="51"/>
    <s v="SÁBADO"/>
    <x v="9"/>
    <s v="TRIPACK FT NAR+FT KI+SP PET 3L"/>
    <n v="720"/>
    <n v="90"/>
    <n v="122.4"/>
  </r>
  <r>
    <x v="171"/>
    <s v="DICIEMBRE"/>
    <n v="51"/>
    <s v="SÁBADO"/>
    <x v="23"/>
    <s v="TRIPACK CC+IK+IK PFM 3LX3 - RFNN"/>
    <n v="180"/>
    <n v="90"/>
    <n v="30.6"/>
  </r>
  <r>
    <x v="171"/>
    <s v="DICIEMBRE"/>
    <n v="51"/>
    <s v="SÁBADO"/>
    <x v="11"/>
    <s v="TRIPACK (CC+IK)PFM+FT PET 3LX3 - RFNN"/>
    <n v="990"/>
    <n v="90"/>
    <n v="168.3"/>
  </r>
  <r>
    <x v="171"/>
    <s v="DICIEMBRE"/>
    <n v="51"/>
    <s v="SÁBADO"/>
    <x v="23"/>
    <s v="TRIPACK CC+IK+IK PFM 3LX3 - RFNN"/>
    <n v="630"/>
    <n v="90"/>
    <n v="107.10000000000001"/>
  </r>
  <r>
    <x v="172"/>
    <s v="DICIEMBRE"/>
    <n v="51"/>
    <s v="DOMINGO"/>
    <x v="24"/>
    <s v="MONSTER ENERGY 473MLX4"/>
    <n v="840"/>
    <n v="420"/>
    <n v="352.8"/>
  </r>
  <r>
    <x v="172"/>
    <s v="DICIEMBRE"/>
    <n v="51"/>
    <s v="DOMINGO"/>
    <x v="39"/>
    <s v="MONSTER ENERGY ZERO 473MLX4"/>
    <n v="1260"/>
    <n v="420"/>
    <n v="529.19999999999993"/>
  </r>
  <r>
    <x v="172"/>
    <s v="DICIEMBRE"/>
    <n v="51"/>
    <s v="DOMINGO"/>
    <x v="24"/>
    <s v="MONSTER ENERGY 473MLX4"/>
    <n v="2520"/>
    <n v="420"/>
    <n v="1058.3999999999999"/>
  </r>
  <r>
    <x v="172"/>
    <s v="DICIEMBRE"/>
    <n v="51"/>
    <s v="DOMINGO"/>
    <x v="39"/>
    <s v="MONSTER ENERGY ZERO 473MLX4"/>
    <n v="840"/>
    <n v="420"/>
    <n v="352.8"/>
  </r>
  <r>
    <x v="173"/>
    <s v="DICIEMBRE"/>
    <n v="51"/>
    <s v="LUNES"/>
    <x v="36"/>
    <s v="SAN LUIS SIN GAS PET 625MLX15 C/STICKER"/>
    <n v="450"/>
    <n v="90"/>
    <n v="180"/>
  </r>
  <r>
    <x v="173"/>
    <s v="DICIEMBRE"/>
    <n v="51"/>
    <s v="LUNES"/>
    <x v="24"/>
    <s v="MONSTER ENERGY 473MLX4"/>
    <n v="2940"/>
    <n v="420"/>
    <n v="1234.8"/>
  </r>
  <r>
    <x v="173"/>
    <s v="DICIEMBRE"/>
    <n v="51"/>
    <s v="LUNES"/>
    <x v="2"/>
    <s v="INCA KOLA SIN AZUCAR PET 1.5LX2"/>
    <n v="2376"/>
    <n v="198"/>
    <n v="403.92"/>
  </r>
  <r>
    <x v="173"/>
    <s v="DICIEMBRE"/>
    <n v="51"/>
    <s v="LUNES"/>
    <x v="6"/>
    <s v="INCA KOLA PET 3LX2 - RF"/>
    <n v="3600"/>
    <n v="120"/>
    <n v="612"/>
  </r>
  <r>
    <x v="173"/>
    <s v="DICIEMBRE"/>
    <n v="51"/>
    <s v="LUNES"/>
    <x v="17"/>
    <s v="TWO PACK CC PFM 3LX2 - RFCC"/>
    <n v="1200"/>
    <n v="120"/>
    <n v="204.00000000000003"/>
  </r>
  <r>
    <x v="173"/>
    <s v="DICIEMBRE"/>
    <n v="51"/>
    <s v="LUNES"/>
    <x v="7"/>
    <s v="COCA-COLA PET 1.5LX2 RF"/>
    <n v="2160"/>
    <n v="198"/>
    <n v="367.20000000000005"/>
  </r>
  <r>
    <x v="173"/>
    <s v="DICIEMBRE"/>
    <n v="51"/>
    <s v="LUNES"/>
    <x v="9"/>
    <s v="TRIPACK FT NAR+FT KI+SP PET 3L"/>
    <n v="450"/>
    <n v="90"/>
    <n v="76.5"/>
  </r>
  <r>
    <x v="173"/>
    <s v="DICIEMBRE"/>
    <n v="51"/>
    <s v="LUNES"/>
    <x v="10"/>
    <s v="TWO PACK CC + IK PFM 3LX2 - RFNN"/>
    <n v="3600"/>
    <n v="120"/>
    <n v="612"/>
  </r>
  <r>
    <x v="173"/>
    <s v="DICIEMBRE"/>
    <n v="51"/>
    <s v="LUNES"/>
    <x v="12"/>
    <s v="POWERADE ION4 FRUTA PET473X6 MOD (STICK)"/>
    <n v="450"/>
    <n v="225"/>
    <n v="180"/>
  </r>
  <r>
    <x v="173"/>
    <s v="DICIEMBRE"/>
    <n v="51"/>
    <s v="LUNES"/>
    <x v="42"/>
    <s v="FANTA NARANJA PET 500MLX6 BRANDEADO MOD"/>
    <n v="750"/>
    <n v="420"/>
    <n v="315"/>
  </r>
  <r>
    <x v="173"/>
    <s v="DICIEMBRE"/>
    <n v="51"/>
    <s v="LUNES"/>
    <x v="6"/>
    <s v="INCA KOLA PET 3LX2 - RF"/>
    <n v="1320"/>
    <n v="120"/>
    <n v="224.4"/>
  </r>
  <r>
    <x v="173"/>
    <s v="DICIEMBRE"/>
    <n v="51"/>
    <s v="LUNES"/>
    <x v="9"/>
    <s v="TRIPACK FT NAR+FT KI+SP PET 3L"/>
    <n v="1260"/>
    <n v="90"/>
    <n v="214.20000000000002"/>
  </r>
  <r>
    <x v="173"/>
    <s v="DICIEMBRE"/>
    <n v="51"/>
    <s v="LUNES"/>
    <x v="23"/>
    <s v="TRIPACK CC+IK+IK PFM 3LX3 - RFNN"/>
    <n v="180"/>
    <n v="90"/>
    <n v="30.6"/>
  </r>
  <r>
    <x v="173"/>
    <s v="DICIEMBRE"/>
    <n v="51"/>
    <s v="LUNES"/>
    <x v="11"/>
    <s v="TRIPACK (CC+IK)PFM+FT PET 3LX3 - RFNN"/>
    <n v="5850"/>
    <n v="90"/>
    <n v="994.50000000000011"/>
  </r>
  <r>
    <x v="173"/>
    <s v="DICIEMBRE"/>
    <n v="51"/>
    <s v="LUNES"/>
    <x v="20"/>
    <s v="TRIPACK (FT NAR+SP)PET+IK RF PFM 3L"/>
    <n v="1800"/>
    <n v="90"/>
    <n v="306"/>
  </r>
  <r>
    <x v="173"/>
    <s v="DICIEMBRE"/>
    <n v="51"/>
    <s v="LUNES"/>
    <x v="10"/>
    <s v="TWO PACK CC + IK PFM 3LX2 - RFNN"/>
    <n v="2880"/>
    <n v="120"/>
    <n v="489.6"/>
  </r>
  <r>
    <x v="173"/>
    <s v="DICIEMBRE"/>
    <n v="51"/>
    <s v="LUNES"/>
    <x v="26"/>
    <s v="TRIPACK CC+CC+IK PFM 3LX3 - RFNN"/>
    <n v="1800"/>
    <n v="90"/>
    <n v="306"/>
  </r>
  <r>
    <x v="174"/>
    <s v="DICIEMBRE"/>
    <n v="51"/>
    <s v="MARTES"/>
    <x v="15"/>
    <s v="INCA KOLA VR 625MLX12 - STICKER"/>
    <n v="350"/>
    <n v="50"/>
    <n v="140"/>
  </r>
  <r>
    <x v="174"/>
    <s v="DICIEMBRE"/>
    <n v="51"/>
    <s v="MARTES"/>
    <x v="39"/>
    <s v="MONSTER ENERGY ZERO 473MLX4"/>
    <n v="420"/>
    <n v="420"/>
    <n v="176.4"/>
  </r>
  <r>
    <x v="174"/>
    <s v="DICIEMBRE"/>
    <n v="51"/>
    <s v="MARTES"/>
    <x v="28"/>
    <s v="COCA COLA VR 1.5LX8 - STICKER"/>
    <n v="240"/>
    <n v="30"/>
    <n v="55.2"/>
  </r>
  <r>
    <x v="174"/>
    <s v="DICIEMBRE"/>
    <n v="51"/>
    <s v="MARTES"/>
    <x v="13"/>
    <s v="INCA KOLA VR 1.5LX8 - STICKER"/>
    <n v="1500"/>
    <n v="30"/>
    <n v="600"/>
  </r>
  <r>
    <x v="174"/>
    <s v="DICIEMBRE"/>
    <n v="51"/>
    <s v="MARTES"/>
    <x v="14"/>
    <s v="INCA KOLA VR 296MLX24 - STICKER"/>
    <n v="240"/>
    <n v="40"/>
    <n v="55.2"/>
  </r>
  <r>
    <x v="174"/>
    <s v="DICIEMBRE"/>
    <n v="51"/>
    <s v="MARTES"/>
    <x v="15"/>
    <s v="INCA KOLA VR 625MLX12 - STICKER"/>
    <n v="150"/>
    <n v="50"/>
    <n v="60"/>
  </r>
  <r>
    <x v="174"/>
    <s v="DICIEMBRE"/>
    <n v="51"/>
    <s v="MARTES"/>
    <x v="36"/>
    <s v="SAN LUIS SIN GAS PET 625MLX15 C/STICKER"/>
    <n v="270"/>
    <n v="90"/>
    <n v="108"/>
  </r>
  <r>
    <x v="174"/>
    <s v="DICIEMBRE"/>
    <n v="51"/>
    <s v="MARTES"/>
    <x v="0"/>
    <s v="SAN LUIS SIN GAS PET2500X6 STICKER"/>
    <n v="960"/>
    <n v="48"/>
    <n v="384"/>
  </r>
  <r>
    <x v="174"/>
    <s v="DICIEMBRE"/>
    <n v="51"/>
    <s v="MARTES"/>
    <x v="24"/>
    <s v="MONSTER ENERGY 473MLX4"/>
    <n v="2100"/>
    <n v="420"/>
    <n v="882"/>
  </r>
  <r>
    <x v="174"/>
    <s v="DICIEMBRE"/>
    <n v="51"/>
    <s v="MARTES"/>
    <x v="39"/>
    <s v="MONSTER ENERGY ZERO 473MLX4"/>
    <n v="420"/>
    <n v="420"/>
    <n v="176.4"/>
  </r>
  <r>
    <x v="174"/>
    <s v="DICIEMBRE"/>
    <n v="51"/>
    <s v="MARTES"/>
    <x v="1"/>
    <s v="COCA-COLA SIN AZUCAR PET 1.5LX2"/>
    <n v="2160"/>
    <n v="198"/>
    <n v="367.20000000000005"/>
  </r>
  <r>
    <x v="174"/>
    <s v="DICIEMBRE"/>
    <n v="51"/>
    <s v="MARTES"/>
    <x v="34"/>
    <s v="TWO PACK CC PET 1.5LX2 - CRC"/>
    <n v="648"/>
    <n v="198"/>
    <n v="110.16000000000001"/>
  </r>
  <r>
    <x v="174"/>
    <s v="DICIEMBRE"/>
    <n v="51"/>
    <s v="MARTES"/>
    <x v="29"/>
    <s v="TWO PACK IK PET 1.5LX2 - CRCG"/>
    <n v="216"/>
    <n v="198"/>
    <n v="36.720000000000006"/>
  </r>
  <r>
    <x v="174"/>
    <s v="DICIEMBRE"/>
    <n v="51"/>
    <s v="MARTES"/>
    <x v="22"/>
    <s v="TWO PACK SCHWEPPES CITRUS PET 1.5LX2"/>
    <n v="594"/>
    <n v="198"/>
    <n v="100.98"/>
  </r>
  <r>
    <x v="174"/>
    <s v="DICIEMBRE"/>
    <n v="51"/>
    <s v="MARTES"/>
    <x v="4"/>
    <s v="COCA-COLA PET 2.25LX2 RF"/>
    <n v="972"/>
    <n v="162"/>
    <n v="165.24"/>
  </r>
  <r>
    <x v="174"/>
    <s v="DICIEMBRE"/>
    <n v="51"/>
    <s v="MARTES"/>
    <x v="5"/>
    <s v="INCA KOLA PET 2.25LX2 RF"/>
    <n v="810"/>
    <n v="162"/>
    <n v="137.70000000000002"/>
  </r>
  <r>
    <x v="174"/>
    <s v="DICIEMBRE"/>
    <n v="51"/>
    <s v="MARTES"/>
    <x v="3"/>
    <s v="TWO PACK SCHWEPPES GINGER ALE PET 1.5LX2"/>
    <n v="594"/>
    <n v="198"/>
    <n v="100.98"/>
  </r>
  <r>
    <x v="174"/>
    <s v="DICIEMBRE"/>
    <n v="51"/>
    <s v="MARTES"/>
    <x v="17"/>
    <s v="TWO PACK CC PFM 3LX2 - RFCC"/>
    <n v="1200"/>
    <n v="120"/>
    <n v="204.00000000000003"/>
  </r>
  <r>
    <x v="174"/>
    <s v="DICIEMBRE"/>
    <n v="51"/>
    <s v="MARTES"/>
    <x v="10"/>
    <s v="TWO PACK CC + IK PFM 3LX2 - RFNN"/>
    <n v="3720"/>
    <n v="120"/>
    <n v="632.40000000000009"/>
  </r>
  <r>
    <x v="174"/>
    <s v="DICIEMBRE"/>
    <n v="51"/>
    <s v="MARTES"/>
    <x v="7"/>
    <s v="COCA-COLA PET 1.5LX2 RF"/>
    <n v="990"/>
    <n v="198"/>
    <n v="168.3"/>
  </r>
  <r>
    <x v="174"/>
    <s v="DICIEMBRE"/>
    <n v="51"/>
    <s v="MARTES"/>
    <x v="11"/>
    <s v="TRIPACK (CC+IK)PFM+FT PET 3LX3 - RFNN"/>
    <n v="5490"/>
    <n v="90"/>
    <n v="933.30000000000007"/>
  </r>
  <r>
    <x v="174"/>
    <s v="DICIEMBRE"/>
    <n v="51"/>
    <s v="MARTES"/>
    <x v="20"/>
    <s v="TRIPACK (FT NAR+SP)PET+IK RF PFM 3L"/>
    <n v="360"/>
    <n v="90"/>
    <n v="61.2"/>
  </r>
  <r>
    <x v="174"/>
    <s v="DICIEMBRE"/>
    <n v="51"/>
    <s v="MARTES"/>
    <x v="25"/>
    <s v="POWERADE 3MORA+3FRUT PET 473MLX6"/>
    <n v="1350"/>
    <n v="225"/>
    <n v="567"/>
  </r>
  <r>
    <x v="174"/>
    <s v="DICIEMBRE"/>
    <n v="51"/>
    <s v="MARTES"/>
    <x v="6"/>
    <s v="INCA KOLA PET 3LX2 - RF"/>
    <n v="1920"/>
    <n v="120"/>
    <n v="326.40000000000003"/>
  </r>
  <r>
    <x v="174"/>
    <s v="DICIEMBRE"/>
    <n v="51"/>
    <s v="MARTES"/>
    <x v="11"/>
    <s v="TRIPACK (CC+IK)PFM+FT PET 3LX3 - RFNN"/>
    <n v="540"/>
    <n v="90"/>
    <n v="91.800000000000011"/>
  </r>
  <r>
    <x v="174"/>
    <s v="DICIEMBRE"/>
    <n v="51"/>
    <s v="MARTES"/>
    <x v="10"/>
    <s v="TWO PACK CC + IK PFM 3LX2 - RFNN"/>
    <n v="3480"/>
    <n v="120"/>
    <n v="591.6"/>
  </r>
  <r>
    <x v="175"/>
    <s v="DICIEMBRE"/>
    <n v="51"/>
    <s v="MIÉRCOLES"/>
    <x v="40"/>
    <s v="SAN LUIS SPORT S/G 10 Lt x6 "/>
    <n v="448"/>
    <n v="240"/>
    <n v="179.20000000000002"/>
  </r>
  <r>
    <x v="175"/>
    <s v="DICIEMBRE"/>
    <n v="51"/>
    <s v="MIÉRCOLES"/>
    <x v="38"/>
    <s v="SL S/G TAPA PLANA 1LT"/>
    <n v="784"/>
    <n v="112"/>
    <n v="313.60000000000002"/>
  </r>
  <r>
    <x v="175"/>
    <s v="DICIEMBRE"/>
    <n v="51"/>
    <s v="MIÉRCOLES"/>
    <x v="0"/>
    <s v="SAN LUIS SIN GAS PET2500X6 STICKER"/>
    <n v="2400"/>
    <n v="48"/>
    <n v="960"/>
  </r>
  <r>
    <x v="175"/>
    <s v="DICIEMBRE"/>
    <n v="51"/>
    <s v="MIÉRCOLES"/>
    <x v="24"/>
    <s v="MONSTER ENERGY 473MLX4"/>
    <n v="4200"/>
    <n v="420"/>
    <n v="1764"/>
  </r>
  <r>
    <x v="175"/>
    <s v="DICIEMBRE"/>
    <n v="51"/>
    <s v="MIÉRCOLES"/>
    <x v="22"/>
    <s v="TWO PACK SCHWEPPES CITRUS PET 1.5LX2"/>
    <n v="1386"/>
    <n v="198"/>
    <n v="235.62"/>
  </r>
  <r>
    <x v="175"/>
    <s v="DICIEMBRE"/>
    <n v="51"/>
    <s v="MIÉRCOLES"/>
    <x v="3"/>
    <s v="TWO PACK SCHWEPPES GINGER ALE PET 1.5LX2"/>
    <n v="990"/>
    <n v="198"/>
    <n v="168.3"/>
  </r>
  <r>
    <x v="175"/>
    <s v="DICIEMBRE"/>
    <n v="51"/>
    <s v="MIÉRCOLES"/>
    <x v="6"/>
    <s v="INCA KOLA PET 3LX2 - RF"/>
    <n v="960"/>
    <n v="120"/>
    <n v="163.20000000000002"/>
  </r>
  <r>
    <x v="175"/>
    <s v="DICIEMBRE"/>
    <n v="51"/>
    <s v="MIÉRCOLES"/>
    <x v="8"/>
    <s v="INCA KOLA PET 1.5LX2 RF"/>
    <n v="864"/>
    <n v="198"/>
    <n v="146.88000000000002"/>
  </r>
  <r>
    <x v="175"/>
    <s v="DICIEMBRE"/>
    <n v="51"/>
    <s v="MIÉRCOLES"/>
    <x v="10"/>
    <s v="TWO PACK CC + IK PFM 3LX2 - RFNN"/>
    <n v="1920"/>
    <n v="120"/>
    <n v="326.40000000000003"/>
  </r>
  <r>
    <x v="175"/>
    <s v="DICIEMBRE"/>
    <n v="51"/>
    <s v="MIÉRCOLES"/>
    <x v="20"/>
    <s v="TRIPACK (FT NAR+SP)PET+IK RF PFM 3L"/>
    <n v="270"/>
    <n v="90"/>
    <n v="45.900000000000006"/>
  </r>
  <r>
    <x v="175"/>
    <s v="DICIEMBRE"/>
    <n v="51"/>
    <s v="MIÉRCOLES"/>
    <x v="42"/>
    <s v="FANTA NARANJA PET 500MLX6 BRANDEADO MOD"/>
    <n v="1250"/>
    <n v="420"/>
    <n v="525"/>
  </r>
  <r>
    <x v="175"/>
    <s v="DICIEMBRE"/>
    <n v="51"/>
    <s v="MIÉRCOLES"/>
    <x v="39"/>
    <s v="MONSTER ENERGY ZERO 473MLX4"/>
    <n v="840"/>
    <n v="420"/>
    <n v="352.8"/>
  </r>
  <r>
    <x v="175"/>
    <s v="DICIEMBRE"/>
    <n v="51"/>
    <s v="MIÉRCOLES"/>
    <x v="20"/>
    <s v="TRIPACK (FT NAR+SP)PET+IK RF PFM 3L"/>
    <n v="90"/>
    <n v="90"/>
    <n v="15.3"/>
  </r>
  <r>
    <x v="175"/>
    <s v="DICIEMBRE"/>
    <n v="51"/>
    <s v="MIÉRCOLES"/>
    <x v="9"/>
    <s v="TRIPACK FT NAR+FT KI+SP PET 3L"/>
    <n v="270"/>
    <n v="90"/>
    <n v="45.900000000000006"/>
  </r>
  <r>
    <x v="175"/>
    <s v="DICIEMBRE"/>
    <n v="51"/>
    <s v="MIÉRCOLES"/>
    <x v="1"/>
    <s v="COCA-COLA SIN AZUCAR PET 1.5LX2"/>
    <n v="1944"/>
    <n v="198"/>
    <n v="330.48"/>
  </r>
  <r>
    <x v="175"/>
    <s v="DICIEMBRE"/>
    <n v="51"/>
    <s v="MIÉRCOLES"/>
    <x v="10"/>
    <s v="TWO PACK CC + IK PFM 3LX2 - RFNN"/>
    <n v="1440"/>
    <n v="120"/>
    <n v="244.8"/>
  </r>
  <r>
    <x v="175"/>
    <s v="DICIEMBRE"/>
    <n v="51"/>
    <s v="MIÉRCOLES"/>
    <x v="1"/>
    <s v="COCA-COLA SIN AZUCAR PET 1.5LX2"/>
    <n v="1080"/>
    <n v="198"/>
    <n v="183.60000000000002"/>
  </r>
  <r>
    <x v="175"/>
    <s v="DICIEMBRE"/>
    <n v="51"/>
    <s v="MIÉRCOLES"/>
    <x v="6"/>
    <s v="INCA KOLA PET 3LX2 - RF"/>
    <n v="1680"/>
    <n v="120"/>
    <n v="285.60000000000002"/>
  </r>
  <r>
    <x v="175"/>
    <s v="DICIEMBRE"/>
    <n v="51"/>
    <s v="MIÉRCOLES"/>
    <x v="10"/>
    <s v="TWO PACK CC + IK PFM 3LX2 - RFNN"/>
    <n v="6960"/>
    <n v="120"/>
    <n v="1183.2"/>
  </r>
  <r>
    <x v="175"/>
    <s v="DICIEMBRE"/>
    <n v="51"/>
    <s v="MIÉRCOLES"/>
    <x v="11"/>
    <s v="TRIPACK (CC+IK)PFM+FT PET 3LX3 - RFNN"/>
    <n v="2250"/>
    <n v="90"/>
    <n v="382.5"/>
  </r>
  <r>
    <x v="175"/>
    <s v="DICIEMBRE"/>
    <n v="51"/>
    <s v="MIÉRCOLES"/>
    <x v="26"/>
    <s v="TRIPACK CC+CC+IK PFM 3LX3 - RFNN"/>
    <n v="1260"/>
    <n v="90"/>
    <n v="214.20000000000002"/>
  </r>
  <r>
    <x v="176"/>
    <s v="DICIEMBRE"/>
    <n v="51"/>
    <s v="JUEVES"/>
    <x v="13"/>
    <s v="INCA KOLA VR 1.5LX8 - STICKER"/>
    <n v="270"/>
    <n v="30"/>
    <n v="108"/>
  </r>
  <r>
    <x v="176"/>
    <s v="DICIEMBRE"/>
    <n v="51"/>
    <s v="JUEVES"/>
    <x v="15"/>
    <s v="INCA KOLA VR 625MLX12 - STICKER"/>
    <n v="350"/>
    <n v="50"/>
    <n v="140"/>
  </r>
  <r>
    <x v="176"/>
    <s v="DICIEMBRE"/>
    <n v="51"/>
    <s v="JUEVES"/>
    <x v="36"/>
    <s v="SAN LUIS SIN GAS PET 625MLX15 C/STICKER"/>
    <n v="450"/>
    <n v="90"/>
    <n v="180"/>
  </r>
  <r>
    <x v="176"/>
    <s v="DICIEMBRE"/>
    <n v="51"/>
    <s v="JUEVES"/>
    <x v="24"/>
    <s v="MONSTER ENERGY 473MLX4"/>
    <n v="1680"/>
    <n v="420"/>
    <n v="705.6"/>
  </r>
  <r>
    <x v="176"/>
    <s v="DICIEMBRE"/>
    <n v="51"/>
    <s v="JUEVES"/>
    <x v="16"/>
    <s v="SAN LUIS CON GAS PET 625MLX6"/>
    <n v="720"/>
    <n v="180"/>
    <n v="302.39999999999998"/>
  </r>
  <r>
    <x v="176"/>
    <s v="DICIEMBRE"/>
    <n v="51"/>
    <s v="JUEVES"/>
    <x v="29"/>
    <s v="TWO PACK IK PET 1.5LX2 - CRCG"/>
    <n v="216"/>
    <n v="198"/>
    <n v="36.720000000000006"/>
  </r>
  <r>
    <x v="176"/>
    <s v="DICIEMBRE"/>
    <n v="51"/>
    <s v="JUEVES"/>
    <x v="22"/>
    <s v="TWO PACK SCHWEPPES CITRUS PET 1.5LX2"/>
    <n v="396"/>
    <n v="198"/>
    <n v="67.320000000000007"/>
  </r>
  <r>
    <x v="176"/>
    <s v="DICIEMBRE"/>
    <n v="51"/>
    <s v="JUEVES"/>
    <x v="3"/>
    <s v="TWO PACK SCHWEPPES GINGER ALE PET 1.5LX2"/>
    <n v="594"/>
    <n v="198"/>
    <n v="100.98"/>
  </r>
  <r>
    <x v="176"/>
    <s v="DICIEMBRE"/>
    <n v="51"/>
    <s v="JUEVES"/>
    <x v="4"/>
    <s v="COCA-COLA PET 2.25LX2 RF"/>
    <n v="1458"/>
    <n v="162"/>
    <n v="247.86"/>
  </r>
  <r>
    <x v="176"/>
    <s v="DICIEMBRE"/>
    <n v="51"/>
    <s v="JUEVES"/>
    <x v="5"/>
    <s v="INCA KOLA PET 2.25LX2 RF"/>
    <n v="1620"/>
    <n v="162"/>
    <n v="275.40000000000003"/>
  </r>
  <r>
    <x v="176"/>
    <s v="DICIEMBRE"/>
    <n v="51"/>
    <s v="JUEVES"/>
    <x v="6"/>
    <s v="INCA KOLA PET 3LX2 - RF"/>
    <n v="1080"/>
    <n v="120"/>
    <n v="183.60000000000002"/>
  </r>
  <r>
    <x v="176"/>
    <s v="DICIEMBRE"/>
    <n v="51"/>
    <s v="JUEVES"/>
    <x v="9"/>
    <s v="TRIPACK FT NAR+FT KI+SP PET 3L"/>
    <n v="900"/>
    <n v="90"/>
    <n v="153"/>
  </r>
  <r>
    <x v="176"/>
    <s v="DICIEMBRE"/>
    <n v="51"/>
    <s v="JUEVES"/>
    <x v="26"/>
    <s v="TRIPACK CC+CC+IK PFM 3LX3 - RFNN"/>
    <n v="180"/>
    <n v="90"/>
    <n v="30.6"/>
  </r>
  <r>
    <x v="176"/>
    <s v="DICIEMBRE"/>
    <n v="51"/>
    <s v="JUEVES"/>
    <x v="23"/>
    <s v="TRIPACK CC+IK+IK PFM 3LX3 - RFNN"/>
    <n v="1440"/>
    <n v="90"/>
    <n v="244.8"/>
  </r>
  <r>
    <x v="176"/>
    <s v="DICIEMBRE"/>
    <n v="51"/>
    <s v="JUEVES"/>
    <x v="20"/>
    <s v="TRIPACK (FT NAR+SP)PET+IK RF PFM 3L"/>
    <n v="450"/>
    <n v="90"/>
    <n v="76.5"/>
  </r>
  <r>
    <x v="176"/>
    <s v="DICIEMBRE"/>
    <n v="51"/>
    <s v="JUEVES"/>
    <x v="25"/>
    <s v="POWERADE 3MORA+3FRUT PET 473MLX6"/>
    <n v="450"/>
    <n v="225"/>
    <n v="189"/>
  </r>
  <r>
    <x v="176"/>
    <s v="DICIEMBRE"/>
    <n v="51"/>
    <s v="JUEVES"/>
    <x v="12"/>
    <s v="POWERADE ION4 FRUTA PET473X6 MOD (STICK)"/>
    <n v="1125"/>
    <n v="225"/>
    <n v="450"/>
  </r>
  <r>
    <x v="176"/>
    <s v="DICIEMBRE"/>
    <n v="51"/>
    <s v="JUEVES"/>
    <x v="19"/>
    <s v="POWERADE ION4 MORA AZ PET473X6 MOD(STCK)"/>
    <n v="675"/>
    <n v="225"/>
    <n v="270"/>
  </r>
  <r>
    <x v="176"/>
    <s v="DICIEMBRE"/>
    <n v="51"/>
    <s v="JUEVES"/>
    <x v="42"/>
    <s v="FANTA NARANJA PET 500MLX6 BRANDEADO MOD"/>
    <n v="500"/>
    <n v="420"/>
    <n v="210"/>
  </r>
  <r>
    <x v="176"/>
    <s v="DICIEMBRE"/>
    <n v="51"/>
    <s v="JUEVES"/>
    <x v="43"/>
    <s v="SPRITE PET 500MLX6 BRANDEADO MOD"/>
    <n v="750"/>
    <n v="420"/>
    <n v="315"/>
  </r>
  <r>
    <x v="176"/>
    <s v="DICIEMBRE"/>
    <n v="51"/>
    <s v="JUEVES"/>
    <x v="43"/>
    <s v="SPRITE PET 500MLX6 BRANDEADO MOD"/>
    <n v="500"/>
    <n v="420"/>
    <n v="210"/>
  </r>
  <r>
    <x v="176"/>
    <s v="DICIEMBRE"/>
    <n v="51"/>
    <s v="JUEVES"/>
    <x v="24"/>
    <s v="MONSTER ENERGY 473MLX4"/>
    <n v="420"/>
    <n v="420"/>
    <n v="176.4"/>
  </r>
  <r>
    <x v="176"/>
    <s v="DICIEMBRE"/>
    <n v="51"/>
    <s v="JUEVES"/>
    <x v="25"/>
    <s v="POWERADE 3MORA+3FRUT PET 473MLX6"/>
    <n v="900"/>
    <n v="225"/>
    <n v="378"/>
  </r>
  <r>
    <x v="177"/>
    <s v="DICIEMBRE"/>
    <n v="51"/>
    <s v="VIERNES"/>
    <x v="25"/>
    <s v="POWERADE 3MORA+3FRUT PET 473MLX6"/>
    <n v="2250"/>
    <n v="225"/>
    <n v="945"/>
  </r>
  <r>
    <x v="177"/>
    <s v="DICIEMBRE"/>
    <n v="51"/>
    <s v="VIERNES"/>
    <x v="11"/>
    <s v="TRIPACK (CC+IK)PFM+FT PET 3LX3 - RFNN"/>
    <n v="2160"/>
    <n v="90"/>
    <n v="367.20000000000005"/>
  </r>
  <r>
    <x v="177"/>
    <s v="DICIEMBRE"/>
    <n v="51"/>
    <s v="VIERNES"/>
    <x v="23"/>
    <s v="TRIPACK CC+IK+IK PFM 3LX3 - RFNN"/>
    <n v="450"/>
    <n v="90"/>
    <n v="76.5"/>
  </r>
  <r>
    <x v="177"/>
    <s v="DICIEMBRE"/>
    <n v="51"/>
    <s v="VIERNES"/>
    <x v="26"/>
    <s v="TRIPACK CC+CC+IK PFM 3LX3 - RFNN"/>
    <n v="180"/>
    <n v="90"/>
    <n v="30.6"/>
  </r>
  <r>
    <x v="177"/>
    <s v="DICIEMBRE"/>
    <n v="51"/>
    <s v="VIERNES"/>
    <x v="10"/>
    <s v="TWO PACK CC + IK PFM 3LX2 - RFNN"/>
    <n v="2160"/>
    <n v="120"/>
    <n v="367.20000000000005"/>
  </r>
  <r>
    <x v="177"/>
    <s v="DICIEMBRE"/>
    <n v="51"/>
    <s v="VIERNES"/>
    <x v="7"/>
    <s v="COCA-COLA PET 1.5LX2 RF"/>
    <n v="1296"/>
    <n v="198"/>
    <n v="220.32000000000002"/>
  </r>
  <r>
    <x v="177"/>
    <s v="DICIEMBRE"/>
    <n v="51"/>
    <s v="VIERNES"/>
    <x v="22"/>
    <s v="TWO PACK SCHWEPPES CITRUS PET 1.5LX2"/>
    <n v="1188"/>
    <n v="198"/>
    <n v="201.96"/>
  </r>
  <r>
    <x v="177"/>
    <s v="DICIEMBRE"/>
    <n v="51"/>
    <s v="VIERNES"/>
    <x v="1"/>
    <s v="COCA-COLA SIN AZUCAR PET 1.5LX2"/>
    <n v="1296"/>
    <n v="198"/>
    <n v="220.32000000000002"/>
  </r>
  <r>
    <x v="177"/>
    <s v="DICIEMBRE"/>
    <n v="51"/>
    <s v="VIERNES"/>
    <x v="16"/>
    <s v="SAN LUIS CON GAS PET 625MLX6"/>
    <n v="900"/>
    <n v="180"/>
    <n v="378"/>
  </r>
  <r>
    <x v="177"/>
    <s v="DICIEMBRE"/>
    <n v="51"/>
    <s v="VIERNES"/>
    <x v="0"/>
    <s v="SAN LUIS SIN GAS PET2500X6 STICKER"/>
    <n v="720"/>
    <n v="48"/>
    <n v="288"/>
  </r>
  <r>
    <x v="177"/>
    <s v="DICIEMBRE"/>
    <n v="51"/>
    <s v="VIERNES"/>
    <x v="36"/>
    <s v="SAN LUIS SIN GAS PET 625MLX15 C/STICKER"/>
    <n v="990"/>
    <n v="90"/>
    <n v="396"/>
  </r>
  <r>
    <x v="177"/>
    <s v="DICIEMBRE"/>
    <n v="51"/>
    <s v="VIERNES"/>
    <x v="14"/>
    <s v="INCA KOLA VR 296MLX24 - STICKER"/>
    <n v="160"/>
    <n v="40"/>
    <n v="36.800000000000004"/>
  </r>
  <r>
    <x v="177"/>
    <s v="DICIEMBRE"/>
    <n v="51"/>
    <s v="VIERNES"/>
    <x v="13"/>
    <s v="INCA KOLA VR 1.5LX8 - STICKER"/>
    <n v="240"/>
    <n v="30"/>
    <n v="96"/>
  </r>
  <r>
    <x v="177"/>
    <s v="DICIEMBRE"/>
    <n v="51"/>
    <s v="VIERNES"/>
    <x v="28"/>
    <s v="COCA COLA VR 1.5LX8 - STICKER"/>
    <n v="240"/>
    <n v="30"/>
    <n v="55.2"/>
  </r>
  <r>
    <x v="177"/>
    <s v="DICIEMBRE"/>
    <n v="51"/>
    <s v="VIERNES"/>
    <x v="33"/>
    <s v="COCA COLA VR 296MLX24 - STICKER"/>
    <n v="200"/>
    <n v="40"/>
    <n v="46"/>
  </r>
  <r>
    <x v="177"/>
    <s v="DICIEMBRE"/>
    <n v="51"/>
    <s v="VIERNES"/>
    <x v="22"/>
    <s v="TWO PACK SCHWEPPES CITRUS PET 1.5LX2"/>
    <n v="330"/>
    <n v="198"/>
    <n v="56.1"/>
  </r>
  <r>
    <x v="178"/>
    <s v="DICIEMBRE"/>
    <n v="52"/>
    <s v="SÁBADO"/>
    <x v="36"/>
    <s v="SAN LUIS SIN GAS PET 625MLX15 C/STICKER"/>
    <n v="1620"/>
    <n v="90"/>
    <n v="648"/>
  </r>
  <r>
    <x v="178"/>
    <s v="DICIEMBRE"/>
    <n v="52"/>
    <s v="SÁBADO"/>
    <x v="1"/>
    <s v="COCA-COLA SIN AZUCAR PET 1.5LX2"/>
    <n v="1296"/>
    <n v="198"/>
    <n v="220.32000000000002"/>
  </r>
  <r>
    <x v="178"/>
    <s v="DICIEMBRE"/>
    <n v="52"/>
    <s v="SÁBADO"/>
    <x v="2"/>
    <s v="INCA KOLA SIN AZUCAR PET 1.5LX2"/>
    <n v="432"/>
    <n v="198"/>
    <n v="73.440000000000012"/>
  </r>
  <r>
    <x v="178"/>
    <s v="DICIEMBRE"/>
    <n v="52"/>
    <s v="SÁBADO"/>
    <x v="34"/>
    <s v="TWO PACK CC PET 1.5LX2 - CRC"/>
    <n v="648"/>
    <n v="198"/>
    <n v="110.16000000000001"/>
  </r>
  <r>
    <x v="178"/>
    <s v="DICIEMBRE"/>
    <n v="52"/>
    <s v="SÁBADO"/>
    <x v="29"/>
    <s v="TWO PACK IK PET 1.5LX2 - CRCG"/>
    <n v="432"/>
    <n v="198"/>
    <n v="73.440000000000012"/>
  </r>
  <r>
    <x v="178"/>
    <s v="DICIEMBRE"/>
    <n v="52"/>
    <s v="SÁBADO"/>
    <x v="22"/>
    <s v="TWO PACK SCHWEPPES CITRUS PET 1.5LX2"/>
    <n v="792"/>
    <n v="198"/>
    <n v="134.64000000000001"/>
  </r>
  <r>
    <x v="178"/>
    <s v="DICIEMBRE"/>
    <n v="52"/>
    <s v="SÁBADO"/>
    <x v="3"/>
    <s v="TWO PACK SCHWEPPES GINGER ALE PET 1.5LX2"/>
    <n v="396"/>
    <n v="198"/>
    <n v="67.320000000000007"/>
  </r>
  <r>
    <x v="178"/>
    <s v="DICIEMBRE"/>
    <n v="52"/>
    <s v="SÁBADO"/>
    <x v="5"/>
    <s v="INCA KOLA PET 2.25LX2 RF"/>
    <n v="810"/>
    <n v="162"/>
    <n v="137.70000000000002"/>
  </r>
  <r>
    <x v="178"/>
    <s v="DICIEMBRE"/>
    <n v="52"/>
    <s v="SÁBADO"/>
    <x v="6"/>
    <s v="INCA KOLA PET 3LX2 - RF"/>
    <n v="1440"/>
    <n v="120"/>
    <n v="244.8"/>
  </r>
  <r>
    <x v="178"/>
    <s v="DICIEMBRE"/>
    <n v="52"/>
    <s v="SÁBADO"/>
    <x v="7"/>
    <s v="COCA-COLA PET 1.5LX2 RF"/>
    <n v="864"/>
    <n v="198"/>
    <n v="146.88000000000002"/>
  </r>
  <r>
    <x v="178"/>
    <s v="DICIEMBRE"/>
    <n v="52"/>
    <s v="SÁBADO"/>
    <x v="8"/>
    <s v="INCA KOLA PET 1.5LX2 RF"/>
    <n v="432"/>
    <n v="198"/>
    <n v="73.440000000000012"/>
  </r>
  <r>
    <x v="178"/>
    <s v="DICIEMBRE"/>
    <n v="52"/>
    <s v="SÁBADO"/>
    <x v="9"/>
    <s v="TRIPACK FT NAR+FT KI+SP PET 3L"/>
    <n v="450"/>
    <n v="90"/>
    <n v="76.5"/>
  </r>
  <r>
    <x v="178"/>
    <s v="DICIEMBRE"/>
    <n v="52"/>
    <s v="SÁBADO"/>
    <x v="26"/>
    <s v="TRIPACK CC+CC+IK PFM 3LX3 - RFNN"/>
    <n v="720"/>
    <n v="90"/>
    <n v="122.4"/>
  </r>
  <r>
    <x v="178"/>
    <s v="DICIEMBRE"/>
    <n v="52"/>
    <s v="SÁBADO"/>
    <x v="23"/>
    <s v="TRIPACK CC+IK+IK PFM 3LX3 - RFNN"/>
    <n v="1440"/>
    <n v="90"/>
    <n v="244.8"/>
  </r>
  <r>
    <x v="178"/>
    <s v="DICIEMBRE"/>
    <n v="52"/>
    <s v="SÁBADO"/>
    <x v="20"/>
    <s v="TRIPACK (FT NAR+SP)PET+IK RF PFM 3L"/>
    <n v="450"/>
    <n v="90"/>
    <n v="76.5"/>
  </r>
  <r>
    <x v="178"/>
    <s v="DICIEMBRE"/>
    <n v="52"/>
    <s v="SÁBADO"/>
    <x v="25"/>
    <s v="POWERADE 3MORA+3FRUT PET 473MLX6"/>
    <n v="2250"/>
    <n v="225"/>
    <n v="945"/>
  </r>
  <r>
    <x v="178"/>
    <s v="DICIEMBRE"/>
    <n v="52"/>
    <s v="SÁBADO"/>
    <x v="12"/>
    <s v="POWERADE ION4 FRUTA PET473X6 MOD (STICK)"/>
    <n v="450"/>
    <n v="225"/>
    <n v="180"/>
  </r>
  <r>
    <x v="179"/>
    <s v="DICIEMBRE"/>
    <n v="52"/>
    <s v="DOMINGO"/>
    <x v="24"/>
    <s v="MONSTER ENERGY 473MLX4"/>
    <n v="840"/>
    <n v="420"/>
    <n v="352.8"/>
  </r>
  <r>
    <x v="179"/>
    <s v="DICIEMBRE"/>
    <n v="52"/>
    <s v="DOMINGO"/>
    <x v="36"/>
    <s v="SAN LUIS SIN GAS PET 625MLX15 C/STICKER"/>
    <n v="720"/>
    <n v="90"/>
    <n v="288"/>
  </r>
  <r>
    <x v="179"/>
    <s v="DICIEMBRE"/>
    <n v="52"/>
    <s v="DOMINGO"/>
    <x v="24"/>
    <s v="MONSTER ENERGY 473MLX4"/>
    <n v="420"/>
    <n v="420"/>
    <n v="176.4"/>
  </r>
  <r>
    <x v="179"/>
    <s v="DICIEMBRE"/>
    <n v="52"/>
    <s v="DOMINGO"/>
    <x v="36"/>
    <s v="SAN LUIS SIN GAS PET 625MLX15 C/STICKER"/>
    <n v="450"/>
    <n v="90"/>
    <n v="180"/>
  </r>
  <r>
    <x v="180"/>
    <s v="DICIEMBRE"/>
    <n v="52"/>
    <s v="LUNES"/>
    <x v="6"/>
    <s v="INCA KOLA PET 3LX2 - RF"/>
    <n v="600"/>
    <n v="120"/>
    <n v="102.00000000000001"/>
  </r>
  <r>
    <x v="180"/>
    <s v="DICIEMBRE"/>
    <n v="52"/>
    <s v="LUNES"/>
    <x v="36"/>
    <s v="SAN LUIS SIN GAS PET 625MLX15 C/STICKER"/>
    <n v="360"/>
    <n v="90"/>
    <n v="144"/>
  </r>
  <r>
    <x v="180"/>
    <s v="DICIEMBRE"/>
    <n v="52"/>
    <s v="LUNES"/>
    <x v="28"/>
    <s v="COCA COLA VR 1.5LX8 - STICKER"/>
    <n v="210"/>
    <n v="30"/>
    <n v="48.300000000000004"/>
  </r>
  <r>
    <x v="180"/>
    <s v="DICIEMBRE"/>
    <n v="52"/>
    <s v="LUNES"/>
    <x v="13"/>
    <s v="INCA KOLA VR 1.5LX8 - STICKER"/>
    <n v="240"/>
    <n v="30"/>
    <n v="96"/>
  </r>
  <r>
    <x v="180"/>
    <s v="DICIEMBRE"/>
    <n v="52"/>
    <s v="LUNES"/>
    <x v="14"/>
    <s v="INCA KOLA VR 296MLX24 - STICKER"/>
    <n v="80"/>
    <n v="40"/>
    <n v="18.400000000000002"/>
  </r>
  <r>
    <x v="180"/>
    <s v="DICIEMBRE"/>
    <n v="52"/>
    <s v="LUNES"/>
    <x v="36"/>
    <s v="SAN LUIS SIN GAS PET 625MLX15 C/STICKER"/>
    <n v="630"/>
    <n v="90"/>
    <n v="252"/>
  </r>
  <r>
    <x v="180"/>
    <s v="DICIEMBRE"/>
    <n v="52"/>
    <s v="LUNES"/>
    <x v="38"/>
    <s v="SL S/G TAPA PLANA 1LT"/>
    <n v="672"/>
    <n v="112"/>
    <n v="268.8"/>
  </r>
  <r>
    <x v="180"/>
    <s v="DICIEMBRE"/>
    <n v="52"/>
    <s v="LUNES"/>
    <x v="0"/>
    <s v="SAN LUIS SIN GAS PET2500X6 STICKER"/>
    <n v="960"/>
    <n v="48"/>
    <n v="384"/>
  </r>
  <r>
    <x v="180"/>
    <s v="DICIEMBRE"/>
    <n v="52"/>
    <s v="LUNES"/>
    <x v="16"/>
    <s v="SAN LUIS CON GAS PET 625MLX6"/>
    <n v="720"/>
    <n v="180"/>
    <n v="302.39999999999998"/>
  </r>
  <r>
    <x v="180"/>
    <s v="DICIEMBRE"/>
    <n v="52"/>
    <s v="LUNES"/>
    <x v="1"/>
    <s v="COCA-COLA SIN AZUCAR PET 1.5LX2"/>
    <n v="864"/>
    <n v="198"/>
    <n v="146.88000000000002"/>
  </r>
  <r>
    <x v="180"/>
    <s v="DICIEMBRE"/>
    <n v="52"/>
    <s v="LUNES"/>
    <x v="2"/>
    <s v="INCA KOLA SIN AZUCAR PET 1.5LX2"/>
    <n v="864"/>
    <n v="198"/>
    <n v="146.88000000000002"/>
  </r>
  <r>
    <x v="180"/>
    <s v="DICIEMBRE"/>
    <n v="52"/>
    <s v="LUNES"/>
    <x v="4"/>
    <s v="COCA-COLA PET 2.25LX2 RF"/>
    <n v="810"/>
    <n v="162"/>
    <n v="137.70000000000002"/>
  </r>
  <r>
    <x v="180"/>
    <s v="DICIEMBRE"/>
    <n v="52"/>
    <s v="LUNES"/>
    <x v="5"/>
    <s v="INCA KOLA PET 2.25LX2 RF"/>
    <n v="810"/>
    <n v="162"/>
    <n v="137.70000000000002"/>
  </r>
  <r>
    <x v="180"/>
    <s v="DICIEMBRE"/>
    <n v="52"/>
    <s v="LUNES"/>
    <x v="6"/>
    <s v="INCA KOLA PET 3LX2 - RF"/>
    <n v="2760"/>
    <n v="120"/>
    <n v="469.20000000000005"/>
  </r>
  <r>
    <x v="180"/>
    <s v="DICIEMBRE"/>
    <n v="52"/>
    <s v="LUNES"/>
    <x v="23"/>
    <s v="TRIPACK CC+IK+IK PFM 3LX3 - RFNN"/>
    <n v="720"/>
    <n v="90"/>
    <n v="122.4"/>
  </r>
  <r>
    <x v="180"/>
    <s v="DICIEMBRE"/>
    <n v="52"/>
    <s v="LUNES"/>
    <x v="20"/>
    <s v="TRIPACK (FT NAR+SP)PET+IK RF PFM 3L"/>
    <n v="450"/>
    <n v="90"/>
    <n v="76.5"/>
  </r>
  <r>
    <x v="180"/>
    <s v="DICIEMBRE"/>
    <n v="52"/>
    <s v="LUNES"/>
    <x v="12"/>
    <s v="POWERADE ION4 FRUTA PET473X6 MOD (STICK)"/>
    <n v="675"/>
    <n v="225"/>
    <n v="270"/>
  </r>
  <r>
    <x v="180"/>
    <s v="DICIEMBRE"/>
    <n v="52"/>
    <s v="LUNES"/>
    <x v="39"/>
    <s v="MONSTER ENERGY ZERO 473MLX4"/>
    <n v="1260"/>
    <n v="420"/>
    <n v="529.19999999999993"/>
  </r>
  <r>
    <x v="180"/>
    <s v="DICIEMBRE"/>
    <n v="52"/>
    <s v="LUNES"/>
    <x v="24"/>
    <s v="MONSTER ENERGY 473MLX4"/>
    <n v="2940"/>
    <n v="420"/>
    <n v="1234.8"/>
  </r>
  <r>
    <x v="181"/>
    <s v="DICIEMBRE"/>
    <n v="52"/>
    <s v="MARTES"/>
    <x v="28"/>
    <s v="COCA COLA VR 1.5LX8 - STICKER"/>
    <n v="150"/>
    <n v="30"/>
    <n v="34.5"/>
  </r>
  <r>
    <x v="181"/>
    <s v="DICIEMBRE"/>
    <n v="52"/>
    <s v="MARTES"/>
    <x v="33"/>
    <s v="COCA COLA VR 296MLX24 - STICKER"/>
    <n v="160"/>
    <n v="40"/>
    <n v="36.800000000000004"/>
  </r>
  <r>
    <x v="181"/>
    <s v="DICIEMBRE"/>
    <n v="52"/>
    <s v="MARTES"/>
    <x v="15"/>
    <s v="INCA KOLA VR 625MLX12 - STICKER"/>
    <n v="450"/>
    <n v="50"/>
    <n v="180"/>
  </r>
  <r>
    <x v="181"/>
    <s v="DICIEMBRE"/>
    <n v="52"/>
    <s v="MARTES"/>
    <x v="36"/>
    <s v="SAN LUIS SIN GAS PET 625MLX15 C/STICKER"/>
    <n v="540"/>
    <n v="90"/>
    <n v="216"/>
  </r>
  <r>
    <x v="181"/>
    <s v="DICIEMBRE"/>
    <n v="52"/>
    <s v="MARTES"/>
    <x v="40"/>
    <s v="SAN LUIS SPORT S/G 10 Lt x6 "/>
    <n v="448"/>
    <n v="240"/>
    <n v="179.20000000000002"/>
  </r>
  <r>
    <x v="181"/>
    <s v="DICIEMBRE"/>
    <n v="52"/>
    <s v="MARTES"/>
    <x v="0"/>
    <s v="SAN LUIS SIN GAS PET2500X6 STICKER"/>
    <n v="480"/>
    <n v="48"/>
    <n v="192"/>
  </r>
  <r>
    <x v="181"/>
    <s v="DICIEMBRE"/>
    <n v="52"/>
    <s v="MARTES"/>
    <x v="24"/>
    <s v="MONSTER ENERGY 473MLX4"/>
    <n v="1260"/>
    <n v="420"/>
    <n v="529.19999999999993"/>
  </r>
  <r>
    <x v="181"/>
    <s v="DICIEMBRE"/>
    <n v="52"/>
    <s v="MARTES"/>
    <x v="39"/>
    <s v="MONSTER ENERGY ZERO 473MLX4"/>
    <n v="420"/>
    <n v="420"/>
    <n v="176.4"/>
  </r>
  <r>
    <x v="181"/>
    <s v="DICIEMBRE"/>
    <n v="52"/>
    <s v="MARTES"/>
    <x v="22"/>
    <s v="TWO PACK SCHWEPPES CITRUS PET 1.5LX2"/>
    <n v="594"/>
    <n v="198"/>
    <n v="100.98"/>
  </r>
  <r>
    <x v="181"/>
    <s v="DICIEMBRE"/>
    <n v="52"/>
    <s v="MARTES"/>
    <x v="3"/>
    <s v="TWO PACK SCHWEPPES GINGER ALE PET 1.5LX2"/>
    <n v="198"/>
    <n v="198"/>
    <n v="33.660000000000004"/>
  </r>
  <r>
    <x v="181"/>
    <s v="DICIEMBRE"/>
    <n v="52"/>
    <s v="MARTES"/>
    <x v="4"/>
    <s v="COCA-COLA PET 2.25LX2 RF"/>
    <n v="486"/>
    <n v="162"/>
    <n v="82.62"/>
  </r>
  <r>
    <x v="181"/>
    <s v="DICIEMBRE"/>
    <n v="52"/>
    <s v="MARTES"/>
    <x v="6"/>
    <s v="INCA KOLA PET 3LX2 - RF"/>
    <n v="2400"/>
    <n v="120"/>
    <n v="408.00000000000006"/>
  </r>
  <r>
    <x v="181"/>
    <s v="DICIEMBRE"/>
    <n v="52"/>
    <s v="MARTES"/>
    <x v="17"/>
    <s v="TWO PACK CC PFM 3LX2 - RFCC"/>
    <n v="480"/>
    <n v="120"/>
    <n v="81.600000000000009"/>
  </r>
  <r>
    <x v="181"/>
    <s v="DICIEMBRE"/>
    <n v="52"/>
    <s v="MARTES"/>
    <x v="7"/>
    <s v="COCA-COLA PET 1.5LX2 RF"/>
    <n v="864"/>
    <n v="198"/>
    <n v="146.88000000000002"/>
  </r>
  <r>
    <x v="181"/>
    <s v="DICIEMBRE"/>
    <n v="52"/>
    <s v="MARTES"/>
    <x v="9"/>
    <s v="TRIPACK FT NAR+FT KI+SP PET 3L"/>
    <n v="720"/>
    <n v="90"/>
    <n v="122.4"/>
  </r>
  <r>
    <x v="181"/>
    <s v="DICIEMBRE"/>
    <n v="52"/>
    <s v="MARTES"/>
    <x v="26"/>
    <s v="TRIPACK CC+CC+IK PFM 3LX3 - RFNN"/>
    <n v="720"/>
    <n v="90"/>
    <n v="122.4"/>
  </r>
  <r>
    <x v="181"/>
    <s v="DICIEMBRE"/>
    <n v="52"/>
    <s v="MARTES"/>
    <x v="23"/>
    <s v="TRIPACK CC+IK+IK PFM 3LX3 - RFNN"/>
    <n v="720"/>
    <n v="90"/>
    <n v="122.4"/>
  </r>
  <r>
    <x v="181"/>
    <s v="DICIEMBRE"/>
    <n v="52"/>
    <s v="MARTES"/>
    <x v="11"/>
    <s v="TRIPACK (CC+IK)PFM+FT PET 3LX3 - RFNN"/>
    <n v="2160"/>
    <n v="90"/>
    <n v="367.20000000000005"/>
  </r>
  <r>
    <x v="181"/>
    <s v="DICIEMBRE"/>
    <n v="52"/>
    <s v="MARTES"/>
    <x v="12"/>
    <s v="POWERADE ION4 FRUTA PET473X6 MOD (STICK)"/>
    <n v="450"/>
    <n v="225"/>
    <n v="180"/>
  </r>
  <r>
    <x v="181"/>
    <s v="DICIEMBRE"/>
    <n v="52"/>
    <s v="MARTES"/>
    <x v="19"/>
    <s v="POWERADE ION4 MORA AZ PET473X6 MOD(STCK)"/>
    <n v="900"/>
    <n v="225"/>
    <n v="360"/>
  </r>
  <r>
    <x v="181"/>
    <s v="DICIEMBRE"/>
    <n v="52"/>
    <s v="MARTES"/>
    <x v="42"/>
    <s v="FANTA NARANJA PET 500MLX6 BRANDEADO MOD"/>
    <n v="750"/>
    <n v="420"/>
    <n v="315"/>
  </r>
  <r>
    <x v="181"/>
    <s v="DICIEMBRE"/>
    <n v="52"/>
    <s v="MARTES"/>
    <x v="38"/>
    <s v="SL S/G TAPA PLANA 1LT"/>
    <n v="672"/>
    <n v="112"/>
    <n v="268.8"/>
  </r>
  <r>
    <x v="181"/>
    <s v="DICIEMBRE"/>
    <n v="52"/>
    <s v="MARTES"/>
    <x v="36"/>
    <s v="SAN LUIS SIN GAS PET 625MLX15 C/STICKER"/>
    <n v="1800"/>
    <n v="90"/>
    <n v="720"/>
  </r>
  <r>
    <x v="181"/>
    <s v="DICIEMBRE"/>
    <n v="52"/>
    <s v="MARTES"/>
    <x v="40"/>
    <s v="SAN LUIS SPORT S/G 10 Lt x6 "/>
    <n v="224"/>
    <n v="240"/>
    <n v="89.600000000000009"/>
  </r>
  <r>
    <x v="182"/>
    <s v="DICIEMBRE"/>
    <n v="52"/>
    <s v="MIÉRCOLES"/>
    <x v="36"/>
    <s v="SAN LUIS SIN GAS PET 625MLX15 C/STICKER"/>
    <n v="1440"/>
    <n v="90"/>
    <n v="576"/>
  </r>
  <r>
    <x v="182"/>
    <s v="DICIEMBRE"/>
    <m/>
    <m/>
    <x v="6"/>
    <s v="INCA KOLA PET 3LX2 - RF"/>
    <n v="1200"/>
    <n v="120"/>
    <n v="204.00000000000003"/>
  </r>
  <r>
    <x v="182"/>
    <s v="DICIEMBRE"/>
    <n v="52"/>
    <s v="MIÉRCOLES"/>
    <x v="28"/>
    <s v="COCA COLA VR 1.5LX8 - STICKER"/>
    <n v="210"/>
    <n v="30"/>
    <n v="48.300000000000004"/>
  </r>
  <r>
    <x v="182"/>
    <s v="DICIEMBRE"/>
    <n v="52"/>
    <s v="MIÉRCOLES"/>
    <x v="13"/>
    <s v="INCA KOLA VR 1.5LX8 - STICKER"/>
    <n v="300"/>
    <n v="30"/>
    <n v="120"/>
  </r>
  <r>
    <x v="182"/>
    <s v="DICIEMBRE"/>
    <n v="52"/>
    <s v="MIÉRCOLES"/>
    <x v="14"/>
    <s v="INCA KOLA VR 296MLX24 - STICKER"/>
    <n v="80"/>
    <n v="40"/>
    <n v="18.400000000000002"/>
  </r>
  <r>
    <x v="182"/>
    <s v="DICIEMBRE"/>
    <n v="52"/>
    <s v="MIÉRCOLES"/>
    <x v="15"/>
    <s v="INCA KOLA VR 625MLX12 - STICKER"/>
    <n v="300"/>
    <n v="50"/>
    <n v="120"/>
  </r>
  <r>
    <x v="182"/>
    <s v="DICIEMBRE"/>
    <n v="52"/>
    <s v="MIÉRCOLES"/>
    <x v="36"/>
    <s v="SAN LUIS SIN GAS PET 625MLX15 C/STICKER"/>
    <n v="1800"/>
    <n v="90"/>
    <n v="720"/>
  </r>
  <r>
    <x v="182"/>
    <s v="DICIEMBRE"/>
    <n v="52"/>
    <s v="MIÉRCOLES"/>
    <x v="0"/>
    <s v="SAN LUIS SIN GAS PET2500X6 STICKER"/>
    <n v="1056"/>
    <n v="48"/>
    <n v="422.40000000000003"/>
  </r>
  <r>
    <x v="182"/>
    <s v="DICIEMBRE"/>
    <n v="52"/>
    <s v="MIÉRCOLES"/>
    <x v="16"/>
    <s v="SAN LUIS CON GAS PET 625MLX6"/>
    <n v="180"/>
    <n v="180"/>
    <n v="75.599999999999994"/>
  </r>
  <r>
    <x v="182"/>
    <s v="DICIEMBRE"/>
    <n v="52"/>
    <s v="MIÉRCOLES"/>
    <x v="2"/>
    <s v="INCA KOLA SIN AZUCAR PET 1.5LX2"/>
    <n v="1296"/>
    <n v="198"/>
    <n v="220.32000000000002"/>
  </r>
  <r>
    <x v="182"/>
    <s v="DICIEMBRE"/>
    <n v="52"/>
    <s v="MIÉRCOLES"/>
    <x v="22"/>
    <s v="TWO PACK SCHWEPPES CITRUS PET 1.5LX2"/>
    <n v="1188"/>
    <n v="198"/>
    <n v="201.96"/>
  </r>
  <r>
    <x v="182"/>
    <s v="DICIEMBRE"/>
    <n v="52"/>
    <s v="MIÉRCOLES"/>
    <x v="3"/>
    <s v="TWO PACK SCHWEPPES GINGER ALE PET 1.5LX2"/>
    <n v="1584"/>
    <n v="198"/>
    <n v="269.28000000000003"/>
  </r>
  <r>
    <x v="182"/>
    <s v="DICIEMBRE"/>
    <n v="52"/>
    <s v="MIÉRCOLES"/>
    <x v="4"/>
    <s v="COCA-COLA PET 2.25LX2 RF"/>
    <n v="810"/>
    <n v="162"/>
    <n v="137.70000000000002"/>
  </r>
  <r>
    <x v="182"/>
    <s v="DICIEMBRE"/>
    <n v="52"/>
    <s v="MIÉRCOLES"/>
    <x v="5"/>
    <s v="INCA KOLA PET 2.25LX2 RF"/>
    <n v="972"/>
    <n v="162"/>
    <n v="165.24"/>
  </r>
  <r>
    <x v="182"/>
    <s v="DICIEMBRE"/>
    <n v="52"/>
    <s v="MIÉRCOLES"/>
    <x v="17"/>
    <s v="TWO PACK CC PFM 3LX2 - RFCC"/>
    <n v="1200"/>
    <n v="120"/>
    <n v="204.00000000000003"/>
  </r>
  <r>
    <x v="182"/>
    <s v="DICIEMBRE"/>
    <n v="52"/>
    <s v="MIÉRCOLES"/>
    <x v="7"/>
    <s v="COCA-COLA PET 1.5LX2 RF"/>
    <n v="2808"/>
    <n v="198"/>
    <n v="477.36"/>
  </r>
  <r>
    <x v="182"/>
    <s v="DICIEMBRE"/>
    <n v="52"/>
    <s v="MIÉRCOLES"/>
    <x v="8"/>
    <s v="INCA KOLA PET 1.5LX2 RF"/>
    <n v="1728"/>
    <n v="198"/>
    <n v="293.76000000000005"/>
  </r>
  <r>
    <x v="182"/>
    <s v="DICIEMBRE"/>
    <n v="52"/>
    <s v="MIÉRCOLES"/>
    <x v="10"/>
    <s v="TWO PACK CC + IK PFM 3LX2 - RFNN"/>
    <n v="2640"/>
    <n v="120"/>
    <n v="448.8"/>
  </r>
  <r>
    <x v="182"/>
    <s v="DICIEMBRE"/>
    <n v="52"/>
    <s v="MIÉRCOLES"/>
    <x v="12"/>
    <s v="POWERADE ION4 FRUTA PET473X6 MOD (STICK)"/>
    <n v="900"/>
    <n v="225"/>
    <n v="360"/>
  </r>
  <r>
    <x v="182"/>
    <s v="DICIEMBRE"/>
    <n v="52"/>
    <s v="MIÉRCOLES"/>
    <x v="19"/>
    <s v="POWERADE ION4 MORA AZ PET473X6 MOD(STCK)"/>
    <n v="450"/>
    <n v="225"/>
    <n v="180"/>
  </r>
  <r>
    <x v="182"/>
    <s v="DICIEMBRE"/>
    <n v="52"/>
    <s v="MIÉRCOLES"/>
    <x v="42"/>
    <s v="FANTA NARANJA PET 500MLX6 BRANDEADO MOD"/>
    <n v="500"/>
    <n v="420"/>
    <n v="210"/>
  </r>
  <r>
    <x v="182"/>
    <s v="DICIEMBRE"/>
    <n v="52"/>
    <s v="MIÉRCOLES"/>
    <x v="6"/>
    <s v="INCA KOLA PET 3LX2 - RF"/>
    <n v="1200"/>
    <n v="120"/>
    <n v="204.00000000000003"/>
  </r>
  <r>
    <x v="183"/>
    <s v="DICIEMBRE"/>
    <n v="52"/>
    <s v="JUEVES"/>
    <x v="0"/>
    <s v="SAN LUIS SIN GAS PET2500X6 STICKER"/>
    <n v="960"/>
    <n v="48"/>
    <n v="384"/>
  </r>
  <r>
    <x v="183"/>
    <s v="DICIEMBRE"/>
    <n v="52"/>
    <s v="JUEVES"/>
    <x v="16"/>
    <s v="SAN LUIS CON GAS PET 625MLX6"/>
    <n v="900"/>
    <n v="180"/>
    <n v="378"/>
  </r>
  <r>
    <x v="183"/>
    <s v="DICIEMBRE"/>
    <n v="52"/>
    <s v="JUEVES"/>
    <x v="1"/>
    <s v="COCA-COLA SIN AZUCAR PET 1.5LX2"/>
    <n v="2376"/>
    <n v="198"/>
    <n v="403.92"/>
  </r>
  <r>
    <x v="183"/>
    <s v="DICIEMBRE"/>
    <n v="52"/>
    <s v="JUEVES"/>
    <x v="2"/>
    <s v="INCA KOLA SIN AZUCAR PET 1.5LX2"/>
    <n v="2376"/>
    <n v="198"/>
    <n v="403.92"/>
  </r>
  <r>
    <x v="183"/>
    <s v="DICIEMBRE"/>
    <n v="52"/>
    <s v="JUEVES"/>
    <x v="22"/>
    <s v="TWO PACK SCHWEPPES CITRUS PET 1.5LX2"/>
    <n v="1980"/>
    <n v="198"/>
    <n v="336.6"/>
  </r>
  <r>
    <x v="183"/>
    <s v="DICIEMBRE"/>
    <n v="52"/>
    <s v="JUEVES"/>
    <x v="3"/>
    <s v="TWO PACK SCHWEPPES GINGER ALE PET 1.5LX2"/>
    <n v="990"/>
    <n v="198"/>
    <n v="168.3"/>
  </r>
  <r>
    <x v="183"/>
    <s v="DICIEMBRE"/>
    <n v="52"/>
    <s v="JUEVES"/>
    <x v="4"/>
    <s v="COCA-COLA PET 2.25LX2 RF"/>
    <n v="1296"/>
    <n v="162"/>
    <n v="220.32000000000002"/>
  </r>
  <r>
    <x v="183"/>
    <s v="DICIEMBRE"/>
    <n v="52"/>
    <s v="JUEVES"/>
    <x v="17"/>
    <s v="TWO PACK CC PFM 3LX2 - RFCC"/>
    <n v="1560"/>
    <n v="120"/>
    <n v="265.20000000000005"/>
  </r>
  <r>
    <x v="183"/>
    <s v="DICIEMBRE"/>
    <n v="52"/>
    <s v="JUEVES"/>
    <x v="7"/>
    <s v="COCA-COLA PET 1.5LX2 RF"/>
    <n v="2592"/>
    <n v="198"/>
    <n v="440.64000000000004"/>
  </r>
  <r>
    <x v="183"/>
    <s v="DICIEMBRE"/>
    <n v="52"/>
    <s v="JUEVES"/>
    <x v="8"/>
    <s v="INCA KOLA PET 1.5LX2 RF"/>
    <n v="1728"/>
    <n v="198"/>
    <n v="293.76000000000005"/>
  </r>
  <r>
    <x v="183"/>
    <s v="DICIEMBRE"/>
    <n v="52"/>
    <s v="JUEVES"/>
    <x v="10"/>
    <s v="TWO PACK CC + IK PFM 3LX2 - RFNN"/>
    <n v="6000"/>
    <n v="120"/>
    <n v="1020.0000000000001"/>
  </r>
  <r>
    <x v="183"/>
    <s v="DICIEMBRE"/>
    <n v="52"/>
    <s v="JUEVES"/>
    <x v="11"/>
    <s v="TRIPACK (CC+IK)PFM+FT PET 3LX3 - RFNN"/>
    <n v="2880"/>
    <n v="90"/>
    <n v="489.6"/>
  </r>
  <r>
    <x v="183"/>
    <s v="DICIEMBRE"/>
    <n v="52"/>
    <s v="JUEVES"/>
    <x v="25"/>
    <s v="POWERADE 3MORA+3FRUT PET 473MLX6"/>
    <n v="2250"/>
    <n v="225"/>
    <n v="945"/>
  </r>
  <r>
    <x v="183"/>
    <s v="DICIEMBRE"/>
    <n v="52"/>
    <s v="JUEVES"/>
    <x v="6"/>
    <s v="INCA KOLA PET 3LX2 - RF"/>
    <n v="2880"/>
    <n v="120"/>
    <n v="489.6"/>
  </r>
  <r>
    <x v="183"/>
    <s v="DICIEMBRE"/>
    <n v="52"/>
    <s v="JUEVES"/>
    <x v="36"/>
    <s v="SAN LUIS SIN GAS PET 625MLX15 C/STICKER"/>
    <n v="900"/>
    <n v="90"/>
    <n v="360"/>
  </r>
  <r>
    <x v="183"/>
    <s v="DICIEMBRE"/>
    <n v="52"/>
    <s v="JUEVES"/>
    <x v="23"/>
    <s v="TRIPACK CC+IK+IK PFM 3LX3 - RFNN"/>
    <n v="450"/>
    <n v="90"/>
    <n v="76.5"/>
  </r>
  <r>
    <x v="183"/>
    <s v="DICIEMBRE"/>
    <n v="52"/>
    <s v="JUEVES"/>
    <x v="11"/>
    <s v="TRIPACK (CC+IK)PFM+FT PET 3LX3 - RFNN"/>
    <n v="270"/>
    <n v="90"/>
    <n v="45.900000000000006"/>
  </r>
  <r>
    <x v="183"/>
    <s v="DICIEMBRE"/>
    <n v="52"/>
    <s v="JUEVES"/>
    <x v="20"/>
    <s v="TRIPACK (FT NAR+SP)PET+IK RF PFM 3L"/>
    <n v="270"/>
    <n v="90"/>
    <n v="45.900000000000006"/>
  </r>
  <r>
    <x v="183"/>
    <s v="DICIEMBRE"/>
    <n v="52"/>
    <s v="JUEVES"/>
    <x v="2"/>
    <s v="INCA KOLA SIN AZUCAR PET 1.5LX2"/>
    <n v="432"/>
    <n v="198"/>
    <n v="73.440000000000012"/>
  </r>
  <r>
    <x v="183"/>
    <s v="DICIEMBRE"/>
    <n v="52"/>
    <s v="JUEVES"/>
    <x v="17"/>
    <s v="TWO PACK CC PFM 3LX2 - RFCC"/>
    <n v="240"/>
    <n v="120"/>
    <n v="40.800000000000004"/>
  </r>
  <r>
    <x v="183"/>
    <s v="DICIEMBRE"/>
    <n v="52"/>
    <s v="JUEVES"/>
    <x v="5"/>
    <s v="INCA KOLA PET 2.25LX2 RF"/>
    <n v="972"/>
    <n v="162"/>
    <n v="165.24"/>
  </r>
  <r>
    <x v="183"/>
    <s v="DICIEMBRE"/>
    <n v="52"/>
    <s v="JUEVES"/>
    <x v="3"/>
    <s v="TWO PACK SCHWEPPES GINGER ALE PET 1.5LX2"/>
    <n v="396"/>
    <n v="198"/>
    <n v="67.320000000000007"/>
  </r>
  <r>
    <x v="184"/>
    <s v="DICIEMBRE"/>
    <n v="52"/>
    <s v="VIERNES"/>
    <x v="33"/>
    <s v="COCA COLA VR 296MLX24 - STICKER"/>
    <n v="80"/>
    <n v="40"/>
    <n v="18.400000000000002"/>
  </r>
  <r>
    <x v="184"/>
    <s v="DICIEMBRE"/>
    <n v="52"/>
    <s v="VIERNES"/>
    <x v="13"/>
    <s v="INCA KOLA VR 1.5LX8 - STICKER"/>
    <n v="300"/>
    <n v="30"/>
    <n v="120"/>
  </r>
  <r>
    <x v="184"/>
    <s v="DICIEMBRE"/>
    <n v="52"/>
    <s v="VIERNES"/>
    <x v="16"/>
    <s v="SAN LUIS CON GAS PET 625MLX6"/>
    <n v="1440"/>
    <n v="180"/>
    <n v="604.79999999999995"/>
  </r>
  <r>
    <x v="184"/>
    <s v="DICIEMBRE"/>
    <n v="52"/>
    <s v="VIERNES"/>
    <x v="3"/>
    <s v="TWO PACK SCHWEPPES GINGER ALE PET 1.5LX2"/>
    <n v="1188"/>
    <n v="198"/>
    <n v="201.96"/>
  </r>
  <r>
    <x v="184"/>
    <s v="DICIEMBRE"/>
    <n v="52"/>
    <s v="VIERNES"/>
    <x v="4"/>
    <s v="COCA-COLA PET 2.25LX2 RF"/>
    <n v="324"/>
    <n v="162"/>
    <n v="55.080000000000005"/>
  </r>
  <r>
    <x v="184"/>
    <s v="DICIEMBRE"/>
    <n v="52"/>
    <s v="VIERNES"/>
    <x v="6"/>
    <s v="INCA KOLA PET 3LX2 - RF"/>
    <n v="4080"/>
    <n v="120"/>
    <n v="693.6"/>
  </r>
  <r>
    <x v="184"/>
    <s v="DICIEMBRE"/>
    <n v="52"/>
    <s v="VIERNES"/>
    <x v="7"/>
    <s v="COCA-COLA PET 1.5LX2 RF"/>
    <n v="1080"/>
    <n v="198"/>
    <n v="183.60000000000002"/>
  </r>
  <r>
    <x v="184"/>
    <s v="DICIEMBRE"/>
    <n v="52"/>
    <s v="VIERNES"/>
    <x v="8"/>
    <s v="INCA KOLA PET 1.5LX2 RF"/>
    <n v="2160"/>
    <n v="198"/>
    <n v="367.20000000000005"/>
  </r>
  <r>
    <x v="184"/>
    <s v="DICIEMBRE"/>
    <n v="52"/>
    <s v="VIERNES"/>
    <x v="9"/>
    <s v="TRIPACK FT NAR+FT KI+SP PET 3L"/>
    <n v="900"/>
    <n v="90"/>
    <n v="153"/>
  </r>
  <r>
    <x v="184"/>
    <s v="DICIEMBRE"/>
    <n v="52"/>
    <s v="VIERNES"/>
    <x v="10"/>
    <s v="TWO PACK CC + IK PFM 3LX2 - RFNN"/>
    <n v="4800"/>
    <n v="120"/>
    <n v="816.00000000000011"/>
  </r>
  <r>
    <x v="184"/>
    <s v="DICIEMBRE"/>
    <n v="52"/>
    <s v="VIERNES"/>
    <x v="23"/>
    <s v="TRIPACK CC+IK+IK PFM 3LX3 - RFNN"/>
    <n v="990"/>
    <n v="90"/>
    <n v="168.3"/>
  </r>
  <r>
    <x v="184"/>
    <s v="DICIEMBRE"/>
    <n v="52"/>
    <s v="VIERNES"/>
    <x v="25"/>
    <s v="POWERADE 3MORA+3FRUT PET 473MLX6"/>
    <n v="900"/>
    <n v="225"/>
    <n v="378"/>
  </r>
  <r>
    <x v="184"/>
    <s v="DICIEMBRE"/>
    <n v="52"/>
    <s v="VIERNES"/>
    <x v="24"/>
    <s v="MONSTER ENERGY 473MLX4"/>
    <n v="420"/>
    <n v="420"/>
    <n v="176.4"/>
  </r>
  <r>
    <x v="184"/>
    <s v="DICIEMBRE"/>
    <n v="52"/>
    <s v="VIERNES"/>
    <x v="11"/>
    <s v="TRIPACK (CC+IK)PFM+FT PET 3LX3 - RFNN"/>
    <n v="2160"/>
    <n v="90"/>
    <n v="367.20000000000005"/>
  </r>
  <r>
    <x v="185"/>
    <s v="DICIEMBRE"/>
    <n v="53"/>
    <s v="LUNES"/>
    <x v="33"/>
    <s v="COCA COLA VR 296MLX24 - STICKER"/>
    <n v="80"/>
    <n v="40"/>
    <n v="18.400000000000002"/>
  </r>
  <r>
    <x v="185"/>
    <s v="DICIEMBRE"/>
    <n v="53"/>
    <s v="LUNES"/>
    <x v="40"/>
    <s v="SAN LUIS SPORT S/G 10 Lt x6 "/>
    <n v="448"/>
    <n v="240"/>
    <n v="179.20000000000002"/>
  </r>
  <r>
    <x v="185"/>
    <s v="DICIEMBRE"/>
    <n v="53"/>
    <s v="LUNES"/>
    <x v="0"/>
    <s v="SAN LUIS SIN GAS PET2500X6 STICKER"/>
    <n v="960"/>
    <n v="48"/>
    <n v="384"/>
  </r>
  <r>
    <x v="185"/>
    <s v="DICIEMBRE"/>
    <n v="53"/>
    <s v="LUNES"/>
    <x v="6"/>
    <s v="INCA KOLA PET 3LX2 - RF"/>
    <n v="3360"/>
    <n v="120"/>
    <n v="571.20000000000005"/>
  </r>
  <r>
    <x v="185"/>
    <s v="DICIEMBRE"/>
    <n v="53"/>
    <s v="LUNES"/>
    <x v="9"/>
    <s v="TRIPACK FT NAR+FT KI+SP PET 3L"/>
    <n v="2160"/>
    <n v="90"/>
    <n v="367.20000000000005"/>
  </r>
  <r>
    <x v="185"/>
    <s v="DICIEMBRE"/>
    <n v="53"/>
    <s v="LUNES"/>
    <x v="10"/>
    <s v="TWO PACK CC + IK PFM 3LX2 - RFNN"/>
    <n v="2160"/>
    <n v="120"/>
    <n v="367.20000000000005"/>
  </r>
  <r>
    <x v="185"/>
    <s v="DICIEMBRE"/>
    <n v="53"/>
    <s v="LUNES"/>
    <x v="7"/>
    <s v="COCA-COLA PET 1.5LX2 RF"/>
    <n v="1440"/>
    <n v="198"/>
    <n v="244.8"/>
  </r>
  <r>
    <x v="185"/>
    <s v="DICIEMBRE"/>
    <n v="53"/>
    <s v="LUNES"/>
    <x v="11"/>
    <s v="TRIPACK (CC+IK)PFM+FT PET 3LX3 - RFNN"/>
    <n v="3690"/>
    <n v="90"/>
    <n v="627.30000000000007"/>
  </r>
  <r>
    <x v="185"/>
    <s v="DICIEMBRE"/>
    <n v="53"/>
    <s v="LUNES"/>
    <x v="25"/>
    <s v="POWERADE 3MORA+3FRUT PET 473MLX6"/>
    <n v="1350"/>
    <n v="225"/>
    <n v="567"/>
  </r>
  <r>
    <x v="185"/>
    <s v="DICIEMBRE"/>
    <n v="53"/>
    <s v="LUNES"/>
    <x v="43"/>
    <s v="SPRITE PET 500MLX6 BRANDEADO MOD"/>
    <n v="1500"/>
    <n v="420"/>
    <n v="630"/>
  </r>
  <r>
    <x v="185"/>
    <s v="DICIEMBRE"/>
    <n v="53"/>
    <s v="LUNES"/>
    <x v="30"/>
    <s v="INCA KOLA SA PET 500MLX6 - C/STICKER"/>
    <n v="1440"/>
    <n v="250"/>
    <n v="331.2"/>
  </r>
  <r>
    <x v="185"/>
    <s v="DICIEMBRE"/>
    <n v="53"/>
    <s v="LUNES"/>
    <x v="10"/>
    <s v="TWO PACK CC + IK PFM 3LX2 - RFNN"/>
    <n v="8640"/>
    <n v="120"/>
    <n v="1468.8000000000002"/>
  </r>
  <r>
    <x v="185"/>
    <s v="DICIEMBRE"/>
    <n v="53"/>
    <s v="LUNES"/>
    <x v="6"/>
    <s v="INCA KOLA PET 3LX2 - RF"/>
    <n v="240"/>
    <n v="120"/>
    <n v="40.800000000000004"/>
  </r>
  <r>
    <x v="185"/>
    <s v="DICIEMBRE"/>
    <n v="53"/>
    <s v="LUNES"/>
    <x v="11"/>
    <s v="TRIPACK (CC+IK)PFM+FT PET 3LX3 - RFNN"/>
    <n v="810"/>
    <n v="90"/>
    <n v="137.70000000000002"/>
  </r>
  <r>
    <x v="185"/>
    <s v="DICIEMBRE"/>
    <n v="53"/>
    <s v="LUNES"/>
    <x v="30"/>
    <s v="INCA KOLA SA PET 500MLX6 - C/STICKER"/>
    <n v="250"/>
    <n v="250"/>
    <n v="57.5"/>
  </r>
  <r>
    <x v="186"/>
    <s v="DICIEMBRE"/>
    <n v="53"/>
    <s v="MARTES"/>
    <x v="28"/>
    <s v="COCA COLA VR 1.5LX8 - STICKER"/>
    <n v="150"/>
    <n v="30"/>
    <n v="34.5"/>
  </r>
  <r>
    <x v="186"/>
    <s v="DICIEMBRE"/>
    <n v="53"/>
    <s v="MARTES"/>
    <x v="38"/>
    <s v="SL S/G TAPA PLANA 1LT"/>
    <n v="1120"/>
    <n v="112"/>
    <n v="448"/>
  </r>
  <r>
    <x v="186"/>
    <s v="DICIEMBRE"/>
    <n v="53"/>
    <s v="MARTES"/>
    <x v="0"/>
    <s v="SAN LUIS SIN GAS PET2500X6 STICKER"/>
    <n v="1920"/>
    <n v="48"/>
    <n v="768"/>
  </r>
  <r>
    <x v="186"/>
    <s v="DICIEMBRE"/>
    <n v="53"/>
    <s v="MARTES"/>
    <x v="24"/>
    <s v="MONSTER ENERGY 473MLX4"/>
    <n v="420"/>
    <n v="420"/>
    <n v="176.4"/>
  </r>
  <r>
    <x v="186"/>
    <s v="DICIEMBRE"/>
    <n v="53"/>
    <s v="MARTES"/>
    <x v="39"/>
    <s v="MONSTER ENERGY ZERO 473MLX4"/>
    <n v="420"/>
    <n v="420"/>
    <n v="176.4"/>
  </r>
  <r>
    <x v="186"/>
    <s v="DICIEMBRE"/>
    <n v="53"/>
    <s v="MARTES"/>
    <x v="3"/>
    <s v="TWO PACK SCHWEPPES GINGER ALE PET 1.5LX2"/>
    <n v="396"/>
    <n v="198"/>
    <n v="67.320000000000007"/>
  </r>
  <r>
    <x v="186"/>
    <s v="DICIEMBRE"/>
    <n v="53"/>
    <s v="MARTES"/>
    <x v="6"/>
    <s v="INCA KOLA PET 3LX2 - RF"/>
    <n v="1080"/>
    <n v="120"/>
    <n v="183.60000000000002"/>
  </r>
  <r>
    <x v="186"/>
    <s v="DICIEMBRE"/>
    <n v="53"/>
    <s v="MARTES"/>
    <x v="17"/>
    <s v="TWO PACK CC PFM 3LX2 - RFCC"/>
    <n v="3000"/>
    <n v="120"/>
    <n v="510.00000000000006"/>
  </r>
  <r>
    <x v="186"/>
    <s v="DICIEMBRE"/>
    <n v="53"/>
    <s v="MARTES"/>
    <x v="8"/>
    <s v="INCA KOLA PET 1.5LX2 RF"/>
    <n v="1080"/>
    <n v="198"/>
    <n v="183.60000000000002"/>
  </r>
  <r>
    <x v="186"/>
    <s v="DICIEMBRE"/>
    <n v="53"/>
    <s v="MARTES"/>
    <x v="9"/>
    <s v="TRIPACK FT NAR+FT KI+SP PET 3L"/>
    <n v="1440"/>
    <n v="90"/>
    <n v="244.8"/>
  </r>
  <r>
    <x v="186"/>
    <s v="DICIEMBRE"/>
    <n v="53"/>
    <s v="MARTES"/>
    <x v="10"/>
    <s v="TWO PACK CC + IK PFM 3LX2 - RFNN"/>
    <n v="3840"/>
    <n v="120"/>
    <n v="652.80000000000007"/>
  </r>
  <r>
    <x v="186"/>
    <s v="DICIEMBRE"/>
    <n v="53"/>
    <s v="MARTES"/>
    <x v="11"/>
    <s v="TRIPACK (CC+IK)PFM+FT PET 3LX3 - RFNN"/>
    <n v="2160"/>
    <n v="90"/>
    <n v="367.20000000000005"/>
  </r>
  <r>
    <x v="186"/>
    <s v="DICIEMBRE"/>
    <n v="53"/>
    <s v="MARTES"/>
    <x v="20"/>
    <s v="TRIPACK (FT NAR+SP)PET+IK RF PFM 3L"/>
    <n v="2160"/>
    <n v="90"/>
    <n v="367.20000000000005"/>
  </r>
  <r>
    <x v="186"/>
    <s v="DICIEMBRE"/>
    <n v="53"/>
    <s v="MARTES"/>
    <x v="12"/>
    <s v="POWERADE ION4 FRUTA PET473X6 MOD (STICK)"/>
    <n v="900"/>
    <n v="225"/>
    <n v="360"/>
  </r>
  <r>
    <x v="186"/>
    <s v="DICIEMBRE"/>
    <n v="53"/>
    <s v="MARTES"/>
    <x v="42"/>
    <s v="FANTA NARANJA PET 500MLX6 BRANDEADO MOD"/>
    <n v="750"/>
    <n v="420"/>
    <n v="315"/>
  </r>
  <r>
    <x v="186"/>
    <s v="DICIEMBRE"/>
    <n v="53"/>
    <s v="MARTES"/>
    <x v="64"/>
    <s v="PACK-2 FT NAR+FT KI+FT PIÑA+SP RP 1.5LX8"/>
    <n v="360"/>
    <n v="30"/>
    <n v="75.599999999999994"/>
  </r>
  <r>
    <x v="186"/>
    <s v="DICIEMBRE"/>
    <n v="53"/>
    <s v="MARTES"/>
    <x v="30"/>
    <s v="INCA KOLA SA PET 500MLX6 - C/STICKER"/>
    <n v="750"/>
    <n v="250"/>
    <n v="172.5"/>
  </r>
  <r>
    <x v="187"/>
    <s v="DICIEMBRE"/>
    <n v="53"/>
    <s v="MIÉRCOLES"/>
    <x v="11"/>
    <s v="TRIPACK (CC+IK)PFM+FT PET 3LX3 - RFNN"/>
    <n v="2160"/>
    <n v="90"/>
    <n v="367.20000000000005"/>
  </r>
  <r>
    <x v="187"/>
    <s v="DICIEMBRE"/>
    <n v="53"/>
    <s v="MIÉRCOLES"/>
    <x v="28"/>
    <s v="COCA COLA VR 1.5LX8 - STICKER"/>
    <n v="150"/>
    <n v="30"/>
    <n v="34.5"/>
  </r>
  <r>
    <x v="187"/>
    <s v="DICIEMBRE"/>
    <n v="53"/>
    <s v="MIÉRCOLES"/>
    <x v="13"/>
    <s v="INCA KOLA VR 1.5LX8 - STICKER"/>
    <n v="150"/>
    <n v="30"/>
    <n v="60"/>
  </r>
  <r>
    <x v="187"/>
    <s v="DICIEMBRE"/>
    <n v="53"/>
    <s v="MIÉRCOLES"/>
    <x v="15"/>
    <s v="INCA KOLA VR 625MLX12 - STICKER"/>
    <n v="500"/>
    <n v="50"/>
    <n v="200"/>
  </r>
  <r>
    <x v="187"/>
    <s v="DICIEMBRE"/>
    <n v="53"/>
    <s v="MIÉRCOLES"/>
    <x v="16"/>
    <s v="SAN LUIS CON GAS PET 625MLX6"/>
    <n v="1800"/>
    <n v="180"/>
    <n v="756"/>
  </r>
  <r>
    <x v="187"/>
    <s v="DICIEMBRE"/>
    <n v="53"/>
    <s v="MIÉRCOLES"/>
    <x v="6"/>
    <s v="INCA KOLA PET 3LX2 - RF"/>
    <n v="720"/>
    <n v="120"/>
    <n v="122.4"/>
  </r>
  <r>
    <x v="187"/>
    <s v="DICIEMBRE"/>
    <n v="53"/>
    <s v="MIÉRCOLES"/>
    <x v="9"/>
    <s v="TRIPACK FT NAR+FT KI+SP PET 3L"/>
    <n v="2160"/>
    <n v="90"/>
    <n v="367.20000000000005"/>
  </r>
  <r>
    <x v="187"/>
    <s v="DICIEMBRE"/>
    <n v="53"/>
    <s v="MIÉRCOLES"/>
    <x v="10"/>
    <s v="TWO PACK CC + IK PFM 3LX2 - RFNN"/>
    <n v="11040"/>
    <n v="120"/>
    <n v="1876.8000000000002"/>
  </r>
  <r>
    <x v="187"/>
    <s v="DICIEMBRE"/>
    <n v="53"/>
    <s v="MIÉRCOLES"/>
    <x v="23"/>
    <s v="TRIPACK CC+IK+IK PFM 3LX3 - RFNN"/>
    <n v="2610"/>
    <n v="90"/>
    <n v="443.70000000000005"/>
  </r>
  <r>
    <x v="187"/>
    <s v="DICIEMBRE"/>
    <n v="53"/>
    <s v="MIÉRCOLES"/>
    <x v="11"/>
    <s v="TRIPACK (CC+IK)PFM+FT PET 3LX3 - RFNN"/>
    <n v="9360"/>
    <n v="90"/>
    <n v="1591.2"/>
  </r>
  <r>
    <x v="187"/>
    <s v="DICIEMBRE"/>
    <n v="53"/>
    <s v="MIÉRCOLES"/>
    <x v="12"/>
    <s v="POWERADE ION4 FRUTA PET473X6 MOD (STICK)"/>
    <n v="675"/>
    <n v="225"/>
    <n v="270"/>
  </r>
  <r>
    <x v="187"/>
    <s v="DICIEMBRE"/>
    <n v="53"/>
    <s v="MIÉRCOLES"/>
    <x v="19"/>
    <s v="POWERADE ION4 MORA AZ PET473X6 MOD(STCK)"/>
    <n v="450"/>
    <n v="225"/>
    <n v="180"/>
  </r>
  <r>
    <x v="187"/>
    <s v="DICIEMBRE"/>
    <n v="53"/>
    <s v="MIÉRCOLES"/>
    <x v="43"/>
    <s v="SPRITE PET 500MLX6 BRANDEADO MOD"/>
    <n v="1250"/>
    <n v="420"/>
    <n v="525"/>
  </r>
  <r>
    <x v="187"/>
    <s v="DICIEMBRE"/>
    <n v="53"/>
    <s v="MIÉRCOLES"/>
    <x v="64"/>
    <s v="PACK-2 FT NAR+FT KI+FT PIÑA+SP RP 1.5LX8"/>
    <n v="360"/>
    <n v="30"/>
    <n v="75.599999999999994"/>
  </r>
  <r>
    <x v="188"/>
    <s v="DICIEMBRE"/>
    <n v="53"/>
    <s v="JUEVES"/>
    <x v="13"/>
    <s v="INCA KOLA VR 1.5LX8 - STICKER"/>
    <n v="210"/>
    <n v="30"/>
    <n v="84"/>
  </r>
  <r>
    <x v="188"/>
    <s v="DICIEMBRE"/>
    <n v="53"/>
    <s v="JUEVES"/>
    <x v="15"/>
    <s v="INCA KOLA VR 625MLX12 - STICKER"/>
    <n v="250"/>
    <n v="50"/>
    <n v="100"/>
  </r>
  <r>
    <x v="188"/>
    <s v="DICIEMBRE"/>
    <n v="53"/>
    <s v="JUEVES"/>
    <x v="38"/>
    <s v="SL S/G TAPA PLANA 1LT"/>
    <n v="560"/>
    <n v="112"/>
    <n v="224"/>
  </r>
  <r>
    <x v="188"/>
    <s v="DICIEMBRE"/>
    <n v="53"/>
    <s v="JUEVES"/>
    <x v="6"/>
    <s v="INCA KOLA PET 3LX2 - RF"/>
    <n v="1800"/>
    <n v="120"/>
    <n v="306"/>
  </r>
  <r>
    <x v="188"/>
    <s v="DICIEMBRE"/>
    <n v="53"/>
    <s v="JUEVES"/>
    <x v="17"/>
    <s v="TWO PACK CC PFM 3LX2 - RFCC"/>
    <n v="4800"/>
    <n v="120"/>
    <n v="816.00000000000011"/>
  </r>
  <r>
    <x v="188"/>
    <s v="DICIEMBRE"/>
    <n v="53"/>
    <s v="JUEVES"/>
    <x v="9"/>
    <s v="TRIPACK FT NAR+FT KI+SP PET 3L"/>
    <n v="1440"/>
    <n v="90"/>
    <n v="244.8"/>
  </r>
  <r>
    <x v="188"/>
    <s v="DICIEMBRE"/>
    <n v="53"/>
    <s v="JUEVES"/>
    <x v="10"/>
    <s v="TWO PACK CC + IK PFM 3LX2 - RFNN"/>
    <n v="1920"/>
    <n v="120"/>
    <n v="326.40000000000003"/>
  </r>
  <r>
    <x v="188"/>
    <s v="DICIEMBRE"/>
    <n v="53"/>
    <s v="JUEVES"/>
    <x v="23"/>
    <s v="TRIPACK CC+IK+IK PFM 3LX3 - RFNN"/>
    <n v="2880"/>
    <n v="90"/>
    <n v="489.6"/>
  </r>
  <r>
    <x v="188"/>
    <s v="DICIEMBRE"/>
    <n v="53"/>
    <s v="JUEVES"/>
    <x v="11"/>
    <s v="TRIPACK (CC+IK)PFM+FT PET 3LX3 - RFNN"/>
    <n v="5760"/>
    <n v="90"/>
    <n v="979.2"/>
  </r>
  <r>
    <x v="188"/>
    <s v="DICIEMBRE"/>
    <n v="53"/>
    <s v="JUEVES"/>
    <x v="25"/>
    <s v="POWERADE 3MORA+3FRUT PET 473MLX6"/>
    <n v="1350"/>
    <n v="225"/>
    <n v="567"/>
  </r>
  <r>
    <x v="188"/>
    <s v="DICIEMBRE"/>
    <n v="53"/>
    <s v="JUEVES"/>
    <x v="42"/>
    <s v="FANTA NARANJA PET 500MLX6 BRANDEADO MOD"/>
    <n v="1250"/>
    <n v="420"/>
    <n v="525"/>
  </r>
  <r>
    <x v="188"/>
    <s v="DICIEMBRE"/>
    <n v="53"/>
    <s v="JUEVES"/>
    <x v="64"/>
    <s v="PACK-2 FT NAR+FT KI+FT PIÑA+SP RP 1.5LX8"/>
    <n v="360"/>
    <n v="30"/>
    <n v="75.599999999999994"/>
  </r>
  <r>
    <x v="189"/>
    <s v="DICIEMBRE"/>
    <n v="53"/>
    <s v="VIERNES"/>
    <x v="2"/>
    <s v="INCA KOLA SIN AZUCAR PET 1.5LX2"/>
    <n v="2160"/>
    <n v="198"/>
    <n v="367.20000000000005"/>
  </r>
  <r>
    <x v="189"/>
    <s v="DICIEMBRE"/>
    <n v="53"/>
    <s v="VIERNES"/>
    <x v="4"/>
    <s v="COCA-COLA PET 2.25LX2 RF"/>
    <n v="972"/>
    <n v="162"/>
    <n v="165.24"/>
  </r>
  <r>
    <x v="189"/>
    <s v="DICIEMBRE"/>
    <n v="53"/>
    <s v="VIERNES"/>
    <x v="6"/>
    <s v="INCA KOLA PET 3LX2 - RF"/>
    <n v="4920"/>
    <n v="120"/>
    <n v="836.40000000000009"/>
  </r>
  <r>
    <x v="189"/>
    <s v="DICIEMBRE"/>
    <n v="53"/>
    <s v="VIERNES"/>
    <x v="8"/>
    <s v="INCA KOLA PET 1.5LX2 RF"/>
    <n v="216"/>
    <n v="198"/>
    <n v="36.720000000000006"/>
  </r>
  <r>
    <x v="189"/>
    <s v="DICIEMBRE"/>
    <n v="53"/>
    <s v="VIERNES"/>
    <x v="9"/>
    <s v="TRIPACK FT NAR+FT KI+SP PET 3L"/>
    <n v="1080"/>
    <n v="90"/>
    <n v="183.60000000000002"/>
  </r>
  <r>
    <x v="189"/>
    <s v="DICIEMBRE"/>
    <n v="53"/>
    <s v="VIERNES"/>
    <x v="23"/>
    <s v="TRIPACK CC+IK+IK PFM 3LX3 - RFNN"/>
    <n v="810"/>
    <n v="90"/>
    <n v="137.70000000000002"/>
  </r>
  <r>
    <x v="189"/>
    <s v="DICIEMBRE"/>
    <n v="53"/>
    <s v="VIERNES"/>
    <x v="11"/>
    <s v="TRIPACK (CC+IK)PFM+FT PET 3LX3 - RFNN"/>
    <n v="4500"/>
    <n v="90"/>
    <n v="765"/>
  </r>
  <r>
    <x v="189"/>
    <s v="DICIEMBRE"/>
    <n v="53"/>
    <s v="VIERNES"/>
    <x v="42"/>
    <s v="FANTA NARANJA PET 500MLX6 BRANDEADO MOD"/>
    <n v="1250"/>
    <n v="420"/>
    <n v="525"/>
  </r>
  <r>
    <x v="189"/>
    <s v="DICIEMBRE"/>
    <n v="53"/>
    <s v="VIERNES"/>
    <x v="43"/>
    <s v="SPRITE PET 500MLX6 BRANDEADO MOD"/>
    <n v="250"/>
    <n v="420"/>
    <n v="105"/>
  </r>
  <r>
    <x v="190"/>
    <s v="ENERO"/>
    <n v="1"/>
    <s v="LUNES"/>
    <x v="22"/>
    <s v="TWO PACK SCHWEPPES CITRUS PET 1.5LX2"/>
    <n v="396"/>
    <n v="198"/>
    <n v="67.320000000000007"/>
  </r>
  <r>
    <x v="190"/>
    <s v="ENERO"/>
    <n v="1"/>
    <s v="LUNES"/>
    <x v="6"/>
    <s v="INCA KOLA PET 3LX2 - RF"/>
    <n v="4320"/>
    <n v="120"/>
    <n v="734.40000000000009"/>
  </r>
  <r>
    <x v="190"/>
    <s v="ENERO"/>
    <n v="1"/>
    <s v="LUNES"/>
    <x v="17"/>
    <s v="TWO PACK CC PFM 3LX2 - RFCC"/>
    <n v="3600"/>
    <n v="120"/>
    <n v="612"/>
  </r>
  <r>
    <x v="190"/>
    <s v="ENERO"/>
    <n v="1"/>
    <s v="LUNES"/>
    <x v="11"/>
    <s v="TRIPACK (CC+IK)PFM+FT PET 3LX3 - RFNN"/>
    <n v="4320"/>
    <n v="90"/>
    <n v="734.40000000000009"/>
  </r>
  <r>
    <x v="190"/>
    <s v="ENERO"/>
    <n v="1"/>
    <s v="LUNES"/>
    <x v="12"/>
    <s v="POWERADE ION4 FRUTA PET473X6 MOD (STICK)"/>
    <n v="900"/>
    <n v="225"/>
    <n v="360"/>
  </r>
  <r>
    <x v="190"/>
    <s v="ENERO"/>
    <n v="1"/>
    <s v="LUNES"/>
    <x v="19"/>
    <s v="POWERADE ION4 MORA AZ PET473X6 MOD(STCK)"/>
    <n v="675"/>
    <n v="225"/>
    <n v="270"/>
  </r>
  <r>
    <x v="190"/>
    <s v="ENERO"/>
    <n v="1"/>
    <s v="LUNES"/>
    <x v="43"/>
    <s v="SPRITE PET 500MLX6 BRANDEADO MOD"/>
    <n v="750"/>
    <n v="420"/>
    <n v="315"/>
  </r>
  <r>
    <x v="190"/>
    <s v="ENERO"/>
    <n v="1"/>
    <s v="LUNES"/>
    <x v="25"/>
    <s v="POWERADE 3MORA+3FRUT PET 473MLX6"/>
    <n v="1350"/>
    <n v="225"/>
    <n v="567"/>
  </r>
  <r>
    <x v="190"/>
    <s v="ENERO"/>
    <n v="1"/>
    <s v="LUNES"/>
    <x v="16"/>
    <s v="SAN LUIS CON GAS PET 625MLX6"/>
    <n v="900"/>
    <n v="180"/>
    <n v="378"/>
  </r>
  <r>
    <x v="191"/>
    <s v="ENERO"/>
    <n v="1"/>
    <s v="MARTES"/>
    <x v="25"/>
    <s v="POWERADE 3MORA+3FRUT PET 473MLX6"/>
    <n v="2250"/>
    <n v="225"/>
    <n v="945"/>
  </r>
  <r>
    <x v="191"/>
    <s v="ENERO"/>
    <n v="1"/>
    <s v="MARTES"/>
    <x v="12"/>
    <s v="POWERADE ION4 FRUTA PET473X6 MOD (STICK)"/>
    <n v="1125"/>
    <n v="225"/>
    <n v="450"/>
  </r>
  <r>
    <x v="191"/>
    <s v="ENERO"/>
    <n v="1"/>
    <s v="MARTES"/>
    <x v="19"/>
    <s v="POWERADE ION4 MORA AZ PET473X6 MOD(STCK)"/>
    <n v="450"/>
    <n v="225"/>
    <n v="180"/>
  </r>
  <r>
    <x v="191"/>
    <s v="ENERO"/>
    <n v="1"/>
    <s v="MARTES"/>
    <x v="28"/>
    <s v="COCA COLA VR 1.5LX8 - STICKER"/>
    <n v="240"/>
    <n v="30"/>
    <n v="55.2"/>
  </r>
  <r>
    <x v="191"/>
    <s v="ENERO"/>
    <n v="1"/>
    <s v="MARTES"/>
    <x v="14"/>
    <s v="INCA KOLA VR 296MLX24 - STICKER"/>
    <n v="200"/>
    <n v="40"/>
    <n v="46"/>
  </r>
  <r>
    <x v="191"/>
    <s v="ENERO"/>
    <n v="1"/>
    <s v="MARTES"/>
    <x v="40"/>
    <s v="SAN LUIS SPORT S/G 10 Lt x6 "/>
    <n v="672"/>
    <n v="240"/>
    <n v="268.8"/>
  </r>
  <r>
    <x v="191"/>
    <s v="ENERO"/>
    <n v="1"/>
    <s v="MARTES"/>
    <x v="38"/>
    <s v="SL S/G TAPA PLANA 1LT"/>
    <n v="448"/>
    <n v="112"/>
    <n v="179.20000000000002"/>
  </r>
  <r>
    <x v="191"/>
    <s v="ENERO"/>
    <n v="1"/>
    <s v="MARTES"/>
    <x v="0"/>
    <s v="SAN LUIS SIN GAS PET2500X6 STICKER"/>
    <n v="1248"/>
    <n v="48"/>
    <n v="499.20000000000005"/>
  </r>
  <r>
    <x v="191"/>
    <s v="ENERO"/>
    <n v="1"/>
    <s v="MARTES"/>
    <x v="16"/>
    <s v="SAN LUIS CON GAS PET 625MLX6"/>
    <n v="1260"/>
    <n v="180"/>
    <n v="529.19999999999993"/>
  </r>
  <r>
    <x v="191"/>
    <s v="ENERO"/>
    <n v="1"/>
    <s v="MARTES"/>
    <x v="1"/>
    <s v="COCA-COLA SIN AZUCAR PET 1.5LX2"/>
    <n v="6480"/>
    <n v="198"/>
    <n v="1101.6000000000001"/>
  </r>
  <r>
    <x v="191"/>
    <s v="ENERO"/>
    <n v="1"/>
    <s v="MARTES"/>
    <x v="3"/>
    <s v="TWO PACK SCHWEPPES GINGER ALE PET 1.5LX2"/>
    <n v="396"/>
    <n v="198"/>
    <n v="67.320000000000007"/>
  </r>
  <r>
    <x v="191"/>
    <s v="ENERO"/>
    <n v="1"/>
    <s v="MARTES"/>
    <x v="6"/>
    <s v="INCA KOLA PET 3LX2 - RF"/>
    <n v="4800"/>
    <n v="120"/>
    <n v="816.00000000000011"/>
  </r>
  <r>
    <x v="191"/>
    <s v="ENERO"/>
    <n v="1"/>
    <s v="MARTES"/>
    <x v="17"/>
    <s v="TWO PACK CC PFM 3LX2 - RFCC"/>
    <n v="4800"/>
    <n v="120"/>
    <n v="816.00000000000011"/>
  </r>
  <r>
    <x v="191"/>
    <s v="ENERO"/>
    <n v="1"/>
    <s v="MARTES"/>
    <x v="8"/>
    <s v="INCA KOLA PET 1.5LX2 RF"/>
    <n v="1296"/>
    <n v="198"/>
    <n v="220.32000000000002"/>
  </r>
  <r>
    <x v="191"/>
    <s v="ENERO"/>
    <n v="1"/>
    <s v="MARTES"/>
    <x v="9"/>
    <s v="TRIPACK FT NAR+FT KI+SP PET 3L"/>
    <n v="540"/>
    <n v="90"/>
    <n v="91.800000000000011"/>
  </r>
  <r>
    <x v="191"/>
    <s v="ENERO"/>
    <n v="1"/>
    <s v="MARTES"/>
    <x v="10"/>
    <s v="TWO PACK CC + IK PFM 3LX2 - RFNN"/>
    <n v="960"/>
    <n v="120"/>
    <n v="163.20000000000002"/>
  </r>
  <r>
    <x v="191"/>
    <s v="ENERO"/>
    <n v="1"/>
    <s v="MARTES"/>
    <x v="23"/>
    <s v="TRIPACK CC+IK+IK PFM 3LX3 - RFNN"/>
    <n v="2880"/>
    <n v="90"/>
    <n v="489.6"/>
  </r>
  <r>
    <x v="191"/>
    <s v="ENERO"/>
    <n v="1"/>
    <s v="MARTES"/>
    <x v="20"/>
    <s v="TRIPACK (FT NAR+SP)PET+IK RF PFM 3L"/>
    <n v="900"/>
    <n v="90"/>
    <n v="153"/>
  </r>
  <r>
    <x v="192"/>
    <s v="ENERO"/>
    <n v="1"/>
    <s v="MIÉRCOLES"/>
    <x v="28"/>
    <s v="COCA COLA VR 1.5LX8 - STICKER"/>
    <n v="150"/>
    <n v="30"/>
    <n v="34.5"/>
  </r>
  <r>
    <x v="192"/>
    <s v="ENERO"/>
    <n v="1"/>
    <s v="MIÉRCOLES"/>
    <x v="13"/>
    <s v="INCA KOLA VR 1.5LX8 - STICKER"/>
    <n v="240"/>
    <n v="30"/>
    <n v="96"/>
  </r>
  <r>
    <x v="192"/>
    <s v="ENERO"/>
    <n v="1"/>
    <s v="MIÉRCOLES"/>
    <x v="15"/>
    <s v="INCA KOLA VR 625MLX12 - STICKER"/>
    <n v="300"/>
    <n v="50"/>
    <n v="120"/>
  </r>
  <r>
    <x v="192"/>
    <s v="ENERO"/>
    <n v="1"/>
    <s v="MIÉRCOLES"/>
    <x v="38"/>
    <s v="SL S/G TAPA PLANA 1LT"/>
    <n v="448"/>
    <n v="112"/>
    <n v="179.20000000000002"/>
  </r>
  <r>
    <x v="192"/>
    <s v="ENERO"/>
    <n v="1"/>
    <s v="MIÉRCOLES"/>
    <x v="0"/>
    <s v="SAN LUIS SIN GAS PET2500X6 STICKER"/>
    <n v="912"/>
    <n v="48"/>
    <n v="364.8"/>
  </r>
  <r>
    <x v="192"/>
    <s v="ENERO"/>
    <n v="1"/>
    <s v="MIÉRCOLES"/>
    <x v="1"/>
    <s v="COCA-COLA SIN AZUCAR PET 1.5LX2"/>
    <n v="4320"/>
    <n v="198"/>
    <n v="734.40000000000009"/>
  </r>
  <r>
    <x v="192"/>
    <s v="ENERO"/>
    <n v="1"/>
    <s v="MIÉRCOLES"/>
    <x v="2"/>
    <s v="INCA KOLA SIN AZUCAR PET 1.5LX2"/>
    <n v="2160"/>
    <n v="198"/>
    <n v="367.20000000000005"/>
  </r>
  <r>
    <x v="192"/>
    <s v="ENERO"/>
    <n v="1"/>
    <s v="MIÉRCOLES"/>
    <x v="22"/>
    <s v="TWO PACK SCHWEPPES CITRUS PET 1.5LX2"/>
    <n v="1386"/>
    <n v="198"/>
    <n v="235.62"/>
  </r>
  <r>
    <x v="192"/>
    <s v="ENERO"/>
    <n v="1"/>
    <s v="MIÉRCOLES"/>
    <x v="3"/>
    <s v="TWO PACK SCHWEPPES GINGER ALE PET 1.5LX2"/>
    <n v="3960"/>
    <n v="198"/>
    <n v="673.2"/>
  </r>
  <r>
    <x v="192"/>
    <s v="ENERO"/>
    <n v="1"/>
    <s v="MIÉRCOLES"/>
    <x v="4"/>
    <s v="COCA-COLA PET 2.25LX2 RF"/>
    <n v="1620"/>
    <n v="162"/>
    <n v="275.40000000000003"/>
  </r>
  <r>
    <x v="192"/>
    <s v="ENERO"/>
    <n v="1"/>
    <s v="MIÉRCOLES"/>
    <x v="5"/>
    <s v="INCA KOLA PET 2.25LX2 RF"/>
    <n v="1134"/>
    <n v="162"/>
    <n v="192.78"/>
  </r>
  <r>
    <x v="192"/>
    <s v="ENERO"/>
    <n v="1"/>
    <s v="MIÉRCOLES"/>
    <x v="7"/>
    <s v="COCA-COLA PET 1.5LX2 RF"/>
    <n v="3672"/>
    <n v="198"/>
    <n v="624.24"/>
  </r>
  <r>
    <x v="192"/>
    <s v="ENERO"/>
    <n v="1"/>
    <s v="MIÉRCOLES"/>
    <x v="8"/>
    <s v="INCA KOLA PET 1.5LX2 RF"/>
    <n v="3024"/>
    <n v="198"/>
    <n v="514.08000000000004"/>
  </r>
  <r>
    <x v="192"/>
    <s v="ENERO"/>
    <n v="1"/>
    <s v="MIÉRCOLES"/>
    <x v="9"/>
    <s v="TRIPACK FT NAR+FT KI+SP PET 3L"/>
    <n v="900"/>
    <n v="90"/>
    <n v="153"/>
  </r>
  <r>
    <x v="192"/>
    <s v="ENERO"/>
    <n v="1"/>
    <s v="MIÉRCOLES"/>
    <x v="10"/>
    <s v="TWO PACK CC + IK PFM 3LX2 - RFNN"/>
    <n v="600"/>
    <n v="120"/>
    <n v="102.00000000000001"/>
  </r>
  <r>
    <x v="192"/>
    <s v="ENERO"/>
    <n v="1"/>
    <s v="MIÉRCOLES"/>
    <x v="26"/>
    <s v="TRIPACK CC+CC+IK PFM 3LX3 - RFNN"/>
    <n v="270"/>
    <n v="90"/>
    <n v="45.900000000000006"/>
  </r>
  <r>
    <x v="192"/>
    <s v="ENERO"/>
    <n v="1"/>
    <s v="MIÉRCOLES"/>
    <x v="23"/>
    <s v="TRIPACK CC+IK+IK PFM 3LX3 - RFNN"/>
    <n v="360"/>
    <n v="90"/>
    <n v="61.2"/>
  </r>
  <r>
    <x v="192"/>
    <s v="ENERO"/>
    <n v="1"/>
    <s v="MIÉRCOLES"/>
    <x v="11"/>
    <s v="TRIPACK (CC+IK)PFM+FT PET 3LX3 - RFNN"/>
    <n v="1350"/>
    <n v="90"/>
    <n v="229.50000000000003"/>
  </r>
  <r>
    <x v="192"/>
    <s v="ENERO"/>
    <n v="1"/>
    <s v="MIÉRCOLES"/>
    <x v="20"/>
    <s v="TRIPACK (FT NAR+SP)PET+IK RF PFM 3L"/>
    <n v="450"/>
    <n v="90"/>
    <n v="76.5"/>
  </r>
  <r>
    <x v="192"/>
    <s v="ENERO"/>
    <n v="1"/>
    <s v="MIÉRCOLES"/>
    <x v="25"/>
    <s v="POWERADE 3MORA+3FRUT PET 473MLX6"/>
    <n v="450"/>
    <n v="225"/>
    <n v="189"/>
  </r>
  <r>
    <x v="192"/>
    <s v="ENERO"/>
    <n v="1"/>
    <s v="MIÉRCOLES"/>
    <x v="12"/>
    <s v="POWERADE ION4 FRUTA PET473X6 MOD (STICK)"/>
    <n v="675"/>
    <n v="225"/>
    <n v="270"/>
  </r>
  <r>
    <x v="192"/>
    <s v="ENERO"/>
    <n v="1"/>
    <s v="MIÉRCOLES"/>
    <x v="42"/>
    <s v="FANTA NARANJA PET 500MLX6 BRANDEADO MOD"/>
    <n v="750"/>
    <n v="420"/>
    <n v="315"/>
  </r>
  <r>
    <x v="193"/>
    <s v="ENERO"/>
    <n v="1"/>
    <s v="JUEVES"/>
    <x v="28"/>
    <s v="COCA COLA VR 1.5LX8 - STICKER"/>
    <n v="300"/>
    <n v="30"/>
    <n v="69"/>
  </r>
  <r>
    <x v="193"/>
    <s v="ENERO"/>
    <n v="1"/>
    <s v="JUEVES"/>
    <x v="13"/>
    <s v="INCA KOLA VR 1.5LX8 - STICKER"/>
    <n v="300"/>
    <n v="30"/>
    <n v="120"/>
  </r>
  <r>
    <x v="193"/>
    <s v="ENERO"/>
    <n v="1"/>
    <s v="JUEVES"/>
    <x v="15"/>
    <s v="INCA KOLA VR 625MLX12 - STICKER"/>
    <n v="100"/>
    <n v="50"/>
    <n v="40"/>
  </r>
  <r>
    <x v="193"/>
    <s v="ENERO"/>
    <n v="1"/>
    <s v="JUEVES"/>
    <x v="16"/>
    <s v="SAN LUIS CON GAS PET 625MLX6"/>
    <n v="900"/>
    <n v="180"/>
    <n v="378"/>
  </r>
  <r>
    <x v="193"/>
    <s v="ENERO"/>
    <n v="1"/>
    <s v="JUEVES"/>
    <x v="1"/>
    <s v="COCA-COLA SIN AZUCAR PET 1.5LX2"/>
    <n v="4320"/>
    <n v="198"/>
    <n v="734.40000000000009"/>
  </r>
  <r>
    <x v="193"/>
    <s v="ENERO"/>
    <n v="1"/>
    <s v="JUEVES"/>
    <x v="2"/>
    <s v="INCA KOLA SIN AZUCAR PET 1.5LX2"/>
    <n v="2160"/>
    <n v="198"/>
    <n v="367.20000000000005"/>
  </r>
  <r>
    <x v="193"/>
    <s v="ENERO"/>
    <n v="1"/>
    <s v="JUEVES"/>
    <x v="4"/>
    <s v="COCA-COLA PET 2.25LX2 RF"/>
    <n v="1620"/>
    <n v="162"/>
    <n v="275.40000000000003"/>
  </r>
  <r>
    <x v="193"/>
    <s v="ENERO"/>
    <n v="1"/>
    <s v="JUEVES"/>
    <x v="5"/>
    <s v="INCA KOLA PET 2.25LX2 RF"/>
    <n v="1458"/>
    <n v="162"/>
    <n v="247.86"/>
  </r>
  <r>
    <x v="193"/>
    <s v="ENERO"/>
    <n v="1"/>
    <s v="JUEVES"/>
    <x v="17"/>
    <s v="TWO PACK CC PFM 3LX2 - RFCC"/>
    <n v="2880"/>
    <n v="120"/>
    <n v="489.6"/>
  </r>
  <r>
    <x v="193"/>
    <s v="ENERO"/>
    <n v="1"/>
    <s v="JUEVES"/>
    <x v="7"/>
    <s v="COCA-COLA PET 1.5LX2 RF"/>
    <n v="2160"/>
    <n v="198"/>
    <n v="367.20000000000005"/>
  </r>
  <r>
    <x v="193"/>
    <s v="ENERO"/>
    <n v="1"/>
    <s v="JUEVES"/>
    <x v="9"/>
    <s v="TRIPACK FT NAR+FT KI+SP PET 3L"/>
    <n v="1440"/>
    <n v="90"/>
    <n v="244.8"/>
  </r>
  <r>
    <x v="193"/>
    <s v="ENERO"/>
    <n v="1"/>
    <s v="JUEVES"/>
    <x v="10"/>
    <s v="TWO PACK CC + IK PFM 3LX2 - RFNN"/>
    <n v="720"/>
    <n v="120"/>
    <n v="122.4"/>
  </r>
  <r>
    <x v="193"/>
    <s v="ENERO"/>
    <n v="1"/>
    <s v="JUEVES"/>
    <x v="26"/>
    <s v="TRIPACK CC+CC+IK PFM 3LX3 - RFNN"/>
    <n v="1440"/>
    <n v="90"/>
    <n v="244.8"/>
  </r>
  <r>
    <x v="193"/>
    <s v="ENERO"/>
    <n v="1"/>
    <s v="JUEVES"/>
    <x v="23"/>
    <s v="TRIPACK CC+IK+IK PFM 3LX3 - RFNN"/>
    <n v="2160"/>
    <n v="90"/>
    <n v="367.20000000000005"/>
  </r>
  <r>
    <x v="193"/>
    <s v="ENERO"/>
    <n v="1"/>
    <s v="JUEVES"/>
    <x v="11"/>
    <s v="TRIPACK (CC+IK)PFM+FT PET 3LX3 - RFNN"/>
    <n v="2880"/>
    <n v="90"/>
    <n v="489.6"/>
  </r>
  <r>
    <x v="193"/>
    <s v="ENERO"/>
    <n v="1"/>
    <s v="JUEVES"/>
    <x v="20"/>
    <s v="TRIPACK (FT NAR+SP)PET+IK RF PFM 3L"/>
    <n v="720"/>
    <n v="90"/>
    <n v="122.4"/>
  </r>
  <r>
    <x v="193"/>
    <s v="ENERO"/>
    <n v="1"/>
    <s v="JUEVES"/>
    <x v="25"/>
    <s v="POWERADE 3MORA+3FRUT PET 473MLX6"/>
    <n v="1350"/>
    <n v="225"/>
    <n v="567"/>
  </r>
  <r>
    <x v="193"/>
    <s v="ENERO"/>
    <n v="1"/>
    <s v="JUEVES"/>
    <x v="43"/>
    <s v="SPRITE PET 500MLX6 BRANDEADO MOD"/>
    <n v="1000"/>
    <n v="420"/>
    <n v="420"/>
  </r>
  <r>
    <x v="194"/>
    <s v="ENERO"/>
    <n v="1"/>
    <s v="VIERNES"/>
    <x v="28"/>
    <s v="COCA COLA VR 1.5LX8 - STICKER"/>
    <n v="150"/>
    <n v="30"/>
    <n v="34.5"/>
  </r>
  <r>
    <x v="194"/>
    <s v="ENERO"/>
    <n v="1"/>
    <s v="VIERNES"/>
    <x v="33"/>
    <s v="COCA COLA VR 296MLX24 - STICKER"/>
    <n v="240"/>
    <n v="40"/>
    <n v="55.2"/>
  </r>
  <r>
    <x v="194"/>
    <s v="ENERO"/>
    <n v="1"/>
    <s v="VIERNES"/>
    <x v="13"/>
    <s v="INCA KOLA VR 1.5LX8 - STICKER"/>
    <n v="270"/>
    <n v="30"/>
    <n v="108"/>
  </r>
  <r>
    <x v="194"/>
    <s v="ENERO"/>
    <n v="1"/>
    <s v="VIERNES"/>
    <x v="14"/>
    <s v="INCA KOLA VR 296MLX24 - STICKER"/>
    <n v="120"/>
    <n v="40"/>
    <n v="27.6"/>
  </r>
  <r>
    <x v="194"/>
    <s v="ENERO"/>
    <n v="1"/>
    <s v="VIERNES"/>
    <x v="15"/>
    <s v="INCA KOLA VR 625MLX12 - STICKER"/>
    <n v="100"/>
    <n v="50"/>
    <n v="40"/>
  </r>
  <r>
    <x v="194"/>
    <s v="ENERO"/>
    <n v="1"/>
    <s v="VIERNES"/>
    <x v="0"/>
    <s v="SAN LUIS SIN GAS PET2500X6 STICKER"/>
    <n v="960"/>
    <n v="48"/>
    <n v="384"/>
  </r>
  <r>
    <x v="194"/>
    <s v="ENERO"/>
    <n v="1"/>
    <s v="VIERNES"/>
    <x v="1"/>
    <s v="COCA-COLA SIN AZUCAR PET 1.5LX2"/>
    <n v="2160"/>
    <n v="198"/>
    <n v="367.20000000000005"/>
  </r>
  <r>
    <x v="194"/>
    <s v="ENERO"/>
    <n v="1"/>
    <s v="VIERNES"/>
    <x v="2"/>
    <s v="INCA KOLA SIN AZUCAR PET 1.5LX2"/>
    <n v="2160"/>
    <n v="198"/>
    <n v="367.20000000000005"/>
  </r>
  <r>
    <x v="194"/>
    <s v="ENERO"/>
    <n v="1"/>
    <s v="VIERNES"/>
    <x v="29"/>
    <s v="TWO PACK IK PET 1.5LX2 - CRCG"/>
    <n v="216"/>
    <n v="198"/>
    <n v="36.720000000000006"/>
  </r>
  <r>
    <x v="194"/>
    <s v="ENERO"/>
    <n v="1"/>
    <s v="VIERNES"/>
    <x v="4"/>
    <s v="COCA-COLA PET 2.25LX2 RF"/>
    <n v="972"/>
    <n v="162"/>
    <n v="165.24"/>
  </r>
  <r>
    <x v="194"/>
    <s v="ENERO"/>
    <n v="1"/>
    <s v="VIERNES"/>
    <x v="5"/>
    <s v="INCA KOLA PET 2.25LX2 RF"/>
    <n v="972"/>
    <n v="162"/>
    <n v="165.24"/>
  </r>
  <r>
    <x v="194"/>
    <s v="ENERO"/>
    <n v="1"/>
    <s v="VIERNES"/>
    <x v="7"/>
    <s v="COCA-COLA PET 1.5LX2 RF"/>
    <n v="2160"/>
    <n v="198"/>
    <n v="367.20000000000005"/>
  </r>
  <r>
    <x v="194"/>
    <s v="ENERO"/>
    <n v="1"/>
    <s v="VIERNES"/>
    <x v="9"/>
    <s v="TRIPACK FT NAR+FT KI+SP PET 3L"/>
    <n v="450"/>
    <n v="90"/>
    <n v="76.5"/>
  </r>
  <r>
    <x v="194"/>
    <s v="ENERO"/>
    <n v="1"/>
    <s v="VIERNES"/>
    <x v="11"/>
    <s v="TRIPACK (CC+IK)PFM+FT PET 3LX3 - RFNN"/>
    <n v="2880"/>
    <n v="90"/>
    <n v="489.6"/>
  </r>
  <r>
    <x v="194"/>
    <s v="ENERO"/>
    <n v="1"/>
    <s v="VIERNES"/>
    <x v="37"/>
    <s v="INCA KOLA PET 500MLX6"/>
    <n v="1000"/>
    <n v="225"/>
    <n v="420"/>
  </r>
  <r>
    <x v="194"/>
    <s v="ENERO"/>
    <n v="1"/>
    <s v="VIERNES"/>
    <x v="24"/>
    <s v="MONSTER ENERGY 473MLX4"/>
    <n v="2520"/>
    <n v="420"/>
    <n v="1058.3999999999999"/>
  </r>
  <r>
    <x v="194"/>
    <s v="ENERO"/>
    <n v="1"/>
    <s v="VIERNES"/>
    <x v="16"/>
    <s v="SAN LUIS CON GAS PET 625MLX6"/>
    <n v="900"/>
    <n v="180"/>
    <n v="378"/>
  </r>
  <r>
    <x v="194"/>
    <s v="ENERO"/>
    <n v="1"/>
    <s v="VIERNES"/>
    <x v="12"/>
    <s v="POWERADE ION4 FRUTA PET473X6 MOD (STICK)"/>
    <n v="675"/>
    <n v="225"/>
    <n v="270"/>
  </r>
  <r>
    <x v="194"/>
    <s v="ENERO"/>
    <n v="1"/>
    <s v="VIERNES"/>
    <x v="19"/>
    <s v="POWERADE ION4 MORA AZ PET473X6 MOD(STCK)"/>
    <n v="225"/>
    <n v="225"/>
    <n v="90"/>
  </r>
  <r>
    <x v="194"/>
    <s v="ENERO"/>
    <n v="1"/>
    <s v="VIERNES"/>
    <x v="37"/>
    <s v="INCA KOLA PET 500MLX6"/>
    <n v="2000"/>
    <n v="225"/>
    <n v="840"/>
  </r>
  <r>
    <x v="194"/>
    <s v="ENERO"/>
    <n v="1"/>
    <s v="VIERNES"/>
    <x v="46"/>
    <s v="COCA COLA PET 500MLX6"/>
    <n v="2500"/>
    <n v="250"/>
    <n v="1050"/>
  </r>
  <r>
    <x v="194"/>
    <s v="ENERO"/>
    <n v="1"/>
    <s v="VIERNES"/>
    <x v="42"/>
    <s v="FANTA NARANJA PET 500MLX6 BRANDEADO MOD"/>
    <n v="750"/>
    <n v="420"/>
    <n v="315"/>
  </r>
  <r>
    <x v="195"/>
    <s v="ENERO"/>
    <n v="2"/>
    <s v="SÁBADO"/>
    <x v="9"/>
    <s v="TRIPACK FT NAR+FT KI+SP PET 3L"/>
    <n v="1440"/>
    <n v="90"/>
    <n v="244.8"/>
  </r>
  <r>
    <x v="195"/>
    <s v="ENERO"/>
    <n v="2"/>
    <s v="SÁBADO"/>
    <x v="10"/>
    <s v="TWO PACK CC + IK PFM 3LX2 - RFNN"/>
    <n v="960"/>
    <n v="120"/>
    <n v="163.20000000000002"/>
  </r>
  <r>
    <x v="195"/>
    <s v="ENERO"/>
    <n v="2"/>
    <s v="SÁBADO"/>
    <x v="11"/>
    <s v="TRIPACK (CC+IK)PFM+FT PET 3LX3 - RFNN"/>
    <n v="900"/>
    <n v="90"/>
    <n v="153"/>
  </r>
  <r>
    <x v="195"/>
    <s v="ENERO"/>
    <n v="2"/>
    <s v="SÁBADO"/>
    <x v="25"/>
    <s v="POWERADE 3MORA+3FRUT PET 473MLX6"/>
    <n v="675"/>
    <n v="225"/>
    <n v="283.5"/>
  </r>
  <r>
    <x v="195"/>
    <s v="ENERO"/>
    <n v="2"/>
    <s v="SÁBADO"/>
    <x v="19"/>
    <s v="POWERADE ION4 MORA AZ PET473X6 MOD(STCK)"/>
    <n v="450"/>
    <n v="225"/>
    <n v="180"/>
  </r>
  <r>
    <x v="195"/>
    <s v="ENERO"/>
    <n v="2"/>
    <s v="SÁBADO"/>
    <x v="37"/>
    <s v="INCA KOLA PET 500MLX6"/>
    <n v="500"/>
    <n v="225"/>
    <n v="210"/>
  </r>
  <r>
    <x v="195"/>
    <s v="ENERO"/>
    <n v="2"/>
    <s v="SÁBADO"/>
    <x v="43"/>
    <s v="SPRITE PET 500MLX6 BRANDEADO MOD"/>
    <n v="1000"/>
    <n v="420"/>
    <n v="420"/>
  </r>
  <r>
    <x v="195"/>
    <s v="ENERO"/>
    <n v="2"/>
    <s v="SÁBADO"/>
    <x v="28"/>
    <s v="COCA COLA VR 1.5LX8 - STICKER"/>
    <n v="240"/>
    <n v="30"/>
    <n v="55.2"/>
  </r>
  <r>
    <x v="195"/>
    <s v="ENERO"/>
    <n v="2"/>
    <s v="SÁBADO"/>
    <x v="33"/>
    <s v="COCA COLA VR 296MLX24 - STICKER"/>
    <n v="240"/>
    <n v="40"/>
    <n v="55.2"/>
  </r>
  <r>
    <x v="195"/>
    <s v="ENERO"/>
    <n v="2"/>
    <s v="SÁBADO"/>
    <x v="13"/>
    <s v="INCA KOLA VR 1.5LX8 - STICKER"/>
    <n v="300"/>
    <n v="30"/>
    <n v="120"/>
  </r>
  <r>
    <x v="195"/>
    <s v="ENERO"/>
    <n v="2"/>
    <s v="SÁBADO"/>
    <x v="14"/>
    <s v="INCA KOLA VR 296MLX24 - STICKER"/>
    <n v="200"/>
    <n v="40"/>
    <n v="46"/>
  </r>
  <r>
    <x v="195"/>
    <s v="ENERO"/>
    <n v="2"/>
    <s v="SÁBADO"/>
    <x v="0"/>
    <s v="SAN LUIS SIN GAS PET2500X6 STICKER"/>
    <n v="960"/>
    <n v="48"/>
    <n v="384"/>
  </r>
  <r>
    <x v="195"/>
    <s v="ENERO"/>
    <n v="2"/>
    <s v="SÁBADO"/>
    <x v="1"/>
    <s v="COCA-COLA SIN AZUCAR PET 1.5LX2"/>
    <n v="2160"/>
    <n v="198"/>
    <n v="367.20000000000005"/>
  </r>
  <r>
    <x v="195"/>
    <s v="ENERO"/>
    <n v="2"/>
    <s v="SÁBADO"/>
    <x v="2"/>
    <s v="INCA KOLA SIN AZUCAR PET 1.5LX2"/>
    <n v="2160"/>
    <n v="198"/>
    <n v="367.20000000000005"/>
  </r>
  <r>
    <x v="195"/>
    <s v="ENERO"/>
    <n v="2"/>
    <s v="SÁBADO"/>
    <x v="34"/>
    <s v="TWO PACK CC PET 1.5LX2 - CRC"/>
    <n v="432"/>
    <n v="198"/>
    <n v="73.440000000000012"/>
  </r>
  <r>
    <x v="195"/>
    <s v="ENERO"/>
    <n v="2"/>
    <s v="SÁBADO"/>
    <x v="29"/>
    <s v="TWO PACK IK PET 1.5LX2 - CRCG"/>
    <n v="216"/>
    <n v="198"/>
    <n v="36.720000000000006"/>
  </r>
  <r>
    <x v="195"/>
    <s v="ENERO"/>
    <n v="2"/>
    <s v="SÁBADO"/>
    <x v="22"/>
    <s v="TWO PACK SCHWEPPES CITRUS PET 1.5LX2"/>
    <n v="792"/>
    <n v="198"/>
    <n v="134.64000000000001"/>
  </r>
  <r>
    <x v="195"/>
    <s v="ENERO"/>
    <n v="2"/>
    <s v="SÁBADO"/>
    <x v="4"/>
    <s v="COCA-COLA PET 2.25LX2 RF"/>
    <n v="648"/>
    <n v="162"/>
    <n v="110.16000000000001"/>
  </r>
  <r>
    <x v="195"/>
    <s v="ENERO"/>
    <n v="2"/>
    <s v="SÁBADO"/>
    <x v="5"/>
    <s v="INCA KOLA PET 2.25LX2 RF"/>
    <n v="810"/>
    <n v="162"/>
    <n v="137.70000000000002"/>
  </r>
  <r>
    <x v="195"/>
    <s v="ENERO"/>
    <n v="2"/>
    <s v="SÁBADO"/>
    <x v="17"/>
    <s v="TWO PACK CC PFM 3LX2 - RFCC"/>
    <n v="240"/>
    <n v="120"/>
    <n v="40.800000000000004"/>
  </r>
  <r>
    <x v="195"/>
    <s v="ENERO"/>
    <n v="2"/>
    <s v="SÁBADO"/>
    <x v="7"/>
    <s v="COCA-COLA PET 1.5LX2 RF"/>
    <n v="648"/>
    <n v="198"/>
    <n v="110.16000000000001"/>
  </r>
  <r>
    <x v="195"/>
    <s v="ENERO"/>
    <n v="2"/>
    <s v="SÁBADO"/>
    <x v="8"/>
    <s v="INCA KOLA PET 1.5LX2 RF"/>
    <n v="648"/>
    <n v="198"/>
    <n v="110.16000000000001"/>
  </r>
  <r>
    <x v="192"/>
    <s v="ENERO"/>
    <n v="1"/>
    <s v="MIÉRCOLES"/>
    <x v="26"/>
    <s v="TRIPACK CC+CC+IK PFM 3LX3 - RFNN"/>
    <n v="450"/>
    <n v="90"/>
    <n v="76.5"/>
  </r>
  <r>
    <x v="192"/>
    <s v="ENERO"/>
    <n v="1"/>
    <s v="MIÉRCOLES"/>
    <x v="10"/>
    <s v="TWO PACK CC + IK PFM 3LX2 - RFNN"/>
    <n v="840"/>
    <n v="120"/>
    <n v="142.80000000000001"/>
  </r>
  <r>
    <x v="192"/>
    <s v="ENERO"/>
    <n v="1"/>
    <s v="MIÉRCOLES"/>
    <x v="23"/>
    <s v="TRIPACK CC+IK+IK PFM 3LX3 - RFNN"/>
    <n v="90"/>
    <n v="90"/>
    <n v="15.3"/>
  </r>
  <r>
    <x v="192"/>
    <s v="ENERO"/>
    <n v="1"/>
    <s v="MIÉRCOLES"/>
    <x v="11"/>
    <s v="TRIPACK (CC+IK)PFM+FT PET 3LX3 - RFNN"/>
    <n v="450"/>
    <n v="90"/>
    <n v="76.5"/>
  </r>
  <r>
    <x v="196"/>
    <s v="ENERO"/>
    <n v="2"/>
    <s v="DOMINGO"/>
    <x v="24"/>
    <s v="MONSTER ENERGY 473MLX4"/>
    <n v="4620"/>
    <n v="420"/>
    <n v="1940.3999999999999"/>
  </r>
  <r>
    <x v="195"/>
    <s v="ENERO"/>
    <n v="2"/>
    <s v="SÁBADO"/>
    <x v="38"/>
    <s v="SL S/G TAPA PLANA 1LT"/>
    <n v="560"/>
    <n v="112"/>
    <n v="224"/>
  </r>
  <r>
    <x v="195"/>
    <s v="ENERO"/>
    <n v="2"/>
    <s v="SÁBADO"/>
    <x v="16"/>
    <s v="SAN LUIS CON GAS PET 625MLX6"/>
    <n v="900"/>
    <n v="180"/>
    <n v="378"/>
  </r>
  <r>
    <x v="195"/>
    <s v="ENERO"/>
    <n v="2"/>
    <s v="SÁBADO"/>
    <x v="25"/>
    <s v="POWERADE 3MORA+3FRUT PET 473MLX6"/>
    <n v="1575"/>
    <n v="225"/>
    <n v="661.5"/>
  </r>
  <r>
    <x v="195"/>
    <s v="ENERO"/>
    <n v="2"/>
    <s v="SÁBADO"/>
    <x v="12"/>
    <s v="POWERADE ION4 FRUTA PET473X6 MOD (STICK)"/>
    <n v="675"/>
    <n v="225"/>
    <n v="270"/>
  </r>
  <r>
    <x v="195"/>
    <s v="ENERO"/>
    <n v="2"/>
    <s v="SÁBADO"/>
    <x v="19"/>
    <s v="POWERADE ION4 MORA AZ PET473X6 MOD(STCK)"/>
    <n v="225"/>
    <n v="225"/>
    <n v="90"/>
  </r>
  <r>
    <x v="197"/>
    <s v="ENERO"/>
    <n v="2"/>
    <s v="LUNES"/>
    <x v="42"/>
    <s v="FANTA NARANJA PET 500MLX6 BRANDEADO MOD"/>
    <n v="750"/>
    <n v="420"/>
    <n v="315"/>
  </r>
  <r>
    <x v="197"/>
    <s v="ENERO"/>
    <n v="2"/>
    <s v="LUNES"/>
    <x v="28"/>
    <s v="COCA COLA VR 1.5LX8 - STICKER"/>
    <n v="150"/>
    <n v="30"/>
    <n v="34.5"/>
  </r>
  <r>
    <x v="197"/>
    <s v="ENERO"/>
    <n v="2"/>
    <s v="LUNES"/>
    <x v="13"/>
    <s v="INCA KOLA VR 1.5LX8 - STICKER"/>
    <n v="90"/>
    <n v="30"/>
    <n v="36"/>
  </r>
  <r>
    <x v="197"/>
    <s v="ENERO"/>
    <n v="2"/>
    <s v="LUNES"/>
    <x v="15"/>
    <s v="INCA KOLA VR 625MLX12 - STICKER"/>
    <n v="450"/>
    <n v="50"/>
    <n v="180"/>
  </r>
  <r>
    <x v="197"/>
    <s v="ENERO"/>
    <n v="2"/>
    <s v="LUNES"/>
    <x v="0"/>
    <s v="SAN LUIS SIN GAS PET2500X6 STICKER"/>
    <n v="384"/>
    <n v="48"/>
    <n v="153.60000000000002"/>
  </r>
  <r>
    <x v="197"/>
    <s v="ENERO"/>
    <n v="2"/>
    <s v="LUNES"/>
    <x v="24"/>
    <s v="MONSTER ENERGY 473MLX4"/>
    <n v="3780"/>
    <n v="420"/>
    <n v="1587.6"/>
  </r>
  <r>
    <x v="197"/>
    <s v="ENERO"/>
    <n v="2"/>
    <s v="LUNES"/>
    <x v="32"/>
    <s v="MONSTER ENERGY ULTRA 473MLX4"/>
    <n v="1260"/>
    <n v="420"/>
    <n v="529.19999999999993"/>
  </r>
  <r>
    <x v="197"/>
    <s v="ENERO"/>
    <n v="2"/>
    <s v="LUNES"/>
    <x v="1"/>
    <s v="COCA-COLA SIN AZUCAR PET 1.5LX2"/>
    <n v="1296"/>
    <n v="198"/>
    <n v="220.32000000000002"/>
  </r>
  <r>
    <x v="197"/>
    <s v="ENERO"/>
    <n v="2"/>
    <s v="LUNES"/>
    <x v="2"/>
    <s v="INCA KOLA SIN AZUCAR PET 1.5LX2"/>
    <n v="432"/>
    <n v="198"/>
    <n v="73.440000000000012"/>
  </r>
  <r>
    <x v="197"/>
    <s v="ENERO"/>
    <n v="2"/>
    <s v="LUNES"/>
    <x v="17"/>
    <s v="TWO PACK CC PFM 3LX2 - RFCC"/>
    <n v="480"/>
    <n v="120"/>
    <n v="81.600000000000009"/>
  </r>
  <r>
    <x v="197"/>
    <s v="ENERO"/>
    <n v="2"/>
    <s v="LUNES"/>
    <x v="8"/>
    <s v="INCA KOLA PET 1.5LX2 RF"/>
    <n v="432"/>
    <n v="198"/>
    <n v="73.440000000000012"/>
  </r>
  <r>
    <x v="197"/>
    <s v="ENERO"/>
    <n v="2"/>
    <s v="LUNES"/>
    <x v="9"/>
    <s v="TRIPACK FT NAR+FT KI+SP PET 3L"/>
    <n v="450"/>
    <n v="90"/>
    <n v="76.5"/>
  </r>
  <r>
    <x v="197"/>
    <s v="ENERO"/>
    <n v="2"/>
    <s v="LUNES"/>
    <x v="20"/>
    <s v="TRIPACK (FT NAR+SP)PET+IK RF PFM 3L"/>
    <n v="450"/>
    <n v="90"/>
    <n v="76.5"/>
  </r>
  <r>
    <x v="197"/>
    <s v="ENERO"/>
    <n v="2"/>
    <s v="LUNES"/>
    <x v="25"/>
    <s v="POWERADE 3MORA+3FRUT PET 473MLX6"/>
    <n v="1350"/>
    <n v="225"/>
    <n v="567"/>
  </r>
  <r>
    <x v="197"/>
    <s v="ENERO"/>
    <n v="2"/>
    <s v="LUNES"/>
    <x v="12"/>
    <s v="POWERADE ION4 FRUTA PET473X6 MOD (STICK)"/>
    <n v="225"/>
    <n v="225"/>
    <n v="90"/>
  </r>
  <r>
    <x v="197"/>
    <s v="ENERO"/>
    <n v="2"/>
    <s v="LUNES"/>
    <x v="19"/>
    <s v="POWERADE ION4 MORA AZ PET473X6 MOD(STCK)"/>
    <n v="225"/>
    <n v="225"/>
    <n v="90"/>
  </r>
  <r>
    <x v="198"/>
    <s v="ENERO"/>
    <n v="2"/>
    <s v="MARTES"/>
    <x v="15"/>
    <s v="INCA KOLA VR 625MLX12 - STICKER"/>
    <n v="250"/>
    <n v="50"/>
    <n v="100"/>
  </r>
  <r>
    <x v="198"/>
    <s v="ENERO"/>
    <n v="2"/>
    <s v="MARTES"/>
    <x v="36"/>
    <s v="SAN LUIS SIN GAS PET 625MLX15 C/STICKER"/>
    <n v="450"/>
    <n v="90"/>
    <n v="180"/>
  </r>
  <r>
    <x v="198"/>
    <s v="ENERO"/>
    <n v="2"/>
    <s v="MARTES"/>
    <x v="0"/>
    <s v="SAN LUIS SIN GAS PET2500X6 STICKER"/>
    <n v="960"/>
    <n v="48"/>
    <n v="384"/>
  </r>
  <r>
    <x v="198"/>
    <s v="ENERO"/>
    <n v="2"/>
    <s v="MARTES"/>
    <x v="24"/>
    <s v="MONSTER ENERGY 473MLX4"/>
    <n v="4200"/>
    <n v="420"/>
    <n v="1764"/>
  </r>
  <r>
    <x v="198"/>
    <s v="ENERO"/>
    <n v="2"/>
    <s v="MARTES"/>
    <x v="1"/>
    <s v="COCA-COLA SIN AZUCAR PET 1.5LX2"/>
    <n v="1512"/>
    <n v="198"/>
    <n v="257.04000000000002"/>
  </r>
  <r>
    <x v="198"/>
    <s v="ENERO"/>
    <n v="2"/>
    <s v="MARTES"/>
    <x v="2"/>
    <s v="INCA KOLA SIN AZUCAR PET 1.5LX2"/>
    <n v="1944"/>
    <n v="198"/>
    <n v="330.48"/>
  </r>
  <r>
    <x v="198"/>
    <s v="ENERO"/>
    <n v="2"/>
    <s v="MARTES"/>
    <x v="22"/>
    <s v="TWO PACK SCHWEPPES CITRUS PET 1.5LX2"/>
    <n v="792"/>
    <n v="198"/>
    <n v="134.64000000000001"/>
  </r>
  <r>
    <x v="198"/>
    <s v="ENERO"/>
    <n v="2"/>
    <s v="MARTES"/>
    <x v="3"/>
    <s v="TWO PACK SCHWEPPES GINGER ALE PET 1.5LX2"/>
    <n v="1188"/>
    <n v="198"/>
    <n v="201.96"/>
  </r>
  <r>
    <x v="198"/>
    <s v="ENERO"/>
    <n v="2"/>
    <s v="MARTES"/>
    <x v="7"/>
    <s v="COCA-COLA PET 1.5LX2 RF"/>
    <n v="864"/>
    <n v="198"/>
    <n v="146.88000000000002"/>
  </r>
  <r>
    <x v="198"/>
    <s v="ENERO"/>
    <n v="2"/>
    <s v="MARTES"/>
    <x v="8"/>
    <s v="INCA KOLA PET 1.5LX2 RF"/>
    <n v="648"/>
    <n v="198"/>
    <n v="110.16000000000001"/>
  </r>
  <r>
    <x v="198"/>
    <s v="ENERO"/>
    <n v="2"/>
    <s v="MARTES"/>
    <x v="9"/>
    <s v="TRIPACK FT NAR+FT KI+SP PET 3L"/>
    <n v="720"/>
    <n v="90"/>
    <n v="122.4"/>
  </r>
  <r>
    <x v="198"/>
    <s v="ENERO"/>
    <n v="2"/>
    <s v="MARTES"/>
    <x v="10"/>
    <s v="TWO PACK CC + IK PFM 3LX2 - RFNN"/>
    <n v="3360"/>
    <n v="120"/>
    <n v="571.20000000000005"/>
  </r>
  <r>
    <x v="198"/>
    <s v="ENERO"/>
    <n v="2"/>
    <s v="MARTES"/>
    <x v="20"/>
    <s v="TRIPACK (FT NAR+SP)PET+IK RF PFM 3L"/>
    <n v="720"/>
    <n v="90"/>
    <n v="122.4"/>
  </r>
  <r>
    <x v="198"/>
    <s v="ENERO"/>
    <n v="2"/>
    <s v="MARTES"/>
    <x v="25"/>
    <s v="POWERADE 3MORA+3FRUT PET 473MLX6"/>
    <n v="1350"/>
    <n v="225"/>
    <n v="567"/>
  </r>
  <r>
    <x v="199"/>
    <s v="ENERO"/>
    <n v="2"/>
    <s v="MIÉRCOLES"/>
    <x v="28"/>
    <s v="COCA COLA VR 1.5LX8 - STICKER"/>
    <n v="300"/>
    <n v="30"/>
    <n v="69"/>
  </r>
  <r>
    <x v="199"/>
    <s v="ENERO"/>
    <n v="2"/>
    <s v="MIÉRCOLES"/>
    <x v="15"/>
    <s v="INCA KOLA VR 625MLX12 - STICKER"/>
    <n v="150"/>
    <n v="50"/>
    <n v="60"/>
  </r>
  <r>
    <x v="199"/>
    <s v="ENERO"/>
    <n v="2"/>
    <s v="MIÉRCOLES"/>
    <x v="36"/>
    <s v="SAN LUIS SIN GAS PET 625MLX15 C/STICKER"/>
    <n v="360"/>
    <n v="90"/>
    <n v="144"/>
  </r>
  <r>
    <x v="199"/>
    <s v="ENERO"/>
    <n v="2"/>
    <s v="MIÉRCOLES"/>
    <x v="0"/>
    <s v="SAN LUIS SIN GAS PET2500X6 STICKER"/>
    <n v="1344"/>
    <n v="48"/>
    <n v="537.6"/>
  </r>
  <r>
    <x v="199"/>
    <s v="ENERO"/>
    <n v="2"/>
    <s v="MIÉRCOLES"/>
    <x v="24"/>
    <s v="MONSTER ENERGY 473MLX4"/>
    <n v="4200"/>
    <n v="420"/>
    <n v="1764"/>
  </r>
  <r>
    <x v="199"/>
    <s v="ENERO"/>
    <m/>
    <m/>
    <x v="7"/>
    <s v="COCA-COLA PET 1.5LX2 RF"/>
    <n v="2160"/>
    <n v="198"/>
    <n v="367.20000000000005"/>
  </r>
  <r>
    <x v="199"/>
    <s v="ENERO"/>
    <n v="2"/>
    <s v="MIÉRCOLES"/>
    <x v="10"/>
    <s v="TWO PACK CC + IK PFM 3LX2 - RFNN"/>
    <n v="2640"/>
    <n v="120"/>
    <n v="448.8"/>
  </r>
  <r>
    <x v="199"/>
    <s v="ENERO"/>
    <n v="2"/>
    <s v="MIÉRCOLES"/>
    <x v="25"/>
    <s v="POWERADE 3MORA+3FRUT PET 473MLX6"/>
    <n v="1350"/>
    <n v="225"/>
    <n v="567"/>
  </r>
  <r>
    <x v="199"/>
    <s v="ENERO"/>
    <n v="2"/>
    <s v="MIÉRCOLES"/>
    <x v="46"/>
    <s v="COCA COLA PET 500MLX6"/>
    <n v="250"/>
    <n v="250"/>
    <n v="105"/>
  </r>
  <r>
    <x v="200"/>
    <s v="ENERO"/>
    <n v="2"/>
    <s v="JUEVES"/>
    <x v="13"/>
    <s v="INCA KOLA VR 1.5LX8 - STICKER"/>
    <n v="270"/>
    <n v="30"/>
    <n v="108"/>
  </r>
  <r>
    <x v="200"/>
    <s v="ENERO"/>
    <n v="2"/>
    <s v="JUEVES"/>
    <x v="36"/>
    <s v="SAN LUIS SIN GAS PET 625MLX15 C/STICKER"/>
    <n v="720"/>
    <n v="90"/>
    <n v="288"/>
  </r>
  <r>
    <x v="200"/>
    <s v="ENERO"/>
    <n v="2"/>
    <s v="JUEVES"/>
    <x v="0"/>
    <s v="SAN LUIS SIN GAS PET2500X6 STICKER"/>
    <n v="1440"/>
    <n v="48"/>
    <n v="576"/>
  </r>
  <r>
    <x v="200"/>
    <s v="ENERO"/>
    <n v="2"/>
    <s v="JUEVES"/>
    <x v="39"/>
    <s v="MONSTER ENERGY ZERO 473MLX4"/>
    <n v="4200"/>
    <n v="420"/>
    <n v="1764"/>
  </r>
  <r>
    <x v="200"/>
    <s v="ENERO"/>
    <n v="2"/>
    <s v="JUEVES"/>
    <x v="1"/>
    <s v="COCA-COLA SIN AZUCAR PET 1.5LX2"/>
    <n v="2160"/>
    <n v="198"/>
    <n v="367.20000000000005"/>
  </r>
  <r>
    <x v="200"/>
    <s v="ENERO"/>
    <n v="2"/>
    <s v="JUEVES"/>
    <x v="22"/>
    <s v="TWO PACK SCHWEPPES CITRUS PET 1.5LX2"/>
    <n v="594"/>
    <n v="198"/>
    <n v="100.98"/>
  </r>
  <r>
    <x v="200"/>
    <s v="ENERO"/>
    <n v="2"/>
    <s v="JUEVES"/>
    <x v="3"/>
    <s v="TWO PACK SCHWEPPES GINGER ALE PET 1.5LX2"/>
    <n v="990"/>
    <n v="198"/>
    <n v="168.3"/>
  </r>
  <r>
    <x v="200"/>
    <s v="ENERO"/>
    <n v="2"/>
    <s v="JUEVES"/>
    <x v="6"/>
    <s v="INCA KOLA PET 3LX2 - RF"/>
    <n v="1800"/>
    <n v="120"/>
    <n v="306"/>
  </r>
  <r>
    <x v="200"/>
    <s v="ENERO"/>
    <n v="2"/>
    <s v="JUEVES"/>
    <x v="17"/>
    <s v="TWO PACK CC PFM 3LX2 - RFCC"/>
    <n v="600"/>
    <n v="120"/>
    <n v="102.00000000000001"/>
  </r>
  <r>
    <x v="200"/>
    <s v="ENERO"/>
    <n v="2"/>
    <s v="JUEVES"/>
    <x v="7"/>
    <s v="COCA-COLA PET 1.5LX2 RF"/>
    <n v="1728"/>
    <n v="198"/>
    <n v="293.76000000000005"/>
  </r>
  <r>
    <x v="200"/>
    <s v="ENERO"/>
    <n v="2"/>
    <s v="JUEVES"/>
    <x v="8"/>
    <s v="INCA KOLA PET 1.5LX2 RF"/>
    <n v="1728"/>
    <n v="198"/>
    <n v="293.76000000000005"/>
  </r>
  <r>
    <x v="200"/>
    <s v="ENERO"/>
    <n v="2"/>
    <s v="JUEVES"/>
    <x v="25"/>
    <s v="POWERADE 3MORA+3FRUT PET 473MLX6"/>
    <n v="900"/>
    <n v="225"/>
    <n v="378"/>
  </r>
  <r>
    <x v="200"/>
    <s v="ENERO"/>
    <n v="2"/>
    <s v="JUEVES"/>
    <x v="19"/>
    <s v="POWERADE ION4 MORA AZ PET473X6 MOD(STCK)"/>
    <n v="225"/>
    <n v="225"/>
    <n v="90"/>
  </r>
  <r>
    <x v="200"/>
    <s v="ENERO"/>
    <n v="2"/>
    <s v="JUEVES"/>
    <x v="46"/>
    <s v="COCA COLA PET 500MLX6"/>
    <n v="1500"/>
    <n v="250"/>
    <n v="630"/>
  </r>
  <r>
    <x v="200"/>
    <s v="ENERO"/>
    <n v="2"/>
    <s v="JUEVES"/>
    <x v="43"/>
    <s v="SPRITE PET 500MLX6 BRANDEADO MOD"/>
    <n v="750"/>
    <n v="420"/>
    <n v="315"/>
  </r>
  <r>
    <x v="200"/>
    <s v="ENERO"/>
    <n v="2"/>
    <s v="JUEVES"/>
    <x v="46"/>
    <s v="COCA COLA PET 500MLX6"/>
    <n v="1750"/>
    <n v="250"/>
    <n v="735"/>
  </r>
  <r>
    <x v="201"/>
    <s v="ENERO"/>
    <n v="2"/>
    <s v="VIERNES"/>
    <x v="43"/>
    <s v="SPRITE PET 500MLX6 BRANDEADO MOD"/>
    <n v="1000"/>
    <n v="420"/>
    <n v="420"/>
  </r>
  <r>
    <x v="201"/>
    <s v="ENERO"/>
    <n v="2"/>
    <s v="VIERNES"/>
    <x v="64"/>
    <s v="PACK-2 FT NAR+FT KI+FT PIÑA+SP RP 1.5LX8"/>
    <n v="600"/>
    <n v="30"/>
    <n v="126"/>
  </r>
  <r>
    <x v="201"/>
    <s v="ENERO"/>
    <n v="2"/>
    <s v="VIERNES"/>
    <x v="28"/>
    <s v="COCA COLA VR 1.5LX8 - STICKER"/>
    <n v="360"/>
    <n v="30"/>
    <n v="82.8"/>
  </r>
  <r>
    <x v="201"/>
    <s v="ENERO"/>
    <n v="2"/>
    <s v="VIERNES"/>
    <x v="33"/>
    <s v="COCA COLA VR 296MLX24 - STICKER"/>
    <n v="120"/>
    <n v="40"/>
    <n v="27.6"/>
  </r>
  <r>
    <x v="201"/>
    <s v="ENERO"/>
    <n v="2"/>
    <s v="VIERNES"/>
    <x v="13"/>
    <s v="INCA KOLA VR 1.5LX8 - STICKER"/>
    <n v="390"/>
    <n v="30"/>
    <n v="156"/>
  </r>
  <r>
    <x v="201"/>
    <s v="ENERO"/>
    <n v="2"/>
    <s v="VIERNES"/>
    <x v="14"/>
    <s v="INCA KOLA VR 296MLX24 - STICKER"/>
    <n v="600"/>
    <n v="40"/>
    <n v="138"/>
  </r>
  <r>
    <x v="201"/>
    <s v="ENERO"/>
    <n v="2"/>
    <s v="VIERNES"/>
    <x v="15"/>
    <s v="INCA KOLA VR 625MLX12 - STICKER"/>
    <n v="500"/>
    <n v="50"/>
    <n v="200"/>
  </r>
  <r>
    <x v="201"/>
    <s v="ENERO"/>
    <n v="2"/>
    <s v="VIERNES"/>
    <x v="36"/>
    <s v="SAN LUIS SIN GAS PET 625MLX15 C/STICKER"/>
    <n v="450"/>
    <n v="90"/>
    <n v="180"/>
  </r>
  <r>
    <x v="201"/>
    <s v="ENERO"/>
    <n v="2"/>
    <s v="VIERNES"/>
    <x v="0"/>
    <s v="SAN LUIS SIN GAS PET2500X6 STICKER"/>
    <n v="1344"/>
    <n v="48"/>
    <n v="537.6"/>
  </r>
  <r>
    <x v="201"/>
    <s v="ENERO"/>
    <n v="2"/>
    <s v="VIERNES"/>
    <x v="39"/>
    <s v="MONSTER ENERGY ZERO 473MLX4"/>
    <n v="2520"/>
    <n v="420"/>
    <n v="1058.3999999999999"/>
  </r>
  <r>
    <x v="201"/>
    <s v="ENERO"/>
    <n v="2"/>
    <s v="VIERNES"/>
    <x v="34"/>
    <s v="TWO PACK CC PET 1.5LX2 - CRC"/>
    <n v="216"/>
    <n v="198"/>
    <n v="36.720000000000006"/>
  </r>
  <r>
    <x v="201"/>
    <s v="ENERO"/>
    <n v="2"/>
    <s v="VIERNES"/>
    <x v="29"/>
    <s v="TWO PACK IK PET 1.5LX2 - CRCG"/>
    <n v="432"/>
    <n v="198"/>
    <n v="73.440000000000012"/>
  </r>
  <r>
    <x v="201"/>
    <s v="ENERO"/>
    <n v="2"/>
    <s v="VIERNES"/>
    <x v="26"/>
    <s v="TRIPACK CC+CC+IK PFM 3LX3 - RFNN"/>
    <n v="900"/>
    <n v="90"/>
    <n v="153"/>
  </r>
  <r>
    <x v="201"/>
    <s v="ENERO"/>
    <n v="2"/>
    <s v="VIERNES"/>
    <x v="12"/>
    <s v="POWERADE ION4 FRUTA PET473X6 MOD (STICK)"/>
    <n v="900"/>
    <n v="225"/>
    <n v="360"/>
  </r>
  <r>
    <x v="201"/>
    <s v="ENERO"/>
    <n v="2"/>
    <s v="VIERNES"/>
    <x v="19"/>
    <s v="POWERADE ION4 MORA AZ PET473X6 MOD(STCK)"/>
    <n v="450"/>
    <n v="225"/>
    <n v="180"/>
  </r>
  <r>
    <x v="201"/>
    <s v="ENERO"/>
    <n v="2"/>
    <s v="VIERNES"/>
    <x v="46"/>
    <s v="COCA COLA PET 500MLX6"/>
    <n v="1750"/>
    <n v="250"/>
    <n v="735"/>
  </r>
  <r>
    <x v="201"/>
    <s v="ENERO"/>
    <n v="2"/>
    <s v="VIERNES"/>
    <x v="42"/>
    <s v="FANTA NARANJA PET 500MLX6 BRANDEADO MOD"/>
    <n v="1000"/>
    <n v="420"/>
    <n v="420"/>
  </r>
  <r>
    <x v="201"/>
    <s v="ENERO"/>
    <n v="2"/>
    <s v="VIERNES"/>
    <x v="46"/>
    <s v="COCA COLA PET 500MLX6"/>
    <n v="1250"/>
    <n v="250"/>
    <n v="525"/>
  </r>
  <r>
    <x v="202"/>
    <s v="ENERO"/>
    <n v="3"/>
    <s v="SÁBADO"/>
    <x v="64"/>
    <s v="PACK-2 FT NAR+FT KI+FT PIÑA+SP RP 1.5LX8"/>
    <n v="240"/>
    <n v="30"/>
    <n v="50.4"/>
  </r>
  <r>
    <x v="202"/>
    <s v="ENERO"/>
    <n v="3"/>
    <s v="SÁBADO"/>
    <x v="13"/>
    <s v="INCA KOLA VR 1.5LX8 - STICKER"/>
    <n v="300"/>
    <n v="30"/>
    <n v="120"/>
  </r>
  <r>
    <x v="202"/>
    <s v="ENERO"/>
    <n v="3"/>
    <s v="SÁBADO"/>
    <x v="36"/>
    <s v="SAN LUIS SIN GAS PET 625MLX15 C/STICKER"/>
    <n v="180"/>
    <n v="90"/>
    <n v="72"/>
  </r>
  <r>
    <x v="202"/>
    <s v="ENERO"/>
    <n v="3"/>
    <s v="SÁBADO"/>
    <x v="0"/>
    <s v="SAN LUIS SIN GAS PET2500X6 STICKER"/>
    <n v="240"/>
    <n v="48"/>
    <n v="96"/>
  </r>
  <r>
    <x v="202"/>
    <s v="ENERO"/>
    <n v="3"/>
    <s v="SÁBADO"/>
    <x v="16"/>
    <s v="SAN LUIS CON GAS PET 625MLX6"/>
    <n v="180"/>
    <n v="180"/>
    <n v="75.599999999999994"/>
  </r>
  <r>
    <x v="202"/>
    <s v="ENERO"/>
    <n v="3"/>
    <s v="SÁBADO"/>
    <x v="2"/>
    <s v="INCA KOLA SIN AZUCAR PET 1.5LX2"/>
    <n v="1080"/>
    <n v="198"/>
    <n v="183.60000000000002"/>
  </r>
  <r>
    <x v="202"/>
    <s v="ENERO"/>
    <n v="3"/>
    <s v="SÁBADO"/>
    <x v="22"/>
    <s v="TWO PACK SCHWEPPES CITRUS PET 1.5LX2"/>
    <n v="1188"/>
    <n v="198"/>
    <n v="201.96"/>
  </r>
  <r>
    <x v="202"/>
    <s v="ENERO"/>
    <n v="3"/>
    <s v="SÁBADO"/>
    <x v="3"/>
    <s v="TWO PACK SCHWEPPES GINGER ALE PET 1.5LX2"/>
    <n v="396"/>
    <n v="198"/>
    <n v="67.320000000000007"/>
  </r>
  <r>
    <x v="202"/>
    <s v="ENERO"/>
    <n v="3"/>
    <s v="SÁBADO"/>
    <x v="8"/>
    <s v="INCA KOLA PET 1.5LX2 RF"/>
    <n v="1728"/>
    <n v="198"/>
    <n v="293.76000000000005"/>
  </r>
  <r>
    <x v="202"/>
    <s v="ENERO"/>
    <n v="3"/>
    <s v="SÁBADO"/>
    <x v="10"/>
    <s v="TWO PACK CC + IK PFM 3LX2 - RFNN"/>
    <n v="5760"/>
    <n v="120"/>
    <n v="979.2"/>
  </r>
  <r>
    <x v="202"/>
    <s v="ENERO"/>
    <n v="3"/>
    <s v="SÁBADO"/>
    <x v="23"/>
    <s v="TRIPACK CC+IK+IK PFM 3LX3 - RFNN"/>
    <n v="270"/>
    <n v="90"/>
    <n v="45.900000000000006"/>
  </r>
  <r>
    <x v="202"/>
    <s v="ENERO"/>
    <n v="3"/>
    <s v="SÁBADO"/>
    <x v="11"/>
    <s v="TRIPACK (CC+IK)PFM+FT PET 3LX3 - RFNN"/>
    <n v="540"/>
    <n v="90"/>
    <n v="91.800000000000011"/>
  </r>
  <r>
    <x v="202"/>
    <s v="ENERO"/>
    <n v="3"/>
    <s v="SÁBADO"/>
    <x v="25"/>
    <s v="POWERADE 3MORA+3FRUT PET 473MLX6"/>
    <n v="900"/>
    <n v="225"/>
    <n v="378"/>
  </r>
  <r>
    <x v="202"/>
    <s v="ENERO"/>
    <n v="3"/>
    <s v="SÁBADO"/>
    <x v="46"/>
    <s v="COCA COLA PET 500MLX6"/>
    <n v="1750"/>
    <n v="250"/>
    <n v="735"/>
  </r>
  <r>
    <x v="202"/>
    <s v="ENERO"/>
    <n v="3"/>
    <s v="SÁBADO"/>
    <x v="42"/>
    <s v="FANTA NARANJA PET 500MLX6 BRANDEADO MOD"/>
    <n v="500"/>
    <n v="420"/>
    <n v="210"/>
  </r>
  <r>
    <x v="202"/>
    <s v="ENERO"/>
    <n v="3"/>
    <s v="SÁBADO"/>
    <x v="43"/>
    <s v="SPRITE PET 500MLX6 BRANDEADO MOD"/>
    <n v="500"/>
    <n v="420"/>
    <n v="210"/>
  </r>
  <r>
    <x v="203"/>
    <s v="ENERO"/>
    <n v="3"/>
    <s v="LUNES"/>
    <x v="64"/>
    <s v="PACK-2 FT NAR+FT KI+FT PIÑA+SP RP 1.5LX8"/>
    <n v="1410"/>
    <n v="30"/>
    <n v="296.09999999999997"/>
  </r>
  <r>
    <x v="203"/>
    <s v="ENERO"/>
    <n v="3"/>
    <s v="LUNES"/>
    <x v="28"/>
    <s v="COCA COLA VR 1.5LX8 - STICKER"/>
    <n v="300"/>
    <n v="30"/>
    <n v="69"/>
  </r>
  <r>
    <x v="203"/>
    <s v="ENERO"/>
    <n v="3"/>
    <s v="LUNES"/>
    <x v="33"/>
    <s v="COCA COLA VR 296MLX24 - STICKER"/>
    <n v="120"/>
    <n v="40"/>
    <n v="27.6"/>
  </r>
  <r>
    <x v="203"/>
    <s v="ENERO"/>
    <n v="3"/>
    <s v="LUNES"/>
    <x v="13"/>
    <s v="INCA KOLA VR 1.5LX8 - STICKER"/>
    <n v="450"/>
    <n v="30"/>
    <n v="180"/>
  </r>
  <r>
    <x v="203"/>
    <s v="ENERO"/>
    <n v="3"/>
    <s v="LUNES"/>
    <x v="15"/>
    <s v="INCA KOLA VR 625MLX12 - STICKER"/>
    <n v="350"/>
    <n v="50"/>
    <n v="140"/>
  </r>
  <r>
    <x v="203"/>
    <s v="ENERO"/>
    <n v="3"/>
    <s v="LUNES"/>
    <x v="36"/>
    <s v="SAN LUIS SIN GAS PET 625MLX15 C/STICKER"/>
    <n v="900"/>
    <n v="90"/>
    <n v="360"/>
  </r>
  <r>
    <x v="203"/>
    <s v="ENERO"/>
    <n v="3"/>
    <s v="LUNES"/>
    <x v="40"/>
    <s v="SAN LUIS SPORT S/G 10 Lt x6 "/>
    <n v="112"/>
    <n v="240"/>
    <n v="44.800000000000004"/>
  </r>
  <r>
    <x v="203"/>
    <s v="ENERO"/>
    <n v="3"/>
    <s v="LUNES"/>
    <x v="38"/>
    <s v="SL S/G TAPA PLANA 1LT"/>
    <n v="336"/>
    <n v="112"/>
    <n v="134.4"/>
  </r>
  <r>
    <x v="203"/>
    <s v="ENERO"/>
    <n v="3"/>
    <s v="LUNES"/>
    <x v="0"/>
    <s v="SAN LUIS SIN GAS PET2500X6 STICKER"/>
    <n v="1632"/>
    <n v="48"/>
    <n v="652.80000000000007"/>
  </r>
  <r>
    <x v="203"/>
    <s v="ENERO"/>
    <n v="3"/>
    <s v="LUNES"/>
    <x v="2"/>
    <s v="INCA KOLA SIN AZUCAR PET 1.5LX2"/>
    <n v="2160"/>
    <n v="198"/>
    <n v="367.20000000000005"/>
  </r>
  <r>
    <x v="203"/>
    <s v="ENERO"/>
    <n v="3"/>
    <s v="LUNES"/>
    <x v="8"/>
    <s v="INCA KOLA PET 1.5LX2 RF"/>
    <n v="1080"/>
    <n v="198"/>
    <n v="183.60000000000002"/>
  </r>
  <r>
    <x v="203"/>
    <s v="ENERO"/>
    <n v="3"/>
    <s v="LUNES"/>
    <x v="26"/>
    <s v="TRIPACK CC+CC+IK PFM 3LX3 - RFNN"/>
    <n v="450"/>
    <n v="90"/>
    <n v="76.5"/>
  </r>
  <r>
    <x v="203"/>
    <s v="ENERO"/>
    <n v="3"/>
    <s v="LUNES"/>
    <x v="11"/>
    <s v="TRIPACK (CC+IK)PFM+FT PET 3LX3 - RFNN"/>
    <n v="720"/>
    <n v="90"/>
    <n v="122.4"/>
  </r>
  <r>
    <x v="203"/>
    <s v="ENERO"/>
    <n v="3"/>
    <s v="LUNES"/>
    <x v="25"/>
    <s v="POWERADE 3MORA+3FRUT PET 473MLX6"/>
    <n v="1350"/>
    <n v="225"/>
    <n v="567"/>
  </r>
  <r>
    <x v="203"/>
    <s v="ENERO"/>
    <n v="3"/>
    <s v="LUNES"/>
    <x v="42"/>
    <s v="FANTA NARANJA PET 500MLX6 BRANDEADO MOD"/>
    <n v="500"/>
    <n v="420"/>
    <n v="210"/>
  </r>
  <r>
    <x v="203"/>
    <s v="ENERO"/>
    <n v="3"/>
    <s v="LUNES"/>
    <x v="43"/>
    <s v="SPRITE PET 500MLX6 BRANDEADO MOD"/>
    <n v="250"/>
    <n v="420"/>
    <n v="105"/>
  </r>
  <r>
    <x v="203"/>
    <s v="ENERO"/>
    <n v="3"/>
    <s v="LUNES"/>
    <x v="64"/>
    <s v="PACK-2 FT NAR+FT KI+FT PIÑA+SP RP 1.5LX8"/>
    <n v="390"/>
    <n v="30"/>
    <n v="81.899999999999991"/>
  </r>
  <r>
    <x v="204"/>
    <s v="ENERO"/>
    <n v="3"/>
    <s v="MARTES"/>
    <x v="42"/>
    <s v="FANTA NARANJA PET 500MLX6 BRANDEADO MOD"/>
    <n v="500"/>
    <n v="420"/>
    <n v="210"/>
  </r>
  <r>
    <x v="204"/>
    <s v="ENERO"/>
    <n v="3"/>
    <s v="MARTES"/>
    <x v="43"/>
    <s v="SPRITE PET 500MLX6 BRANDEADO MOD"/>
    <n v="1000"/>
    <n v="420"/>
    <n v="420"/>
  </r>
  <r>
    <x v="204"/>
    <s v="ENERO"/>
    <n v="3"/>
    <s v="MARTES"/>
    <x v="64"/>
    <s v="PACK-2 FT NAR+FT KI+FT PIÑA+SP RP 1.5LX8"/>
    <n v="1560"/>
    <n v="30"/>
    <n v="327.59999999999997"/>
  </r>
  <r>
    <x v="204"/>
    <s v="ENERO"/>
    <n v="3"/>
    <s v="MARTES"/>
    <x v="28"/>
    <s v="COCA COLA VR 1.5LX8 - STICKER"/>
    <n v="150"/>
    <n v="30"/>
    <n v="34.5"/>
  </r>
  <r>
    <x v="204"/>
    <s v="ENERO"/>
    <n v="3"/>
    <s v="MARTES"/>
    <x v="13"/>
    <s v="INCA KOLA VR 1.5LX8 - STICKER"/>
    <n v="150"/>
    <n v="30"/>
    <n v="60"/>
  </r>
  <r>
    <x v="204"/>
    <s v="ENERO"/>
    <n v="3"/>
    <s v="MARTES"/>
    <x v="14"/>
    <s v="INCA KOLA VR 296MLX24 - STICKER"/>
    <n v="400"/>
    <n v="40"/>
    <n v="92"/>
  </r>
  <r>
    <x v="204"/>
    <s v="ENERO"/>
    <n v="3"/>
    <s v="MARTES"/>
    <x v="36"/>
    <s v="SAN LUIS SIN GAS PET 625MLX15 C/STICKER"/>
    <n v="1170"/>
    <n v="90"/>
    <n v="468"/>
  </r>
  <r>
    <x v="204"/>
    <s v="ENERO"/>
    <n v="3"/>
    <s v="MARTES"/>
    <x v="0"/>
    <s v="SAN LUIS SIN GAS PET2500X6 STICKER"/>
    <n v="2400"/>
    <n v="48"/>
    <n v="960"/>
  </r>
  <r>
    <x v="204"/>
    <s v="ENERO"/>
    <n v="3"/>
    <s v="MARTES"/>
    <x v="16"/>
    <s v="SAN LUIS CON GAS PET 625MLX6"/>
    <n v="900"/>
    <n v="180"/>
    <n v="378"/>
  </r>
  <r>
    <x v="204"/>
    <s v="ENERO"/>
    <n v="3"/>
    <s v="MARTES"/>
    <x v="22"/>
    <s v="TWO PACK SCHWEPPES CITRUS PET 1.5LX2"/>
    <n v="990"/>
    <n v="198"/>
    <n v="168.3"/>
  </r>
  <r>
    <x v="204"/>
    <s v="ENERO"/>
    <n v="3"/>
    <s v="MARTES"/>
    <x v="3"/>
    <s v="TWO PACK SCHWEPPES GINGER ALE PET 1.5LX2"/>
    <n v="990"/>
    <n v="198"/>
    <n v="168.3"/>
  </r>
  <r>
    <x v="204"/>
    <s v="ENERO"/>
    <n v="3"/>
    <s v="MARTES"/>
    <x v="4"/>
    <s v="COCA-COLA PET 2.25LX2 RF"/>
    <n v="648"/>
    <n v="162"/>
    <n v="110.16000000000001"/>
  </r>
  <r>
    <x v="204"/>
    <s v="ENERO"/>
    <n v="3"/>
    <s v="MARTES"/>
    <x v="5"/>
    <s v="INCA KOLA PET 2.25LX2 RF"/>
    <n v="324"/>
    <n v="162"/>
    <n v="55.080000000000005"/>
  </r>
  <r>
    <x v="204"/>
    <s v="ENERO"/>
    <n v="3"/>
    <s v="MARTES"/>
    <x v="10"/>
    <s v="TWO PACK CC + IK PFM 3LX2 - RFNN"/>
    <n v="3360"/>
    <n v="120"/>
    <n v="571.20000000000005"/>
  </r>
  <r>
    <x v="204"/>
    <s v="ENERO"/>
    <n v="3"/>
    <s v="MARTES"/>
    <x v="11"/>
    <s v="TRIPACK (CC+IK)PFM+FT PET 3LX3 - RFNN"/>
    <n v="900"/>
    <n v="90"/>
    <n v="153"/>
  </r>
  <r>
    <x v="204"/>
    <s v="ENERO"/>
    <n v="3"/>
    <s v="MARTES"/>
    <x v="12"/>
    <s v="POWERADE ION4 FRUTA PET473X6 MOD (STICK)"/>
    <n v="900"/>
    <n v="225"/>
    <n v="360"/>
  </r>
  <r>
    <x v="204"/>
    <s v="ENERO"/>
    <n v="3"/>
    <s v="MARTES"/>
    <x v="19"/>
    <s v="POWERADE ION4 MORA AZ PET473X6 MOD(STCK)"/>
    <n v="450"/>
    <n v="225"/>
    <n v="180"/>
  </r>
  <r>
    <x v="204"/>
    <s v="ENERO"/>
    <n v="3"/>
    <s v="MARTES"/>
    <x v="46"/>
    <s v="COCA COLA PET 500MLX6"/>
    <n v="2500"/>
    <n v="250"/>
    <n v="1050"/>
  </r>
  <r>
    <x v="204"/>
    <s v="ENERO"/>
    <n v="3"/>
    <s v="MARTES"/>
    <x v="46"/>
    <s v="COCA COLA PET 500MLX6"/>
    <n v="1250"/>
    <n v="250"/>
    <n v="525"/>
  </r>
  <r>
    <x v="205"/>
    <s v="ENERO"/>
    <n v="3"/>
    <s v="MIÉRCOLES"/>
    <x v="64"/>
    <s v="PACK-2 FT NAR+FT KI+FT PIÑA+SP RP 1.5LX8"/>
    <n v="960"/>
    <n v="30"/>
    <n v="201.6"/>
  </r>
  <r>
    <x v="205"/>
    <s v="ENERO"/>
    <n v="3"/>
    <s v="MIÉRCOLES"/>
    <x v="13"/>
    <s v="INCA KOLA VR 1.5LX8 - STICKER"/>
    <n v="150"/>
    <n v="30"/>
    <n v="60"/>
  </r>
  <r>
    <x v="205"/>
    <s v="ENERO"/>
    <n v="3"/>
    <s v="MIÉRCOLES"/>
    <x v="14"/>
    <s v="INCA KOLA VR 296MLX24 - STICKER"/>
    <n v="400"/>
    <n v="40"/>
    <n v="92"/>
  </r>
  <r>
    <x v="205"/>
    <s v="ENERO"/>
    <n v="3"/>
    <s v="MIÉRCOLES"/>
    <x v="15"/>
    <s v="INCA KOLA VR 625MLX12 - STICKER"/>
    <n v="300"/>
    <n v="50"/>
    <n v="120"/>
  </r>
  <r>
    <x v="205"/>
    <s v="ENERO"/>
    <n v="3"/>
    <s v="MIÉRCOLES"/>
    <x v="36"/>
    <s v="SAN LUIS SIN GAS PET 625MLX15 C/STICKER"/>
    <n v="1350"/>
    <n v="90"/>
    <n v="540"/>
  </r>
  <r>
    <x v="205"/>
    <s v="ENERO"/>
    <n v="3"/>
    <s v="MIÉRCOLES"/>
    <x v="40"/>
    <s v="SAN LUIS SPORT S/G 10 Lt x6 "/>
    <n v="560"/>
    <n v="240"/>
    <n v="224"/>
  </r>
  <r>
    <x v="205"/>
    <s v="ENERO"/>
    <n v="3"/>
    <s v="MIÉRCOLES"/>
    <x v="38"/>
    <s v="SL S/G TAPA PLANA 1LT"/>
    <n v="560"/>
    <n v="112"/>
    <n v="224"/>
  </r>
  <r>
    <x v="205"/>
    <s v="ENERO"/>
    <n v="3"/>
    <s v="MIÉRCOLES"/>
    <x v="0"/>
    <s v="SAN LUIS SIN GAS PET2500X6 STICKER"/>
    <n v="1920"/>
    <n v="48"/>
    <n v="768"/>
  </r>
  <r>
    <x v="205"/>
    <s v="ENERO"/>
    <n v="3"/>
    <s v="MIÉRCOLES"/>
    <x v="3"/>
    <s v="TWO PACK SCHWEPPES GINGER ALE PET 1.5LX2"/>
    <n v="792"/>
    <n v="198"/>
    <n v="134.64000000000001"/>
  </r>
  <r>
    <x v="205"/>
    <s v="ENERO"/>
    <n v="3"/>
    <s v="MIÉRCOLES"/>
    <x v="5"/>
    <s v="INCA KOLA PET 2.25LX2 RF"/>
    <n v="648"/>
    <n v="162"/>
    <n v="110.16000000000001"/>
  </r>
  <r>
    <x v="205"/>
    <s v="ENERO"/>
    <n v="3"/>
    <s v="MIÉRCOLES"/>
    <x v="9"/>
    <s v="TRIPACK FT NAR+FT KI+SP PET 3L"/>
    <n v="1440"/>
    <n v="90"/>
    <n v="244.8"/>
  </r>
  <r>
    <x v="205"/>
    <s v="ENERO"/>
    <n v="3"/>
    <s v="MIÉRCOLES"/>
    <x v="25"/>
    <s v="POWERADE 3MORA+3FRUT PET 473MLX6"/>
    <n v="1350"/>
    <n v="225"/>
    <n v="567"/>
  </r>
  <r>
    <x v="205"/>
    <s v="ENERO"/>
    <n v="3"/>
    <s v="MIÉRCOLES"/>
    <x v="12"/>
    <s v="POWERADE ION4 FRUTA PET473X6 MOD (STICK)"/>
    <n v="450"/>
    <n v="225"/>
    <n v="180"/>
  </r>
  <r>
    <x v="205"/>
    <s v="ENERO"/>
    <n v="3"/>
    <s v="MIÉRCOLES"/>
    <x v="19"/>
    <s v="POWERADE ION4 MORA AZ PET473X6 MOD(STCK)"/>
    <n v="450"/>
    <n v="225"/>
    <n v="180"/>
  </r>
  <r>
    <x v="205"/>
    <s v="ENERO"/>
    <n v="3"/>
    <s v="MIÉRCOLES"/>
    <x v="46"/>
    <s v="COCA COLA PET 500MLX6"/>
    <n v="1500"/>
    <n v="250"/>
    <n v="630"/>
  </r>
  <r>
    <x v="205"/>
    <s v="ENERO"/>
    <n v="3"/>
    <s v="MIÉRCOLES"/>
    <x v="42"/>
    <s v="FANTA NARANJA PET 500MLX6 BRANDEADO MOD"/>
    <n v="500"/>
    <n v="420"/>
    <n v="210"/>
  </r>
  <r>
    <x v="206"/>
    <s v="ENERO"/>
    <n v="3"/>
    <s v="JUEVES"/>
    <x v="19"/>
    <s v="POWERADE ION4 MORA AZ PET473X6 MOD(STCK)"/>
    <n v="450"/>
    <n v="225"/>
    <n v="180"/>
  </r>
  <r>
    <x v="206"/>
    <s v="ENERO"/>
    <n v="3"/>
    <s v="JUEVES"/>
    <x v="46"/>
    <s v="COCA COLA PET 500MLX6"/>
    <n v="500"/>
    <n v="250"/>
    <n v="210"/>
  </r>
  <r>
    <x v="206"/>
    <s v="ENERO"/>
    <n v="3"/>
    <s v="JUEVES"/>
    <x v="42"/>
    <s v="FANTA NARANJA PET 500MLX6 BRANDEADO MOD"/>
    <n v="250"/>
    <n v="420"/>
    <n v="105"/>
  </r>
  <r>
    <x v="206"/>
    <s v="ENERO"/>
    <n v="3"/>
    <s v="JUEVES"/>
    <x v="43"/>
    <s v="SPRITE PET 500MLX6 BRANDEADO MOD"/>
    <n v="500"/>
    <n v="420"/>
    <n v="210"/>
  </r>
  <r>
    <x v="206"/>
    <s v="ENERO"/>
    <n v="3"/>
    <s v="JUEVES"/>
    <x v="13"/>
    <s v="INCA KOLA VR 1.5LX8 - STICKER"/>
    <n v="150"/>
    <n v="30"/>
    <n v="60"/>
  </r>
  <r>
    <x v="206"/>
    <s v="ENERO"/>
    <n v="3"/>
    <s v="JUEVES"/>
    <x v="15"/>
    <s v="INCA KOLA VR 625MLX12 - STICKER"/>
    <n v="200"/>
    <n v="50"/>
    <n v="80"/>
  </r>
  <r>
    <x v="206"/>
    <s v="ENERO"/>
    <n v="3"/>
    <s v="JUEVES"/>
    <x v="36"/>
    <s v="SAN LUIS SIN GAS PET 625MLX15 C/STICKER"/>
    <n v="540"/>
    <n v="90"/>
    <n v="216"/>
  </r>
  <r>
    <x v="206"/>
    <s v="ENERO"/>
    <n v="3"/>
    <s v="JUEVES"/>
    <x v="38"/>
    <s v="SL S/G TAPA PLANA 1LT"/>
    <n v="224"/>
    <n v="112"/>
    <n v="89.600000000000009"/>
  </r>
  <r>
    <x v="206"/>
    <s v="ENERO"/>
    <n v="3"/>
    <s v="JUEVES"/>
    <x v="24"/>
    <s v="MONSTER ENERGY 473MLX4"/>
    <n v="840"/>
    <n v="420"/>
    <n v="352.8"/>
  </r>
  <r>
    <x v="206"/>
    <s v="ENERO"/>
    <n v="3"/>
    <s v="JUEVES"/>
    <x v="39"/>
    <s v="MONSTER ENERGY ZERO 473MLX4"/>
    <n v="4200"/>
    <n v="420"/>
    <n v="1764"/>
  </r>
  <r>
    <x v="206"/>
    <s v="ENERO"/>
    <n v="3"/>
    <s v="JUEVES"/>
    <x v="16"/>
    <s v="SAN LUIS CON GAS PET 625MLX6"/>
    <n v="1080"/>
    <n v="180"/>
    <n v="453.59999999999997"/>
  </r>
  <r>
    <x v="206"/>
    <s v="ENERO"/>
    <n v="3"/>
    <s v="JUEVES"/>
    <x v="1"/>
    <s v="COCA-COLA SIN AZUCAR PET 1.5LX2"/>
    <n v="1080"/>
    <n v="198"/>
    <n v="183.60000000000002"/>
  </r>
  <r>
    <x v="206"/>
    <s v="ENERO"/>
    <n v="3"/>
    <s v="JUEVES"/>
    <x v="22"/>
    <s v="TWO PACK SCHWEPPES CITRUS PET 1.5LX2"/>
    <n v="990"/>
    <n v="198"/>
    <n v="168.3"/>
  </r>
  <r>
    <x v="206"/>
    <s v="ENERO"/>
    <n v="3"/>
    <s v="JUEVES"/>
    <x v="4"/>
    <s v="COCA-COLA PET 2.25LX2 RF"/>
    <n v="810"/>
    <n v="162"/>
    <n v="137.70000000000002"/>
  </r>
  <r>
    <x v="206"/>
    <s v="ENERO"/>
    <n v="3"/>
    <s v="JUEVES"/>
    <x v="6"/>
    <s v="INCA KOLA PET 3LX2 - RF"/>
    <n v="6600"/>
    <n v="120"/>
    <n v="1122"/>
  </r>
  <r>
    <x v="206"/>
    <s v="ENERO"/>
    <n v="3"/>
    <s v="JUEVES"/>
    <x v="10"/>
    <s v="TWO PACK CC + IK PFM 3LX2 - RFNN"/>
    <n v="5520"/>
    <n v="120"/>
    <n v="938.40000000000009"/>
  </r>
  <r>
    <x v="206"/>
    <s v="ENERO"/>
    <n v="3"/>
    <s v="JUEVES"/>
    <x v="26"/>
    <s v="TRIPACK CC+CC+IK PFM 3LX3 - RFNN"/>
    <n v="900"/>
    <n v="90"/>
    <n v="153"/>
  </r>
  <r>
    <x v="206"/>
    <s v="ENERO"/>
    <n v="3"/>
    <s v="JUEVES"/>
    <x v="23"/>
    <s v="TRIPACK CC+IK+IK PFM 3LX3 - RFNN"/>
    <n v="1440"/>
    <n v="90"/>
    <n v="244.8"/>
  </r>
  <r>
    <x v="206"/>
    <s v="ENERO"/>
    <n v="3"/>
    <s v="JUEVES"/>
    <x v="12"/>
    <s v="POWERADE ION4 FRUTA PET473X6 MOD (STICK)"/>
    <n v="225"/>
    <n v="225"/>
    <n v="90"/>
  </r>
  <r>
    <x v="207"/>
    <s v="ENERO"/>
    <n v="4"/>
    <s v="SÁBADO"/>
    <x v="36"/>
    <s v="SAN LUIS SIN GAS PET 625MLX15 C/STICKER"/>
    <n v="1260"/>
    <n v="90"/>
    <n v="504"/>
  </r>
  <r>
    <x v="207"/>
    <s v="ENERO"/>
    <n v="4"/>
    <s v="SÁBADO"/>
    <x v="38"/>
    <s v="SL S/G TAPA PLANA 1LT"/>
    <n v="336"/>
    <n v="112"/>
    <n v="134.4"/>
  </r>
  <r>
    <x v="207"/>
    <s v="ENERO"/>
    <n v="4"/>
    <s v="SÁBADO"/>
    <x v="0"/>
    <s v="SAN LUIS SIN GAS PET2500X6 STICKER"/>
    <n v="1296"/>
    <n v="48"/>
    <n v="518.4"/>
  </r>
  <r>
    <x v="207"/>
    <s v="ENERO"/>
    <n v="4"/>
    <s v="SÁBADO"/>
    <x v="24"/>
    <s v="MONSTER ENERGY 473MLX4"/>
    <n v="1260"/>
    <n v="420"/>
    <n v="529.19999999999993"/>
  </r>
  <r>
    <x v="207"/>
    <s v="ENERO"/>
    <n v="4"/>
    <s v="SÁBADO"/>
    <x v="39"/>
    <s v="MONSTER ENERGY ZERO 473MLX4"/>
    <n v="2100"/>
    <n v="420"/>
    <n v="882"/>
  </r>
  <r>
    <x v="207"/>
    <s v="ENERO"/>
    <n v="4"/>
    <s v="SÁBADO"/>
    <x v="16"/>
    <s v="SAN LUIS CON GAS PET 625MLX6"/>
    <n v="900"/>
    <n v="180"/>
    <n v="378"/>
  </r>
  <r>
    <x v="207"/>
    <s v="ENERO"/>
    <n v="4"/>
    <s v="SÁBADO"/>
    <x v="1"/>
    <s v="COCA-COLA SIN AZUCAR PET 1.5LX2"/>
    <n v="2160"/>
    <n v="198"/>
    <n v="367.20000000000005"/>
  </r>
  <r>
    <x v="207"/>
    <s v="ENERO"/>
    <n v="4"/>
    <s v="SÁBADO"/>
    <x v="17"/>
    <s v="TWO PACK CC PFM 3LX2 - RFCC"/>
    <n v="4200"/>
    <n v="120"/>
    <n v="714"/>
  </r>
  <r>
    <x v="207"/>
    <s v="ENERO"/>
    <n v="4"/>
    <s v="SÁBADO"/>
    <x v="10"/>
    <s v="TWO PACK CC + IK PFM 3LX2 - RFNN"/>
    <n v="2400"/>
    <n v="120"/>
    <n v="408.00000000000006"/>
  </r>
  <r>
    <x v="207"/>
    <s v="ENERO"/>
    <n v="4"/>
    <s v="SÁBADO"/>
    <x v="23"/>
    <s v="TRIPACK CC+IK+IK PFM 3LX3 - RFNN"/>
    <n v="720"/>
    <n v="90"/>
    <n v="122.4"/>
  </r>
  <r>
    <x v="207"/>
    <s v="ENERO"/>
    <n v="4"/>
    <s v="SÁBADO"/>
    <x v="11"/>
    <s v="TRIPACK (CC+IK)PFM+FT PET 3LX3 - RFNN"/>
    <n v="2160"/>
    <n v="90"/>
    <n v="367.20000000000005"/>
  </r>
  <r>
    <x v="207"/>
    <s v="ENERO"/>
    <n v="4"/>
    <s v="SÁBADO"/>
    <x v="12"/>
    <s v="POWERADE ION4 FRUTA PET473X6 MOD (STICK)"/>
    <n v="900"/>
    <n v="225"/>
    <n v="360"/>
  </r>
  <r>
    <x v="207"/>
    <s v="ENERO"/>
    <n v="4"/>
    <s v="SÁBADO"/>
    <x v="19"/>
    <s v="POWERADE ION4 MORA AZ PET473X6 MOD(STCK)"/>
    <n v="450"/>
    <n v="225"/>
    <n v="180"/>
  </r>
  <r>
    <x v="207"/>
    <s v="ENERO"/>
    <n v="4"/>
    <s v="SÁBADO"/>
    <x v="43"/>
    <s v="SPRITE PET 500MLX6 BRANDEADO MOD"/>
    <n v="250"/>
    <n v="420"/>
    <n v="105"/>
  </r>
  <r>
    <x v="208"/>
    <s v="ENERO"/>
    <n v="3"/>
    <s v="VIERNES"/>
    <x v="36"/>
    <s v="SAN LUIS SIN GAS PET 625MLX15 C/STICKER"/>
    <n v="900"/>
    <n v="90"/>
    <n v="360"/>
  </r>
  <r>
    <x v="208"/>
    <s v="ENERO"/>
    <n v="3"/>
    <s v="VIERNES"/>
    <x v="0"/>
    <s v="SAN LUIS SIN GAS PET2500X6 STICKER"/>
    <n v="2400"/>
    <n v="48"/>
    <n v="960"/>
  </r>
  <r>
    <x v="208"/>
    <s v="ENERO"/>
    <n v="3"/>
    <s v="VIERNES"/>
    <x v="24"/>
    <s v="MONSTER ENERGY 473MLX4"/>
    <n v="840"/>
    <n v="420"/>
    <n v="352.8"/>
  </r>
  <r>
    <x v="208"/>
    <s v="ENERO"/>
    <n v="3"/>
    <s v="VIERNES"/>
    <x v="16"/>
    <s v="SAN LUIS CON GAS PET 625MLX6"/>
    <n v="1800"/>
    <n v="180"/>
    <n v="756"/>
  </r>
  <r>
    <x v="208"/>
    <s v="ENERO"/>
    <n v="3"/>
    <s v="VIERNES"/>
    <x v="1"/>
    <s v="COCA-COLA SIN AZUCAR PET 1.5LX2"/>
    <n v="1296"/>
    <n v="198"/>
    <n v="220.32000000000002"/>
  </r>
  <r>
    <x v="208"/>
    <s v="ENERO"/>
    <n v="3"/>
    <s v="VIERNES"/>
    <x v="2"/>
    <s v="INCA KOLA SIN AZUCAR PET 1.5LX2"/>
    <n v="216"/>
    <n v="198"/>
    <n v="36.720000000000006"/>
  </r>
  <r>
    <x v="208"/>
    <s v="ENERO"/>
    <n v="3"/>
    <s v="VIERNES"/>
    <x v="34"/>
    <s v="TWO PACK CC PET 1.5LX2 - CRC"/>
    <n v="432"/>
    <n v="198"/>
    <n v="73.440000000000012"/>
  </r>
  <r>
    <x v="208"/>
    <s v="ENERO"/>
    <n v="3"/>
    <s v="VIERNES"/>
    <x v="3"/>
    <s v="TWO PACK SCHWEPPES GINGER ALE PET 1.5LX2"/>
    <n v="990"/>
    <n v="198"/>
    <n v="168.3"/>
  </r>
  <r>
    <x v="208"/>
    <s v="ENERO"/>
    <n v="3"/>
    <s v="VIERNES"/>
    <x v="5"/>
    <s v="INCA KOLA PET 2.25LX2 RF"/>
    <n v="324"/>
    <n v="162"/>
    <n v="55.080000000000005"/>
  </r>
  <r>
    <x v="208"/>
    <s v="ENERO"/>
    <n v="3"/>
    <s v="VIERNES"/>
    <x v="17"/>
    <s v="TWO PACK CC PFM 3LX2 - RFCC"/>
    <n v="4320"/>
    <n v="120"/>
    <n v="734.40000000000009"/>
  </r>
  <r>
    <x v="208"/>
    <s v="ENERO"/>
    <n v="3"/>
    <s v="VIERNES"/>
    <x v="7"/>
    <s v="COCA-COLA PET 1.5LX2 RF"/>
    <n v="2376"/>
    <n v="198"/>
    <n v="403.92"/>
  </r>
  <r>
    <x v="208"/>
    <s v="ENERO"/>
    <n v="3"/>
    <s v="VIERNES"/>
    <x v="8"/>
    <s v="INCA KOLA PET 1.5LX2 RF"/>
    <n v="1080"/>
    <n v="198"/>
    <n v="183.60000000000002"/>
  </r>
  <r>
    <x v="208"/>
    <s v="ENERO"/>
    <n v="3"/>
    <s v="VIERNES"/>
    <x v="9"/>
    <s v="TRIPACK FT NAR+FT KI+SP PET 3L"/>
    <n v="900"/>
    <n v="90"/>
    <n v="153"/>
  </r>
  <r>
    <x v="208"/>
    <s v="ENERO"/>
    <n v="3"/>
    <s v="VIERNES"/>
    <x v="11"/>
    <s v="TRIPACK (CC+IK)PFM+FT PET 3LX3 - RFNN"/>
    <n v="3600"/>
    <n v="90"/>
    <n v="612"/>
  </r>
  <r>
    <x v="208"/>
    <s v="ENERO"/>
    <n v="3"/>
    <s v="VIERNES"/>
    <x v="20"/>
    <s v="TRIPACK (FT NAR+SP)PET+IK RF PFM 3L"/>
    <n v="900"/>
    <n v="90"/>
    <n v="153"/>
  </r>
  <r>
    <x v="208"/>
    <s v="ENERO"/>
    <n v="3"/>
    <s v="VIERNES"/>
    <x v="25"/>
    <s v="POWERADE 3MORA+3FRUT PET 473MLX6"/>
    <n v="1350"/>
    <n v="225"/>
    <n v="567"/>
  </r>
  <r>
    <x v="208"/>
    <s v="ENERO"/>
    <n v="3"/>
    <s v="VIERNES"/>
    <x v="12"/>
    <s v="POWERADE ION4 FRUTA PET473X6 MOD (STICK)"/>
    <n v="450"/>
    <n v="225"/>
    <n v="180"/>
  </r>
  <r>
    <x v="209"/>
    <s v="ENERO"/>
    <n v="4"/>
    <s v="LUNES"/>
    <x v="36"/>
    <s v="SAN LUIS SIN GAS PET 625MLX15 C/STICKER"/>
    <n v="450"/>
    <n v="90"/>
    <n v="180"/>
  </r>
  <r>
    <x v="209"/>
    <s v="ENERO"/>
    <n v="4"/>
    <s v="LUNES"/>
    <x v="38"/>
    <s v="SL S/G TAPA PLANA 1LT"/>
    <n v="224"/>
    <n v="112"/>
    <n v="89.600000000000009"/>
  </r>
  <r>
    <x v="209"/>
    <s v="ENERO"/>
    <n v="4"/>
    <s v="LUNES"/>
    <x v="0"/>
    <s v="SAN LUIS SIN GAS PET2500X6 STICKER"/>
    <n v="1440"/>
    <n v="48"/>
    <n v="576"/>
  </r>
  <r>
    <x v="209"/>
    <s v="ENERO"/>
    <n v="4"/>
    <s v="LUNES"/>
    <x v="39"/>
    <s v="MONSTER ENERGY ZERO 473MLX4"/>
    <n v="2100"/>
    <n v="420"/>
    <n v="882"/>
  </r>
  <r>
    <x v="209"/>
    <s v="ENERO"/>
    <n v="4"/>
    <s v="LUNES"/>
    <x v="22"/>
    <s v="TWO PACK SCHWEPPES CITRUS PET 1.5LX2"/>
    <n v="792"/>
    <n v="198"/>
    <n v="134.64000000000001"/>
  </r>
  <r>
    <x v="209"/>
    <s v="ENERO"/>
    <n v="4"/>
    <s v="LUNES"/>
    <x v="6"/>
    <s v="INCA KOLA PET 3LX2 - RF"/>
    <n v="360"/>
    <n v="120"/>
    <n v="61.2"/>
  </r>
  <r>
    <x v="209"/>
    <s v="ENERO"/>
    <n v="4"/>
    <s v="LUNES"/>
    <x v="9"/>
    <s v="TRIPACK FT NAR+FT KI+SP PET 3L"/>
    <n v="720"/>
    <n v="90"/>
    <n v="122.4"/>
  </r>
  <r>
    <x v="209"/>
    <s v="ENERO"/>
    <n v="4"/>
    <s v="LUNES"/>
    <x v="23"/>
    <s v="TRIPACK CC+IK+IK PFM 3LX3 - RFNN"/>
    <n v="720"/>
    <n v="90"/>
    <n v="122.4"/>
  </r>
  <r>
    <x v="209"/>
    <s v="ENERO"/>
    <n v="4"/>
    <s v="LUNES"/>
    <x v="11"/>
    <s v="TRIPACK (CC+IK)PFM+FT PET 3LX3 - RFNN"/>
    <n v="2160"/>
    <n v="90"/>
    <n v="367.20000000000005"/>
  </r>
  <r>
    <x v="209"/>
    <s v="ENERO"/>
    <n v="4"/>
    <s v="LUNES"/>
    <x v="25"/>
    <s v="POWERADE 3MORA+3FRUT PET 473MLX6"/>
    <n v="2250"/>
    <n v="225"/>
    <n v="945"/>
  </r>
  <r>
    <x v="209"/>
    <s v="ENERO"/>
    <n v="4"/>
    <s v="LUNES"/>
    <x v="12"/>
    <s v="POWERADE ION4 FRUTA PET473X6 MOD (STICK)"/>
    <n v="675"/>
    <n v="225"/>
    <n v="270"/>
  </r>
  <r>
    <x v="209"/>
    <s v="ENERO"/>
    <n v="4"/>
    <s v="LUNES"/>
    <x v="19"/>
    <s v="POWERADE ION4 MORA AZ PET473X6 MOD(STCK)"/>
    <n v="225"/>
    <n v="225"/>
    <n v="90"/>
  </r>
  <r>
    <x v="209"/>
    <s v="ENERO"/>
    <n v="4"/>
    <s v="LUNES"/>
    <x v="37"/>
    <s v="INCA KOLA PET 500MLX6"/>
    <n v="1250"/>
    <n v="225"/>
    <n v="525"/>
  </r>
  <r>
    <x v="209"/>
    <s v="ENERO"/>
    <n v="4"/>
    <s v="LUNES"/>
    <x v="64"/>
    <s v="PACK-2 FT NAR+FT KI+FT PIÑA+SP RP 1.5LX8"/>
    <n v="600"/>
    <n v="30"/>
    <n v="126"/>
  </r>
  <r>
    <x v="210"/>
    <s v="ENERO"/>
    <n v="4"/>
    <s v="MARTES"/>
    <x v="64"/>
    <s v="PACK-2 FT NAR+FT KI+FT PIÑA+SP RP 1.5LX8"/>
    <n v="600"/>
    <n v="30"/>
    <n v="126"/>
  </r>
  <r>
    <x v="210"/>
    <s v="ENERO"/>
    <n v="4"/>
    <s v="MARTES"/>
    <x v="0"/>
    <s v="SAN LUIS SIN GAS PET2500X6 STICKER"/>
    <n v="1200"/>
    <n v="48"/>
    <n v="480"/>
  </r>
  <r>
    <x v="210"/>
    <s v="ENERO"/>
    <n v="4"/>
    <s v="MARTES"/>
    <x v="39"/>
    <s v="MONSTER ENERGY ZERO 473MLX4"/>
    <n v="2100"/>
    <n v="420"/>
    <n v="882"/>
  </r>
  <r>
    <x v="210"/>
    <s v="ENERO"/>
    <n v="4"/>
    <s v="MARTES"/>
    <x v="1"/>
    <s v="COCA-COLA SIN AZUCAR PET 1.5LX2"/>
    <n v="4320"/>
    <n v="198"/>
    <n v="734.40000000000009"/>
  </r>
  <r>
    <x v="210"/>
    <s v="ENERO"/>
    <n v="4"/>
    <s v="MARTES"/>
    <x v="2"/>
    <s v="INCA KOLA SIN AZUCAR PET 1.5LX2"/>
    <n v="1728"/>
    <n v="198"/>
    <n v="293.76000000000005"/>
  </r>
  <r>
    <x v="210"/>
    <s v="ENERO"/>
    <n v="4"/>
    <s v="MARTES"/>
    <x v="22"/>
    <s v="TWO PACK SCHWEPPES CITRUS PET 1.5LX2"/>
    <n v="990"/>
    <n v="198"/>
    <n v="168.3"/>
  </r>
  <r>
    <x v="210"/>
    <s v="ENERO"/>
    <n v="4"/>
    <s v="MARTES"/>
    <x v="6"/>
    <s v="INCA KOLA PET 3LX2 - RF"/>
    <n v="2520"/>
    <n v="120"/>
    <n v="428.40000000000003"/>
  </r>
  <r>
    <x v="210"/>
    <s v="ENERO"/>
    <n v="4"/>
    <s v="MARTES"/>
    <x v="17"/>
    <s v="TWO PACK CC PFM 3LX2 - RFCC"/>
    <n v="120"/>
    <n v="120"/>
    <n v="20.400000000000002"/>
  </r>
  <r>
    <x v="210"/>
    <s v="ENERO"/>
    <n v="4"/>
    <s v="MARTES"/>
    <x v="7"/>
    <s v="COCA-COLA PET 1.5LX2 RF"/>
    <n v="2160"/>
    <n v="198"/>
    <n v="367.20000000000005"/>
  </r>
  <r>
    <x v="210"/>
    <s v="ENERO"/>
    <n v="4"/>
    <s v="MARTES"/>
    <x v="8"/>
    <s v="INCA KOLA PET 1.5LX2 RF"/>
    <n v="1080"/>
    <n v="198"/>
    <n v="183.60000000000002"/>
  </r>
  <r>
    <x v="210"/>
    <s v="ENERO"/>
    <n v="4"/>
    <s v="MARTES"/>
    <x v="9"/>
    <s v="TRIPACK FT NAR+FT KI+SP PET 3L"/>
    <n v="900"/>
    <n v="90"/>
    <n v="153"/>
  </r>
  <r>
    <x v="210"/>
    <s v="ENERO"/>
    <n v="4"/>
    <s v="MARTES"/>
    <x v="23"/>
    <s v="TRIPACK CC+IK+IK PFM 3LX3 - RFNN"/>
    <n v="900"/>
    <n v="90"/>
    <n v="153"/>
  </r>
  <r>
    <x v="210"/>
    <s v="ENERO"/>
    <n v="4"/>
    <s v="MARTES"/>
    <x v="11"/>
    <s v="TRIPACK (CC+IK)PFM+FT PET 3LX3 - RFNN"/>
    <n v="900"/>
    <n v="90"/>
    <n v="153"/>
  </r>
  <r>
    <x v="210"/>
    <s v="ENERO"/>
    <n v="4"/>
    <s v="MARTES"/>
    <x v="25"/>
    <s v="POWERADE 3MORA+3FRUT PET 473MLX6"/>
    <n v="1350"/>
    <n v="225"/>
    <n v="567"/>
  </r>
  <r>
    <x v="210"/>
    <s v="ENERO"/>
    <n v="4"/>
    <s v="MARTES"/>
    <x v="12"/>
    <s v="POWERADE ION4 FRUTA PET473X6 MOD (STICK)"/>
    <n v="675"/>
    <n v="225"/>
    <n v="270"/>
  </r>
  <r>
    <x v="210"/>
    <s v="ENERO"/>
    <n v="4"/>
    <s v="MARTES"/>
    <x v="42"/>
    <s v="FANTA NARANJA PET 500MLX6 BRANDEADO MOD"/>
    <n v="500"/>
    <n v="420"/>
    <n v="210"/>
  </r>
  <r>
    <x v="211"/>
    <s v="ENERO"/>
    <n v="4"/>
    <s v="MIÉRCOLES"/>
    <x v="43"/>
    <s v="SPRITE PET 500MLX6 BRANDEADO MOD"/>
    <n v="500"/>
    <n v="420"/>
    <n v="210"/>
  </r>
  <r>
    <x v="211"/>
    <s v="ENERO"/>
    <n v="4"/>
    <s v="MIÉRCOLES"/>
    <x v="28"/>
    <s v="COCA COLA VR 1.5LX8 - STICKER"/>
    <n v="210"/>
    <n v="30"/>
    <n v="48.300000000000004"/>
  </r>
  <r>
    <x v="211"/>
    <s v="ENERO"/>
    <n v="4"/>
    <s v="MIÉRCOLES"/>
    <x v="13"/>
    <s v="INCA KOLA VR 1.5LX8 - STICKER"/>
    <n v="200"/>
    <n v="30"/>
    <n v="80"/>
  </r>
  <r>
    <x v="211"/>
    <s v="ENERO"/>
    <n v="4"/>
    <s v="MIÉRCOLES"/>
    <x v="15"/>
    <s v="INCA KOLA VR 625MLX12 - STICKER"/>
    <n v="200"/>
    <n v="50"/>
    <n v="80"/>
  </r>
  <r>
    <x v="211"/>
    <s v="ENERO"/>
    <n v="4"/>
    <s v="MIÉRCOLES"/>
    <x v="36"/>
    <s v="SAN LUIS SIN GAS PET 625MLX15 C/STICKER"/>
    <n v="900"/>
    <n v="90"/>
    <n v="360"/>
  </r>
  <r>
    <x v="211"/>
    <s v="ENERO"/>
    <n v="4"/>
    <s v="MIÉRCOLES"/>
    <x v="38"/>
    <s v="SL S/G TAPA PLANA 1LT"/>
    <n v="336"/>
    <n v="112"/>
    <n v="134.4"/>
  </r>
  <r>
    <x v="211"/>
    <s v="ENERO"/>
    <n v="4"/>
    <s v="MIÉRCOLES"/>
    <x v="0"/>
    <s v="SAN LUIS SIN GAS PET2500X6 STICKER"/>
    <n v="1440"/>
    <n v="48"/>
    <n v="576"/>
  </r>
  <r>
    <x v="211"/>
    <s v="ENERO"/>
    <n v="4"/>
    <s v="MIÉRCOLES"/>
    <x v="24"/>
    <s v="MONSTER ENERGY 473MLX4"/>
    <n v="3360"/>
    <n v="420"/>
    <n v="1411.2"/>
  </r>
  <r>
    <x v="211"/>
    <s v="ENERO"/>
    <n v="4"/>
    <s v="MIÉRCOLES"/>
    <x v="32"/>
    <s v="MONSTER ENERGY ULTRA 473MLX4"/>
    <n v="4200"/>
    <n v="420"/>
    <n v="1764"/>
  </r>
  <r>
    <x v="211"/>
    <s v="ENERO"/>
    <n v="4"/>
    <s v="MIÉRCOLES"/>
    <x v="3"/>
    <s v="TWO PACK SCHWEPPES GINGER ALE PET 1.5LX2"/>
    <n v="990"/>
    <n v="198"/>
    <n v="168.3"/>
  </r>
  <r>
    <x v="211"/>
    <s v="ENERO"/>
    <n v="4"/>
    <s v="MIÉRCOLES"/>
    <x v="6"/>
    <s v="INCA KOLA PET 3LX2 - RF"/>
    <n v="3000"/>
    <n v="120"/>
    <n v="510.00000000000006"/>
  </r>
  <r>
    <x v="211"/>
    <s v="ENERO"/>
    <n v="4"/>
    <s v="MIÉRCOLES"/>
    <x v="8"/>
    <s v="INCA KOLA PET 1.5LX2 RF"/>
    <n v="1512"/>
    <n v="198"/>
    <n v="257.04000000000002"/>
  </r>
  <r>
    <x v="211"/>
    <s v="ENERO"/>
    <n v="4"/>
    <s v="MIÉRCOLES"/>
    <x v="11"/>
    <s v="TRIPACK (CC+IK)PFM+FT PET 3LX3 - RFNN"/>
    <n v="2880"/>
    <n v="90"/>
    <n v="489.6"/>
  </r>
  <r>
    <x v="211"/>
    <s v="ENERO"/>
    <n v="4"/>
    <s v="MIÉRCOLES"/>
    <x v="20"/>
    <s v="TRIPACK (FT NAR+SP)PET+IK RF PFM 3L"/>
    <n v="450"/>
    <n v="90"/>
    <n v="76.5"/>
  </r>
  <r>
    <x v="211"/>
    <s v="ENERO"/>
    <n v="4"/>
    <s v="MIÉRCOLES"/>
    <x v="19"/>
    <s v="POWERADE ION4 MORA AZ PET473X6 MOD(STCK)"/>
    <n v="450"/>
    <n v="225"/>
    <n v="180"/>
  </r>
  <r>
    <x v="211"/>
    <s v="ENERO"/>
    <n v="4"/>
    <s v="MIÉRCOLES"/>
    <x v="42"/>
    <s v="FANTA NARANJA PET 500MLX6 BRANDEADO MOD"/>
    <n v="500"/>
    <n v="420"/>
    <n v="210"/>
  </r>
  <r>
    <x v="211"/>
    <s v="ENERO"/>
    <n v="4"/>
    <s v="MIÉRCOLES"/>
    <x v="40"/>
    <s v="SAN LUIS SPORT S/G 10 Lt x6 "/>
    <n v="112"/>
    <n v="240"/>
    <n v="44.800000000000004"/>
  </r>
  <r>
    <x v="211"/>
    <s v="ENERO"/>
    <n v="4"/>
    <s v="MIÉRCOLES"/>
    <x v="24"/>
    <s v="MONSTER ENERGY 473MLX4"/>
    <n v="840"/>
    <n v="420"/>
    <n v="352.8"/>
  </r>
  <r>
    <x v="211"/>
    <s v="ENERO"/>
    <n v="4"/>
    <s v="MIÉRCOLES"/>
    <x v="16"/>
    <s v="SAN LUIS CON GAS PET 625MLX6"/>
    <n v="900"/>
    <n v="180"/>
    <n v="378"/>
  </r>
  <r>
    <x v="212"/>
    <s v="ENERO"/>
    <n v="4"/>
    <s v="JUEVES"/>
    <x v="24"/>
    <s v="MONSTER ENERGY 473MLX4"/>
    <n v="2940"/>
    <n v="420"/>
    <n v="1234.8"/>
  </r>
  <r>
    <x v="212"/>
    <s v="ENERO"/>
    <n v="4"/>
    <s v="JUEVES"/>
    <x v="32"/>
    <s v="MONSTER ENERGY ULTRA 473MLX4"/>
    <n v="2940"/>
    <n v="420"/>
    <n v="1234.8"/>
  </r>
  <r>
    <x v="212"/>
    <s v="ENERO"/>
    <n v="4"/>
    <s v="JUEVES"/>
    <x v="28"/>
    <s v="COCA COLA VR 1.5LX8 - STICKER"/>
    <n v="180"/>
    <n v="30"/>
    <n v="41.4"/>
  </r>
  <r>
    <x v="212"/>
    <s v="ENERO"/>
    <n v="4"/>
    <s v="JUEVES"/>
    <x v="13"/>
    <s v="INCA KOLA VR 1.5LX8 - STICKER"/>
    <n v="150"/>
    <n v="30"/>
    <n v="60"/>
  </r>
  <r>
    <x v="212"/>
    <s v="ENERO"/>
    <n v="4"/>
    <s v="JUEVES"/>
    <x v="15"/>
    <s v="INCA KOLA VR 625MLX12 - STICKER"/>
    <n v="250"/>
    <n v="50"/>
    <n v="100"/>
  </r>
  <r>
    <x v="212"/>
    <s v="ENERO"/>
    <n v="4"/>
    <s v="JUEVES"/>
    <x v="36"/>
    <s v="SAN LUIS SIN GAS PET 625MLX15 C/STICKER"/>
    <n v="450"/>
    <n v="90"/>
    <n v="180"/>
  </r>
  <r>
    <x v="212"/>
    <s v="ENERO"/>
    <n v="4"/>
    <s v="JUEVES"/>
    <x v="38"/>
    <s v="SL S/G TAPA PLANA 1LT"/>
    <n v="224"/>
    <n v="112"/>
    <n v="89.600000000000009"/>
  </r>
  <r>
    <x v="212"/>
    <s v="ENERO"/>
    <n v="4"/>
    <s v="JUEVES"/>
    <x v="24"/>
    <s v="MONSTER ENERGY 473MLX4"/>
    <n v="5880"/>
    <n v="420"/>
    <n v="2469.6"/>
  </r>
  <r>
    <x v="212"/>
    <s v="ENERO"/>
    <n v="4"/>
    <s v="JUEVES"/>
    <x v="32"/>
    <s v="MONSTER ENERGY ULTRA 473MLX4"/>
    <n v="3360"/>
    <n v="420"/>
    <n v="1411.2"/>
  </r>
  <r>
    <x v="212"/>
    <s v="ENERO"/>
    <n v="4"/>
    <s v="JUEVES"/>
    <x v="16"/>
    <s v="SAN LUIS CON GAS PET 625MLX6"/>
    <n v="540"/>
    <n v="180"/>
    <n v="226.79999999999998"/>
  </r>
  <r>
    <x v="212"/>
    <s v="ENERO"/>
    <n v="4"/>
    <s v="JUEVES"/>
    <x v="3"/>
    <s v="TWO PACK SCHWEPPES GINGER ALE PET 1.5LX2"/>
    <n v="990"/>
    <n v="198"/>
    <n v="168.3"/>
  </r>
  <r>
    <x v="212"/>
    <s v="ENERO"/>
    <n v="4"/>
    <s v="JUEVES"/>
    <x v="4"/>
    <s v="COCA-COLA PET 2.25LX2 RF"/>
    <n v="1296"/>
    <n v="162"/>
    <n v="220.32000000000002"/>
  </r>
  <r>
    <x v="212"/>
    <s v="ENERO"/>
    <n v="4"/>
    <s v="JUEVES"/>
    <x v="5"/>
    <s v="INCA KOLA PET 2.25LX2 RF"/>
    <n v="648"/>
    <n v="162"/>
    <n v="110.16000000000001"/>
  </r>
  <r>
    <x v="212"/>
    <s v="ENERO"/>
    <n v="4"/>
    <s v="JUEVES"/>
    <x v="6"/>
    <s v="INCA KOLA PET 3LX2 - RF"/>
    <n v="2400"/>
    <n v="120"/>
    <n v="408.00000000000006"/>
  </r>
  <r>
    <x v="212"/>
    <s v="ENERO"/>
    <n v="4"/>
    <s v="JUEVES"/>
    <x v="17"/>
    <s v="TWO PACK CC PFM 3LX2 - RFCC"/>
    <n v="2400"/>
    <n v="120"/>
    <n v="408.00000000000006"/>
  </r>
  <r>
    <x v="212"/>
    <s v="ENERO"/>
    <n v="4"/>
    <s v="JUEVES"/>
    <x v="7"/>
    <s v="COCA-COLA PET 1.5LX2 RF"/>
    <n v="1080"/>
    <n v="198"/>
    <n v="183.60000000000002"/>
  </r>
  <r>
    <x v="212"/>
    <s v="ENERO"/>
    <n v="4"/>
    <s v="JUEVES"/>
    <x v="11"/>
    <s v="TRIPACK (CC+IK)PFM+FT PET 3LX3 - RFNN"/>
    <n v="900"/>
    <n v="90"/>
    <n v="153"/>
  </r>
  <r>
    <x v="212"/>
    <s v="ENERO"/>
    <n v="4"/>
    <s v="JUEVES"/>
    <x v="20"/>
    <s v="TRIPACK (FT NAR+SP)PET+IK RF PFM 3L"/>
    <n v="450"/>
    <n v="90"/>
    <n v="76.5"/>
  </r>
  <r>
    <x v="212"/>
    <s v="ENERO"/>
    <n v="4"/>
    <s v="JUEVES"/>
    <x v="25"/>
    <s v="POWERADE 3MORA+3FRUT PET 473MLX6"/>
    <n v="1350"/>
    <n v="225"/>
    <n v="567"/>
  </r>
  <r>
    <x v="212"/>
    <s v="ENERO"/>
    <n v="4"/>
    <s v="JUEVES"/>
    <x v="42"/>
    <s v="FANTA NARANJA PET 500MLX6 BRANDEADO MOD"/>
    <n v="250"/>
    <n v="420"/>
    <n v="105"/>
  </r>
  <r>
    <x v="212"/>
    <s v="ENERO"/>
    <n v="4"/>
    <s v="JUEVES"/>
    <x v="43"/>
    <s v="SPRITE PET 500MLX6 BRANDEADO MOD"/>
    <n v="500"/>
    <n v="420"/>
    <n v="210"/>
  </r>
  <r>
    <x v="213"/>
    <s v="ENERO"/>
    <n v="4"/>
    <s v="VIERNES"/>
    <x v="32"/>
    <s v="MONSTER ENERGY ULTRA 473MLX4"/>
    <n v="2940"/>
    <n v="420"/>
    <n v="1234.8"/>
  </r>
  <r>
    <x v="213"/>
    <s v="ENERO"/>
    <n v="4"/>
    <s v="VIERNES"/>
    <x v="1"/>
    <s v="COCA-COLA SIN AZUCAR PET 1.5LX2"/>
    <n v="864"/>
    <n v="198"/>
    <n v="146.88000000000002"/>
  </r>
  <r>
    <x v="213"/>
    <s v="ENERO"/>
    <n v="4"/>
    <s v="VIERNES"/>
    <x v="22"/>
    <s v="TWO PACK SCHWEPPES CITRUS PET 1.5LX2"/>
    <n v="396"/>
    <n v="198"/>
    <n v="67.320000000000007"/>
  </r>
  <r>
    <x v="213"/>
    <s v="ENERO"/>
    <n v="4"/>
    <s v="VIERNES"/>
    <x v="43"/>
    <s v="SPRITE PET 500MLX6 BRANDEADO MOD"/>
    <n v="500"/>
    <n v="420"/>
    <n v="210"/>
  </r>
  <r>
    <x v="213"/>
    <s v="ENERO"/>
    <n v="4"/>
    <s v="VIERNES"/>
    <x v="65"/>
    <s v="COCA COLA SA PET 500MLX6 - C/STICKER"/>
    <n v="2000"/>
    <n v="250"/>
    <n v="460"/>
  </r>
  <r>
    <x v="213"/>
    <s v="ENERO"/>
    <n v="4"/>
    <s v="VIERNES"/>
    <x v="36"/>
    <s v="SAN LUIS SIN GAS PET 625MLX15 C/STICKER"/>
    <n v="450"/>
    <n v="90"/>
    <n v="180"/>
  </r>
  <r>
    <x v="213"/>
    <s v="ENERO"/>
    <n v="4"/>
    <s v="VIERNES"/>
    <x v="40"/>
    <s v="SAN LUIS SPORT S/G 10 Lt x6 "/>
    <n v="224"/>
    <n v="240"/>
    <n v="89.600000000000009"/>
  </r>
  <r>
    <x v="213"/>
    <s v="ENERO"/>
    <n v="4"/>
    <s v="VIERNES"/>
    <x v="0"/>
    <s v="SAN LUIS SIN GAS PET2500X6 STICKER"/>
    <n v="1920"/>
    <n v="48"/>
    <n v="768"/>
  </r>
  <r>
    <x v="213"/>
    <s v="ENERO"/>
    <n v="4"/>
    <s v="VIERNES"/>
    <x v="24"/>
    <s v="MONSTER ENERGY 473MLX4"/>
    <n v="3360"/>
    <n v="420"/>
    <n v="1411.2"/>
  </r>
  <r>
    <x v="213"/>
    <s v="ENERO"/>
    <n v="4"/>
    <s v="VIERNES"/>
    <x v="1"/>
    <s v="COCA-COLA SIN AZUCAR PET 1.5LX2"/>
    <n v="1296"/>
    <n v="198"/>
    <n v="220.32000000000002"/>
  </r>
  <r>
    <x v="213"/>
    <s v="ENERO"/>
    <n v="4"/>
    <s v="VIERNES"/>
    <x v="2"/>
    <s v="INCA KOLA SIN AZUCAR PET 1.5LX2"/>
    <n v="2160"/>
    <n v="198"/>
    <n v="367.20000000000005"/>
  </r>
  <r>
    <x v="213"/>
    <s v="ENERO"/>
    <n v="4"/>
    <s v="VIERNES"/>
    <x v="22"/>
    <s v="TWO PACK SCHWEPPES CITRUS PET 1.5LX2"/>
    <n v="594"/>
    <n v="198"/>
    <n v="100.98"/>
  </r>
  <r>
    <x v="213"/>
    <s v="ENERO"/>
    <n v="4"/>
    <s v="VIERNES"/>
    <x v="6"/>
    <s v="INCA KOLA PET 3LX2 - RF"/>
    <n v="6000"/>
    <n v="120"/>
    <n v="1020.0000000000001"/>
  </r>
  <r>
    <x v="213"/>
    <s v="ENERO"/>
    <n v="4"/>
    <s v="VIERNES"/>
    <x v="8"/>
    <s v="INCA KOLA PET 1.5LX2 RF"/>
    <n v="2160"/>
    <n v="198"/>
    <n v="367.20000000000005"/>
  </r>
  <r>
    <x v="213"/>
    <s v="ENERO"/>
    <n v="4"/>
    <s v="VIERNES"/>
    <x v="9"/>
    <s v="TRIPACK FT NAR+FT KI+SP PET 3L"/>
    <n v="1440"/>
    <n v="90"/>
    <n v="244.8"/>
  </r>
  <r>
    <x v="213"/>
    <s v="ENERO"/>
    <n v="4"/>
    <s v="VIERNES"/>
    <x v="23"/>
    <s v="TRIPACK CC+IK+IK PFM 3LX3 - RFNN"/>
    <n v="1440"/>
    <n v="90"/>
    <n v="244.8"/>
  </r>
  <r>
    <x v="213"/>
    <s v="ENERO"/>
    <n v="4"/>
    <s v="VIERNES"/>
    <x v="25"/>
    <s v="POWERADE 3MORA+3FRUT PET 473MLX6"/>
    <n v="1800"/>
    <n v="225"/>
    <n v="756"/>
  </r>
  <r>
    <x v="213"/>
    <s v="ENERO"/>
    <n v="4"/>
    <s v="VIERNES"/>
    <x v="12"/>
    <s v="POWERADE ION4 FRUTA PET473X6 MOD (STICK)"/>
    <n v="900"/>
    <n v="225"/>
    <n v="360"/>
  </r>
  <r>
    <x v="213"/>
    <s v="ENERO"/>
    <n v="4"/>
    <s v="VIERNES"/>
    <x v="19"/>
    <s v="POWERADE ION4 MORA AZ PET473X6 MOD(STCK)"/>
    <n v="675"/>
    <n v="225"/>
    <n v="270"/>
  </r>
  <r>
    <x v="213"/>
    <s v="ENERO"/>
    <n v="4"/>
    <s v="VIERNES"/>
    <x v="42"/>
    <s v="FANTA NARANJA PET 500MLX6 BRANDEADO MOD"/>
    <n v="500"/>
    <n v="420"/>
    <n v="210"/>
  </r>
  <r>
    <x v="214"/>
    <s v="ENERO"/>
    <n v="5"/>
    <s v="SÁBADO"/>
    <x v="28"/>
    <s v="COCA COLA VR 1.5LX8 - STICKER"/>
    <n v="120"/>
    <n v="30"/>
    <n v="27.6"/>
  </r>
  <r>
    <x v="214"/>
    <s v="ENERO"/>
    <n v="5"/>
    <s v="SÁBADO"/>
    <x v="36"/>
    <s v="SAN LUIS SIN GAS PET 625MLX15 C/STICKER"/>
    <n v="540"/>
    <n v="90"/>
    <n v="216"/>
  </r>
  <r>
    <x v="214"/>
    <s v="ENERO"/>
    <n v="5"/>
    <s v="SÁBADO"/>
    <x v="6"/>
    <s v="INCA KOLA PET 3LX2 - RF"/>
    <n v="4800"/>
    <n v="120"/>
    <n v="816.00000000000011"/>
  </r>
  <r>
    <x v="214"/>
    <s v="ENERO"/>
    <n v="5"/>
    <s v="SÁBADO"/>
    <x v="17"/>
    <s v="TWO PACK CC PFM 3LX2 - RFCC"/>
    <n v="4080"/>
    <n v="120"/>
    <n v="693.6"/>
  </r>
  <r>
    <x v="214"/>
    <s v="ENERO"/>
    <n v="5"/>
    <s v="SÁBADO"/>
    <x v="9"/>
    <s v="TRIPACK FT NAR+FT KI+SP PET 3L"/>
    <n v="720"/>
    <n v="90"/>
    <n v="122.4"/>
  </r>
  <r>
    <x v="214"/>
    <s v="ENERO"/>
    <n v="5"/>
    <s v="SÁBADO"/>
    <x v="10"/>
    <s v="TWO PACK CC + IK PFM 3LX2 - RFNN"/>
    <n v="480"/>
    <n v="120"/>
    <n v="81.600000000000009"/>
  </r>
  <r>
    <x v="214"/>
    <s v="ENERO"/>
    <n v="5"/>
    <s v="SÁBADO"/>
    <x v="25"/>
    <s v="POWERADE 3MORA+3FRUT PET 473MLX6"/>
    <n v="1350"/>
    <n v="225"/>
    <n v="567"/>
  </r>
  <r>
    <x v="214"/>
    <s v="ENERO"/>
    <n v="5"/>
    <s v="SÁBADO"/>
    <x v="12"/>
    <s v="POWERADE ION4 FRUTA PET473X6 MOD (STICK)"/>
    <n v="450"/>
    <n v="225"/>
    <n v="180"/>
  </r>
  <r>
    <x v="214"/>
    <s v="ENERO"/>
    <n v="5"/>
    <s v="SÁBADO"/>
    <x v="42"/>
    <s v="FANTA NARANJA PET 500MLX6 BRANDEADO MOD"/>
    <n v="500"/>
    <n v="420"/>
    <n v="210"/>
  </r>
  <r>
    <x v="214"/>
    <s v="ENERO"/>
    <n v="5"/>
    <s v="SÁBADO"/>
    <x v="30"/>
    <s v="INCA KOLA SA PET 500MLX6 - C/STICKER"/>
    <n v="1500"/>
    <n v="250"/>
    <n v="345"/>
  </r>
  <r>
    <x v="214"/>
    <s v="ENERO"/>
    <n v="5"/>
    <s v="SÁBADO"/>
    <x v="66"/>
    <s v="3CC SA + 3IK SA 600ML X 6 PUC"/>
    <n v="800"/>
    <n v="200"/>
    <n v="336"/>
  </r>
  <r>
    <x v="214"/>
    <s v="ENERO"/>
    <n v="5"/>
    <s v="SÁBADO"/>
    <x v="67"/>
    <s v="SL X 6 BOTELLAS X 625ML PUC"/>
    <n v="360"/>
    <n v="180"/>
    <n v="151.19999999999999"/>
  </r>
  <r>
    <x v="214"/>
    <s v="ENERO"/>
    <n v="5"/>
    <s v="SÁBADO"/>
    <x v="68"/>
    <s v="COCA COLA VNR 300ML X 6 PUC"/>
    <n v="1000"/>
    <n v="250"/>
    <n v="420"/>
  </r>
  <r>
    <x v="214"/>
    <s v="ENERO"/>
    <n v="5"/>
    <s v="SÁBADO"/>
    <x v="69"/>
    <s v="1FTP + 1FTN + 1CC + 1IK PACK x 3000ML PUC"/>
    <n v="240"/>
    <n v="60"/>
    <n v="165.6"/>
  </r>
  <r>
    <x v="214"/>
    <s v="ENERO"/>
    <n v="5"/>
    <s v="SÁBADO"/>
    <x v="70"/>
    <s v="BND X 6 BOTELLAS X 600ML PUC"/>
    <n v="360"/>
    <n v="180"/>
    <n v="151.19999999999999"/>
  </r>
  <r>
    <x v="214"/>
    <s v="ENERO"/>
    <n v="5"/>
    <s v="SÁBADO"/>
    <x v="71"/>
    <s v="3IK SO + 1 IK SA X 3000ML PUC"/>
    <n v="180"/>
    <n v="60"/>
    <n v="124.19999999999999"/>
  </r>
  <r>
    <x v="214"/>
    <s v="ENERO"/>
    <n v="5"/>
    <s v="SÁBADO"/>
    <x v="72"/>
    <s v="2FTKI + 2FTN + 1FTP + 1SP PACK x 500ML"/>
    <n v="250"/>
    <n v="250"/>
    <n v="105"/>
  </r>
  <r>
    <x v="214"/>
    <s v="ENERO"/>
    <n v="5"/>
    <s v="SÁBADO"/>
    <x v="69"/>
    <s v="1FTP + 1FTN + 1CC + 1IK PACK x 3000ML PUC"/>
    <n v="240"/>
    <n v="60"/>
    <n v="165.6"/>
  </r>
  <r>
    <x v="214"/>
    <s v="ENERO"/>
    <n v="5"/>
    <s v="SÁBADO"/>
    <x v="72"/>
    <s v="2FTKI + 2FTN + 1FTP + 1SP PACK x 500ML"/>
    <n v="500"/>
    <n v="250"/>
    <n v="210"/>
  </r>
  <r>
    <x v="215"/>
    <s v="ENERO"/>
    <n v="5"/>
    <s v="LUNES"/>
    <x v="15"/>
    <s v="INCA KOLA VR 625MLX12 - STICKER"/>
    <n v="250"/>
    <n v="50"/>
    <n v="100"/>
  </r>
  <r>
    <x v="215"/>
    <s v="ENERO"/>
    <n v="5"/>
    <s v="LUNES"/>
    <x v="36"/>
    <s v="SAN LUIS SIN GAS PET 625MLX15 C/STICKER"/>
    <n v="450"/>
    <n v="90"/>
    <n v="180"/>
  </r>
  <r>
    <x v="215"/>
    <s v="ENERO"/>
    <n v="5"/>
    <s v="LUNES"/>
    <x v="38"/>
    <s v="SL S/G TAPA PLANA 1LT"/>
    <n v="448"/>
    <n v="112"/>
    <n v="179.20000000000002"/>
  </r>
  <r>
    <x v="215"/>
    <s v="ENERO"/>
    <n v="5"/>
    <s v="LUNES"/>
    <x v="0"/>
    <s v="SAN LUIS SIN GAS PET2500X6 STICKER"/>
    <n v="1440"/>
    <n v="48"/>
    <n v="576"/>
  </r>
  <r>
    <x v="215"/>
    <s v="ENERO"/>
    <n v="5"/>
    <s v="LUNES"/>
    <x v="16"/>
    <s v="SAN LUIS CON GAS PET 625MLX6"/>
    <n v="720"/>
    <n v="180"/>
    <n v="302.39999999999998"/>
  </r>
  <r>
    <x v="215"/>
    <s v="ENERO"/>
    <n v="5"/>
    <s v="LUNES"/>
    <x v="1"/>
    <s v="COCA-COLA SIN AZUCAR PET 1.5LX2"/>
    <n v="2592"/>
    <n v="198"/>
    <n v="440.64000000000004"/>
  </r>
  <r>
    <x v="215"/>
    <s v="ENERO"/>
    <n v="5"/>
    <s v="LUNES"/>
    <x v="22"/>
    <s v="TWO PACK SCHWEPPES CITRUS PET 1.5LX2"/>
    <n v="198"/>
    <n v="198"/>
    <n v="33.660000000000004"/>
  </r>
  <r>
    <x v="215"/>
    <s v="ENERO"/>
    <n v="5"/>
    <s v="LUNES"/>
    <x v="6"/>
    <s v="INCA KOLA PET 3LX2 - RF"/>
    <n v="2400"/>
    <n v="120"/>
    <n v="408.00000000000006"/>
  </r>
  <r>
    <x v="215"/>
    <s v="ENERO"/>
    <n v="5"/>
    <s v="LUNES"/>
    <x v="17"/>
    <s v="TWO PACK CC PFM 3LX2 - RFCC"/>
    <n v="840"/>
    <n v="120"/>
    <n v="142.80000000000001"/>
  </r>
  <r>
    <x v="215"/>
    <s v="ENERO"/>
    <n v="5"/>
    <s v="LUNES"/>
    <x v="8"/>
    <s v="INCA KOLA PET 1.5LX2 RF"/>
    <n v="1080"/>
    <n v="198"/>
    <n v="183.60000000000002"/>
  </r>
  <r>
    <x v="215"/>
    <s v="ENERO"/>
    <n v="5"/>
    <s v="LUNES"/>
    <x v="9"/>
    <s v="TRIPACK FT NAR+FT KI+SP PET 3L"/>
    <n v="450"/>
    <n v="90"/>
    <n v="76.5"/>
  </r>
  <r>
    <x v="215"/>
    <s v="ENERO"/>
    <n v="5"/>
    <s v="LUNES"/>
    <x v="10"/>
    <s v="TWO PACK CC + IK PFM 3LX2 - RFNN"/>
    <n v="240"/>
    <n v="120"/>
    <n v="40.800000000000004"/>
  </r>
  <r>
    <x v="215"/>
    <s v="ENERO"/>
    <n v="5"/>
    <s v="LUNES"/>
    <x v="25"/>
    <s v="POWERADE 3MORA+3FRUT PET 473MLX6"/>
    <n v="1350"/>
    <n v="225"/>
    <n v="567"/>
  </r>
  <r>
    <x v="215"/>
    <s v="ENERO"/>
    <n v="5"/>
    <s v="LUNES"/>
    <x v="43"/>
    <s v="SPRITE PET 500MLX6 BRANDEADO MOD"/>
    <n v="750"/>
    <n v="420"/>
    <n v="315"/>
  </r>
  <r>
    <x v="215"/>
    <s v="ENERO"/>
    <n v="5"/>
    <s v="LUNES"/>
    <x v="30"/>
    <s v="INCA KOLA SA PET 500MLX6 - C/STICKER"/>
    <n v="2000"/>
    <n v="250"/>
    <n v="460"/>
  </r>
  <r>
    <x v="215"/>
    <s v="ENERO"/>
    <n v="5"/>
    <s v="LUNES"/>
    <x v="73"/>
    <s v="COCA-COLA SIN AZUCAR PET300MLX6-C/STICKE"/>
    <n v="5250"/>
    <n v="350"/>
    <n v="1207.5"/>
  </r>
  <r>
    <x v="215"/>
    <s v="ENERO"/>
    <n v="5"/>
    <s v="LUNES"/>
    <x v="68"/>
    <s v="COCA COLA VNR 300ML X 6 PUC"/>
    <n v="2500"/>
    <n v="250"/>
    <n v="1050"/>
  </r>
  <r>
    <x v="215"/>
    <s v="ENERO"/>
    <n v="5"/>
    <s v="LUNES"/>
    <x v="66"/>
    <s v="3CC SA + 3IK SA 600ML X 6 PUC"/>
    <n v="800"/>
    <n v="200"/>
    <n v="336"/>
  </r>
  <r>
    <x v="215"/>
    <s v="ENERO"/>
    <n v="5"/>
    <s v="LUNES"/>
    <x v="71"/>
    <s v="3IK SO + 1 IK SA X 3000ML PUC"/>
    <n v="240"/>
    <n v="60"/>
    <n v="165.6"/>
  </r>
  <r>
    <x v="215"/>
    <s v="ENERO"/>
    <n v="5"/>
    <s v="LUNES"/>
    <x v="69"/>
    <s v="1FTP + 1FTN + 1CC + 1IK PACK x 3000ML PUC"/>
    <n v="360"/>
    <n v="60"/>
    <n v="248.39999999999998"/>
  </r>
  <r>
    <x v="215"/>
    <s v="ENERO"/>
    <n v="5"/>
    <s v="LUNES"/>
    <x v="35"/>
    <s v="SAN LUIS SIN GAS PET 625MLX06 MOD"/>
    <n v="1080"/>
    <n v="180"/>
    <n v="453.59999999999997"/>
  </r>
  <r>
    <x v="215"/>
    <s v="ENERO"/>
    <n v="5"/>
    <s v="LUNES"/>
    <x v="69"/>
    <s v="1FTP + 1FTN + 1CC + 1IK PACK x 3000ML PUC"/>
    <n v="120"/>
    <n v="60"/>
    <n v="82.8"/>
  </r>
  <r>
    <x v="215"/>
    <s v="ENERO"/>
    <n v="5"/>
    <s v="LUNES"/>
    <x v="72"/>
    <s v="2FTKI + 2FTN + 1FTP + 1SP PACK x 500ML"/>
    <n v="750"/>
    <n v="250"/>
    <n v="315"/>
  </r>
  <r>
    <x v="215"/>
    <s v="ENERO"/>
    <n v="5"/>
    <s v="LUNES"/>
    <x v="67"/>
    <s v="SL X 6 BOTELLAS X 625ML PUC"/>
    <n v="360"/>
    <n v="180"/>
    <n v="151.19999999999999"/>
  </r>
  <r>
    <x v="215"/>
    <s v="ENERO"/>
    <n v="5"/>
    <s v="LUNES"/>
    <x v="74"/>
    <s v="PW 4FRU + 4MOR 473ML X 8 PUC"/>
    <n v="350"/>
    <n v="175"/>
    <n v="308"/>
  </r>
  <r>
    <x v="216"/>
    <s v="FEBRERO"/>
    <n v="5"/>
    <s v="MARTES"/>
    <x v="30"/>
    <s v="INCA KOLA SA PET 500MLX6 - C/STICKER"/>
    <n v="1250"/>
    <n v="250"/>
    <n v="287.5"/>
  </r>
  <r>
    <x v="216"/>
    <s v="FEBRERO"/>
    <n v="5"/>
    <s v="MARTES"/>
    <x v="73"/>
    <s v="COCA-COLA SIN AZUCAR PET300MLX6-C/STICKE"/>
    <n v="1750"/>
    <n v="350"/>
    <n v="402.5"/>
  </r>
  <r>
    <x v="216"/>
    <s v="FEBRERO"/>
    <n v="5"/>
    <s v="MARTES"/>
    <x v="0"/>
    <s v="SAN LUIS SIN GAS PET2500X6 STICKER"/>
    <n v="480"/>
    <n v="48"/>
    <n v="192"/>
  </r>
  <r>
    <x v="216"/>
    <s v="FEBRERO"/>
    <n v="5"/>
    <s v="MARTES"/>
    <x v="24"/>
    <s v="MONSTER ENERGY 473MLX4"/>
    <n v="2000"/>
    <n v="420"/>
    <n v="840"/>
  </r>
  <r>
    <x v="216"/>
    <s v="FEBRERO"/>
    <n v="5"/>
    <s v="MARTES"/>
    <x v="39"/>
    <s v="MONSTER ENERGY ZERO 473MLX4"/>
    <n v="2000"/>
    <n v="420"/>
    <n v="840"/>
  </r>
  <r>
    <x v="216"/>
    <s v="FEBRERO"/>
    <n v="5"/>
    <s v="MARTES"/>
    <x v="2"/>
    <s v="INCA KOLA SIN AZUCAR PET 1.5LX2"/>
    <n v="1080"/>
    <n v="198"/>
    <n v="183.60000000000002"/>
  </r>
  <r>
    <x v="216"/>
    <s v="FEBRERO"/>
    <n v="5"/>
    <s v="MARTES"/>
    <x v="17"/>
    <s v="TWO PACK CC PFM 3LX2 - RFCC"/>
    <n v="2400"/>
    <n v="120"/>
    <n v="408.00000000000006"/>
  </r>
  <r>
    <x v="216"/>
    <s v="FEBRERO"/>
    <n v="5"/>
    <s v="MARTES"/>
    <x v="7"/>
    <s v="COCA-COLA PET 1.5LX2 RF"/>
    <n v="864"/>
    <n v="198"/>
    <n v="146.88000000000002"/>
  </r>
  <r>
    <x v="216"/>
    <s v="FEBRERO"/>
    <n v="5"/>
    <s v="MARTES"/>
    <x v="8"/>
    <s v="INCA KOLA PET 1.5LX2 RF"/>
    <n v="216"/>
    <n v="198"/>
    <n v="36.720000000000006"/>
  </r>
  <r>
    <x v="216"/>
    <s v="FEBRERO"/>
    <n v="5"/>
    <s v="MARTES"/>
    <x v="9"/>
    <s v="TRIPACK FT NAR+FT KI+SP PET 3L"/>
    <n v="1170"/>
    <n v="90"/>
    <n v="198.9"/>
  </r>
  <r>
    <x v="216"/>
    <s v="FEBRERO"/>
    <n v="5"/>
    <s v="MARTES"/>
    <x v="23"/>
    <s v="TRIPACK CC+IK+IK PFM 3LX3 - RFNN"/>
    <n v="360"/>
    <n v="90"/>
    <n v="61.2"/>
  </r>
  <r>
    <x v="216"/>
    <s v="FEBRERO"/>
    <n v="5"/>
    <s v="MARTES"/>
    <x v="11"/>
    <s v="TRIPACK (CC+IK)PFM+FT PET 3LX3 - RFNN"/>
    <n v="3060"/>
    <n v="90"/>
    <n v="520.20000000000005"/>
  </r>
  <r>
    <x v="216"/>
    <s v="FEBRERO"/>
    <n v="5"/>
    <s v="MARTES"/>
    <x v="20"/>
    <s v="TRIPACK (FT NAR+SP)PET+IK RF PFM 3L"/>
    <n v="180"/>
    <n v="90"/>
    <n v="30.6"/>
  </r>
  <r>
    <x v="216"/>
    <s v="FEBRERO"/>
    <n v="5"/>
    <s v="MARTES"/>
    <x v="25"/>
    <s v="POWERADE 3MORA+3FRUT PET 473MLX6"/>
    <n v="2250"/>
    <n v="225"/>
    <n v="945"/>
  </r>
  <r>
    <x v="216"/>
    <s v="FEBRERO"/>
    <n v="5"/>
    <s v="MARTES"/>
    <x v="12"/>
    <s v="POWERADE ION4 FRUTA PET473X6 MOD (STICK)"/>
    <n v="1350"/>
    <n v="225"/>
    <n v="540"/>
  </r>
  <r>
    <x v="216"/>
    <s v="FEBRERO"/>
    <n v="5"/>
    <s v="MARTES"/>
    <x v="19"/>
    <s v="POWERADE ION4 MORA AZ PET473X6 MOD(STCK)"/>
    <n v="675"/>
    <n v="225"/>
    <n v="270"/>
  </r>
  <r>
    <x v="216"/>
    <s v="FEBRERO"/>
    <n v="5"/>
    <s v="MARTES"/>
    <x v="42"/>
    <s v="FANTA NARANJA PET 500MLX6 BRANDEADO MOD"/>
    <n v="250"/>
    <n v="420"/>
    <n v="105"/>
  </r>
  <r>
    <x v="216"/>
    <s v="FEBRERO"/>
    <n v="5"/>
    <s v="MARTES"/>
    <x v="36"/>
    <s v="SAN LUIS SIN GAS PET 625MLX15 C/STICKER"/>
    <n v="540"/>
    <n v="90"/>
    <n v="216"/>
  </r>
  <r>
    <x v="216"/>
    <s v="FEBRERO"/>
    <n v="5"/>
    <s v="MARTES"/>
    <x v="16"/>
    <s v="SAN LUIS CON GAS PET 625MLX6"/>
    <n v="1080"/>
    <n v="180"/>
    <n v="453.59999999999997"/>
  </r>
  <r>
    <x v="216"/>
    <s v="FEBRERO"/>
    <n v="5"/>
    <s v="MARTES"/>
    <x v="25"/>
    <s v="POWERADE 3MORA+3FRUT PET 473MLX6"/>
    <n v="450"/>
    <n v="225"/>
    <n v="189"/>
  </r>
  <r>
    <x v="216"/>
    <s v="FEBRERO"/>
    <n v="5"/>
    <s v="MARTES"/>
    <x v="35"/>
    <s v="SAN LUIS SIN GAS PET 625MLX06 MOD"/>
    <n v="720"/>
    <n v="180"/>
    <n v="302.39999999999998"/>
  </r>
  <r>
    <x v="216"/>
    <s v="FEBRERO"/>
    <n v="5"/>
    <s v="MARTES"/>
    <x v="30"/>
    <s v="INCA KOLA SA PET 500MLX6 - C/STICKER"/>
    <n v="750"/>
    <n v="250"/>
    <n v="172.5"/>
  </r>
  <r>
    <x v="217"/>
    <s v="FEBRERO"/>
    <n v="5"/>
    <s v="MIÉRCOLES"/>
    <x v="28"/>
    <s v="COCA COLA VR 1.5LX8 - STICKER"/>
    <n v="150"/>
    <n v="30"/>
    <n v="34.5"/>
  </r>
  <r>
    <x v="217"/>
    <s v="FEBRERO"/>
    <n v="5"/>
    <s v="MIÉRCOLES"/>
    <x v="13"/>
    <s v="INCA KOLA VR 1.5LX8 - STICKER"/>
    <n v="150"/>
    <n v="30"/>
    <n v="60"/>
  </r>
  <r>
    <x v="217"/>
    <s v="FEBRERO"/>
    <n v="5"/>
    <s v="MIÉRCOLES"/>
    <x v="15"/>
    <s v="INCA KOLA VR 625MLX12 - STICKER"/>
    <n v="200"/>
    <n v="50"/>
    <n v="80"/>
  </r>
  <r>
    <x v="217"/>
    <s v="FEBRERO"/>
    <n v="5"/>
    <s v="MIÉRCOLES"/>
    <x v="38"/>
    <s v="SL S/G TAPA PLANA 1LT"/>
    <n v="448"/>
    <n v="112"/>
    <n v="179.20000000000002"/>
  </r>
  <r>
    <x v="217"/>
    <s v="FEBRERO"/>
    <n v="5"/>
    <s v="MIÉRCOLES"/>
    <x v="0"/>
    <s v="SAN LUIS SIN GAS PET2500X6 STICKER"/>
    <n v="2400"/>
    <n v="48"/>
    <n v="960"/>
  </r>
  <r>
    <x v="217"/>
    <s v="FEBRERO"/>
    <n v="5"/>
    <s v="MIÉRCOLES"/>
    <x v="24"/>
    <s v="MONSTER ENERGY 473MLX4"/>
    <n v="2100"/>
    <n v="420"/>
    <n v="882"/>
  </r>
  <r>
    <x v="217"/>
    <s v="FEBRERO"/>
    <n v="5"/>
    <s v="MIÉRCOLES"/>
    <x v="32"/>
    <s v="MONSTER ENERGY ULTRA 473MLX4"/>
    <n v="840"/>
    <n v="420"/>
    <n v="352.8"/>
  </r>
  <r>
    <x v="217"/>
    <s v="FEBRERO"/>
    <n v="5"/>
    <s v="MIÉRCOLES"/>
    <x v="16"/>
    <s v="SAN LUIS CON GAS PET 625MLX6"/>
    <n v="720"/>
    <n v="180"/>
    <n v="302.39999999999998"/>
  </r>
  <r>
    <x v="217"/>
    <s v="FEBRERO"/>
    <n v="5"/>
    <s v="MIÉRCOLES"/>
    <x v="25"/>
    <s v="POWERADE 3MORA+3FRUT PET 473MLX6"/>
    <n v="1350"/>
    <n v="225"/>
    <n v="567"/>
  </r>
  <r>
    <x v="217"/>
    <s v="FEBRERO"/>
    <n v="5"/>
    <s v="MIÉRCOLES"/>
    <x v="19"/>
    <s v="POWERADE ION4 MORA AZ PET473X6 MOD(STCK)"/>
    <n v="450"/>
    <n v="225"/>
    <n v="180"/>
  </r>
  <r>
    <x v="217"/>
    <s v="FEBRERO"/>
    <n v="5"/>
    <s v="MIÉRCOLES"/>
    <x v="43"/>
    <s v="SPRITE PET 500MLX6 BRANDEADO MOD"/>
    <n v="500"/>
    <n v="420"/>
    <n v="210"/>
  </r>
  <r>
    <x v="217"/>
    <s v="FEBRERO"/>
    <n v="5"/>
    <s v="MIÉRCOLES"/>
    <x v="69"/>
    <s v="1FTP + 1FTN + 1CC + 1IK PACK x 3000ML PUC"/>
    <n v="420"/>
    <n v="60"/>
    <n v="289.79999999999995"/>
  </r>
  <r>
    <x v="217"/>
    <s v="FEBRERO"/>
    <n v="5"/>
    <s v="MIÉRCOLES"/>
    <x v="72"/>
    <s v="2FTKI + 2FTN + 1FTP + 1SP PACK x 500ML"/>
    <n v="500"/>
    <n v="250"/>
    <n v="210"/>
  </r>
  <r>
    <x v="217"/>
    <s v="FEBRERO"/>
    <n v="5"/>
    <s v="MIÉRCOLES"/>
    <x v="36"/>
    <s v="SAN LUIS SIN GAS PET 625MLX15 C/STICKER"/>
    <n v="720"/>
    <n v="90"/>
    <n v="288"/>
  </r>
  <r>
    <x v="217"/>
    <s v="FEBRERO"/>
    <n v="5"/>
    <s v="MIÉRCOLES"/>
    <x v="35"/>
    <s v="SAN LUIS SIN GAS PET 625MLX06 MOD"/>
    <n v="720"/>
    <n v="180"/>
    <n v="302.39999999999998"/>
  </r>
  <r>
    <x v="217"/>
    <s v="FEBRERO"/>
    <n v="5"/>
    <s v="MIÉRCOLES"/>
    <x v="30"/>
    <s v="INCA KOLA SA PET 500MLX6 - C/STICKER"/>
    <n v="500"/>
    <n v="250"/>
    <n v="115"/>
  </r>
  <r>
    <x v="217"/>
    <s v="FEBRERO"/>
    <n v="5"/>
    <s v="MIÉRCOLES"/>
    <x v="73"/>
    <s v="COCA-COLA SIN AZUCAR PET300MLX6-C/STICKE"/>
    <n v="1750"/>
    <n v="350"/>
    <n v="402.5"/>
  </r>
  <r>
    <x v="217"/>
    <s v="FEBRERO"/>
    <n v="5"/>
    <s v="MIÉRCOLES"/>
    <x v="66"/>
    <s v="3CC SA + 3IK SA 600ML X 6 PUC"/>
    <n v="800"/>
    <n v="200"/>
    <n v="336"/>
  </r>
  <r>
    <x v="217"/>
    <s v="FEBRERO"/>
    <n v="5"/>
    <s v="MIÉRCOLES"/>
    <x v="71"/>
    <s v="3IK SO + 1 IK SA X 3000ML PUC"/>
    <n v="180"/>
    <n v="60"/>
    <n v="124.19999999999999"/>
  </r>
  <r>
    <x v="217"/>
    <s v="FEBRERO"/>
    <n v="5"/>
    <s v="MIÉRCOLES"/>
    <x v="69"/>
    <s v="1FTP + 1FTN + 1CC + 1IK PACK x 3000ML PUC"/>
    <n v="60"/>
    <n v="60"/>
    <n v="41.4"/>
  </r>
  <r>
    <x v="217"/>
    <s v="FEBRERO"/>
    <n v="5"/>
    <s v="MIÉRCOLES"/>
    <x v="72"/>
    <s v="2FTKI + 2FTN + 1FTP + 1SP PACK x 500ML"/>
    <n v="250"/>
    <n v="250"/>
    <n v="105"/>
  </r>
  <r>
    <x v="217"/>
    <s v="FEBRERO"/>
    <n v="5"/>
    <s v="MIÉRCOLES"/>
    <x v="67"/>
    <s v="SL X 6 BOTELLAS X 625ML PUC"/>
    <n v="360"/>
    <n v="180"/>
    <n v="151.19999999999999"/>
  </r>
  <r>
    <x v="217"/>
    <s v="FEBRERO"/>
    <n v="5"/>
    <s v="MIÉRCOLES"/>
    <x v="74"/>
    <s v="PW 4FRU + 4MOR 473ML X 8 PUC"/>
    <n v="350"/>
    <n v="175"/>
    <n v="308"/>
  </r>
  <r>
    <x v="216"/>
    <s v="FEBRERO"/>
    <n v="5"/>
    <s v="MARTES"/>
    <x v="66"/>
    <s v="3CC SA + 3IK SA 600ML X 6 PUC"/>
    <n v="800"/>
    <n v="200"/>
    <n v="336"/>
  </r>
  <r>
    <x v="216"/>
    <s v="FEBRERO"/>
    <n v="5"/>
    <s v="MARTES"/>
    <x v="71"/>
    <s v="3IK SO + 1 IK SA X 3000ML PUC"/>
    <n v="180"/>
    <n v="60"/>
    <n v="124.19999999999999"/>
  </r>
  <r>
    <x v="216"/>
    <s v="FEBRERO"/>
    <n v="5"/>
    <s v="MARTES"/>
    <x v="69"/>
    <s v="1FTP + 1FTN + 1CC + 1IK PACK x 3000ML PUC"/>
    <n v="480"/>
    <n v="60"/>
    <n v="331.2"/>
  </r>
  <r>
    <x v="216"/>
    <s v="FEBRERO"/>
    <n v="5"/>
    <s v="MARTES"/>
    <x v="72"/>
    <s v="2FTKI + 2FTN + 1FTP + 1SP PACK x 500ML"/>
    <n v="750"/>
    <n v="250"/>
    <n v="315"/>
  </r>
  <r>
    <x v="216"/>
    <s v="FEBRERO"/>
    <n v="5"/>
    <s v="MARTES"/>
    <x v="67"/>
    <s v="SL X 6 BOTELLAS X 625ML PUC"/>
    <n v="360"/>
    <n v="180"/>
    <n v="151.19999999999999"/>
  </r>
  <r>
    <x v="216"/>
    <s v="FEBRERO"/>
    <n v="5"/>
    <s v="MARTES"/>
    <x v="74"/>
    <s v="PW 4FRU + 4MOR 473ML X 8 PUC"/>
    <n v="350"/>
    <n v="175"/>
    <n v="308"/>
  </r>
  <r>
    <x v="217"/>
    <s v="FEBRERO"/>
    <n v="5"/>
    <s v="MIÉRCOLES"/>
    <x v="71"/>
    <s v="3IK SO + 1 IK SA X 3000ML PUC"/>
    <n v="60"/>
    <n v="60"/>
    <n v="41.4"/>
  </r>
  <r>
    <x v="218"/>
    <s v="FEBRERO"/>
    <n v="5"/>
    <s v="JUEVES"/>
    <x v="28"/>
    <s v="COCA COLA VR 1.5LX8 - STICKER"/>
    <n v="120"/>
    <n v="30"/>
    <n v="27.6"/>
  </r>
  <r>
    <x v="218"/>
    <s v="FEBRERO"/>
    <n v="5"/>
    <s v="JUEVES"/>
    <x v="33"/>
    <s v="COCA COLA VR 296MLX24 - STICKER"/>
    <n v="150"/>
    <n v="40"/>
    <n v="34.5"/>
  </r>
  <r>
    <x v="218"/>
    <s v="FEBRERO"/>
    <n v="5"/>
    <s v="JUEVES"/>
    <x v="15"/>
    <s v="INCA KOLA VR 625MLX12 - STICKER"/>
    <n v="300"/>
    <n v="50"/>
    <n v="120"/>
  </r>
  <r>
    <x v="218"/>
    <s v="FEBRERO"/>
    <n v="5"/>
    <s v="JUEVES"/>
    <x v="40"/>
    <s v="SAN LUIS SPORT S/G 10 Lt x6 "/>
    <n v="224"/>
    <n v="240"/>
    <n v="89.600000000000009"/>
  </r>
  <r>
    <x v="218"/>
    <s v="FEBRERO"/>
    <n v="5"/>
    <s v="JUEVES"/>
    <x v="38"/>
    <s v="SL S/G TAPA PLANA 1LT"/>
    <n v="448"/>
    <n v="112"/>
    <n v="179.20000000000002"/>
  </r>
  <r>
    <x v="218"/>
    <s v="FEBRERO"/>
    <n v="5"/>
    <s v="JUEVES"/>
    <x v="0"/>
    <s v="SAN LUIS SIN GAS PET2500X6 STICKER"/>
    <n v="2400"/>
    <n v="48"/>
    <n v="960"/>
  </r>
  <r>
    <x v="218"/>
    <s v="FEBRERO"/>
    <n v="5"/>
    <s v="JUEVES"/>
    <x v="24"/>
    <s v="MONSTER ENERGY 473MLX4"/>
    <n v="2100"/>
    <n v="420"/>
    <n v="882"/>
  </r>
  <r>
    <x v="218"/>
    <s v="FEBRERO"/>
    <n v="5"/>
    <s v="JUEVES"/>
    <x v="25"/>
    <s v="POWERADE 3MORA+3FRUT PET 473MLX6"/>
    <n v="900"/>
    <n v="225"/>
    <n v="378"/>
  </r>
  <r>
    <x v="218"/>
    <s v="FEBRERO"/>
    <n v="5"/>
    <s v="JUEVES"/>
    <x v="19"/>
    <s v="POWERADE ION4 MORA AZ PET473X6 MOD(STCK)"/>
    <n v="675"/>
    <n v="225"/>
    <n v="270"/>
  </r>
  <r>
    <x v="218"/>
    <s v="FEBRERO"/>
    <n v="5"/>
    <s v="JUEVES"/>
    <x v="42"/>
    <s v="FANTA NARANJA PET 500MLX6 BRANDEADO MOD"/>
    <n v="500"/>
    <n v="420"/>
    <n v="210"/>
  </r>
  <r>
    <x v="218"/>
    <s v="FEBRERO"/>
    <n v="5"/>
    <s v="JUEVES"/>
    <x v="63"/>
    <s v="INCA KOLA SIN AZUCAR PET300MLX6-C/STICK"/>
    <n v="5250"/>
    <n v="350"/>
    <n v="1207.5"/>
  </r>
  <r>
    <x v="218"/>
    <s v="FEBRERO"/>
    <n v="5"/>
    <s v="JUEVES"/>
    <x v="75"/>
    <s v="POWERADE 2MORA+4FRUT PET 473MLX6 (TRAD) PUC"/>
    <n v="900"/>
    <n v="225"/>
    <n v="378"/>
  </r>
  <r>
    <x v="218"/>
    <s v="FEBRERO"/>
    <n v="5"/>
    <s v="JUEVES"/>
    <x v="74"/>
    <s v="PW 4FRU + 4MOR 473ML X 8 PUC"/>
    <n v="175"/>
    <n v="175"/>
    <n v="154"/>
  </r>
  <r>
    <x v="218"/>
    <s v="FEBRERO"/>
    <n v="5"/>
    <s v="JUEVES"/>
    <x v="36"/>
    <s v="SAN LUIS SIN GAS PET 625MLX15 C/STICKER"/>
    <n v="540"/>
    <n v="90"/>
    <n v="216"/>
  </r>
  <r>
    <x v="218"/>
    <s v="FEBRERO"/>
    <n v="5"/>
    <s v="JUEVES"/>
    <x v="35"/>
    <s v="SAN LUIS SIN GAS PET 625MLX06 MOD"/>
    <n v="720"/>
    <n v="180"/>
    <n v="302.39999999999998"/>
  </r>
  <r>
    <x v="218"/>
    <s v="FEBRERO"/>
    <n v="5"/>
    <s v="JUEVES"/>
    <x v="76"/>
    <s v="SAN LUIS SIN GAS PET 625MLX06 PUC"/>
    <n v="360"/>
    <n v="180"/>
    <n v="151.19999999999999"/>
  </r>
  <r>
    <x v="218"/>
    <s v="FEBRERO"/>
    <n v="5"/>
    <s v="JUEVES"/>
    <x v="70"/>
    <s v="BND X 6 BOTELLAS X 600ML PUC"/>
    <n v="360"/>
    <n v="180"/>
    <n v="151.19999999999999"/>
  </r>
  <r>
    <x v="218"/>
    <s v="FEBRERO"/>
    <n v="5"/>
    <s v="JUEVES"/>
    <x v="74"/>
    <s v="PW 4FRU + 4MOR 473ML X 8 PUC"/>
    <n v="175"/>
    <n v="175"/>
    <n v="154"/>
  </r>
  <r>
    <x v="218"/>
    <s v="FEBRERO"/>
    <n v="5"/>
    <s v="JUEVES"/>
    <x v="77"/>
    <s v="FRUGOS VAL-FRESH 4NAR+4FP+4MZ PET 500X12 PUC"/>
    <n v="500"/>
    <n v="125"/>
    <n v="355"/>
  </r>
  <r>
    <x v="219"/>
    <s v="FEBRERO"/>
    <n v="6"/>
    <s v="SÁBADO"/>
    <x v="19"/>
    <s v="POWERADE ION4 MORA AZ PET473X6 MOD(STCK)"/>
    <n v="225"/>
    <n v="225"/>
    <n v="90"/>
  </r>
  <r>
    <x v="219"/>
    <s v="FEBRERO"/>
    <n v="6"/>
    <s v="SÁBADO"/>
    <x v="33"/>
    <s v="COCA COLA VR 296MLX24 - STICKER"/>
    <n v="80"/>
    <n v="40"/>
    <n v="18.400000000000002"/>
  </r>
  <r>
    <x v="219"/>
    <s v="FEBRERO"/>
    <n v="6"/>
    <s v="SÁBADO"/>
    <x v="13"/>
    <s v="INCA KOLA VR 1.5LX8 - STICKER"/>
    <n v="120"/>
    <n v="30"/>
    <n v="48"/>
  </r>
  <r>
    <x v="219"/>
    <s v="FEBRERO"/>
    <n v="6"/>
    <s v="SÁBADO"/>
    <x v="36"/>
    <s v="SAN LUIS SIN GAS PET 625MLX15 C/STICKER"/>
    <n v="1440"/>
    <n v="90"/>
    <n v="576"/>
  </r>
  <r>
    <x v="219"/>
    <s v="FEBRERO"/>
    <n v="6"/>
    <s v="SÁBADO"/>
    <x v="38"/>
    <s v="SL S/G TAPA PLANA 1LT"/>
    <n v="224"/>
    <n v="112"/>
    <n v="89.600000000000009"/>
  </r>
  <r>
    <x v="219"/>
    <s v="FEBRERO"/>
    <n v="6"/>
    <s v="SÁBADO"/>
    <x v="0"/>
    <s v="SAN LUIS SIN GAS PET2500X6 STICKER"/>
    <n v="1584"/>
    <n v="48"/>
    <n v="633.6"/>
  </r>
  <r>
    <x v="219"/>
    <s v="FEBRERO"/>
    <n v="6"/>
    <s v="SÁBADO"/>
    <x v="24"/>
    <s v="MONSTER ENERGY 473MLX4"/>
    <n v="4200"/>
    <n v="420"/>
    <n v="1764"/>
  </r>
  <r>
    <x v="219"/>
    <s v="FEBRERO"/>
    <n v="6"/>
    <s v="SÁBADO"/>
    <x v="39"/>
    <s v="MONSTER ENERGY ZERO 473MLX4"/>
    <n v="1260"/>
    <n v="420"/>
    <n v="529.19999999999993"/>
  </r>
  <r>
    <x v="219"/>
    <s v="FEBRERO"/>
    <n v="6"/>
    <s v="SÁBADO"/>
    <x v="34"/>
    <s v="TWO PACK CC PET 1.5LX2 - CRC"/>
    <n v="216"/>
    <n v="198"/>
    <n v="36.720000000000006"/>
  </r>
  <r>
    <x v="219"/>
    <s v="FEBRERO"/>
    <n v="6"/>
    <s v="SÁBADO"/>
    <x v="22"/>
    <s v="TWO PACK SCHWEPPES CITRUS PET 1.5LX2"/>
    <n v="792"/>
    <n v="198"/>
    <n v="134.64000000000001"/>
  </r>
  <r>
    <x v="219"/>
    <s v="FEBRERO"/>
    <n v="6"/>
    <s v="SÁBADO"/>
    <x v="3"/>
    <s v="TWO PACK SCHWEPPES GINGER ALE PET 1.5LX2"/>
    <n v="1188"/>
    <n v="198"/>
    <n v="201.96"/>
  </r>
  <r>
    <x v="219"/>
    <s v="FEBRERO"/>
    <n v="6"/>
    <s v="SÁBADO"/>
    <x v="6"/>
    <s v="INCA KOLA PET 3LX2 - RF"/>
    <n v="3120"/>
    <n v="120"/>
    <n v="530.40000000000009"/>
  </r>
  <r>
    <x v="219"/>
    <s v="FEBRERO"/>
    <n v="6"/>
    <s v="SÁBADO"/>
    <x v="9"/>
    <s v="TRIPACK FT NAR+FT KI+SP PET 3L"/>
    <n v="1440"/>
    <n v="90"/>
    <n v="244.8"/>
  </r>
  <r>
    <x v="219"/>
    <s v="FEBRERO"/>
    <n v="6"/>
    <s v="SÁBADO"/>
    <x v="20"/>
    <s v="TRIPACK (FT NAR+SP)PET+IK RF PFM 3L"/>
    <n v="450"/>
    <n v="90"/>
    <n v="76.5"/>
  </r>
  <r>
    <x v="219"/>
    <s v="FEBRERO"/>
    <n v="6"/>
    <s v="SÁBADO"/>
    <x v="25"/>
    <s v="POWERADE 3MORA+3FRUT PET 473MLX6"/>
    <n v="900"/>
    <n v="225"/>
    <n v="378"/>
  </r>
  <r>
    <x v="219"/>
    <s v="FEBRERO"/>
    <n v="6"/>
    <s v="SÁBADO"/>
    <x v="12"/>
    <s v="POWERADE ION4 FRUTA PET473X6 MOD (STICK)"/>
    <n v="450"/>
    <n v="225"/>
    <n v="180"/>
  </r>
  <r>
    <x v="220"/>
    <s v="FEBRERO"/>
    <n v="5"/>
    <s v="VIERNES"/>
    <x v="23"/>
    <s v="TRIPACK CC+IK+IK PFM 3LX3 - RFNN"/>
    <n v="900"/>
    <n v="90"/>
    <n v="153"/>
  </r>
  <r>
    <x v="220"/>
    <s v="FEBRERO"/>
    <n v="5"/>
    <s v="VIERNES"/>
    <x v="11"/>
    <s v="TRIPACK (CC+IK)PFM+FT PET 3LX3 - RFNN"/>
    <n v="1800"/>
    <n v="90"/>
    <n v="306"/>
  </r>
  <r>
    <x v="220"/>
    <s v="FEBRERO"/>
    <n v="5"/>
    <s v="VIERNES"/>
    <x v="25"/>
    <s v="POWERADE 3MORA+3FRUT PET 473MLX6"/>
    <n v="1350"/>
    <n v="225"/>
    <n v="567"/>
  </r>
  <r>
    <x v="220"/>
    <s v="FEBRERO"/>
    <n v="5"/>
    <s v="VIERNES"/>
    <x v="12"/>
    <s v="POWERADE ION4 FRUTA PET473X6 MOD (STICK)"/>
    <n v="1125"/>
    <n v="225"/>
    <n v="450"/>
  </r>
  <r>
    <x v="220"/>
    <s v="FEBRERO"/>
    <n v="5"/>
    <s v="VIERNES"/>
    <x v="19"/>
    <s v="POWERADE ION4 MORA AZ PET473X6 MOD(STCK)"/>
    <n v="450"/>
    <n v="225"/>
    <n v="180"/>
  </r>
  <r>
    <x v="220"/>
    <s v="FEBRERO"/>
    <n v="5"/>
    <s v="VIERNES"/>
    <x v="42"/>
    <s v="FANTA NARANJA PET 500MLX6 BRANDEADO MOD"/>
    <n v="750"/>
    <n v="420"/>
    <n v="315"/>
  </r>
  <r>
    <x v="220"/>
    <s v="FEBRERO"/>
    <n v="5"/>
    <s v="VIERNES"/>
    <x v="43"/>
    <s v="SPRITE PET 500MLX6 BRANDEADO MOD"/>
    <n v="750"/>
    <n v="420"/>
    <n v="315"/>
  </r>
  <r>
    <x v="220"/>
    <s v="FEBRERO"/>
    <n v="5"/>
    <s v="VIERNES"/>
    <x v="28"/>
    <s v="COCA COLA VR 1.5LX8 - STICKER"/>
    <n v="180"/>
    <n v="30"/>
    <n v="41.4"/>
  </r>
  <r>
    <x v="220"/>
    <s v="FEBRERO"/>
    <n v="5"/>
    <s v="VIERNES"/>
    <x v="13"/>
    <s v="INCA KOLA VR 1.5LX8 - STICKER"/>
    <n v="240"/>
    <n v="30"/>
    <n v="96"/>
  </r>
  <r>
    <x v="220"/>
    <s v="FEBRERO"/>
    <n v="5"/>
    <s v="VIERNES"/>
    <x v="36"/>
    <s v="SAN LUIS SIN GAS PET 625MLX15 C/STICKER"/>
    <n v="900"/>
    <n v="90"/>
    <n v="360"/>
  </r>
  <r>
    <x v="220"/>
    <s v="FEBRERO"/>
    <n v="5"/>
    <s v="VIERNES"/>
    <x v="40"/>
    <s v="SAN LUIS SPORT S/G 10 Lt x6 "/>
    <n v="336"/>
    <n v="240"/>
    <n v="134.4"/>
  </r>
  <r>
    <x v="220"/>
    <s v="FEBRERO"/>
    <n v="5"/>
    <s v="VIERNES"/>
    <x v="38"/>
    <s v="SL S/G TAPA PLANA 1LT"/>
    <n v="336"/>
    <n v="112"/>
    <n v="134.4"/>
  </r>
  <r>
    <x v="220"/>
    <s v="FEBRERO"/>
    <n v="5"/>
    <s v="VIERNES"/>
    <x v="0"/>
    <s v="SAN LUIS SIN GAS PET2500X6 STICKER"/>
    <n v="1920"/>
    <n v="48"/>
    <n v="768"/>
  </r>
  <r>
    <x v="220"/>
    <s v="FEBRERO"/>
    <n v="5"/>
    <s v="VIERNES"/>
    <x v="24"/>
    <s v="MONSTER ENERGY 473MLX4"/>
    <n v="2100"/>
    <n v="420"/>
    <n v="882"/>
  </r>
  <r>
    <x v="220"/>
    <s v="FEBRERO"/>
    <n v="5"/>
    <s v="VIERNES"/>
    <x v="16"/>
    <s v="SAN LUIS CON GAS PET 625MLX6"/>
    <n v="1080"/>
    <n v="180"/>
    <n v="453.59999999999997"/>
  </r>
  <r>
    <x v="220"/>
    <s v="FEBRERO"/>
    <n v="5"/>
    <s v="VIERNES"/>
    <x v="1"/>
    <s v="COCA-COLA SIN AZUCAR PET 1.5LX2"/>
    <n v="864"/>
    <n v="198"/>
    <n v="146.88000000000002"/>
  </r>
  <r>
    <x v="220"/>
    <s v="FEBRERO"/>
    <n v="5"/>
    <s v="VIERNES"/>
    <x v="4"/>
    <s v="COCA-COLA PET 2.25LX2 RF"/>
    <n v="648"/>
    <n v="162"/>
    <n v="110.16000000000001"/>
  </r>
  <r>
    <x v="220"/>
    <s v="FEBRERO"/>
    <n v="5"/>
    <s v="VIERNES"/>
    <x v="5"/>
    <s v="INCA KOLA PET 2.25LX2 RF"/>
    <n v="810"/>
    <n v="162"/>
    <n v="137.70000000000002"/>
  </r>
  <r>
    <x v="220"/>
    <s v="FEBRERO"/>
    <n v="5"/>
    <s v="VIERNES"/>
    <x v="17"/>
    <s v="TWO PACK CC PFM 3LX2 - RFCC"/>
    <n v="2400"/>
    <n v="120"/>
    <n v="408.00000000000006"/>
  </r>
  <r>
    <x v="220"/>
    <s v="FEBRERO"/>
    <n v="5"/>
    <s v="VIERNES"/>
    <x v="7"/>
    <s v="COCA-COLA PET 1.5LX2 RF"/>
    <n v="1296"/>
    <n v="198"/>
    <n v="220.32000000000002"/>
  </r>
  <r>
    <x v="220"/>
    <s v="FEBRERO"/>
    <n v="5"/>
    <s v="VIERNES"/>
    <x v="9"/>
    <s v="TRIPACK FT NAR+FT KI+SP PET 3L"/>
    <n v="900"/>
    <n v="90"/>
    <n v="153"/>
  </r>
  <r>
    <x v="220"/>
    <s v="FEBRERO"/>
    <n v="5"/>
    <s v="VIERNES"/>
    <x v="26"/>
    <s v="TRIPACK CC+CC+IK PFM 3LX3 - RFNN"/>
    <n v="720"/>
    <n v="90"/>
    <n v="122.4"/>
  </r>
  <r>
    <x v="221"/>
    <s v="FEBRERO"/>
    <n v="6"/>
    <s v="LUNES"/>
    <x v="0"/>
    <s v="SAN LUIS SIN GAS PET2500X6 STICKER"/>
    <n v="1440"/>
    <n v="48"/>
    <n v="576"/>
  </r>
  <r>
    <x v="221"/>
    <s v="FEBRERO"/>
    <n v="6"/>
    <s v="LUNES"/>
    <x v="12"/>
    <s v="POWERADE ION4 FRUTA PET473X6 MOD (STICK)"/>
    <n v="225"/>
    <n v="225"/>
    <n v="90"/>
  </r>
  <r>
    <x v="221"/>
    <s v="FEBRERO"/>
    <n v="6"/>
    <s v="LUNES"/>
    <x v="10"/>
    <s v="TWO PACK CC + IK PFM 3LX2 - RFNN"/>
    <n v="3600"/>
    <n v="120"/>
    <n v="612"/>
  </r>
  <r>
    <x v="221"/>
    <s v="FEBRERO"/>
    <n v="6"/>
    <s v="LUNES"/>
    <x v="23"/>
    <s v="TRIPACK CC+IK+IK PFM 3LX3 - RFNN"/>
    <n v="720"/>
    <n v="90"/>
    <n v="122.4"/>
  </r>
  <r>
    <x v="221"/>
    <s v="FEBRERO"/>
    <n v="6"/>
    <s v="LUNES"/>
    <x v="11"/>
    <s v="TRIPACK (CC+IK)PFM+FT PET 3LX3 - RFNN"/>
    <n v="2160"/>
    <n v="90"/>
    <n v="367.20000000000005"/>
  </r>
  <r>
    <x v="221"/>
    <s v="FEBRERO"/>
    <n v="6"/>
    <s v="LUNES"/>
    <x v="46"/>
    <s v="COCA COLA PET 500MLX6"/>
    <n v="250"/>
    <n v="250"/>
    <n v="105"/>
  </r>
  <r>
    <x v="221"/>
    <s v="FEBRERO"/>
    <n v="6"/>
    <s v="LUNES"/>
    <x v="42"/>
    <s v="FANTA NARANJA PET 500MLX6 BRANDEADO MOD"/>
    <n v="750"/>
    <n v="420"/>
    <n v="315"/>
  </r>
  <r>
    <x v="221"/>
    <s v="FEBRERO"/>
    <n v="6"/>
    <s v="LUNES"/>
    <x v="43"/>
    <s v="SPRITE PET 500MLX6 BRANDEADO MOD"/>
    <n v="750"/>
    <n v="420"/>
    <n v="315"/>
  </r>
  <r>
    <x v="221"/>
    <s v="FEBRERO"/>
    <n v="6"/>
    <s v="LUNES"/>
    <x v="28"/>
    <s v="COCA COLA VR 1.5LX8 - STICKER"/>
    <n v="120"/>
    <n v="30"/>
    <n v="27.6"/>
  </r>
  <r>
    <x v="221"/>
    <s v="FEBRERO"/>
    <n v="6"/>
    <s v="LUNES"/>
    <x v="33"/>
    <s v="COCA COLA VR 296MLX24 - STICKER"/>
    <n v="160"/>
    <n v="40"/>
    <n v="36.800000000000004"/>
  </r>
  <r>
    <x v="221"/>
    <s v="FEBRERO"/>
    <n v="6"/>
    <s v="LUNES"/>
    <x v="13"/>
    <s v="INCA KOLA VR 1.5LX8 - STICKER"/>
    <n v="120"/>
    <n v="30"/>
    <n v="48"/>
  </r>
  <r>
    <x v="221"/>
    <s v="FEBRERO"/>
    <n v="6"/>
    <s v="LUNES"/>
    <x v="15"/>
    <s v="INCA KOLA VR 625MLX12 - STICKER"/>
    <n v="200"/>
    <n v="50"/>
    <n v="80"/>
  </r>
  <r>
    <x v="221"/>
    <s v="FEBRERO"/>
    <n v="6"/>
    <s v="LUNES"/>
    <x v="36"/>
    <s v="SAN LUIS SIN GAS PET 625MLX15 C/STICKER"/>
    <n v="450"/>
    <n v="90"/>
    <n v="180"/>
  </r>
  <r>
    <x v="221"/>
    <s v="FEBRERO"/>
    <n v="6"/>
    <s v="LUNES"/>
    <x v="38"/>
    <s v="SL S/G TAPA PLANA 1LT"/>
    <n v="336"/>
    <n v="112"/>
    <n v="134.4"/>
  </r>
  <r>
    <x v="221"/>
    <s v="FEBRERO"/>
    <n v="6"/>
    <s v="LUNES"/>
    <x v="24"/>
    <s v="MONSTER ENERGY 473MLX4"/>
    <n v="4200"/>
    <n v="420"/>
    <n v="1764"/>
  </r>
  <r>
    <x v="221"/>
    <s v="FEBRERO"/>
    <n v="6"/>
    <s v="LUNES"/>
    <x v="16"/>
    <s v="SAN LUIS CON GAS PET 625MLX6"/>
    <n v="900"/>
    <n v="180"/>
    <n v="378"/>
  </r>
  <r>
    <x v="221"/>
    <s v="FEBRERO"/>
    <n v="6"/>
    <s v="LUNES"/>
    <x v="1"/>
    <s v="COCA-COLA SIN AZUCAR PET 1.5LX2"/>
    <n v="3240"/>
    <n v="198"/>
    <n v="550.80000000000007"/>
  </r>
  <r>
    <x v="221"/>
    <s v="FEBRERO"/>
    <n v="6"/>
    <s v="LUNES"/>
    <x v="2"/>
    <s v="INCA KOLA SIN AZUCAR PET 1.5LX2"/>
    <n v="3240"/>
    <n v="198"/>
    <n v="550.80000000000007"/>
  </r>
  <r>
    <x v="221"/>
    <s v="FEBRERO"/>
    <n v="6"/>
    <s v="LUNES"/>
    <x v="5"/>
    <s v="INCA KOLA PET 2.25LX2 RF"/>
    <n v="810"/>
    <n v="162"/>
    <n v="137.70000000000002"/>
  </r>
  <r>
    <x v="221"/>
    <s v="FEBRERO"/>
    <n v="6"/>
    <s v="LUNES"/>
    <x v="6"/>
    <s v="INCA KOLA PET 3LX2 - RF"/>
    <n v="3600"/>
    <n v="120"/>
    <n v="612"/>
  </r>
  <r>
    <x v="221"/>
    <s v="FEBRERO"/>
    <n v="6"/>
    <s v="LUNES"/>
    <x v="17"/>
    <s v="TWO PACK CC PFM 3LX2 - RFCC"/>
    <n v="1800"/>
    <n v="120"/>
    <n v="306"/>
  </r>
  <r>
    <x v="221"/>
    <s v="FEBRERO"/>
    <n v="6"/>
    <s v="LUNES"/>
    <x v="7"/>
    <s v="COCA-COLA PET 1.5LX2 RF"/>
    <n v="2100"/>
    <n v="198"/>
    <n v="357"/>
  </r>
  <r>
    <x v="221"/>
    <s v="FEBRERO"/>
    <n v="6"/>
    <s v="LUNES"/>
    <x v="8"/>
    <s v="INCA KOLA PET 1.5LX2 RF"/>
    <n v="1050"/>
    <n v="198"/>
    <n v="178.5"/>
  </r>
  <r>
    <x v="222"/>
    <s v="FEBRERO"/>
    <n v="6"/>
    <s v="MARTES"/>
    <x v="78"/>
    <s v="IK ZERO PET 500ML X 6 PUC (LAMINA - HORNO)"/>
    <n v="3750"/>
    <n v="250"/>
    <n v="1575"/>
  </r>
  <r>
    <x v="222"/>
    <s v="FEBRERO"/>
    <n v="6"/>
    <s v="MARTES"/>
    <x v="0"/>
    <s v="SAN LUIS SIN GAS PET2500X6 STICKER"/>
    <n v="2400"/>
    <n v="48"/>
    <n v="960"/>
  </r>
  <r>
    <x v="222"/>
    <s v="FEBRERO"/>
    <n v="6"/>
    <s v="MARTES"/>
    <x v="24"/>
    <s v="MONSTER ENERGY 473MLX4"/>
    <n v="4200"/>
    <n v="420"/>
    <n v="1764"/>
  </r>
  <r>
    <x v="222"/>
    <s v="FEBRERO"/>
    <n v="6"/>
    <s v="MARTES"/>
    <x v="39"/>
    <s v="MONSTER ENERGY ZERO 473MLX4"/>
    <n v="2100"/>
    <n v="420"/>
    <n v="882"/>
  </r>
  <r>
    <x v="222"/>
    <s v="FEBRERO"/>
    <n v="6"/>
    <s v="MARTES"/>
    <x v="1"/>
    <s v="COCA-COLA SIN AZUCAR PET 1.5LX2"/>
    <n v="3240"/>
    <n v="198"/>
    <n v="550.80000000000007"/>
  </r>
  <r>
    <x v="222"/>
    <s v="FEBRERO"/>
    <n v="6"/>
    <s v="MARTES"/>
    <x v="34"/>
    <s v="TWO PACK CC PET 1.5LX2 - CRC"/>
    <n v="216"/>
    <n v="198"/>
    <n v="36.720000000000006"/>
  </r>
  <r>
    <x v="222"/>
    <s v="FEBRERO"/>
    <n v="6"/>
    <s v="MARTES"/>
    <x v="9"/>
    <s v="TRIPACK FT NAR+FT KI+SP PET 3L"/>
    <n v="1440"/>
    <n v="90"/>
    <n v="244.8"/>
  </r>
  <r>
    <x v="222"/>
    <s v="FEBRERO"/>
    <n v="6"/>
    <s v="MARTES"/>
    <x v="10"/>
    <s v="TWO PACK CC + IK PFM 3LX2 - RFNN"/>
    <n v="3600"/>
    <n v="120"/>
    <n v="612"/>
  </r>
  <r>
    <x v="222"/>
    <s v="FEBRERO"/>
    <n v="6"/>
    <s v="MARTES"/>
    <x v="11"/>
    <s v="TRIPACK (CC+IK)PFM+FT PET 3LX3 - RFNN"/>
    <n v="1440"/>
    <n v="90"/>
    <n v="244.8"/>
  </r>
  <r>
    <x v="222"/>
    <s v="FEBRERO"/>
    <n v="6"/>
    <s v="MARTES"/>
    <x v="25"/>
    <s v="POWERADE 3MORA+3FRUT PET 473MLX6"/>
    <n v="1350"/>
    <n v="225"/>
    <n v="567"/>
  </r>
  <r>
    <x v="222"/>
    <s v="FEBRERO"/>
    <n v="6"/>
    <s v="MARTES"/>
    <x v="19"/>
    <s v="POWERADE ION4 MORA AZ PET473X6 MOD(STCK)"/>
    <n v="450"/>
    <n v="225"/>
    <n v="180"/>
  </r>
  <r>
    <x v="222"/>
    <s v="FEBRERO"/>
    <n v="6"/>
    <s v="MARTES"/>
    <x v="68"/>
    <s v="COCA COLA VNR 300ML X 6 PUC"/>
    <n v="1250"/>
    <n v="250"/>
    <n v="525"/>
  </r>
  <r>
    <x v="223"/>
    <s v="FEBRERO"/>
    <n v="6"/>
    <s v="MIÉRCOLES"/>
    <x v="77"/>
    <s v="FRUGOS VAL-FRESH 4NAR+4FP+4MZ PET 500X12 PUC"/>
    <n v="125"/>
    <n v="125"/>
    <n v="88.75"/>
  </r>
  <r>
    <x v="223"/>
    <s v="FEBRERO"/>
    <n v="6"/>
    <s v="MIÉRCOLES"/>
    <x v="37"/>
    <s v="INCA KOLA PET 500MLX6"/>
    <n v="1250"/>
    <n v="225"/>
    <n v="525"/>
  </r>
  <r>
    <x v="223"/>
    <s v="FEBRERO"/>
    <n v="6"/>
    <s v="MIÉRCOLES"/>
    <x v="28"/>
    <s v="COCA COLA VR 1.5LX8 - STICKER"/>
    <n v="150"/>
    <n v="30"/>
    <n v="34.5"/>
  </r>
  <r>
    <x v="223"/>
    <s v="FEBRERO"/>
    <n v="6"/>
    <s v="MIÉRCOLES"/>
    <x v="13"/>
    <s v="INCA KOLA VR 1.5LX8 - STICKER"/>
    <n v="150"/>
    <n v="30"/>
    <n v="60"/>
  </r>
  <r>
    <x v="223"/>
    <s v="FEBRERO"/>
    <n v="6"/>
    <s v="MIÉRCOLES"/>
    <x v="15"/>
    <s v="INCA KOLA VR 625MLX12 - STICKER"/>
    <n v="350"/>
    <n v="50"/>
    <n v="140"/>
  </r>
  <r>
    <x v="223"/>
    <s v="FEBRERO"/>
    <n v="6"/>
    <s v="MIÉRCOLES"/>
    <x v="39"/>
    <s v="MONSTER ENERGY ZERO 473MLX4"/>
    <n v="3360"/>
    <n v="420"/>
    <n v="1411.2"/>
  </r>
  <r>
    <x v="223"/>
    <s v="FEBRERO"/>
    <n v="6"/>
    <s v="MIÉRCOLES"/>
    <x v="16"/>
    <s v="SAN LUIS CON GAS PET 625MLX6"/>
    <n v="900"/>
    <n v="180"/>
    <n v="378"/>
  </r>
  <r>
    <x v="223"/>
    <s v="FEBRERO"/>
    <n v="6"/>
    <s v="MIÉRCOLES"/>
    <x v="1"/>
    <s v="COCA-COLA SIN AZUCAR PET 1.5LX2"/>
    <n v="2160"/>
    <n v="198"/>
    <n v="367.20000000000005"/>
  </r>
  <r>
    <x v="223"/>
    <s v="FEBRERO"/>
    <n v="6"/>
    <s v="MIÉRCOLES"/>
    <x v="2"/>
    <s v="INCA KOLA SIN AZUCAR PET 1.5LX2"/>
    <n v="2160"/>
    <n v="198"/>
    <n v="367.20000000000005"/>
  </r>
  <r>
    <x v="223"/>
    <s v="FEBRERO"/>
    <n v="6"/>
    <s v="MIÉRCOLES"/>
    <x v="29"/>
    <s v="TWO PACK IK PET 1.5LX2 - CRCG"/>
    <n v="216"/>
    <n v="198"/>
    <n v="36.720000000000006"/>
  </r>
  <r>
    <x v="223"/>
    <s v="FEBRERO"/>
    <n v="6"/>
    <s v="MIÉRCOLES"/>
    <x v="22"/>
    <s v="TWO PACK SCHWEPPES CITRUS PET 1.5LX2"/>
    <n v="1386"/>
    <n v="198"/>
    <n v="235.62"/>
  </r>
  <r>
    <x v="223"/>
    <s v="FEBRERO"/>
    <n v="6"/>
    <s v="MIÉRCOLES"/>
    <x v="6"/>
    <s v="INCA KOLA PET 3LX2 - RF"/>
    <n v="3600"/>
    <n v="120"/>
    <n v="612"/>
  </r>
  <r>
    <x v="223"/>
    <s v="FEBRERO"/>
    <n v="6"/>
    <s v="MIÉRCOLES"/>
    <x v="17"/>
    <s v="TWO PACK CC PFM 3LX2 - RFCC"/>
    <n v="1800"/>
    <n v="120"/>
    <n v="306"/>
  </r>
  <r>
    <x v="223"/>
    <s v="FEBRERO"/>
    <n v="6"/>
    <s v="MIÉRCOLES"/>
    <x v="7"/>
    <s v="COCA-COLA PET 1.5LX2 RF"/>
    <n v="3240"/>
    <n v="198"/>
    <n v="550.80000000000007"/>
  </r>
  <r>
    <x v="223"/>
    <s v="FEBRERO"/>
    <n v="6"/>
    <s v="MIÉRCOLES"/>
    <x v="8"/>
    <s v="INCA KOLA PET 1.5LX2 RF"/>
    <n v="2160"/>
    <n v="198"/>
    <n v="367.20000000000005"/>
  </r>
  <r>
    <x v="223"/>
    <s v="FEBRERO"/>
    <n v="6"/>
    <s v="MIÉRCOLES"/>
    <x v="10"/>
    <s v="TWO PACK CC + IK PFM 3LX2 - RFNN"/>
    <n v="6000"/>
    <n v="120"/>
    <n v="1020.0000000000001"/>
  </r>
  <r>
    <x v="223"/>
    <s v="FEBRERO"/>
    <n v="6"/>
    <s v="MIÉRCOLES"/>
    <x v="11"/>
    <s v="TRIPACK (CC+IK)PFM+FT PET 3LX3 - RFNN"/>
    <n v="2160"/>
    <n v="90"/>
    <n v="367.20000000000005"/>
  </r>
  <r>
    <x v="223"/>
    <s v="FEBRERO"/>
    <n v="6"/>
    <s v="MIÉRCOLES"/>
    <x v="25"/>
    <s v="POWERADE 3MORA+3FRUT PET 473MLX6"/>
    <n v="1350"/>
    <n v="225"/>
    <n v="567"/>
  </r>
  <r>
    <x v="223"/>
    <s v="FEBRERO"/>
    <n v="6"/>
    <s v="MIÉRCOLES"/>
    <x v="19"/>
    <s v="POWERADE ION4 MORA AZ PET473X6 MOD(STCK)"/>
    <n v="450"/>
    <n v="225"/>
    <n v="180"/>
  </r>
  <r>
    <x v="223"/>
    <s v="FEBRERO"/>
    <n v="6"/>
    <s v="MIÉRCOLES"/>
    <x v="37"/>
    <s v="INCA KOLA PET 500MLX6"/>
    <n v="1250"/>
    <n v="225"/>
    <n v="525"/>
  </r>
  <r>
    <x v="223"/>
    <s v="FEBRERO"/>
    <n v="6"/>
    <s v="MIÉRCOLES"/>
    <x v="42"/>
    <s v="FANTA NARANJA PET 500MLX6 BRANDEADO MOD"/>
    <n v="500"/>
    <n v="420"/>
    <n v="210"/>
  </r>
  <r>
    <x v="223"/>
    <s v="FEBRERO"/>
    <n v="6"/>
    <s v="MIÉRCOLES"/>
    <x v="43"/>
    <s v="SPRITE PET 500MLX6 BRANDEADO MOD"/>
    <n v="750"/>
    <n v="420"/>
    <n v="315"/>
  </r>
  <r>
    <x v="223"/>
    <s v="FEBRERO"/>
    <n v="6"/>
    <s v="MIÉRCOLES"/>
    <x v="77"/>
    <s v="FRUGOS VAL-FRESH 4NAR+4FP+4MZ PET 500X12 PUC"/>
    <n v="500"/>
    <n v="125"/>
    <n v="355"/>
  </r>
  <r>
    <x v="224"/>
    <s v="FEBRERO"/>
    <n v="6"/>
    <s v="JUEVES"/>
    <x v="12"/>
    <s v="POWERADE ION4 FRUTA PET473X6 MOD (STICK)"/>
    <n v="1125"/>
    <n v="225"/>
    <n v="450"/>
  </r>
  <r>
    <x v="224"/>
    <s v="FEBRERO"/>
    <n v="6"/>
    <s v="JUEVES"/>
    <x v="37"/>
    <s v="INCA KOLA PET 500MLX6"/>
    <n v="1250"/>
    <n v="225"/>
    <n v="525"/>
  </r>
  <r>
    <x v="224"/>
    <s v="FEBRERO"/>
    <n v="6"/>
    <s v="JUEVES"/>
    <x v="42"/>
    <s v="FANTA NARANJA PET 500MLX6 BRANDEADO MOD"/>
    <n v="500"/>
    <n v="420"/>
    <n v="210"/>
  </r>
  <r>
    <x v="224"/>
    <s v="FEBRERO"/>
    <n v="6"/>
    <s v="JUEVES"/>
    <x v="43"/>
    <s v="SPRITE PET 500MLX6 BRANDEADO MOD"/>
    <n v="1000"/>
    <n v="420"/>
    <n v="420"/>
  </r>
  <r>
    <x v="224"/>
    <s v="FEBRERO"/>
    <n v="6"/>
    <s v="JUEVES"/>
    <x v="77"/>
    <s v="FRUGOS VAL-FRESH 4NAR+4FP+4MZ PET 500X12 PUC"/>
    <n v="750"/>
    <n v="125"/>
    <n v="532.5"/>
  </r>
  <r>
    <x v="224"/>
    <s v="FEBRERO"/>
    <n v="6"/>
    <s v="JUEVES"/>
    <x v="15"/>
    <s v="INCA KOLA VR 625MLX12 - STICKER"/>
    <n v="250"/>
    <n v="50"/>
    <n v="100"/>
  </r>
  <r>
    <x v="224"/>
    <s v="FEBRERO"/>
    <n v="6"/>
    <s v="JUEVES"/>
    <x v="40"/>
    <s v="SAN LUIS SPORT S/G 10 Lt x6 "/>
    <n v="112"/>
    <n v="240"/>
    <n v="44.800000000000004"/>
  </r>
  <r>
    <x v="224"/>
    <s v="FEBRERO"/>
    <n v="6"/>
    <s v="JUEVES"/>
    <x v="0"/>
    <s v="SAN LUIS SIN GAS PET2500X6 STICKER"/>
    <n v="960"/>
    <n v="48"/>
    <n v="384"/>
  </r>
  <r>
    <x v="224"/>
    <s v="FEBRERO"/>
    <n v="6"/>
    <s v="JUEVES"/>
    <x v="24"/>
    <s v="MONSTER ENERGY 473MLX4"/>
    <n v="2100"/>
    <n v="420"/>
    <n v="882"/>
  </r>
  <r>
    <x v="224"/>
    <s v="FEBRERO"/>
    <n v="6"/>
    <s v="JUEVES"/>
    <x v="16"/>
    <s v="SAN LUIS CON GAS PET 625MLX6"/>
    <n v="900"/>
    <n v="180"/>
    <n v="378"/>
  </r>
  <r>
    <x v="224"/>
    <s v="FEBRERO"/>
    <n v="6"/>
    <s v="JUEVES"/>
    <x v="29"/>
    <s v="TWO PACK IK PET 1.5LX2 - CRCG"/>
    <n v="216"/>
    <n v="198"/>
    <n v="36.720000000000006"/>
  </r>
  <r>
    <x v="224"/>
    <s v="FEBRERO"/>
    <n v="6"/>
    <s v="JUEVES"/>
    <x v="3"/>
    <s v="TWO PACK SCHWEPPES GINGER ALE PET 1.5LX2"/>
    <n v="990"/>
    <n v="198"/>
    <n v="168.3"/>
  </r>
  <r>
    <x v="224"/>
    <s v="FEBRERO"/>
    <n v="6"/>
    <s v="JUEVES"/>
    <x v="4"/>
    <s v="COCA-COLA PET 2.25LX2 RF"/>
    <n v="648"/>
    <n v="162"/>
    <n v="110.16000000000001"/>
  </r>
  <r>
    <x v="224"/>
    <s v="FEBRERO"/>
    <n v="6"/>
    <s v="JUEVES"/>
    <x v="6"/>
    <s v="INCA KOLA PET 3LX2 - RF"/>
    <n v="3600"/>
    <n v="120"/>
    <n v="612"/>
  </r>
  <r>
    <x v="224"/>
    <s v="FEBRERO"/>
    <n v="6"/>
    <s v="JUEVES"/>
    <x v="17"/>
    <s v="TWO PACK CC PFM 3LX2 - RFCC"/>
    <n v="2400"/>
    <n v="120"/>
    <n v="408.00000000000006"/>
  </r>
  <r>
    <x v="224"/>
    <s v="FEBRERO"/>
    <n v="6"/>
    <s v="JUEVES"/>
    <x v="9"/>
    <s v="TRIPACK FT NAR+FT KI+SP PET 3L"/>
    <n v="900"/>
    <n v="90"/>
    <n v="153"/>
  </r>
  <r>
    <x v="224"/>
    <s v="FEBRERO"/>
    <n v="6"/>
    <s v="JUEVES"/>
    <x v="10"/>
    <s v="TWO PACK CC + IK PFM 3LX2 - RFNN"/>
    <n v="6000"/>
    <n v="120"/>
    <n v="1020.0000000000001"/>
  </r>
  <r>
    <x v="224"/>
    <s v="FEBRERO"/>
    <n v="6"/>
    <s v="JUEVES"/>
    <x v="23"/>
    <s v="TRIPACK CC+IK+IK PFM 3LX3 - RFNN"/>
    <n v="900"/>
    <n v="90"/>
    <n v="153"/>
  </r>
  <r>
    <x v="224"/>
    <s v="FEBRERO"/>
    <n v="6"/>
    <s v="JUEVES"/>
    <x v="20"/>
    <s v="TRIPACK (FT NAR+SP)PET+IK RF PFM 3L"/>
    <n v="720"/>
    <n v="90"/>
    <n v="122.4"/>
  </r>
  <r>
    <x v="224"/>
    <s v="FEBRERO"/>
    <n v="6"/>
    <s v="JUEVES"/>
    <x v="25"/>
    <s v="POWERADE 3MORA+3FRUT PET 473MLX6"/>
    <n v="900"/>
    <n v="225"/>
    <n v="378"/>
  </r>
  <r>
    <x v="225"/>
    <s v="FEBRERO"/>
    <n v="6"/>
    <s v="VIERNES"/>
    <x v="33"/>
    <s v="COCA COLA VR 296MLX24 - STICKER"/>
    <n v="40"/>
    <n v="40"/>
    <n v="9.2000000000000011"/>
  </r>
  <r>
    <x v="225"/>
    <s v="FEBRERO"/>
    <n v="6"/>
    <s v="VIERNES"/>
    <x v="38"/>
    <s v="SL S/G TAPA PLANA 1LT"/>
    <n v="336"/>
    <n v="112"/>
    <n v="134.4"/>
  </r>
  <r>
    <x v="225"/>
    <s v="FEBRERO"/>
    <n v="6"/>
    <s v="VIERNES"/>
    <x v="24"/>
    <s v="MONSTER ENERGY 473MLX4"/>
    <n v="2100"/>
    <n v="420"/>
    <n v="882"/>
  </r>
  <r>
    <x v="225"/>
    <s v="FEBRERO"/>
    <n v="6"/>
    <s v="VIERNES"/>
    <x v="1"/>
    <s v="COCA-COLA SIN AZUCAR PET 1.5LX2"/>
    <n v="3240"/>
    <n v="198"/>
    <n v="550.80000000000007"/>
  </r>
  <r>
    <x v="225"/>
    <s v="FEBRERO"/>
    <n v="6"/>
    <s v="VIERNES"/>
    <x v="2"/>
    <s v="INCA KOLA SIN AZUCAR PET 1.5LX2"/>
    <n v="1512"/>
    <n v="198"/>
    <n v="257.04000000000002"/>
  </r>
  <r>
    <x v="225"/>
    <s v="FEBRERO"/>
    <n v="6"/>
    <s v="VIERNES"/>
    <x v="10"/>
    <s v="TWO PACK CC + IK PFM 3LX2 - RFNN"/>
    <n v="7200"/>
    <n v="120"/>
    <n v="1224"/>
  </r>
  <r>
    <x v="225"/>
    <s v="FEBRERO"/>
    <n v="6"/>
    <s v="VIERNES"/>
    <x v="23"/>
    <s v="TRIPACK CC+IK+IK PFM 3LX3 - RFNN"/>
    <n v="720"/>
    <n v="90"/>
    <n v="122.4"/>
  </r>
  <r>
    <x v="225"/>
    <s v="FEBRERO"/>
    <n v="6"/>
    <s v="VIERNES"/>
    <x v="11"/>
    <s v="TRIPACK (CC+IK)PFM+FT PET 3LX3 - RFNN"/>
    <n v="2880"/>
    <n v="90"/>
    <n v="489.6"/>
  </r>
  <r>
    <x v="225"/>
    <s v="FEBRERO"/>
    <n v="6"/>
    <s v="VIERNES"/>
    <x v="25"/>
    <s v="POWERADE 3MORA+3FRUT PET 473MLX6"/>
    <n v="1350"/>
    <n v="225"/>
    <n v="567"/>
  </r>
  <r>
    <x v="225"/>
    <s v="FEBRERO"/>
    <n v="6"/>
    <s v="VIERNES"/>
    <x v="77"/>
    <s v="FRUGOS VAL-FRESH 4NAR+4FP+4MZ PET 500X12 PUC"/>
    <n v="750"/>
    <n v="125"/>
    <n v="532.5"/>
  </r>
  <r>
    <x v="226"/>
    <s v="FEBRERO"/>
    <n v="7"/>
    <s v="SÁBADO"/>
    <x v="13"/>
    <s v="INCA KOLA VR 1.5LX8 - STICKER"/>
    <n v="150"/>
    <n v="30"/>
    <n v="60"/>
  </r>
  <r>
    <x v="226"/>
    <s v="FEBRERO"/>
    <n v="7"/>
    <s v="SÁBADO"/>
    <x v="40"/>
    <s v="SAN LUIS SPORT S/G 10 Lt x6 "/>
    <n v="112"/>
    <n v="240"/>
    <n v="44.800000000000004"/>
  </r>
  <r>
    <x v="226"/>
    <s v="FEBRERO"/>
    <n v="7"/>
    <s v="SÁBADO"/>
    <x v="38"/>
    <s v="SL S/G TAPA PLANA 1LT"/>
    <n v="448"/>
    <n v="112"/>
    <n v="179.20000000000002"/>
  </r>
  <r>
    <x v="226"/>
    <s v="FEBRERO"/>
    <n v="7"/>
    <s v="SÁBADO"/>
    <x v="0"/>
    <s v="SAN LUIS SIN GAS PET2500X6 STICKER"/>
    <n v="1920"/>
    <n v="48"/>
    <n v="768"/>
  </r>
  <r>
    <x v="226"/>
    <s v="FEBRERO"/>
    <n v="7"/>
    <s v="SÁBADO"/>
    <x v="22"/>
    <s v="TWO PACK SCHWEPPES CITRUS PET 1.5LX2"/>
    <n v="1584"/>
    <n v="198"/>
    <n v="269.28000000000003"/>
  </r>
  <r>
    <x v="226"/>
    <s v="FEBRERO"/>
    <n v="7"/>
    <s v="SÁBADO"/>
    <x v="6"/>
    <s v="INCA KOLA PET 3LX2 - RF"/>
    <n v="6000"/>
    <n v="120"/>
    <n v="1020.0000000000001"/>
  </r>
  <r>
    <x v="226"/>
    <s v="FEBRERO"/>
    <n v="7"/>
    <s v="SÁBADO"/>
    <x v="17"/>
    <s v="TWO PACK CC PFM 3LX2 - RFCC"/>
    <n v="2400"/>
    <n v="120"/>
    <n v="408.00000000000006"/>
  </r>
  <r>
    <x v="226"/>
    <s v="FEBRERO"/>
    <n v="7"/>
    <s v="SÁBADO"/>
    <x v="10"/>
    <s v="TWO PACK CC + IK PFM 3LX2 - RFNN"/>
    <n v="3600"/>
    <n v="120"/>
    <n v="612"/>
  </r>
  <r>
    <x v="226"/>
    <s v="FEBRERO"/>
    <n v="7"/>
    <s v="SÁBADO"/>
    <x v="23"/>
    <s v="TRIPACK CC+IK+IK PFM 3LX3 - RFNN"/>
    <n v="720"/>
    <n v="90"/>
    <n v="122.4"/>
  </r>
  <r>
    <x v="226"/>
    <s v="FEBRERO"/>
    <n v="7"/>
    <s v="SÁBADO"/>
    <x v="12"/>
    <s v="POWERADE ION4 FRUTA PET473X6 MOD (STICK)"/>
    <n v="675"/>
    <n v="225"/>
    <n v="270"/>
  </r>
  <r>
    <x v="226"/>
    <s v="FEBRERO"/>
    <n v="7"/>
    <s v="SÁBADO"/>
    <x v="19"/>
    <s v="POWERADE ION4 MORA AZ PET473X6 MOD(STCK)"/>
    <n v="225"/>
    <n v="225"/>
    <n v="90"/>
  </r>
  <r>
    <x v="226"/>
    <s v="FEBRERO"/>
    <n v="7"/>
    <s v="SÁBADO"/>
    <x v="46"/>
    <s v="COCA COLA PET 500MLX6"/>
    <n v="3000"/>
    <n v="250"/>
    <n v="1260"/>
  </r>
  <r>
    <x v="226"/>
    <s v="FEBRERO"/>
    <n v="7"/>
    <s v="SÁBADO"/>
    <x v="42"/>
    <s v="FANTA NARANJA PET 500MLX6 BRANDEADO MOD"/>
    <n v="500"/>
    <n v="420"/>
    <n v="210"/>
  </r>
  <r>
    <x v="226"/>
    <s v="FEBRERO"/>
    <n v="7"/>
    <s v="SÁBADO"/>
    <x v="43"/>
    <s v="SPRITE PET 500MLX6 BRANDEADO MOD"/>
    <n v="500"/>
    <n v="420"/>
    <n v="210"/>
  </r>
  <r>
    <x v="226"/>
    <s v="FEBRERO"/>
    <n v="7"/>
    <s v="SÁBADO"/>
    <x v="30"/>
    <s v="INCA KOLA SA PET 500MLX6 - C/STICKER"/>
    <n v="750"/>
    <n v="250"/>
    <n v="172.5"/>
  </r>
  <r>
    <x v="227"/>
    <s v="FEBRERO"/>
    <n v="7"/>
    <s v="LUNES"/>
    <x v="10"/>
    <s v="TWO PACK CC + IK PFM 3LX2 - RFNN"/>
    <n v="3360"/>
    <n v="120"/>
    <n v="571.20000000000005"/>
  </r>
  <r>
    <x v="227"/>
    <s v="FEBRERO"/>
    <n v="7"/>
    <s v="LUNES"/>
    <x v="26"/>
    <s v="TRIPACK CC+CC+IK PFM 3LX3 - RFNN"/>
    <n v="450"/>
    <n v="90"/>
    <n v="76.5"/>
  </r>
  <r>
    <x v="227"/>
    <s v="FEBRERO"/>
    <n v="7"/>
    <s v="LUNES"/>
    <x v="23"/>
    <s v="TRIPACK CC+IK+IK PFM 3LX3 - RFNN"/>
    <n v="900"/>
    <n v="90"/>
    <n v="153"/>
  </r>
  <r>
    <x v="227"/>
    <s v="FEBRERO"/>
    <n v="7"/>
    <s v="LUNES"/>
    <x v="11"/>
    <s v="TRIPACK (CC+IK)PFM+FT PET 3LX3 - RFNN"/>
    <n v="2880"/>
    <n v="90"/>
    <n v="489.6"/>
  </r>
  <r>
    <x v="227"/>
    <s v="FEBRERO"/>
    <n v="7"/>
    <s v="LUNES"/>
    <x v="20"/>
    <s v="TRIPACK (FT NAR+SP)PET+IK RF PFM 3L"/>
    <n v="450"/>
    <n v="90"/>
    <n v="76.5"/>
  </r>
  <r>
    <x v="227"/>
    <s v="FEBRERO"/>
    <n v="7"/>
    <s v="LUNES"/>
    <x v="25"/>
    <s v="POWERADE 3MORA+3FRUT PET 473MLX6"/>
    <n v="2250"/>
    <n v="225"/>
    <n v="945"/>
  </r>
  <r>
    <x v="227"/>
    <s v="FEBRERO"/>
    <n v="7"/>
    <s v="LUNES"/>
    <x v="42"/>
    <s v="FANTA NARANJA PET 500MLX6 BRANDEADO MOD"/>
    <n v="250"/>
    <n v="420"/>
    <n v="105"/>
  </r>
  <r>
    <x v="227"/>
    <s v="FEBRERO"/>
    <n v="7"/>
    <s v="LUNES"/>
    <x v="43"/>
    <s v="SPRITE PET 500MLX6 BRANDEADO MOD"/>
    <n v="500"/>
    <n v="420"/>
    <n v="210"/>
  </r>
  <r>
    <x v="227"/>
    <s v="FEBRERO"/>
    <n v="7"/>
    <s v="LUNES"/>
    <x v="77"/>
    <s v="FRUGOS VAL-FRESH 4NAR+4FP+4MZ PET 500X12 PUC"/>
    <n v="750"/>
    <n v="125"/>
    <n v="532.5"/>
  </r>
  <r>
    <x v="227"/>
    <s v="FEBRERO"/>
    <n v="7"/>
    <s v="LUNES"/>
    <x v="28"/>
    <s v="COCA COLA VR 1.5LX8 - STICKER"/>
    <n v="270"/>
    <n v="30"/>
    <n v="62.1"/>
  </r>
  <r>
    <x v="227"/>
    <s v="FEBRERO"/>
    <n v="7"/>
    <s v="LUNES"/>
    <x v="33"/>
    <s v="COCA COLA VR 296MLX24 - STICKER"/>
    <n v="120"/>
    <n v="40"/>
    <n v="27.6"/>
  </r>
  <r>
    <x v="227"/>
    <s v="FEBRERO"/>
    <n v="7"/>
    <s v="LUNES"/>
    <x v="13"/>
    <s v="INCA KOLA VR 1.5LX8 - STICKER"/>
    <n v="300"/>
    <n v="30"/>
    <n v="120"/>
  </r>
  <r>
    <x v="227"/>
    <s v="FEBRERO"/>
    <n v="7"/>
    <s v="LUNES"/>
    <x v="15"/>
    <s v="INCA KOLA VR 625MLX12 - STICKER"/>
    <n v="400"/>
    <n v="50"/>
    <n v="160"/>
  </r>
  <r>
    <x v="227"/>
    <s v="FEBRERO"/>
    <n v="7"/>
    <s v="LUNES"/>
    <x v="0"/>
    <s v="SAN LUIS SIN GAS PET2500X6 STICKER"/>
    <n v="1920"/>
    <n v="48"/>
    <n v="768"/>
  </r>
  <r>
    <x v="227"/>
    <s v="FEBRERO"/>
    <n v="7"/>
    <s v="LUNES"/>
    <x v="24"/>
    <s v="MONSTER ENERGY 473MLX4"/>
    <n v="2520"/>
    <n v="420"/>
    <n v="1058.3999999999999"/>
  </r>
  <r>
    <x v="227"/>
    <s v="FEBRERO"/>
    <n v="7"/>
    <s v="LUNES"/>
    <x v="16"/>
    <s v="SAN LUIS CON GAS PET 625MLX6"/>
    <n v="1080"/>
    <n v="180"/>
    <n v="453.59999999999997"/>
  </r>
  <r>
    <x v="227"/>
    <s v="FEBRERO"/>
    <n v="7"/>
    <s v="LUNES"/>
    <x v="1"/>
    <s v="COCA-COLA SIN AZUCAR PET 1.5LX2"/>
    <n v="4320"/>
    <n v="198"/>
    <n v="734.40000000000009"/>
  </r>
  <r>
    <x v="227"/>
    <s v="FEBRERO"/>
    <n v="7"/>
    <s v="LUNES"/>
    <x v="34"/>
    <s v="TWO PACK CC PET 1.5LX2 - CRC"/>
    <n v="216"/>
    <n v="198"/>
    <n v="36.720000000000006"/>
  </r>
  <r>
    <x v="227"/>
    <s v="FEBRERO"/>
    <n v="7"/>
    <s v="LUNES"/>
    <x v="29"/>
    <s v="TWO PACK IK PET 1.5LX2 - CRCG"/>
    <n v="216"/>
    <n v="198"/>
    <n v="36.720000000000006"/>
  </r>
  <r>
    <x v="227"/>
    <s v="FEBRERO"/>
    <n v="7"/>
    <s v="LUNES"/>
    <x v="3"/>
    <s v="TWO PACK SCHWEPPES GINGER ALE PET 1.5LX2"/>
    <n v="990"/>
    <n v="198"/>
    <n v="168.3"/>
  </r>
  <r>
    <x v="227"/>
    <s v="FEBRERO"/>
    <n v="7"/>
    <s v="LUNES"/>
    <x v="4"/>
    <s v="COCA-COLA PET 2.25LX2 RF"/>
    <n v="810"/>
    <n v="162"/>
    <n v="137.70000000000002"/>
  </r>
  <r>
    <x v="227"/>
    <s v="FEBRERO"/>
    <n v="7"/>
    <s v="LUNES"/>
    <x v="5"/>
    <s v="INCA KOLA PET 2.25LX2 RF"/>
    <n v="486"/>
    <n v="162"/>
    <n v="82.62"/>
  </r>
  <r>
    <x v="227"/>
    <s v="FEBRERO"/>
    <n v="7"/>
    <s v="LUNES"/>
    <x v="6"/>
    <s v="INCA KOLA PET 3LX2 - RF"/>
    <n v="2400"/>
    <n v="120"/>
    <n v="408.00000000000006"/>
  </r>
  <r>
    <x v="227"/>
    <s v="FEBRERO"/>
    <n v="7"/>
    <s v="LUNES"/>
    <x v="7"/>
    <s v="COCA-COLA PET 1.5LX2 RF"/>
    <n v="2160"/>
    <n v="198"/>
    <n v="367.20000000000005"/>
  </r>
  <r>
    <x v="228"/>
    <s v="FEBRERO"/>
    <n v="7"/>
    <s v="MARTES"/>
    <x v="28"/>
    <s v="COCA COLA VR 1.5LX8 - STICKER"/>
    <n v="120"/>
    <n v="30"/>
    <n v="27.6"/>
  </r>
  <r>
    <x v="228"/>
    <s v="FEBRERO"/>
    <n v="7"/>
    <s v="MARTES"/>
    <x v="13"/>
    <s v="INCA KOLA VR 1.5LX8 - STICKER"/>
    <n v="150"/>
    <n v="30"/>
    <n v="60"/>
  </r>
  <r>
    <x v="228"/>
    <s v="FEBRERO"/>
    <n v="7"/>
    <s v="MARTES"/>
    <x v="15"/>
    <s v="INCA KOLA VR 625MLX12 - STICKER"/>
    <n v="200"/>
    <n v="50"/>
    <n v="80"/>
  </r>
  <r>
    <x v="228"/>
    <s v="FEBRERO"/>
    <n v="7"/>
    <s v="MARTES"/>
    <x v="38"/>
    <s v="SL S/G TAPA PLANA 1LT"/>
    <n v="672"/>
    <n v="112"/>
    <n v="268.8"/>
  </r>
  <r>
    <x v="228"/>
    <s v="FEBRERO"/>
    <n v="7"/>
    <s v="MARTES"/>
    <x v="0"/>
    <s v="SAN LUIS SIN GAS PET2500X6 STICKER"/>
    <n v="2400"/>
    <n v="48"/>
    <n v="960"/>
  </r>
  <r>
    <x v="228"/>
    <s v="FEBRERO"/>
    <n v="7"/>
    <s v="MARTES"/>
    <x v="24"/>
    <s v="MONSTER ENERGY 473MLX4"/>
    <n v="2520"/>
    <n v="420"/>
    <n v="1058.3999999999999"/>
  </r>
  <r>
    <x v="228"/>
    <s v="FEBRERO"/>
    <n v="7"/>
    <s v="MARTES"/>
    <x v="1"/>
    <s v="COCA-COLA SIN AZUCAR PET 1.5LX2"/>
    <n v="2160"/>
    <n v="198"/>
    <n v="367.20000000000005"/>
  </r>
  <r>
    <x v="228"/>
    <s v="FEBRERO"/>
    <n v="7"/>
    <s v="MARTES"/>
    <x v="5"/>
    <s v="INCA KOLA PET 2.25LX2 RF"/>
    <n v="648"/>
    <n v="162"/>
    <n v="110.16000000000001"/>
  </r>
  <r>
    <x v="228"/>
    <s v="FEBRERO"/>
    <n v="7"/>
    <s v="MARTES"/>
    <x v="6"/>
    <s v="INCA KOLA PET 3LX2 - RF"/>
    <n v="2400"/>
    <n v="120"/>
    <n v="408.00000000000006"/>
  </r>
  <r>
    <x v="228"/>
    <s v="FEBRERO"/>
    <n v="7"/>
    <s v="MARTES"/>
    <x v="17"/>
    <s v="TWO PACK CC PFM 3LX2 - RFCC"/>
    <n v="2400"/>
    <n v="120"/>
    <n v="408.00000000000006"/>
  </r>
  <r>
    <x v="228"/>
    <s v="FEBRERO"/>
    <n v="7"/>
    <s v="MARTES"/>
    <x v="7"/>
    <s v="COCA-COLA PET 1.5LX2 RF"/>
    <n v="2160"/>
    <n v="198"/>
    <n v="367.20000000000005"/>
  </r>
  <r>
    <x v="228"/>
    <s v="FEBRERO"/>
    <n v="7"/>
    <s v="MARTES"/>
    <x v="8"/>
    <s v="INCA KOLA PET 1.5LX2 RF"/>
    <n v="1728"/>
    <n v="198"/>
    <n v="293.76000000000005"/>
  </r>
  <r>
    <x v="228"/>
    <s v="FEBRERO"/>
    <n v="7"/>
    <s v="MARTES"/>
    <x v="9"/>
    <s v="TRIPACK FT NAR+FT KI+SP PET 3L"/>
    <n v="900"/>
    <n v="90"/>
    <n v="153"/>
  </r>
  <r>
    <x v="228"/>
    <s v="FEBRERO"/>
    <n v="7"/>
    <s v="MARTES"/>
    <x v="10"/>
    <s v="TWO PACK CC + IK PFM 3LX2 - RFNN"/>
    <n v="2880"/>
    <n v="120"/>
    <n v="489.6"/>
  </r>
  <r>
    <x v="228"/>
    <s v="FEBRERO"/>
    <n v="7"/>
    <s v="MARTES"/>
    <x v="23"/>
    <s v="TRIPACK CC+IK+IK PFM 3LX3 - RFNN"/>
    <n v="450"/>
    <n v="90"/>
    <n v="76.5"/>
  </r>
  <r>
    <x v="228"/>
    <s v="FEBRERO"/>
    <n v="7"/>
    <s v="MARTES"/>
    <x v="36"/>
    <s v="SAN LUIS SIN GAS PET 625MLX15 C/STICKER"/>
    <n v="1350"/>
    <n v="90"/>
    <n v="540"/>
  </r>
  <r>
    <x v="228"/>
    <s v="FEBRERO"/>
    <n v="7"/>
    <s v="MARTES"/>
    <x v="11"/>
    <s v="TRIPACK (CC+IK)PFM+FT PET 3LX3 - RFNN"/>
    <n v="1890"/>
    <n v="90"/>
    <n v="321.3"/>
  </r>
  <r>
    <x v="228"/>
    <s v="FEBRERO"/>
    <n v="7"/>
    <s v="MARTES"/>
    <x v="25"/>
    <s v="POWERADE 3MORA+3FRUT PET 473MLX6"/>
    <n v="1350"/>
    <n v="225"/>
    <n v="567"/>
  </r>
  <r>
    <x v="228"/>
    <s v="FEBRERO"/>
    <n v="7"/>
    <s v="MARTES"/>
    <x v="12"/>
    <s v="POWERADE ION4 FRUTA PET473X6 MOD (STICK)"/>
    <n v="450"/>
    <n v="225"/>
    <n v="180"/>
  </r>
  <r>
    <x v="228"/>
    <s v="FEBRERO"/>
    <n v="7"/>
    <s v="MARTES"/>
    <x v="42"/>
    <s v="FANTA NARANJA PET 500MLX6 BRANDEADO MOD"/>
    <n v="250"/>
    <n v="420"/>
    <n v="105"/>
  </r>
  <r>
    <x v="228"/>
    <s v="FEBRERO"/>
    <n v="7"/>
    <s v="MARTES"/>
    <x v="43"/>
    <s v="SPRITE PET 500MLX6 BRANDEADO MOD"/>
    <n v="250"/>
    <n v="420"/>
    <n v="105"/>
  </r>
  <r>
    <x v="228"/>
    <s v="FEBRERO"/>
    <n v="7"/>
    <s v="MARTES"/>
    <x v="32"/>
    <s v="MONSTER ENERGY ULTRA 473MLX4"/>
    <n v="4200"/>
    <n v="420"/>
    <n v="1764"/>
  </r>
  <r>
    <x v="229"/>
    <s v="FEBRERO"/>
    <n v="7"/>
    <s v="MIÉRCOLES"/>
    <x v="28"/>
    <s v="COCA COLA VR 1.5LX8 - STICKER"/>
    <n v="270"/>
    <n v="30"/>
    <n v="62.1"/>
  </r>
  <r>
    <x v="229"/>
    <s v="FEBRERO"/>
    <n v="7"/>
    <s v="MIÉRCOLES"/>
    <x v="33"/>
    <s v="COCA COLA VR 296MLX24 - STICKER"/>
    <n v="40"/>
    <n v="40"/>
    <n v="9.2000000000000011"/>
  </r>
  <r>
    <x v="229"/>
    <s v="FEBRERO"/>
    <n v="7"/>
    <s v="MIÉRCOLES"/>
    <x v="36"/>
    <s v="SAN LUIS SIN GAS PET 625MLX15 C/STICKER"/>
    <n v="1350"/>
    <n v="90"/>
    <n v="540"/>
  </r>
  <r>
    <x v="229"/>
    <s v="FEBRERO"/>
    <n v="7"/>
    <s v="MIÉRCOLES"/>
    <x v="40"/>
    <s v="SAN LUIS SPORT S/G 10 Lt x6 "/>
    <n v="336"/>
    <n v="240"/>
    <n v="134.4"/>
  </r>
  <r>
    <x v="229"/>
    <s v="FEBRERO"/>
    <n v="7"/>
    <s v="MIÉRCOLES"/>
    <x v="0"/>
    <s v="SAN LUIS SIN GAS PET2500X6 STICKER"/>
    <n v="2400"/>
    <n v="48"/>
    <n v="960"/>
  </r>
  <r>
    <x v="229"/>
    <s v="FEBRERO"/>
    <n v="7"/>
    <s v="MIÉRCOLES"/>
    <x v="32"/>
    <s v="MONSTER ENERGY ULTRA 473MLX4"/>
    <n v="4200"/>
    <n v="420"/>
    <n v="1764"/>
  </r>
  <r>
    <x v="229"/>
    <s v="FEBRERO"/>
    <n v="7"/>
    <s v="MIÉRCOLES"/>
    <x v="39"/>
    <s v="MONSTER ENERGY ZERO 473MLX4"/>
    <n v="2100"/>
    <n v="420"/>
    <n v="882"/>
  </r>
  <r>
    <x v="229"/>
    <s v="FEBRERO"/>
    <n v="7"/>
    <s v="MIÉRCOLES"/>
    <x v="2"/>
    <s v="INCA KOLA SIN AZUCAR PET 1.5LX2"/>
    <n v="864"/>
    <n v="198"/>
    <n v="146.88000000000002"/>
  </r>
  <r>
    <x v="229"/>
    <s v="FEBRERO"/>
    <n v="7"/>
    <s v="MIÉRCOLES"/>
    <x v="22"/>
    <s v="TWO PACK SCHWEPPES CITRUS PET 1.5LX2"/>
    <n v="990"/>
    <n v="198"/>
    <n v="168.3"/>
  </r>
  <r>
    <x v="229"/>
    <s v="FEBRERO"/>
    <n v="7"/>
    <s v="MIÉRCOLES"/>
    <x v="4"/>
    <s v="COCA-COLA PET 2.25LX2 RF"/>
    <n v="648"/>
    <n v="162"/>
    <n v="110.16000000000001"/>
  </r>
  <r>
    <x v="229"/>
    <s v="FEBRERO"/>
    <n v="7"/>
    <s v="MIÉRCOLES"/>
    <x v="7"/>
    <s v="COCA-COLA PET 1.5LX2 RF"/>
    <n v="2160"/>
    <n v="198"/>
    <n v="367.20000000000005"/>
  </r>
  <r>
    <x v="229"/>
    <s v="FEBRERO"/>
    <n v="7"/>
    <s v="MIÉRCOLES"/>
    <x v="8"/>
    <s v="INCA KOLA PET 1.5LX2 RF"/>
    <n v="1080"/>
    <n v="198"/>
    <n v="183.60000000000002"/>
  </r>
  <r>
    <x v="229"/>
    <s v="FEBRERO"/>
    <n v="7"/>
    <s v="MIÉRCOLES"/>
    <x v="9"/>
    <s v="TRIPACK FT NAR+FT KI+SP PET 3L"/>
    <n v="900"/>
    <n v="90"/>
    <n v="153"/>
  </r>
  <r>
    <x v="229"/>
    <s v="FEBRERO"/>
    <n v="7"/>
    <s v="MIÉRCOLES"/>
    <x v="11"/>
    <s v="TRIPACK (CC+IK)PFM+FT PET 3LX3 - RFNN"/>
    <n v="1440"/>
    <n v="90"/>
    <n v="244.8"/>
  </r>
  <r>
    <x v="229"/>
    <s v="FEBRERO"/>
    <n v="7"/>
    <s v="MIÉRCOLES"/>
    <x v="20"/>
    <s v="TRIPACK (FT NAR+SP)PET+IK RF PFM 3L"/>
    <n v="180"/>
    <n v="90"/>
    <n v="30.6"/>
  </r>
  <r>
    <x v="229"/>
    <s v="FEBRERO"/>
    <n v="7"/>
    <s v="MIÉRCOLES"/>
    <x v="25"/>
    <s v="POWERADE 3MORA+3FRUT PET 473MLX6"/>
    <n v="1350"/>
    <n v="225"/>
    <n v="567"/>
  </r>
  <r>
    <x v="229"/>
    <s v="FEBRERO"/>
    <n v="7"/>
    <s v="MIÉRCOLES"/>
    <x v="43"/>
    <s v="SPRITE PET 500MLX6 BRANDEADO MOD"/>
    <n v="250"/>
    <n v="420"/>
    <n v="105"/>
  </r>
  <r>
    <x v="230"/>
    <s v="FEBRERO"/>
    <n v="7"/>
    <s v="JUEVES"/>
    <x v="20"/>
    <s v="TRIPACK (FT NAR+SP)PET+IK RF PFM 3L"/>
    <n v="450"/>
    <n v="90"/>
    <n v="76.5"/>
  </r>
  <r>
    <x v="230"/>
    <s v="FEBRERO"/>
    <n v="7"/>
    <s v="JUEVES"/>
    <x v="25"/>
    <s v="POWERADE 3MORA+3FRUT PET 473MLX6"/>
    <n v="675"/>
    <n v="225"/>
    <n v="283.5"/>
  </r>
  <r>
    <x v="230"/>
    <s v="FEBRERO"/>
    <n v="7"/>
    <s v="JUEVES"/>
    <x v="42"/>
    <s v="FANTA NARANJA PET 500MLX6 BRANDEADO MOD"/>
    <n v="250"/>
    <n v="420"/>
    <n v="105"/>
  </r>
  <r>
    <x v="230"/>
    <s v="FEBRERO"/>
    <n v="7"/>
    <s v="JUEVES"/>
    <x v="64"/>
    <s v="PACK-2 FT NAR+FT KI+FT PIÑA+SP RP 1.5LX8"/>
    <n v="600"/>
    <n v="30"/>
    <n v="126"/>
  </r>
  <r>
    <x v="230"/>
    <s v="FEBRERO"/>
    <n v="7"/>
    <s v="JUEVES"/>
    <x v="13"/>
    <s v="INCA KOLA VR 1.5LX8 - STICKER"/>
    <n v="300"/>
    <n v="30"/>
    <n v="120"/>
  </r>
  <r>
    <x v="230"/>
    <s v="FEBRERO"/>
    <n v="7"/>
    <s v="JUEVES"/>
    <x v="15"/>
    <s v="INCA KOLA VR 625MLX12 - STICKER"/>
    <n v="400"/>
    <n v="50"/>
    <n v="160"/>
  </r>
  <r>
    <x v="230"/>
    <s v="FEBRERO"/>
    <n v="7"/>
    <s v="JUEVES"/>
    <x v="36"/>
    <s v="SAN LUIS SIN GAS PET 625MLX15 C/STICKER"/>
    <n v="5400"/>
    <n v="90"/>
    <n v="2160"/>
  </r>
  <r>
    <x v="230"/>
    <s v="FEBRERO"/>
    <n v="7"/>
    <s v="JUEVES"/>
    <x v="38"/>
    <s v="SL S/G TAPA PLANA 1LT"/>
    <n v="448"/>
    <n v="112"/>
    <n v="179.20000000000002"/>
  </r>
  <r>
    <x v="230"/>
    <s v="FEBRERO"/>
    <n v="7"/>
    <s v="JUEVES"/>
    <x v="0"/>
    <s v="SAN LUIS SIN GAS PET2500X6 STICKER"/>
    <n v="1920"/>
    <n v="48"/>
    <n v="768"/>
  </r>
  <r>
    <x v="230"/>
    <s v="FEBRERO"/>
    <n v="7"/>
    <s v="JUEVES"/>
    <x v="34"/>
    <s v="TWO PACK CC PET 1.5LX2 - CRC"/>
    <n v="432"/>
    <n v="198"/>
    <n v="73.440000000000012"/>
  </r>
  <r>
    <x v="230"/>
    <s v="FEBRERO"/>
    <n v="7"/>
    <s v="JUEVES"/>
    <x v="3"/>
    <s v="TWO PACK SCHWEPPES GINGER ALE PET 1.5LX2"/>
    <n v="1782"/>
    <n v="198"/>
    <n v="302.94"/>
  </r>
  <r>
    <x v="230"/>
    <s v="FEBRERO"/>
    <n v="7"/>
    <s v="JUEVES"/>
    <x v="6"/>
    <s v="INCA KOLA PET 3LX2 - RF"/>
    <n v="4800"/>
    <n v="120"/>
    <n v="816.00000000000011"/>
  </r>
  <r>
    <x v="230"/>
    <s v="FEBRERO"/>
    <n v="7"/>
    <s v="JUEVES"/>
    <x v="17"/>
    <s v="TWO PACK CC PFM 3LX2 - RFCC"/>
    <n v="2400"/>
    <n v="120"/>
    <n v="408.00000000000006"/>
  </r>
  <r>
    <x v="230"/>
    <s v="FEBRERO"/>
    <n v="7"/>
    <s v="JUEVES"/>
    <x v="7"/>
    <s v="COCA-COLA PET 1.5LX2 RF"/>
    <n v="1080"/>
    <n v="198"/>
    <n v="183.60000000000002"/>
  </r>
  <r>
    <x v="230"/>
    <s v="FEBRERO"/>
    <n v="7"/>
    <s v="JUEVES"/>
    <x v="9"/>
    <s v="TRIPACK FT NAR+FT KI+SP PET 3L"/>
    <n v="900"/>
    <n v="90"/>
    <n v="153"/>
  </r>
  <r>
    <x v="230"/>
    <s v="FEBRERO"/>
    <n v="7"/>
    <s v="JUEVES"/>
    <x v="10"/>
    <s v="TWO PACK CC + IK PFM 3LX2 - RFNN"/>
    <n v="9120"/>
    <n v="120"/>
    <n v="1550.4"/>
  </r>
  <r>
    <x v="230"/>
    <s v="FEBRERO"/>
    <n v="7"/>
    <s v="JUEVES"/>
    <x v="26"/>
    <s v="TRIPACK CC+CC+IK PFM 3LX3 - RFNN"/>
    <n v="900"/>
    <n v="90"/>
    <n v="153"/>
  </r>
  <r>
    <x v="230"/>
    <s v="FEBRERO"/>
    <n v="7"/>
    <s v="JUEVES"/>
    <x v="23"/>
    <s v="TRIPACK CC+IK+IK PFM 3LX3 - RFNN"/>
    <n v="2160"/>
    <n v="90"/>
    <n v="367.20000000000005"/>
  </r>
  <r>
    <x v="230"/>
    <s v="FEBRERO"/>
    <n v="7"/>
    <s v="JUEVES"/>
    <x v="11"/>
    <s v="TRIPACK (CC+IK)PFM+FT PET 3LX3 - RFNN"/>
    <n v="3600"/>
    <n v="90"/>
    <n v="612"/>
  </r>
  <r>
    <x v="229"/>
    <s v="FEBRERO"/>
    <n v="7"/>
    <s v="MIÉRCOLES"/>
    <x v="1"/>
    <s v="COCA-COLA SIN AZUCAR PET 1.5LX2"/>
    <n v="3240"/>
    <n v="198"/>
    <n v="550.80000000000007"/>
  </r>
  <r>
    <x v="229"/>
    <s v="FEBRERO"/>
    <n v="7"/>
    <s v="MIÉRCOLES"/>
    <x v="2"/>
    <s v="INCA KOLA SIN AZUCAR PET 1.5LX2"/>
    <n v="1296"/>
    <n v="198"/>
    <n v="220.32000000000002"/>
  </r>
  <r>
    <x v="230"/>
    <s v="FEBRERO"/>
    <n v="7"/>
    <s v="JUEVES"/>
    <x v="24"/>
    <s v="MONSTER ENERGY 473MLX4"/>
    <n v="2100"/>
    <n v="420"/>
    <n v="882"/>
  </r>
  <r>
    <x v="230"/>
    <s v="FEBRERO"/>
    <n v="7"/>
    <s v="JUEVES"/>
    <x v="42"/>
    <s v="FANTA NARANJA PET 500MLX6 BRANDEADO MOD"/>
    <n v="750"/>
    <n v="420"/>
    <n v="315"/>
  </r>
  <r>
    <x v="231"/>
    <s v="FEBRERO"/>
    <n v="7"/>
    <s v="VIERNES"/>
    <x v="25"/>
    <s v="POWERADE 3MORA+3FRUT PET 473MLX6"/>
    <n v="675"/>
    <n v="225"/>
    <n v="283.5"/>
  </r>
  <r>
    <x v="231"/>
    <s v="FEBRERO"/>
    <n v="7"/>
    <s v="VIERNES"/>
    <x v="26"/>
    <s v="TRIPACK CC+CC+IK PFM 3LX3 - RFNN"/>
    <n v="720"/>
    <n v="90"/>
    <n v="122.4"/>
  </r>
  <r>
    <x v="231"/>
    <s v="FEBRERO"/>
    <n v="7"/>
    <s v="VIERNES"/>
    <x v="23"/>
    <s v="TRIPACK CC+IK+IK PFM 3LX3 - RFNN"/>
    <n v="2160"/>
    <n v="90"/>
    <n v="367.20000000000005"/>
  </r>
  <r>
    <x v="231"/>
    <s v="FEBRERO"/>
    <n v="7"/>
    <s v="VIERNES"/>
    <x v="20"/>
    <s v="TRIPACK (FT NAR+SP)PET+IK RF PFM 3L"/>
    <n v="450"/>
    <n v="90"/>
    <n v="76.5"/>
  </r>
  <r>
    <x v="231"/>
    <s v="FEBRERO"/>
    <n v="7"/>
    <s v="VIERNES"/>
    <x v="25"/>
    <s v="POWERADE 3MORA+3FRUT PET 473MLX6"/>
    <n v="1350"/>
    <n v="225"/>
    <n v="567"/>
  </r>
  <r>
    <x v="231"/>
    <s v="FEBRERO"/>
    <n v="7"/>
    <s v="VIERNES"/>
    <x v="12"/>
    <s v="POWERADE ION4 FRUTA PET473X6 MOD (STICK)"/>
    <n v="450"/>
    <n v="225"/>
    <n v="180"/>
  </r>
  <r>
    <x v="231"/>
    <s v="FEBRERO"/>
    <n v="7"/>
    <s v="VIERNES"/>
    <x v="43"/>
    <s v="SPRITE PET 500MLX6 BRANDEADO MOD"/>
    <n v="1000"/>
    <n v="420"/>
    <n v="420"/>
  </r>
  <r>
    <x v="231"/>
    <s v="FEBRERO"/>
    <n v="7"/>
    <s v="VIERNES"/>
    <x v="64"/>
    <s v="PACK-2 FT NAR+FT KI+FT PIÑA+SP RP 1.5LX8"/>
    <n v="600"/>
    <n v="30"/>
    <n v="126"/>
  </r>
  <r>
    <x v="231"/>
    <s v="FEBRERO"/>
    <n v="7"/>
    <s v="VIERNES"/>
    <x v="28"/>
    <s v="COCA COLA VR 1.5LX8 - STICKER"/>
    <n v="300"/>
    <n v="30"/>
    <n v="69"/>
  </r>
  <r>
    <x v="231"/>
    <s v="FEBRERO"/>
    <n v="7"/>
    <s v="VIERNES"/>
    <x v="33"/>
    <s v="COCA COLA VR 296MLX24 - STICKER"/>
    <n v="80"/>
    <n v="40"/>
    <n v="18.400000000000002"/>
  </r>
  <r>
    <x v="231"/>
    <s v="FEBRERO"/>
    <n v="7"/>
    <s v="VIERNES"/>
    <x v="15"/>
    <s v="INCA KOLA VR 625MLX12 - STICKER"/>
    <n v="250"/>
    <n v="50"/>
    <n v="100"/>
  </r>
  <r>
    <x v="231"/>
    <s v="FEBRERO"/>
    <n v="7"/>
    <s v="VIERNES"/>
    <x v="36"/>
    <s v="SAN LUIS SIN GAS PET 625MLX15 C/STICKER"/>
    <n v="900"/>
    <n v="90"/>
    <n v="360"/>
  </r>
  <r>
    <x v="231"/>
    <s v="FEBRERO"/>
    <n v="7"/>
    <s v="VIERNES"/>
    <x v="40"/>
    <s v="SAN LUIS SPORT S/G 10 Lt x6 "/>
    <n v="112"/>
    <n v="240"/>
    <n v="44.800000000000004"/>
  </r>
  <r>
    <x v="231"/>
    <s v="FEBRERO"/>
    <n v="7"/>
    <s v="VIERNES"/>
    <x v="24"/>
    <s v="MONSTER ENERGY 473MLX4"/>
    <n v="4200"/>
    <n v="420"/>
    <n v="1764"/>
  </r>
  <r>
    <x v="231"/>
    <s v="FEBRERO"/>
    <n v="7"/>
    <s v="VIERNES"/>
    <x v="39"/>
    <s v="MONSTER ENERGY ZERO 473MLX4"/>
    <n v="2100"/>
    <n v="420"/>
    <n v="882"/>
  </r>
  <r>
    <x v="231"/>
    <s v="FEBRERO"/>
    <n v="7"/>
    <s v="VIERNES"/>
    <x v="16"/>
    <s v="SAN LUIS CON GAS PET 625MLX6"/>
    <n v="900"/>
    <n v="180"/>
    <n v="378"/>
  </r>
  <r>
    <x v="231"/>
    <s v="FEBRERO"/>
    <n v="7"/>
    <s v="VIERNES"/>
    <x v="1"/>
    <s v="COCA-COLA SIN AZUCAR PET 1.5LX2"/>
    <n v="2160"/>
    <n v="198"/>
    <n v="367.20000000000005"/>
  </r>
  <r>
    <x v="231"/>
    <s v="FEBRERO"/>
    <n v="7"/>
    <s v="VIERNES"/>
    <x v="2"/>
    <s v="INCA KOLA SIN AZUCAR PET 1.5LX2"/>
    <n v="3240"/>
    <n v="198"/>
    <n v="550.80000000000007"/>
  </r>
  <r>
    <x v="231"/>
    <s v="FEBRERO"/>
    <n v="7"/>
    <s v="VIERNES"/>
    <x v="5"/>
    <s v="INCA KOLA PET 2.25LX2 RF"/>
    <n v="324"/>
    <n v="162"/>
    <n v="55.080000000000005"/>
  </r>
  <r>
    <x v="231"/>
    <s v="FEBRERO"/>
    <n v="7"/>
    <s v="VIERNES"/>
    <x v="7"/>
    <s v="COCA-COLA PET 1.5LX2 RF"/>
    <n v="3240"/>
    <n v="198"/>
    <n v="550.80000000000007"/>
  </r>
  <r>
    <x v="231"/>
    <s v="FEBRERO"/>
    <n v="7"/>
    <s v="VIERNES"/>
    <x v="8"/>
    <s v="INCA KOLA PET 1.5LX2 RF"/>
    <n v="1728"/>
    <n v="198"/>
    <n v="293.76000000000005"/>
  </r>
  <r>
    <x v="231"/>
    <s v="FEBRERO"/>
    <n v="7"/>
    <s v="VIERNES"/>
    <x v="9"/>
    <s v="TRIPACK FT NAR+FT KI+SP PET 3L"/>
    <n v="1440"/>
    <n v="90"/>
    <n v="244.8"/>
  </r>
  <r>
    <x v="231"/>
    <s v="FEBRERO"/>
    <n v="7"/>
    <s v="VIERNES"/>
    <x v="10"/>
    <s v="TWO PACK CC + IK PFM 3LX2 - RFNN"/>
    <n v="3600"/>
    <n v="120"/>
    <n v="612"/>
  </r>
  <r>
    <x v="232"/>
    <s v="FEBRERO"/>
    <n v="8"/>
    <s v="SÁBADO"/>
    <x v="42"/>
    <s v="FANTA NARANJA PET 500MLX6 BRANDEADO MOD"/>
    <n v="500"/>
    <n v="420"/>
    <n v="210"/>
  </r>
  <r>
    <x v="232"/>
    <s v="FEBRERO"/>
    <n v="8"/>
    <s v="SÁBADO"/>
    <x v="28"/>
    <s v="COCA COLA VR 1.5LX8 - STICKER"/>
    <n v="150"/>
    <n v="30"/>
    <n v="34.5"/>
  </r>
  <r>
    <x v="232"/>
    <s v="FEBRERO"/>
    <n v="8"/>
    <s v="SÁBADO"/>
    <x v="13"/>
    <s v="INCA KOLA VR 1.5LX8 - STICKER"/>
    <n v="300"/>
    <n v="30"/>
    <n v="120"/>
  </r>
  <r>
    <x v="232"/>
    <s v="FEBRERO"/>
    <n v="8"/>
    <s v="SÁBADO"/>
    <x v="24"/>
    <s v="MONSTER ENERGY 473MLX4"/>
    <n v="4200"/>
    <n v="420"/>
    <n v="1764"/>
  </r>
  <r>
    <x v="232"/>
    <s v="FEBRERO"/>
    <n v="8"/>
    <s v="SÁBADO"/>
    <x v="22"/>
    <s v="TWO PACK SCHWEPPES CITRUS PET 1.5LX2"/>
    <n v="396"/>
    <n v="198"/>
    <n v="67.320000000000007"/>
  </r>
  <r>
    <x v="232"/>
    <s v="FEBRERO"/>
    <n v="8"/>
    <s v="SÁBADO"/>
    <x v="3"/>
    <s v="TWO PACK SCHWEPPES GINGER ALE PET 1.5LX2"/>
    <n v="1188"/>
    <n v="198"/>
    <n v="201.96"/>
  </r>
  <r>
    <x v="232"/>
    <s v="FEBRERO"/>
    <n v="8"/>
    <s v="SÁBADO"/>
    <x v="4"/>
    <s v="COCA-COLA PET 2.25LX2 RF"/>
    <n v="972"/>
    <n v="162"/>
    <n v="165.24"/>
  </r>
  <r>
    <x v="232"/>
    <s v="FEBRERO"/>
    <n v="8"/>
    <s v="SÁBADO"/>
    <x v="5"/>
    <s v="INCA KOLA PET 2.25LX2 RF"/>
    <n v="324"/>
    <n v="162"/>
    <n v="55.080000000000005"/>
  </r>
  <r>
    <x v="232"/>
    <s v="FEBRERO"/>
    <n v="8"/>
    <s v="SÁBADO"/>
    <x v="6"/>
    <s v="INCA KOLA PET 3LX2 - RF"/>
    <n v="2400"/>
    <n v="120"/>
    <n v="408.00000000000006"/>
  </r>
  <r>
    <x v="232"/>
    <s v="FEBRERO"/>
    <n v="8"/>
    <s v="SÁBADO"/>
    <x v="8"/>
    <s v="INCA KOLA PET 1.5LX2 RF"/>
    <n v="2160"/>
    <n v="198"/>
    <n v="367.20000000000005"/>
  </r>
  <r>
    <x v="232"/>
    <s v="FEBRERO"/>
    <n v="8"/>
    <s v="SÁBADO"/>
    <x v="10"/>
    <s v="TWO PACK CC + IK PFM 3LX2 - RFNN"/>
    <n v="12000"/>
    <n v="120"/>
    <n v="2040.0000000000002"/>
  </r>
  <r>
    <x v="232"/>
    <s v="FEBRERO"/>
    <n v="8"/>
    <s v="SÁBADO"/>
    <x v="23"/>
    <s v="TRIPACK CC+IK+IK PFM 3LX3 - RFNN"/>
    <n v="2160"/>
    <n v="90"/>
    <n v="367.20000000000005"/>
  </r>
  <r>
    <x v="232"/>
    <s v="FEBRERO"/>
    <n v="8"/>
    <s v="SÁBADO"/>
    <x v="11"/>
    <s v="TRIPACK (CC+IK)PFM+FT PET 3LX3 - RFNN"/>
    <n v="900"/>
    <n v="90"/>
    <n v="153"/>
  </r>
  <r>
    <x v="232"/>
    <s v="FEBRERO"/>
    <n v="8"/>
    <s v="SÁBADO"/>
    <x v="25"/>
    <s v="POWERADE 3MORA+3FRUT PET 473MLX6"/>
    <n v="450"/>
    <n v="225"/>
    <n v="189"/>
  </r>
  <r>
    <x v="232"/>
    <s v="FEBRERO"/>
    <n v="8"/>
    <s v="SÁBADO"/>
    <x v="19"/>
    <s v="POWERADE ION4 MORA AZ PET473X6 MOD(STCK)"/>
    <n v="450"/>
    <n v="225"/>
    <n v="180"/>
  </r>
  <r>
    <x v="232"/>
    <s v="FEBRERO"/>
    <n v="8"/>
    <s v="SÁBADO"/>
    <x v="37"/>
    <s v="INCA KOLA PET 500MLX6"/>
    <n v="1500"/>
    <n v="225"/>
    <n v="630"/>
  </r>
  <r>
    <x v="233"/>
    <s v="FEBRERO"/>
    <n v="8"/>
    <s v="LUNES"/>
    <x v="28"/>
    <s v="COCA COLA VR 1.5LX8 - STICKER"/>
    <n v="210"/>
    <n v="30"/>
    <n v="48.300000000000004"/>
  </r>
  <r>
    <x v="233"/>
    <s v="FEBRERO"/>
    <n v="8"/>
    <s v="LUNES"/>
    <x v="13"/>
    <s v="INCA KOLA VR 1.5LX8 - STICKER"/>
    <n v="150"/>
    <n v="30"/>
    <n v="60"/>
  </r>
  <r>
    <x v="233"/>
    <s v="FEBRERO"/>
    <n v="8"/>
    <s v="LUNES"/>
    <x v="33"/>
    <s v="COCA COLA VR 296MLX24 - STICKER"/>
    <n v="120"/>
    <n v="40"/>
    <n v="27.6"/>
  </r>
  <r>
    <x v="233"/>
    <s v="FEBRERO"/>
    <n v="8"/>
    <s v="LUNES"/>
    <x v="40"/>
    <s v="SAN LUIS SPORT S/G 10 Lt x6 "/>
    <n v="224"/>
    <n v="240"/>
    <n v="89.600000000000009"/>
  </r>
  <r>
    <x v="233"/>
    <s v="FEBRERO"/>
    <n v="8"/>
    <s v="LUNES"/>
    <x v="38"/>
    <s v="SL S/G TAPA PLANA 1LT"/>
    <n v="224"/>
    <n v="112"/>
    <n v="89.600000000000009"/>
  </r>
  <r>
    <x v="233"/>
    <s v="FEBRERO"/>
    <n v="8"/>
    <s v="LUNES"/>
    <x v="39"/>
    <s v="MONSTER ENERGY ZERO 473MLX4"/>
    <n v="2100"/>
    <n v="420"/>
    <n v="882"/>
  </r>
  <r>
    <x v="233"/>
    <s v="FEBRERO"/>
    <n v="8"/>
    <s v="LUNES"/>
    <x v="16"/>
    <s v="SAN LUIS CON GAS PET 625MLX6"/>
    <n v="1440"/>
    <n v="180"/>
    <n v="604.79999999999995"/>
  </r>
  <r>
    <x v="233"/>
    <s v="FEBRERO"/>
    <n v="8"/>
    <s v="LUNES"/>
    <x v="1"/>
    <s v="COCA-COLA SIN AZUCAR PET 1.5LX2"/>
    <n v="4320"/>
    <n v="198"/>
    <n v="734.40000000000009"/>
  </r>
  <r>
    <x v="233"/>
    <s v="FEBRERO"/>
    <n v="8"/>
    <s v="LUNES"/>
    <x v="2"/>
    <s v="INCA KOLA SIN AZUCAR PET 1.5LX2"/>
    <n v="5400"/>
    <n v="198"/>
    <n v="918.00000000000011"/>
  </r>
  <r>
    <x v="233"/>
    <s v="FEBRERO"/>
    <n v="8"/>
    <s v="LUNES"/>
    <x v="22"/>
    <s v="TWO PACK SCHWEPPES CITRUS PET 1.5LX2"/>
    <n v="1980"/>
    <n v="198"/>
    <n v="336.6"/>
  </r>
  <r>
    <x v="233"/>
    <s v="FEBRERO"/>
    <n v="8"/>
    <s v="LUNES"/>
    <x v="3"/>
    <s v="TWO PACK SCHWEPPES GINGER ALE PET 1.5LX2"/>
    <n v="1980"/>
    <n v="198"/>
    <n v="336.6"/>
  </r>
  <r>
    <x v="233"/>
    <s v="FEBRERO"/>
    <n v="8"/>
    <s v="LUNES"/>
    <x v="6"/>
    <s v="INCA KOLA PET 3LX2 - RF"/>
    <n v="3600"/>
    <n v="120"/>
    <n v="612"/>
  </r>
  <r>
    <x v="233"/>
    <s v="FEBRERO"/>
    <n v="8"/>
    <s v="LUNES"/>
    <x v="7"/>
    <s v="COCA-COLA PET 1.5LX2 RF"/>
    <n v="3240"/>
    <n v="198"/>
    <n v="550.80000000000007"/>
  </r>
  <r>
    <x v="233"/>
    <s v="FEBRERO"/>
    <n v="8"/>
    <s v="LUNES"/>
    <x v="9"/>
    <s v="TRIPACK FT NAR+FT KI+SP PET 3L"/>
    <n v="900"/>
    <n v="90"/>
    <n v="153"/>
  </r>
  <r>
    <x v="233"/>
    <s v="FEBRERO"/>
    <n v="8"/>
    <s v="LUNES"/>
    <x v="10"/>
    <s v="TWO PACK CC + IK PFM 3LX2 - RFNN"/>
    <n v="12000"/>
    <n v="120"/>
    <n v="2040.0000000000002"/>
  </r>
  <r>
    <x v="233"/>
    <s v="FEBRERO"/>
    <n v="8"/>
    <s v="LUNES"/>
    <x v="26"/>
    <s v="TRIPACK CC+CC+IK PFM 3LX3 - RFNN"/>
    <n v="900"/>
    <n v="90"/>
    <n v="153"/>
  </r>
  <r>
    <x v="233"/>
    <s v="FEBRERO"/>
    <n v="8"/>
    <s v="LUNES"/>
    <x v="11"/>
    <s v="TRIPACK (CC+IK)PFM+FT PET 3LX3 - RFNN"/>
    <n v="1800"/>
    <n v="90"/>
    <n v="306"/>
  </r>
  <r>
    <x v="233"/>
    <s v="FEBRERO"/>
    <n v="8"/>
    <s v="LUNES"/>
    <x v="20"/>
    <s v="TRIPACK (FT NAR+SP)PET+IK RF PFM 3L"/>
    <n v="720"/>
    <n v="90"/>
    <n v="122.4"/>
  </r>
  <r>
    <x v="233"/>
    <s v="FEBRERO"/>
    <n v="8"/>
    <s v="LUNES"/>
    <x v="25"/>
    <s v="POWERADE 3MORA+3FRUT PET 473MLX6"/>
    <n v="1350"/>
    <n v="225"/>
    <n v="567"/>
  </r>
  <r>
    <x v="233"/>
    <s v="FEBRERO"/>
    <n v="8"/>
    <s v="LUNES"/>
    <x v="12"/>
    <s v="POWERADE ION4 FRUTA PET473X6 MOD (STICK)"/>
    <n v="1125"/>
    <n v="225"/>
    <n v="450"/>
  </r>
  <r>
    <x v="233"/>
    <s v="FEBRERO"/>
    <n v="8"/>
    <s v="LUNES"/>
    <x v="43"/>
    <s v="SPRITE PET 500MLX6 BRANDEADO MOD"/>
    <n v="500"/>
    <n v="420"/>
    <n v="210"/>
  </r>
  <r>
    <x v="233"/>
    <s v="FEBRERO"/>
    <n v="8"/>
    <s v="LUNES"/>
    <x v="64"/>
    <s v="PACK-2 FT NAR+FT KI+FT PIÑA+SP RP 1.5LX8"/>
    <n v="330"/>
    <n v="30"/>
    <n v="69.3"/>
  </r>
  <r>
    <x v="234"/>
    <s v="FEBRERO"/>
    <n v="8"/>
    <s v="MARTES"/>
    <x v="22"/>
    <s v="TWO PACK SCHWEPPES CITRUS PET 1.5LX2"/>
    <n v="990"/>
    <n v="198"/>
    <n v="168.3"/>
  </r>
  <r>
    <x v="234"/>
    <s v="FEBRERO"/>
    <n v="8"/>
    <s v="MARTES"/>
    <x v="3"/>
    <s v="TWO PACK SCHWEPPES GINGER ALE PET 1.5LX2"/>
    <n v="990"/>
    <n v="198"/>
    <n v="168.3"/>
  </r>
  <r>
    <x v="234"/>
    <s v="FEBRERO"/>
    <n v="8"/>
    <s v="MARTES"/>
    <x v="7"/>
    <s v="COCA-COLA PET 1.5LX2 RF"/>
    <n v="3456"/>
    <n v="198"/>
    <n v="587.5200000000001"/>
  </r>
  <r>
    <x v="234"/>
    <s v="FEBRERO"/>
    <n v="8"/>
    <s v="MARTES"/>
    <x v="23"/>
    <s v="TRIPACK CC+IK+IK PFM 3LX3 - RFNN"/>
    <n v="900"/>
    <n v="90"/>
    <n v="153"/>
  </r>
  <r>
    <x v="234"/>
    <s v="FEBRERO"/>
    <n v="8"/>
    <s v="MARTES"/>
    <x v="25"/>
    <s v="POWERADE 3MORA+3FRUT PET 473MLX6"/>
    <n v="4050"/>
    <n v="225"/>
    <n v="1701"/>
  </r>
  <r>
    <x v="234"/>
    <s v="FEBRERO"/>
    <n v="8"/>
    <s v="MARTES"/>
    <x v="15"/>
    <s v="INCA KOLA VR 625MLX12 - STICKER"/>
    <n v="250"/>
    <n v="50"/>
    <n v="100"/>
  </r>
  <r>
    <x v="234"/>
    <s v="FEBRERO"/>
    <n v="8"/>
    <s v="MARTES"/>
    <x v="36"/>
    <s v="SAN LUIS SIN GAS PET 625MLX15 C/STICKER"/>
    <n v="900"/>
    <n v="90"/>
    <n v="360"/>
  </r>
  <r>
    <x v="234"/>
    <s v="FEBRERO"/>
    <n v="8"/>
    <s v="MARTES"/>
    <x v="0"/>
    <s v="SAN LUIS SIN GAS PET2500X6 STICKER"/>
    <n v="1440"/>
    <n v="48"/>
    <n v="576"/>
  </r>
  <r>
    <x v="234"/>
    <s v="FEBRERO"/>
    <n v="8"/>
    <s v="MARTES"/>
    <x v="1"/>
    <s v="COCA-COLA SIN AZUCAR PET 1.5LX2"/>
    <n v="1728"/>
    <n v="198"/>
    <n v="293.76000000000005"/>
  </r>
  <r>
    <x v="234"/>
    <s v="FEBRERO"/>
    <n v="8"/>
    <s v="MARTES"/>
    <x v="4"/>
    <s v="COCA-COLA PET 2.25LX2 RF"/>
    <n v="648"/>
    <n v="162"/>
    <n v="110.16000000000001"/>
  </r>
  <r>
    <x v="234"/>
    <s v="FEBRERO"/>
    <n v="8"/>
    <s v="MARTES"/>
    <x v="6"/>
    <s v="INCA KOLA PET 3LX2 - RF"/>
    <n v="10800"/>
    <n v="120"/>
    <n v="1836.0000000000002"/>
  </r>
  <r>
    <x v="234"/>
    <s v="FEBRERO"/>
    <n v="8"/>
    <s v="MARTES"/>
    <x v="17"/>
    <s v="TWO PACK CC PFM 3LX2 - RFCC"/>
    <n v="4800"/>
    <n v="120"/>
    <n v="816.00000000000011"/>
  </r>
  <r>
    <x v="234"/>
    <s v="FEBRERO"/>
    <n v="8"/>
    <s v="MARTES"/>
    <x v="10"/>
    <s v="TWO PACK CC + IK PFM 3LX2 - RFNN"/>
    <n v="9600"/>
    <n v="120"/>
    <n v="1632.0000000000002"/>
  </r>
  <r>
    <x v="234"/>
    <s v="FEBRERO"/>
    <n v="8"/>
    <s v="MARTES"/>
    <x v="23"/>
    <s v="TRIPACK CC+IK+IK PFM 3LX3 - RFNN"/>
    <n v="2160"/>
    <n v="90"/>
    <n v="367.20000000000005"/>
  </r>
  <r>
    <x v="234"/>
    <s v="FEBRERO"/>
    <n v="8"/>
    <s v="MARTES"/>
    <x v="11"/>
    <s v="TRIPACK (CC+IK)PFM+FT PET 3LX3 - RFNN"/>
    <n v="2880"/>
    <n v="90"/>
    <n v="489.6"/>
  </r>
  <r>
    <x v="234"/>
    <s v="FEBRERO"/>
    <n v="8"/>
    <s v="MARTES"/>
    <x v="20"/>
    <s v="TRIPACK (FT NAR+SP)PET+IK RF PFM 3L"/>
    <n v="180"/>
    <n v="90"/>
    <n v="30.6"/>
  </r>
  <r>
    <x v="234"/>
    <s v="FEBRERO"/>
    <n v="8"/>
    <s v="MARTES"/>
    <x v="12"/>
    <s v="POWERADE ION4 FRUTA PET473X6 MOD (STICK)"/>
    <n v="450"/>
    <n v="225"/>
    <n v="180"/>
  </r>
  <r>
    <x v="234"/>
    <s v="FEBRERO"/>
    <n v="8"/>
    <s v="MARTES"/>
    <x v="19"/>
    <s v="POWERADE ION4 MORA AZ PET473X6 MOD(STCK)"/>
    <n v="225"/>
    <n v="225"/>
    <n v="90"/>
  </r>
  <r>
    <x v="234"/>
    <s v="FEBRERO"/>
    <n v="8"/>
    <s v="MARTES"/>
    <x v="43"/>
    <s v="SPRITE PET 500MLX6 BRANDEADO MOD"/>
    <n v="250"/>
    <n v="420"/>
    <n v="105"/>
  </r>
  <r>
    <x v="235"/>
    <s v="FEBRERO"/>
    <n v="8"/>
    <s v="MIÉRCOLES"/>
    <x v="43"/>
    <s v="SPRITE PET 500MLX6 BRANDEADO MOD"/>
    <n v="750"/>
    <n v="420"/>
    <n v="315"/>
  </r>
  <r>
    <x v="235"/>
    <s v="FEBRERO"/>
    <n v="8"/>
    <s v="MIÉRCOLES"/>
    <x v="33"/>
    <s v="COCA COLA VR 296MLX24 - STICKER"/>
    <n v="160"/>
    <n v="40"/>
    <n v="36.800000000000004"/>
  </r>
  <r>
    <x v="235"/>
    <s v="FEBRERO"/>
    <n v="8"/>
    <s v="MIÉRCOLES"/>
    <x v="13"/>
    <s v="INCA KOLA VR 1.5LX8 - STICKER"/>
    <n v="300"/>
    <n v="30"/>
    <n v="120"/>
  </r>
  <r>
    <x v="235"/>
    <s v="FEBRERO"/>
    <n v="8"/>
    <s v="MIÉRCOLES"/>
    <x v="14"/>
    <s v="INCA KOLA VR 296MLX24 - STICKER"/>
    <n v="120"/>
    <n v="40"/>
    <n v="27.6"/>
  </r>
  <r>
    <x v="235"/>
    <s v="FEBRERO"/>
    <n v="8"/>
    <s v="MIÉRCOLES"/>
    <x v="40"/>
    <s v="SAN LUIS SPORT S/G 10 Lt x6 "/>
    <n v="224"/>
    <n v="240"/>
    <n v="89.600000000000009"/>
  </r>
  <r>
    <x v="235"/>
    <s v="FEBRERO"/>
    <n v="8"/>
    <s v="MIÉRCOLES"/>
    <x v="24"/>
    <s v="MONSTER ENERGY 473MLX4"/>
    <n v="2940"/>
    <n v="420"/>
    <n v="1234.8"/>
  </r>
  <r>
    <x v="235"/>
    <s v="FEBRERO"/>
    <n v="8"/>
    <s v="MIÉRCOLES"/>
    <x v="16"/>
    <s v="SAN LUIS CON GAS PET 625MLX6"/>
    <n v="900"/>
    <n v="180"/>
    <n v="378"/>
  </r>
  <r>
    <x v="235"/>
    <s v="FEBRERO"/>
    <n v="8"/>
    <s v="MIÉRCOLES"/>
    <x v="2"/>
    <s v="INCA KOLA SIN AZUCAR PET 1.5LX2"/>
    <n v="2160"/>
    <n v="198"/>
    <n v="367.20000000000005"/>
  </r>
  <r>
    <x v="235"/>
    <s v="FEBRERO"/>
    <n v="8"/>
    <s v="MIÉRCOLES"/>
    <x v="5"/>
    <s v="INCA KOLA PET 2.25LX2 RF"/>
    <n v="324"/>
    <n v="162"/>
    <n v="55.080000000000005"/>
  </r>
  <r>
    <x v="235"/>
    <s v="FEBRERO"/>
    <n v="8"/>
    <s v="MIÉRCOLES"/>
    <x v="17"/>
    <s v="TWO PACK CC PFM 3LX2 - RFCC"/>
    <n v="1800"/>
    <n v="120"/>
    <n v="306"/>
  </r>
  <r>
    <x v="235"/>
    <s v="FEBRERO"/>
    <n v="8"/>
    <s v="MIÉRCOLES"/>
    <x v="8"/>
    <s v="INCA KOLA PET 1.5LX2 RF"/>
    <n v="2160"/>
    <n v="198"/>
    <n v="367.20000000000005"/>
  </r>
  <r>
    <x v="235"/>
    <s v="FEBRERO"/>
    <n v="8"/>
    <s v="MIÉRCOLES"/>
    <x v="9"/>
    <s v="TRIPACK FT NAR+FT KI+SP PET 3L"/>
    <n v="450"/>
    <n v="90"/>
    <n v="76.5"/>
  </r>
  <r>
    <x v="235"/>
    <s v="FEBRERO"/>
    <n v="8"/>
    <s v="MIÉRCOLES"/>
    <x v="10"/>
    <s v="TWO PACK CC + IK PFM 3LX2 - RFNN"/>
    <n v="12000"/>
    <n v="120"/>
    <n v="2040.0000000000002"/>
  </r>
  <r>
    <x v="235"/>
    <s v="FEBRERO"/>
    <n v="8"/>
    <s v="MIÉRCOLES"/>
    <x v="26"/>
    <s v="TRIPACK CC+CC+IK PFM 3LX3 - RFNN"/>
    <n v="900"/>
    <n v="90"/>
    <n v="153"/>
  </r>
  <r>
    <x v="235"/>
    <s v="FEBRERO"/>
    <n v="8"/>
    <s v="MIÉRCOLES"/>
    <x v="11"/>
    <s v="TRIPACK (CC+IK)PFM+FT PET 3LX3 - RFNN"/>
    <n v="3600"/>
    <n v="90"/>
    <n v="612"/>
  </r>
  <r>
    <x v="235"/>
    <s v="FEBRERO"/>
    <n v="8"/>
    <s v="MIÉRCOLES"/>
    <x v="42"/>
    <s v="FANTA NARANJA PET 500MLX6 BRANDEADO MOD"/>
    <n v="500"/>
    <n v="420"/>
    <n v="210"/>
  </r>
  <r>
    <x v="236"/>
    <s v="FEBRERO"/>
    <n v="8"/>
    <s v="JUEVES"/>
    <x v="28"/>
    <s v="COCA COLA VR 1.5LX8 - STICKER"/>
    <n v="210"/>
    <n v="30"/>
    <n v="48.300000000000004"/>
  </r>
  <r>
    <x v="236"/>
    <s v="FEBRERO"/>
    <n v="8"/>
    <s v="JUEVES"/>
    <x v="13"/>
    <s v="INCA KOLA VR 1.5LX8 - STICKER"/>
    <n v="60"/>
    <n v="30"/>
    <n v="24"/>
  </r>
  <r>
    <x v="236"/>
    <s v="FEBRERO"/>
    <n v="8"/>
    <s v="JUEVES"/>
    <x v="15"/>
    <s v="INCA KOLA VR 625MLX12 - STICKER"/>
    <n v="450"/>
    <n v="50"/>
    <n v="180"/>
  </r>
  <r>
    <x v="236"/>
    <s v="FEBRERO"/>
    <n v="8"/>
    <s v="JUEVES"/>
    <x v="24"/>
    <s v="MONSTER ENERGY 473MLX4"/>
    <n v="840"/>
    <n v="420"/>
    <n v="352.8"/>
  </r>
  <r>
    <x v="236"/>
    <s v="FEBRERO"/>
    <n v="8"/>
    <s v="JUEVES"/>
    <x v="2"/>
    <s v="INCA KOLA SIN AZUCAR PET 1.5LX2"/>
    <n v="1296"/>
    <n v="198"/>
    <n v="220.32000000000002"/>
  </r>
  <r>
    <x v="236"/>
    <s v="FEBRERO"/>
    <n v="8"/>
    <s v="JUEVES"/>
    <x v="6"/>
    <s v="INCA KOLA PET 3LX2 - RF"/>
    <n v="3600"/>
    <n v="120"/>
    <n v="612"/>
  </r>
  <r>
    <x v="236"/>
    <s v="FEBRERO"/>
    <n v="8"/>
    <s v="JUEVES"/>
    <x v="17"/>
    <s v="TWO PACK CC PFM 3LX2 - RFCC"/>
    <n v="2400"/>
    <n v="120"/>
    <n v="408.00000000000006"/>
  </r>
  <r>
    <x v="236"/>
    <s v="FEBRERO"/>
    <n v="8"/>
    <s v="JUEVES"/>
    <x v="9"/>
    <s v="TRIPACK FT NAR+FT KI+SP PET 3L"/>
    <n v="720"/>
    <n v="90"/>
    <n v="122.4"/>
  </r>
  <r>
    <x v="236"/>
    <s v="FEBRERO"/>
    <n v="8"/>
    <s v="JUEVES"/>
    <x v="10"/>
    <s v="TWO PACK CC + IK PFM 3LX2 - RFNN"/>
    <n v="12000"/>
    <n v="120"/>
    <n v="2040.0000000000002"/>
  </r>
  <r>
    <x v="236"/>
    <s v="FEBRERO"/>
    <n v="8"/>
    <s v="JUEVES"/>
    <x v="79"/>
    <s v="PW 2MOR + 6FRU 473ML X 8 PUC"/>
    <n v="1925"/>
    <n v="175"/>
    <n v="1694"/>
  </r>
  <r>
    <x v="236"/>
    <s v="FEBRERO"/>
    <n v="8"/>
    <s v="JUEVES"/>
    <x v="25"/>
    <s v="POWERADE 3MORA+3FRUT PET 473MLX6"/>
    <n v="1350"/>
    <n v="225"/>
    <n v="567"/>
  </r>
  <r>
    <x v="235"/>
    <s v="FEBRERO"/>
    <n v="8"/>
    <s v="MIÉRCOLES"/>
    <x v="0"/>
    <s v="SAN LUIS SIN GAS PET2500X6 STICKER"/>
    <n v="1440"/>
    <n v="48"/>
    <n v="576"/>
  </r>
  <r>
    <x v="235"/>
    <s v="FEBRERO"/>
    <n v="8"/>
    <s v="MIÉRCOLES"/>
    <x v="24"/>
    <s v="MONSTER ENERGY 473MLX4"/>
    <n v="1260"/>
    <n v="420"/>
    <n v="529.19999999999993"/>
  </r>
  <r>
    <x v="235"/>
    <s v="FEBRERO"/>
    <n v="8"/>
    <s v="MIÉRCOLES"/>
    <x v="32"/>
    <s v="MONSTER ENERGY ULTRA 473MLX4"/>
    <n v="840"/>
    <n v="420"/>
    <n v="352.8"/>
  </r>
  <r>
    <x v="235"/>
    <s v="FEBRERO"/>
    <n v="8"/>
    <s v="MIÉRCOLES"/>
    <x v="2"/>
    <s v="INCA KOLA SIN AZUCAR PET 1.5LX2"/>
    <n v="864"/>
    <n v="198"/>
    <n v="146.88000000000002"/>
  </r>
  <r>
    <x v="235"/>
    <s v="FEBRERO"/>
    <n v="8"/>
    <s v="MIÉRCOLES"/>
    <x v="6"/>
    <s v="INCA KOLA PET 3LX2 - RF"/>
    <n v="2400"/>
    <n v="120"/>
    <n v="408.00000000000006"/>
  </r>
  <r>
    <x v="235"/>
    <s v="FEBRERO"/>
    <n v="8"/>
    <s v="MIÉRCOLES"/>
    <x v="26"/>
    <s v="TRIPACK CC+CC+IK PFM 3LX3 - RFNN"/>
    <n v="450"/>
    <n v="90"/>
    <n v="76.5"/>
  </r>
  <r>
    <x v="235"/>
    <s v="FEBRERO"/>
    <n v="8"/>
    <s v="MIÉRCOLES"/>
    <x v="20"/>
    <s v="TRIPACK (FT NAR+SP)PET+IK RF PFM 3L"/>
    <n v="450"/>
    <n v="90"/>
    <n v="76.5"/>
  </r>
  <r>
    <x v="235"/>
    <s v="FEBRERO"/>
    <n v="8"/>
    <s v="MIÉRCOLES"/>
    <x v="25"/>
    <s v="POWERADE 3MORA+3FRUT PET 473MLX6"/>
    <n v="675"/>
    <n v="225"/>
    <n v="283.5"/>
  </r>
  <r>
    <x v="235"/>
    <s v="FEBRERO"/>
    <n v="8"/>
    <s v="MIÉRCOLES"/>
    <x v="42"/>
    <s v="FANTA NARANJA PET 500MLX6 BRANDEADO MOD"/>
    <n v="500"/>
    <n v="420"/>
    <n v="210"/>
  </r>
  <r>
    <x v="235"/>
    <s v="FEBRERO"/>
    <n v="8"/>
    <s v="MIÉRCOLES"/>
    <x v="43"/>
    <s v="SPRITE PET 500MLX6 BRANDEADO MOD"/>
    <n v="250"/>
    <n v="420"/>
    <n v="105"/>
  </r>
  <r>
    <x v="237"/>
    <s v="FEBRERO"/>
    <n v="8"/>
    <s v="VIERNES"/>
    <x v="13"/>
    <s v="INCA KOLA VR 1.5LX8 - STICKER"/>
    <n v="150"/>
    <n v="30"/>
    <n v="60"/>
  </r>
  <r>
    <x v="237"/>
    <s v="FEBRERO"/>
    <n v="8"/>
    <s v="VIERNES"/>
    <x v="14"/>
    <s v="INCA KOLA VR 296MLX24 - STICKER"/>
    <n v="80"/>
    <n v="40"/>
    <n v="18.400000000000002"/>
  </r>
  <r>
    <x v="237"/>
    <s v="FEBRERO"/>
    <n v="8"/>
    <s v="VIERNES"/>
    <x v="15"/>
    <s v="INCA KOLA VR 625MLX12 - STICKER"/>
    <n v="350"/>
    <n v="50"/>
    <n v="140"/>
  </r>
  <r>
    <x v="237"/>
    <s v="FEBRERO"/>
    <n v="8"/>
    <s v="VIERNES"/>
    <x v="22"/>
    <s v="TWO PACK SCHWEPPES CITRUS PET 1.5LX2"/>
    <n v="1386"/>
    <n v="198"/>
    <n v="235.62"/>
  </r>
  <r>
    <x v="237"/>
    <s v="FEBRERO"/>
    <n v="8"/>
    <s v="VIERNES"/>
    <x v="3"/>
    <s v="TWO PACK SCHWEPPES GINGER ALE PET 1.5LX2"/>
    <n v="396"/>
    <n v="198"/>
    <n v="67.320000000000007"/>
  </r>
  <r>
    <x v="237"/>
    <s v="FEBRERO"/>
    <n v="8"/>
    <s v="VIERNES"/>
    <x v="7"/>
    <s v="COCA-COLA PET 1.5LX2 RF"/>
    <n v="2376"/>
    <n v="198"/>
    <n v="403.92"/>
  </r>
  <r>
    <x v="237"/>
    <s v="FEBRERO"/>
    <n v="8"/>
    <s v="VIERNES"/>
    <x v="8"/>
    <s v="INCA KOLA PET 1.5LX2 RF"/>
    <n v="1944"/>
    <n v="198"/>
    <n v="330.48"/>
  </r>
  <r>
    <x v="237"/>
    <s v="FEBRERO"/>
    <n v="8"/>
    <s v="VIERNES"/>
    <x v="9"/>
    <s v="TRIPACK FT NAR+FT KI+SP PET 3L"/>
    <n v="360"/>
    <n v="90"/>
    <n v="61.2"/>
  </r>
  <r>
    <x v="237"/>
    <s v="FEBRERO"/>
    <n v="8"/>
    <s v="VIERNES"/>
    <x v="10"/>
    <s v="TWO PACK CC + IK PFM 3LX2 - RFNN"/>
    <n v="12000"/>
    <n v="120"/>
    <n v="2040.0000000000002"/>
  </r>
  <r>
    <x v="237"/>
    <s v="FEBRERO"/>
    <n v="8"/>
    <s v="VIERNES"/>
    <x v="26"/>
    <s v="TRIPACK CC+CC+IK PFM 3LX3 - RFNN"/>
    <n v="450"/>
    <n v="90"/>
    <n v="76.5"/>
  </r>
  <r>
    <x v="237"/>
    <s v="FEBRERO"/>
    <n v="8"/>
    <s v="VIERNES"/>
    <x v="11"/>
    <s v="TRIPACK (CC+IK)PFM+FT PET 3LX3 - RFNN"/>
    <n v="1800"/>
    <n v="90"/>
    <n v="306"/>
  </r>
  <r>
    <x v="237"/>
    <s v="FEBRERO"/>
    <n v="8"/>
    <s v="VIERNES"/>
    <x v="25"/>
    <s v="POWERADE 3MORA+3FRUT PET 473MLX6"/>
    <n v="2025"/>
    <n v="225"/>
    <n v="850.5"/>
  </r>
  <r>
    <x v="237"/>
    <s v="FEBRERO"/>
    <n v="8"/>
    <s v="VIERNES"/>
    <x v="12"/>
    <s v="POWERADE ION4 FRUTA PET473X6 MOD (STICK)"/>
    <n v="225"/>
    <n v="225"/>
    <n v="90"/>
  </r>
  <r>
    <x v="237"/>
    <s v="FEBRERO"/>
    <n v="8"/>
    <s v="VIERNES"/>
    <x v="79"/>
    <s v="PW 2MOR + 6FRU 473ML X 8 PUC"/>
    <n v="1750"/>
    <n v="175"/>
    <n v="1540"/>
  </r>
  <r>
    <x v="236"/>
    <s v="FEBRERO"/>
    <n v="8"/>
    <s v="JUEVES"/>
    <x v="16"/>
    <s v="SAN LUIS CON GAS PET 625MLX6"/>
    <n v="900"/>
    <n v="180"/>
    <n v="378"/>
  </r>
  <r>
    <x v="236"/>
    <s v="FEBRERO"/>
    <n v="8"/>
    <s v="JUEVES"/>
    <x v="3"/>
    <s v="TWO PACK SCHWEPPES GINGER ALE PET 1.5LX2"/>
    <n v="1386"/>
    <n v="198"/>
    <n v="235.62"/>
  </r>
  <r>
    <x v="236"/>
    <s v="FEBRERO"/>
    <n v="8"/>
    <s v="JUEVES"/>
    <x v="4"/>
    <s v="COCA-COLA PET 2.25LX2 RF"/>
    <n v="648"/>
    <n v="162"/>
    <n v="110.16000000000001"/>
  </r>
  <r>
    <x v="236"/>
    <s v="FEBRERO"/>
    <n v="8"/>
    <s v="JUEVES"/>
    <x v="5"/>
    <s v="INCA KOLA PET 2.25LX2 RF"/>
    <n v="486"/>
    <n v="162"/>
    <n v="82.62"/>
  </r>
  <r>
    <x v="236"/>
    <s v="FEBRERO"/>
    <n v="8"/>
    <s v="JUEVES"/>
    <x v="6"/>
    <s v="INCA KOLA PET 3LX2 - RF"/>
    <n v="2400"/>
    <n v="120"/>
    <n v="408.00000000000006"/>
  </r>
  <r>
    <x v="236"/>
    <s v="FEBRERO"/>
    <n v="8"/>
    <s v="JUEVES"/>
    <x v="7"/>
    <s v="COCA-COLA PET 1.5LX2 RF"/>
    <n v="864"/>
    <n v="198"/>
    <n v="146.88000000000002"/>
  </r>
  <r>
    <x v="236"/>
    <s v="FEBRERO"/>
    <n v="8"/>
    <s v="JUEVES"/>
    <x v="9"/>
    <s v="TRIPACK FT NAR+FT KI+SP PET 3L"/>
    <n v="540"/>
    <n v="90"/>
    <n v="91.800000000000011"/>
  </r>
  <r>
    <x v="236"/>
    <s v="FEBRERO"/>
    <n v="8"/>
    <s v="JUEVES"/>
    <x v="7"/>
    <s v="COCA-COLA PET 1.5LX2 RF"/>
    <n v="900"/>
    <n v="198"/>
    <n v="153"/>
  </r>
  <r>
    <x v="236"/>
    <s v="FEBRERO"/>
    <n v="8"/>
    <s v="JUEVES"/>
    <x v="25"/>
    <s v="POWERADE 3MORA+3FRUT PET 473MLX6"/>
    <n v="1575"/>
    <n v="225"/>
    <n v="661.5"/>
  </r>
  <r>
    <x v="236"/>
    <s v="FEBRERO"/>
    <n v="8"/>
    <s v="JUEVES"/>
    <x v="12"/>
    <s v="POWERADE ION4 FRUTA PET473X6 MOD (STICK)"/>
    <n v="1350"/>
    <n v="225"/>
    <n v="540"/>
  </r>
  <r>
    <x v="236"/>
    <s v="FEBRERO"/>
    <n v="8"/>
    <s v="JUEVES"/>
    <x v="42"/>
    <s v="FANTA NARANJA PET 500MLX6 BRANDEADO MOD"/>
    <n v="500"/>
    <n v="420"/>
    <n v="210"/>
  </r>
  <r>
    <x v="237"/>
    <s v="FEBRERO"/>
    <n v="8"/>
    <s v="VIERNES"/>
    <x v="0"/>
    <s v="SAN LUIS SIN GAS PET2500X6 STICKER"/>
    <n v="960"/>
    <n v="48"/>
    <n v="384"/>
  </r>
  <r>
    <x v="237"/>
    <s v="FEBRERO"/>
    <n v="8"/>
    <s v="VIERNES"/>
    <x v="1"/>
    <s v="COCA-COLA SIN AZUCAR PET 1.5LX2"/>
    <n v="3240"/>
    <n v="198"/>
    <n v="550.80000000000007"/>
  </r>
  <r>
    <x v="237"/>
    <s v="FEBRERO"/>
    <n v="8"/>
    <s v="VIERNES"/>
    <x v="2"/>
    <s v="INCA KOLA SIN AZUCAR PET 1.5LX2"/>
    <n v="432"/>
    <n v="198"/>
    <n v="73.440000000000012"/>
  </r>
  <r>
    <x v="237"/>
    <s v="FEBRERO"/>
    <n v="8"/>
    <s v="VIERNES"/>
    <x v="10"/>
    <s v="TWO PACK CC + IK PFM 3LX2 - RFNN"/>
    <n v="720"/>
    <n v="120"/>
    <n v="122.4"/>
  </r>
  <r>
    <x v="237"/>
    <s v="FEBRERO"/>
    <n v="8"/>
    <s v="VIERNES"/>
    <x v="23"/>
    <s v="TRIPACK CC+IK+IK PFM 3LX3 - RFNN"/>
    <n v="2160"/>
    <n v="90"/>
    <n v="367.20000000000005"/>
  </r>
  <r>
    <x v="238"/>
    <s v="FEBRERO"/>
    <n v="9"/>
    <s v="SÁBADO"/>
    <x v="13"/>
    <s v="INCA KOLA VR 1.5LX8 - STICKER"/>
    <n v="150"/>
    <n v="30"/>
    <n v="60"/>
  </r>
  <r>
    <x v="238"/>
    <s v="FEBRERO"/>
    <n v="9"/>
    <s v="SÁBADO"/>
    <x v="15"/>
    <s v="INCA KOLA VR 625MLX12 - STICKER"/>
    <n v="200"/>
    <n v="50"/>
    <n v="80"/>
  </r>
  <r>
    <x v="238"/>
    <s v="FEBRERO"/>
    <n v="9"/>
    <s v="SÁBADO"/>
    <x v="40"/>
    <s v="SAN LUIS SPORT S/G 10 Lt x6 "/>
    <n v="112"/>
    <n v="240"/>
    <n v="44.800000000000004"/>
  </r>
  <r>
    <x v="238"/>
    <s v="FEBRERO"/>
    <n v="9"/>
    <s v="SÁBADO"/>
    <x v="38"/>
    <s v="SL S/G TAPA PLANA 1LT"/>
    <n v="448"/>
    <n v="112"/>
    <n v="179.20000000000002"/>
  </r>
  <r>
    <x v="238"/>
    <s v="FEBRERO"/>
    <n v="9"/>
    <s v="SÁBADO"/>
    <x v="24"/>
    <s v="MONSTER ENERGY 473MLX4"/>
    <n v="2940"/>
    <n v="420"/>
    <n v="1234.8"/>
  </r>
  <r>
    <x v="238"/>
    <s v="FEBRERO"/>
    <n v="9"/>
    <s v="SÁBADO"/>
    <x v="2"/>
    <s v="INCA KOLA SIN AZUCAR PET 1.5LX2"/>
    <n v="1728"/>
    <n v="198"/>
    <n v="293.76000000000005"/>
  </r>
  <r>
    <x v="238"/>
    <s v="FEBRERO"/>
    <n v="9"/>
    <s v="SÁBADO"/>
    <x v="17"/>
    <s v="TWO PACK CC PFM 3LX2 - RFCC"/>
    <n v="2400"/>
    <n v="120"/>
    <n v="408.00000000000006"/>
  </r>
  <r>
    <x v="238"/>
    <s v="FEBRERO"/>
    <n v="9"/>
    <s v="SÁBADO"/>
    <x v="7"/>
    <s v="COCA-COLA PET 1.5LX2 RF"/>
    <n v="1080"/>
    <n v="198"/>
    <n v="183.60000000000002"/>
  </r>
  <r>
    <x v="238"/>
    <s v="FEBRERO"/>
    <n v="9"/>
    <s v="SÁBADO"/>
    <x v="9"/>
    <s v="TRIPACK FT NAR+FT KI+SP PET 3L"/>
    <n v="450"/>
    <n v="90"/>
    <n v="76.5"/>
  </r>
  <r>
    <x v="238"/>
    <s v="FEBRERO"/>
    <n v="9"/>
    <s v="SÁBADO"/>
    <x v="10"/>
    <s v="TWO PACK CC + IK PFM 3LX2 - RFNN"/>
    <n v="5040"/>
    <n v="120"/>
    <n v="856.80000000000007"/>
  </r>
  <r>
    <x v="238"/>
    <s v="FEBRERO"/>
    <n v="9"/>
    <s v="SÁBADO"/>
    <x v="23"/>
    <s v="TRIPACK CC+IK+IK PFM 3LX3 - RFNN"/>
    <n v="720"/>
    <n v="90"/>
    <n v="122.4"/>
  </r>
  <r>
    <x v="238"/>
    <s v="FEBRERO"/>
    <n v="9"/>
    <s v="SÁBADO"/>
    <x v="26"/>
    <s v="TRIPACK CC+CC+IK PFM 3LX3 - RFNN"/>
    <n v="1440"/>
    <n v="90"/>
    <n v="244.8"/>
  </r>
  <r>
    <x v="238"/>
    <s v="FEBRERO"/>
    <n v="9"/>
    <s v="SÁBADO"/>
    <x v="20"/>
    <s v="TRIPACK (FT NAR+SP)PET+IK RF PFM 3L"/>
    <n v="450"/>
    <n v="90"/>
    <n v="76.5"/>
  </r>
  <r>
    <x v="238"/>
    <s v="FEBRERO"/>
    <n v="9"/>
    <s v="SÁBADO"/>
    <x v="25"/>
    <s v="POWERADE 3MORA+3FRUT PET 473MLX6"/>
    <n v="3600"/>
    <n v="225"/>
    <n v="1512"/>
  </r>
  <r>
    <x v="238"/>
    <s v="FEBRERO"/>
    <n v="9"/>
    <s v="SÁBADO"/>
    <x v="19"/>
    <s v="POWERADE ION4 MORA AZ PET473X6 MOD(STCK)"/>
    <n v="450"/>
    <n v="225"/>
    <n v="180"/>
  </r>
  <r>
    <x v="238"/>
    <s v="FEBRERO"/>
    <n v="9"/>
    <s v="SÁBADO"/>
    <x v="79"/>
    <s v="PW 2MOR + 6FRU 473ML X 8 PUC"/>
    <n v="1750"/>
    <n v="175"/>
    <n v="1540"/>
  </r>
  <r>
    <x v="239"/>
    <s v="FEBRERO"/>
    <n v="9"/>
    <s v="DOMINGO"/>
    <x v="38"/>
    <s v="SL S/G TAPA PLANA 1LT"/>
    <n v="448"/>
    <n v="112"/>
    <n v="179.20000000000002"/>
  </r>
  <r>
    <x v="239"/>
    <s v="FEBRERO"/>
    <n v="9"/>
    <s v="DOMINGO"/>
    <x v="5"/>
    <s v="INCA KOLA PET 2.25LX2 RF"/>
    <n v="648"/>
    <n v="162"/>
    <n v="110.16000000000001"/>
  </r>
  <r>
    <x v="239"/>
    <s v="FEBRERO"/>
    <n v="9"/>
    <s v="DOMINGO"/>
    <x v="6"/>
    <s v="INCA KOLA PET 3LX2 - RF"/>
    <n v="2400"/>
    <n v="120"/>
    <n v="408.00000000000006"/>
  </r>
  <r>
    <x v="239"/>
    <s v="FEBRERO"/>
    <n v="9"/>
    <s v="DOMINGO"/>
    <x v="9"/>
    <s v="TRIPACK FT NAR+FT KI+SP PET 3L"/>
    <n v="180"/>
    <n v="90"/>
    <n v="30.6"/>
  </r>
  <r>
    <x v="239"/>
    <s v="FEBRERO"/>
    <n v="9"/>
    <s v="DOMINGO"/>
    <x v="26"/>
    <s v="TRIPACK CC+CC+IK PFM 3LX3 - RFNN"/>
    <n v="720"/>
    <n v="90"/>
    <n v="122.4"/>
  </r>
  <r>
    <x v="239"/>
    <s v="FEBRERO"/>
    <n v="9"/>
    <s v="DOMINGO"/>
    <x v="23"/>
    <s v="TRIPACK CC+IK+IK PFM 3LX3 - RFNN"/>
    <n v="1890"/>
    <n v="90"/>
    <n v="321.3"/>
  </r>
  <r>
    <x v="239"/>
    <s v="FEBRERO"/>
    <n v="9"/>
    <s v="DOMINGO"/>
    <x v="20"/>
    <s v="TRIPACK (FT NAR+SP)PET+IK RF PFM 3L"/>
    <n v="180"/>
    <n v="90"/>
    <n v="30.6"/>
  </r>
  <r>
    <x v="239"/>
    <s v="FEBRERO"/>
    <n v="9"/>
    <s v="DOMINGO"/>
    <x v="19"/>
    <s v="POWERADE ION4 MORA AZ PET473X6 MOD(STCK)"/>
    <n v="450"/>
    <n v="225"/>
    <n v="180"/>
  </r>
  <r>
    <x v="239"/>
    <s v="FEBRERO"/>
    <n v="9"/>
    <s v="DOMINGO"/>
    <x v="42"/>
    <s v="FANTA NARANJA PET 500MLX6 BRANDEADO MOD"/>
    <n v="500"/>
    <n v="420"/>
    <n v="210"/>
  </r>
  <r>
    <x v="239"/>
    <s v="FEBRERO"/>
    <n v="9"/>
    <s v="DOMINGO"/>
    <x v="43"/>
    <s v="SPRITE PET 500MLX6 BRANDEADO MOD"/>
    <n v="1000"/>
    <n v="420"/>
    <n v="420"/>
  </r>
  <r>
    <x v="240"/>
    <s v="FEBRERO"/>
    <n v="9"/>
    <s v="LUNES"/>
    <x v="28"/>
    <s v="COCA COLA VR 1.5LX8 - STICKER"/>
    <n v="210"/>
    <n v="30"/>
    <n v="48.300000000000004"/>
  </r>
  <r>
    <x v="240"/>
    <s v="FEBRERO"/>
    <n v="9"/>
    <s v="LUNES"/>
    <x v="13"/>
    <s v="INCA KOLA VR 1.5LX8 - STICKER"/>
    <n v="210"/>
    <n v="30"/>
    <n v="84"/>
  </r>
  <r>
    <x v="240"/>
    <s v="FEBRERO"/>
    <n v="9"/>
    <s v="LUNES"/>
    <x v="40"/>
    <s v="SAN LUIS SPORT S/G 10 Lt x6 "/>
    <n v="224"/>
    <n v="240"/>
    <n v="89.600000000000009"/>
  </r>
  <r>
    <x v="240"/>
    <s v="FEBRERO"/>
    <n v="9"/>
    <s v="LUNES"/>
    <x v="38"/>
    <s v="SL S/G TAPA PLANA 1LT"/>
    <n v="112"/>
    <n v="112"/>
    <n v="44.800000000000004"/>
  </r>
  <r>
    <x v="240"/>
    <s v="FEBRERO"/>
    <n v="9"/>
    <s v="LUNES"/>
    <x v="16"/>
    <s v="SAN LUIS CON GAS PET 625MLX6"/>
    <n v="900"/>
    <n v="180"/>
    <n v="378"/>
  </r>
  <r>
    <x v="240"/>
    <s v="FEBRERO"/>
    <n v="9"/>
    <s v="LUNES"/>
    <x v="1"/>
    <s v="COCA-COLA SIN AZUCAR PET 1.5LX2"/>
    <n v="2160"/>
    <n v="198"/>
    <n v="367.20000000000005"/>
  </r>
  <r>
    <x v="240"/>
    <s v="FEBRERO"/>
    <n v="9"/>
    <s v="LUNES"/>
    <x v="4"/>
    <s v="COCA-COLA PET 2.25LX2 RF"/>
    <n v="1296"/>
    <n v="162"/>
    <n v="220.32000000000002"/>
  </r>
  <r>
    <x v="240"/>
    <s v="FEBRERO"/>
    <n v="9"/>
    <s v="LUNES"/>
    <x v="6"/>
    <s v="INCA KOLA PET 3LX2 - RF"/>
    <n v="1200"/>
    <n v="120"/>
    <n v="204.00000000000003"/>
  </r>
  <r>
    <x v="240"/>
    <s v="FEBRERO"/>
    <n v="9"/>
    <s v="LUNES"/>
    <x v="17"/>
    <s v="TWO PACK CC PFM 3LX2 - RFCC"/>
    <n v="1800"/>
    <n v="120"/>
    <n v="306"/>
  </r>
  <r>
    <x v="240"/>
    <s v="FEBRERO"/>
    <n v="9"/>
    <s v="LUNES"/>
    <x v="7"/>
    <s v="COCA-COLA PET 1.5LX2 RF"/>
    <n v="2160"/>
    <n v="198"/>
    <n v="367.20000000000005"/>
  </r>
  <r>
    <x v="240"/>
    <s v="FEBRERO"/>
    <n v="9"/>
    <s v="LUNES"/>
    <x v="8"/>
    <s v="INCA KOLA PET 1.5LX2 RF"/>
    <n v="2160"/>
    <n v="198"/>
    <n v="367.20000000000005"/>
  </r>
  <r>
    <x v="240"/>
    <s v="FEBRERO"/>
    <n v="9"/>
    <s v="LUNES"/>
    <x v="9"/>
    <s v="TRIPACK FT NAR+FT KI+SP PET 3L"/>
    <n v="540"/>
    <n v="90"/>
    <n v="91.800000000000011"/>
  </r>
  <r>
    <x v="240"/>
    <s v="FEBRERO"/>
    <n v="9"/>
    <s v="LUNES"/>
    <x v="10"/>
    <s v="TWO PACK CC + IK PFM 3LX2 - RFNN"/>
    <n v="12000"/>
    <n v="120"/>
    <n v="2040.0000000000002"/>
  </r>
  <r>
    <x v="240"/>
    <s v="FEBRERO"/>
    <n v="9"/>
    <s v="LUNES"/>
    <x v="11"/>
    <s v="TRIPACK (CC+IK)PFM+FT PET 3LX3 - RFNN"/>
    <n v="1440"/>
    <n v="90"/>
    <n v="244.8"/>
  </r>
  <r>
    <x v="240"/>
    <s v="FEBRERO"/>
    <n v="9"/>
    <s v="LUNES"/>
    <x v="79"/>
    <s v="PW 2MOR + 6FRU 473ML X 8 PUC"/>
    <n v="1750"/>
    <n v="175"/>
    <n v="1540"/>
  </r>
  <r>
    <x v="241"/>
    <s v="MARZO"/>
    <n v="9"/>
    <s v="MARTES"/>
    <x v="2"/>
    <s v="INCA KOLA SIN AZUCAR PET 1.5LX2"/>
    <n v="2160"/>
    <n v="198"/>
    <n v="367.20000000000005"/>
  </r>
  <r>
    <x v="241"/>
    <s v="MARZO"/>
    <n v="9"/>
    <s v="MARTES"/>
    <x v="34"/>
    <s v="TWO PACK CC PET 1.5LX2 - CRC"/>
    <n v="432"/>
    <n v="198"/>
    <n v="73.440000000000012"/>
  </r>
  <r>
    <x v="241"/>
    <s v="MARZO"/>
    <n v="9"/>
    <s v="MARTES"/>
    <x v="29"/>
    <s v="TWO PACK IK PET 1.5LX2 - CRCG"/>
    <n v="432"/>
    <n v="198"/>
    <n v="73.440000000000012"/>
  </r>
  <r>
    <x v="241"/>
    <s v="MARZO"/>
    <n v="9"/>
    <s v="MARTES"/>
    <x v="40"/>
    <s v="SAN LUIS SPORT S/G 10 Lt x6 "/>
    <n v="224"/>
    <n v="240"/>
    <n v="89.600000000000009"/>
  </r>
  <r>
    <x v="241"/>
    <s v="MARZO"/>
    <n v="9"/>
    <s v="MARTES"/>
    <x v="38"/>
    <s v="SL S/G TAPA PLANA 1LT"/>
    <n v="448"/>
    <n v="112"/>
    <n v="179.20000000000002"/>
  </r>
  <r>
    <x v="241"/>
    <s v="MARZO"/>
    <n v="9"/>
    <s v="MARTES"/>
    <x v="16"/>
    <s v="SAN LUIS CON GAS PET 625MLX6"/>
    <n v="540"/>
    <n v="180"/>
    <n v="226.79999999999998"/>
  </r>
  <r>
    <x v="241"/>
    <s v="MARZO"/>
    <n v="9"/>
    <s v="MARTES"/>
    <x v="1"/>
    <s v="COCA-COLA SIN AZUCAR PET 1.5LX2"/>
    <n v="2160"/>
    <n v="198"/>
    <n v="367.20000000000005"/>
  </r>
  <r>
    <x v="241"/>
    <s v="MARZO"/>
    <n v="9"/>
    <s v="MARTES"/>
    <x v="22"/>
    <s v="TWO PACK SCHWEPPES CITRUS PET 1.5LX2"/>
    <n v="792"/>
    <n v="198"/>
    <n v="134.64000000000001"/>
  </r>
  <r>
    <x v="241"/>
    <s v="MARZO"/>
    <n v="9"/>
    <s v="MARTES"/>
    <x v="3"/>
    <s v="TWO PACK SCHWEPPES GINGER ALE PET 1.5LX2"/>
    <n v="990"/>
    <n v="198"/>
    <n v="168.3"/>
  </r>
  <r>
    <x v="241"/>
    <s v="MARZO"/>
    <n v="9"/>
    <s v="MARTES"/>
    <x v="4"/>
    <s v="COCA-COLA PET 2.25LX2 RF"/>
    <n v="324"/>
    <n v="162"/>
    <n v="55.080000000000005"/>
  </r>
  <r>
    <x v="241"/>
    <s v="MARZO"/>
    <n v="9"/>
    <s v="MARTES"/>
    <x v="17"/>
    <s v="TWO PACK CC PFM 3LX2 - RFCC"/>
    <n v="1440"/>
    <n v="120"/>
    <n v="244.8"/>
  </r>
  <r>
    <x v="241"/>
    <s v="MARZO"/>
    <n v="9"/>
    <s v="MARTES"/>
    <x v="7"/>
    <s v="COCA-COLA PET 1.5LX2 RF"/>
    <n v="1080"/>
    <n v="198"/>
    <n v="183.60000000000002"/>
  </r>
  <r>
    <x v="241"/>
    <s v="MARZO"/>
    <n v="9"/>
    <s v="MARTES"/>
    <x v="8"/>
    <s v="INCA KOLA PET 1.5LX2 RF"/>
    <n v="864"/>
    <n v="198"/>
    <n v="146.88000000000002"/>
  </r>
  <r>
    <x v="241"/>
    <s v="MARZO"/>
    <n v="9"/>
    <s v="MARTES"/>
    <x v="43"/>
    <s v="SPRITE PET 500MLX6 BRANDEADO MOD"/>
    <n v="250"/>
    <n v="420"/>
    <n v="105"/>
  </r>
  <r>
    <x v="241"/>
    <s v="MARZO"/>
    <n v="9"/>
    <s v="MARTES"/>
    <x v="68"/>
    <s v="COCA COLA VNR 300ML X 6 PUC"/>
    <n v="1000"/>
    <n v="250"/>
    <n v="420"/>
  </r>
  <r>
    <x v="241"/>
    <s v="MARZO"/>
    <n v="9"/>
    <s v="MARTES"/>
    <x v="77"/>
    <s v="FRUGOS VAL-FRESH 4NAR+4FP+4MZ PET 500X12 PUC"/>
    <n v="125"/>
    <n v="125"/>
    <n v="88.75"/>
  </r>
  <r>
    <x v="241"/>
    <s v="MARZO"/>
    <n v="9"/>
    <s v="MARTES"/>
    <x v="4"/>
    <s v="COCA-COLA PET 2.25LX2 RF"/>
    <n v="324"/>
    <n v="162"/>
    <n v="55.080000000000005"/>
  </r>
  <r>
    <x v="241"/>
    <s v="MARZO"/>
    <n v="9"/>
    <s v="MARTES"/>
    <x v="8"/>
    <s v="INCA KOLA PET 1.5LX2 RF"/>
    <n v="1296"/>
    <n v="198"/>
    <n v="220.32000000000002"/>
  </r>
  <r>
    <x v="241"/>
    <s v="MARZO"/>
    <n v="9"/>
    <s v="MARTES"/>
    <x v="9"/>
    <s v="TRIPACK FT NAR+FT KI+SP PET 3L"/>
    <n v="450"/>
    <n v="90"/>
    <n v="76.5"/>
  </r>
  <r>
    <x v="241"/>
    <s v="MARZO"/>
    <n v="9"/>
    <s v="MARTES"/>
    <x v="10"/>
    <s v="TWO PACK CC + IK PFM 3LX2 - RFNN"/>
    <n v="3840"/>
    <n v="120"/>
    <n v="652.80000000000007"/>
  </r>
  <r>
    <x v="241"/>
    <s v="MARZO"/>
    <n v="9"/>
    <s v="MARTES"/>
    <x v="26"/>
    <s v="TRIPACK CC+CC+IK PFM 3LX3 - RFNN"/>
    <n v="720"/>
    <n v="90"/>
    <n v="122.4"/>
  </r>
  <r>
    <x v="241"/>
    <s v="MARZO"/>
    <n v="9"/>
    <s v="MARTES"/>
    <x v="11"/>
    <s v="TRIPACK (CC+IK)PFM+FT PET 3LX3 - RFNN"/>
    <n v="2880"/>
    <n v="90"/>
    <n v="489.6"/>
  </r>
  <r>
    <x v="241"/>
    <s v="MARZO"/>
    <n v="9"/>
    <s v="MARTES"/>
    <x v="20"/>
    <s v="TRIPACK (FT NAR+SP)PET+IK RF PFM 3L"/>
    <n v="450"/>
    <n v="90"/>
    <n v="76.5"/>
  </r>
  <r>
    <x v="241"/>
    <s v="MARZO"/>
    <n v="9"/>
    <s v="MARTES"/>
    <x v="64"/>
    <s v="PACK-2 FT NAR+FT KI+FT PIÑA+SP RP 1.5LX8"/>
    <n v="360"/>
    <n v="30"/>
    <n v="75.599999999999994"/>
  </r>
  <r>
    <x v="241"/>
    <s v="MARZO"/>
    <n v="9"/>
    <s v="MARTES"/>
    <x v="77"/>
    <s v="FRUGOS VAL-FRESH 4NAR+4FP+4MZ PET 500X12 PUC"/>
    <n v="625"/>
    <n v="125"/>
    <n v="443.75"/>
  </r>
  <r>
    <x v="241"/>
    <s v="MARZO"/>
    <n v="9"/>
    <s v="MARTES"/>
    <x v="28"/>
    <s v="COCA COLA VR 1.5LX8 - STICKER"/>
    <n v="150"/>
    <n v="30"/>
    <n v="34.5"/>
  </r>
  <r>
    <x v="241"/>
    <s v="MARZO"/>
    <n v="9"/>
    <s v="MARTES"/>
    <x v="6"/>
    <s v="INCA KOLA PET 3LX2 - RF"/>
    <n v="4800"/>
    <n v="120"/>
    <n v="816.00000000000011"/>
  </r>
  <r>
    <x v="241"/>
    <s v="MARZO"/>
    <n v="9"/>
    <s v="MARTES"/>
    <x v="17"/>
    <s v="TWO PACK CC PFM 3LX2 - RFCC"/>
    <n v="960"/>
    <n v="120"/>
    <n v="163.20000000000002"/>
  </r>
  <r>
    <x v="241"/>
    <s v="MARZO"/>
    <n v="9"/>
    <s v="MARTES"/>
    <x v="9"/>
    <s v="TRIPACK FT NAR+FT KI+SP PET 3L"/>
    <n v="450"/>
    <n v="90"/>
    <n v="76.5"/>
  </r>
  <r>
    <x v="241"/>
    <s v="MARZO"/>
    <n v="9"/>
    <s v="MARTES"/>
    <x v="10"/>
    <s v="TWO PACK CC + IK PFM 3LX2 - RFNN"/>
    <n v="3360"/>
    <n v="120"/>
    <n v="571.20000000000005"/>
  </r>
  <r>
    <x v="241"/>
    <s v="MARZO"/>
    <n v="9"/>
    <s v="MARTES"/>
    <x v="64"/>
    <s v="PACK-2 FT NAR+FT KI+FT PIÑA+SP RP 1.5LX8"/>
    <n v="120"/>
    <n v="30"/>
    <n v="25.2"/>
  </r>
  <r>
    <x v="241"/>
    <s v="MARZO"/>
    <n v="9"/>
    <s v="MARTES"/>
    <x v="77"/>
    <s v="FRUGOS VAL-FRESH 4NAR+4FP+4MZ PET 500X12 PUC"/>
    <n v="500"/>
    <n v="125"/>
    <n v="355"/>
  </r>
  <r>
    <x v="241"/>
    <s v="MARZO"/>
    <n v="9"/>
    <s v="MARTES"/>
    <x v="77"/>
    <s v="FRUGOS VAL-FRESH 4NAR+4FP+4MZ PET 500X12 PUC"/>
    <n v="250"/>
    <n v="125"/>
    <n v="177.5"/>
  </r>
  <r>
    <x v="241"/>
    <s v="MARZO"/>
    <n v="9"/>
    <s v="MARTES"/>
    <x v="44"/>
    <s v="INCA KOLA SA ALUMINIO-3 DISEÑOS 330MLX12"/>
    <n v="1750"/>
    <n v="420"/>
    <n v="735"/>
  </r>
  <r>
    <x v="241"/>
    <s v="MARZO"/>
    <n v="9"/>
    <s v="MARTES"/>
    <x v="1"/>
    <s v="COCA-COLA SIN AZUCAR PET 1.5LX2"/>
    <n v="2808"/>
    <n v="198"/>
    <n v="477.36"/>
  </r>
  <r>
    <x v="241"/>
    <s v="MARZO"/>
    <n v="9"/>
    <s v="MARTES"/>
    <x v="11"/>
    <s v="TRIPACK (CC+IK)PFM+FT PET 3LX3 - RFNN"/>
    <n v="720"/>
    <n v="90"/>
    <n v="122.4"/>
  </r>
  <r>
    <x v="241"/>
    <s v="MARZO"/>
    <n v="9"/>
    <s v="MARTES"/>
    <x v="3"/>
    <s v="TWO PACK SCHWEPPES GINGER ALE PET 1.5LX2"/>
    <n v="396"/>
    <n v="198"/>
    <n v="67.320000000000007"/>
  </r>
  <r>
    <x v="241"/>
    <s v="MARZO"/>
    <n v="9"/>
    <s v="MARTES"/>
    <x v="20"/>
    <s v="TRIPACK (FT NAR+SP)PET+IK RF PFM 3L"/>
    <n v="450"/>
    <n v="90"/>
    <n v="76.5"/>
  </r>
  <r>
    <x v="241"/>
    <s v="MARZO"/>
    <n v="9"/>
    <s v="MARTES"/>
    <x v="2"/>
    <s v="INCA KOLA SIN AZUCAR PET 1.5LX2"/>
    <n v="1512"/>
    <n v="198"/>
    <n v="257.04000000000002"/>
  </r>
  <r>
    <x v="241"/>
    <s v="MARZO"/>
    <n v="9"/>
    <s v="MARTES"/>
    <x v="9"/>
    <s v="TRIPACK FT NAR+FT KI+SP PET 3L"/>
    <n v="180"/>
    <n v="90"/>
    <n v="30.6"/>
  </r>
  <r>
    <x v="241"/>
    <s v="MARZO"/>
    <n v="9"/>
    <s v="MARTES"/>
    <x v="23"/>
    <s v="TRIPACK CC+IK+IK PFM 3LX3 - RFNN"/>
    <n v="180"/>
    <n v="90"/>
    <n v="30.6"/>
  </r>
  <r>
    <x v="242"/>
    <s v="MARZO"/>
    <n v="9"/>
    <s v="MIÉRCOLES"/>
    <x v="0"/>
    <s v="SAN LUIS SIN GAS PET2500X6 STICKER"/>
    <n v="1392"/>
    <n v="48"/>
    <n v="556.80000000000007"/>
  </r>
  <r>
    <x v="242"/>
    <s v="MARZO"/>
    <n v="9"/>
    <s v="MIÉRCOLES"/>
    <x v="1"/>
    <s v="COCA-COLA SIN AZUCAR PET 1.5LX2"/>
    <n v="432"/>
    <n v="198"/>
    <n v="73.440000000000012"/>
  </r>
  <r>
    <x v="242"/>
    <s v="MARZO"/>
    <n v="9"/>
    <s v="MIÉRCOLES"/>
    <x v="3"/>
    <s v="TWO PACK SCHWEPPES GINGER ALE PET 1.5LX2"/>
    <n v="396"/>
    <n v="198"/>
    <n v="67.320000000000007"/>
  </r>
  <r>
    <x v="242"/>
    <s v="MARZO"/>
    <n v="9"/>
    <s v="MIÉRCOLES"/>
    <x v="5"/>
    <s v="INCA KOLA PET 2.25LX2 RF"/>
    <n v="810"/>
    <n v="162"/>
    <n v="137.70000000000002"/>
  </r>
  <r>
    <x v="242"/>
    <s v="MARZO"/>
    <n v="9"/>
    <s v="MIÉRCOLES"/>
    <x v="7"/>
    <s v="COCA-COLA PET 1.5LX2 RF"/>
    <n v="1080"/>
    <n v="198"/>
    <n v="183.60000000000002"/>
  </r>
  <r>
    <x v="242"/>
    <s v="MARZO"/>
    <n v="9"/>
    <s v="MIÉRCOLES"/>
    <x v="10"/>
    <s v="TWO PACK CC + IK PFM 3LX2 - RFNN"/>
    <n v="5280"/>
    <n v="120"/>
    <n v="897.6"/>
  </r>
  <r>
    <x v="242"/>
    <s v="MARZO"/>
    <n v="9"/>
    <s v="MIÉRCOLES"/>
    <x v="23"/>
    <s v="TRIPACK CC+IK+IK PFM 3LX3 - RFNN"/>
    <n v="270"/>
    <n v="90"/>
    <n v="45.900000000000006"/>
  </r>
  <r>
    <x v="242"/>
    <s v="MARZO"/>
    <n v="9"/>
    <s v="MIÉRCOLES"/>
    <x v="11"/>
    <s v="TRIPACK (CC+IK)PFM+FT PET 3LX3 - RFNN"/>
    <n v="720"/>
    <n v="90"/>
    <n v="122.4"/>
  </r>
  <r>
    <x v="242"/>
    <s v="MARZO"/>
    <n v="9"/>
    <s v="MIÉRCOLES"/>
    <x v="25"/>
    <s v="POWERADE 3MORA+3FRUT PET 473MLX6"/>
    <n v="900"/>
    <n v="225"/>
    <n v="378"/>
  </r>
  <r>
    <x v="242"/>
    <s v="MARZO"/>
    <n v="9"/>
    <s v="MIÉRCOLES"/>
    <x v="42"/>
    <s v="FANTA NARANJA PET 500MLX6 BRANDEADO MOD"/>
    <n v="250"/>
    <n v="420"/>
    <n v="105"/>
  </r>
  <r>
    <x v="242"/>
    <s v="MARZO"/>
    <n v="9"/>
    <s v="MIÉRCOLES"/>
    <x v="43"/>
    <s v="SPRITE PET 500MLX6 BRANDEADO MOD"/>
    <n v="1000"/>
    <n v="420"/>
    <n v="420"/>
  </r>
  <r>
    <x v="242"/>
    <s v="MARZO"/>
    <n v="9"/>
    <s v="MIÉRCOLES"/>
    <x v="44"/>
    <s v="INCA KOLA SA ALUMINIO-3 DISEÑOS 330MLX12"/>
    <n v="125"/>
    <n v="420"/>
    <n v="52.5"/>
  </r>
  <r>
    <x v="242"/>
    <s v="MARZO"/>
    <n v="9"/>
    <s v="MIÉRCOLES"/>
    <x v="28"/>
    <s v="COCA COLA VR 1.5LX8 - STICKER"/>
    <n v="150"/>
    <n v="30"/>
    <n v="34.5"/>
  </r>
  <r>
    <x v="242"/>
    <s v="MARZO"/>
    <n v="9"/>
    <s v="MIÉRCOLES"/>
    <x v="33"/>
    <s v="COCA COLA VR 296MLX24 - STICKER"/>
    <n v="200"/>
    <n v="40"/>
    <n v="46"/>
  </r>
  <r>
    <x v="242"/>
    <s v="MARZO"/>
    <n v="9"/>
    <s v="MIÉRCOLES"/>
    <x v="14"/>
    <s v="INCA KOLA VR 296MLX24 - STICKER"/>
    <n v="80"/>
    <n v="40"/>
    <n v="18.400000000000002"/>
  </r>
  <r>
    <x v="242"/>
    <s v="MARZO"/>
    <n v="9"/>
    <s v="MIÉRCOLES"/>
    <x v="15"/>
    <s v="INCA KOLA VR 625MLX12 - STICKER"/>
    <n v="500"/>
    <n v="50"/>
    <n v="200"/>
  </r>
  <r>
    <x v="242"/>
    <s v="MARZO"/>
    <n v="9"/>
    <s v="MIÉRCOLES"/>
    <x v="0"/>
    <s v="SAN LUIS SIN GAS PET2500X6 STICKER"/>
    <n v="528"/>
    <n v="48"/>
    <n v="211.20000000000002"/>
  </r>
  <r>
    <x v="242"/>
    <s v="MARZO"/>
    <n v="9"/>
    <s v="MIÉRCOLES"/>
    <x v="10"/>
    <s v="TWO PACK CC + IK PFM 3LX2 - RFNN"/>
    <n v="6720"/>
    <n v="120"/>
    <n v="1142.4000000000001"/>
  </r>
  <r>
    <x v="242"/>
    <s v="MARZO"/>
    <n v="9"/>
    <s v="MIÉRCOLES"/>
    <x v="77"/>
    <s v="FRUGOS VAL-FRESH 4NAR+4FP+4MZ PET 500X12 PUC"/>
    <n v="2625"/>
    <n v="125"/>
    <n v="1863.75"/>
  </r>
  <r>
    <x v="243"/>
    <s v="MARZO"/>
    <n v="9"/>
    <s v="JUEVES"/>
    <x v="24"/>
    <s v="MONSTER ENERGY 473MLX4"/>
    <n v="840"/>
    <n v="420"/>
    <n v="352.8"/>
  </r>
  <r>
    <x v="243"/>
    <s v="MARZO"/>
    <n v="9"/>
    <s v="JUEVES"/>
    <x v="9"/>
    <s v="TRIPACK FT NAR+FT KI+SP PET 3L"/>
    <n v="180"/>
    <n v="90"/>
    <n v="30.6"/>
  </r>
  <r>
    <x v="243"/>
    <s v="MARZO"/>
    <n v="9"/>
    <s v="JUEVES"/>
    <x v="10"/>
    <s v="TWO PACK CC + IK PFM 3LX2 - RFNN"/>
    <n v="8880"/>
    <n v="120"/>
    <n v="1509.6000000000001"/>
  </r>
  <r>
    <x v="243"/>
    <s v="MARZO"/>
    <n v="9"/>
    <s v="JUEVES"/>
    <x v="11"/>
    <s v="TRIPACK (CC+IK)PFM+FT PET 3LX3 - RFNN"/>
    <n v="1440"/>
    <n v="90"/>
    <n v="244.8"/>
  </r>
  <r>
    <x v="242"/>
    <s v="MARZO"/>
    <n v="9"/>
    <s v="MIÉRCOLES"/>
    <x v="43"/>
    <s v="SPRITE PET 500MLX6 BRANDEADO MOD"/>
    <n v="500"/>
    <n v="420"/>
    <n v="210"/>
  </r>
  <r>
    <x v="242"/>
    <s v="MARZO"/>
    <n v="9"/>
    <s v="MIÉRCOLES"/>
    <x v="12"/>
    <s v="POWERADE ION4 FRUTA PET473X6 MOD (STICK)"/>
    <n v="225"/>
    <n v="225"/>
    <n v="90"/>
  </r>
  <r>
    <x v="242"/>
    <s v="MARZO"/>
    <n v="9"/>
    <s v="MIÉRCOLES"/>
    <x v="19"/>
    <s v="POWERADE ION4 MORA AZ PET473X6 MOD(STCK)"/>
    <n v="225"/>
    <n v="225"/>
    <n v="90"/>
  </r>
  <r>
    <x v="242"/>
    <s v="MARZO"/>
    <n v="9"/>
    <s v="MIÉRCOLES"/>
    <x v="24"/>
    <s v="MONSTER ENERGY 473MLX4"/>
    <n v="1680"/>
    <n v="420"/>
    <n v="705.6"/>
  </r>
  <r>
    <x v="242"/>
    <s v="MARZO"/>
    <n v="9"/>
    <s v="MIÉRCOLES"/>
    <x v="7"/>
    <s v="COCA-COLA PET 1.5LX2 RF"/>
    <n v="1080"/>
    <n v="198"/>
    <n v="183.60000000000002"/>
  </r>
  <r>
    <x v="242"/>
    <s v="MARZO"/>
    <n v="9"/>
    <s v="MIÉRCOLES"/>
    <x v="17"/>
    <s v="TWO PACK CC PFM 3LX2 - RFCC"/>
    <n v="2400"/>
    <n v="120"/>
    <n v="408.00000000000006"/>
  </r>
  <r>
    <x v="242"/>
    <s v="MARZO"/>
    <n v="9"/>
    <s v="MIÉRCOLES"/>
    <x v="6"/>
    <s v="INCA KOLA PET 3LX2 - RF"/>
    <n v="2400"/>
    <n v="120"/>
    <n v="408.00000000000006"/>
  </r>
  <r>
    <x v="242"/>
    <s v="MARZO"/>
    <n v="9"/>
    <s v="MIÉRCOLES"/>
    <x v="1"/>
    <s v="COCA-COLA SIN AZUCAR PET 1.5LX2"/>
    <n v="1080"/>
    <n v="198"/>
    <n v="183.60000000000002"/>
  </r>
  <r>
    <x v="242"/>
    <s v="MARZO"/>
    <n v="9"/>
    <s v="MIÉRCOLES"/>
    <x v="8"/>
    <s v="INCA KOLA PET 1.5LX2 RF"/>
    <n v="864"/>
    <n v="198"/>
    <n v="146.88000000000002"/>
  </r>
  <r>
    <x v="242"/>
    <s v="MARZO"/>
    <n v="9"/>
    <s v="MIÉRCOLES"/>
    <x v="2"/>
    <s v="INCA KOLA SIN AZUCAR PET 1.5LX2"/>
    <n v="1080"/>
    <n v="198"/>
    <n v="183.60000000000002"/>
  </r>
  <r>
    <x v="242"/>
    <s v="MARZO"/>
    <n v="9"/>
    <s v="MIÉRCOLES"/>
    <x v="10"/>
    <s v="TWO PACK CC + IK PFM 3LX2 - RFNN"/>
    <n v="240"/>
    <n v="120"/>
    <n v="40.800000000000004"/>
  </r>
  <r>
    <x v="243"/>
    <s v="MARZO"/>
    <n v="9"/>
    <s v="JUEVES"/>
    <x v="13"/>
    <s v="INCA KOLA VR 1.5LX8 - STICKER"/>
    <n v="120"/>
    <n v="30"/>
    <n v="48"/>
  </r>
  <r>
    <x v="243"/>
    <s v="MARZO"/>
    <n v="9"/>
    <s v="JUEVES"/>
    <x v="15"/>
    <s v="INCA KOLA VR 625MLX12 - STICKER"/>
    <n v="200"/>
    <n v="50"/>
    <n v="80"/>
  </r>
  <r>
    <x v="243"/>
    <s v="MARZO"/>
    <n v="9"/>
    <s v="JUEVES"/>
    <x v="38"/>
    <s v="SL S/G TAPA PLANA 1LT"/>
    <n v="560"/>
    <n v="112"/>
    <n v="224"/>
  </r>
  <r>
    <x v="243"/>
    <s v="MARZO"/>
    <n v="9"/>
    <s v="JUEVES"/>
    <x v="24"/>
    <s v="MONSTER ENERGY 473MLX4"/>
    <n v="1680"/>
    <n v="420"/>
    <n v="705.6"/>
  </r>
  <r>
    <x v="243"/>
    <s v="MARZO"/>
    <n v="9"/>
    <s v="JUEVES"/>
    <x v="6"/>
    <s v="INCA KOLA PET 3LX2 - RF"/>
    <n v="2640"/>
    <n v="120"/>
    <n v="448.8"/>
  </r>
  <r>
    <x v="243"/>
    <s v="MARZO"/>
    <n v="9"/>
    <s v="JUEVES"/>
    <x v="10"/>
    <s v="TWO PACK CC + IK PFM 3LX2 - RFNN"/>
    <n v="2880"/>
    <n v="120"/>
    <n v="489.6"/>
  </r>
  <r>
    <x v="243"/>
    <s v="MARZO"/>
    <n v="9"/>
    <s v="JUEVES"/>
    <x v="26"/>
    <s v="TRIPACK CC+CC+IK PFM 3LX3 - RFNN"/>
    <n v="1440"/>
    <n v="90"/>
    <n v="244.8"/>
  </r>
  <r>
    <x v="243"/>
    <s v="MARZO"/>
    <n v="9"/>
    <s v="JUEVES"/>
    <x v="23"/>
    <s v="TRIPACK CC+IK+IK PFM 3LX3 - RFNN"/>
    <n v="2880"/>
    <n v="90"/>
    <n v="489.6"/>
  </r>
  <r>
    <x v="243"/>
    <s v="MARZO"/>
    <n v="9"/>
    <s v="JUEVES"/>
    <x v="11"/>
    <s v="TRIPACK (CC+IK)PFM+FT PET 3LX3 - RFNN"/>
    <n v="720"/>
    <n v="90"/>
    <n v="122.4"/>
  </r>
  <r>
    <x v="243"/>
    <s v="MARZO"/>
    <n v="9"/>
    <s v="JUEVES"/>
    <x v="25"/>
    <s v="POWERADE 3MORA+3FRUT PET 473MLX6"/>
    <n v="1350"/>
    <n v="225"/>
    <n v="567"/>
  </r>
  <r>
    <x v="244"/>
    <s v="MARZO"/>
    <n v="9"/>
    <s v="VIERNES"/>
    <x v="24"/>
    <s v="MONSTER ENERGY 473MLX4"/>
    <n v="4200"/>
    <n v="420"/>
    <n v="1764"/>
  </r>
  <r>
    <x v="244"/>
    <s v="MARZO"/>
    <n v="9"/>
    <s v="VIERNES"/>
    <x v="1"/>
    <s v="COCA-COLA SIN AZUCAR PET 1.5LX2"/>
    <n v="4320"/>
    <n v="198"/>
    <n v="734.40000000000009"/>
  </r>
  <r>
    <x v="244"/>
    <s v="MARZO"/>
    <n v="9"/>
    <s v="VIERNES"/>
    <x v="8"/>
    <s v="INCA KOLA PET 1.5LX2 RF"/>
    <n v="1080"/>
    <n v="198"/>
    <n v="183.60000000000002"/>
  </r>
  <r>
    <x v="244"/>
    <s v="MARZO"/>
    <n v="9"/>
    <s v="VIERNES"/>
    <x v="9"/>
    <s v="TRIPACK FT NAR+FT KI+SP PET 3L"/>
    <n v="450"/>
    <n v="90"/>
    <n v="76.5"/>
  </r>
  <r>
    <x v="244"/>
    <s v="MARZO"/>
    <n v="9"/>
    <s v="VIERNES"/>
    <x v="10"/>
    <s v="TWO PACK CC + IK PFM 3LX2 - RFNN"/>
    <n v="3840"/>
    <n v="120"/>
    <n v="652.80000000000007"/>
  </r>
  <r>
    <x v="244"/>
    <s v="MARZO"/>
    <n v="9"/>
    <s v="VIERNES"/>
    <x v="26"/>
    <s v="TRIPACK CC+CC+IK PFM 3LX3 - RFNN"/>
    <n v="450"/>
    <n v="90"/>
    <n v="76.5"/>
  </r>
  <r>
    <x v="244"/>
    <s v="MARZO"/>
    <n v="9"/>
    <s v="VIERNES"/>
    <x v="23"/>
    <s v="TRIPACK CC+IK+IK PFM 3LX3 - RFNN"/>
    <n v="720"/>
    <n v="90"/>
    <n v="122.4"/>
  </r>
  <r>
    <x v="244"/>
    <s v="MARZO"/>
    <n v="9"/>
    <s v="VIERNES"/>
    <x v="11"/>
    <s v="TRIPACK (CC+IK)PFM+FT PET 3LX3 - RFNN"/>
    <n v="3600"/>
    <n v="90"/>
    <n v="612"/>
  </r>
  <r>
    <x v="244"/>
    <s v="MARZO"/>
    <n v="9"/>
    <s v="VIERNES"/>
    <x v="42"/>
    <s v="FANTA NARANJA PET 500MLX6 BRANDEADO MOD"/>
    <n v="750"/>
    <n v="420"/>
    <n v="315"/>
  </r>
  <r>
    <x v="243"/>
    <s v="MARZO"/>
    <n v="9"/>
    <s v="JUEVES"/>
    <x v="22"/>
    <s v="TWO PACK SCHWEPPES CITRUS PET 1.5LX2"/>
    <n v="990"/>
    <n v="198"/>
    <n v="168.3"/>
  </r>
  <r>
    <x v="243"/>
    <s v="MARZO"/>
    <n v="9"/>
    <s v="JUEVES"/>
    <x v="3"/>
    <s v="TWO PACK SCHWEPPES GINGER ALE PET 1.5LX2"/>
    <n v="990"/>
    <n v="198"/>
    <n v="168.3"/>
  </r>
  <r>
    <x v="243"/>
    <s v="MARZO"/>
    <n v="9"/>
    <s v="JUEVES"/>
    <x v="6"/>
    <s v="INCA KOLA PET 3LX2 - RF"/>
    <n v="2400"/>
    <n v="120"/>
    <n v="408.00000000000006"/>
  </r>
  <r>
    <x v="243"/>
    <s v="MARZO"/>
    <n v="9"/>
    <s v="JUEVES"/>
    <x v="7"/>
    <s v="COCA-COLA PET 1.5LX2 RF"/>
    <n v="2160"/>
    <n v="198"/>
    <n v="367.20000000000005"/>
  </r>
  <r>
    <x v="243"/>
    <s v="MARZO"/>
    <n v="9"/>
    <s v="JUEVES"/>
    <x v="23"/>
    <s v="TRIPACK CC+IK+IK PFM 3LX3 - RFNN"/>
    <n v="180"/>
    <n v="90"/>
    <n v="30.6"/>
  </r>
  <r>
    <x v="243"/>
    <s v="MARZO"/>
    <n v="9"/>
    <s v="JUEVES"/>
    <x v="44"/>
    <s v="INCA KOLA SA ALUMINIO-3 DISEÑOS 330MLX12"/>
    <n v="125"/>
    <n v="420"/>
    <n v="52.5"/>
  </r>
  <r>
    <x v="243"/>
    <s v="MARZO"/>
    <n v="9"/>
    <s v="JUEVES"/>
    <x v="44"/>
    <s v="INCA KOLA SA ALUMINIO-3 DISEÑOS 330MLX12"/>
    <n v="1875"/>
    <n v="420"/>
    <n v="787.5"/>
  </r>
  <r>
    <x v="244"/>
    <s v="MARZO"/>
    <n v="9"/>
    <s v="VIERNES"/>
    <x v="44"/>
    <s v="INCA KOLA SA ALUMINIO-3 DISEÑOS 330MLX12"/>
    <n v="875"/>
    <n v="420"/>
    <n v="367.5"/>
  </r>
  <r>
    <x v="244"/>
    <s v="MARZO"/>
    <n v="9"/>
    <s v="VIERNES"/>
    <x v="10"/>
    <s v="TWO PACK CC + IK PFM 3LX2 - RFNN"/>
    <n v="4560"/>
    <n v="120"/>
    <n v="775.2"/>
  </r>
  <r>
    <x v="244"/>
    <s v="MARZO"/>
    <n v="9"/>
    <s v="VIERNES"/>
    <x v="25"/>
    <s v="POWERADE 3MORA+3FRUT PET 473MLX6"/>
    <n v="1350"/>
    <n v="225"/>
    <n v="567"/>
  </r>
  <r>
    <x v="244"/>
    <s v="MARZO"/>
    <n v="9"/>
    <s v="VIERNES"/>
    <x v="44"/>
    <s v="INCA KOLA SA ALUMINIO-3 DISEÑOS 330MLX12"/>
    <n v="875"/>
    <n v="420"/>
    <n v="367.5"/>
  </r>
  <r>
    <x v="245"/>
    <s v="MARZO"/>
    <n v="10"/>
    <s v="SÁBADO"/>
    <x v="28"/>
    <s v="COCA COLA VR 1.5LX8 - STICKER"/>
    <n v="120"/>
    <n v="30"/>
    <n v="27.6"/>
  </r>
  <r>
    <x v="245"/>
    <s v="MARZO"/>
    <n v="10"/>
    <s v="SÁBADO"/>
    <x v="13"/>
    <s v="INCA KOLA VR 1.5LX8 - STICKER"/>
    <n v="300"/>
    <n v="30"/>
    <n v="120"/>
  </r>
  <r>
    <x v="245"/>
    <s v="MARZO"/>
    <n v="10"/>
    <s v="SÁBADO"/>
    <x v="15"/>
    <s v="INCA KOLA VR 625MLX12 - STICKER"/>
    <n v="150"/>
    <n v="50"/>
    <n v="60"/>
  </r>
  <r>
    <x v="245"/>
    <s v="MARZO"/>
    <n v="10"/>
    <s v="SÁBADO"/>
    <x v="24"/>
    <s v="MONSTER ENERGY 473MLX4"/>
    <n v="2100"/>
    <n v="420"/>
    <n v="882"/>
  </r>
  <r>
    <x v="245"/>
    <s v="MARZO"/>
    <n v="10"/>
    <s v="SÁBADO"/>
    <x v="32"/>
    <s v="MONSTER ENERGY ULTRA 473MLX4"/>
    <n v="1260"/>
    <n v="420"/>
    <n v="529.19999999999993"/>
  </r>
  <r>
    <x v="245"/>
    <s v="MARZO"/>
    <n v="10"/>
    <s v="SÁBADO"/>
    <x v="2"/>
    <s v="INCA KOLA SIN AZUCAR PET 1.5LX2"/>
    <n v="1296"/>
    <n v="198"/>
    <n v="220.32000000000002"/>
  </r>
  <r>
    <x v="245"/>
    <s v="MARZO"/>
    <n v="10"/>
    <s v="SÁBADO"/>
    <x v="4"/>
    <s v="COCA-COLA PET 2.25LX2 RF"/>
    <n v="810"/>
    <n v="162"/>
    <n v="137.70000000000002"/>
  </r>
  <r>
    <x v="245"/>
    <s v="MARZO"/>
    <n v="10"/>
    <s v="SÁBADO"/>
    <x v="5"/>
    <s v="INCA KOLA PET 2.25LX2 RF"/>
    <n v="486"/>
    <n v="162"/>
    <n v="82.62"/>
  </r>
  <r>
    <x v="245"/>
    <s v="MARZO"/>
    <n v="10"/>
    <s v="SÁBADO"/>
    <x v="17"/>
    <s v="TWO PACK CC PFM 3LX2 - RFCC"/>
    <n v="720"/>
    <n v="120"/>
    <n v="122.4"/>
  </r>
  <r>
    <x v="245"/>
    <s v="MARZO"/>
    <n v="10"/>
    <s v="SÁBADO"/>
    <x v="8"/>
    <s v="INCA KOLA PET 1.5LX2 RF"/>
    <n v="1296"/>
    <n v="198"/>
    <n v="220.32000000000002"/>
  </r>
  <r>
    <x v="245"/>
    <s v="MARZO"/>
    <n v="10"/>
    <s v="SÁBADO"/>
    <x v="9"/>
    <s v="TRIPACK FT NAR+FT KI+SP PET 3L"/>
    <n v="450"/>
    <n v="90"/>
    <n v="76.5"/>
  </r>
  <r>
    <x v="245"/>
    <s v="MARZO"/>
    <n v="10"/>
    <s v="SÁBADO"/>
    <x v="10"/>
    <s v="TWO PACK CC + IK PFM 3LX2 - RFNN"/>
    <n v="7920"/>
    <n v="120"/>
    <n v="1346.4"/>
  </r>
  <r>
    <x v="245"/>
    <s v="MARZO"/>
    <n v="10"/>
    <s v="SÁBADO"/>
    <x v="12"/>
    <s v="POWERADE ION4 FRUTA PET473X6 MOD (STICK)"/>
    <n v="675"/>
    <n v="225"/>
    <n v="270"/>
  </r>
  <r>
    <x v="245"/>
    <s v="MARZO"/>
    <n v="10"/>
    <s v="SÁBADO"/>
    <x v="19"/>
    <s v="POWERADE ION4 MORA AZ PET473X6 MOD(STCK)"/>
    <n v="450"/>
    <n v="225"/>
    <n v="180"/>
  </r>
  <r>
    <x v="245"/>
    <s v="MARZO"/>
    <n v="10"/>
    <s v="SÁBADO"/>
    <x v="42"/>
    <s v="FANTA NARANJA PET 500MLX6 BRANDEADO MOD"/>
    <n v="500"/>
    <n v="420"/>
    <n v="210"/>
  </r>
  <r>
    <x v="244"/>
    <s v="MARZO"/>
    <n v="9"/>
    <s v="VIERNES"/>
    <x v="8"/>
    <s v="INCA KOLA PET 1.5LX2 RF"/>
    <n v="864"/>
    <n v="198"/>
    <n v="146.88000000000002"/>
  </r>
  <r>
    <x v="244"/>
    <s v="MARZO"/>
    <n v="9"/>
    <s v="VIERNES"/>
    <x v="17"/>
    <s v="TWO PACK CC PFM 3LX2 - RFCC"/>
    <n v="1680"/>
    <n v="120"/>
    <n v="285.60000000000002"/>
  </r>
  <r>
    <x v="244"/>
    <s v="MARZO"/>
    <n v="9"/>
    <s v="VIERNES"/>
    <x v="20"/>
    <s v="TRIPACK (FT NAR+SP)PET+IK RF PFM 3L"/>
    <n v="450"/>
    <n v="90"/>
    <n v="76.5"/>
  </r>
  <r>
    <x v="244"/>
    <s v="MARZO"/>
    <n v="9"/>
    <s v="VIERNES"/>
    <x v="2"/>
    <s v="INCA KOLA SIN AZUCAR PET 1.5LX2"/>
    <n v="1944"/>
    <n v="198"/>
    <n v="330.48"/>
  </r>
  <r>
    <x v="244"/>
    <s v="MARZO"/>
    <n v="9"/>
    <s v="VIERNES"/>
    <x v="44"/>
    <s v="INCA KOLA SA ALUMINIO-3 DISEÑOS 330MLX12"/>
    <n v="750"/>
    <n v="420"/>
    <n v="315"/>
  </r>
  <r>
    <x v="244"/>
    <s v="MARZO"/>
    <n v="9"/>
    <s v="VIERNES"/>
    <x v="3"/>
    <s v="TWO PACK SCHWEPPES GINGER ALE PET 1.5LX2"/>
    <n v="554"/>
    <n v="198"/>
    <n v="94.18"/>
  </r>
  <r>
    <x v="246"/>
    <s v="MARZO"/>
    <n v="10"/>
    <s v="LUNES"/>
    <x v="43"/>
    <s v="SPRITE PET 500MLX6 BRANDEADO MOD"/>
    <n v="250"/>
    <n v="420"/>
    <n v="105"/>
  </r>
  <r>
    <x v="246"/>
    <s v="MARZO"/>
    <n v="10"/>
    <s v="LUNES"/>
    <x v="40"/>
    <s v="SAN LUIS SPORT S/G 10 Lt x6 "/>
    <n v="224"/>
    <n v="240"/>
    <n v="89.600000000000009"/>
  </r>
  <r>
    <x v="246"/>
    <s v="MARZO"/>
    <n v="10"/>
    <s v="LUNES"/>
    <x v="38"/>
    <s v="SL S/G TAPA PLANA 1LT"/>
    <n v="336"/>
    <n v="112"/>
    <n v="134.4"/>
  </r>
  <r>
    <x v="246"/>
    <s v="MARZO"/>
    <n v="10"/>
    <s v="LUNES"/>
    <x v="16"/>
    <s v="SAN LUIS CON GAS PET 625MLX6"/>
    <n v="540"/>
    <n v="180"/>
    <n v="226.79999999999998"/>
  </r>
  <r>
    <x v="246"/>
    <s v="MARZO"/>
    <n v="10"/>
    <s v="LUNES"/>
    <x v="22"/>
    <s v="TWO PACK SCHWEPPES CITRUS PET 1.5LX2"/>
    <n v="1782"/>
    <n v="198"/>
    <n v="302.94"/>
  </r>
  <r>
    <x v="246"/>
    <s v="MARZO"/>
    <n v="10"/>
    <s v="LUNES"/>
    <x v="3"/>
    <s v="TWO PACK SCHWEPPES GINGER ALE PET 1.5LX2"/>
    <n v="1980"/>
    <n v="198"/>
    <n v="336.6"/>
  </r>
  <r>
    <x v="246"/>
    <s v="MARZO"/>
    <n v="10"/>
    <s v="LUNES"/>
    <x v="4"/>
    <s v="COCA-COLA PET 2.25LX2 RF"/>
    <n v="1134"/>
    <n v="162"/>
    <n v="192.78"/>
  </r>
  <r>
    <x v="246"/>
    <s v="MARZO"/>
    <n v="10"/>
    <s v="LUNES"/>
    <x v="5"/>
    <s v="INCA KOLA PET 2.25LX2 RF"/>
    <n v="810"/>
    <n v="162"/>
    <n v="137.70000000000002"/>
  </r>
  <r>
    <x v="246"/>
    <s v="MARZO"/>
    <n v="10"/>
    <s v="LUNES"/>
    <x v="6"/>
    <s v="INCA KOLA PET 3LX2 - RF"/>
    <n v="480"/>
    <n v="120"/>
    <n v="81.600000000000009"/>
  </r>
  <r>
    <x v="246"/>
    <s v="MARZO"/>
    <n v="10"/>
    <s v="LUNES"/>
    <x v="17"/>
    <s v="TWO PACK CC PFM 3LX2 - RFCC"/>
    <n v="1080"/>
    <n v="120"/>
    <n v="183.60000000000002"/>
  </r>
  <r>
    <x v="246"/>
    <s v="MARZO"/>
    <n v="10"/>
    <s v="LUNES"/>
    <x v="7"/>
    <s v="COCA-COLA PET 1.5LX2 RF"/>
    <n v="432"/>
    <n v="198"/>
    <n v="73.440000000000012"/>
  </r>
  <r>
    <x v="246"/>
    <s v="MARZO"/>
    <n v="10"/>
    <s v="LUNES"/>
    <x v="8"/>
    <s v="INCA KOLA PET 1.5LX2 RF"/>
    <n v="2376"/>
    <n v="198"/>
    <n v="403.92"/>
  </r>
  <r>
    <x v="246"/>
    <s v="MARZO"/>
    <n v="10"/>
    <s v="LUNES"/>
    <x v="9"/>
    <s v="TRIPACK FT NAR+FT KI+SP PET 3L"/>
    <n v="630"/>
    <n v="90"/>
    <n v="107.10000000000001"/>
  </r>
  <r>
    <x v="246"/>
    <s v="MARZO"/>
    <n v="10"/>
    <s v="LUNES"/>
    <x v="25"/>
    <s v="POWERADE 3MORA+3FRUT PET 473MLX6"/>
    <n v="1350"/>
    <n v="225"/>
    <n v="567"/>
  </r>
  <r>
    <x v="246"/>
    <s v="MARZO"/>
    <n v="10"/>
    <s v="LUNES"/>
    <x v="12"/>
    <s v="POWERADE ION4 FRUTA PET473X6 MOD (STICK)"/>
    <n v="225"/>
    <n v="225"/>
    <n v="90"/>
  </r>
  <r>
    <x v="246"/>
    <s v="MARZO"/>
    <n v="10"/>
    <s v="LUNES"/>
    <x v="42"/>
    <s v="FANTA NARANJA PET 500MLX6 BRANDEADO MOD"/>
    <n v="500"/>
    <n v="420"/>
    <n v="210"/>
  </r>
  <r>
    <x v="246"/>
    <s v="MARZO"/>
    <n v="10"/>
    <s v="LUNES"/>
    <x v="13"/>
    <s v="INCA KOLA VR 1.5LX8 - STICKER"/>
    <n v="150"/>
    <n v="30"/>
    <n v="60"/>
  </r>
  <r>
    <x v="246"/>
    <s v="MARZO"/>
    <n v="10"/>
    <s v="LUNES"/>
    <x v="15"/>
    <s v="INCA KOLA VR 625MLX12 - STICKER"/>
    <n v="50"/>
    <n v="50"/>
    <n v="20"/>
  </r>
  <r>
    <x v="246"/>
    <s v="MARZO"/>
    <n v="10"/>
    <s v="LUNES"/>
    <x v="10"/>
    <s v="TWO PACK CC + IK PFM 3LX2 - RFNN"/>
    <n v="4320"/>
    <n v="120"/>
    <n v="734.40000000000009"/>
  </r>
  <r>
    <x v="246"/>
    <s v="MARZO"/>
    <n v="10"/>
    <s v="LUNES"/>
    <x v="72"/>
    <s v="2FTKI + 2FTN + 1FTP + 1SP PACK x 500ML"/>
    <n v="500"/>
    <n v="250"/>
    <n v="210"/>
  </r>
  <r>
    <x v="246"/>
    <s v="MARZO"/>
    <n v="10"/>
    <s v="LUNES"/>
    <x v="28"/>
    <s v="COCA COLA VR 1.5LX8 - STICKER"/>
    <n v="240"/>
    <n v="30"/>
    <n v="55.2"/>
  </r>
  <r>
    <x v="246"/>
    <s v="MARZO"/>
    <n v="10"/>
    <s v="LUNES"/>
    <x v="15"/>
    <s v="INCA KOLA VR 625MLX12 - STICKER"/>
    <n v="200"/>
    <n v="50"/>
    <n v="80"/>
  </r>
  <r>
    <x v="246"/>
    <s v="MARZO"/>
    <n v="10"/>
    <s v="LUNES"/>
    <x v="2"/>
    <s v="INCA KOLA SIN AZUCAR PET 1.5LX2"/>
    <n v="432"/>
    <n v="198"/>
    <n v="73.440000000000012"/>
  </r>
  <r>
    <x v="246"/>
    <s v="MARZO"/>
    <n v="10"/>
    <s v="LUNES"/>
    <x v="10"/>
    <s v="TWO PACK CC + IK PFM 3LX2 - RFNN"/>
    <n v="6480"/>
    <n v="120"/>
    <n v="1101.6000000000001"/>
  </r>
  <r>
    <x v="246"/>
    <s v="MARZO"/>
    <n v="10"/>
    <s v="LUNES"/>
    <x v="11"/>
    <s v="TRIPACK (CC+IK)PFM+FT PET 3LX3 - RFNN"/>
    <n v="1440"/>
    <n v="90"/>
    <n v="244.8"/>
  </r>
  <r>
    <x v="246"/>
    <s v="MARZO"/>
    <n v="10"/>
    <s v="LUNES"/>
    <x v="12"/>
    <s v="POWERADE ION4 FRUTA PET473X6 MOD (STICK)"/>
    <n v="450"/>
    <n v="225"/>
    <n v="180"/>
  </r>
  <r>
    <x v="246"/>
    <s v="MARZO"/>
    <n v="10"/>
    <s v="LUNES"/>
    <x v="66"/>
    <s v="3CC SA + 3IK SA 600ML X 6 PUC"/>
    <n v="800"/>
    <n v="200"/>
    <n v="336"/>
  </r>
  <r>
    <x v="246"/>
    <s v="MARZO"/>
    <n v="10"/>
    <s v="LUNES"/>
    <x v="44"/>
    <s v="INCA KOLA SA ALUMINIO-3 DISEÑOS 330MLX12"/>
    <n v="750"/>
    <n v="420"/>
    <n v="315"/>
  </r>
  <r>
    <x v="247"/>
    <s v="MARZO"/>
    <n v="10"/>
    <s v="DOMINGO"/>
    <x v="16"/>
    <s v="SAN LUIS CON GAS PET 625MLX6"/>
    <n v="1080"/>
    <n v="180"/>
    <n v="453.59999999999997"/>
  </r>
  <r>
    <x v="247"/>
    <s v="MARZO"/>
    <n v="10"/>
    <s v="DOMINGO"/>
    <x v="1"/>
    <s v="COCA-COLA SIN AZUCAR PET 1.5LX2"/>
    <n v="2160"/>
    <n v="198"/>
    <n v="367.20000000000005"/>
  </r>
  <r>
    <x v="247"/>
    <s v="MARZO"/>
    <n v="10"/>
    <s v="DOMINGO"/>
    <x v="2"/>
    <s v="INCA KOLA SIN AZUCAR PET 1.5LX2"/>
    <n v="648"/>
    <n v="198"/>
    <n v="110.16000000000001"/>
  </r>
  <r>
    <x v="247"/>
    <s v="MARZO"/>
    <n v="10"/>
    <s v="DOMINGO"/>
    <x v="10"/>
    <s v="TWO PACK CC + IK PFM 3LX2 - RFNN"/>
    <n v="1200"/>
    <n v="120"/>
    <n v="204.00000000000003"/>
  </r>
  <r>
    <x v="247"/>
    <s v="MARZO"/>
    <n v="10"/>
    <s v="DOMINGO"/>
    <x v="11"/>
    <s v="TRIPACK (CC+IK)PFM+FT PET 3LX3 - RFNN"/>
    <n v="720"/>
    <n v="90"/>
    <n v="122.4"/>
  </r>
  <r>
    <x v="247"/>
    <s v="MARZO"/>
    <n v="10"/>
    <s v="DOMINGO"/>
    <x v="12"/>
    <s v="POWERADE ION4 FRUTA PET473X6 MOD (STICK)"/>
    <n v="225"/>
    <n v="225"/>
    <n v="90"/>
  </r>
  <r>
    <x v="247"/>
    <s v="MARZO"/>
    <n v="10"/>
    <s v="DOMINGO"/>
    <x v="42"/>
    <s v="FANTA NARANJA PET 500MLX6 BRANDEADO MOD"/>
    <n v="250"/>
    <n v="420"/>
    <n v="105"/>
  </r>
  <r>
    <x v="247"/>
    <s v="MARZO"/>
    <n v="10"/>
    <s v="DOMINGO"/>
    <x v="43"/>
    <s v="SPRITE PET 500MLX6 BRANDEADO MOD"/>
    <n v="750"/>
    <n v="420"/>
    <n v="315"/>
  </r>
  <r>
    <x v="245"/>
    <s v="MARZO"/>
    <n v="10"/>
    <s v="SÁBADO"/>
    <x v="16"/>
    <s v="SAN LUIS CON GAS PET 625MLX6"/>
    <n v="720"/>
    <n v="180"/>
    <n v="302.39999999999998"/>
  </r>
  <r>
    <x v="245"/>
    <s v="MARZO"/>
    <n v="10"/>
    <s v="SÁBADO"/>
    <x v="10"/>
    <s v="TWO PACK CC + IK PFM 3LX2 - RFNN"/>
    <n v="2880"/>
    <n v="120"/>
    <n v="489.6"/>
  </r>
  <r>
    <x v="245"/>
    <s v="MARZO"/>
    <n v="10"/>
    <s v="SÁBADO"/>
    <x v="44"/>
    <s v="INCA KOLA SA ALUMINIO-3 DISEÑOS 330MLX12"/>
    <n v="1125"/>
    <n v="420"/>
    <n v="472.5"/>
  </r>
  <r>
    <x v="248"/>
    <s v="MARZO"/>
    <n v="10"/>
    <s v="MARTES"/>
    <x v="10"/>
    <s v="TWO PACK CC + IK PFM 3LX2 - RFNN"/>
    <n v="3600"/>
    <n v="120"/>
    <n v="612"/>
  </r>
  <r>
    <x v="248"/>
    <s v="MARZO"/>
    <n v="10"/>
    <s v="MARTES"/>
    <x v="72"/>
    <s v="2FTKI + 2FTN + 1FTP + 1SP PACK x 500ML"/>
    <n v="500"/>
    <n v="250"/>
    <n v="210"/>
  </r>
  <r>
    <x v="248"/>
    <s v="MARZO"/>
    <n v="10"/>
    <s v="MARTES"/>
    <x v="33"/>
    <s v="COCA COLA VR 296MLX24 - STICKER"/>
    <n v="80"/>
    <n v="40"/>
    <n v="18.400000000000002"/>
  </r>
  <r>
    <x v="248"/>
    <s v="MARZO"/>
    <n v="10"/>
    <s v="MARTES"/>
    <x v="13"/>
    <s v="INCA KOLA VR 1.5LX8 - STICKER"/>
    <n v="150"/>
    <n v="30"/>
    <n v="60"/>
  </r>
  <r>
    <x v="248"/>
    <s v="MARZO"/>
    <n v="10"/>
    <s v="MARTES"/>
    <x v="6"/>
    <s v="INCA KOLA PET 3LX2 - RF"/>
    <n v="4320"/>
    <n v="120"/>
    <n v="734.40000000000009"/>
  </r>
  <r>
    <x v="248"/>
    <s v="MARZO"/>
    <n v="10"/>
    <s v="MARTES"/>
    <x v="17"/>
    <s v="TWO PACK CC PFM 3LX2 - RFCC"/>
    <n v="1320"/>
    <n v="120"/>
    <n v="224.4"/>
  </r>
  <r>
    <x v="248"/>
    <s v="MARZO"/>
    <n v="10"/>
    <s v="MARTES"/>
    <x v="7"/>
    <s v="COCA-COLA PET 1.5LX2 RF"/>
    <n v="2808"/>
    <n v="198"/>
    <n v="477.36"/>
  </r>
  <r>
    <x v="248"/>
    <s v="MARZO"/>
    <n v="10"/>
    <s v="MARTES"/>
    <x v="8"/>
    <s v="INCA KOLA PET 1.5LX2 RF"/>
    <n v="864"/>
    <n v="198"/>
    <n v="146.88000000000002"/>
  </r>
  <r>
    <x v="248"/>
    <s v="MARZO"/>
    <n v="10"/>
    <s v="MARTES"/>
    <x v="9"/>
    <s v="TRIPACK FT NAR+FT KI+SP PET 3L"/>
    <n v="810"/>
    <n v="90"/>
    <n v="137.70000000000002"/>
  </r>
  <r>
    <x v="248"/>
    <s v="MARZO"/>
    <n v="10"/>
    <s v="MARTES"/>
    <x v="10"/>
    <s v="TWO PACK CC + IK PFM 3LX2 - RFNN"/>
    <n v="10800"/>
    <n v="120"/>
    <n v="1836.0000000000002"/>
  </r>
  <r>
    <x v="248"/>
    <s v="MARZO"/>
    <n v="10"/>
    <s v="MARTES"/>
    <x v="24"/>
    <s v="MONSTER ENERGY 473MLX4"/>
    <n v="1680"/>
    <n v="420"/>
    <n v="705.6"/>
  </r>
  <r>
    <x v="248"/>
    <s v="MARZO"/>
    <n v="10"/>
    <s v="MARTES"/>
    <x v="1"/>
    <s v="COCA-COLA SIN AZUCAR PET 1.5LX2"/>
    <n v="216"/>
    <n v="198"/>
    <n v="36.720000000000006"/>
  </r>
  <r>
    <x v="248"/>
    <s v="MARZO"/>
    <n v="10"/>
    <s v="MARTES"/>
    <x v="2"/>
    <s v="INCA KOLA SIN AZUCAR PET 1.5LX2"/>
    <n v="432"/>
    <n v="198"/>
    <n v="73.440000000000012"/>
  </r>
  <r>
    <x v="248"/>
    <s v="MARZO"/>
    <n v="10"/>
    <s v="MARTES"/>
    <x v="34"/>
    <s v="TWO PACK CC PET 1.5LX2 - CRC"/>
    <n v="432"/>
    <n v="198"/>
    <n v="73.440000000000012"/>
  </r>
  <r>
    <x v="248"/>
    <s v="MARZO"/>
    <n v="10"/>
    <s v="MARTES"/>
    <x v="29"/>
    <s v="TWO PACK IK PET 1.5LX2 - CRCG"/>
    <n v="432"/>
    <n v="198"/>
    <n v="73.440000000000012"/>
  </r>
  <r>
    <x v="248"/>
    <s v="MARZO"/>
    <n v="10"/>
    <s v="MARTES"/>
    <x v="6"/>
    <s v="INCA KOLA PET 3LX2 - RF"/>
    <n v="3600"/>
    <n v="120"/>
    <n v="612"/>
  </r>
  <r>
    <x v="248"/>
    <s v="MARZO"/>
    <n v="10"/>
    <s v="MARTES"/>
    <x v="7"/>
    <s v="COCA-COLA PET 1.5LX2 RF"/>
    <n v="1728"/>
    <n v="198"/>
    <n v="293.76000000000005"/>
  </r>
  <r>
    <x v="248"/>
    <s v="MARZO"/>
    <n v="10"/>
    <s v="MARTES"/>
    <x v="11"/>
    <s v="TRIPACK (CC+IK)PFM+FT PET 3LX3 - RFNN"/>
    <n v="900"/>
    <n v="90"/>
    <n v="153"/>
  </r>
  <r>
    <x v="248"/>
    <s v="MARZO"/>
    <n v="10"/>
    <s v="MARTES"/>
    <x v="25"/>
    <s v="POWERADE 3MORA+3FRUT PET 473MLX6"/>
    <n v="1350"/>
    <n v="225"/>
    <n v="567"/>
  </r>
  <r>
    <x v="248"/>
    <s v="MARZO"/>
    <n v="10"/>
    <s v="MARTES"/>
    <x v="19"/>
    <s v="POWERADE ION4 MORA AZ PET473X6 MOD(STCK)"/>
    <n v="225"/>
    <n v="225"/>
    <n v="90"/>
  </r>
  <r>
    <x v="248"/>
    <s v="MARZO"/>
    <n v="10"/>
    <s v="MARTES"/>
    <x v="20"/>
    <s v="TRIPACK (FT NAR+SP)PET+IK RF PFM 3L"/>
    <n v="360"/>
    <n v="90"/>
    <n v="61.2"/>
  </r>
  <r>
    <x v="249"/>
    <s v="MARZO"/>
    <n v="10"/>
    <s v="MIÉRCOLES"/>
    <x v="33"/>
    <s v="COCA COLA VR 296MLX24 - STICKER"/>
    <n v="80"/>
    <n v="40"/>
    <n v="18.400000000000002"/>
  </r>
  <r>
    <x v="249"/>
    <s v="MARZO"/>
    <n v="10"/>
    <s v="MIÉRCOLES"/>
    <x v="14"/>
    <s v="INCA KOLA VR 296MLX24 - STICKER"/>
    <n v="120"/>
    <n v="40"/>
    <n v="27.6"/>
  </r>
  <r>
    <x v="249"/>
    <s v="MARZO"/>
    <n v="10"/>
    <s v="MIÉRCOLES"/>
    <x v="15"/>
    <s v="INCA KOLA VR 625MLX12 - STICKER"/>
    <n v="250"/>
    <n v="50"/>
    <n v="100"/>
  </r>
  <r>
    <x v="249"/>
    <s v="MARZO"/>
    <n v="10"/>
    <s v="MIÉRCOLES"/>
    <x v="1"/>
    <s v="COCA-COLA SIN AZUCAR PET 1.5LX2"/>
    <n v="3024"/>
    <n v="198"/>
    <n v="514.08000000000004"/>
  </r>
  <r>
    <x v="249"/>
    <s v="MARZO"/>
    <n v="10"/>
    <s v="MIÉRCOLES"/>
    <x v="2"/>
    <s v="INCA KOLA SIN AZUCAR PET 1.5LX2"/>
    <n v="1728"/>
    <n v="198"/>
    <n v="293.76000000000005"/>
  </r>
  <r>
    <x v="249"/>
    <s v="MARZO"/>
    <n v="10"/>
    <s v="MIÉRCOLES"/>
    <x v="6"/>
    <s v="INCA KOLA PET 3LX2 - RF"/>
    <n v="2400"/>
    <n v="120"/>
    <n v="408.00000000000006"/>
  </r>
  <r>
    <x v="249"/>
    <s v="MARZO"/>
    <n v="10"/>
    <s v="MIÉRCOLES"/>
    <x v="17"/>
    <s v="TWO PACK CC PFM 3LX2 - RFCC"/>
    <n v="1200"/>
    <n v="120"/>
    <n v="204.00000000000003"/>
  </r>
  <r>
    <x v="249"/>
    <s v="MARZO"/>
    <n v="10"/>
    <s v="MIÉRCOLES"/>
    <x v="7"/>
    <s v="COCA-COLA PET 1.5LX2 RF"/>
    <n v="432"/>
    <n v="198"/>
    <n v="73.440000000000012"/>
  </r>
  <r>
    <x v="249"/>
    <s v="MARZO"/>
    <n v="10"/>
    <s v="MIÉRCOLES"/>
    <x v="10"/>
    <s v="TWO PACK CC + IK PFM 3LX2 - RFNN"/>
    <n v="10080"/>
    <n v="120"/>
    <n v="1713.6000000000001"/>
  </r>
  <r>
    <x v="249"/>
    <s v="MARZO"/>
    <n v="10"/>
    <s v="MIÉRCOLES"/>
    <x v="11"/>
    <s v="TRIPACK (CC+IK)PFM+FT PET 3LX3 - RFNN"/>
    <n v="1260"/>
    <n v="90"/>
    <n v="214.20000000000002"/>
  </r>
  <r>
    <x v="249"/>
    <s v="MARZO"/>
    <n v="10"/>
    <s v="MIÉRCOLES"/>
    <x v="20"/>
    <s v="TRIPACK (FT NAR+SP)PET+IK RF PFM 3L"/>
    <n v="360"/>
    <n v="90"/>
    <n v="61.2"/>
  </r>
  <r>
    <x v="249"/>
    <s v="MARZO"/>
    <n v="10"/>
    <s v="MIÉRCOLES"/>
    <x v="2"/>
    <s v="INCA KOLA SIN AZUCAR PET 1.5LX2"/>
    <n v="864"/>
    <n v="198"/>
    <n v="146.88000000000002"/>
  </r>
  <r>
    <x v="249"/>
    <s v="MARZO"/>
    <n v="10"/>
    <s v="MIÉRCOLES"/>
    <x v="5"/>
    <s v="INCA KOLA PET 2.25LX2 RF"/>
    <n v="972"/>
    <n v="162"/>
    <n v="165.24"/>
  </r>
  <r>
    <x v="249"/>
    <s v="MARZO"/>
    <n v="10"/>
    <s v="MIÉRCOLES"/>
    <x v="6"/>
    <s v="INCA KOLA PET 3LX2 - RF"/>
    <n v="2400"/>
    <n v="120"/>
    <n v="408.00000000000006"/>
  </r>
  <r>
    <x v="249"/>
    <s v="MARZO"/>
    <n v="10"/>
    <s v="MIÉRCOLES"/>
    <x v="17"/>
    <s v="TWO PACK CC PFM 3LX2 - RFCC"/>
    <n v="1200"/>
    <n v="120"/>
    <n v="204.00000000000003"/>
  </r>
  <r>
    <x v="249"/>
    <s v="MARZO"/>
    <n v="10"/>
    <s v="MIÉRCOLES"/>
    <x v="7"/>
    <s v="COCA-COLA PET 1.5LX2 RF"/>
    <n v="1080"/>
    <n v="198"/>
    <n v="183.60000000000002"/>
  </r>
  <r>
    <x v="249"/>
    <s v="MARZO"/>
    <n v="10"/>
    <s v="MIÉRCOLES"/>
    <x v="8"/>
    <s v="INCA KOLA PET 1.5LX2 RF"/>
    <n v="1512"/>
    <n v="198"/>
    <n v="257.04000000000002"/>
  </r>
  <r>
    <x v="249"/>
    <s v="MARZO"/>
    <n v="10"/>
    <s v="MIÉRCOLES"/>
    <x v="9"/>
    <s v="TRIPACK FT NAR+FT KI+SP PET 3L"/>
    <n v="450"/>
    <n v="90"/>
    <n v="76.5"/>
  </r>
  <r>
    <x v="249"/>
    <s v="MARZO"/>
    <n v="10"/>
    <s v="MIÉRCOLES"/>
    <x v="23"/>
    <s v="TRIPACK CC+IK+IK PFM 3LX3 - RFNN"/>
    <n v="1440"/>
    <n v="90"/>
    <n v="244.8"/>
  </r>
  <r>
    <x v="249"/>
    <s v="MARZO"/>
    <n v="10"/>
    <s v="MIÉRCOLES"/>
    <x v="64"/>
    <s v="PACK-2 FT NAR+FT KI+FT PIÑA+SP RP 1.5LX8"/>
    <n v="960"/>
    <n v="30"/>
    <n v="201.6"/>
  </r>
  <r>
    <x v="250"/>
    <s v="MARZO"/>
    <n v="10"/>
    <s v="VIERNES"/>
    <x v="1"/>
    <s v="COCA-COLA SIN AZUCAR PET 1.5LX2"/>
    <n v="432"/>
    <n v="198"/>
    <n v="73.440000000000012"/>
  </r>
  <r>
    <x v="250"/>
    <s v="MARZO"/>
    <n v="10"/>
    <s v="VIERNES"/>
    <x v="2"/>
    <s v="INCA KOLA SIN AZUCAR PET 1.5LX2"/>
    <n v="1080"/>
    <n v="198"/>
    <n v="183.60000000000002"/>
  </r>
  <r>
    <x v="250"/>
    <s v="MARZO"/>
    <n v="10"/>
    <s v="VIERNES"/>
    <x v="34"/>
    <s v="TWO PACK CC PET 1.5LX2 - CRC"/>
    <n v="432"/>
    <n v="198"/>
    <n v="73.440000000000012"/>
  </r>
  <r>
    <x v="250"/>
    <s v="MARZO"/>
    <n v="10"/>
    <s v="VIERNES"/>
    <x v="22"/>
    <s v="TWO PACK SCHWEPPES CITRUS PET 1.5LX2"/>
    <n v="792"/>
    <n v="198"/>
    <n v="134.64000000000001"/>
  </r>
  <r>
    <x v="250"/>
    <s v="MARZO"/>
    <n v="10"/>
    <s v="VIERNES"/>
    <x v="3"/>
    <s v="TWO PACK SCHWEPPES GINGER ALE PET 1.5LX2"/>
    <n v="990"/>
    <n v="198"/>
    <n v="168.3"/>
  </r>
  <r>
    <x v="250"/>
    <s v="MARZO"/>
    <n v="10"/>
    <s v="VIERNES"/>
    <x v="4"/>
    <s v="COCA-COLA PET 2.25LX2 RF"/>
    <n v="972"/>
    <n v="162"/>
    <n v="165.24"/>
  </r>
  <r>
    <x v="250"/>
    <s v="MARZO"/>
    <n v="10"/>
    <s v="VIERNES"/>
    <x v="6"/>
    <s v="INCA KOLA PET 3LX2 - RF"/>
    <n v="2400"/>
    <n v="120"/>
    <n v="408.00000000000006"/>
  </r>
  <r>
    <x v="250"/>
    <s v="MARZO"/>
    <n v="10"/>
    <s v="VIERNES"/>
    <x v="17"/>
    <s v="TWO PACK CC PFM 3LX2 - RFCC"/>
    <n v="1800"/>
    <n v="120"/>
    <n v="306"/>
  </r>
  <r>
    <x v="250"/>
    <s v="MARZO"/>
    <n v="10"/>
    <s v="VIERNES"/>
    <x v="10"/>
    <s v="TWO PACK CC + IK PFM 3LX2 - RFNN"/>
    <n v="2160"/>
    <n v="120"/>
    <n v="367.20000000000005"/>
  </r>
  <r>
    <x v="250"/>
    <s v="MARZO"/>
    <n v="10"/>
    <s v="VIERNES"/>
    <x v="26"/>
    <s v="TRIPACK CC+CC+IK PFM 3LX3 - RFNN"/>
    <n v="900"/>
    <n v="90"/>
    <n v="153"/>
  </r>
  <r>
    <x v="250"/>
    <s v="MARZO"/>
    <n v="10"/>
    <s v="VIERNES"/>
    <x v="20"/>
    <s v="TRIPACK (FT NAR+SP)PET+IK RF PFM 3L"/>
    <n v="450"/>
    <n v="90"/>
    <n v="76.5"/>
  </r>
  <r>
    <x v="250"/>
    <s v="MARZO"/>
    <n v="10"/>
    <s v="VIERNES"/>
    <x v="28"/>
    <s v="COCA COLA VR 1.5LX8 - STICKER"/>
    <n v="150"/>
    <n v="30"/>
    <n v="34.5"/>
  </r>
  <r>
    <x v="250"/>
    <s v="MARZO"/>
    <n v="10"/>
    <s v="VIERNES"/>
    <x v="33"/>
    <s v="COCA COLA VR 296MLX24 - STICKER"/>
    <n v="160"/>
    <n v="40"/>
    <n v="36.800000000000004"/>
  </r>
  <r>
    <x v="250"/>
    <s v="MARZO"/>
    <n v="10"/>
    <s v="VIERNES"/>
    <x v="14"/>
    <s v="INCA KOLA VR 296MLX24 - STICKER"/>
    <n v="160"/>
    <n v="40"/>
    <n v="36.800000000000004"/>
  </r>
  <r>
    <x v="250"/>
    <s v="MARZO"/>
    <n v="10"/>
    <s v="VIERNES"/>
    <x v="32"/>
    <s v="MONSTER ENERGY ULTRA 473MLX4"/>
    <n v="840"/>
    <n v="420"/>
    <n v="352.8"/>
  </r>
  <r>
    <x v="250"/>
    <s v="MARZO"/>
    <n v="10"/>
    <s v="VIERNES"/>
    <x v="2"/>
    <s v="INCA KOLA SIN AZUCAR PET 1.5LX2"/>
    <n v="864"/>
    <n v="198"/>
    <n v="146.88000000000002"/>
  </r>
  <r>
    <x v="250"/>
    <s v="MARZO"/>
    <n v="10"/>
    <s v="VIERNES"/>
    <x v="22"/>
    <s v="TWO PACK SCHWEPPES CITRUS PET 1.5LX2"/>
    <n v="396"/>
    <n v="198"/>
    <n v="67.320000000000007"/>
  </r>
  <r>
    <x v="250"/>
    <s v="MARZO"/>
    <n v="10"/>
    <s v="VIERNES"/>
    <x v="3"/>
    <s v="TWO PACK SCHWEPPES GINGER ALE PET 1.5LX2"/>
    <n v="1188"/>
    <n v="198"/>
    <n v="201.96"/>
  </r>
  <r>
    <x v="250"/>
    <s v="MARZO"/>
    <n v="10"/>
    <s v="VIERNES"/>
    <x v="10"/>
    <s v="TWO PACK CC + IK PFM 3LX2 - RFNN"/>
    <n v="480"/>
    <n v="120"/>
    <n v="81.600000000000009"/>
  </r>
  <r>
    <x v="250"/>
    <s v="MARZO"/>
    <n v="10"/>
    <s v="VIERNES"/>
    <x v="43"/>
    <s v="SPRITE PET 500MLX6 BRANDEADO MOD"/>
    <n v="750"/>
    <n v="420"/>
    <n v="315"/>
  </r>
  <r>
    <x v="250"/>
    <s v="MARZO"/>
    <n v="10"/>
    <s v="VIERNES"/>
    <x v="70"/>
    <s v="BND X 6 BOTELLAS X 600ML PUC"/>
    <n v="360"/>
    <n v="180"/>
    <n v="151.19999999999999"/>
  </r>
  <r>
    <x v="250"/>
    <s v="MARZO"/>
    <n v="10"/>
    <s v="VIERNES"/>
    <x v="13"/>
    <s v="INCA KOLA VR 1.5LX8 - STICKER"/>
    <n v="300"/>
    <n v="30"/>
    <n v="120"/>
  </r>
  <r>
    <x v="250"/>
    <s v="MARZO"/>
    <n v="10"/>
    <s v="VIERNES"/>
    <x v="15"/>
    <s v="INCA KOLA VR 625MLX12 - STICKER"/>
    <n v="150"/>
    <n v="50"/>
    <n v="60"/>
  </r>
  <r>
    <x v="250"/>
    <s v="MARZO"/>
    <n v="10"/>
    <s v="VIERNES"/>
    <x v="24"/>
    <s v="MONSTER ENERGY 473MLX4"/>
    <n v="2100"/>
    <n v="420"/>
    <n v="882"/>
  </r>
  <r>
    <x v="250"/>
    <s v="MARZO"/>
    <n v="10"/>
    <s v="VIERNES"/>
    <x v="32"/>
    <s v="MONSTER ENERGY ULTRA 473MLX4"/>
    <n v="420"/>
    <n v="420"/>
    <n v="176.4"/>
  </r>
  <r>
    <x v="250"/>
    <s v="MARZO"/>
    <n v="10"/>
    <s v="VIERNES"/>
    <x v="1"/>
    <s v="COCA-COLA SIN AZUCAR PET 1.5LX2"/>
    <n v="432"/>
    <n v="198"/>
    <n v="73.440000000000012"/>
  </r>
  <r>
    <x v="250"/>
    <s v="MARZO"/>
    <n v="10"/>
    <s v="VIERNES"/>
    <x v="2"/>
    <s v="INCA KOLA SIN AZUCAR PET 1.5LX2"/>
    <n v="1296"/>
    <n v="198"/>
    <n v="220.32000000000002"/>
  </r>
  <r>
    <x v="250"/>
    <s v="MARZO"/>
    <n v="10"/>
    <s v="VIERNES"/>
    <x v="6"/>
    <s v="INCA KOLA PET 3LX2 - RF"/>
    <n v="2400"/>
    <n v="120"/>
    <n v="408.00000000000006"/>
  </r>
  <r>
    <x v="250"/>
    <s v="MARZO"/>
    <n v="10"/>
    <s v="VIERNES"/>
    <x v="7"/>
    <s v="COCA-COLA PET 1.5LX2 RF"/>
    <n v="2596"/>
    <n v="198"/>
    <n v="441.32000000000005"/>
  </r>
  <r>
    <x v="250"/>
    <s v="MARZO"/>
    <n v="10"/>
    <s v="VIERNES"/>
    <x v="8"/>
    <s v="INCA KOLA PET 1.5LX2 RF"/>
    <n v="1728"/>
    <n v="198"/>
    <n v="293.76000000000005"/>
  </r>
  <r>
    <x v="250"/>
    <s v="MARZO"/>
    <n v="10"/>
    <s v="VIERNES"/>
    <x v="10"/>
    <s v="TWO PACK CC + IK PFM 3LX2 - RFNN"/>
    <n v="1440"/>
    <n v="120"/>
    <n v="244.8"/>
  </r>
  <r>
    <x v="250"/>
    <s v="MARZO"/>
    <n v="10"/>
    <s v="VIERNES"/>
    <x v="11"/>
    <s v="TRIPACK (CC+IK)PFM+FT PET 3LX3 - RFNN"/>
    <n v="3240"/>
    <n v="90"/>
    <n v="550.80000000000007"/>
  </r>
  <r>
    <x v="251"/>
    <s v="MARZO"/>
    <n v="10"/>
    <s v="JUEVES"/>
    <x v="0"/>
    <s v="SAN LUIS SIN GAS PET2500X6 STICKER"/>
    <n v="144"/>
    <n v="48"/>
    <n v="57.6"/>
  </r>
  <r>
    <x v="251"/>
    <s v="MARZO"/>
    <n v="10"/>
    <s v="JUEVES"/>
    <x v="1"/>
    <s v="COCA-COLA SIN AZUCAR PET 1.5LX2"/>
    <n v="1728"/>
    <n v="198"/>
    <n v="293.76000000000005"/>
  </r>
  <r>
    <x v="251"/>
    <s v="MARZO"/>
    <n v="10"/>
    <s v="JUEVES"/>
    <x v="2"/>
    <s v="INCA KOLA SIN AZUCAR PET 1.5LX2"/>
    <n v="1080"/>
    <n v="198"/>
    <n v="183.60000000000002"/>
  </r>
  <r>
    <x v="251"/>
    <s v="MARZO"/>
    <n v="10"/>
    <s v="JUEVES"/>
    <x v="7"/>
    <s v="COCA-COLA PET 1.5LX2 RF"/>
    <n v="1728"/>
    <n v="198"/>
    <n v="293.76000000000005"/>
  </r>
  <r>
    <x v="251"/>
    <s v="MARZO"/>
    <n v="10"/>
    <s v="JUEVES"/>
    <x v="8"/>
    <s v="INCA KOLA PET 1.5LX2 RF"/>
    <n v="432"/>
    <n v="198"/>
    <n v="73.440000000000012"/>
  </r>
  <r>
    <x v="251"/>
    <s v="MARZO"/>
    <n v="10"/>
    <s v="JUEVES"/>
    <x v="9"/>
    <s v="TRIPACK FT NAR+FT KI+SP PET 3L"/>
    <n v="900"/>
    <n v="90"/>
    <n v="153"/>
  </r>
  <r>
    <x v="251"/>
    <s v="MARZO"/>
    <n v="10"/>
    <s v="JUEVES"/>
    <x v="23"/>
    <s v="TRIPACK CC+IK+IK PFM 3LX3 - RFNN"/>
    <n v="500"/>
    <n v="90"/>
    <n v="85"/>
  </r>
  <r>
    <x v="251"/>
    <s v="MARZO"/>
    <n v="10"/>
    <s v="JUEVES"/>
    <x v="11"/>
    <s v="TRIPACK (CC+IK)PFM+FT PET 3LX3 - RFNN"/>
    <n v="1260"/>
    <n v="90"/>
    <n v="214.20000000000002"/>
  </r>
  <r>
    <x v="251"/>
    <s v="MARZO"/>
    <n v="10"/>
    <s v="JUEVES"/>
    <x v="15"/>
    <s v="INCA KOLA VR 625MLX12 - STICKER"/>
    <n v="250"/>
    <n v="50"/>
    <n v="100"/>
  </r>
  <r>
    <x v="251"/>
    <s v="MARZO"/>
    <n v="10"/>
    <s v="JUEVES"/>
    <x v="1"/>
    <s v="COCA-COLA SIN AZUCAR PET 1.5LX2"/>
    <n v="864"/>
    <n v="198"/>
    <n v="146.88000000000002"/>
  </r>
  <r>
    <x v="251"/>
    <s v="MARZO"/>
    <n v="10"/>
    <s v="JUEVES"/>
    <x v="22"/>
    <s v="TWO PACK SCHWEPPES CITRUS PET 1.5LX2"/>
    <n v="594"/>
    <n v="198"/>
    <n v="100.98"/>
  </r>
  <r>
    <x v="251"/>
    <s v="MARZO"/>
    <n v="10"/>
    <s v="JUEVES"/>
    <x v="3"/>
    <s v="TWO PACK SCHWEPPES GINGER ALE PET 1.5LX2"/>
    <n v="198"/>
    <n v="198"/>
    <n v="33.660000000000004"/>
  </r>
  <r>
    <x v="251"/>
    <s v="MARZO"/>
    <n v="10"/>
    <s v="JUEVES"/>
    <x v="7"/>
    <s v="COCA-COLA PET 1.5LX2 RF"/>
    <n v="648"/>
    <n v="198"/>
    <n v="110.16000000000001"/>
  </r>
  <r>
    <x v="251"/>
    <s v="MARZO"/>
    <n v="10"/>
    <s v="JUEVES"/>
    <x v="9"/>
    <s v="TRIPACK FT NAR+FT KI+SP PET 3L"/>
    <n v="450"/>
    <n v="90"/>
    <n v="76.5"/>
  </r>
  <r>
    <x v="251"/>
    <s v="MARZO"/>
    <n v="10"/>
    <s v="JUEVES"/>
    <x v="25"/>
    <s v="POWERADE 3MORA+3FRUT PET 473MLX6"/>
    <n v="1800"/>
    <n v="225"/>
    <n v="756"/>
  </r>
  <r>
    <x v="251"/>
    <s v="MARZO"/>
    <n v="10"/>
    <s v="JUEVES"/>
    <x v="28"/>
    <s v="COCA COLA VR 1.5LX8 - STICKER"/>
    <n v="150"/>
    <n v="30"/>
    <n v="34.5"/>
  </r>
  <r>
    <x v="251"/>
    <s v="MARZO"/>
    <n v="10"/>
    <s v="JUEVES"/>
    <x v="33"/>
    <s v="COCA COLA VR 296MLX24 - STICKER"/>
    <n v="80"/>
    <n v="40"/>
    <n v="18.400000000000002"/>
  </r>
  <r>
    <x v="251"/>
    <s v="MARZO"/>
    <n v="10"/>
    <s v="JUEVES"/>
    <x v="14"/>
    <s v="INCA KOLA VR 296MLX24 - STICKER"/>
    <n v="80"/>
    <n v="40"/>
    <n v="18.400000000000002"/>
  </r>
  <r>
    <x v="251"/>
    <s v="MARZO"/>
    <n v="10"/>
    <s v="JUEVES"/>
    <x v="40"/>
    <s v="SAN LUIS SPORT S/G 10 Lt x6 "/>
    <n v="336"/>
    <n v="240"/>
    <n v="134.4"/>
  </r>
  <r>
    <x v="251"/>
    <s v="MARZO"/>
    <n v="10"/>
    <s v="JUEVES"/>
    <x v="38"/>
    <s v="SL S/G TAPA PLANA 1LT"/>
    <n v="224"/>
    <n v="112"/>
    <n v="89.600000000000009"/>
  </r>
  <r>
    <x v="251"/>
    <s v="MARZO"/>
    <n v="10"/>
    <s v="JUEVES"/>
    <x v="32"/>
    <s v="MONSTER ENERGY ULTRA 473MLX4"/>
    <n v="1680"/>
    <n v="420"/>
    <n v="705.6"/>
  </r>
  <r>
    <x v="251"/>
    <s v="MARZO"/>
    <n v="10"/>
    <s v="JUEVES"/>
    <x v="1"/>
    <s v="COCA-COLA SIN AZUCAR PET 1.5LX2"/>
    <n v="1080"/>
    <n v="198"/>
    <n v="183.60000000000002"/>
  </r>
  <r>
    <x v="251"/>
    <s v="MARZO"/>
    <n v="10"/>
    <s v="JUEVES"/>
    <x v="2"/>
    <s v="INCA KOLA SIN AZUCAR PET 1.5LX2"/>
    <n v="432"/>
    <n v="198"/>
    <n v="73.440000000000012"/>
  </r>
  <r>
    <x v="251"/>
    <s v="MARZO"/>
    <n v="10"/>
    <s v="JUEVES"/>
    <x v="3"/>
    <s v="TWO PACK SCHWEPPES GINGER ALE PET 1.5LX2"/>
    <n v="396"/>
    <n v="198"/>
    <n v="67.320000000000007"/>
  </r>
  <r>
    <x v="251"/>
    <s v="MARZO"/>
    <n v="10"/>
    <s v="JUEVES"/>
    <x v="4"/>
    <s v="COCA-COLA PET 2.25LX2 RF"/>
    <n v="486"/>
    <n v="162"/>
    <n v="82.62"/>
  </r>
  <r>
    <x v="251"/>
    <s v="MARZO"/>
    <n v="10"/>
    <s v="JUEVES"/>
    <x v="10"/>
    <s v="TWO PACK CC + IK PFM 3LX2 - RFNN"/>
    <n v="12000"/>
    <n v="120"/>
    <n v="2040.0000000000002"/>
  </r>
  <r>
    <x v="251"/>
    <s v="MARZO"/>
    <n v="10"/>
    <s v="JUEVES"/>
    <x v="12"/>
    <s v="POWERADE ION4 FRUTA PET473X6 MOD (STICK)"/>
    <n v="450"/>
    <n v="225"/>
    <n v="180"/>
  </r>
  <r>
    <x v="251"/>
    <s v="MARZO"/>
    <n v="10"/>
    <s v="JUEVES"/>
    <x v="19"/>
    <s v="POWERADE ION4 MORA AZ PET473X6 MOD(STCK)"/>
    <n v="675"/>
    <n v="225"/>
    <n v="270"/>
  </r>
  <r>
    <x v="251"/>
    <s v="MARZO"/>
    <n v="10"/>
    <s v="JUEVES"/>
    <x v="42"/>
    <s v="FANTA NARANJA PET 500MLX6 BRANDEADO MOD"/>
    <n v="500"/>
    <n v="420"/>
    <n v="210"/>
  </r>
  <r>
    <x v="252"/>
    <s v="MARZO"/>
    <n v="11"/>
    <s v="SÁBADO"/>
    <x v="13"/>
    <s v="INCA KOLA VR 1.5LX8 - STICKER"/>
    <n v="300"/>
    <n v="30"/>
    <n v="120"/>
  </r>
  <r>
    <x v="252"/>
    <s v="MARZO"/>
    <n v="11"/>
    <s v="SÁBADO"/>
    <x v="24"/>
    <s v="MONSTER ENERGY 473MLX4"/>
    <n v="840"/>
    <n v="420"/>
    <n v="352.8"/>
  </r>
  <r>
    <x v="252"/>
    <s v="MARZO"/>
    <n v="11"/>
    <s v="SÁBADO"/>
    <x v="32"/>
    <s v="MONSTER ENERGY ULTRA 473MLX4"/>
    <n v="2100"/>
    <n v="420"/>
    <n v="882"/>
  </r>
  <r>
    <x v="252"/>
    <s v="MARZO"/>
    <n v="11"/>
    <s v="SÁBADO"/>
    <x v="1"/>
    <s v="COCA-COLA SIN AZUCAR PET 1.5LX2"/>
    <n v="1728"/>
    <n v="198"/>
    <n v="293.76000000000005"/>
  </r>
  <r>
    <x v="252"/>
    <s v="MARZO"/>
    <n v="11"/>
    <s v="SÁBADO"/>
    <x v="5"/>
    <s v="INCA KOLA PET 2.25LX2 RF"/>
    <n v="648"/>
    <n v="162"/>
    <n v="110.16000000000001"/>
  </r>
  <r>
    <x v="252"/>
    <s v="MARZO"/>
    <n v="11"/>
    <s v="SÁBADO"/>
    <x v="10"/>
    <s v="TWO PACK CC + IK PFM 3LX2 - RFNN"/>
    <n v="12960"/>
    <n v="120"/>
    <n v="2203.2000000000003"/>
  </r>
  <r>
    <x v="252"/>
    <s v="MARZO"/>
    <n v="11"/>
    <s v="SÁBADO"/>
    <x v="12"/>
    <s v="POWERADE ION4 FRUTA PET473X6 MOD (STICK)"/>
    <n v="900"/>
    <n v="225"/>
    <n v="360"/>
  </r>
  <r>
    <x v="252"/>
    <s v="MARZO"/>
    <n v="11"/>
    <s v="SÁBADO"/>
    <x v="19"/>
    <s v="POWERADE ION4 MORA AZ PET473X6 MOD(STCK)"/>
    <n v="450"/>
    <n v="225"/>
    <n v="180"/>
  </r>
  <r>
    <x v="252"/>
    <s v="MARZO"/>
    <n v="11"/>
    <s v="SÁBADO"/>
    <x v="40"/>
    <s v="SAN LUIS SPORT S/G 10 Lt x6 "/>
    <n v="336"/>
    <n v="240"/>
    <n v="134.4"/>
  </r>
  <r>
    <x v="252"/>
    <s v="MARZO"/>
    <n v="11"/>
    <s v="SÁBADO"/>
    <x v="38"/>
    <s v="SL S/G TAPA PLANA 1LT"/>
    <n v="448"/>
    <n v="112"/>
    <n v="179.20000000000002"/>
  </r>
  <r>
    <x v="252"/>
    <s v="MARZO"/>
    <n v="11"/>
    <s v="SÁBADO"/>
    <x v="24"/>
    <s v="MONSTER ENERGY 473MLX4"/>
    <n v="1260"/>
    <n v="420"/>
    <n v="529.19999999999993"/>
  </r>
  <r>
    <x v="252"/>
    <s v="MARZO"/>
    <n v="11"/>
    <s v="SÁBADO"/>
    <x v="16"/>
    <s v="SAN LUIS CON GAS PET 625MLX6"/>
    <n v="1260"/>
    <n v="180"/>
    <n v="529.19999999999993"/>
  </r>
  <r>
    <x v="252"/>
    <s v="MARZO"/>
    <n v="11"/>
    <s v="SÁBADO"/>
    <x v="10"/>
    <s v="TWO PACK CC + IK PFM 3LX2 - RFNN"/>
    <n v="2880"/>
    <n v="120"/>
    <n v="489.6"/>
  </r>
  <r>
    <x v="252"/>
    <s v="MARZO"/>
    <n v="11"/>
    <s v="SÁBADO"/>
    <x v="43"/>
    <s v="SPRITE PET 500MLX6 BRANDEADO MOD"/>
    <n v="500"/>
    <n v="420"/>
    <n v="210"/>
  </r>
  <r>
    <x v="253"/>
    <s v="MARZO"/>
    <n v="11"/>
    <s v="LUNES"/>
    <x v="38"/>
    <s v="SL S/G TAPA PLANA 1LT"/>
    <n v="448"/>
    <n v="112"/>
    <n v="179.20000000000002"/>
  </r>
  <r>
    <x v="253"/>
    <s v="MARZO"/>
    <n v="11"/>
    <s v="LUNES"/>
    <x v="16"/>
    <s v="SAN LUIS CON GAS PET 625MLX6"/>
    <n v="540"/>
    <n v="180"/>
    <n v="226.79999999999998"/>
  </r>
  <r>
    <x v="253"/>
    <s v="MARZO"/>
    <n v="11"/>
    <s v="LUNES"/>
    <x v="1"/>
    <s v="COCA-COLA SIN AZUCAR PET 1.5LX2"/>
    <n v="2160"/>
    <n v="198"/>
    <n v="367.20000000000005"/>
  </r>
  <r>
    <x v="253"/>
    <s v="MARZO"/>
    <n v="11"/>
    <s v="LUNES"/>
    <x v="2"/>
    <s v="INCA KOLA SIN AZUCAR PET 1.5LX2"/>
    <n v="2160"/>
    <n v="198"/>
    <n v="367.20000000000005"/>
  </r>
  <r>
    <x v="253"/>
    <s v="MARZO"/>
    <n v="11"/>
    <s v="LUNES"/>
    <x v="22"/>
    <s v="TWO PACK SCHWEPPES CITRUS PET 1.5LX2"/>
    <n v="792"/>
    <n v="198"/>
    <n v="134.64000000000001"/>
  </r>
  <r>
    <x v="253"/>
    <s v="MARZO"/>
    <n v="11"/>
    <s v="LUNES"/>
    <x v="3"/>
    <s v="TWO PACK SCHWEPPES GINGER ALE PET 1.5LX2"/>
    <n v="792"/>
    <n v="198"/>
    <n v="134.64000000000001"/>
  </r>
  <r>
    <x v="253"/>
    <s v="MARZO"/>
    <n v="11"/>
    <s v="LUNES"/>
    <x v="4"/>
    <s v="COCA-COLA PET 2.25LX2 RF"/>
    <n v="324"/>
    <n v="162"/>
    <n v="55.080000000000005"/>
  </r>
  <r>
    <x v="253"/>
    <s v="MARZO"/>
    <n v="11"/>
    <s v="LUNES"/>
    <x v="6"/>
    <s v="INCA KOLA PET 3LX2 - RF"/>
    <n v="4800"/>
    <n v="120"/>
    <n v="816.00000000000011"/>
  </r>
  <r>
    <x v="253"/>
    <s v="MARZO"/>
    <n v="11"/>
    <s v="LUNES"/>
    <x v="17"/>
    <s v="TWO PACK CC PFM 3LX2 - RFCC"/>
    <n v="840"/>
    <n v="120"/>
    <n v="142.80000000000001"/>
  </r>
  <r>
    <x v="253"/>
    <s v="MARZO"/>
    <n v="11"/>
    <s v="LUNES"/>
    <x v="7"/>
    <s v="COCA-COLA PET 1.5LX2 RF"/>
    <n v="1080"/>
    <n v="198"/>
    <n v="183.60000000000002"/>
  </r>
  <r>
    <x v="253"/>
    <s v="MARZO"/>
    <n v="11"/>
    <s v="LUNES"/>
    <x v="8"/>
    <s v="INCA KOLA PET 1.5LX2 RF"/>
    <n v="1512"/>
    <n v="198"/>
    <n v="257.04000000000002"/>
  </r>
  <r>
    <x v="253"/>
    <s v="MARZO"/>
    <n v="11"/>
    <s v="LUNES"/>
    <x v="23"/>
    <s v="TRIPACK CC+IK+IK PFM 3LX3 - RFNN"/>
    <n v="900"/>
    <n v="90"/>
    <n v="153"/>
  </r>
  <r>
    <x v="253"/>
    <s v="MARZO"/>
    <n v="11"/>
    <s v="LUNES"/>
    <x v="25"/>
    <s v="POWERADE 3MORA+3FRUT PET 473MLX6"/>
    <n v="1800"/>
    <n v="225"/>
    <n v="756"/>
  </r>
  <r>
    <x v="253"/>
    <s v="MARZO"/>
    <n v="11"/>
    <s v="LUNES"/>
    <x v="43"/>
    <s v="SPRITE PET 500MLX6 BRANDEADO MOD"/>
    <n v="1000"/>
    <n v="420"/>
    <n v="420"/>
  </r>
  <r>
    <x v="253"/>
    <s v="MARZO"/>
    <n v="11"/>
    <s v="LUNES"/>
    <x v="24"/>
    <s v="MONSTER ENERGY 473MLX4"/>
    <n v="1260"/>
    <n v="420"/>
    <n v="529.19999999999993"/>
  </r>
  <r>
    <x v="254"/>
    <s v="MARZO"/>
    <n v="11"/>
    <s v="DOMINGO"/>
    <x v="25"/>
    <s v="POWERADE 3MORA+3FRUT PET 473MLX6"/>
    <n v="2250"/>
    <n v="225"/>
    <n v="945"/>
  </r>
  <r>
    <x v="253"/>
    <s v="MARZO"/>
    <n v="11"/>
    <s v="LUNES"/>
    <x v="28"/>
    <s v="COCA COLA VR 1.5LX8 - STICKER"/>
    <n v="240"/>
    <n v="30"/>
    <n v="55.2"/>
  </r>
  <r>
    <x v="253"/>
    <s v="MARZO"/>
    <n v="11"/>
    <s v="LUNES"/>
    <x v="15"/>
    <s v="INCA KOLA VR 625MLX12 - STICKER"/>
    <n v="300"/>
    <n v="50"/>
    <n v="120"/>
  </r>
  <r>
    <x v="253"/>
    <s v="MARZO"/>
    <n v="11"/>
    <s v="LUNES"/>
    <x v="0"/>
    <s v="SAN LUIS SIN GAS PET2500X6 STICKER"/>
    <n v="960"/>
    <n v="48"/>
    <n v="384"/>
  </r>
  <r>
    <x v="253"/>
    <s v="MARZO"/>
    <n v="11"/>
    <s v="LUNES"/>
    <x v="24"/>
    <s v="MONSTER ENERGY 473MLX4"/>
    <n v="840"/>
    <n v="420"/>
    <n v="352.8"/>
  </r>
  <r>
    <x v="253"/>
    <s v="MARZO"/>
    <n v="11"/>
    <s v="LUNES"/>
    <x v="17"/>
    <s v="TWO PACK CC PFM 3LX2 - RFCC"/>
    <n v="360"/>
    <n v="120"/>
    <n v="61.2"/>
  </r>
  <r>
    <x v="253"/>
    <s v="MARZO"/>
    <n v="11"/>
    <s v="LUNES"/>
    <x v="8"/>
    <s v="INCA KOLA PET 1.5LX2 RF"/>
    <n v="648"/>
    <n v="198"/>
    <n v="110.16000000000001"/>
  </r>
  <r>
    <x v="253"/>
    <s v="MARZO"/>
    <n v="11"/>
    <s v="LUNES"/>
    <x v="10"/>
    <s v="TWO PACK CC + IK PFM 3LX2 - RFNN"/>
    <n v="3360"/>
    <n v="120"/>
    <n v="571.20000000000005"/>
  </r>
  <r>
    <x v="253"/>
    <s v="MARZO"/>
    <n v="11"/>
    <s v="LUNES"/>
    <x v="23"/>
    <s v="TRIPACK CC+IK+IK PFM 3LX3 - RFNN"/>
    <n v="900"/>
    <n v="90"/>
    <n v="153"/>
  </r>
  <r>
    <x v="253"/>
    <s v="MARZO"/>
    <n v="11"/>
    <s v="LUNES"/>
    <x v="11"/>
    <s v="TRIPACK (CC+IK)PFM+FT PET 3LX3 - RFNN"/>
    <n v="3690"/>
    <n v="90"/>
    <n v="627.30000000000007"/>
  </r>
  <r>
    <x v="253"/>
    <s v="MARZO"/>
    <n v="11"/>
    <s v="LUNES"/>
    <x v="9"/>
    <s v="TRIPACK FT NAR+FT KI+SP PET 3L"/>
    <n v="900"/>
    <n v="90"/>
    <n v="153"/>
  </r>
  <r>
    <x v="253"/>
    <s v="MARZO"/>
    <n v="11"/>
    <s v="LUNES"/>
    <x v="10"/>
    <s v="TWO PACK CC + IK PFM 3LX2 - RFNN"/>
    <n v="5760"/>
    <n v="120"/>
    <n v="979.2"/>
  </r>
  <r>
    <x v="253"/>
    <s v="MARZO"/>
    <n v="11"/>
    <s v="LUNES"/>
    <x v="11"/>
    <s v="TRIPACK (CC+IK)PFM+FT PET 3LX3 - RFNN"/>
    <n v="2160"/>
    <n v="90"/>
    <n v="367.20000000000005"/>
  </r>
  <r>
    <x v="253"/>
    <s v="MARZO"/>
    <n v="11"/>
    <s v="LUNES"/>
    <x v="42"/>
    <s v="FANTA NARANJA PET 500MLX6 BRANDEADO MOD"/>
    <n v="250"/>
    <n v="420"/>
    <n v="105"/>
  </r>
  <r>
    <x v="253"/>
    <s v="MARZO"/>
    <n v="11"/>
    <s v="LUNES"/>
    <x v="11"/>
    <s v="TRIPACK (CC+IK)PFM+FT PET 3LX3 - RFNN"/>
    <n v="360"/>
    <n v="90"/>
    <n v="61.2"/>
  </r>
  <r>
    <x v="253"/>
    <s v="MARZO"/>
    <n v="11"/>
    <s v="LUNES"/>
    <x v="25"/>
    <s v="POWERADE 3MORA+3FRUT PET 473MLX6"/>
    <n v="225"/>
    <n v="225"/>
    <n v="94.5"/>
  </r>
  <r>
    <x v="255"/>
    <s v="MARZO"/>
    <n v="11"/>
    <s v="MARTES"/>
    <x v="40"/>
    <s v="SAN LUIS SPORT S/G 10 Lt x6 "/>
    <n v="224"/>
    <n v="240"/>
    <n v="89.600000000000009"/>
  </r>
  <r>
    <x v="255"/>
    <s v="MARZO"/>
    <n v="11"/>
    <s v="MARTES"/>
    <x v="4"/>
    <s v="COCA-COLA PET 2.25LX2 RF"/>
    <n v="648"/>
    <n v="162"/>
    <n v="110.16000000000001"/>
  </r>
  <r>
    <x v="255"/>
    <s v="MARZO"/>
    <n v="11"/>
    <s v="MARTES"/>
    <x v="5"/>
    <s v="INCA KOLA PET 2.25LX2 RF"/>
    <n v="810"/>
    <n v="162"/>
    <n v="137.70000000000002"/>
  </r>
  <r>
    <x v="255"/>
    <s v="MARZO"/>
    <n v="11"/>
    <s v="MARTES"/>
    <x v="6"/>
    <s v="INCA KOLA PET 3LX2 - RF"/>
    <n v="3000"/>
    <n v="120"/>
    <n v="510.00000000000006"/>
  </r>
  <r>
    <x v="255"/>
    <s v="MARZO"/>
    <n v="11"/>
    <s v="MARTES"/>
    <x v="17"/>
    <s v="TWO PACK CC PFM 3LX2 - RFCC"/>
    <n v="1800"/>
    <n v="120"/>
    <n v="306"/>
  </r>
  <r>
    <x v="255"/>
    <s v="MARZO"/>
    <n v="11"/>
    <s v="MARTES"/>
    <x v="8"/>
    <s v="INCA KOLA PET 1.5LX2 RF"/>
    <n v="1080"/>
    <n v="198"/>
    <n v="183.60000000000002"/>
  </r>
  <r>
    <x v="255"/>
    <s v="MARZO"/>
    <n v="11"/>
    <s v="MARTES"/>
    <x v="9"/>
    <s v="TRIPACK FT NAR+FT KI+SP PET 3L"/>
    <n v="450"/>
    <n v="90"/>
    <n v="76.5"/>
  </r>
  <r>
    <x v="255"/>
    <s v="MARZO"/>
    <n v="11"/>
    <s v="MARTES"/>
    <x v="23"/>
    <s v="TRIPACK CC+IK+IK PFM 3LX3 - RFNN"/>
    <n v="720"/>
    <n v="90"/>
    <n v="122.4"/>
  </r>
  <r>
    <x v="255"/>
    <s v="MARZO"/>
    <n v="11"/>
    <s v="MARTES"/>
    <x v="11"/>
    <s v="TRIPACK (CC+IK)PFM+FT PET 3LX3 - RFNN"/>
    <n v="900"/>
    <n v="90"/>
    <n v="153"/>
  </r>
  <r>
    <x v="255"/>
    <s v="MARZO"/>
    <n v="11"/>
    <s v="MARTES"/>
    <x v="28"/>
    <s v="COCA COLA VR 1.5LX8 - STICKER"/>
    <n v="240"/>
    <n v="30"/>
    <n v="55.2"/>
  </r>
  <r>
    <x v="255"/>
    <s v="MARZO"/>
    <n v="11"/>
    <s v="MARTES"/>
    <x v="13"/>
    <s v="INCA KOLA VR 1.5LX8 - STICKER"/>
    <n v="300"/>
    <n v="30"/>
    <n v="120"/>
  </r>
  <r>
    <x v="255"/>
    <s v="MARZO"/>
    <n v="11"/>
    <s v="MARTES"/>
    <x v="40"/>
    <s v="SAN LUIS SPORT S/G 10 Lt x6 "/>
    <n v="112"/>
    <n v="240"/>
    <n v="44.800000000000004"/>
  </r>
  <r>
    <x v="255"/>
    <s v="MARZO"/>
    <n v="11"/>
    <s v="MARTES"/>
    <x v="0"/>
    <s v="SAN LUIS SIN GAS PET2500X6 STICKER"/>
    <n v="480"/>
    <n v="48"/>
    <n v="192"/>
  </r>
  <r>
    <x v="255"/>
    <s v="MARZO"/>
    <n v="11"/>
    <s v="MARTES"/>
    <x v="24"/>
    <s v="MONSTER ENERGY 473MLX4"/>
    <n v="3360"/>
    <n v="420"/>
    <n v="1411.2"/>
  </r>
  <r>
    <x v="255"/>
    <s v="MARZO"/>
    <n v="11"/>
    <s v="MARTES"/>
    <x v="9"/>
    <s v="TRIPACK FT NAR+FT KI+SP PET 3L"/>
    <n v="270"/>
    <n v="90"/>
    <n v="45.900000000000006"/>
  </r>
  <r>
    <x v="255"/>
    <s v="MARZO"/>
    <n v="11"/>
    <s v="MARTES"/>
    <x v="10"/>
    <s v="TWO PACK CC + IK PFM 3LX2 - RFNN"/>
    <n v="4800"/>
    <n v="120"/>
    <n v="816.00000000000011"/>
  </r>
  <r>
    <x v="255"/>
    <s v="MARZO"/>
    <n v="11"/>
    <s v="MARTES"/>
    <x v="24"/>
    <s v="MONSTER ENERGY 473MLX4"/>
    <n v="2940"/>
    <n v="420"/>
    <n v="1234.8"/>
  </r>
  <r>
    <x v="255"/>
    <s v="MARZO"/>
    <n v="11"/>
    <s v="MARTES"/>
    <x v="10"/>
    <s v="TWO PACK CC + IK PFM 3LX2 - RFNN"/>
    <n v="7200"/>
    <n v="120"/>
    <n v="1224"/>
  </r>
  <r>
    <x v="255"/>
    <s v="MARZO"/>
    <n v="11"/>
    <s v="MARTES"/>
    <x v="12"/>
    <s v="POWERADE ION4 FRUTA PET473X6 MOD (STICK)"/>
    <n v="450"/>
    <n v="225"/>
    <n v="180"/>
  </r>
  <r>
    <x v="255"/>
    <s v="MARZO"/>
    <n v="11"/>
    <s v="MARTES"/>
    <x v="19"/>
    <s v="POWERADE ION4 MORA AZ PET473X6 MOD(STCK)"/>
    <n v="225"/>
    <n v="225"/>
    <n v="90"/>
  </r>
  <r>
    <x v="255"/>
    <s v="MARZO"/>
    <n v="11"/>
    <s v="MARTES"/>
    <x v="70"/>
    <s v="BND X 6 BOTELLAS X 600ML PUC"/>
    <n v="540"/>
    <n v="180"/>
    <n v="226.79999999999998"/>
  </r>
  <r>
    <x v="255"/>
    <s v="MARZO"/>
    <n v="11"/>
    <s v="MARTES"/>
    <x v="42"/>
    <s v="FANTA NARANJA PET 500MLX6 BRANDEADO MOD"/>
    <n v="250"/>
    <n v="420"/>
    <n v="105"/>
  </r>
  <r>
    <x v="256"/>
    <s v="MARZO"/>
    <n v="11"/>
    <s v="MIÉRCOLES"/>
    <x v="36"/>
    <s v="SAN LUIS SIN GAS PET 625MLX15 C/STICKER"/>
    <n v="720"/>
    <n v="90"/>
    <n v="288"/>
  </r>
  <r>
    <x v="256"/>
    <s v="MARZO"/>
    <n v="11"/>
    <s v="MIÉRCOLES"/>
    <x v="38"/>
    <s v="SL S/G TAPA PLANA 1LT"/>
    <n v="336"/>
    <n v="112"/>
    <n v="134.4"/>
  </r>
  <r>
    <x v="256"/>
    <s v="MARZO"/>
    <n v="11"/>
    <s v="MIÉRCOLES"/>
    <x v="34"/>
    <s v="TWO PACK CC PET 1.5LX2 - CRC"/>
    <n v="216"/>
    <n v="198"/>
    <n v="36.720000000000006"/>
  </r>
  <r>
    <x v="256"/>
    <s v="MARZO"/>
    <n v="11"/>
    <s v="MIÉRCOLES"/>
    <x v="22"/>
    <s v="TWO PACK SCHWEPPES CITRUS PET 1.5LX2"/>
    <n v="990"/>
    <n v="198"/>
    <n v="168.3"/>
  </r>
  <r>
    <x v="256"/>
    <s v="MARZO"/>
    <n v="11"/>
    <s v="MIÉRCOLES"/>
    <x v="3"/>
    <s v="TWO PACK SCHWEPPES GINGER ALE PET 1.5LX2"/>
    <n v="990"/>
    <n v="198"/>
    <n v="168.3"/>
  </r>
  <r>
    <x v="256"/>
    <s v="MARZO"/>
    <n v="11"/>
    <s v="MIÉRCOLES"/>
    <x v="6"/>
    <s v="INCA KOLA PET 3LX2 - RF"/>
    <n v="2400"/>
    <n v="120"/>
    <n v="408.00000000000006"/>
  </r>
  <r>
    <x v="256"/>
    <s v="MARZO"/>
    <n v="11"/>
    <s v="MIÉRCOLES"/>
    <x v="7"/>
    <s v="COCA-COLA PET 1.5LX2 RF"/>
    <n v="3240"/>
    <n v="198"/>
    <n v="550.80000000000007"/>
  </r>
  <r>
    <x v="256"/>
    <s v="MARZO"/>
    <n v="11"/>
    <s v="MIÉRCOLES"/>
    <x v="8"/>
    <s v="INCA KOLA PET 1.5LX2 RF"/>
    <n v="1296"/>
    <n v="198"/>
    <n v="220.32000000000002"/>
  </r>
  <r>
    <x v="256"/>
    <s v="MARZO"/>
    <n v="11"/>
    <s v="MIÉRCOLES"/>
    <x v="26"/>
    <s v="TRIPACK CC+CC+IK PFM 3LX3 - RFNN"/>
    <n v="450"/>
    <n v="90"/>
    <n v="76.5"/>
  </r>
  <r>
    <x v="256"/>
    <s v="MARZO"/>
    <n v="11"/>
    <s v="MIÉRCOLES"/>
    <x v="23"/>
    <s v="TRIPACK CC+IK+IK PFM 3LX3 - RFNN"/>
    <n v="450"/>
    <n v="90"/>
    <n v="76.5"/>
  </r>
  <r>
    <x v="256"/>
    <s v="MARZO"/>
    <n v="11"/>
    <s v="MIÉRCOLES"/>
    <x v="20"/>
    <s v="TRIPACK (FT NAR+SP)PET+IK RF PFM 3L"/>
    <n v="450"/>
    <n v="90"/>
    <n v="76.5"/>
  </r>
  <r>
    <x v="256"/>
    <s v="MARZO"/>
    <n v="11"/>
    <s v="MIÉRCOLES"/>
    <x v="42"/>
    <s v="FANTA NARANJA PET 500MLX6 BRANDEADO MOD"/>
    <n v="750"/>
    <n v="420"/>
    <n v="315"/>
  </r>
  <r>
    <x v="256"/>
    <s v="MARZO"/>
    <n v="11"/>
    <s v="MIÉRCOLES"/>
    <x v="44"/>
    <s v="INCA KOLA SA ALUMINIO-3 DISEÑOS 330MLX12"/>
    <n v="375"/>
    <n v="420"/>
    <n v="157.5"/>
  </r>
  <r>
    <x v="257"/>
    <s v="MARZO"/>
    <n v="11"/>
    <s v="VIERNES"/>
    <x v="28"/>
    <s v="COCA COLA VR 1.5LX8 - STICKER"/>
    <n v="180"/>
    <n v="30"/>
    <n v="41.4"/>
  </r>
  <r>
    <x v="257"/>
    <s v="MARZO"/>
    <n v="11"/>
    <s v="VIERNES"/>
    <x v="13"/>
    <s v="INCA KOLA VR 1.5LX8 - STICKER"/>
    <n v="180"/>
    <n v="30"/>
    <n v="72"/>
  </r>
  <r>
    <x v="257"/>
    <s v="MARZO"/>
    <n v="11"/>
    <s v="VIERNES"/>
    <x v="36"/>
    <s v="SAN LUIS SIN GAS PET 625MLX15 C/STICKER"/>
    <n v="180"/>
    <n v="90"/>
    <n v="72"/>
  </r>
  <r>
    <x v="257"/>
    <s v="MARZO"/>
    <n v="11"/>
    <s v="VIERNES"/>
    <x v="0"/>
    <s v="SAN LUIS SIN GAS PET2500X6 STICKER"/>
    <n v="960"/>
    <n v="48"/>
    <n v="384"/>
  </r>
  <r>
    <x v="257"/>
    <s v="MARZO"/>
    <n v="11"/>
    <s v="VIERNES"/>
    <x v="22"/>
    <s v="TWO PACK SCHWEPPES CITRUS PET 1.5LX2"/>
    <n v="396"/>
    <n v="198"/>
    <n v="67.320000000000007"/>
  </r>
  <r>
    <x v="257"/>
    <s v="MARZO"/>
    <n v="11"/>
    <s v="VIERNES"/>
    <x v="3"/>
    <s v="TWO PACK SCHWEPPES GINGER ALE PET 1.5LX2"/>
    <n v="396"/>
    <n v="198"/>
    <n v="67.320000000000007"/>
  </r>
  <r>
    <x v="257"/>
    <s v="MARZO"/>
    <n v="11"/>
    <s v="VIERNES"/>
    <x v="4"/>
    <s v="COCA-COLA PET 2.25LX2 RF"/>
    <n v="810"/>
    <n v="162"/>
    <n v="137.70000000000002"/>
  </r>
  <r>
    <x v="257"/>
    <s v="MARZO"/>
    <n v="11"/>
    <s v="VIERNES"/>
    <x v="5"/>
    <s v="INCA KOLA PET 2.25LX2 RF"/>
    <n v="324"/>
    <n v="162"/>
    <n v="55.080000000000005"/>
  </r>
  <r>
    <x v="257"/>
    <s v="MARZO"/>
    <n v="11"/>
    <s v="VIERNES"/>
    <x v="17"/>
    <s v="TWO PACK CC PFM 3LX2 - RFCC"/>
    <n v="1800"/>
    <n v="120"/>
    <n v="306"/>
  </r>
  <r>
    <x v="257"/>
    <s v="MARZO"/>
    <n v="11"/>
    <s v="VIERNES"/>
    <x v="7"/>
    <s v="COCA-COLA PET 1.5LX2 RF"/>
    <n v="1440"/>
    <n v="198"/>
    <n v="244.8"/>
  </r>
  <r>
    <x v="257"/>
    <s v="MARZO"/>
    <n v="11"/>
    <s v="VIERNES"/>
    <x v="11"/>
    <s v="TRIPACK (CC+IK)PFM+FT PET 3LX3 - RFNN"/>
    <n v="1440"/>
    <n v="90"/>
    <n v="244.8"/>
  </r>
  <r>
    <x v="257"/>
    <s v="MARZO"/>
    <n v="11"/>
    <s v="VIERNES"/>
    <x v="35"/>
    <s v="SAN LUIS SIN GAS PET 625MLX06 MOD"/>
    <n v="1800"/>
    <n v="180"/>
    <n v="756"/>
  </r>
  <r>
    <x v="257"/>
    <s v="MARZO"/>
    <n v="11"/>
    <s v="VIERNES"/>
    <x v="69"/>
    <s v="1FTP + 1FTN + 1CC + 1IK PACK x 3000ML PUC"/>
    <n v="180"/>
    <n v="60"/>
    <n v="124.19999999999999"/>
  </r>
  <r>
    <x v="257"/>
    <s v="MARZO"/>
    <n v="11"/>
    <s v="VIERNES"/>
    <x v="36"/>
    <s v="SAN LUIS SIN GAS PET 625MLX15 C/STICKER"/>
    <n v="720"/>
    <n v="90"/>
    <n v="288"/>
  </r>
  <r>
    <x v="257"/>
    <s v="MARZO"/>
    <n v="11"/>
    <s v="VIERNES"/>
    <x v="24"/>
    <s v="MONSTER ENERGY 473MLX4"/>
    <n v="2100"/>
    <n v="420"/>
    <n v="882"/>
  </r>
  <r>
    <x v="257"/>
    <s v="MARZO"/>
    <n v="11"/>
    <s v="VIERNES"/>
    <x v="19"/>
    <s v="POWERADE ION4 MORA AZ PET473X6 MOD(STCK)"/>
    <n v="225"/>
    <n v="225"/>
    <n v="90"/>
  </r>
  <r>
    <x v="257"/>
    <s v="MARZO"/>
    <n v="11"/>
    <s v="VIERNES"/>
    <x v="42"/>
    <s v="FANTA NARANJA PET 500MLX6 BRANDEADO MOD"/>
    <n v="750"/>
    <n v="420"/>
    <n v="315"/>
  </r>
  <r>
    <x v="257"/>
    <s v="MARZO"/>
    <n v="11"/>
    <s v="VIERNES"/>
    <x v="69"/>
    <s v="1FTP + 1FTN + 1CC + 1IK PACK x 3000ML PUC"/>
    <n v="120"/>
    <n v="60"/>
    <n v="82.8"/>
  </r>
  <r>
    <x v="258"/>
    <s v="MARZO"/>
    <n v="11"/>
    <s v="JUEVES"/>
    <x v="38"/>
    <s v="SL S/G TAPA PLANA 1LT"/>
    <n v="560"/>
    <n v="112"/>
    <n v="224"/>
  </r>
  <r>
    <x v="258"/>
    <s v="MARZO"/>
    <n v="11"/>
    <s v="JUEVES"/>
    <x v="32"/>
    <s v="MONSTER ENERGY ULTRA 473MLX4"/>
    <n v="1260"/>
    <n v="420"/>
    <n v="529.19999999999993"/>
  </r>
  <r>
    <x v="258"/>
    <s v="MARZO"/>
    <n v="11"/>
    <s v="JUEVES"/>
    <x v="16"/>
    <s v="SAN LUIS CON GAS PET 625MLX6"/>
    <n v="900"/>
    <n v="180"/>
    <n v="378"/>
  </r>
  <r>
    <x v="258"/>
    <s v="MARZO"/>
    <n v="11"/>
    <s v="JUEVES"/>
    <x v="10"/>
    <s v="TWO PACK CC + IK PFM 3LX2 - RFNN"/>
    <n v="2400"/>
    <n v="120"/>
    <n v="408.00000000000006"/>
  </r>
  <r>
    <x v="258"/>
    <s v="MARZO"/>
    <n v="11"/>
    <s v="JUEVES"/>
    <x v="25"/>
    <s v="POWERADE 3MORA+3FRUT PET 473MLX6"/>
    <n v="1350"/>
    <n v="225"/>
    <n v="567"/>
  </r>
  <r>
    <x v="258"/>
    <s v="MARZO"/>
    <n v="11"/>
    <s v="JUEVES"/>
    <x v="19"/>
    <s v="POWERADE ION4 MORA AZ PET473X6 MOD(STCK)"/>
    <n v="225"/>
    <n v="225"/>
    <n v="90"/>
  </r>
  <r>
    <x v="258"/>
    <s v="MARZO"/>
    <n v="11"/>
    <s v="JUEVES"/>
    <x v="43"/>
    <s v="SPRITE PET 500MLX6 BRANDEADO MOD"/>
    <n v="1000"/>
    <n v="420"/>
    <n v="420"/>
  </r>
  <r>
    <x v="258"/>
    <s v="MARZO"/>
    <n v="11"/>
    <s v="JUEVES"/>
    <x v="15"/>
    <s v="INCA KOLA VR 625MLX12 - STICKER"/>
    <n v="200"/>
    <n v="50"/>
    <n v="80"/>
  </r>
  <r>
    <x v="258"/>
    <s v="MARZO"/>
    <n v="11"/>
    <s v="JUEVES"/>
    <x v="1"/>
    <s v="COCA-COLA SIN AZUCAR PET 1.5LX2"/>
    <n v="216"/>
    <n v="198"/>
    <n v="36.720000000000006"/>
  </r>
  <r>
    <x v="258"/>
    <s v="MARZO"/>
    <n v="11"/>
    <s v="JUEVES"/>
    <x v="2"/>
    <s v="INCA KOLA SIN AZUCAR PET 1.5LX2"/>
    <n v="1728"/>
    <n v="198"/>
    <n v="293.76000000000005"/>
  </r>
  <r>
    <x v="258"/>
    <s v="MARZO"/>
    <n v="11"/>
    <s v="JUEVES"/>
    <x v="7"/>
    <s v="COCA-COLA PET 1.5LX2 RF"/>
    <n v="1080"/>
    <n v="198"/>
    <n v="183.60000000000002"/>
  </r>
  <r>
    <x v="258"/>
    <s v="MARZO"/>
    <n v="11"/>
    <s v="JUEVES"/>
    <x v="10"/>
    <s v="TWO PACK CC + IK PFM 3LX2 - RFNN"/>
    <n v="8160"/>
    <n v="120"/>
    <n v="1387.2"/>
  </r>
  <r>
    <x v="258"/>
    <s v="MARZO"/>
    <n v="11"/>
    <s v="JUEVES"/>
    <x v="11"/>
    <s v="TRIPACK (CC+IK)PFM+FT PET 3LX3 - RFNN"/>
    <n v="810"/>
    <n v="90"/>
    <n v="137.70000000000002"/>
  </r>
  <r>
    <x v="258"/>
    <s v="MARZO"/>
    <n v="11"/>
    <s v="JUEVES"/>
    <x v="42"/>
    <s v="FANTA NARANJA PET 500MLX6 BRANDEADO MOD"/>
    <n v="250"/>
    <n v="420"/>
    <n v="105"/>
  </r>
  <r>
    <x v="258"/>
    <s v="MARZO"/>
    <n v="11"/>
    <s v="JUEVES"/>
    <x v="64"/>
    <s v="PACK-2 FT NAR+FT KI+FT PIÑA+SP RP 1.5LX8"/>
    <n v="240"/>
    <n v="30"/>
    <n v="50.4"/>
  </r>
  <r>
    <x v="258"/>
    <s v="MARZO"/>
    <n v="11"/>
    <s v="JUEVES"/>
    <x v="24"/>
    <s v="MONSTER ENERGY 473MLX4"/>
    <n v="1680"/>
    <n v="420"/>
    <n v="705.6"/>
  </r>
  <r>
    <x v="258"/>
    <s v="MARZO"/>
    <n v="11"/>
    <s v="JUEVES"/>
    <x v="25"/>
    <s v="POWERADE 3MORA+3FRUT PET 473MLX6"/>
    <n v="1800"/>
    <n v="225"/>
    <n v="756"/>
  </r>
  <r>
    <x v="258"/>
    <s v="MARZO"/>
    <n v="11"/>
    <s v="JUEVES"/>
    <x v="43"/>
    <s v="SPRITE PET 500MLX6 BRANDEADO MOD"/>
    <n v="1000"/>
    <n v="420"/>
    <n v="420"/>
  </r>
  <r>
    <x v="258"/>
    <s v="MARZO"/>
    <n v="11"/>
    <s v="JUEVES"/>
    <x v="24"/>
    <s v="MONSTER ENERGY 473MLX4"/>
    <n v="2520"/>
    <n v="420"/>
    <n v="1058.3999999999999"/>
  </r>
  <r>
    <x v="258"/>
    <s v="MARZO"/>
    <n v="11"/>
    <s v="JUEVES"/>
    <x v="1"/>
    <s v="COCA-COLA SIN AZUCAR PET 1.5LX2"/>
    <n v="3024"/>
    <n v="198"/>
    <n v="514.08000000000004"/>
  </r>
  <r>
    <x v="258"/>
    <s v="MARZO"/>
    <n v="11"/>
    <s v="JUEVES"/>
    <x v="2"/>
    <s v="INCA KOLA SIN AZUCAR PET 1.5LX2"/>
    <n v="432"/>
    <n v="198"/>
    <n v="73.440000000000012"/>
  </r>
  <r>
    <x v="258"/>
    <s v="MARZO"/>
    <n v="11"/>
    <s v="JUEVES"/>
    <x v="6"/>
    <s v="INCA KOLA PET 3LX2 - RF"/>
    <n v="3600"/>
    <n v="120"/>
    <n v="612"/>
  </r>
  <r>
    <x v="258"/>
    <s v="MARZO"/>
    <n v="11"/>
    <s v="JUEVES"/>
    <x v="17"/>
    <s v="TWO PACK CC PFM 3LX2 - RFCC"/>
    <n v="1800"/>
    <n v="120"/>
    <n v="306"/>
  </r>
  <r>
    <x v="258"/>
    <s v="MARZO"/>
    <n v="11"/>
    <s v="JUEVES"/>
    <x v="9"/>
    <s v="TRIPACK FT NAR+FT KI+SP PET 3L"/>
    <n v="450"/>
    <n v="90"/>
    <n v="76.5"/>
  </r>
  <r>
    <x v="258"/>
    <s v="MARZO"/>
    <n v="11"/>
    <s v="JUEVES"/>
    <x v="10"/>
    <s v="TWO PACK CC + IK PFM 3LX2 - RFNN"/>
    <n v="1440"/>
    <n v="120"/>
    <n v="244.8"/>
  </r>
  <r>
    <x v="258"/>
    <s v="MARZO"/>
    <n v="11"/>
    <s v="JUEVES"/>
    <x v="26"/>
    <s v="TRIPACK CC+CC+IK PFM 3LX3 - RFNN"/>
    <n v="450"/>
    <n v="90"/>
    <n v="76.5"/>
  </r>
  <r>
    <x v="258"/>
    <s v="MARZO"/>
    <n v="11"/>
    <s v="JUEVES"/>
    <x v="11"/>
    <s v="TRIPACK (CC+IK)PFM+FT PET 3LX3 - RFNN"/>
    <n v="1080"/>
    <n v="90"/>
    <n v="183.60000000000002"/>
  </r>
  <r>
    <x v="256"/>
    <s v="MARZO"/>
    <n v="11"/>
    <s v="MIÉRCOLES"/>
    <x v="32"/>
    <s v="MONSTER ENERGY ULTRA 473MLX4"/>
    <n v="1260"/>
    <n v="420"/>
    <n v="529.19999999999993"/>
  </r>
  <r>
    <x v="256"/>
    <s v="MARZO"/>
    <n v="11"/>
    <s v="MIÉRCOLES"/>
    <x v="39"/>
    <s v="MONSTER ENERGY ZERO 473MLX4"/>
    <n v="2100"/>
    <n v="420"/>
    <n v="882"/>
  </r>
  <r>
    <x v="256"/>
    <s v="MARZO"/>
    <n v="11"/>
    <s v="MIÉRCOLES"/>
    <x v="1"/>
    <s v="COCA-COLA SIN AZUCAR PET 1.5LX2"/>
    <n v="864"/>
    <n v="198"/>
    <n v="146.88000000000002"/>
  </r>
  <r>
    <x v="256"/>
    <s v="MARZO"/>
    <n v="11"/>
    <s v="MIÉRCOLES"/>
    <x v="2"/>
    <s v="INCA KOLA SIN AZUCAR PET 1.5LX2"/>
    <n v="864"/>
    <n v="198"/>
    <n v="146.88000000000002"/>
  </r>
  <r>
    <x v="256"/>
    <s v="MARZO"/>
    <n v="11"/>
    <s v="MIÉRCOLES"/>
    <x v="10"/>
    <s v="TWO PACK CC + IK PFM 3LX2 - RFNN"/>
    <n v="1200"/>
    <n v="120"/>
    <n v="204.00000000000003"/>
  </r>
  <r>
    <x v="256"/>
    <s v="MARZO"/>
    <n v="11"/>
    <s v="MIÉRCOLES"/>
    <x v="11"/>
    <s v="TRIPACK (CC+IK)PFM+FT PET 3LX3 - RFNN"/>
    <n v="720"/>
    <n v="90"/>
    <n v="122.4"/>
  </r>
  <r>
    <x v="256"/>
    <s v="MARZO"/>
    <n v="11"/>
    <s v="MIÉRCOLES"/>
    <x v="35"/>
    <s v="SAN LUIS SIN GAS PET 625MLX06 MOD"/>
    <n v="900"/>
    <n v="180"/>
    <n v="378"/>
  </r>
  <r>
    <x v="256"/>
    <s v="MARZO"/>
    <n v="11"/>
    <s v="MIÉRCOLES"/>
    <x v="32"/>
    <s v="MONSTER ENERGY ULTRA 473MLX4"/>
    <n v="840"/>
    <n v="420"/>
    <n v="352.8"/>
  </r>
  <r>
    <x v="256"/>
    <s v="MARZO"/>
    <n v="11"/>
    <s v="MIÉRCOLES"/>
    <x v="16"/>
    <s v="SAN LUIS CON GAS PET 625MLX6"/>
    <n v="1440"/>
    <n v="180"/>
    <n v="604.79999999999995"/>
  </r>
  <r>
    <x v="256"/>
    <s v="MARZO"/>
    <n v="11"/>
    <s v="MIÉRCOLES"/>
    <x v="1"/>
    <s v="COCA-COLA SIN AZUCAR PET 1.5LX2"/>
    <n v="1296"/>
    <n v="198"/>
    <n v="220.32000000000002"/>
  </r>
  <r>
    <x v="256"/>
    <s v="MARZO"/>
    <n v="11"/>
    <s v="MIÉRCOLES"/>
    <x v="2"/>
    <s v="INCA KOLA SIN AZUCAR PET 1.5LX2"/>
    <n v="1296"/>
    <n v="198"/>
    <n v="220.32000000000002"/>
  </r>
  <r>
    <x v="256"/>
    <s v="MARZO"/>
    <n v="11"/>
    <s v="MIÉRCOLES"/>
    <x v="9"/>
    <s v="TRIPACK FT NAR+FT KI+SP PET 3L"/>
    <n v="450"/>
    <n v="90"/>
    <n v="76.5"/>
  </r>
  <r>
    <x v="256"/>
    <s v="MARZO"/>
    <n v="11"/>
    <s v="MIÉRCOLES"/>
    <x v="10"/>
    <s v="TWO PACK CC + IK PFM 3LX2 - RFNN"/>
    <n v="10800"/>
    <n v="120"/>
    <n v="1836.0000000000002"/>
  </r>
  <r>
    <x v="256"/>
    <s v="MARZO"/>
    <n v="11"/>
    <s v="MIÉRCOLES"/>
    <x v="11"/>
    <s v="TRIPACK (CC+IK)PFM+FT PET 3LX3 - RFNN"/>
    <n v="1440"/>
    <n v="90"/>
    <n v="244.8"/>
  </r>
  <r>
    <x v="256"/>
    <s v="MARZO"/>
    <n v="11"/>
    <s v="MIÉRCOLES"/>
    <x v="19"/>
    <s v="POWERADE ION4 MORA AZ PET473X6 MOD(STCK)"/>
    <n v="450"/>
    <n v="225"/>
    <n v="180"/>
  </r>
  <r>
    <x v="259"/>
    <s v="MARZO"/>
    <n v="12"/>
    <s v="MARTES"/>
    <x v="0"/>
    <s v="SAN LUIS SIN GAS PET2500X6 STICKER"/>
    <n v="288"/>
    <n v="48"/>
    <n v="115.2"/>
  </r>
  <r>
    <x v="259"/>
    <s v="MARZO"/>
    <n v="12"/>
    <s v="MARTES"/>
    <x v="11"/>
    <s v="TRIPACK (CC+IK)PFM+FT PET 3LX3 - RFNN"/>
    <n v="450"/>
    <n v="90"/>
    <n v="76.5"/>
  </r>
  <r>
    <x v="259"/>
    <s v="MARZO"/>
    <n v="12"/>
    <s v="MARTES"/>
    <x v="20"/>
    <s v="TRIPACK (FT NAR+SP)PET+IK RF PFM 3L"/>
    <n v="450"/>
    <n v="90"/>
    <n v="76.5"/>
  </r>
  <r>
    <x v="259"/>
    <s v="MARZO"/>
    <n v="12"/>
    <s v="MARTES"/>
    <x v="64"/>
    <s v="PACK-2 FT NAR+FT KI+FT PIÑA+SP RP 1.5LX8"/>
    <n v="240"/>
    <n v="30"/>
    <n v="50.4"/>
  </r>
  <r>
    <x v="259"/>
    <s v="MARZO"/>
    <n v="12"/>
    <s v="MARTES"/>
    <x v="72"/>
    <s v="2FTKI + 2FTN + 1FTP + 1SP PACK x 500ML"/>
    <n v="1250"/>
    <n v="250"/>
    <n v="525"/>
  </r>
  <r>
    <x v="259"/>
    <s v="MARZO"/>
    <n v="12"/>
    <s v="MARTES"/>
    <x v="44"/>
    <s v="INCA KOLA SA ALUMINIO-3 DISEÑOS 330MLX12"/>
    <n v="750"/>
    <n v="420"/>
    <n v="315"/>
  </r>
  <r>
    <x v="259"/>
    <s v="MARZO"/>
    <n v="12"/>
    <s v="MARTES"/>
    <x v="36"/>
    <s v="SAN LUIS SIN GAS PET 625MLX15 C/STICKER"/>
    <n v="450"/>
    <n v="90"/>
    <n v="180"/>
  </r>
  <r>
    <x v="259"/>
    <s v="MARZO"/>
    <n v="12"/>
    <s v="MARTES"/>
    <x v="0"/>
    <s v="SAN LUIS SIN GAS PET2500X6 STICKER"/>
    <n v="1152"/>
    <n v="48"/>
    <n v="460.8"/>
  </r>
  <r>
    <x v="259"/>
    <s v="MARZO"/>
    <n v="12"/>
    <s v="MARTES"/>
    <x v="16"/>
    <s v="SAN LUIS CON GAS PET 625MLX6"/>
    <n v="540"/>
    <n v="180"/>
    <n v="226.79999999999998"/>
  </r>
  <r>
    <x v="259"/>
    <s v="MARZO"/>
    <n v="12"/>
    <s v="MARTES"/>
    <x v="6"/>
    <s v="INCA KOLA PET 3LX2 - RF"/>
    <n v="720"/>
    <n v="120"/>
    <n v="122.4"/>
  </r>
  <r>
    <x v="259"/>
    <s v="MARZO"/>
    <n v="12"/>
    <s v="MARTES"/>
    <x v="17"/>
    <s v="TWO PACK CC PFM 3LX2 - RFCC"/>
    <n v="360"/>
    <n v="120"/>
    <n v="61.2"/>
  </r>
  <r>
    <x v="259"/>
    <s v="MARZO"/>
    <n v="12"/>
    <s v="MARTES"/>
    <x v="10"/>
    <s v="TWO PACK CC + IK PFM 3LX2 - RFNN"/>
    <n v="4320"/>
    <n v="120"/>
    <n v="734.40000000000009"/>
  </r>
  <r>
    <x v="259"/>
    <s v="MARZO"/>
    <n v="12"/>
    <s v="MARTES"/>
    <x v="11"/>
    <s v="TRIPACK (CC+IK)PFM+FT PET 3LX3 - RFNN"/>
    <n v="1440"/>
    <n v="90"/>
    <n v="244.8"/>
  </r>
  <r>
    <x v="259"/>
    <s v="MARZO"/>
    <n v="12"/>
    <s v="MARTES"/>
    <x v="64"/>
    <s v="PACK-2 FT NAR+FT KI+FT PIÑA+SP RP 1.5LX8"/>
    <n v="360"/>
    <n v="30"/>
    <n v="75.599999999999994"/>
  </r>
  <r>
    <x v="259"/>
    <s v="MARZO"/>
    <n v="12"/>
    <s v="MARTES"/>
    <x v="66"/>
    <s v="3CC SA + 3IK SA 600ML X 6 PUC"/>
    <n v="1200"/>
    <n v="200"/>
    <n v="504"/>
  </r>
  <r>
    <x v="259"/>
    <s v="MARZO"/>
    <n v="12"/>
    <s v="MARTES"/>
    <x v="40"/>
    <s v="SAN LUIS SPORT S/G 10 Lt x6 "/>
    <n v="336"/>
    <n v="240"/>
    <n v="134.4"/>
  </r>
  <r>
    <x v="259"/>
    <s v="MARZO"/>
    <n v="12"/>
    <s v="MARTES"/>
    <x v="24"/>
    <s v="MONSTER ENERGY 473MLX4"/>
    <n v="2100"/>
    <n v="420"/>
    <n v="882"/>
  </r>
  <r>
    <x v="259"/>
    <s v="MARZO"/>
    <n v="12"/>
    <s v="MARTES"/>
    <x v="1"/>
    <s v="COCA-COLA SIN AZUCAR PET 1.5LX2"/>
    <n v="1080"/>
    <n v="198"/>
    <n v="183.60000000000002"/>
  </r>
  <r>
    <x v="259"/>
    <s v="MARZO"/>
    <n v="12"/>
    <s v="MARTES"/>
    <x v="4"/>
    <s v="COCA-COLA PET 2.25LX2 RF"/>
    <n v="486"/>
    <n v="162"/>
    <n v="82.62"/>
  </r>
  <r>
    <x v="259"/>
    <s v="MARZO"/>
    <n v="12"/>
    <s v="MARTES"/>
    <x v="5"/>
    <s v="INCA KOLA PET 2.25LX2 RF"/>
    <n v="324"/>
    <n v="162"/>
    <n v="55.080000000000005"/>
  </r>
  <r>
    <x v="259"/>
    <s v="MARZO"/>
    <n v="12"/>
    <s v="MARTES"/>
    <x v="6"/>
    <s v="INCA KOLA PET 3LX2 - RF"/>
    <n v="2880"/>
    <n v="120"/>
    <n v="489.6"/>
  </r>
  <r>
    <x v="259"/>
    <s v="MARZO"/>
    <n v="12"/>
    <s v="MARTES"/>
    <x v="17"/>
    <s v="TWO PACK CC PFM 3LX2 - RFCC"/>
    <n v="1440"/>
    <n v="120"/>
    <n v="244.8"/>
  </r>
  <r>
    <x v="259"/>
    <s v="MARZO"/>
    <n v="12"/>
    <s v="MARTES"/>
    <x v="7"/>
    <s v="COCA-COLA PET 1.5LX2 RF"/>
    <n v="1080"/>
    <n v="198"/>
    <n v="183.60000000000002"/>
  </r>
  <r>
    <x v="259"/>
    <s v="MARZO"/>
    <n v="12"/>
    <s v="MARTES"/>
    <x v="8"/>
    <s v="INCA KOLA PET 1.5LX2 RF"/>
    <n v="1080"/>
    <n v="198"/>
    <n v="183.60000000000002"/>
  </r>
  <r>
    <x v="259"/>
    <s v="MARZO"/>
    <n v="12"/>
    <s v="MARTES"/>
    <x v="10"/>
    <s v="TWO PACK CC + IK PFM 3LX2 - RFNN"/>
    <n v="2880"/>
    <n v="120"/>
    <n v="489.6"/>
  </r>
  <r>
    <x v="259"/>
    <s v="MARZO"/>
    <n v="12"/>
    <s v="MARTES"/>
    <x v="25"/>
    <s v="POWERADE 3MORA+3FRUT PET 473MLX6"/>
    <n v="900"/>
    <n v="225"/>
    <n v="378"/>
  </r>
  <r>
    <x v="259"/>
    <s v="MARZO"/>
    <n v="12"/>
    <s v="MARTES"/>
    <x v="12"/>
    <s v="POWERADE ION4 FRUTA PET473X6 MOD (STICK)"/>
    <n v="225"/>
    <n v="225"/>
    <n v="90"/>
  </r>
  <r>
    <x v="259"/>
    <s v="MARZO"/>
    <n v="12"/>
    <s v="MARTES"/>
    <x v="19"/>
    <s v="POWERADE ION4 MORA AZ PET473X6 MOD(STCK)"/>
    <n v="450"/>
    <n v="225"/>
    <n v="180"/>
  </r>
  <r>
    <x v="259"/>
    <s v="MARZO"/>
    <n v="12"/>
    <s v="MARTES"/>
    <x v="42"/>
    <s v="FANTA NARANJA PET 500MLX6 BRANDEADO MOD"/>
    <n v="250"/>
    <n v="420"/>
    <n v="105"/>
  </r>
  <r>
    <x v="259"/>
    <s v="MARZO"/>
    <n v="12"/>
    <s v="MARTES"/>
    <x v="43"/>
    <s v="SPRITE PET 500MLX6 BRANDEADO MOD"/>
    <n v="250"/>
    <n v="420"/>
    <n v="105"/>
  </r>
  <r>
    <x v="260"/>
    <s v="MARZO"/>
    <n v="12"/>
    <s v="LUNES"/>
    <x v="28"/>
    <s v="COCA COLA VR 1.5LX8 - STICKER"/>
    <n v="120"/>
    <n v="30"/>
    <n v="27.6"/>
  </r>
  <r>
    <x v="260"/>
    <s v="MARZO"/>
    <n v="12"/>
    <s v="LUNES"/>
    <x v="33"/>
    <s v="COCA COLA VR 296MLX24 - STICKER"/>
    <n v="80"/>
    <n v="40"/>
    <n v="18.400000000000002"/>
  </r>
  <r>
    <x v="260"/>
    <s v="MARZO"/>
    <n v="12"/>
    <s v="LUNES"/>
    <x v="14"/>
    <s v="INCA KOLA VR 296MLX24 - STICKER"/>
    <n v="80"/>
    <n v="40"/>
    <n v="18.400000000000002"/>
  </r>
  <r>
    <x v="260"/>
    <s v="MARZO"/>
    <n v="12"/>
    <s v="LUNES"/>
    <x v="15"/>
    <s v="INCA KOLA VR 625MLX12 - STICKER"/>
    <n v="400"/>
    <n v="50"/>
    <n v="160"/>
  </r>
  <r>
    <x v="260"/>
    <s v="MARZO"/>
    <n v="12"/>
    <s v="LUNES"/>
    <x v="1"/>
    <s v="COCA-COLA SIN AZUCAR PET 1.5LX2"/>
    <n v="1296"/>
    <n v="198"/>
    <n v="220.32000000000002"/>
  </r>
  <r>
    <x v="260"/>
    <s v="MARZO"/>
    <n v="12"/>
    <s v="LUNES"/>
    <x v="3"/>
    <s v="TWO PACK SCHWEPPES GINGER ALE PET 1.5LX2"/>
    <n v="1950"/>
    <n v="198"/>
    <n v="331.5"/>
  </r>
  <r>
    <x v="260"/>
    <s v="MARZO"/>
    <n v="12"/>
    <s v="LUNES"/>
    <x v="7"/>
    <s v="COCA-COLA PET 1.5LX2 RF"/>
    <n v="1728"/>
    <n v="198"/>
    <n v="293.76000000000005"/>
  </r>
  <r>
    <x v="260"/>
    <s v="MARZO"/>
    <n v="12"/>
    <s v="LUNES"/>
    <x v="8"/>
    <s v="INCA KOLA PET 1.5LX2 RF"/>
    <n v="864"/>
    <n v="198"/>
    <n v="146.88000000000002"/>
  </r>
  <r>
    <x v="260"/>
    <s v="MARZO"/>
    <n v="12"/>
    <s v="LUNES"/>
    <x v="9"/>
    <s v="TRIPACK FT NAR+FT KI+SP PET 3L"/>
    <n v="450"/>
    <n v="90"/>
    <n v="76.5"/>
  </r>
  <r>
    <x v="260"/>
    <s v="MARZO"/>
    <n v="12"/>
    <s v="LUNES"/>
    <x v="10"/>
    <s v="TWO PACK CC + IK PFM 3LX2 - RFNN"/>
    <n v="4320"/>
    <n v="120"/>
    <n v="734.40000000000009"/>
  </r>
  <r>
    <x v="260"/>
    <s v="MARZO"/>
    <n v="12"/>
    <s v="LUNES"/>
    <x v="26"/>
    <s v="TRIPACK CC+CC+IK PFM 3LX3 - RFNN"/>
    <n v="180"/>
    <n v="90"/>
    <n v="30.6"/>
  </r>
  <r>
    <x v="260"/>
    <s v="MARZO"/>
    <n v="12"/>
    <s v="LUNES"/>
    <x v="11"/>
    <s v="TRIPACK (CC+IK)PFM+FT PET 3LX3 - RFNN"/>
    <n v="1440"/>
    <n v="90"/>
    <n v="244.8"/>
  </r>
  <r>
    <x v="260"/>
    <s v="MARZO"/>
    <n v="12"/>
    <s v="LUNES"/>
    <x v="20"/>
    <s v="TRIPACK (FT NAR+SP)PET+IK RF PFM 3L"/>
    <n v="180"/>
    <n v="90"/>
    <n v="30.6"/>
  </r>
  <r>
    <x v="260"/>
    <s v="MARZO"/>
    <n v="12"/>
    <s v="LUNES"/>
    <x v="43"/>
    <s v="SPRITE PET 500MLX6 BRANDEADO MOD"/>
    <n v="500"/>
    <n v="420"/>
    <n v="210"/>
  </r>
  <r>
    <x v="260"/>
    <s v="MARZO"/>
    <n v="12"/>
    <s v="LUNES"/>
    <x v="64"/>
    <s v="PACK-2 FT NAR+FT KI+FT PIÑA+SP RP 1.5LX8"/>
    <n v="240"/>
    <n v="30"/>
    <n v="50.4"/>
  </r>
  <r>
    <x v="260"/>
    <s v="MARZO"/>
    <n v="12"/>
    <s v="LUNES"/>
    <x v="13"/>
    <s v="INCA KOLA VR 1.5LX8 - STICKER"/>
    <n v="240"/>
    <n v="30"/>
    <n v="96"/>
  </r>
  <r>
    <x v="260"/>
    <s v="MARZO"/>
    <n v="12"/>
    <s v="LUNES"/>
    <x v="16"/>
    <s v="SAN LUIS CON GAS PET 625MLX6"/>
    <n v="900"/>
    <n v="180"/>
    <n v="378"/>
  </r>
  <r>
    <x v="260"/>
    <s v="MARZO"/>
    <n v="12"/>
    <s v="LUNES"/>
    <x v="1"/>
    <s v="COCA-COLA SIN AZUCAR PET 1.5LX2"/>
    <n v="1944"/>
    <n v="198"/>
    <n v="330.48"/>
  </r>
  <r>
    <x v="260"/>
    <s v="MARZO"/>
    <n v="12"/>
    <s v="LUNES"/>
    <x v="2"/>
    <s v="INCA KOLA SIN AZUCAR PET 1.5LX2"/>
    <n v="1728"/>
    <n v="198"/>
    <n v="293.76000000000005"/>
  </r>
  <r>
    <x v="260"/>
    <s v="MARZO"/>
    <n v="12"/>
    <s v="LUNES"/>
    <x v="22"/>
    <s v="TWO PACK SCHWEPPES CITRUS PET 1.5LX2"/>
    <n v="990"/>
    <n v="198"/>
    <n v="168.3"/>
  </r>
  <r>
    <x v="260"/>
    <s v="MARZO"/>
    <n v="12"/>
    <s v="LUNES"/>
    <x v="7"/>
    <s v="COCA-COLA PET 1.5LX2 RF"/>
    <n v="432"/>
    <n v="198"/>
    <n v="73.440000000000012"/>
  </r>
  <r>
    <x v="260"/>
    <s v="MARZO"/>
    <n v="12"/>
    <s v="LUNES"/>
    <x v="8"/>
    <s v="INCA KOLA PET 1.5LX2 RF"/>
    <n v="1296"/>
    <n v="198"/>
    <n v="220.32000000000002"/>
  </r>
  <r>
    <x v="260"/>
    <s v="MARZO"/>
    <n v="12"/>
    <s v="LUNES"/>
    <x v="9"/>
    <s v="TRIPACK FT NAR+FT KI+SP PET 3L"/>
    <n v="990"/>
    <n v="90"/>
    <n v="168.3"/>
  </r>
  <r>
    <x v="260"/>
    <s v="MARZO"/>
    <n v="12"/>
    <s v="LUNES"/>
    <x v="23"/>
    <s v="TRIPACK CC+IK+IK PFM 3LX3 - RFNN"/>
    <n v="720"/>
    <n v="90"/>
    <n v="122.4"/>
  </r>
  <r>
    <x v="260"/>
    <s v="MARZO"/>
    <n v="12"/>
    <s v="LUNES"/>
    <x v="11"/>
    <s v="TRIPACK (CC+IK)PFM+FT PET 3LX3 - RFNN"/>
    <n v="1440"/>
    <n v="90"/>
    <n v="244.8"/>
  </r>
  <r>
    <x v="260"/>
    <s v="MARZO"/>
    <n v="12"/>
    <s v="LUNES"/>
    <x v="20"/>
    <s v="TRIPACK (FT NAR+SP)PET+IK RF PFM 3L"/>
    <n v="720"/>
    <n v="90"/>
    <n v="122.4"/>
  </r>
  <r>
    <x v="260"/>
    <s v="MARZO"/>
    <n v="12"/>
    <s v="LUNES"/>
    <x v="12"/>
    <s v="POWERADE ION4 FRUTA PET473X6 MOD (STICK)"/>
    <n v="1125"/>
    <n v="225"/>
    <n v="450"/>
  </r>
  <r>
    <x v="260"/>
    <s v="MARZO"/>
    <n v="12"/>
    <s v="LUNES"/>
    <x v="19"/>
    <s v="POWERADE ION4 MORA AZ PET473X6 MOD(STCK)"/>
    <n v="225"/>
    <n v="225"/>
    <n v="90"/>
  </r>
  <r>
    <x v="260"/>
    <s v="MARZO"/>
    <n v="12"/>
    <s v="LUNES"/>
    <x v="42"/>
    <s v="FANTA NARANJA PET 500MLX6 BRANDEADO MOD"/>
    <n v="750"/>
    <n v="420"/>
    <n v="315"/>
  </r>
  <r>
    <x v="260"/>
    <s v="MARZO"/>
    <n v="12"/>
    <s v="LUNES"/>
    <x v="43"/>
    <s v="SPRITE PET 500MLX6 BRANDEADO MOD"/>
    <n v="500"/>
    <n v="420"/>
    <n v="210"/>
  </r>
  <r>
    <x v="260"/>
    <s v="MARZO"/>
    <n v="12"/>
    <s v="LUNES"/>
    <x v="24"/>
    <s v="MONSTER ENERGY 473MLX4"/>
    <n v="4200"/>
    <n v="420"/>
    <n v="1764"/>
  </r>
  <r>
    <x v="260"/>
    <s v="MARZO"/>
    <n v="12"/>
    <s v="LUNES"/>
    <x v="9"/>
    <s v="TRIPACK FT NAR+FT KI+SP PET 3L"/>
    <n v="720"/>
    <n v="90"/>
    <n v="122.4"/>
  </r>
  <r>
    <x v="260"/>
    <s v="MARZO"/>
    <n v="12"/>
    <s v="LUNES"/>
    <x v="26"/>
    <s v="TRIPACK CC+CC+IK PFM 3LX3 - RFNN"/>
    <n v="720"/>
    <n v="90"/>
    <n v="122.4"/>
  </r>
  <r>
    <x v="260"/>
    <s v="MARZO"/>
    <n v="12"/>
    <s v="LUNES"/>
    <x v="23"/>
    <s v="TRIPACK CC+IK+IK PFM 3LX3 - RFNN"/>
    <n v="1440"/>
    <n v="90"/>
    <n v="244.8"/>
  </r>
  <r>
    <x v="260"/>
    <s v="MARZO"/>
    <n v="12"/>
    <s v="LUNES"/>
    <x v="25"/>
    <s v="POWERADE 3MORA+3FRUT PET 473MLX6"/>
    <n v="2250"/>
    <n v="225"/>
    <n v="945"/>
  </r>
  <r>
    <x v="260"/>
    <s v="MARZO"/>
    <n v="12"/>
    <s v="LUNES"/>
    <x v="19"/>
    <s v="POWERADE ION4 MORA AZ PET473X6 MOD(STCK)"/>
    <n v="225"/>
    <n v="225"/>
    <n v="90"/>
  </r>
  <r>
    <x v="261"/>
    <s v="MARZO"/>
    <n v="12"/>
    <s v="SÁBADO"/>
    <x v="15"/>
    <s v="INCA KOLA VR 625MLX12 - STICKER"/>
    <n v="100"/>
    <n v="50"/>
    <n v="40"/>
  </r>
  <r>
    <x v="261"/>
    <s v="MARZO"/>
    <n v="12"/>
    <s v="SÁBADO"/>
    <x v="36"/>
    <s v="SAN LUIS SIN GAS PET 625MLX15 C/STICKER"/>
    <n v="1350"/>
    <n v="90"/>
    <n v="540"/>
  </r>
  <r>
    <x v="261"/>
    <s v="MARZO"/>
    <n v="12"/>
    <s v="SÁBADO"/>
    <x v="0"/>
    <s v="SAN LUIS SIN GAS PET2500X6 STICKER"/>
    <n v="960"/>
    <n v="48"/>
    <n v="384"/>
  </r>
  <r>
    <x v="261"/>
    <s v="MARZO"/>
    <n v="12"/>
    <s v="SÁBADO"/>
    <x v="1"/>
    <s v="COCA-COLA SIN AZUCAR PET 1.5LX2"/>
    <n v="2160"/>
    <n v="198"/>
    <n v="367.20000000000005"/>
  </r>
  <r>
    <x v="261"/>
    <s v="MARZO"/>
    <n v="12"/>
    <s v="SÁBADO"/>
    <x v="2"/>
    <s v="INCA KOLA SIN AZUCAR PET 1.5LX2"/>
    <n v="1512"/>
    <n v="198"/>
    <n v="257.04000000000002"/>
  </r>
  <r>
    <x v="261"/>
    <s v="MARZO"/>
    <n v="12"/>
    <s v="SÁBADO"/>
    <x v="34"/>
    <s v="TWO PACK CC PET 1.5LX2 - CRC"/>
    <n v="432"/>
    <n v="198"/>
    <n v="73.440000000000012"/>
  </r>
  <r>
    <x v="261"/>
    <s v="MARZO"/>
    <n v="12"/>
    <s v="SÁBADO"/>
    <x v="22"/>
    <s v="TWO PACK SCHWEPPES CITRUS PET 1.5LX2"/>
    <n v="792"/>
    <n v="198"/>
    <n v="134.64000000000001"/>
  </r>
  <r>
    <x v="261"/>
    <s v="MARZO"/>
    <n v="12"/>
    <s v="SÁBADO"/>
    <x v="3"/>
    <s v="TWO PACK SCHWEPPES GINGER ALE PET 1.5LX2"/>
    <n v="990"/>
    <n v="198"/>
    <n v="168.3"/>
  </r>
  <r>
    <x v="261"/>
    <s v="MARZO"/>
    <n v="12"/>
    <s v="SÁBADO"/>
    <x v="4"/>
    <s v="COCA-COLA PET 2.25LX2 RF"/>
    <n v="1134"/>
    <n v="162"/>
    <n v="192.78"/>
  </r>
  <r>
    <x v="261"/>
    <s v="MARZO"/>
    <n v="12"/>
    <s v="SÁBADO"/>
    <x v="5"/>
    <s v="INCA KOLA PET 2.25LX2 RF"/>
    <n v="972"/>
    <n v="162"/>
    <n v="165.24"/>
  </r>
  <r>
    <x v="261"/>
    <s v="MARZO"/>
    <n v="12"/>
    <s v="SÁBADO"/>
    <x v="17"/>
    <s v="TWO PACK CC PFM 3LX2 - RFCC"/>
    <n v="3000"/>
    <n v="120"/>
    <n v="510.00000000000006"/>
  </r>
  <r>
    <x v="261"/>
    <s v="MARZO"/>
    <n v="12"/>
    <s v="SÁBADO"/>
    <x v="7"/>
    <s v="COCA-COLA PET 1.5LX2 RF"/>
    <n v="1080"/>
    <n v="198"/>
    <n v="183.60000000000002"/>
  </r>
  <r>
    <x v="261"/>
    <s v="MARZO"/>
    <n v="12"/>
    <s v="SÁBADO"/>
    <x v="8"/>
    <s v="INCA KOLA PET 1.5LX2 RF"/>
    <n v="1080"/>
    <n v="198"/>
    <n v="183.60000000000002"/>
  </r>
  <r>
    <x v="261"/>
    <s v="MARZO"/>
    <n v="12"/>
    <s v="SÁBADO"/>
    <x v="9"/>
    <s v="TRIPACK FT NAR+FT KI+SP PET 3L"/>
    <n v="900"/>
    <n v="90"/>
    <n v="153"/>
  </r>
  <r>
    <x v="261"/>
    <s v="MARZO"/>
    <n v="12"/>
    <s v="SÁBADO"/>
    <x v="26"/>
    <s v="TRIPACK CC+CC+IK PFM 3LX3 - RFNN"/>
    <n v="900"/>
    <n v="90"/>
    <n v="153"/>
  </r>
  <r>
    <x v="261"/>
    <s v="MARZO"/>
    <n v="12"/>
    <s v="SÁBADO"/>
    <x v="23"/>
    <s v="TRIPACK CC+IK+IK PFM 3LX3 - RFNN"/>
    <n v="1170"/>
    <n v="90"/>
    <n v="198.9"/>
  </r>
  <r>
    <x v="261"/>
    <s v="MARZO"/>
    <n v="12"/>
    <s v="SÁBADO"/>
    <x v="11"/>
    <s v="TRIPACK (CC+IK)PFM+FT PET 3LX3 - RFNN"/>
    <n v="2340"/>
    <n v="90"/>
    <n v="397.8"/>
  </r>
  <r>
    <x v="261"/>
    <s v="MARZO"/>
    <n v="12"/>
    <s v="SÁBADO"/>
    <x v="20"/>
    <s v="TRIPACK (FT NAR+SP)PET+IK RF PFM 3L"/>
    <n v="450"/>
    <n v="90"/>
    <n v="76.5"/>
  </r>
  <r>
    <x v="261"/>
    <s v="MARZO"/>
    <n v="12"/>
    <s v="SÁBADO"/>
    <x v="25"/>
    <s v="POWERADE 3MORA+3FRUT PET 473MLX6"/>
    <n v="2250"/>
    <n v="225"/>
    <n v="945"/>
  </r>
  <r>
    <x v="261"/>
    <s v="MARZO"/>
    <n v="12"/>
    <s v="SÁBADO"/>
    <x v="12"/>
    <s v="POWERADE ION4 FRUTA PET473X6 MOD (STICK)"/>
    <n v="450"/>
    <n v="225"/>
    <n v="180"/>
  </r>
  <r>
    <x v="261"/>
    <s v="MARZO"/>
    <n v="12"/>
    <s v="SÁBADO"/>
    <x v="69"/>
    <s v="1FTP + 1FTN + 1CC + 1IK PACK x 3000ML PUC"/>
    <n v="480"/>
    <n v="60"/>
    <n v="331.2"/>
  </r>
  <r>
    <x v="257"/>
    <s v="MARZO"/>
    <n v="11"/>
    <s v="VIERNES"/>
    <x v="20"/>
    <s v="TRIPACK (FT NAR+SP)PET+IK RF PFM 3L"/>
    <n v="180"/>
    <n v="90"/>
    <n v="30.6"/>
  </r>
  <r>
    <x v="257"/>
    <s v="MARZO"/>
    <n v="11"/>
    <s v="VIERNES"/>
    <x v="25"/>
    <s v="POWERADE 3MORA+3FRUT PET 473MLX6"/>
    <n v="1350"/>
    <n v="225"/>
    <n v="567"/>
  </r>
  <r>
    <x v="257"/>
    <s v="MARZO"/>
    <n v="11"/>
    <s v="VIERNES"/>
    <x v="69"/>
    <s v="1FTP + 1FTN + 1CC + 1IK PACK x 3000ML PUC"/>
    <n v="660"/>
    <n v="60"/>
    <n v="455.4"/>
  </r>
  <r>
    <x v="257"/>
    <s v="MARZO"/>
    <n v="11"/>
    <s v="VIERNES"/>
    <x v="3"/>
    <s v="TWO PACK SCHWEPPES GINGER ALE PET 1.5LX2"/>
    <n v="594"/>
    <n v="198"/>
    <n v="100.98"/>
  </r>
  <r>
    <x v="257"/>
    <s v="MARZO"/>
    <n v="11"/>
    <s v="VIERNES"/>
    <x v="28"/>
    <s v="COCA COLA VR 1.5LX8 - STICKER"/>
    <n v="180"/>
    <n v="30"/>
    <n v="41.4"/>
  </r>
  <r>
    <x v="257"/>
    <s v="MARZO"/>
    <n v="11"/>
    <s v="VIERNES"/>
    <x v="33"/>
    <s v="COCA COLA VR 296MLX24 - STICKER"/>
    <n v="120"/>
    <n v="40"/>
    <n v="27.6"/>
  </r>
  <r>
    <x v="257"/>
    <s v="MARZO"/>
    <n v="11"/>
    <s v="VIERNES"/>
    <x v="13"/>
    <s v="INCA KOLA VR 1.5LX8 - STICKER"/>
    <n v="210"/>
    <n v="30"/>
    <n v="84"/>
  </r>
  <r>
    <x v="257"/>
    <s v="MARZO"/>
    <n v="11"/>
    <s v="VIERNES"/>
    <x v="14"/>
    <s v="INCA KOLA VR 296MLX24 - STICKER"/>
    <n v="120"/>
    <n v="40"/>
    <n v="27.6"/>
  </r>
  <r>
    <x v="257"/>
    <s v="MARZO"/>
    <n v="11"/>
    <s v="VIERNES"/>
    <x v="15"/>
    <s v="INCA KOLA VR 625MLX12 - STICKER"/>
    <n v="250"/>
    <n v="50"/>
    <n v="100"/>
  </r>
  <r>
    <x v="257"/>
    <s v="MARZO"/>
    <n v="11"/>
    <s v="VIERNES"/>
    <x v="0"/>
    <s v="SAN LUIS SIN GAS PET2500X6 STICKER"/>
    <n v="480"/>
    <n v="48"/>
    <n v="192"/>
  </r>
  <r>
    <x v="257"/>
    <s v="MARZO"/>
    <n v="11"/>
    <s v="VIERNES"/>
    <x v="24"/>
    <s v="MONSTER ENERGY 473MLX4"/>
    <n v="4200"/>
    <n v="420"/>
    <n v="1764"/>
  </r>
  <r>
    <x v="257"/>
    <s v="MARZO"/>
    <n v="11"/>
    <s v="VIERNES"/>
    <x v="32"/>
    <s v="MONSTER ENERGY ULTRA 473MLX4"/>
    <n v="840"/>
    <n v="420"/>
    <n v="352.8"/>
  </r>
  <r>
    <x v="257"/>
    <s v="MARZO"/>
    <n v="11"/>
    <s v="VIERNES"/>
    <x v="1"/>
    <s v="COCA-COLA SIN AZUCAR PET 1.5LX2"/>
    <n v="2160"/>
    <n v="198"/>
    <n v="367.20000000000005"/>
  </r>
  <r>
    <x v="257"/>
    <s v="MARZO"/>
    <n v="11"/>
    <s v="VIERNES"/>
    <x v="2"/>
    <s v="INCA KOLA SIN AZUCAR PET 1.5LX2"/>
    <n v="1728"/>
    <n v="198"/>
    <n v="293.76000000000005"/>
  </r>
  <r>
    <x v="257"/>
    <s v="MARZO"/>
    <n v="11"/>
    <s v="VIERNES"/>
    <x v="22"/>
    <s v="TWO PACK SCHWEPPES CITRUS PET 1.5LX2"/>
    <n v="198"/>
    <n v="198"/>
    <n v="33.660000000000004"/>
  </r>
  <r>
    <x v="257"/>
    <s v="MARZO"/>
    <n v="11"/>
    <s v="VIERNES"/>
    <x v="7"/>
    <s v="COCA-COLA PET 1.5LX2 RF"/>
    <n v="216"/>
    <n v="198"/>
    <n v="36.720000000000006"/>
  </r>
  <r>
    <x v="257"/>
    <s v="MARZO"/>
    <n v="11"/>
    <s v="VIERNES"/>
    <x v="9"/>
    <s v="TRIPACK FT NAR+FT KI+SP PET 3L"/>
    <n v="720"/>
    <n v="90"/>
    <n v="122.4"/>
  </r>
  <r>
    <x v="257"/>
    <s v="MARZO"/>
    <n v="11"/>
    <s v="VIERNES"/>
    <x v="26"/>
    <s v="TRIPACK CC+CC+IK PFM 3LX3 - RFNN"/>
    <n v="450"/>
    <n v="90"/>
    <n v="76.5"/>
  </r>
  <r>
    <x v="257"/>
    <s v="MARZO"/>
    <n v="11"/>
    <s v="VIERNES"/>
    <x v="23"/>
    <s v="TRIPACK CC+IK+IK PFM 3LX3 - RFNN"/>
    <n v="450"/>
    <n v="90"/>
    <n v="76.5"/>
  </r>
  <r>
    <x v="259"/>
    <s v="MARZO"/>
    <n v="12"/>
    <s v="MARTES"/>
    <x v="44"/>
    <s v="INCA KOLA SA ALUMINIO-3 DISEÑOS 330MLX12"/>
    <n v="500"/>
    <n v="420"/>
    <n v="210"/>
  </r>
  <r>
    <x v="262"/>
    <s v="MARZO"/>
    <n v="12"/>
    <s v="MIÉRCOLES"/>
    <x v="40"/>
    <s v="SAN LUIS SPORT S/G 10 Lt x6 "/>
    <n v="448"/>
    <n v="240"/>
    <n v="179.20000000000002"/>
  </r>
  <r>
    <x v="262"/>
    <s v="MARZO"/>
    <n v="12"/>
    <s v="MIÉRCOLES"/>
    <x v="38"/>
    <s v="SL S/G TAPA PLANA 1LT"/>
    <n v="448"/>
    <n v="112"/>
    <n v="179.20000000000002"/>
  </r>
  <r>
    <x v="262"/>
    <s v="MARZO"/>
    <n v="12"/>
    <s v="MIÉRCOLES"/>
    <x v="0"/>
    <s v="SAN LUIS SIN GAS PET2500X6 STICKER"/>
    <n v="480"/>
    <n v="48"/>
    <n v="192"/>
  </r>
  <r>
    <x v="262"/>
    <s v="MARZO"/>
    <n v="12"/>
    <s v="MIÉRCOLES"/>
    <x v="4"/>
    <s v="COCA-COLA PET 2.25LX2 RF"/>
    <n v="810"/>
    <n v="162"/>
    <n v="137.70000000000002"/>
  </r>
  <r>
    <x v="262"/>
    <s v="MARZO"/>
    <n v="12"/>
    <s v="MIÉRCOLES"/>
    <x v="5"/>
    <s v="INCA KOLA PET 2.25LX2 RF"/>
    <n v="486"/>
    <n v="162"/>
    <n v="82.62"/>
  </r>
  <r>
    <x v="262"/>
    <s v="MARZO"/>
    <n v="12"/>
    <s v="MIÉRCOLES"/>
    <x v="6"/>
    <s v="INCA KOLA PET 3LX2 - RF"/>
    <n v="2640"/>
    <n v="120"/>
    <n v="448.8"/>
  </r>
  <r>
    <x v="262"/>
    <s v="MARZO"/>
    <n v="12"/>
    <s v="MIÉRCOLES"/>
    <x v="11"/>
    <s v="TRIPACK (CC+IK)PFM+FT PET 3LX3 - RFNN"/>
    <n v="2160"/>
    <n v="90"/>
    <n v="367.20000000000005"/>
  </r>
  <r>
    <x v="262"/>
    <s v="MARZO"/>
    <n v="12"/>
    <s v="MIÉRCOLES"/>
    <x v="25"/>
    <s v="POWERADE 3MORA+3FRUT PET 473MLX6"/>
    <n v="1350"/>
    <n v="225"/>
    <n v="567"/>
  </r>
  <r>
    <x v="263"/>
    <s v="MARZO"/>
    <n v="12"/>
    <s v="JUEVES"/>
    <x v="33"/>
    <s v="COCA COLA VR 296MLX24 - STICKER"/>
    <n v="80"/>
    <n v="40"/>
    <n v="18.400000000000002"/>
  </r>
  <r>
    <x v="263"/>
    <s v="MARZO"/>
    <n v="12"/>
    <s v="JUEVES"/>
    <x v="15"/>
    <s v="INCA KOLA VR 625MLX12 - STICKER"/>
    <n v="250"/>
    <n v="50"/>
    <n v="100"/>
  </r>
  <r>
    <x v="263"/>
    <s v="MARZO"/>
    <n v="12"/>
    <s v="JUEVES"/>
    <x v="3"/>
    <s v="TWO PACK SCHWEPPES GINGER ALE PET 1.5LX2"/>
    <n v="396"/>
    <n v="198"/>
    <n v="67.320000000000007"/>
  </r>
  <r>
    <x v="263"/>
    <s v="MARZO"/>
    <n v="12"/>
    <s v="JUEVES"/>
    <x v="6"/>
    <s v="INCA KOLA PET 3LX2 - RF"/>
    <n v="480"/>
    <n v="120"/>
    <n v="81.600000000000009"/>
  </r>
  <r>
    <x v="263"/>
    <s v="MARZO"/>
    <n v="12"/>
    <s v="JUEVES"/>
    <x v="8"/>
    <s v="INCA KOLA PET 1.5LX2 RF"/>
    <n v="1080"/>
    <n v="198"/>
    <n v="183.60000000000002"/>
  </r>
  <r>
    <x v="263"/>
    <s v="MARZO"/>
    <n v="12"/>
    <s v="JUEVES"/>
    <x v="10"/>
    <s v="TWO PACK CC + IK PFM 3LX2 - RFNN"/>
    <n v="7200"/>
    <n v="120"/>
    <n v="1224"/>
  </r>
  <r>
    <x v="263"/>
    <s v="MARZO"/>
    <n v="12"/>
    <s v="JUEVES"/>
    <x v="26"/>
    <s v="TRIPACK CC+CC+IK PFM 3LX3 - RFNN"/>
    <n v="450"/>
    <n v="90"/>
    <n v="76.5"/>
  </r>
  <r>
    <x v="263"/>
    <s v="MARZO"/>
    <n v="12"/>
    <s v="JUEVES"/>
    <x v="23"/>
    <s v="TRIPACK CC+IK+IK PFM 3LX3 - RFNN"/>
    <n v="900"/>
    <n v="90"/>
    <n v="153"/>
  </r>
  <r>
    <x v="263"/>
    <s v="MARZO"/>
    <n v="12"/>
    <s v="JUEVES"/>
    <x v="11"/>
    <s v="TRIPACK (CC+IK)PFM+FT PET 3LX3 - RFNN"/>
    <n v="3960"/>
    <n v="90"/>
    <n v="673.2"/>
  </r>
  <r>
    <x v="263"/>
    <s v="MARZO"/>
    <n v="12"/>
    <s v="JUEVES"/>
    <x v="20"/>
    <s v="TRIPACK (FT NAR+SP)PET+IK RF PFM 3L"/>
    <n v="450"/>
    <n v="90"/>
    <n v="76.5"/>
  </r>
  <r>
    <x v="263"/>
    <s v="MARZO"/>
    <n v="12"/>
    <s v="JUEVES"/>
    <x v="64"/>
    <s v="PACK-2 FT NAR+FT KI+FT PIÑA+SP RP 1.5LX8"/>
    <n v="120"/>
    <n v="30"/>
    <n v="25.2"/>
  </r>
  <r>
    <x v="263"/>
    <s v="MARZO"/>
    <n v="12"/>
    <s v="JUEVES"/>
    <x v="38"/>
    <s v="SL S/G TAPA PLANA 1LT"/>
    <n v="896"/>
    <n v="112"/>
    <n v="358.40000000000003"/>
  </r>
  <r>
    <x v="263"/>
    <s v="MARZO"/>
    <n v="12"/>
    <s v="JUEVES"/>
    <x v="1"/>
    <s v="COCA-COLA SIN AZUCAR PET 1.5LX2"/>
    <n v="2160"/>
    <n v="198"/>
    <n v="367.20000000000005"/>
  </r>
  <r>
    <x v="263"/>
    <s v="MARZO"/>
    <n v="12"/>
    <s v="JUEVES"/>
    <x v="2"/>
    <s v="INCA KOLA SIN AZUCAR PET 1.5LX2"/>
    <n v="2160"/>
    <n v="198"/>
    <n v="367.20000000000005"/>
  </r>
  <r>
    <x v="263"/>
    <s v="MARZO"/>
    <n v="12"/>
    <s v="JUEVES"/>
    <x v="22"/>
    <s v="TWO PACK SCHWEPPES CITRUS PET 1.5LX2"/>
    <n v="792"/>
    <n v="198"/>
    <n v="134.64000000000001"/>
  </r>
  <r>
    <x v="263"/>
    <s v="MARZO"/>
    <n v="12"/>
    <s v="JUEVES"/>
    <x v="6"/>
    <s v="INCA KOLA PET 3LX2 - RF"/>
    <n v="5520"/>
    <n v="120"/>
    <n v="938.40000000000009"/>
  </r>
  <r>
    <x v="263"/>
    <s v="MARZO"/>
    <n v="12"/>
    <s v="JUEVES"/>
    <x v="7"/>
    <s v="COCA-COLA PET 1.5LX2 RF"/>
    <n v="1080"/>
    <n v="198"/>
    <n v="183.60000000000002"/>
  </r>
  <r>
    <x v="263"/>
    <s v="MARZO"/>
    <n v="12"/>
    <s v="JUEVES"/>
    <x v="10"/>
    <s v="TWO PACK CC + IK PFM 3LX2 - RFNN"/>
    <n v="480"/>
    <n v="120"/>
    <n v="81.600000000000009"/>
  </r>
  <r>
    <x v="263"/>
    <s v="MARZO"/>
    <n v="12"/>
    <s v="JUEVES"/>
    <x v="11"/>
    <s v="TRIPACK (CC+IK)PFM+FT PET 3LX3 - RFNN"/>
    <n v="540"/>
    <n v="90"/>
    <n v="91.800000000000011"/>
  </r>
  <r>
    <x v="263"/>
    <s v="MARZO"/>
    <n v="12"/>
    <s v="JUEVES"/>
    <x v="25"/>
    <s v="POWERADE 3MORA+3FRUT PET 473MLX6"/>
    <n v="1350"/>
    <n v="225"/>
    <n v="567"/>
  </r>
  <r>
    <x v="262"/>
    <s v="MARZO"/>
    <n v="12"/>
    <s v="MIÉRCOLES"/>
    <x v="13"/>
    <s v="INCA KOLA VR 1.5LX8 - STICKER"/>
    <n v="240"/>
    <n v="30"/>
    <n v="96"/>
  </r>
  <r>
    <x v="262"/>
    <s v="MARZO"/>
    <n v="12"/>
    <s v="MIÉRCOLES"/>
    <x v="36"/>
    <s v="SAN LUIS SIN GAS PET 625MLX15 C/STICKER"/>
    <n v="270"/>
    <n v="90"/>
    <n v="108"/>
  </r>
  <r>
    <x v="262"/>
    <s v="MARZO"/>
    <n v="12"/>
    <s v="MIÉRCOLES"/>
    <x v="0"/>
    <s v="SAN LUIS SIN GAS PET2500X6 STICKER"/>
    <n v="336"/>
    <n v="48"/>
    <n v="134.4"/>
  </r>
  <r>
    <x v="262"/>
    <s v="MARZO"/>
    <n v="12"/>
    <s v="MIÉRCOLES"/>
    <x v="10"/>
    <s v="TWO PACK CC + IK PFM 3LX2 - RFNN"/>
    <n v="4320"/>
    <n v="120"/>
    <n v="734.40000000000009"/>
  </r>
  <r>
    <x v="262"/>
    <s v="MARZO"/>
    <n v="12"/>
    <s v="MIÉRCOLES"/>
    <x v="64"/>
    <s v="PACK-2 FT NAR+FT KI+FT PIÑA+SP RP 1.5LX8"/>
    <n v="450"/>
    <n v="30"/>
    <n v="94.5"/>
  </r>
  <r>
    <x v="262"/>
    <s v="MARZO"/>
    <n v="12"/>
    <s v="MIÉRCOLES"/>
    <x v="28"/>
    <s v="COCA COLA VR 1.5LX8 - STICKER"/>
    <n v="300"/>
    <n v="30"/>
    <n v="69"/>
  </r>
  <r>
    <x v="262"/>
    <s v="MARZO"/>
    <n v="12"/>
    <s v="MIÉRCOLES"/>
    <x v="36"/>
    <s v="SAN LUIS SIN GAS PET 625MLX15 C/STICKER"/>
    <n v="810"/>
    <n v="90"/>
    <n v="324"/>
  </r>
  <r>
    <x v="262"/>
    <s v="MARZO"/>
    <n v="12"/>
    <s v="MIÉRCOLES"/>
    <x v="0"/>
    <s v="SAN LUIS SIN GAS PET2500X6 STICKER"/>
    <n v="1104"/>
    <n v="48"/>
    <n v="441.6"/>
  </r>
  <r>
    <x v="262"/>
    <s v="MARZO"/>
    <n v="12"/>
    <s v="MIÉRCOLES"/>
    <x v="6"/>
    <s v="INCA KOLA PET 3LX2 - RF"/>
    <n v="3360"/>
    <n v="120"/>
    <n v="571.20000000000005"/>
  </r>
  <r>
    <x v="262"/>
    <s v="MARZO"/>
    <n v="12"/>
    <s v="MIÉRCOLES"/>
    <x v="10"/>
    <s v="TWO PACK CC + IK PFM 3LX2 - RFNN"/>
    <n v="7680"/>
    <n v="120"/>
    <n v="1305.6000000000001"/>
  </r>
  <r>
    <x v="262"/>
    <s v="MARZO"/>
    <n v="12"/>
    <s v="MIÉRCOLES"/>
    <x v="64"/>
    <s v="PACK-2 FT NAR+FT KI+FT PIÑA+SP RP 1.5LX8"/>
    <n v="510"/>
    <n v="30"/>
    <n v="107.1"/>
  </r>
  <r>
    <x v="263"/>
    <s v="MARZO"/>
    <n v="12"/>
    <s v="JUEVES"/>
    <x v="8"/>
    <s v="INCA KOLA PET 1.5LX2 RF"/>
    <n v="1080"/>
    <n v="198"/>
    <n v="183.60000000000002"/>
  </r>
  <r>
    <x v="263"/>
    <s v="MARZO"/>
    <n v="12"/>
    <s v="JUEVES"/>
    <x v="10"/>
    <s v="TWO PACK CC + IK PFM 3LX2 - RFNN"/>
    <n v="4320"/>
    <n v="120"/>
    <n v="734.40000000000009"/>
  </r>
  <r>
    <x v="263"/>
    <s v="MARZO"/>
    <n v="12"/>
    <s v="JUEVES"/>
    <x v="64"/>
    <s v="PACK-2 FT NAR+FT KI+FT PIÑA+SP RP 1.5LX8"/>
    <n v="360"/>
    <n v="30"/>
    <n v="75.599999999999994"/>
  </r>
  <r>
    <x v="264"/>
    <s v="MARZO"/>
    <n v="12"/>
    <s v="VIERNES"/>
    <x v="32"/>
    <s v="MONSTER ENERGY ULTRA 473MLX4"/>
    <n v="2100"/>
    <n v="420"/>
    <n v="882"/>
  </r>
  <r>
    <x v="264"/>
    <s v="MARZO"/>
    <n v="12"/>
    <s v="VIERNES"/>
    <x v="39"/>
    <s v="MONSTER ENERGY ZERO 473MLX4"/>
    <n v="420"/>
    <n v="420"/>
    <n v="176.4"/>
  </r>
  <r>
    <x v="264"/>
    <s v="MARZO"/>
    <n v="12"/>
    <s v="VIERNES"/>
    <x v="1"/>
    <s v="COCA-COLA SIN AZUCAR PET 1.5LX2"/>
    <n v="3240"/>
    <n v="198"/>
    <n v="550.80000000000007"/>
  </r>
  <r>
    <x v="264"/>
    <s v="MARZO"/>
    <n v="12"/>
    <s v="VIERNES"/>
    <x v="2"/>
    <s v="INCA KOLA SIN AZUCAR PET 1.5LX2"/>
    <n v="3024"/>
    <n v="198"/>
    <n v="514.08000000000004"/>
  </r>
  <r>
    <x v="264"/>
    <s v="MARZO"/>
    <n v="12"/>
    <s v="VIERNES"/>
    <x v="22"/>
    <s v="TWO PACK SCHWEPPES CITRUS PET 1.5LX2"/>
    <n v="198"/>
    <n v="198"/>
    <n v="33.660000000000004"/>
  </r>
  <r>
    <x v="264"/>
    <s v="MARZO"/>
    <n v="12"/>
    <s v="VIERNES"/>
    <x v="3"/>
    <s v="TWO PACK SCHWEPPES GINGER ALE PET 1.5LX2"/>
    <n v="1782"/>
    <n v="198"/>
    <n v="302.94"/>
  </r>
  <r>
    <x v="264"/>
    <s v="MARZO"/>
    <n v="12"/>
    <s v="VIERNES"/>
    <x v="17"/>
    <s v="TWO PACK CC PFM 3LX2 - RFCC"/>
    <n v="2400"/>
    <n v="120"/>
    <n v="408.00000000000006"/>
  </r>
  <r>
    <x v="264"/>
    <s v="MARZO"/>
    <n v="12"/>
    <s v="VIERNES"/>
    <x v="7"/>
    <s v="COCA-COLA PET 1.5LX2 RF"/>
    <n v="1728"/>
    <n v="198"/>
    <n v="293.76000000000005"/>
  </r>
  <r>
    <x v="264"/>
    <s v="MARZO"/>
    <n v="12"/>
    <s v="VIERNES"/>
    <x v="8"/>
    <s v="INCA KOLA PET 1.5LX2 RF"/>
    <n v="216"/>
    <n v="198"/>
    <n v="36.720000000000006"/>
  </r>
  <r>
    <x v="264"/>
    <s v="MARZO"/>
    <n v="12"/>
    <s v="VIERNES"/>
    <x v="33"/>
    <s v="COCA COLA VR 296MLX24 - STICKER"/>
    <n v="80"/>
    <n v="40"/>
    <n v="18.400000000000002"/>
  </r>
  <r>
    <x v="264"/>
    <s v="MARZO"/>
    <n v="12"/>
    <s v="VIERNES"/>
    <x v="13"/>
    <s v="INCA KOLA VR 1.5LX8 - STICKER"/>
    <n v="300"/>
    <n v="30"/>
    <n v="120"/>
  </r>
  <r>
    <x v="264"/>
    <s v="MARZO"/>
    <n v="12"/>
    <s v="VIERNES"/>
    <x v="14"/>
    <s v="INCA KOLA VR 296MLX24 - STICKER"/>
    <n v="160"/>
    <n v="40"/>
    <n v="36.800000000000004"/>
  </r>
  <r>
    <x v="264"/>
    <s v="MARZO"/>
    <n v="12"/>
    <s v="VIERNES"/>
    <x v="15"/>
    <s v="INCA KOLA VR 625MLX12 - STICKER"/>
    <n v="500"/>
    <n v="50"/>
    <n v="200"/>
  </r>
  <r>
    <x v="264"/>
    <s v="MARZO"/>
    <n v="12"/>
    <s v="VIERNES"/>
    <x v="36"/>
    <s v="SAN LUIS SIN GAS PET 625MLX15 C/STICKER"/>
    <n v="180"/>
    <n v="90"/>
    <n v="72"/>
  </r>
  <r>
    <x v="264"/>
    <s v="MARZO"/>
    <n v="12"/>
    <s v="VIERNES"/>
    <x v="24"/>
    <s v="MONSTER ENERGY 473MLX4"/>
    <n v="2520"/>
    <n v="420"/>
    <n v="1058.3999999999999"/>
  </r>
  <r>
    <x v="264"/>
    <s v="MARZO"/>
    <n v="12"/>
    <s v="VIERNES"/>
    <x v="39"/>
    <s v="MONSTER ENERGY ZERO 473MLX4"/>
    <n v="1260"/>
    <n v="420"/>
    <n v="529.19999999999993"/>
  </r>
  <r>
    <x v="264"/>
    <s v="MARZO"/>
    <n v="12"/>
    <s v="VIERNES"/>
    <x v="6"/>
    <s v="INCA KOLA PET 3LX2 - RF"/>
    <n v="3600"/>
    <n v="120"/>
    <n v="612"/>
  </r>
  <r>
    <x v="264"/>
    <s v="MARZO"/>
    <n v="12"/>
    <s v="VIERNES"/>
    <x v="17"/>
    <s v="TWO PACK CC PFM 3LX2 - RFCC"/>
    <n v="120"/>
    <n v="120"/>
    <n v="20.400000000000002"/>
  </r>
  <r>
    <x v="264"/>
    <s v="MARZO"/>
    <n v="12"/>
    <s v="VIERNES"/>
    <x v="7"/>
    <s v="COCA-COLA PET 1.5LX2 RF"/>
    <n v="1080"/>
    <n v="198"/>
    <n v="183.60000000000002"/>
  </r>
  <r>
    <x v="264"/>
    <s v="MARZO"/>
    <n v="12"/>
    <s v="VIERNES"/>
    <x v="8"/>
    <s v="INCA KOLA PET 1.5LX2 RF"/>
    <n v="864"/>
    <n v="198"/>
    <n v="146.88000000000002"/>
  </r>
  <r>
    <x v="264"/>
    <s v="MARZO"/>
    <n v="12"/>
    <s v="VIERNES"/>
    <x v="9"/>
    <s v="TRIPACK FT NAR+FT KI+SP PET 3L"/>
    <n v="540"/>
    <n v="90"/>
    <n v="91.800000000000011"/>
  </r>
  <r>
    <x v="264"/>
    <s v="MARZO"/>
    <n v="12"/>
    <s v="VIERNES"/>
    <x v="23"/>
    <s v="TRIPACK CC+IK+IK PFM 3LX3 - RFNN"/>
    <n v="360"/>
    <n v="90"/>
    <n v="61.2"/>
  </r>
  <r>
    <x v="264"/>
    <s v="MARZO"/>
    <n v="12"/>
    <s v="VIERNES"/>
    <x v="25"/>
    <s v="POWERADE 3MORA+3FRUT PET 473MLX6"/>
    <n v="900"/>
    <n v="225"/>
    <n v="378"/>
  </r>
  <r>
    <x v="264"/>
    <s v="MARZO"/>
    <n v="12"/>
    <s v="VIERNES"/>
    <x v="36"/>
    <s v="SAN LUIS SIN GAS PET 625MLX15 C/STICKER"/>
    <n v="360"/>
    <n v="90"/>
    <n v="144"/>
  </r>
  <r>
    <x v="264"/>
    <s v="MARZO"/>
    <n v="12"/>
    <s v="VIERNES"/>
    <x v="40"/>
    <s v="SAN LUIS SPORT S/G 10 Lt x6 "/>
    <n v="336"/>
    <n v="240"/>
    <n v="134.4"/>
  </r>
  <r>
    <x v="264"/>
    <s v="MARZO"/>
    <n v="12"/>
    <s v="VIERNES"/>
    <x v="39"/>
    <s v="MONSTER ENERGY ZERO 473MLX4"/>
    <n v="420"/>
    <n v="420"/>
    <n v="176.4"/>
  </r>
  <r>
    <x v="264"/>
    <s v="MARZO"/>
    <n v="12"/>
    <s v="VIERNES"/>
    <x v="16"/>
    <s v="SAN LUIS CON GAS PET 625MLX6"/>
    <n v="900"/>
    <n v="180"/>
    <n v="378"/>
  </r>
  <r>
    <x v="264"/>
    <s v="MARZO"/>
    <n v="12"/>
    <s v="VIERNES"/>
    <x v="22"/>
    <s v="TWO PACK SCHWEPPES CITRUS PET 1.5LX2"/>
    <n v="792"/>
    <n v="198"/>
    <n v="134.64000000000001"/>
  </r>
  <r>
    <x v="264"/>
    <s v="MARZO"/>
    <n v="12"/>
    <s v="VIERNES"/>
    <x v="17"/>
    <s v="TWO PACK CC PFM 3LX2 - RFCC"/>
    <n v="480"/>
    <n v="120"/>
    <n v="81.600000000000009"/>
  </r>
  <r>
    <x v="264"/>
    <s v="MARZO"/>
    <n v="12"/>
    <s v="VIERNES"/>
    <x v="7"/>
    <s v="COCA-COLA PET 1.5LX2 RF"/>
    <n v="2592"/>
    <n v="198"/>
    <n v="440.64000000000004"/>
  </r>
  <r>
    <x v="264"/>
    <s v="MARZO"/>
    <n v="12"/>
    <s v="VIERNES"/>
    <x v="8"/>
    <s v="INCA KOLA PET 1.5LX2 RF"/>
    <n v="2160"/>
    <n v="198"/>
    <n v="367.20000000000005"/>
  </r>
  <r>
    <x v="264"/>
    <s v="MARZO"/>
    <n v="12"/>
    <s v="VIERNES"/>
    <x v="9"/>
    <s v="TRIPACK FT NAR+FT KI+SP PET 3L"/>
    <n v="1800"/>
    <n v="90"/>
    <n v="306"/>
  </r>
  <r>
    <x v="264"/>
    <s v="MARZO"/>
    <n v="12"/>
    <s v="VIERNES"/>
    <x v="26"/>
    <s v="TRIPACK CC+CC+IK PFM 3LX3 - RFNN"/>
    <n v="720"/>
    <n v="90"/>
    <n v="122.4"/>
  </r>
  <r>
    <x v="264"/>
    <s v="MARZO"/>
    <n v="12"/>
    <s v="VIERNES"/>
    <x v="23"/>
    <s v="TRIPACK CC+IK+IK PFM 3LX3 - RFNN"/>
    <n v="1080"/>
    <n v="90"/>
    <n v="183.60000000000002"/>
  </r>
  <r>
    <x v="264"/>
    <s v="MARZO"/>
    <n v="12"/>
    <s v="VIERNES"/>
    <x v="25"/>
    <s v="POWERADE 3MORA+3FRUT PET 473MLX6"/>
    <n v="450"/>
    <n v="225"/>
    <n v="189"/>
  </r>
  <r>
    <x v="264"/>
    <s v="MARZO"/>
    <n v="12"/>
    <s v="VIERNES"/>
    <x v="12"/>
    <s v="POWERADE ION4 FRUTA PET473X6 MOD (STICK)"/>
    <n v="675"/>
    <n v="225"/>
    <n v="270"/>
  </r>
  <r>
    <x v="264"/>
    <s v="MARZO"/>
    <n v="12"/>
    <s v="VIERNES"/>
    <x v="19"/>
    <s v="POWERADE ION4 MORA AZ PET473X6 MOD(STCK)"/>
    <n v="450"/>
    <n v="225"/>
    <n v="180"/>
  </r>
  <r>
    <x v="264"/>
    <s v="MARZO"/>
    <n v="12"/>
    <s v="VIERNES"/>
    <x v="42"/>
    <s v="FANTA NARANJA PET 500MLX6 BRANDEADO MOD"/>
    <n v="750"/>
    <n v="420"/>
    <n v="315"/>
  </r>
  <r>
    <x v="264"/>
    <s v="MARZO"/>
    <n v="12"/>
    <s v="VIERNES"/>
    <x v="36"/>
    <s v="SAN LUIS SIN GAS PET 625MLX15 C/STICKER"/>
    <n v="360"/>
    <n v="90"/>
    <n v="144"/>
  </r>
  <r>
    <x v="264"/>
    <s v="MARZO"/>
    <n v="12"/>
    <s v="VIERNES"/>
    <x v="40"/>
    <s v="SAN LUIS SPORT S/G 10 Lt x6 "/>
    <n v="336"/>
    <n v="240"/>
    <n v="134.4"/>
  </r>
  <r>
    <x v="264"/>
    <s v="MARZO"/>
    <n v="12"/>
    <s v="VIERNES"/>
    <x v="39"/>
    <s v="MONSTER ENERGY ZERO 473MLX4"/>
    <n v="420"/>
    <n v="420"/>
    <n v="176.4"/>
  </r>
  <r>
    <x v="264"/>
    <s v="MARZO"/>
    <n v="12"/>
    <s v="VIERNES"/>
    <x v="16"/>
    <s v="SAN LUIS CON GAS PET 625MLX6"/>
    <n v="900"/>
    <n v="180"/>
    <n v="378"/>
  </r>
  <r>
    <x v="264"/>
    <s v="MARZO"/>
    <n v="12"/>
    <s v="VIERNES"/>
    <x v="22"/>
    <s v="TWO PACK SCHWEPPES CITRUS PET 1.5LX2"/>
    <n v="792"/>
    <n v="198"/>
    <n v="134.64000000000001"/>
  </r>
  <r>
    <x v="264"/>
    <s v="MARZO"/>
    <n v="12"/>
    <s v="VIERNES"/>
    <x v="17"/>
    <s v="TWO PACK CC PFM 3LX2 - RFCC"/>
    <n v="480"/>
    <n v="120"/>
    <n v="81.600000000000009"/>
  </r>
  <r>
    <x v="264"/>
    <s v="MARZO"/>
    <n v="12"/>
    <s v="VIERNES"/>
    <x v="7"/>
    <s v="COCA-COLA PET 1.5LX2 RF"/>
    <n v="2592"/>
    <n v="198"/>
    <n v="440.64000000000004"/>
  </r>
  <r>
    <x v="264"/>
    <s v="MARZO"/>
    <n v="12"/>
    <s v="VIERNES"/>
    <x v="8"/>
    <s v="INCA KOLA PET 1.5LX2 RF"/>
    <n v="2160"/>
    <n v="198"/>
    <n v="367.20000000000005"/>
  </r>
  <r>
    <x v="264"/>
    <s v="MARZO"/>
    <n v="12"/>
    <s v="VIERNES"/>
    <x v="9"/>
    <s v="TRIPACK FT NAR+FT KI+SP PET 3L"/>
    <n v="1800"/>
    <n v="90"/>
    <n v="306"/>
  </r>
  <r>
    <x v="264"/>
    <s v="MARZO"/>
    <n v="12"/>
    <s v="VIERNES"/>
    <x v="26"/>
    <s v="TRIPACK CC+CC+IK PFM 3LX3 - RFNN"/>
    <n v="720"/>
    <n v="90"/>
    <n v="122.4"/>
  </r>
  <r>
    <x v="264"/>
    <s v="MARZO"/>
    <n v="12"/>
    <s v="VIERNES"/>
    <x v="23"/>
    <s v="TRIPACK CC+IK+IK PFM 3LX3 - RFNN"/>
    <n v="1080"/>
    <n v="90"/>
    <n v="183.60000000000002"/>
  </r>
  <r>
    <x v="264"/>
    <s v="MARZO"/>
    <n v="12"/>
    <s v="VIERNES"/>
    <x v="25"/>
    <s v="POWERADE 3MORA+3FRUT PET 473MLX6"/>
    <n v="450"/>
    <n v="225"/>
    <n v="189"/>
  </r>
  <r>
    <x v="264"/>
    <s v="MARZO"/>
    <n v="12"/>
    <s v="VIERNES"/>
    <x v="12"/>
    <s v="POWERADE ION4 FRUTA PET473X6 MOD (STICK)"/>
    <n v="675"/>
    <n v="225"/>
    <n v="270"/>
  </r>
  <r>
    <x v="264"/>
    <s v="MARZO"/>
    <n v="12"/>
    <s v="VIERNES"/>
    <x v="19"/>
    <s v="POWERADE ION4 MORA AZ PET473X6 MOD(STCK)"/>
    <n v="450"/>
    <n v="225"/>
    <n v="180"/>
  </r>
  <r>
    <x v="264"/>
    <s v="MARZO"/>
    <n v="12"/>
    <s v="VIERNES"/>
    <x v="42"/>
    <s v="FANTA NARANJA PET 500MLX6 BRANDEADO MOD"/>
    <n v="750"/>
    <n v="420"/>
    <n v="315"/>
  </r>
  <r>
    <x v="264"/>
    <s v="MARZO"/>
    <n v="12"/>
    <s v="VIERNES"/>
    <x v="2"/>
    <s v="INCA KOLA SIN AZUCAR PET 1.5LX2"/>
    <n v="1296"/>
    <n v="198"/>
    <n v="220.32000000000002"/>
  </r>
  <r>
    <x v="265"/>
    <s v="MARZO"/>
    <n v="13"/>
    <s v="SÁBADO"/>
    <x v="38"/>
    <s v="SL S/G TAPA PLANA 1LT"/>
    <n v="560"/>
    <n v="112"/>
    <n v="224"/>
  </r>
  <r>
    <x v="265"/>
    <s v="MARZO"/>
    <n v="13"/>
    <s v="SÁBADO"/>
    <x v="22"/>
    <s v="TWO PACK SCHWEPPES CITRUS PET 1.5LX2"/>
    <n v="594"/>
    <n v="198"/>
    <n v="100.98"/>
  </r>
  <r>
    <x v="265"/>
    <s v="MARZO"/>
    <n v="13"/>
    <s v="SÁBADO"/>
    <x v="4"/>
    <s v="COCA-COLA PET 2.25LX2 RF"/>
    <n v="1296"/>
    <n v="162"/>
    <n v="220.32000000000002"/>
  </r>
  <r>
    <x v="265"/>
    <s v="MARZO"/>
    <n v="13"/>
    <s v="SÁBADO"/>
    <x v="5"/>
    <s v="INCA KOLA PET 2.25LX2 RF"/>
    <n v="162"/>
    <n v="162"/>
    <n v="27.540000000000003"/>
  </r>
  <r>
    <x v="265"/>
    <s v="MARZO"/>
    <n v="13"/>
    <s v="SÁBADO"/>
    <x v="6"/>
    <s v="INCA KOLA PET 3LX2 - RF"/>
    <n v="960"/>
    <n v="120"/>
    <n v="163.20000000000002"/>
  </r>
  <r>
    <x v="265"/>
    <s v="MARZO"/>
    <n v="13"/>
    <s v="SÁBADO"/>
    <x v="8"/>
    <s v="INCA KOLA PET 1.5LX2 RF"/>
    <n v="864"/>
    <n v="198"/>
    <n v="146.88000000000002"/>
  </r>
  <r>
    <x v="265"/>
    <s v="MARZO"/>
    <n v="13"/>
    <s v="SÁBADO"/>
    <x v="26"/>
    <s v="TRIPACK CC+CC+IK PFM 3LX3 - RFNN"/>
    <n v="900"/>
    <n v="90"/>
    <n v="153"/>
  </r>
  <r>
    <x v="265"/>
    <s v="MARZO"/>
    <n v="13"/>
    <s v="SÁBADO"/>
    <x v="23"/>
    <s v="TRIPACK CC+IK+IK PFM 3LX3 - RFNN"/>
    <n v="900"/>
    <n v="90"/>
    <n v="153"/>
  </r>
  <r>
    <x v="265"/>
    <s v="MARZO"/>
    <n v="13"/>
    <s v="SÁBADO"/>
    <x v="11"/>
    <s v="TRIPACK (CC+IK)PFM+FT PET 3LX3 - RFNN"/>
    <n v="1800"/>
    <n v="90"/>
    <n v="306"/>
  </r>
  <r>
    <x v="265"/>
    <s v="MARZO"/>
    <n v="13"/>
    <s v="SÁBADO"/>
    <x v="25"/>
    <s v="POWERADE 3MORA+3FRUT PET 473MLX6"/>
    <n v="225"/>
    <n v="225"/>
    <n v="94.5"/>
  </r>
  <r>
    <x v="265"/>
    <s v="MARZO"/>
    <n v="13"/>
    <s v="SÁBADO"/>
    <x v="12"/>
    <s v="POWERADE ION4 FRUTA PET473X6 MOD (STICK)"/>
    <n v="450"/>
    <n v="225"/>
    <n v="180"/>
  </r>
  <r>
    <x v="265"/>
    <s v="MARZO"/>
    <n v="13"/>
    <s v="SÁBADO"/>
    <x v="19"/>
    <s v="POWERADE ION4 MORA AZ PET473X6 MOD(STCK)"/>
    <n v="225"/>
    <n v="225"/>
    <n v="90"/>
  </r>
  <r>
    <x v="265"/>
    <s v="MARZO"/>
    <n v="13"/>
    <s v="SÁBADO"/>
    <x v="43"/>
    <s v="SPRITE PET 500MLX6 BRANDEADO MOD"/>
    <n v="750"/>
    <n v="420"/>
    <n v="315"/>
  </r>
  <r>
    <x v="265"/>
    <s v="MARZO"/>
    <n v="13"/>
    <s v="SÁBADO"/>
    <x v="33"/>
    <s v="COCA COLA VR 296MLX24 - STICKER"/>
    <n v="120"/>
    <n v="40"/>
    <n v="27.6"/>
  </r>
  <r>
    <x v="265"/>
    <s v="MARZO"/>
    <n v="13"/>
    <s v="SÁBADO"/>
    <x v="14"/>
    <s v="INCA KOLA VR 296MLX24 - STICKER"/>
    <n v="320"/>
    <n v="40"/>
    <n v="73.600000000000009"/>
  </r>
  <r>
    <x v="265"/>
    <s v="MARZO"/>
    <n v="13"/>
    <s v="SÁBADO"/>
    <x v="36"/>
    <s v="SAN LUIS SIN GAS PET 625MLX15 C/STICKER"/>
    <n v="540"/>
    <n v="90"/>
    <n v="216"/>
  </r>
  <r>
    <x v="265"/>
    <s v="MARZO"/>
    <n v="13"/>
    <s v="SÁBADO"/>
    <x v="24"/>
    <s v="MONSTER ENERGY 473MLX4"/>
    <n v="1260"/>
    <n v="420"/>
    <n v="529.19999999999993"/>
  </r>
  <r>
    <x v="265"/>
    <s v="MARZO"/>
    <n v="13"/>
    <s v="SÁBADO"/>
    <x v="22"/>
    <s v="TWO PACK SCHWEPPES CITRUS PET 1.5LX2"/>
    <n v="396"/>
    <n v="198"/>
    <n v="67.320000000000007"/>
  </r>
  <r>
    <x v="265"/>
    <s v="MARZO"/>
    <n v="13"/>
    <s v="SÁBADO"/>
    <x v="5"/>
    <s v="INCA KOLA PET 2.25LX2 RF"/>
    <n v="648"/>
    <n v="162"/>
    <n v="110.16000000000001"/>
  </r>
  <r>
    <x v="265"/>
    <s v="MARZO"/>
    <n v="13"/>
    <s v="SÁBADO"/>
    <x v="6"/>
    <s v="INCA KOLA PET 3LX2 - RF"/>
    <n v="3840"/>
    <n v="120"/>
    <n v="652.80000000000007"/>
  </r>
  <r>
    <x v="265"/>
    <s v="MARZO"/>
    <n v="13"/>
    <s v="SÁBADO"/>
    <x v="8"/>
    <s v="INCA KOLA PET 1.5LX2 RF"/>
    <n v="1296"/>
    <n v="198"/>
    <n v="220.32000000000002"/>
  </r>
  <r>
    <x v="265"/>
    <s v="MARZO"/>
    <n v="13"/>
    <s v="SÁBADO"/>
    <x v="10"/>
    <s v="TWO PACK CC + IK PFM 3LX2 - RFNN"/>
    <n v="1440"/>
    <n v="120"/>
    <n v="244.8"/>
  </r>
  <r>
    <x v="265"/>
    <s v="MARZO"/>
    <n v="13"/>
    <s v="SÁBADO"/>
    <x v="25"/>
    <s v="POWERADE 3MORA+3FRUT PET 473MLX6"/>
    <n v="2025"/>
    <n v="225"/>
    <n v="850.5"/>
  </r>
  <r>
    <x v="265"/>
    <s v="MARZO"/>
    <n v="13"/>
    <s v="SÁBADO"/>
    <x v="11"/>
    <s v="TRIPACK (CC+IK)PFM+FT PET 3LX3 - RFNN"/>
    <n v="1080"/>
    <n v="90"/>
    <n v="183.60000000000002"/>
  </r>
  <r>
    <x v="265"/>
    <s v="MARZO"/>
    <n v="13"/>
    <s v="SÁBADO"/>
    <x v="24"/>
    <s v="MONSTER ENERGY 473MLX4"/>
    <n v="840"/>
    <n v="420"/>
    <n v="352.8"/>
  </r>
  <r>
    <x v="265"/>
    <s v="MARZO"/>
    <n v="13"/>
    <s v="SÁBADO"/>
    <x v="32"/>
    <s v="MONSTER ENERGY ULTRA 473MLX4"/>
    <n v="1680"/>
    <n v="420"/>
    <n v="705.6"/>
  </r>
  <r>
    <x v="265"/>
    <s v="MARZO"/>
    <n v="13"/>
    <s v="SÁBADO"/>
    <x v="39"/>
    <s v="MONSTER ENERGY ZERO 473MLX4"/>
    <n v="2100"/>
    <n v="420"/>
    <n v="882"/>
  </r>
  <r>
    <x v="265"/>
    <s v="MARZO"/>
    <n v="13"/>
    <s v="SÁBADO"/>
    <x v="10"/>
    <s v="TWO PACK CC + IK PFM 3LX2 - RFNN"/>
    <n v="480"/>
    <n v="120"/>
    <n v="81.600000000000009"/>
  </r>
  <r>
    <x v="265"/>
    <s v="MARZO"/>
    <n v="13"/>
    <s v="SÁBADO"/>
    <x v="20"/>
    <s v="TRIPACK (FT NAR+SP)PET+IK RF PFM 3L"/>
    <n v="180"/>
    <n v="90"/>
    <n v="30.6"/>
  </r>
  <r>
    <x v="266"/>
    <s v="MARZO"/>
    <n v="13"/>
    <s v="LUNES"/>
    <x v="13"/>
    <s v="INCA KOLA VR 1.5LX8 - STICKER"/>
    <n v="60"/>
    <n v="30"/>
    <n v="24"/>
  </r>
  <r>
    <x v="266"/>
    <s v="MARZO"/>
    <n v="13"/>
    <s v="LUNES"/>
    <x v="16"/>
    <s v="SAN LUIS CON GAS PET 625MLX6"/>
    <n v="360"/>
    <n v="180"/>
    <n v="151.19999999999999"/>
  </r>
  <r>
    <x v="266"/>
    <s v="MARZO"/>
    <n v="13"/>
    <s v="LUNES"/>
    <x v="10"/>
    <s v="TWO PACK CC + IK PFM 3LX2 - RFNN"/>
    <n v="6480"/>
    <n v="120"/>
    <n v="1101.6000000000001"/>
  </r>
  <r>
    <x v="266"/>
    <s v="MARZO"/>
    <n v="13"/>
    <s v="LUNES"/>
    <x v="23"/>
    <s v="TRIPACK CC+IK+IK PFM 3LX3 - RFNN"/>
    <n v="720"/>
    <n v="90"/>
    <n v="122.4"/>
  </r>
  <r>
    <x v="266"/>
    <s v="MARZO"/>
    <n v="13"/>
    <s v="LUNES"/>
    <x v="11"/>
    <s v="TRIPACK (CC+IK)PFM+FT PET 3LX3 - RFNN"/>
    <n v="2520"/>
    <n v="90"/>
    <n v="428.40000000000003"/>
  </r>
  <r>
    <x v="266"/>
    <s v="MARZO"/>
    <n v="13"/>
    <s v="LUNES"/>
    <x v="38"/>
    <s v="SL S/G TAPA PLANA 1LT"/>
    <n v="448"/>
    <n v="112"/>
    <n v="179.20000000000002"/>
  </r>
  <r>
    <x v="266"/>
    <s v="MARZO"/>
    <n v="13"/>
    <s v="LUNES"/>
    <x v="16"/>
    <s v="SAN LUIS CON GAS PET 625MLX6"/>
    <n v="540"/>
    <n v="180"/>
    <n v="226.79999999999998"/>
  </r>
  <r>
    <x v="266"/>
    <s v="MARZO"/>
    <n v="13"/>
    <s v="LUNES"/>
    <x v="1"/>
    <s v="COCA-COLA SIN AZUCAR PET 1.5LX2"/>
    <n v="1296"/>
    <n v="198"/>
    <n v="220.32000000000002"/>
  </r>
  <r>
    <x v="266"/>
    <s v="MARZO"/>
    <n v="13"/>
    <s v="LUNES"/>
    <x v="34"/>
    <s v="TWO PACK CC PET 1.5LX2 - CRC"/>
    <n v="216"/>
    <n v="198"/>
    <n v="36.720000000000006"/>
  </r>
  <r>
    <x v="266"/>
    <s v="MARZO"/>
    <n v="13"/>
    <s v="LUNES"/>
    <x v="22"/>
    <s v="TWO PACK SCHWEPPES CITRUS PET 1.5LX2"/>
    <n v="396"/>
    <n v="198"/>
    <n v="67.320000000000007"/>
  </r>
  <r>
    <x v="266"/>
    <s v="MARZO"/>
    <n v="13"/>
    <s v="LUNES"/>
    <x v="3"/>
    <s v="TWO PACK SCHWEPPES GINGER ALE PET 1.5LX2"/>
    <n v="792"/>
    <n v="198"/>
    <n v="134.64000000000001"/>
  </r>
  <r>
    <x v="266"/>
    <s v="MARZO"/>
    <n v="13"/>
    <s v="LUNES"/>
    <x v="6"/>
    <s v="INCA KOLA PET 3LX2 - RF"/>
    <n v="3600"/>
    <n v="120"/>
    <n v="612"/>
  </r>
  <r>
    <x v="266"/>
    <s v="MARZO"/>
    <n v="13"/>
    <s v="LUNES"/>
    <x v="26"/>
    <s v="TRIPACK CC+CC+IK PFM 3LX3 - RFNN"/>
    <n v="540"/>
    <n v="90"/>
    <n v="91.800000000000011"/>
  </r>
  <r>
    <x v="266"/>
    <s v="MARZO"/>
    <n v="13"/>
    <s v="LUNES"/>
    <x v="23"/>
    <s v="TRIPACK CC+IK+IK PFM 3LX3 - RFNN"/>
    <n v="540"/>
    <n v="90"/>
    <n v="91.800000000000011"/>
  </r>
  <r>
    <x v="266"/>
    <s v="MARZO"/>
    <n v="13"/>
    <s v="LUNES"/>
    <x v="11"/>
    <s v="TRIPACK (CC+IK)PFM+FT PET 3LX3 - RFNN"/>
    <n v="900"/>
    <n v="90"/>
    <n v="153"/>
  </r>
  <r>
    <x v="266"/>
    <s v="MARZO"/>
    <n v="13"/>
    <s v="LUNES"/>
    <x v="19"/>
    <s v="POWERADE ION4 MORA AZ PET473X6 MOD(STCK)"/>
    <n v="450"/>
    <n v="225"/>
    <n v="180"/>
  </r>
  <r>
    <x v="267"/>
    <s v="MARZO"/>
    <n v="13"/>
    <s v="DOMINGO"/>
    <x v="24"/>
    <s v="MONSTER ENERGY 473MLX4"/>
    <n v="2940"/>
    <n v="420"/>
    <n v="1234.8"/>
  </r>
  <r>
    <x v="267"/>
    <s v="MARZO"/>
    <n v="13"/>
    <s v="DOMINGO"/>
    <x v="1"/>
    <s v="COCA-COLA SIN AZUCAR PET 1.5LX2"/>
    <n v="1728"/>
    <n v="198"/>
    <n v="293.76000000000005"/>
  </r>
  <r>
    <x v="267"/>
    <s v="MARZO"/>
    <n v="13"/>
    <s v="DOMINGO"/>
    <x v="2"/>
    <s v="INCA KOLA SIN AZUCAR PET 1.5LX2"/>
    <n v="1512"/>
    <n v="198"/>
    <n v="257.04000000000002"/>
  </r>
  <r>
    <x v="267"/>
    <s v="MARZO"/>
    <n v="13"/>
    <s v="DOMINGO"/>
    <x v="5"/>
    <s v="INCA KOLA PET 2.25LX2 RF"/>
    <n v="162"/>
    <n v="162"/>
    <n v="27.540000000000003"/>
  </r>
  <r>
    <x v="267"/>
    <s v="MARZO"/>
    <n v="13"/>
    <s v="DOMINGO"/>
    <x v="6"/>
    <s v="INCA KOLA PET 3LX2 - RF"/>
    <n v="2400"/>
    <n v="120"/>
    <n v="408.00000000000006"/>
  </r>
  <r>
    <x v="267"/>
    <s v="MARZO"/>
    <n v="13"/>
    <s v="DOMINGO"/>
    <x v="17"/>
    <s v="TWO PACK CC PFM 3LX2 - RFCC"/>
    <n v="1200"/>
    <n v="120"/>
    <n v="204.00000000000003"/>
  </r>
  <r>
    <x v="267"/>
    <s v="MARZO"/>
    <n v="13"/>
    <s v="DOMINGO"/>
    <x v="7"/>
    <s v="COCA-COLA PET 1.5LX2 RF"/>
    <n v="3456"/>
    <n v="198"/>
    <n v="587.5200000000001"/>
  </r>
  <r>
    <x v="267"/>
    <s v="MARZO"/>
    <n v="13"/>
    <s v="DOMINGO"/>
    <x v="10"/>
    <s v="TWO PACK CC + IK PFM 3LX2 - RFNN"/>
    <n v="1440"/>
    <n v="120"/>
    <n v="244.8"/>
  </r>
  <r>
    <x v="266"/>
    <s v="MARZO"/>
    <n v="13"/>
    <s v="LUNES"/>
    <x v="28"/>
    <s v="COCA COLA VR 1.5LX8 - STICKER"/>
    <n v="300"/>
    <n v="30"/>
    <n v="69"/>
  </r>
  <r>
    <x v="266"/>
    <s v="MARZO"/>
    <n v="13"/>
    <s v="LUNES"/>
    <x v="13"/>
    <s v="INCA KOLA VR 1.5LX8 - STICKER"/>
    <n v="90"/>
    <n v="30"/>
    <n v="36"/>
  </r>
  <r>
    <x v="266"/>
    <s v="MARZO"/>
    <n v="13"/>
    <s v="LUNES"/>
    <x v="15"/>
    <s v="INCA KOLA VR 625MLX12 - STICKER"/>
    <n v="250"/>
    <n v="50"/>
    <n v="100"/>
  </r>
  <r>
    <x v="266"/>
    <s v="MARZO"/>
    <n v="13"/>
    <s v="LUNES"/>
    <x v="36"/>
    <s v="SAN LUIS SIN GAS PET 625MLX15 C/STICKER"/>
    <n v="450"/>
    <n v="90"/>
    <n v="180"/>
  </r>
  <r>
    <x v="266"/>
    <s v="MARZO"/>
    <n v="13"/>
    <s v="LUNES"/>
    <x v="24"/>
    <s v="MONSTER ENERGY 473MLX4"/>
    <n v="840"/>
    <n v="420"/>
    <n v="352.8"/>
  </r>
  <r>
    <x v="266"/>
    <s v="MARZO"/>
    <n v="13"/>
    <s v="LUNES"/>
    <x v="1"/>
    <s v="COCA-COLA SIN AZUCAR PET 1.5LX2"/>
    <n v="2592"/>
    <n v="198"/>
    <n v="440.64000000000004"/>
  </r>
  <r>
    <x v="266"/>
    <s v="MARZO"/>
    <n v="13"/>
    <s v="LUNES"/>
    <x v="2"/>
    <s v="INCA KOLA SIN AZUCAR PET 1.5LX2"/>
    <n v="1728"/>
    <n v="198"/>
    <n v="293.76000000000005"/>
  </r>
  <r>
    <x v="266"/>
    <s v="MARZO"/>
    <n v="13"/>
    <s v="LUNES"/>
    <x v="7"/>
    <s v="COCA-COLA PET 1.5LX2 RF"/>
    <n v="864"/>
    <n v="198"/>
    <n v="146.88000000000002"/>
  </r>
  <r>
    <x v="266"/>
    <s v="MARZO"/>
    <n v="13"/>
    <s v="LUNES"/>
    <x v="10"/>
    <s v="TWO PACK CC + IK PFM 3LX2 - RFNN"/>
    <n v="3600"/>
    <n v="120"/>
    <n v="612"/>
  </r>
  <r>
    <x v="266"/>
    <s v="MARZO"/>
    <n v="13"/>
    <s v="LUNES"/>
    <x v="7"/>
    <s v="COCA-COLA PET 1.5LX2 RF"/>
    <n v="1440"/>
    <n v="198"/>
    <n v="244.8"/>
  </r>
  <r>
    <x v="266"/>
    <s v="MARZO"/>
    <n v="13"/>
    <s v="LUNES"/>
    <x v="11"/>
    <s v="TRIPACK (CC+IK)PFM+FT PET 3LX3 - RFNN"/>
    <n v="720"/>
    <n v="90"/>
    <n v="122.4"/>
  </r>
  <r>
    <x v="266"/>
    <s v="MARZO"/>
    <n v="13"/>
    <s v="LUNES"/>
    <x v="24"/>
    <s v="MONSTER ENERGY 473MLX4"/>
    <n v="420"/>
    <n v="420"/>
    <n v="176.4"/>
  </r>
  <r>
    <x v="266"/>
    <s v="MARZO"/>
    <n v="13"/>
    <s v="LUNES"/>
    <x v="16"/>
    <s v="SAN LUIS CON GAS PET 625MLX6"/>
    <n v="540"/>
    <n v="180"/>
    <n v="226.79999999999998"/>
  </r>
  <r>
    <x v="266"/>
    <s v="MARZO"/>
    <n v="13"/>
    <s v="LUNES"/>
    <x v="10"/>
    <s v="TWO PACK CC + IK PFM 3LX2 - RFNN"/>
    <n v="480"/>
    <n v="120"/>
    <n v="81.600000000000009"/>
  </r>
  <r>
    <x v="266"/>
    <s v="MARZO"/>
    <n v="13"/>
    <s v="LUNES"/>
    <x v="11"/>
    <s v="TRIPACK (CC+IK)PFM+FT PET 3LX3 - RFNN"/>
    <n v="360"/>
    <n v="90"/>
    <n v="61.2"/>
  </r>
  <r>
    <x v="268"/>
    <s v="MARZO"/>
    <n v="13"/>
    <s v="MARTES"/>
    <x v="36"/>
    <s v="SAN LUIS SIN GAS PET 625MLX15 C/STICKER"/>
    <n v="810"/>
    <n v="90"/>
    <n v="324"/>
  </r>
  <r>
    <x v="268"/>
    <s v="MARZO"/>
    <n v="13"/>
    <s v="MARTES"/>
    <x v="32"/>
    <s v="MONSTER ENERGY ULTRA 473MLX4"/>
    <n v="2100"/>
    <n v="420"/>
    <n v="882"/>
  </r>
  <r>
    <x v="268"/>
    <s v="MARZO"/>
    <n v="13"/>
    <s v="MARTES"/>
    <x v="22"/>
    <s v="TWO PACK SCHWEPPES CITRUS PET 1.5LX2"/>
    <n v="396"/>
    <n v="198"/>
    <n v="67.320000000000007"/>
  </r>
  <r>
    <x v="268"/>
    <s v="MARZO"/>
    <n v="13"/>
    <s v="MARTES"/>
    <x v="3"/>
    <s v="TWO PACK SCHWEPPES GINGER ALE PET 1.5LX2"/>
    <n v="396"/>
    <n v="198"/>
    <n v="67.320000000000007"/>
  </r>
  <r>
    <x v="268"/>
    <s v="MARZO"/>
    <n v="13"/>
    <s v="MARTES"/>
    <x v="9"/>
    <s v="TRIPACK FT NAR+FT KI+SP PET 3L"/>
    <n v="450"/>
    <n v="90"/>
    <n v="76.5"/>
  </r>
  <r>
    <x v="268"/>
    <s v="MARZO"/>
    <n v="13"/>
    <s v="MARTES"/>
    <x v="10"/>
    <s v="TWO PACK CC + IK PFM 3LX2 - RFNN"/>
    <n v="4320"/>
    <n v="120"/>
    <n v="734.40000000000009"/>
  </r>
  <r>
    <x v="268"/>
    <s v="MARZO"/>
    <n v="13"/>
    <s v="MARTES"/>
    <x v="26"/>
    <s v="TRIPACK CC+CC+IK PFM 3LX3 - RFNN"/>
    <n v="180"/>
    <n v="90"/>
    <n v="30.6"/>
  </r>
  <r>
    <x v="268"/>
    <s v="MARZO"/>
    <n v="13"/>
    <s v="MARTES"/>
    <x v="23"/>
    <s v="TRIPACK CC+IK+IK PFM 3LX3 - RFNN"/>
    <n v="360"/>
    <n v="90"/>
    <n v="61.2"/>
  </r>
  <r>
    <x v="268"/>
    <s v="MARZO"/>
    <n v="13"/>
    <s v="MARTES"/>
    <x v="11"/>
    <s v="TRIPACK (CC+IK)PFM+FT PET 3LX3 - RFNN"/>
    <n v="1980"/>
    <n v="90"/>
    <n v="336.6"/>
  </r>
  <r>
    <x v="268"/>
    <s v="MARZO"/>
    <n v="13"/>
    <s v="MARTES"/>
    <x v="20"/>
    <s v="TRIPACK (FT NAR+SP)PET+IK RF PFM 3L"/>
    <n v="450"/>
    <n v="90"/>
    <n v="76.5"/>
  </r>
  <r>
    <x v="268"/>
    <s v="MARZO"/>
    <n v="13"/>
    <s v="MARTES"/>
    <x v="42"/>
    <s v="FANTA NARANJA PET 500MLX6 BRANDEADO MOD"/>
    <n v="750"/>
    <n v="420"/>
    <n v="315"/>
  </r>
  <r>
    <x v="268"/>
    <s v="MARZO"/>
    <n v="13"/>
    <s v="MARTES"/>
    <x v="43"/>
    <s v="SPRITE PET 500MLX6 BRANDEADO MOD"/>
    <n v="1000"/>
    <n v="420"/>
    <n v="420"/>
  </r>
  <r>
    <x v="268"/>
    <s v="MARZO"/>
    <n v="13"/>
    <s v="MARTES"/>
    <x v="38"/>
    <s v="SL S/G TAPA PLANA 1LT"/>
    <n v="112"/>
    <n v="112"/>
    <n v="44.800000000000004"/>
  </r>
  <r>
    <x v="268"/>
    <s v="MARZO"/>
    <n v="13"/>
    <s v="MARTES"/>
    <x v="1"/>
    <s v="COCA-COLA SIN AZUCAR PET 1.5LX2"/>
    <n v="864"/>
    <n v="198"/>
    <n v="146.88000000000002"/>
  </r>
  <r>
    <x v="268"/>
    <s v="MARZO"/>
    <n v="13"/>
    <s v="MARTES"/>
    <x v="2"/>
    <s v="INCA KOLA SIN AZUCAR PET 1.5LX2"/>
    <n v="1080"/>
    <n v="198"/>
    <n v="183.60000000000002"/>
  </r>
  <r>
    <x v="268"/>
    <s v="MARZO"/>
    <n v="13"/>
    <s v="MARTES"/>
    <x v="29"/>
    <s v="TWO PACK IK PET 1.5LX2 - CRCG"/>
    <n v="432"/>
    <n v="198"/>
    <n v="73.440000000000012"/>
  </r>
  <r>
    <x v="268"/>
    <s v="MARZO"/>
    <n v="13"/>
    <s v="MARTES"/>
    <x v="10"/>
    <s v="TWO PACK CC + IK PFM 3LX2 - RFNN"/>
    <n v="11520"/>
    <n v="120"/>
    <n v="1958.4"/>
  </r>
  <r>
    <x v="268"/>
    <s v="MARZO"/>
    <n v="13"/>
    <s v="MARTES"/>
    <x v="25"/>
    <s v="POWERADE 3MORA+3FRUT PET 473MLX6"/>
    <n v="900"/>
    <n v="225"/>
    <n v="378"/>
  </r>
  <r>
    <x v="269"/>
    <s v="MARZO"/>
    <n v="13"/>
    <s v="MIÉRCOLES"/>
    <x v="36"/>
    <s v="SAN LUIS SIN GAS PET 625MLX15 C/STICKER"/>
    <n v="720"/>
    <n v="90"/>
    <n v="288"/>
  </r>
  <r>
    <x v="269"/>
    <s v="MARZO"/>
    <n v="13"/>
    <s v="MIÉRCOLES"/>
    <x v="38"/>
    <s v="SL S/G TAPA PLANA 1LT"/>
    <n v="336"/>
    <n v="112"/>
    <n v="134.4"/>
  </r>
  <r>
    <x v="269"/>
    <s v="MARZO"/>
    <n v="13"/>
    <s v="MIÉRCOLES"/>
    <x v="0"/>
    <s v="SAN LUIS SIN GAS PET2500X6 STICKER"/>
    <n v="480"/>
    <n v="48"/>
    <n v="192"/>
  </r>
  <r>
    <x v="269"/>
    <s v="MARZO"/>
    <n v="13"/>
    <s v="MIÉRCOLES"/>
    <x v="6"/>
    <s v="INCA KOLA PET 3LX2 - RF"/>
    <n v="2400"/>
    <n v="120"/>
    <n v="408.00000000000006"/>
  </r>
  <r>
    <x v="269"/>
    <s v="MARZO"/>
    <n v="13"/>
    <s v="MIÉRCOLES"/>
    <x v="17"/>
    <s v="TWO PACK CC PFM 3LX2 - RFCC"/>
    <n v="1800"/>
    <n v="120"/>
    <n v="306"/>
  </r>
  <r>
    <x v="269"/>
    <s v="MARZO"/>
    <n v="13"/>
    <s v="MIÉRCOLES"/>
    <x v="26"/>
    <s v="TRIPACK CC+CC+IK PFM 3LX3 - RFNN"/>
    <n v="900"/>
    <n v="90"/>
    <n v="153"/>
  </r>
  <r>
    <x v="269"/>
    <s v="MARZO"/>
    <n v="13"/>
    <s v="MIÉRCOLES"/>
    <x v="23"/>
    <s v="TRIPACK CC+IK+IK PFM 3LX3 - RFNN"/>
    <n v="1440"/>
    <n v="90"/>
    <n v="244.8"/>
  </r>
  <r>
    <x v="269"/>
    <s v="MARZO"/>
    <n v="13"/>
    <s v="MIÉRCOLES"/>
    <x v="11"/>
    <s v="TRIPACK (CC+IK)PFM+FT PET 3LX3 - RFNN"/>
    <n v="900"/>
    <n v="90"/>
    <n v="153"/>
  </r>
  <r>
    <x v="269"/>
    <s v="MARZO"/>
    <n v="13"/>
    <s v="MIÉRCOLES"/>
    <x v="42"/>
    <s v="FANTA NARANJA PET 500MLX6 BRANDEADO MOD"/>
    <n v="500"/>
    <n v="420"/>
    <n v="210"/>
  </r>
  <r>
    <x v="268"/>
    <s v="MARZO"/>
    <n v="13"/>
    <s v="MARTES"/>
    <x v="24"/>
    <s v="MONSTER ENERGY 473MLX4"/>
    <n v="1260"/>
    <n v="420"/>
    <n v="529.19999999999993"/>
  </r>
  <r>
    <x v="268"/>
    <s v="MARZO"/>
    <n v="13"/>
    <s v="MARTES"/>
    <x v="32"/>
    <s v="MONSTER ENERGY ULTRA 473MLX4"/>
    <n v="1260"/>
    <n v="420"/>
    <n v="529.19999999999993"/>
  </r>
  <r>
    <x v="268"/>
    <s v="MARZO"/>
    <n v="13"/>
    <s v="MARTES"/>
    <x v="39"/>
    <s v="MONSTER ENERGY ZERO 473MLX4"/>
    <n v="840"/>
    <n v="420"/>
    <n v="352.8"/>
  </r>
  <r>
    <x v="268"/>
    <s v="MARZO"/>
    <n v="13"/>
    <s v="MARTES"/>
    <x v="4"/>
    <s v="COCA-COLA PET 2.25LX2 RF"/>
    <n v="486"/>
    <n v="162"/>
    <n v="82.62"/>
  </r>
  <r>
    <x v="268"/>
    <s v="MARZO"/>
    <n v="13"/>
    <s v="MARTES"/>
    <x v="5"/>
    <s v="INCA KOLA PET 2.25LX2 RF"/>
    <n v="648"/>
    <n v="162"/>
    <n v="110.16000000000001"/>
  </r>
  <r>
    <x v="268"/>
    <s v="MARZO"/>
    <n v="13"/>
    <s v="MARTES"/>
    <x v="7"/>
    <s v="COCA-COLA PET 1.5LX2 RF"/>
    <n v="1296"/>
    <n v="198"/>
    <n v="220.32000000000002"/>
  </r>
  <r>
    <x v="268"/>
    <s v="MARZO"/>
    <n v="13"/>
    <s v="MARTES"/>
    <x v="8"/>
    <s v="INCA KOLA PET 1.5LX2 RF"/>
    <n v="1728"/>
    <n v="198"/>
    <n v="293.76000000000005"/>
  </r>
  <r>
    <x v="268"/>
    <s v="MARZO"/>
    <n v="13"/>
    <s v="MARTES"/>
    <x v="9"/>
    <s v="TRIPACK FT NAR+FT KI+SP PET 3L"/>
    <n v="900"/>
    <n v="90"/>
    <n v="153"/>
  </r>
  <r>
    <x v="268"/>
    <s v="MARZO"/>
    <n v="13"/>
    <s v="MARTES"/>
    <x v="10"/>
    <s v="TWO PACK CC + IK PFM 3LX2 - RFNN"/>
    <n v="6240"/>
    <n v="120"/>
    <n v="1060.8000000000002"/>
  </r>
  <r>
    <x v="268"/>
    <s v="MARZO"/>
    <n v="13"/>
    <s v="MARTES"/>
    <x v="12"/>
    <s v="POWERADE ION4 FRUTA PET473X6 MOD (STICK)"/>
    <n v="450"/>
    <n v="225"/>
    <n v="180"/>
  </r>
  <r>
    <x v="269"/>
    <s v="MARZO"/>
    <n v="13"/>
    <s v="MIÉRCOLES"/>
    <x v="13"/>
    <s v="INCA KOLA VR 1.5LX8 - STICKER"/>
    <n v="90"/>
    <n v="30"/>
    <n v="36"/>
  </r>
  <r>
    <x v="269"/>
    <s v="MARZO"/>
    <n v="13"/>
    <s v="MIÉRCOLES"/>
    <x v="15"/>
    <s v="INCA KOLA VR 625MLX12 - STICKER"/>
    <n v="200"/>
    <n v="50"/>
    <n v="80"/>
  </r>
  <r>
    <x v="269"/>
    <s v="MARZO"/>
    <n v="13"/>
    <s v="MIÉRCOLES"/>
    <x v="0"/>
    <s v="SAN LUIS SIN GAS PET2500X6 STICKER"/>
    <n v="1152"/>
    <n v="48"/>
    <n v="460.8"/>
  </r>
  <r>
    <x v="269"/>
    <s v="MARZO"/>
    <n v="13"/>
    <s v="MIÉRCOLES"/>
    <x v="24"/>
    <s v="MONSTER ENERGY 473MLX4"/>
    <n v="840"/>
    <n v="420"/>
    <n v="352.8"/>
  </r>
  <r>
    <x v="269"/>
    <s v="MARZO"/>
    <n v="13"/>
    <s v="MIÉRCOLES"/>
    <x v="39"/>
    <s v="MONSTER ENERGY ZERO 473MLX4"/>
    <n v="420"/>
    <n v="420"/>
    <n v="176.4"/>
  </r>
  <r>
    <x v="269"/>
    <s v="MARZO"/>
    <n v="13"/>
    <s v="MIÉRCOLES"/>
    <x v="10"/>
    <s v="TWO PACK CC + IK PFM 3LX2 - RFNN"/>
    <n v="4560"/>
    <n v="120"/>
    <n v="775.2"/>
  </r>
  <r>
    <x v="269"/>
    <s v="MARZO"/>
    <n v="13"/>
    <s v="MIÉRCOLES"/>
    <x v="64"/>
    <s v="PACK-2 FT NAR+FT KI+FT PIÑA+SP RP 1.5LX8"/>
    <n v="390"/>
    <n v="30"/>
    <n v="81.899999999999991"/>
  </r>
  <r>
    <x v="269"/>
    <s v="MARZO"/>
    <n v="13"/>
    <s v="MIÉRCOLES"/>
    <x v="13"/>
    <s v="INCA KOLA VR 1.5LX8 - STICKER"/>
    <n v="180"/>
    <n v="30"/>
    <n v="72"/>
  </r>
  <r>
    <x v="269"/>
    <s v="MARZO"/>
    <n v="13"/>
    <s v="MIÉRCOLES"/>
    <x v="10"/>
    <s v="TWO PACK CC + IK PFM 3LX2 - RFNN"/>
    <n v="1200"/>
    <n v="120"/>
    <n v="204.00000000000003"/>
  </r>
  <r>
    <x v="269"/>
    <s v="MARZO"/>
    <n v="13"/>
    <s v="MIÉRCOLES"/>
    <x v="26"/>
    <s v="TRIPACK CC+CC+IK PFM 3LX3 - RFNN"/>
    <n v="1440"/>
    <n v="90"/>
    <n v="244.8"/>
  </r>
  <r>
    <x v="269"/>
    <s v="MARZO"/>
    <n v="13"/>
    <s v="MIÉRCOLES"/>
    <x v="64"/>
    <s v="PACK-2 FT NAR+FT KI+FT PIÑA+SP RP 1.5LX8"/>
    <n v="210"/>
    <n v="30"/>
    <n v="44.1"/>
  </r>
  <r>
    <x v="270"/>
    <s v="MARZO"/>
    <n v="13"/>
    <s v="JUEVES"/>
    <x v="28"/>
    <s v="COCA COLA VR 1.5LX8 - STICKER"/>
    <n v="120"/>
    <n v="30"/>
    <n v="27.6"/>
  </r>
  <r>
    <x v="270"/>
    <s v="MARZO"/>
    <n v="13"/>
    <s v="JUEVES"/>
    <x v="15"/>
    <s v="INCA KOLA VR 625MLX12 - STICKER"/>
    <n v="100"/>
    <n v="50"/>
    <n v="40"/>
  </r>
  <r>
    <x v="270"/>
    <s v="MARZO"/>
    <n v="13"/>
    <s v="JUEVES"/>
    <x v="24"/>
    <s v="MONSTER ENERGY 473MLX4"/>
    <n v="2100"/>
    <n v="420"/>
    <n v="882"/>
  </r>
  <r>
    <x v="270"/>
    <s v="MARZO"/>
    <n v="13"/>
    <s v="JUEVES"/>
    <x v="64"/>
    <s v="PACK-2 FT NAR+FT KI+FT PIÑA+SP RP 1.5LX8"/>
    <n v="360"/>
    <n v="30"/>
    <n v="75.599999999999994"/>
  </r>
  <r>
    <x v="271"/>
    <s v="ABRIL"/>
    <n v="13"/>
    <s v="VIERNES"/>
    <x v="10"/>
    <s v="TWO PACK CC + IK PFM 3LX2 - RFNN"/>
    <n v="6000"/>
    <n v="120"/>
    <n v="1020.0000000000001"/>
  </r>
  <r>
    <x v="270"/>
    <s v="MARZO"/>
    <n v="13"/>
    <s v="JUEVES"/>
    <x v="0"/>
    <s v="SAN LUIS SIN GAS PET2500X6 STICKER"/>
    <n v="576"/>
    <n v="48"/>
    <n v="230.4"/>
  </r>
  <r>
    <x v="270"/>
    <s v="MARZO"/>
    <n v="13"/>
    <s v="JUEVES"/>
    <x v="1"/>
    <s v="COCA-COLA SIN AZUCAR PET 1.5LX2"/>
    <n v="5184"/>
    <n v="198"/>
    <n v="881.28000000000009"/>
  </r>
  <r>
    <x v="270"/>
    <s v="MARZO"/>
    <n v="13"/>
    <s v="JUEVES"/>
    <x v="2"/>
    <s v="INCA KOLA SIN AZUCAR PET 1.5LX2"/>
    <n v="3456"/>
    <n v="198"/>
    <n v="587.5200000000001"/>
  </r>
  <r>
    <x v="270"/>
    <s v="MARZO"/>
    <n v="13"/>
    <s v="JUEVES"/>
    <x v="22"/>
    <s v="TWO PACK SCHWEPPES CITRUS PET 1.5LX2"/>
    <n v="594"/>
    <n v="198"/>
    <n v="100.98"/>
  </r>
  <r>
    <x v="270"/>
    <s v="MARZO"/>
    <n v="13"/>
    <s v="JUEVES"/>
    <x v="7"/>
    <s v="COCA-COLA PET 1.5LX2 RF"/>
    <n v="1728"/>
    <n v="198"/>
    <n v="293.76000000000005"/>
  </r>
  <r>
    <x v="270"/>
    <s v="MARZO"/>
    <n v="13"/>
    <s v="JUEVES"/>
    <x v="8"/>
    <s v="INCA KOLA PET 1.5LX2 RF"/>
    <n v="1080"/>
    <n v="198"/>
    <n v="183.60000000000002"/>
  </r>
  <r>
    <x v="270"/>
    <s v="MARZO"/>
    <n v="13"/>
    <s v="JUEVES"/>
    <x v="43"/>
    <s v="SPRITE PET 500MLX6 BRANDEADO MOD"/>
    <n v="500"/>
    <n v="420"/>
    <n v="210"/>
  </r>
  <r>
    <x v="271"/>
    <s v="ABRIL"/>
    <n v="13"/>
    <s v="VIERNES"/>
    <x v="28"/>
    <s v="COCA COLA VR 1.5LX8 - STICKER"/>
    <n v="180"/>
    <n v="30"/>
    <n v="41.4"/>
  </r>
  <r>
    <x v="271"/>
    <s v="ABRIL"/>
    <n v="13"/>
    <s v="VIERNES"/>
    <x v="33"/>
    <s v="COCA COLA VR 296MLX24 - STICKER"/>
    <n v="80"/>
    <n v="40"/>
    <n v="18.400000000000002"/>
  </r>
  <r>
    <x v="271"/>
    <s v="ABRIL"/>
    <n v="13"/>
    <s v="VIERNES"/>
    <x v="15"/>
    <s v="INCA KOLA VR 625MLX12 - STICKER"/>
    <n v="300"/>
    <n v="50"/>
    <n v="120"/>
  </r>
  <r>
    <x v="271"/>
    <s v="ABRIL"/>
    <n v="13"/>
    <s v="VIERNES"/>
    <x v="16"/>
    <s v="SAN LUIS CON GAS PET 625MLX6"/>
    <n v="900"/>
    <n v="180"/>
    <n v="378"/>
  </r>
  <r>
    <x v="271"/>
    <s v="ABRIL"/>
    <n v="13"/>
    <s v="VIERNES"/>
    <x v="1"/>
    <s v="COCA-COLA SIN AZUCAR PET 1.5LX2"/>
    <n v="432"/>
    <n v="198"/>
    <n v="73.440000000000012"/>
  </r>
  <r>
    <x v="271"/>
    <s v="ABRIL"/>
    <n v="13"/>
    <s v="VIERNES"/>
    <x v="5"/>
    <s v="INCA KOLA PET 2.25LX2 RF"/>
    <n v="324"/>
    <n v="162"/>
    <n v="55.080000000000005"/>
  </r>
  <r>
    <x v="271"/>
    <s v="ABRIL"/>
    <n v="13"/>
    <s v="VIERNES"/>
    <x v="8"/>
    <s v="INCA KOLA PET 1.5LX2 RF"/>
    <n v="1728"/>
    <n v="198"/>
    <n v="293.76000000000005"/>
  </r>
  <r>
    <x v="271"/>
    <s v="ABRIL"/>
    <n v="13"/>
    <s v="VIERNES"/>
    <x v="20"/>
    <s v="TRIPACK (FT NAR+SP)PET+IK RF PFM 3L"/>
    <n v="450"/>
    <n v="90"/>
    <n v="76.5"/>
  </r>
  <r>
    <x v="271"/>
    <s v="ABRIL"/>
    <n v="13"/>
    <s v="VIERNES"/>
    <x v="25"/>
    <s v="POWERADE 3MORA+3FRUT PET 473MLX6"/>
    <n v="1800"/>
    <n v="225"/>
    <n v="756"/>
  </r>
  <r>
    <x v="271"/>
    <s v="ABRIL"/>
    <n v="13"/>
    <s v="VIERNES"/>
    <x v="28"/>
    <s v="COCA COLA VR 1.5LX8 - STICKER"/>
    <n v="30"/>
    <n v="30"/>
    <n v="6.9"/>
  </r>
  <r>
    <x v="271"/>
    <s v="ABRIL"/>
    <n v="13"/>
    <s v="VIERNES"/>
    <x v="10"/>
    <s v="TWO PACK CC + IK PFM 3LX2 - RFNN"/>
    <n v="4320"/>
    <n v="120"/>
    <n v="734.40000000000009"/>
  </r>
  <r>
    <x v="271"/>
    <s v="ABRIL"/>
    <n v="13"/>
    <s v="VIERNES"/>
    <x v="36"/>
    <s v="SAN LUIS SIN GAS PET 625MLX15 C/STICKER"/>
    <n v="540"/>
    <n v="90"/>
    <n v="216"/>
  </r>
  <r>
    <x v="271"/>
    <s v="ABRIL"/>
    <n v="13"/>
    <s v="VIERNES"/>
    <x v="40"/>
    <s v="SAN LUIS SPORT S/G 10 Lt x6 "/>
    <n v="224"/>
    <n v="240"/>
    <n v="89.600000000000009"/>
  </r>
  <r>
    <x v="271"/>
    <s v="ABRIL"/>
    <n v="13"/>
    <s v="VIERNES"/>
    <x v="10"/>
    <s v="TWO PACK CC + IK PFM 3LX2 - RFNN"/>
    <n v="1680"/>
    <n v="120"/>
    <n v="285.60000000000002"/>
  </r>
  <r>
    <x v="271"/>
    <s v="ABRIL"/>
    <n v="13"/>
    <s v="VIERNES"/>
    <x v="42"/>
    <s v="FANTA NARANJA PET 500MLX6 BRANDEADO MOD"/>
    <n v="250"/>
    <n v="420"/>
    <n v="105"/>
  </r>
  <r>
    <x v="271"/>
    <s v="ABRIL"/>
    <n v="13"/>
    <s v="VIERNES"/>
    <x v="43"/>
    <s v="SPRITE PET 500MLX6 BRANDEADO MOD"/>
    <n v="250"/>
    <n v="420"/>
    <n v="105"/>
  </r>
  <r>
    <x v="271"/>
    <s v="ABRIL"/>
    <n v="13"/>
    <s v="VIERNES"/>
    <x v="24"/>
    <s v="MONSTER ENERGY 473MLX4"/>
    <n v="4200"/>
    <n v="420"/>
    <n v="1764"/>
  </r>
  <r>
    <x v="271"/>
    <s v="ABRIL"/>
    <n v="13"/>
    <s v="VIERNES"/>
    <x v="16"/>
    <s v="SAN LUIS CON GAS PET 625MLX6"/>
    <n v="180"/>
    <n v="180"/>
    <n v="75.599999999999994"/>
  </r>
  <r>
    <x v="271"/>
    <s v="ABRIL"/>
    <n v="13"/>
    <s v="VIERNES"/>
    <x v="5"/>
    <s v="INCA KOLA PET 2.25LX2 RF"/>
    <n v="162"/>
    <n v="162"/>
    <n v="27.540000000000003"/>
  </r>
  <r>
    <x v="271"/>
    <s v="ABRIL"/>
    <n v="13"/>
    <s v="VIERNES"/>
    <x v="6"/>
    <s v="INCA KOLA PET 3LX2 - RF"/>
    <n v="2880"/>
    <n v="120"/>
    <n v="489.6"/>
  </r>
  <r>
    <x v="271"/>
    <s v="ABRIL"/>
    <n v="13"/>
    <s v="VIERNES"/>
    <x v="17"/>
    <s v="TWO PACK CC PFM 3LX2 - RFCC"/>
    <n v="720"/>
    <n v="120"/>
    <n v="122.4"/>
  </r>
  <r>
    <x v="271"/>
    <s v="ABRIL"/>
    <n v="13"/>
    <s v="VIERNES"/>
    <x v="10"/>
    <s v="TWO PACK CC + IK PFM 3LX2 - RFNN"/>
    <n v="720"/>
    <n v="120"/>
    <n v="122.4"/>
  </r>
  <r>
    <x v="271"/>
    <s v="ABRIL"/>
    <n v="13"/>
    <s v="VIERNES"/>
    <x v="23"/>
    <s v="TRIPACK CC+IK+IK PFM 3LX3 - RFNN"/>
    <n v="1800"/>
    <n v="90"/>
    <n v="306"/>
  </r>
  <r>
    <x v="271"/>
    <s v="ABRIL"/>
    <n v="13"/>
    <s v="VIERNES"/>
    <x v="11"/>
    <s v="TRIPACK (CC+IK)PFM+FT PET 3LX3 - RFNN"/>
    <n v="1440"/>
    <n v="90"/>
    <n v="244.8"/>
  </r>
  <r>
    <x v="272"/>
    <s v="ABRIL"/>
    <n v="14"/>
    <s v="SÁBADO"/>
    <x v="10"/>
    <s v="TWO PACK CC + IK PFM 3LX2 - RFNN"/>
    <n v="3840"/>
    <n v="120"/>
    <n v="652.80000000000007"/>
  </r>
  <r>
    <x v="272"/>
    <s v="ABRIL"/>
    <n v="14"/>
    <s v="SÁBADO"/>
    <x v="10"/>
    <s v="TWO PACK CC + IK PFM 3LX2 - RFNN"/>
    <n v="960"/>
    <n v="120"/>
    <n v="163.20000000000002"/>
  </r>
  <r>
    <x v="272"/>
    <s v="ABRIL"/>
    <n v="14"/>
    <s v="SÁBADO"/>
    <x v="28"/>
    <s v="COCA COLA VR 1.5LX8 - STICKER"/>
    <n v="120"/>
    <n v="30"/>
    <n v="27.6"/>
  </r>
  <r>
    <x v="272"/>
    <s v="ABRIL"/>
    <n v="14"/>
    <s v="SÁBADO"/>
    <x v="13"/>
    <s v="INCA KOLA VR 1.5LX8 - STICKER"/>
    <n v="180"/>
    <n v="30"/>
    <n v="72"/>
  </r>
  <r>
    <x v="272"/>
    <s v="ABRIL"/>
    <n v="14"/>
    <s v="SÁBADO"/>
    <x v="15"/>
    <s v="INCA KOLA VR 625MLX12 - STICKER"/>
    <n v="100"/>
    <n v="50"/>
    <n v="40"/>
  </r>
  <r>
    <x v="272"/>
    <s v="ABRIL"/>
    <n v="14"/>
    <s v="SÁBADO"/>
    <x v="22"/>
    <s v="TWO PACK SCHWEPPES CITRUS PET 1.5LX2"/>
    <n v="792"/>
    <n v="198"/>
    <n v="134.64000000000001"/>
  </r>
  <r>
    <x v="272"/>
    <s v="ABRIL"/>
    <n v="14"/>
    <s v="SÁBADO"/>
    <x v="4"/>
    <s v="COCA-COLA PET 2.25LX2 RF"/>
    <n v="486"/>
    <n v="162"/>
    <n v="82.62"/>
  </r>
  <r>
    <x v="272"/>
    <s v="ABRIL"/>
    <n v="14"/>
    <s v="SÁBADO"/>
    <x v="5"/>
    <s v="INCA KOLA PET 2.25LX2 RF"/>
    <n v="324"/>
    <n v="162"/>
    <n v="55.080000000000005"/>
  </r>
  <r>
    <x v="272"/>
    <s v="ABRIL"/>
    <n v="14"/>
    <s v="SÁBADO"/>
    <x v="6"/>
    <s v="INCA KOLA PET 3LX2 - RF"/>
    <n v="120"/>
    <n v="120"/>
    <n v="20.400000000000002"/>
  </r>
  <r>
    <x v="272"/>
    <s v="ABRIL"/>
    <n v="14"/>
    <s v="SÁBADO"/>
    <x v="17"/>
    <s v="TWO PACK CC PFM 3LX2 - RFCC"/>
    <n v="1080"/>
    <n v="120"/>
    <n v="183.60000000000002"/>
  </r>
  <r>
    <x v="272"/>
    <s v="ABRIL"/>
    <n v="14"/>
    <s v="SÁBADO"/>
    <x v="10"/>
    <s v="TWO PACK CC + IK PFM 3LX2 - RFNN"/>
    <n v="2880"/>
    <n v="120"/>
    <n v="489.6"/>
  </r>
  <r>
    <x v="272"/>
    <s v="ABRIL"/>
    <n v="14"/>
    <s v="SÁBADO"/>
    <x v="23"/>
    <s v="TRIPACK CC+IK+IK PFM 3LX3 - RFNN"/>
    <n v="90"/>
    <n v="90"/>
    <n v="15.3"/>
  </r>
  <r>
    <x v="272"/>
    <s v="ABRIL"/>
    <n v="14"/>
    <s v="SÁBADO"/>
    <x v="11"/>
    <s v="TRIPACK (CC+IK)PFM+FT PET 3LX3 - RFNN"/>
    <n v="900"/>
    <n v="90"/>
    <n v="153"/>
  </r>
  <r>
    <x v="273"/>
    <s v="ABRIL"/>
    <n v="14"/>
    <s v="LUNES"/>
    <x v="40"/>
    <s v="SAN LUIS SPORT S/G 10 Lt x6 "/>
    <n v="112"/>
    <n v="240"/>
    <n v="44.800000000000004"/>
  </r>
  <r>
    <x v="273"/>
    <s v="ABRIL"/>
    <n v="14"/>
    <s v="LUNES"/>
    <x v="38"/>
    <s v="SL S/G TAPA PLANA 1LT"/>
    <n v="224"/>
    <n v="112"/>
    <n v="89.600000000000009"/>
  </r>
  <r>
    <x v="273"/>
    <s v="ABRIL"/>
    <n v="14"/>
    <s v="LUNES"/>
    <x v="0"/>
    <s v="SAN LUIS SIN GAS PET2500X6 STICKER"/>
    <n v="960"/>
    <n v="48"/>
    <n v="384"/>
  </r>
  <r>
    <x v="273"/>
    <s v="ABRIL"/>
    <n v="14"/>
    <s v="LUNES"/>
    <x v="16"/>
    <s v="SAN LUIS CON GAS PET 625MLX6"/>
    <n v="1080"/>
    <n v="180"/>
    <n v="453.59999999999997"/>
  </r>
  <r>
    <x v="273"/>
    <s v="ABRIL"/>
    <n v="14"/>
    <s v="LUNES"/>
    <x v="1"/>
    <s v="COCA-COLA SIN AZUCAR PET 1.5LX2"/>
    <n v="1080"/>
    <n v="198"/>
    <n v="183.60000000000002"/>
  </r>
  <r>
    <x v="273"/>
    <s v="ABRIL"/>
    <n v="14"/>
    <s v="LUNES"/>
    <x v="2"/>
    <s v="INCA KOLA SIN AZUCAR PET 1.5LX2"/>
    <n v="2160"/>
    <n v="198"/>
    <n v="367.20000000000005"/>
  </r>
  <r>
    <x v="273"/>
    <s v="ABRIL"/>
    <n v="14"/>
    <s v="LUNES"/>
    <x v="6"/>
    <s v="INCA KOLA PET 3LX2 - RF"/>
    <n v="1680"/>
    <n v="120"/>
    <n v="285.60000000000002"/>
  </r>
  <r>
    <x v="273"/>
    <s v="ABRIL"/>
    <n v="14"/>
    <s v="LUNES"/>
    <x v="7"/>
    <s v="COCA-COLA PET 1.5LX2 RF"/>
    <n v="1080"/>
    <n v="198"/>
    <n v="183.60000000000002"/>
  </r>
  <r>
    <x v="273"/>
    <s v="ABRIL"/>
    <n v="14"/>
    <s v="LUNES"/>
    <x v="8"/>
    <s v="INCA KOLA PET 1.5LX2 RF"/>
    <n v="1080"/>
    <n v="198"/>
    <n v="183.60000000000002"/>
  </r>
  <r>
    <x v="273"/>
    <s v="ABRIL"/>
    <n v="14"/>
    <s v="LUNES"/>
    <x v="10"/>
    <s v="TWO PACK CC + IK PFM 3LX2 - RFNN"/>
    <n v="240"/>
    <n v="120"/>
    <n v="40.800000000000004"/>
  </r>
  <r>
    <x v="273"/>
    <s v="ABRIL"/>
    <n v="14"/>
    <s v="LUNES"/>
    <x v="12"/>
    <s v="POWERADE ION4 FRUTA PET473X6 MOD (STICK)"/>
    <n v="450"/>
    <n v="225"/>
    <n v="180"/>
  </r>
  <r>
    <x v="273"/>
    <s v="ABRIL"/>
    <n v="14"/>
    <s v="LUNES"/>
    <x v="33"/>
    <s v="COCA COLA VR 296MLX24 - STICKER"/>
    <n v="120"/>
    <n v="40"/>
    <n v="27.6"/>
  </r>
  <r>
    <x v="273"/>
    <s v="ABRIL"/>
    <n v="14"/>
    <s v="LUNES"/>
    <x v="13"/>
    <s v="INCA KOLA VR 1.5LX8 - STICKER"/>
    <n v="210"/>
    <n v="30"/>
    <n v="84"/>
  </r>
  <r>
    <x v="273"/>
    <s v="ABRIL"/>
    <n v="14"/>
    <s v="LUNES"/>
    <x v="14"/>
    <s v="INCA KOLA VR 296MLX24 - STICKER"/>
    <n v="80"/>
    <n v="40"/>
    <n v="18.400000000000002"/>
  </r>
  <r>
    <x v="273"/>
    <s v="ABRIL"/>
    <n v="14"/>
    <s v="LUNES"/>
    <x v="15"/>
    <s v="INCA KOLA VR 625MLX12 - STICKER"/>
    <n v="350"/>
    <n v="50"/>
    <n v="140"/>
  </r>
  <r>
    <x v="273"/>
    <s v="ABRIL"/>
    <n v="14"/>
    <s v="LUNES"/>
    <x v="24"/>
    <s v="MONSTER ENERGY 473MLX4"/>
    <n v="2100"/>
    <n v="420"/>
    <n v="882"/>
  </r>
  <r>
    <x v="273"/>
    <s v="ABRIL"/>
    <n v="14"/>
    <s v="LUNES"/>
    <x v="16"/>
    <s v="SAN LUIS CON GAS PET 625MLX6"/>
    <n v="180"/>
    <n v="180"/>
    <n v="75.599999999999994"/>
  </r>
  <r>
    <x v="273"/>
    <s v="ABRIL"/>
    <n v="14"/>
    <s v="LUNES"/>
    <x v="4"/>
    <s v="COCA-COLA PET 2.25LX2 RF"/>
    <n v="486"/>
    <n v="162"/>
    <n v="82.62"/>
  </r>
  <r>
    <x v="273"/>
    <s v="ABRIL"/>
    <n v="14"/>
    <s v="LUNES"/>
    <x v="6"/>
    <s v="INCA KOLA PET 3LX2 - RF"/>
    <n v="720"/>
    <n v="120"/>
    <n v="122.4"/>
  </r>
  <r>
    <x v="273"/>
    <s v="ABRIL"/>
    <n v="14"/>
    <s v="LUNES"/>
    <x v="9"/>
    <s v="TRIPACK FT NAR+FT KI+SP PET 3L"/>
    <n v="900"/>
    <n v="90"/>
    <n v="153"/>
  </r>
  <r>
    <x v="273"/>
    <s v="ABRIL"/>
    <n v="14"/>
    <s v="LUNES"/>
    <x v="10"/>
    <s v="TWO PACK CC + IK PFM 3LX2 - RFNN"/>
    <n v="960"/>
    <n v="120"/>
    <n v="163.20000000000002"/>
  </r>
  <r>
    <x v="273"/>
    <s v="ABRIL"/>
    <n v="14"/>
    <s v="LUNES"/>
    <x v="26"/>
    <s v="TRIPACK CC+CC+IK PFM 3LX3 - RFNN"/>
    <n v="900"/>
    <n v="90"/>
    <n v="153"/>
  </r>
  <r>
    <x v="273"/>
    <s v="ABRIL"/>
    <n v="14"/>
    <s v="LUNES"/>
    <x v="20"/>
    <s v="TRIPACK (FT NAR+SP)PET+IK RF PFM 3L"/>
    <n v="450"/>
    <n v="90"/>
    <n v="76.5"/>
  </r>
  <r>
    <x v="273"/>
    <s v="ABRIL"/>
    <n v="14"/>
    <s v="LUNES"/>
    <x v="25"/>
    <s v="POWERADE 3MORA+3FRUT PET 473MLX6"/>
    <n v="1350"/>
    <n v="225"/>
    <n v="567"/>
  </r>
  <r>
    <x v="274"/>
    <s v="ABRIL"/>
    <n v="14"/>
    <s v="MIÉRCOLES"/>
    <x v="10"/>
    <s v="TWO PACK CC + IK PFM 3LX2 - RFNN"/>
    <n v="6000"/>
    <n v="120"/>
    <n v="1020.0000000000001"/>
  </r>
  <r>
    <x v="275"/>
    <s v="ABRIL"/>
    <n v="14"/>
    <s v="MARTES"/>
    <x v="25"/>
    <s v="POWERADE 3MORA+3FRUT PET 473MLX6"/>
    <n v="900"/>
    <n v="225"/>
    <n v="378"/>
  </r>
  <r>
    <x v="275"/>
    <s v="ABRIL"/>
    <n v="14"/>
    <s v="MARTES"/>
    <x v="42"/>
    <s v="FANTA NARANJA PET 500MLX6 BRANDEADO MOD"/>
    <n v="500"/>
    <n v="420"/>
    <n v="210"/>
  </r>
  <r>
    <x v="275"/>
    <s v="ABRIL"/>
    <n v="14"/>
    <s v="MARTES"/>
    <x v="43"/>
    <s v="SPRITE PET 500MLX6 BRANDEADO MOD"/>
    <n v="750"/>
    <n v="420"/>
    <n v="315"/>
  </r>
  <r>
    <x v="275"/>
    <s v="ABRIL"/>
    <n v="14"/>
    <s v="MARTES"/>
    <x v="64"/>
    <s v="PACK-2 FT NAR+FT KI+FT PIÑA+SP RP 1.5LX8"/>
    <n v="360"/>
    <n v="30"/>
    <n v="75.599999999999994"/>
  </r>
  <r>
    <x v="275"/>
    <s v="ABRIL"/>
    <n v="14"/>
    <s v="MARTES"/>
    <x v="13"/>
    <s v="INCA KOLA VR 1.5LX8 - STICKER"/>
    <n v="210"/>
    <n v="30"/>
    <n v="84"/>
  </r>
  <r>
    <x v="275"/>
    <s v="ABRIL"/>
    <n v="14"/>
    <s v="MARTES"/>
    <x v="36"/>
    <s v="SAN LUIS SIN GAS PET 625MLX15 C/STICKER"/>
    <n v="900"/>
    <n v="90"/>
    <n v="360"/>
  </r>
  <r>
    <x v="275"/>
    <s v="ABRIL"/>
    <n v="14"/>
    <s v="MARTES"/>
    <x v="38"/>
    <s v="SL S/G TAPA PLANA 1LT"/>
    <n v="560"/>
    <n v="112"/>
    <n v="224"/>
  </r>
  <r>
    <x v="275"/>
    <s v="ABRIL"/>
    <n v="14"/>
    <s v="MARTES"/>
    <x v="0"/>
    <s v="SAN LUIS SIN GAS PET2500X6 STICKER"/>
    <n v="960"/>
    <n v="48"/>
    <n v="384"/>
  </r>
  <r>
    <x v="275"/>
    <s v="ABRIL"/>
    <n v="14"/>
    <s v="MARTES"/>
    <x v="24"/>
    <s v="MONSTER ENERGY 473MLX4"/>
    <n v="840"/>
    <n v="420"/>
    <n v="352.8"/>
  </r>
  <r>
    <x v="275"/>
    <s v="ABRIL"/>
    <n v="14"/>
    <s v="MARTES"/>
    <x v="32"/>
    <s v="MONSTER ENERGY ULTRA 473MLX4"/>
    <n v="420"/>
    <n v="420"/>
    <n v="176.4"/>
  </r>
  <r>
    <x v="275"/>
    <s v="ABRIL"/>
    <n v="14"/>
    <s v="MARTES"/>
    <x v="1"/>
    <s v="COCA-COLA SIN AZUCAR PET 1.5LX2"/>
    <n v="1080"/>
    <n v="198"/>
    <n v="183.60000000000002"/>
  </r>
  <r>
    <x v="275"/>
    <s v="ABRIL"/>
    <n v="14"/>
    <s v="MARTES"/>
    <x v="22"/>
    <s v="TWO PACK SCHWEPPES CITRUS PET 1.5LX2"/>
    <n v="792"/>
    <n v="198"/>
    <n v="134.64000000000001"/>
  </r>
  <r>
    <x v="275"/>
    <s v="ABRIL"/>
    <n v="14"/>
    <s v="MARTES"/>
    <x v="5"/>
    <s v="INCA KOLA PET 2.25LX2 RF"/>
    <n v="648"/>
    <n v="162"/>
    <n v="110.16000000000001"/>
  </r>
  <r>
    <x v="275"/>
    <s v="ABRIL"/>
    <n v="14"/>
    <s v="MARTES"/>
    <x v="7"/>
    <s v="COCA-COLA PET 1.5LX2 RF"/>
    <n v="2160"/>
    <n v="198"/>
    <n v="367.20000000000005"/>
  </r>
  <r>
    <x v="275"/>
    <s v="ABRIL"/>
    <n v="14"/>
    <s v="MARTES"/>
    <x v="8"/>
    <s v="INCA KOLA PET 1.5LX2 RF"/>
    <n v="1080"/>
    <n v="198"/>
    <n v="183.60000000000002"/>
  </r>
  <r>
    <x v="275"/>
    <s v="ABRIL"/>
    <n v="14"/>
    <s v="MARTES"/>
    <x v="9"/>
    <s v="TRIPACK FT NAR+FT KI+SP PET 3L"/>
    <n v="720"/>
    <n v="90"/>
    <n v="122.4"/>
  </r>
  <r>
    <x v="275"/>
    <s v="ABRIL"/>
    <n v="14"/>
    <s v="MARTES"/>
    <x v="26"/>
    <s v="TRIPACK CC+CC+IK PFM 3LX3 - RFNN"/>
    <n v="720"/>
    <n v="90"/>
    <n v="122.4"/>
  </r>
  <r>
    <x v="275"/>
    <s v="ABRIL"/>
    <n v="14"/>
    <s v="MARTES"/>
    <x v="23"/>
    <s v="TRIPACK CC+IK+IK PFM 3LX3 - RFNN"/>
    <n v="1440"/>
    <n v="90"/>
    <n v="244.8"/>
  </r>
  <r>
    <x v="275"/>
    <s v="ABRIL"/>
    <n v="14"/>
    <s v="MARTES"/>
    <x v="20"/>
    <s v="TRIPACK (FT NAR+SP)PET+IK RF PFM 3L"/>
    <n v="450"/>
    <n v="90"/>
    <n v="76.5"/>
  </r>
  <r>
    <x v="274"/>
    <s v="ABRIL"/>
    <n v="14"/>
    <s v="MIÉRCOLES"/>
    <x v="22"/>
    <s v="TWO PACK SCHWEPPES CITRUS PET 1.5LX2"/>
    <n v="396"/>
    <n v="198"/>
    <n v="67.320000000000007"/>
  </r>
  <r>
    <x v="274"/>
    <s v="ABRIL"/>
    <n v="14"/>
    <s v="MIÉRCOLES"/>
    <x v="6"/>
    <s v="INCA KOLA PET 3LX2 - RF"/>
    <n v="2520"/>
    <n v="120"/>
    <n v="428.40000000000003"/>
  </r>
  <r>
    <x v="274"/>
    <s v="ABRIL"/>
    <n v="14"/>
    <s v="MIÉRCOLES"/>
    <x v="17"/>
    <s v="TWO PACK CC PFM 3LX2 - RFCC"/>
    <n v="3000"/>
    <n v="120"/>
    <n v="510.00000000000006"/>
  </r>
  <r>
    <x v="274"/>
    <s v="ABRIL"/>
    <n v="14"/>
    <s v="MIÉRCOLES"/>
    <x v="10"/>
    <s v="TWO PACK CC + IK PFM 3LX2 - RFNN"/>
    <n v="6000"/>
    <n v="120"/>
    <n v="1020.0000000000001"/>
  </r>
  <r>
    <x v="274"/>
    <s v="ABRIL"/>
    <n v="14"/>
    <s v="MIÉRCOLES"/>
    <x v="11"/>
    <s v="TRIPACK (CC+IK)PFM+FT PET 3LX3 - RFNN"/>
    <n v="1800"/>
    <n v="90"/>
    <n v="306"/>
  </r>
  <r>
    <x v="276"/>
    <s v="ABRIL"/>
    <n v="14"/>
    <s v="JUEVES"/>
    <x v="28"/>
    <s v="COCA COLA VR 1.5LX8 - STICKER"/>
    <n v="180"/>
    <n v="30"/>
    <n v="41.4"/>
  </r>
  <r>
    <x v="276"/>
    <s v="ABRIL"/>
    <n v="14"/>
    <s v="JUEVES"/>
    <x v="13"/>
    <s v="INCA KOLA VR 1.5LX8 - STICKER"/>
    <n v="120"/>
    <n v="30"/>
    <n v="48"/>
  </r>
  <r>
    <x v="276"/>
    <s v="ABRIL"/>
    <n v="14"/>
    <s v="JUEVES"/>
    <x v="15"/>
    <s v="INCA KOLA VR 625MLX12 - STICKER"/>
    <n v="250"/>
    <n v="50"/>
    <n v="100"/>
  </r>
  <r>
    <x v="276"/>
    <s v="ABRIL"/>
    <n v="14"/>
    <s v="JUEVES"/>
    <x v="2"/>
    <s v="INCA KOLA SIN AZUCAR PET 1.5LX2"/>
    <n v="1296"/>
    <n v="198"/>
    <n v="220.32000000000002"/>
  </r>
  <r>
    <x v="276"/>
    <s v="ABRIL"/>
    <n v="14"/>
    <s v="JUEVES"/>
    <x v="9"/>
    <s v="TRIPACK FT NAR+FT KI+SP PET 3L"/>
    <n v="1260"/>
    <n v="90"/>
    <n v="214.20000000000002"/>
  </r>
  <r>
    <x v="276"/>
    <s v="ABRIL"/>
    <n v="14"/>
    <s v="JUEVES"/>
    <x v="28"/>
    <s v="COCA COLA VR 1.5LX8 - STICKER"/>
    <n v="120"/>
    <n v="30"/>
    <n v="27.6"/>
  </r>
  <r>
    <x v="276"/>
    <s v="ABRIL"/>
    <n v="14"/>
    <s v="JUEVES"/>
    <x v="13"/>
    <s v="INCA KOLA VR 1.5LX8 - STICKER"/>
    <n v="120"/>
    <n v="30"/>
    <n v="48"/>
  </r>
  <r>
    <x v="276"/>
    <s v="ABRIL"/>
    <n v="14"/>
    <s v="JUEVES"/>
    <x v="0"/>
    <s v="SAN LUIS SIN GAS PET2500X6 STICKER"/>
    <n v="960"/>
    <n v="48"/>
    <n v="384"/>
  </r>
  <r>
    <x v="276"/>
    <s v="ABRIL"/>
    <n v="14"/>
    <s v="JUEVES"/>
    <x v="2"/>
    <s v="INCA KOLA SIN AZUCAR PET 1.5LX2"/>
    <n v="864"/>
    <n v="198"/>
    <n v="146.88000000000002"/>
  </r>
  <r>
    <x v="276"/>
    <s v="ABRIL"/>
    <n v="14"/>
    <s v="JUEVES"/>
    <x v="34"/>
    <s v="TWO PACK CC PET 1.5LX2 - CRC"/>
    <n v="216"/>
    <n v="198"/>
    <n v="36.720000000000006"/>
  </r>
  <r>
    <x v="276"/>
    <s v="ABRIL"/>
    <n v="14"/>
    <s v="JUEVES"/>
    <x v="3"/>
    <s v="TWO PACK SCHWEPPES GINGER ALE PET 1.5LX2"/>
    <n v="1584"/>
    <n v="198"/>
    <n v="269.28000000000003"/>
  </r>
  <r>
    <x v="276"/>
    <s v="ABRIL"/>
    <n v="14"/>
    <s v="JUEVES"/>
    <x v="4"/>
    <s v="COCA-COLA PET 2.25LX2 RF"/>
    <n v="810"/>
    <n v="162"/>
    <n v="137.70000000000002"/>
  </r>
  <r>
    <x v="276"/>
    <s v="ABRIL"/>
    <n v="14"/>
    <s v="JUEVES"/>
    <x v="7"/>
    <s v="COCA-COLA PET 1.5LX2 RF"/>
    <n v="1728"/>
    <n v="198"/>
    <n v="293.76000000000005"/>
  </r>
  <r>
    <x v="276"/>
    <s v="ABRIL"/>
    <n v="14"/>
    <s v="JUEVES"/>
    <x v="9"/>
    <s v="TRIPACK FT NAR+FT KI+SP PET 3L"/>
    <n v="1080"/>
    <n v="90"/>
    <n v="183.60000000000002"/>
  </r>
  <r>
    <x v="276"/>
    <s v="ABRIL"/>
    <n v="14"/>
    <s v="JUEVES"/>
    <x v="23"/>
    <s v="TRIPACK CC+IK+IK PFM 3LX3 - RFNN"/>
    <n v="3600"/>
    <n v="90"/>
    <n v="612"/>
  </r>
  <r>
    <x v="276"/>
    <s v="ABRIL"/>
    <n v="14"/>
    <s v="JUEVES"/>
    <x v="25"/>
    <s v="POWERADE 3MORA+3FRUT PET 473MLX6"/>
    <n v="2250"/>
    <n v="225"/>
    <n v="945"/>
  </r>
  <r>
    <x v="276"/>
    <s v="ABRIL"/>
    <n v="14"/>
    <s v="JUEVES"/>
    <x v="43"/>
    <s v="SPRITE PET 500MLX6 BRANDEADO MOD"/>
    <n v="500"/>
    <n v="420"/>
    <n v="210"/>
  </r>
  <r>
    <x v="274"/>
    <s v="ABRIL"/>
    <n v="14"/>
    <s v="MIÉRCOLES"/>
    <x v="22"/>
    <s v="TWO PACK SCHWEPPES CITRUS PET 1.5LX2"/>
    <n v="792"/>
    <n v="198"/>
    <n v="134.64000000000001"/>
  </r>
  <r>
    <x v="274"/>
    <s v="ABRIL"/>
    <n v="14"/>
    <s v="MIÉRCOLES"/>
    <x v="6"/>
    <s v="INCA KOLA PET 3LX2 - RF"/>
    <n v="480"/>
    <n v="120"/>
    <n v="81.600000000000009"/>
  </r>
  <r>
    <x v="274"/>
    <s v="ABRIL"/>
    <n v="14"/>
    <s v="MIÉRCOLES"/>
    <x v="8"/>
    <s v="INCA KOLA PET 1.5LX2 RF"/>
    <n v="1080"/>
    <n v="198"/>
    <n v="183.60000000000002"/>
  </r>
  <r>
    <x v="274"/>
    <s v="ABRIL"/>
    <n v="14"/>
    <s v="MIÉRCOLES"/>
    <x v="23"/>
    <s v="TRIPACK CC+IK+IK PFM 3LX3 - RFNN"/>
    <n v="900"/>
    <n v="90"/>
    <n v="153"/>
  </r>
  <r>
    <x v="274"/>
    <s v="ABRIL"/>
    <n v="14"/>
    <s v="MIÉRCOLES"/>
    <x v="11"/>
    <s v="TRIPACK (CC+IK)PFM+FT PET 3LX3 - RFNN"/>
    <n v="3690"/>
    <n v="90"/>
    <n v="627.30000000000007"/>
  </r>
  <r>
    <x v="274"/>
    <s v="ABRIL"/>
    <n v="14"/>
    <s v="MIÉRCOLES"/>
    <x v="12"/>
    <s v="POWERADE ION4 FRUTA PET473X6 MOD (STICK)"/>
    <n v="900"/>
    <n v="225"/>
    <n v="360"/>
  </r>
  <r>
    <x v="276"/>
    <s v="ABRIL"/>
    <n v="14"/>
    <s v="JUEVES"/>
    <x v="0"/>
    <s v="SAN LUIS SIN GAS PET2500X6 STICKER"/>
    <n v="480"/>
    <n v="48"/>
    <n v="192"/>
  </r>
  <r>
    <x v="276"/>
    <s v="ABRIL"/>
    <n v="14"/>
    <s v="JUEVES"/>
    <x v="1"/>
    <s v="COCA-COLA SIN AZUCAR PET 1.5LX2"/>
    <n v="5400"/>
    <n v="198"/>
    <n v="918.00000000000011"/>
  </r>
  <r>
    <x v="276"/>
    <s v="ABRIL"/>
    <n v="14"/>
    <s v="JUEVES"/>
    <x v="7"/>
    <s v="COCA-COLA PET 1.5LX2 RF"/>
    <n v="1728"/>
    <n v="198"/>
    <n v="293.76000000000005"/>
  </r>
  <r>
    <x v="276"/>
    <s v="ABRIL"/>
    <n v="14"/>
    <s v="JUEVES"/>
    <x v="8"/>
    <s v="INCA KOLA PET 1.5LX2 RF"/>
    <n v="648"/>
    <n v="198"/>
    <n v="110.16000000000001"/>
  </r>
  <r>
    <x v="276"/>
    <s v="ABRIL"/>
    <n v="14"/>
    <s v="JUEVES"/>
    <x v="26"/>
    <s v="TRIPACK CC+CC+IK PFM 3LX3 - RFNN"/>
    <n v="1800"/>
    <n v="90"/>
    <n v="306"/>
  </r>
  <r>
    <x v="276"/>
    <s v="ABRIL"/>
    <n v="14"/>
    <s v="JUEVES"/>
    <x v="20"/>
    <s v="TRIPACK (FT NAR+SP)PET+IK RF PFM 3L"/>
    <n v="720"/>
    <n v="90"/>
    <n v="122.4"/>
  </r>
  <r>
    <x v="277"/>
    <s v="ABRIL"/>
    <n v="14"/>
    <s v="VIERNES"/>
    <x v="15"/>
    <s v="INCA KOLA VR 625MLX12 - STICKER"/>
    <n v="200"/>
    <n v="50"/>
    <n v="80"/>
  </r>
  <r>
    <x v="277"/>
    <s v="ABRIL"/>
    <n v="14"/>
    <s v="VIERNES"/>
    <x v="36"/>
    <s v="SAN LUIS SIN GAS PET 625MLX15 C/STICKER"/>
    <n v="900"/>
    <n v="90"/>
    <n v="360"/>
  </r>
  <r>
    <x v="277"/>
    <s v="ABRIL"/>
    <n v="14"/>
    <s v="VIERNES"/>
    <x v="0"/>
    <s v="SAN LUIS SIN GAS PET2500X6 STICKER"/>
    <n v="480"/>
    <n v="48"/>
    <n v="192"/>
  </r>
  <r>
    <x v="277"/>
    <s v="ABRIL"/>
    <n v="14"/>
    <s v="VIERNES"/>
    <x v="24"/>
    <s v="MONSTER ENERGY 473MLX4"/>
    <n v="1680"/>
    <n v="420"/>
    <n v="705.6"/>
  </r>
  <r>
    <x v="277"/>
    <s v="ABRIL"/>
    <n v="14"/>
    <s v="VIERNES"/>
    <x v="2"/>
    <s v="INCA KOLA SIN AZUCAR PET 1.5LX2"/>
    <n v="3240"/>
    <n v="198"/>
    <n v="550.80000000000007"/>
  </r>
  <r>
    <x v="277"/>
    <s v="ABRIL"/>
    <n v="14"/>
    <s v="VIERNES"/>
    <x v="3"/>
    <s v="TWO PACK SCHWEPPES GINGER ALE PET 1.5LX2"/>
    <n v="594"/>
    <n v="198"/>
    <n v="100.98"/>
  </r>
  <r>
    <x v="277"/>
    <s v="ABRIL"/>
    <n v="14"/>
    <s v="VIERNES"/>
    <x v="4"/>
    <s v="COCA-COLA PET 2.25LX2 RF"/>
    <n v="648"/>
    <n v="162"/>
    <n v="110.16000000000001"/>
  </r>
  <r>
    <x v="277"/>
    <s v="ABRIL"/>
    <n v="14"/>
    <s v="VIERNES"/>
    <x v="7"/>
    <s v="COCA-COLA PET 1.5LX2 RF"/>
    <n v="2592"/>
    <n v="198"/>
    <n v="440.64000000000004"/>
  </r>
  <r>
    <x v="277"/>
    <s v="ABRIL"/>
    <n v="14"/>
    <s v="VIERNES"/>
    <x v="8"/>
    <s v="INCA KOLA PET 1.5LX2 RF"/>
    <n v="864"/>
    <n v="198"/>
    <n v="146.88000000000002"/>
  </r>
  <r>
    <x v="277"/>
    <s v="ABRIL"/>
    <n v="14"/>
    <s v="VIERNES"/>
    <x v="20"/>
    <s v="TRIPACK (FT NAR+SP)PET+IK RF PFM 3L"/>
    <n v="720"/>
    <n v="90"/>
    <n v="122.4"/>
  </r>
  <r>
    <x v="277"/>
    <s v="ABRIL"/>
    <n v="14"/>
    <s v="VIERNES"/>
    <x v="12"/>
    <s v="POWERADE ION4 FRUTA PET473X6 MOD (STICK)"/>
    <n v="450"/>
    <n v="225"/>
    <n v="180"/>
  </r>
  <r>
    <x v="277"/>
    <s v="ABRIL"/>
    <n v="14"/>
    <s v="VIERNES"/>
    <x v="19"/>
    <s v="POWERADE ION4 MORA AZ PET473X6 MOD(STCK)"/>
    <n v="450"/>
    <n v="225"/>
    <n v="180"/>
  </r>
  <r>
    <x v="277"/>
    <s v="ABRIL"/>
    <n v="14"/>
    <s v="VIERNES"/>
    <x v="42"/>
    <s v="FANTA NARANJA PET 500MLX6 BRANDEADO MOD"/>
    <n v="750"/>
    <n v="420"/>
    <n v="315"/>
  </r>
  <r>
    <x v="277"/>
    <s v="ABRIL"/>
    <n v="14"/>
    <s v="VIERNES"/>
    <x v="40"/>
    <s v="SAN LUIS SPORT S/G 10 Lt x6 "/>
    <n v="224"/>
    <n v="240"/>
    <n v="89.600000000000009"/>
  </r>
  <r>
    <x v="277"/>
    <s v="ABRIL"/>
    <n v="14"/>
    <s v="VIERNES"/>
    <x v="38"/>
    <s v="SL S/G TAPA PLANA 1LT"/>
    <n v="448"/>
    <n v="112"/>
    <n v="179.20000000000002"/>
  </r>
  <r>
    <x v="277"/>
    <s v="ABRIL"/>
    <n v="14"/>
    <s v="VIERNES"/>
    <x v="16"/>
    <s v="SAN LUIS CON GAS PET 625MLX6"/>
    <n v="720"/>
    <n v="180"/>
    <n v="302.39999999999998"/>
  </r>
  <r>
    <x v="277"/>
    <s v="ABRIL"/>
    <n v="14"/>
    <s v="VIERNES"/>
    <x v="3"/>
    <s v="TWO PACK SCHWEPPES GINGER ALE PET 1.5LX2"/>
    <n v="1188"/>
    <n v="198"/>
    <n v="201.96"/>
  </r>
  <r>
    <x v="277"/>
    <s v="ABRIL"/>
    <n v="14"/>
    <s v="VIERNES"/>
    <x v="8"/>
    <s v="INCA KOLA PET 1.5LX2 RF"/>
    <n v="1728"/>
    <n v="198"/>
    <n v="293.76000000000005"/>
  </r>
  <r>
    <x v="277"/>
    <s v="ABRIL"/>
    <n v="14"/>
    <s v="VIERNES"/>
    <x v="40"/>
    <s v="SAN LUIS SPORT S/G 10 Lt x6 "/>
    <n v="224"/>
    <n v="240"/>
    <n v="89.600000000000009"/>
  </r>
  <r>
    <x v="277"/>
    <s v="ABRIL"/>
    <n v="14"/>
    <s v="VIERNES"/>
    <x v="38"/>
    <s v="SL S/G TAPA PLANA 1LT"/>
    <n v="336"/>
    <n v="112"/>
    <n v="134.4"/>
  </r>
  <r>
    <x v="277"/>
    <s v="ABRIL"/>
    <n v="14"/>
    <s v="VIERNES"/>
    <x v="24"/>
    <s v="MONSTER ENERGY 473MLX4"/>
    <n v="2520"/>
    <n v="420"/>
    <n v="1058.3999999999999"/>
  </r>
  <r>
    <x v="277"/>
    <s v="ABRIL"/>
    <n v="14"/>
    <s v="VIERNES"/>
    <x v="4"/>
    <s v="COCA-COLA PET 2.25LX2 RF"/>
    <n v="810"/>
    <n v="162"/>
    <n v="137.70000000000002"/>
  </r>
  <r>
    <x v="277"/>
    <s v="ABRIL"/>
    <n v="14"/>
    <s v="VIERNES"/>
    <x v="5"/>
    <s v="INCA KOLA PET 2.25LX2 RF"/>
    <n v="810"/>
    <n v="162"/>
    <n v="137.70000000000002"/>
  </r>
  <r>
    <x v="277"/>
    <s v="ABRIL"/>
    <n v="14"/>
    <s v="VIERNES"/>
    <x v="10"/>
    <s v="TWO PACK CC + IK PFM 3LX2 - RFNN"/>
    <n v="6000"/>
    <n v="120"/>
    <n v="1020.0000000000001"/>
  </r>
  <r>
    <x v="277"/>
    <s v="ABRIL"/>
    <n v="14"/>
    <s v="VIERNES"/>
    <x v="26"/>
    <s v="TRIPACK CC+CC+IK PFM 3LX3 - RFNN"/>
    <n v="720"/>
    <n v="90"/>
    <n v="122.4"/>
  </r>
  <r>
    <x v="277"/>
    <s v="ABRIL"/>
    <n v="14"/>
    <s v="VIERNES"/>
    <x v="23"/>
    <s v="TRIPACK CC+IK+IK PFM 3LX3 - RFNN"/>
    <n v="900"/>
    <n v="90"/>
    <n v="153"/>
  </r>
  <r>
    <x v="277"/>
    <s v="ABRIL"/>
    <n v="14"/>
    <s v="VIERNES"/>
    <x v="12"/>
    <s v="POWERADE ION4 FRUTA PET473X6 MOD (STICK)"/>
    <n v="225"/>
    <n v="225"/>
    <n v="90"/>
  </r>
  <r>
    <x v="278"/>
    <s v="ABRIL"/>
    <n v="15"/>
    <s v="SÁBADO"/>
    <x v="36"/>
    <s v="SAN LUIS SIN GAS PET 625MLX15 C/STICKER"/>
    <n v="450"/>
    <n v="90"/>
    <n v="180"/>
  </r>
  <r>
    <x v="278"/>
    <s v="ABRIL"/>
    <n v="15"/>
    <s v="SÁBADO"/>
    <x v="0"/>
    <s v="SAN LUIS SIN GAS PET2500X6 STICKER"/>
    <n v="960"/>
    <n v="48"/>
    <n v="384"/>
  </r>
  <r>
    <x v="278"/>
    <s v="ABRIL"/>
    <n v="15"/>
    <s v="SÁBADO"/>
    <x v="22"/>
    <s v="TWO PACK SCHWEPPES CITRUS PET 1.5LX2"/>
    <n v="1584"/>
    <n v="198"/>
    <n v="269.28000000000003"/>
  </r>
  <r>
    <x v="278"/>
    <s v="ABRIL"/>
    <n v="15"/>
    <s v="SÁBADO"/>
    <x v="3"/>
    <s v="TWO PACK SCHWEPPES GINGER ALE PET 1.5LX2"/>
    <n v="2376"/>
    <n v="198"/>
    <n v="403.92"/>
  </r>
  <r>
    <x v="278"/>
    <s v="ABRIL"/>
    <n v="15"/>
    <s v="SÁBADO"/>
    <x v="7"/>
    <s v="COCA-COLA PET 1.5LX2 RF"/>
    <n v="1080"/>
    <n v="198"/>
    <n v="183.60000000000002"/>
  </r>
  <r>
    <x v="278"/>
    <s v="ABRIL"/>
    <n v="15"/>
    <s v="SÁBADO"/>
    <x v="8"/>
    <s v="INCA KOLA PET 1.5LX2 RF"/>
    <n v="1296"/>
    <n v="198"/>
    <n v="220.32000000000002"/>
  </r>
  <r>
    <x v="278"/>
    <s v="ABRIL"/>
    <n v="15"/>
    <s v="SÁBADO"/>
    <x v="43"/>
    <s v="SPRITE PET 500MLX6 BRANDEADO MOD"/>
    <n v="500"/>
    <n v="420"/>
    <n v="210"/>
  </r>
  <r>
    <x v="278"/>
    <s v="ABRIL"/>
    <n v="15"/>
    <s v="SÁBADO"/>
    <x v="68"/>
    <s v="COCA COLA VNR 300ML X 6 PUC"/>
    <n v="250"/>
    <n v="250"/>
    <n v="105"/>
  </r>
  <r>
    <x v="278"/>
    <s v="ABRIL"/>
    <n v="15"/>
    <s v="SÁBADO"/>
    <x v="19"/>
    <s v="POWERADE ION4 MORA AZ PET473X6 MOD(STCK)"/>
    <n v="675"/>
    <n v="225"/>
    <n v="270"/>
  </r>
  <r>
    <x v="278"/>
    <s v="ABRIL"/>
    <n v="15"/>
    <s v="SÁBADO"/>
    <x v="12"/>
    <s v="POWERADE ION4 FRUTA PET473X6 MOD (STICK)"/>
    <n v="450"/>
    <n v="225"/>
    <n v="180"/>
  </r>
  <r>
    <x v="278"/>
    <s v="ABRIL"/>
    <n v="15"/>
    <s v="SÁBADO"/>
    <x v="8"/>
    <s v="INCA KOLA PET 1.5LX2 RF"/>
    <n v="864"/>
    <n v="198"/>
    <n v="146.88000000000002"/>
  </r>
  <r>
    <x v="278"/>
    <s v="ABRIL"/>
    <n v="15"/>
    <s v="SÁBADO"/>
    <x v="10"/>
    <s v="TWO PACK CC + IK PFM 3LX2 - RFNN"/>
    <n v="4800"/>
    <n v="120"/>
    <n v="816.00000000000011"/>
  </r>
  <r>
    <x v="278"/>
    <s v="ABRIL"/>
    <n v="15"/>
    <s v="SÁBADO"/>
    <x v="43"/>
    <s v="SPRITE PET 500MLX6 BRANDEADO MOD"/>
    <n v="500"/>
    <n v="420"/>
    <n v="210"/>
  </r>
  <r>
    <x v="278"/>
    <s v="ABRIL"/>
    <n v="15"/>
    <s v="SÁBADO"/>
    <x v="68"/>
    <s v="COCA COLA VNR 300ML X 6 PUC"/>
    <n v="500"/>
    <n v="250"/>
    <n v="210"/>
  </r>
  <r>
    <x v="279"/>
    <s v="ABRIL"/>
    <n v="15"/>
    <s v="LUNES"/>
    <x v="36"/>
    <s v="SAN LUIS SIN GAS PET 625MLX15 C/STICKER"/>
    <n v="630"/>
    <n v="90"/>
    <n v="252"/>
  </r>
  <r>
    <x v="279"/>
    <s v="ABRIL"/>
    <n v="15"/>
    <s v="LUNES"/>
    <x v="0"/>
    <s v="SAN LUIS SIN GAS PET2500X6 STICKER"/>
    <n v="1248"/>
    <n v="48"/>
    <n v="499.20000000000005"/>
  </r>
  <r>
    <x v="279"/>
    <s v="ABRIL"/>
    <n v="15"/>
    <s v="LUNES"/>
    <x v="2"/>
    <s v="INCA KOLA SIN AZUCAR PET 1.5LX2"/>
    <n v="2592"/>
    <n v="198"/>
    <n v="440.64000000000004"/>
  </r>
  <r>
    <x v="279"/>
    <s v="ABRIL"/>
    <n v="15"/>
    <s v="LUNES"/>
    <x v="34"/>
    <s v="TWO PACK CC PET 1.5LX2 - CRC"/>
    <n v="216"/>
    <n v="198"/>
    <n v="36.720000000000006"/>
  </r>
  <r>
    <x v="279"/>
    <s v="ABRIL"/>
    <n v="15"/>
    <s v="LUNES"/>
    <x v="22"/>
    <s v="TWO PACK SCHWEPPES CITRUS PET 1.5LX2"/>
    <n v="792"/>
    <n v="198"/>
    <n v="134.64000000000001"/>
  </r>
  <r>
    <x v="279"/>
    <s v="ABRIL"/>
    <n v="15"/>
    <s v="LUNES"/>
    <x v="3"/>
    <s v="TWO PACK SCHWEPPES GINGER ALE PET 1.5LX2"/>
    <n v="792"/>
    <n v="198"/>
    <n v="134.64000000000001"/>
  </r>
  <r>
    <x v="279"/>
    <s v="ABRIL"/>
    <n v="15"/>
    <s v="LUNES"/>
    <x v="6"/>
    <s v="INCA KOLA PET 3LX2 - RF"/>
    <n v="360"/>
    <n v="120"/>
    <n v="61.2"/>
  </r>
  <r>
    <x v="279"/>
    <s v="ABRIL"/>
    <n v="15"/>
    <s v="LUNES"/>
    <x v="17"/>
    <s v="TWO PACK CC PFM 3LX2 - RFCC"/>
    <n v="120"/>
    <n v="120"/>
    <n v="20.400000000000002"/>
  </r>
  <r>
    <x v="279"/>
    <s v="ABRIL"/>
    <n v="15"/>
    <s v="LUNES"/>
    <x v="7"/>
    <s v="COCA-COLA PET 1.5LX2 RF"/>
    <n v="864"/>
    <n v="198"/>
    <n v="146.88000000000002"/>
  </r>
  <r>
    <x v="279"/>
    <s v="ABRIL"/>
    <n v="15"/>
    <s v="LUNES"/>
    <x v="8"/>
    <s v="INCA KOLA PET 1.5LX2 RF"/>
    <n v="648"/>
    <n v="198"/>
    <n v="110.16000000000001"/>
  </r>
  <r>
    <x v="279"/>
    <s v="ABRIL"/>
    <n v="15"/>
    <s v="LUNES"/>
    <x v="9"/>
    <s v="TRIPACK FT NAR+FT KI+SP PET 3L"/>
    <n v="1260"/>
    <n v="90"/>
    <n v="214.20000000000002"/>
  </r>
  <r>
    <x v="279"/>
    <s v="ABRIL"/>
    <n v="15"/>
    <s v="LUNES"/>
    <x v="23"/>
    <s v="TRIPACK CC+IK+IK PFM 3LX3 - RFNN"/>
    <n v="900"/>
    <n v="90"/>
    <n v="153"/>
  </r>
  <r>
    <x v="279"/>
    <s v="ABRIL"/>
    <n v="15"/>
    <s v="LUNES"/>
    <x v="42"/>
    <s v="FANTA NARANJA PET 500MLX6 BRANDEADO MOD"/>
    <n v="500"/>
    <n v="420"/>
    <n v="210"/>
  </r>
  <r>
    <x v="279"/>
    <s v="ABRIL"/>
    <n v="15"/>
    <s v="LUNES"/>
    <x v="43"/>
    <s v="SPRITE PET 500MLX6 BRANDEADO MOD"/>
    <n v="250"/>
    <n v="420"/>
    <n v="105"/>
  </r>
  <r>
    <x v="279"/>
    <s v="ABRIL"/>
    <n v="15"/>
    <s v="LUNES"/>
    <x v="68"/>
    <s v="COCA COLA VNR 300ML X 6 PUC"/>
    <n v="1000"/>
    <n v="250"/>
    <n v="420"/>
  </r>
  <r>
    <x v="279"/>
    <s v="ABRIL"/>
    <n v="15"/>
    <s v="LUNES"/>
    <x v="26"/>
    <s v="TRIPACK CC+CC+IK PFM 3LX3 - RFNN"/>
    <n v="1440"/>
    <n v="90"/>
    <n v="244.8"/>
  </r>
  <r>
    <x v="279"/>
    <s v="ABRIL"/>
    <n v="15"/>
    <s v="LUNES"/>
    <x v="23"/>
    <s v="TRIPACK CC+IK+IK PFM 3LX3 - RFNN"/>
    <n v="1440"/>
    <n v="90"/>
    <n v="244.8"/>
  </r>
  <r>
    <x v="279"/>
    <s v="ABRIL"/>
    <n v="15"/>
    <s v="LUNES"/>
    <x v="33"/>
    <s v="COCA COLA VR 296MLX24 - STICKER"/>
    <n v="80"/>
    <n v="40"/>
    <n v="18.400000000000002"/>
  </r>
  <r>
    <x v="279"/>
    <s v="ABRIL"/>
    <n v="15"/>
    <s v="LUNES"/>
    <x v="14"/>
    <s v="INCA KOLA VR 296MLX24 - STICKER"/>
    <n v="160"/>
    <n v="40"/>
    <n v="36.800000000000004"/>
  </r>
  <r>
    <x v="279"/>
    <s v="ABRIL"/>
    <n v="15"/>
    <s v="LUNES"/>
    <x v="15"/>
    <s v="INCA KOLA VR 625MLX12 - STICKER"/>
    <n v="250"/>
    <n v="50"/>
    <n v="100"/>
  </r>
  <r>
    <x v="279"/>
    <s v="ABRIL"/>
    <n v="15"/>
    <s v="LUNES"/>
    <x v="2"/>
    <s v="INCA KOLA SIN AZUCAR PET 1.5LX2"/>
    <n v="648"/>
    <n v="198"/>
    <n v="110.16000000000001"/>
  </r>
  <r>
    <x v="279"/>
    <s v="ABRIL"/>
    <n v="15"/>
    <s v="LUNES"/>
    <x v="3"/>
    <s v="TWO PACK SCHWEPPES GINGER ALE PET 1.5LX2"/>
    <n v="396"/>
    <n v="198"/>
    <n v="67.320000000000007"/>
  </r>
  <r>
    <x v="279"/>
    <s v="ABRIL"/>
    <n v="15"/>
    <s v="LUNES"/>
    <x v="9"/>
    <s v="TRIPACK FT NAR+FT KI+SP PET 3L"/>
    <n v="360"/>
    <n v="90"/>
    <n v="61.2"/>
  </r>
  <r>
    <x v="279"/>
    <s v="ABRIL"/>
    <n v="15"/>
    <s v="LUNES"/>
    <x v="42"/>
    <s v="FANTA NARANJA PET 500MLX6 BRANDEADO MOD"/>
    <n v="250"/>
    <n v="420"/>
    <n v="105"/>
  </r>
  <r>
    <x v="279"/>
    <s v="ABRIL"/>
    <n v="15"/>
    <s v="LUNES"/>
    <x v="68"/>
    <s v="COCA COLA VNR 300ML X 6 PUC"/>
    <n v="750"/>
    <n v="250"/>
    <n v="315"/>
  </r>
  <r>
    <x v="280"/>
    <s v="ABRIL"/>
    <n v="15"/>
    <s v="MARTES"/>
    <x v="28"/>
    <s v="COCA COLA VR 1.5LX8 - STICKER"/>
    <n v="210"/>
    <n v="30"/>
    <n v="48.300000000000004"/>
  </r>
  <r>
    <x v="280"/>
    <s v="ABRIL"/>
    <n v="15"/>
    <s v="MARTES"/>
    <x v="13"/>
    <s v="INCA KOLA VR 1.5LX8 - STICKER"/>
    <n v="150"/>
    <n v="30"/>
    <n v="60"/>
  </r>
  <r>
    <x v="280"/>
    <s v="ABRIL"/>
    <n v="15"/>
    <s v="MARTES"/>
    <x v="15"/>
    <s v="INCA KOLA VR 625MLX12 - STICKER"/>
    <n v="250"/>
    <n v="50"/>
    <n v="100"/>
  </r>
  <r>
    <x v="280"/>
    <s v="ABRIL"/>
    <n v="15"/>
    <s v="MARTES"/>
    <x v="22"/>
    <s v="TWO PACK SCHWEPPES CITRUS PET 1.5LX2"/>
    <n v="396"/>
    <n v="198"/>
    <n v="67.320000000000007"/>
  </r>
  <r>
    <x v="280"/>
    <s v="ABRIL"/>
    <n v="15"/>
    <s v="MARTES"/>
    <x v="3"/>
    <s v="TWO PACK SCHWEPPES GINGER ALE PET 1.5LX2"/>
    <n v="198"/>
    <n v="198"/>
    <n v="33.660000000000004"/>
  </r>
  <r>
    <x v="280"/>
    <s v="ABRIL"/>
    <n v="15"/>
    <s v="MARTES"/>
    <x v="5"/>
    <s v="INCA KOLA PET 2.25LX2 RF"/>
    <n v="162"/>
    <n v="162"/>
    <n v="27.540000000000003"/>
  </r>
  <r>
    <x v="280"/>
    <s v="ABRIL"/>
    <n v="15"/>
    <s v="MARTES"/>
    <x v="7"/>
    <s v="COCA-COLA PET 1.5LX2 RF"/>
    <n v="864"/>
    <n v="198"/>
    <n v="146.88000000000002"/>
  </r>
  <r>
    <x v="280"/>
    <s v="ABRIL"/>
    <n v="15"/>
    <s v="MARTES"/>
    <x v="8"/>
    <s v="INCA KOLA PET 1.5LX2 RF"/>
    <n v="1080"/>
    <n v="198"/>
    <n v="183.60000000000002"/>
  </r>
  <r>
    <x v="280"/>
    <s v="ABRIL"/>
    <n v="15"/>
    <s v="MARTES"/>
    <x v="10"/>
    <s v="TWO PACK CC + IK PFM 3LX2 - RFNN"/>
    <n v="480"/>
    <n v="120"/>
    <n v="81.600000000000009"/>
  </r>
  <r>
    <x v="280"/>
    <s v="ABRIL"/>
    <n v="15"/>
    <s v="MARTES"/>
    <x v="23"/>
    <s v="TRIPACK CC+IK+IK PFM 3LX3 - RFNN"/>
    <n v="1440"/>
    <n v="90"/>
    <n v="244.8"/>
  </r>
  <r>
    <x v="280"/>
    <s v="ABRIL"/>
    <n v="15"/>
    <s v="MARTES"/>
    <x v="11"/>
    <s v="TRIPACK (CC+IK)PFM+FT PET 3LX3 - RFNN"/>
    <n v="2880"/>
    <n v="90"/>
    <n v="489.6"/>
  </r>
  <r>
    <x v="280"/>
    <s v="ABRIL"/>
    <n v="15"/>
    <s v="MARTES"/>
    <x v="25"/>
    <s v="POWERADE 3MORA+3FRUT PET 473MLX6"/>
    <n v="900"/>
    <n v="225"/>
    <n v="378"/>
  </r>
  <r>
    <x v="280"/>
    <s v="ABRIL"/>
    <n v="15"/>
    <s v="MARTES"/>
    <x v="71"/>
    <s v="3IK SO + 1 IK SA X 3000ML PUC"/>
    <n v="450"/>
    <n v="60"/>
    <n v="310.5"/>
  </r>
  <r>
    <x v="280"/>
    <s v="ABRIL"/>
    <n v="15"/>
    <s v="MARTES"/>
    <x v="10"/>
    <s v="TWO PACK CC + IK PFM 3LX2 - RFNN"/>
    <n v="2400"/>
    <n v="120"/>
    <n v="408.00000000000006"/>
  </r>
  <r>
    <x v="280"/>
    <s v="ABRIL"/>
    <n v="15"/>
    <s v="MARTES"/>
    <x v="26"/>
    <s v="TRIPACK CC+CC+IK PFM 3LX3 - RFNN"/>
    <n v="900"/>
    <n v="90"/>
    <n v="153"/>
  </r>
  <r>
    <x v="280"/>
    <s v="ABRIL"/>
    <n v="15"/>
    <s v="MARTES"/>
    <x v="23"/>
    <s v="TRIPACK CC+IK+IK PFM 3LX3 - RFNN"/>
    <n v="900"/>
    <n v="90"/>
    <n v="153"/>
  </r>
  <r>
    <x v="280"/>
    <s v="ABRIL"/>
    <n v="15"/>
    <s v="MARTES"/>
    <x v="68"/>
    <s v="COCA COLA VNR 300ML X 6 PUC"/>
    <n v="1500"/>
    <n v="250"/>
    <n v="630"/>
  </r>
  <r>
    <x v="279"/>
    <s v="ABRIL"/>
    <n v="15"/>
    <s v="LUNES"/>
    <x v="68"/>
    <s v="COCA COLA VNR 300ML X 6 PUC"/>
    <n v="2500"/>
    <n v="250"/>
    <n v="1050"/>
  </r>
  <r>
    <x v="279"/>
    <s v="ABRIL"/>
    <n v="15"/>
    <s v="LUNES"/>
    <x v="0"/>
    <s v="SAN LUIS SIN GAS PET2500X6 STICKER"/>
    <n v="192"/>
    <n v="48"/>
    <n v="76.800000000000011"/>
  </r>
  <r>
    <x v="279"/>
    <s v="ABRIL"/>
    <n v="15"/>
    <s v="LUNES"/>
    <x v="1"/>
    <s v="COCA-COLA SIN AZUCAR PET 1.5LX2"/>
    <n v="5400"/>
    <n v="198"/>
    <n v="918.00000000000011"/>
  </r>
  <r>
    <x v="279"/>
    <s v="ABRIL"/>
    <n v="15"/>
    <s v="LUNES"/>
    <x v="6"/>
    <s v="INCA KOLA PET 3LX2 - RF"/>
    <n v="1440"/>
    <n v="120"/>
    <n v="244.8"/>
  </r>
  <r>
    <x v="279"/>
    <s v="ABRIL"/>
    <n v="15"/>
    <s v="LUNES"/>
    <x v="17"/>
    <s v="TWO PACK CC PFM 3LX2 - RFCC"/>
    <n v="1680"/>
    <n v="120"/>
    <n v="285.60000000000002"/>
  </r>
  <r>
    <x v="279"/>
    <s v="ABRIL"/>
    <n v="15"/>
    <s v="LUNES"/>
    <x v="7"/>
    <s v="COCA-COLA PET 1.5LX2 RF"/>
    <n v="216"/>
    <n v="198"/>
    <n v="36.720000000000006"/>
  </r>
  <r>
    <x v="279"/>
    <s v="ABRIL"/>
    <n v="15"/>
    <s v="LUNES"/>
    <x v="9"/>
    <s v="TRIPACK FT NAR+FT KI+SP PET 3L"/>
    <n v="180"/>
    <n v="90"/>
    <n v="30.6"/>
  </r>
  <r>
    <x v="280"/>
    <s v="ABRIL"/>
    <n v="15"/>
    <s v="MARTES"/>
    <x v="10"/>
    <s v="TWO PACK CC + IK PFM 3LX2 - RFNN"/>
    <n v="1920"/>
    <n v="120"/>
    <n v="326.40000000000003"/>
  </r>
  <r>
    <x v="280"/>
    <s v="ABRIL"/>
    <n v="15"/>
    <s v="MARTES"/>
    <x v="2"/>
    <s v="INCA KOLA SIN AZUCAR PET 1.5LX2"/>
    <n v="1296"/>
    <n v="198"/>
    <n v="220.32000000000002"/>
  </r>
  <r>
    <x v="280"/>
    <s v="ABRIL"/>
    <n v="15"/>
    <s v="MARTES"/>
    <x v="3"/>
    <s v="TWO PACK SCHWEPPES GINGER ALE PET 1.5LX2"/>
    <n v="792"/>
    <n v="198"/>
    <n v="134.64000000000001"/>
  </r>
  <r>
    <x v="280"/>
    <s v="ABRIL"/>
    <n v="15"/>
    <s v="MARTES"/>
    <x v="4"/>
    <s v="COCA-COLA PET 2.25LX2 RF"/>
    <n v="1296"/>
    <n v="162"/>
    <n v="220.32000000000002"/>
  </r>
  <r>
    <x v="280"/>
    <s v="ABRIL"/>
    <n v="15"/>
    <s v="MARTES"/>
    <x v="5"/>
    <s v="INCA KOLA PET 2.25LX2 RF"/>
    <n v="972"/>
    <n v="162"/>
    <n v="165.24"/>
  </r>
  <r>
    <x v="280"/>
    <s v="ABRIL"/>
    <n v="15"/>
    <s v="MARTES"/>
    <x v="7"/>
    <s v="COCA-COLA PET 1.5LX2 RF"/>
    <n v="1296"/>
    <n v="198"/>
    <n v="220.32000000000002"/>
  </r>
  <r>
    <x v="280"/>
    <s v="ABRIL"/>
    <n v="15"/>
    <s v="MARTES"/>
    <x v="23"/>
    <s v="TRIPACK CC+IK+IK PFM 3LX3 - RFNN"/>
    <n v="450"/>
    <n v="90"/>
    <n v="76.5"/>
  </r>
  <r>
    <x v="280"/>
    <s v="ABRIL"/>
    <n v="15"/>
    <s v="MARTES"/>
    <x v="25"/>
    <s v="POWERADE 3MORA+3FRUT PET 473MLX6"/>
    <n v="2025"/>
    <n v="225"/>
    <n v="850.5"/>
  </r>
  <r>
    <x v="281"/>
    <s v="ABRIL"/>
    <n v="15"/>
    <s v="JUEVES"/>
    <x v="34"/>
    <s v="TWO PACK CC PET 1.5LX2 - CRC"/>
    <n v="216"/>
    <n v="198"/>
    <n v="36.720000000000006"/>
  </r>
  <r>
    <x v="281"/>
    <s v="ABRIL"/>
    <n v="15"/>
    <s v="JUEVES"/>
    <x v="29"/>
    <s v="TWO PACK IK PET 1.5LX2 - CRCG"/>
    <n v="216"/>
    <n v="198"/>
    <n v="36.720000000000006"/>
  </r>
  <r>
    <x v="281"/>
    <s v="ABRIL"/>
    <n v="15"/>
    <s v="JUEVES"/>
    <x v="3"/>
    <s v="TWO PACK SCHWEPPES GINGER ALE PET 1.5LX2"/>
    <n v="594"/>
    <n v="198"/>
    <n v="100.98"/>
  </r>
  <r>
    <x v="281"/>
    <s v="ABRIL"/>
    <n v="15"/>
    <s v="JUEVES"/>
    <x v="4"/>
    <s v="COCA-COLA PET 2.25LX2 RF"/>
    <n v="1134"/>
    <n v="162"/>
    <n v="192.78"/>
  </r>
  <r>
    <x v="281"/>
    <s v="ABRIL"/>
    <n v="15"/>
    <s v="JUEVES"/>
    <x v="5"/>
    <s v="INCA KOLA PET 2.25LX2 RF"/>
    <n v="648"/>
    <n v="162"/>
    <n v="110.16000000000001"/>
  </r>
  <r>
    <x v="281"/>
    <s v="ABRIL"/>
    <n v="15"/>
    <s v="JUEVES"/>
    <x v="8"/>
    <s v="INCA KOLA PET 1.5LX2 RF"/>
    <n v="2160"/>
    <n v="198"/>
    <n v="367.20000000000005"/>
  </r>
  <r>
    <x v="281"/>
    <s v="ABRIL"/>
    <n v="15"/>
    <s v="JUEVES"/>
    <x v="10"/>
    <s v="TWO PACK CC + IK PFM 3LX2 - RFNN"/>
    <n v="720"/>
    <n v="120"/>
    <n v="122.4"/>
  </r>
  <r>
    <x v="281"/>
    <s v="ABRIL"/>
    <n v="15"/>
    <s v="JUEVES"/>
    <x v="20"/>
    <s v="TRIPACK (FT NAR+SP)PET+IK RF PFM 3L"/>
    <n v="450"/>
    <n v="90"/>
    <n v="76.5"/>
  </r>
  <r>
    <x v="281"/>
    <s v="ABRIL"/>
    <n v="15"/>
    <s v="JUEVES"/>
    <x v="42"/>
    <s v="FANTA NARANJA PET 500MLX6 BRANDEADO MOD"/>
    <n v="250"/>
    <n v="420"/>
    <n v="105"/>
  </r>
  <r>
    <x v="281"/>
    <s v="ABRIL"/>
    <n v="15"/>
    <s v="JUEVES"/>
    <x v="40"/>
    <s v="SAN LUIS SPORT S/G 10 Lt x6 "/>
    <n v="224"/>
    <n v="240"/>
    <n v="89.600000000000009"/>
  </r>
  <r>
    <x v="281"/>
    <s v="ABRIL"/>
    <n v="15"/>
    <s v="JUEVES"/>
    <x v="24"/>
    <s v="MONSTER ENERGY 473MLX4"/>
    <n v="2100"/>
    <n v="420"/>
    <n v="882"/>
  </r>
  <r>
    <x v="281"/>
    <s v="ABRIL"/>
    <n v="15"/>
    <s v="JUEVES"/>
    <x v="25"/>
    <s v="POWERADE 3MORA+3FRUT PET 473MLX6"/>
    <n v="1800"/>
    <n v="225"/>
    <n v="756"/>
  </r>
  <r>
    <x v="282"/>
    <s v="ABRIL"/>
    <n v="15"/>
    <s v="MIÉRCOLES"/>
    <x v="33"/>
    <s v="COCA COLA VR 296MLX24 - STICKER"/>
    <n v="200"/>
    <n v="40"/>
    <n v="46"/>
  </r>
  <r>
    <x v="282"/>
    <s v="ABRIL"/>
    <n v="15"/>
    <s v="MIÉRCOLES"/>
    <x v="13"/>
    <s v="INCA KOLA VR 1.5LX8 - STICKER"/>
    <n v="240"/>
    <n v="30"/>
    <n v="96"/>
  </r>
  <r>
    <x v="282"/>
    <s v="ABRIL"/>
    <n v="15"/>
    <s v="MIÉRCOLES"/>
    <x v="14"/>
    <s v="INCA KOLA VR 296MLX24 - STICKER"/>
    <n v="160"/>
    <n v="40"/>
    <n v="36.800000000000004"/>
  </r>
  <r>
    <x v="282"/>
    <s v="ABRIL"/>
    <n v="15"/>
    <s v="MIÉRCOLES"/>
    <x v="38"/>
    <s v="SL S/G TAPA PLANA 1LT"/>
    <n v="224"/>
    <n v="112"/>
    <n v="89.600000000000009"/>
  </r>
  <r>
    <x v="282"/>
    <s v="ABRIL"/>
    <n v="15"/>
    <s v="MIÉRCOLES"/>
    <x v="0"/>
    <s v="SAN LUIS SIN GAS PET2500X6 STICKER"/>
    <n v="672"/>
    <n v="48"/>
    <n v="268.8"/>
  </r>
  <r>
    <x v="282"/>
    <s v="ABRIL"/>
    <n v="15"/>
    <s v="MIÉRCOLES"/>
    <x v="2"/>
    <s v="INCA KOLA SIN AZUCAR PET 1.5LX2"/>
    <n v="3024"/>
    <n v="198"/>
    <n v="514.08000000000004"/>
  </r>
  <r>
    <x v="282"/>
    <s v="ABRIL"/>
    <n v="15"/>
    <s v="MIÉRCOLES"/>
    <x v="10"/>
    <s v="TWO PACK CC + IK PFM 3LX2 - RFNN"/>
    <n v="1920"/>
    <n v="120"/>
    <n v="326.40000000000003"/>
  </r>
  <r>
    <x v="282"/>
    <s v="ABRIL"/>
    <n v="15"/>
    <s v="MIÉRCOLES"/>
    <x v="11"/>
    <s v="TRIPACK (CC+IK)PFM+FT PET 3LX3 - RFNN"/>
    <n v="720"/>
    <n v="90"/>
    <n v="122.4"/>
  </r>
  <r>
    <x v="282"/>
    <s v="ABRIL"/>
    <n v="15"/>
    <s v="MIÉRCOLES"/>
    <x v="12"/>
    <s v="POWERADE ION4 FRUTA PET473X6 MOD (STICK)"/>
    <n v="450"/>
    <n v="225"/>
    <n v="180"/>
  </r>
  <r>
    <x v="282"/>
    <s v="ABRIL"/>
    <n v="15"/>
    <s v="MIÉRCOLES"/>
    <x v="19"/>
    <s v="POWERADE ION4 MORA AZ PET473X6 MOD(STCK)"/>
    <n v="675"/>
    <n v="225"/>
    <n v="270"/>
  </r>
  <r>
    <x v="282"/>
    <s v="ABRIL"/>
    <n v="15"/>
    <s v="MIÉRCOLES"/>
    <x v="38"/>
    <s v="SL S/G TAPA PLANA 1LT"/>
    <n v="448"/>
    <n v="112"/>
    <n v="179.20000000000002"/>
  </r>
  <r>
    <x v="282"/>
    <s v="ABRIL"/>
    <n v="15"/>
    <s v="MIÉRCOLES"/>
    <x v="0"/>
    <s v="SAN LUIS SIN GAS PET2500X6 STICKER"/>
    <n v="288"/>
    <n v="48"/>
    <n v="115.2"/>
  </r>
  <r>
    <x v="282"/>
    <s v="ABRIL"/>
    <n v="15"/>
    <s v="MIÉRCOLES"/>
    <x v="1"/>
    <s v="COCA-COLA SIN AZUCAR PET 1.5LX2"/>
    <n v="216"/>
    <n v="198"/>
    <n v="36.720000000000006"/>
  </r>
  <r>
    <x v="282"/>
    <s v="ABRIL"/>
    <n v="15"/>
    <s v="MIÉRCOLES"/>
    <x v="2"/>
    <s v="INCA KOLA SIN AZUCAR PET 1.5LX2"/>
    <n v="864"/>
    <n v="198"/>
    <n v="146.88000000000002"/>
  </r>
  <r>
    <x v="282"/>
    <s v="ABRIL"/>
    <n v="15"/>
    <s v="MIÉRCOLES"/>
    <x v="4"/>
    <s v="COCA-COLA PET 2.25LX2 RF"/>
    <n v="162"/>
    <n v="162"/>
    <n v="27.540000000000003"/>
  </r>
  <r>
    <x v="282"/>
    <s v="ABRIL"/>
    <n v="15"/>
    <s v="MIÉRCOLES"/>
    <x v="7"/>
    <s v="COCA-COLA PET 1.5LX2 RF"/>
    <n v="1296"/>
    <n v="198"/>
    <n v="220.32000000000002"/>
  </r>
  <r>
    <x v="282"/>
    <s v="ABRIL"/>
    <n v="15"/>
    <s v="MIÉRCOLES"/>
    <x v="10"/>
    <s v="TWO PACK CC + IK PFM 3LX2 - RFNN"/>
    <n v="960"/>
    <n v="120"/>
    <n v="163.20000000000002"/>
  </r>
  <r>
    <x v="282"/>
    <s v="ABRIL"/>
    <n v="15"/>
    <s v="MIÉRCOLES"/>
    <x v="11"/>
    <s v="TRIPACK (CC+IK)PFM+FT PET 3LX3 - RFNN"/>
    <n v="2880"/>
    <n v="90"/>
    <n v="489.6"/>
  </r>
  <r>
    <x v="282"/>
    <s v="ABRIL"/>
    <n v="15"/>
    <s v="MIÉRCOLES"/>
    <x v="20"/>
    <s v="TRIPACK (FT NAR+SP)PET+IK RF PFM 3L"/>
    <n v="450"/>
    <n v="90"/>
    <n v="76.5"/>
  </r>
  <r>
    <x v="282"/>
    <s v="ABRIL"/>
    <n v="15"/>
    <s v="MIÉRCOLES"/>
    <x v="12"/>
    <s v="POWERADE ION4 FRUTA PET473X6 MOD (STICK)"/>
    <n v="450"/>
    <n v="225"/>
    <n v="180"/>
  </r>
  <r>
    <x v="282"/>
    <s v="ABRIL"/>
    <n v="15"/>
    <s v="MIÉRCOLES"/>
    <x v="43"/>
    <s v="SPRITE PET 500MLX6 BRANDEADO MOD"/>
    <n v="1000"/>
    <n v="420"/>
    <n v="420"/>
  </r>
  <r>
    <x v="282"/>
    <s v="ABRIL"/>
    <n v="15"/>
    <s v="MIÉRCOLES"/>
    <x v="42"/>
    <s v="FANTA NARANJA PET 500MLX6 BRANDEADO MOD"/>
    <n v="500"/>
    <n v="420"/>
    <n v="210"/>
  </r>
  <r>
    <x v="282"/>
    <s v="ABRIL"/>
    <n v="15"/>
    <s v="MIÉRCOLES"/>
    <x v="40"/>
    <s v="SAN LUIS SPORT S/G 10 Lt x6 "/>
    <n v="224"/>
    <n v="240"/>
    <n v="89.600000000000009"/>
  </r>
  <r>
    <x v="282"/>
    <s v="ABRIL"/>
    <n v="15"/>
    <s v="MIÉRCOLES"/>
    <x v="38"/>
    <s v="SL S/G TAPA PLANA 1LT"/>
    <n v="112"/>
    <n v="112"/>
    <n v="44.800000000000004"/>
  </r>
  <r>
    <x v="282"/>
    <s v="ABRIL"/>
    <n v="15"/>
    <s v="MIÉRCOLES"/>
    <x v="25"/>
    <s v="POWERADE 3MORA+3FRUT PET 473MLX6"/>
    <n v="1125"/>
    <n v="225"/>
    <n v="472.5"/>
  </r>
  <r>
    <x v="282"/>
    <s v="ABRIL"/>
    <n v="15"/>
    <s v="MIÉRCOLES"/>
    <x v="42"/>
    <s v="FANTA NARANJA PET 500MLX6 BRANDEADO MOD"/>
    <n v="250"/>
    <n v="420"/>
    <n v="105"/>
  </r>
  <r>
    <x v="282"/>
    <s v="ABRIL"/>
    <n v="15"/>
    <s v="MIÉRCOLES"/>
    <x v="1"/>
    <s v="COCA-COLA SIN AZUCAR PET 1.5LX2"/>
    <n v="5184"/>
    <n v="198"/>
    <n v="881.28000000000009"/>
  </r>
  <r>
    <x v="282"/>
    <s v="ABRIL"/>
    <n v="15"/>
    <s v="MIÉRCOLES"/>
    <x v="2"/>
    <s v="INCA KOLA SIN AZUCAR PET 1.5LX2"/>
    <n v="432"/>
    <n v="198"/>
    <n v="73.440000000000012"/>
  </r>
  <r>
    <x v="282"/>
    <s v="ABRIL"/>
    <n v="15"/>
    <s v="MIÉRCOLES"/>
    <x v="7"/>
    <s v="COCA-COLA PET 1.5LX2 RF"/>
    <n v="1296"/>
    <n v="198"/>
    <n v="220.32000000000002"/>
  </r>
  <r>
    <x v="282"/>
    <s v="ABRIL"/>
    <n v="15"/>
    <s v="MIÉRCOLES"/>
    <x v="10"/>
    <s v="TWO PACK CC + IK PFM 3LX2 - RFNN"/>
    <n v="960"/>
    <n v="120"/>
    <n v="163.20000000000002"/>
  </r>
  <r>
    <x v="281"/>
    <s v="ABRIL"/>
    <n v="15"/>
    <s v="JUEVES"/>
    <x v="0"/>
    <s v="SAN LUIS SIN GAS PET2500X6 STICKER"/>
    <n v="960"/>
    <n v="48"/>
    <n v="384"/>
  </r>
  <r>
    <x v="281"/>
    <s v="ABRIL"/>
    <n v="15"/>
    <s v="JUEVES"/>
    <x v="24"/>
    <s v="MONSTER ENERGY 473MLX4"/>
    <n v="1680"/>
    <n v="420"/>
    <n v="705.6"/>
  </r>
  <r>
    <x v="281"/>
    <s v="ABRIL"/>
    <n v="15"/>
    <s v="JUEVES"/>
    <x v="16"/>
    <s v="SAN LUIS CON GAS PET 625MLX6"/>
    <n v="180"/>
    <n v="180"/>
    <n v="75.599999999999994"/>
  </r>
  <r>
    <x v="281"/>
    <s v="ABRIL"/>
    <n v="15"/>
    <s v="JUEVES"/>
    <x v="10"/>
    <s v="TWO PACK CC + IK PFM 3LX2 - RFNN"/>
    <n v="4320"/>
    <n v="120"/>
    <n v="734.40000000000009"/>
  </r>
  <r>
    <x v="281"/>
    <s v="ABRIL"/>
    <n v="15"/>
    <s v="JUEVES"/>
    <x v="26"/>
    <s v="TRIPACK CC+CC+IK PFM 3LX3 - RFNN"/>
    <n v="450"/>
    <n v="90"/>
    <n v="76.5"/>
  </r>
  <r>
    <x v="281"/>
    <s v="ABRIL"/>
    <n v="15"/>
    <s v="JUEVES"/>
    <x v="11"/>
    <s v="TRIPACK (CC+IK)PFM+FT PET 3LX3 - RFNN"/>
    <n v="2880"/>
    <n v="90"/>
    <n v="489.6"/>
  </r>
  <r>
    <x v="281"/>
    <s v="ABRIL"/>
    <n v="15"/>
    <s v="JUEVES"/>
    <x v="12"/>
    <s v="POWERADE ION4 FRUTA PET473X6 MOD (STICK)"/>
    <n v="1125"/>
    <n v="225"/>
    <n v="450"/>
  </r>
  <r>
    <x v="281"/>
    <s v="ABRIL"/>
    <n v="15"/>
    <s v="JUEVES"/>
    <x v="19"/>
    <s v="POWERADE ION4 MORA AZ PET473X6 MOD(STCK)"/>
    <n v="900"/>
    <n v="225"/>
    <n v="360"/>
  </r>
  <r>
    <x v="281"/>
    <s v="ABRIL"/>
    <n v="15"/>
    <s v="JUEVES"/>
    <x v="42"/>
    <s v="FANTA NARANJA PET 500MLX6 BRANDEADO MOD"/>
    <n v="750"/>
    <n v="420"/>
    <n v="315"/>
  </r>
  <r>
    <x v="281"/>
    <s v="ABRIL"/>
    <n v="15"/>
    <s v="JUEVES"/>
    <x v="43"/>
    <s v="SPRITE PET 500MLX6 BRANDEADO MOD"/>
    <n v="750"/>
    <n v="420"/>
    <n v="315"/>
  </r>
  <r>
    <x v="281"/>
    <s v="ABRIL"/>
    <n v="15"/>
    <s v="JUEVES"/>
    <x v="36"/>
    <s v="SAN LUIS SIN GAS PET 625MLX15 C/STICKER"/>
    <n v="450"/>
    <n v="90"/>
    <n v="180"/>
  </r>
  <r>
    <x v="281"/>
    <s v="ABRIL"/>
    <n v="15"/>
    <s v="JUEVES"/>
    <x v="38"/>
    <s v="SL S/G TAPA PLANA 1LT"/>
    <n v="448"/>
    <n v="112"/>
    <n v="179.20000000000002"/>
  </r>
  <r>
    <x v="281"/>
    <s v="ABRIL"/>
    <n v="15"/>
    <s v="JUEVES"/>
    <x v="24"/>
    <s v="MONSTER ENERGY 473MLX4"/>
    <n v="420"/>
    <n v="420"/>
    <n v="176.4"/>
  </r>
  <r>
    <x v="281"/>
    <s v="ABRIL"/>
    <n v="15"/>
    <s v="JUEVES"/>
    <x v="16"/>
    <s v="SAN LUIS CON GAS PET 625MLX6"/>
    <n v="900"/>
    <n v="180"/>
    <n v="378"/>
  </r>
  <r>
    <x v="281"/>
    <s v="ABRIL"/>
    <n v="15"/>
    <s v="JUEVES"/>
    <x v="9"/>
    <s v="TRIPACK FT NAR+FT KI+SP PET 3L"/>
    <n v="720"/>
    <n v="90"/>
    <n v="122.4"/>
  </r>
  <r>
    <x v="281"/>
    <s v="ABRIL"/>
    <n v="15"/>
    <s v="JUEVES"/>
    <x v="11"/>
    <s v="TRIPACK (CC+IK)PFM+FT PET 3LX3 - RFNN"/>
    <n v="720"/>
    <n v="90"/>
    <n v="122.4"/>
  </r>
  <r>
    <x v="283"/>
    <s v="ABRIL"/>
    <n v="16"/>
    <s v="SÁBADO"/>
    <x v="28"/>
    <s v="COCA COLA VR 1.5LX8 - STICKER"/>
    <n v="150"/>
    <n v="30"/>
    <n v="34.5"/>
  </r>
  <r>
    <x v="283"/>
    <s v="ABRIL"/>
    <n v="16"/>
    <s v="SÁBADO"/>
    <x v="33"/>
    <s v="COCA COLA VR 296MLX24 - STICKER"/>
    <n v="80"/>
    <n v="40"/>
    <n v="18.400000000000002"/>
  </r>
  <r>
    <x v="283"/>
    <s v="ABRIL"/>
    <n v="16"/>
    <s v="SÁBADO"/>
    <x v="13"/>
    <s v="INCA KOLA VR 1.5LX8 - STICKER"/>
    <n v="150"/>
    <n v="30"/>
    <n v="60"/>
  </r>
  <r>
    <x v="283"/>
    <s v="ABRIL"/>
    <n v="16"/>
    <s v="SÁBADO"/>
    <x v="14"/>
    <s v="INCA KOLA VR 296MLX24 - STICKER"/>
    <n v="160"/>
    <n v="40"/>
    <n v="36.800000000000004"/>
  </r>
  <r>
    <x v="283"/>
    <s v="ABRIL"/>
    <n v="16"/>
    <s v="SÁBADO"/>
    <x v="15"/>
    <s v="INCA KOLA VR 625MLX12 - STICKER"/>
    <n v="250"/>
    <n v="50"/>
    <n v="100"/>
  </r>
  <r>
    <x v="283"/>
    <s v="ABRIL"/>
    <n v="16"/>
    <s v="SÁBADO"/>
    <x v="36"/>
    <s v="SAN LUIS SIN GAS PET 625MLX15 C/STICKER"/>
    <n v="450"/>
    <n v="90"/>
    <n v="180"/>
  </r>
  <r>
    <x v="283"/>
    <s v="ABRIL"/>
    <n v="16"/>
    <s v="SÁBADO"/>
    <x v="0"/>
    <s v="SAN LUIS SIN GAS PET2500X6 STICKER"/>
    <n v="480"/>
    <n v="48"/>
    <n v="192"/>
  </r>
  <r>
    <x v="283"/>
    <s v="ABRIL"/>
    <n v="16"/>
    <s v="SÁBADO"/>
    <x v="1"/>
    <s v="COCA-COLA SIN AZUCAR PET 1.5LX2"/>
    <n v="2160"/>
    <n v="198"/>
    <n v="367.20000000000005"/>
  </r>
  <r>
    <x v="283"/>
    <s v="ABRIL"/>
    <n v="16"/>
    <s v="SÁBADO"/>
    <x v="2"/>
    <s v="INCA KOLA SIN AZUCAR PET 1.5LX2"/>
    <n v="1080"/>
    <n v="198"/>
    <n v="183.60000000000002"/>
  </r>
  <r>
    <x v="283"/>
    <s v="ABRIL"/>
    <n v="16"/>
    <s v="SÁBADO"/>
    <x v="22"/>
    <s v="TWO PACK SCHWEPPES CITRUS PET 1.5LX2"/>
    <n v="990"/>
    <n v="198"/>
    <n v="168.3"/>
  </r>
  <r>
    <x v="283"/>
    <s v="ABRIL"/>
    <n v="16"/>
    <s v="SÁBADO"/>
    <x v="5"/>
    <s v="INCA KOLA PET 2.25LX2 RF"/>
    <n v="486"/>
    <n v="162"/>
    <n v="82.62"/>
  </r>
  <r>
    <x v="283"/>
    <s v="ABRIL"/>
    <n v="16"/>
    <s v="SÁBADO"/>
    <x v="9"/>
    <s v="TRIPACK FT NAR+FT KI+SP PET 3L"/>
    <n v="450"/>
    <n v="90"/>
    <n v="76.5"/>
  </r>
  <r>
    <x v="283"/>
    <s v="ABRIL"/>
    <n v="16"/>
    <s v="SÁBADO"/>
    <x v="10"/>
    <s v="TWO PACK CC + IK PFM 3LX2 - RFNN"/>
    <n v="2400"/>
    <n v="120"/>
    <n v="408.00000000000006"/>
  </r>
  <r>
    <x v="283"/>
    <s v="ABRIL"/>
    <n v="16"/>
    <s v="SÁBADO"/>
    <x v="26"/>
    <s v="TRIPACK CC+CC+IK PFM 3LX3 - RFNN"/>
    <n v="900"/>
    <n v="90"/>
    <n v="153"/>
  </r>
  <r>
    <x v="283"/>
    <s v="ABRIL"/>
    <n v="16"/>
    <s v="SÁBADO"/>
    <x v="23"/>
    <s v="TRIPACK CC+IK+IK PFM 3LX3 - RFNN"/>
    <n v="1440"/>
    <n v="90"/>
    <n v="244.8"/>
  </r>
  <r>
    <x v="283"/>
    <s v="ABRIL"/>
    <n v="16"/>
    <s v="SÁBADO"/>
    <x v="28"/>
    <s v="COCA COLA VR 1.5LX8 - STICKER"/>
    <n v="120"/>
    <n v="30"/>
    <n v="27.6"/>
  </r>
  <r>
    <x v="283"/>
    <s v="ABRIL"/>
    <n v="16"/>
    <s v="SÁBADO"/>
    <x v="13"/>
    <s v="INCA KOLA VR 1.5LX8 - STICKER"/>
    <n v="180"/>
    <n v="30"/>
    <n v="72"/>
  </r>
  <r>
    <x v="283"/>
    <s v="ABRIL"/>
    <n v="16"/>
    <s v="SÁBADO"/>
    <x v="11"/>
    <s v="TRIPACK (CC+IK)PFM+FT PET 3LX3 - RFNN"/>
    <n v="3600"/>
    <n v="90"/>
    <n v="612"/>
  </r>
  <r>
    <x v="283"/>
    <s v="ABRIL"/>
    <n v="16"/>
    <s v="SÁBADO"/>
    <x v="25"/>
    <s v="POWERADE 3MORA+3FRUT PET 473MLX6"/>
    <n v="2250"/>
    <n v="225"/>
    <n v="945"/>
  </r>
  <r>
    <x v="283"/>
    <s v="ABRIL"/>
    <n v="16"/>
    <s v="SÁBADO"/>
    <x v="42"/>
    <s v="FANTA NARANJA PET 500MLX6 BRANDEADO MOD"/>
    <n v="750"/>
    <n v="420"/>
    <n v="315"/>
  </r>
  <r>
    <x v="283"/>
    <s v="ABRIL"/>
    <n v="16"/>
    <s v="SÁBADO"/>
    <x v="43"/>
    <s v="SPRITE PET 500MLX6 BRANDEADO MOD"/>
    <n v="500"/>
    <n v="420"/>
    <n v="210"/>
  </r>
  <r>
    <x v="283"/>
    <s v="ABRIL"/>
    <n v="16"/>
    <s v="SÁBADO"/>
    <x v="68"/>
    <s v="COCA COLA VNR 300ML X 6 PUC"/>
    <n v="7250"/>
    <n v="250"/>
    <n v="3045"/>
  </r>
  <r>
    <x v="283"/>
    <s v="ABRIL"/>
    <n v="16"/>
    <s v="SÁBADO"/>
    <x v="66"/>
    <s v="3CC SA + 3IK SA 600ML X 6 PUC"/>
    <n v="1200"/>
    <n v="200"/>
    <n v="504"/>
  </r>
  <r>
    <x v="284"/>
    <s v="ABRIL"/>
    <n v="16"/>
    <s v="LUNES"/>
    <x v="0"/>
    <s v="SAN LUIS SIN GAS PET2500X6 STICKER"/>
    <n v="144"/>
    <n v="48"/>
    <n v="57.6"/>
  </r>
  <r>
    <x v="284"/>
    <s v="ABRIL"/>
    <n v="16"/>
    <s v="LUNES"/>
    <x v="24"/>
    <s v="MONSTER ENERGY 473MLX4"/>
    <n v="2100"/>
    <n v="420"/>
    <n v="882"/>
  </r>
  <r>
    <x v="284"/>
    <s v="ABRIL"/>
    <n v="16"/>
    <s v="LUNES"/>
    <x v="22"/>
    <s v="TWO PACK SCHWEPPES CITRUS PET 1.5LX2"/>
    <n v="792"/>
    <n v="198"/>
    <n v="134.64000000000001"/>
  </r>
  <r>
    <x v="284"/>
    <s v="ABRIL"/>
    <n v="16"/>
    <s v="LUNES"/>
    <x v="4"/>
    <s v="COCA-COLA PET 2.25LX2 RF"/>
    <n v="972"/>
    <n v="162"/>
    <n v="165.24"/>
  </r>
  <r>
    <x v="284"/>
    <s v="ABRIL"/>
    <n v="16"/>
    <s v="LUNES"/>
    <x v="5"/>
    <s v="INCA KOLA PET 2.25LX2 RF"/>
    <n v="486"/>
    <n v="162"/>
    <n v="82.62"/>
  </r>
  <r>
    <x v="284"/>
    <s v="ABRIL"/>
    <n v="16"/>
    <s v="LUNES"/>
    <x v="23"/>
    <s v="TRIPACK CC+IK+IK PFM 3LX3 - RFNN"/>
    <n v="900"/>
    <n v="90"/>
    <n v="153"/>
  </r>
  <r>
    <x v="284"/>
    <s v="ABRIL"/>
    <n v="16"/>
    <s v="LUNES"/>
    <x v="11"/>
    <s v="TRIPACK (CC+IK)PFM+FT PET 3LX3 - RFNN"/>
    <n v="900"/>
    <n v="90"/>
    <n v="153"/>
  </r>
  <r>
    <x v="284"/>
    <s v="ABRIL"/>
    <n v="16"/>
    <s v="LUNES"/>
    <x v="25"/>
    <s v="POWERADE 3MORA+3FRUT PET 473MLX6"/>
    <n v="1350"/>
    <n v="225"/>
    <n v="567"/>
  </r>
  <r>
    <x v="284"/>
    <s v="ABRIL"/>
    <n v="16"/>
    <s v="LUNES"/>
    <x v="42"/>
    <s v="FANTA NARANJA PET 500MLX6 BRANDEADO MOD"/>
    <n v="750"/>
    <n v="420"/>
    <n v="315"/>
  </r>
  <r>
    <x v="284"/>
    <s v="ABRIL"/>
    <n v="16"/>
    <s v="LUNES"/>
    <x v="43"/>
    <s v="SPRITE PET 500MLX6 BRANDEADO MOD"/>
    <n v="750"/>
    <n v="420"/>
    <n v="315"/>
  </r>
  <r>
    <x v="284"/>
    <s v="ABRIL"/>
    <n v="16"/>
    <s v="LUNES"/>
    <x v="0"/>
    <s v="SAN LUIS SIN GAS PET2500X6 STICKER"/>
    <n v="2256"/>
    <n v="48"/>
    <n v="902.40000000000009"/>
  </r>
  <r>
    <x v="284"/>
    <s v="ABRIL"/>
    <n v="16"/>
    <s v="LUNES"/>
    <x v="1"/>
    <s v="COCA-COLA SIN AZUCAR PET 1.5LX2"/>
    <n v="2160"/>
    <n v="198"/>
    <n v="367.20000000000005"/>
  </r>
  <r>
    <x v="284"/>
    <s v="ABRIL"/>
    <n v="16"/>
    <s v="LUNES"/>
    <x v="7"/>
    <s v="COCA-COLA PET 1.5LX2 RF"/>
    <n v="2160"/>
    <n v="198"/>
    <n v="367.20000000000005"/>
  </r>
  <r>
    <x v="284"/>
    <s v="ABRIL"/>
    <n v="16"/>
    <s v="LUNES"/>
    <x v="20"/>
    <s v="TRIPACK (FT NAR+SP)PET+IK RF PFM 3L"/>
    <n v="1170"/>
    <n v="90"/>
    <n v="198.9"/>
  </r>
  <r>
    <x v="284"/>
    <s v="ABRIL"/>
    <n v="16"/>
    <s v="LUNES"/>
    <x v="25"/>
    <s v="POWERADE 3MORA+3FRUT PET 473MLX6"/>
    <n v="1350"/>
    <n v="225"/>
    <n v="567"/>
  </r>
  <r>
    <x v="284"/>
    <s v="ABRIL"/>
    <n v="16"/>
    <s v="LUNES"/>
    <x v="68"/>
    <s v="COCA COLA VNR 300ML X 6 PUC"/>
    <n v="2500"/>
    <n v="250"/>
    <n v="1050"/>
  </r>
  <r>
    <x v="284"/>
    <s v="ABRIL"/>
    <n v="16"/>
    <s v="LUNES"/>
    <x v="24"/>
    <s v="MONSTER ENERGY 473MLX4"/>
    <n v="840"/>
    <n v="420"/>
    <n v="352.8"/>
  </r>
  <r>
    <x v="284"/>
    <s v="ABRIL"/>
    <n v="16"/>
    <s v="LUNES"/>
    <x v="2"/>
    <s v="INCA KOLA SIN AZUCAR PET 1.5LX2"/>
    <n v="2160"/>
    <n v="198"/>
    <n v="367.20000000000005"/>
  </r>
  <r>
    <x v="284"/>
    <s v="ABRIL"/>
    <n v="16"/>
    <s v="LUNES"/>
    <x v="4"/>
    <s v="COCA-COLA PET 2.25LX2 RF"/>
    <n v="810"/>
    <n v="162"/>
    <n v="137.70000000000002"/>
  </r>
  <r>
    <x v="284"/>
    <s v="ABRIL"/>
    <n v="16"/>
    <s v="LUNES"/>
    <x v="5"/>
    <s v="INCA KOLA PET 2.25LX2 RF"/>
    <n v="810"/>
    <n v="162"/>
    <n v="137.70000000000002"/>
  </r>
  <r>
    <x v="284"/>
    <s v="ABRIL"/>
    <n v="16"/>
    <s v="LUNES"/>
    <x v="11"/>
    <s v="TRIPACK (CC+IK)PFM+FT PET 3LX3 - RFNN"/>
    <n v="1440"/>
    <n v="90"/>
    <n v="244.8"/>
  </r>
  <r>
    <x v="285"/>
    <s v="ABRIL"/>
    <n v="16"/>
    <s v="MARTES"/>
    <x v="40"/>
    <s v="SAN LUIS SPORT S/G 10 Lt x6 "/>
    <n v="336"/>
    <n v="240"/>
    <n v="134.4"/>
  </r>
  <r>
    <x v="285"/>
    <s v="ABRIL"/>
    <n v="16"/>
    <s v="MARTES"/>
    <x v="38"/>
    <s v="SL S/G TAPA PLANA 1LT"/>
    <n v="560"/>
    <n v="112"/>
    <n v="224"/>
  </r>
  <r>
    <x v="285"/>
    <s v="ABRIL"/>
    <n v="16"/>
    <s v="MARTES"/>
    <x v="24"/>
    <s v="MONSTER ENERGY 473MLX4"/>
    <n v="1680"/>
    <n v="420"/>
    <n v="705.6"/>
  </r>
  <r>
    <x v="285"/>
    <s v="ABRIL"/>
    <n v="16"/>
    <s v="MARTES"/>
    <x v="16"/>
    <s v="SAN LUIS CON GAS PET 625MLX6"/>
    <n v="1080"/>
    <n v="180"/>
    <n v="453.59999999999997"/>
  </r>
  <r>
    <x v="285"/>
    <s v="ABRIL"/>
    <n v="16"/>
    <s v="MARTES"/>
    <x v="34"/>
    <s v="TWO PACK CC PET 1.5LX2 - CRC"/>
    <n v="216"/>
    <n v="198"/>
    <n v="36.720000000000006"/>
  </r>
  <r>
    <x v="285"/>
    <s v="ABRIL"/>
    <n v="16"/>
    <s v="MARTES"/>
    <x v="29"/>
    <s v="TWO PACK IK PET 1.5LX2 - CRCG"/>
    <n v="216"/>
    <n v="198"/>
    <n v="36.720000000000006"/>
  </r>
  <r>
    <x v="285"/>
    <s v="ABRIL"/>
    <n v="16"/>
    <s v="MARTES"/>
    <x v="6"/>
    <s v="INCA KOLA PET 3LX2 - RF"/>
    <n v="2160"/>
    <n v="120"/>
    <n v="367.20000000000005"/>
  </r>
  <r>
    <x v="285"/>
    <s v="ABRIL"/>
    <n v="16"/>
    <s v="MARTES"/>
    <x v="10"/>
    <s v="TWO PACK CC + IK PFM 3LX2 - RFNN"/>
    <n v="1680"/>
    <n v="120"/>
    <n v="285.60000000000002"/>
  </r>
  <r>
    <x v="285"/>
    <s v="ABRIL"/>
    <n v="16"/>
    <s v="MARTES"/>
    <x v="23"/>
    <s v="TRIPACK CC+IK+IK PFM 3LX3 - RFNN"/>
    <n v="1440"/>
    <n v="90"/>
    <n v="244.8"/>
  </r>
  <r>
    <x v="285"/>
    <s v="ABRIL"/>
    <n v="16"/>
    <s v="MARTES"/>
    <x v="40"/>
    <s v="SAN LUIS SPORT S/G 10 Lt x6 "/>
    <n v="224"/>
    <n v="240"/>
    <n v="89.600000000000009"/>
  </r>
  <r>
    <x v="285"/>
    <s v="ABRIL"/>
    <n v="16"/>
    <s v="MARTES"/>
    <x v="38"/>
    <s v="SL S/G TAPA PLANA 1LT"/>
    <n v="224"/>
    <n v="112"/>
    <n v="89.600000000000009"/>
  </r>
  <r>
    <x v="285"/>
    <s v="ABRIL"/>
    <n v="16"/>
    <s v="MARTES"/>
    <x v="16"/>
    <s v="SAN LUIS CON GAS PET 625MLX6"/>
    <n v="540"/>
    <n v="180"/>
    <n v="226.79999999999998"/>
  </r>
  <r>
    <x v="285"/>
    <s v="ABRIL"/>
    <n v="16"/>
    <s v="MARTES"/>
    <x v="42"/>
    <s v="FANTA NARANJA PET 500MLX6 BRANDEADO MOD"/>
    <n v="500"/>
    <n v="420"/>
    <n v="210"/>
  </r>
  <r>
    <x v="285"/>
    <s v="ABRIL"/>
    <n v="16"/>
    <s v="MARTES"/>
    <x v="64"/>
    <s v="PACK-2 FT NAR+FT KI+FT PIÑA+SP RP 1.5LX8"/>
    <n v="720"/>
    <n v="30"/>
    <n v="151.19999999999999"/>
  </r>
  <r>
    <x v="285"/>
    <s v="ABRIL"/>
    <n v="16"/>
    <s v="MARTES"/>
    <x v="72"/>
    <s v="2FTKI + 2FTN + 1FTP + 1SP PACK x 500ML"/>
    <n v="500"/>
    <n v="250"/>
    <n v="210"/>
  </r>
  <r>
    <x v="286"/>
    <s v="ABRIL"/>
    <n v="16"/>
    <s v="MIÉRCOLES"/>
    <x v="10"/>
    <s v="TWO PACK CC + IK PFM 3LX2 - RFNN"/>
    <n v="4800"/>
    <n v="120"/>
    <n v="816.00000000000011"/>
  </r>
  <r>
    <x v="286"/>
    <s v="ABRIL"/>
    <n v="16"/>
    <s v="MIÉRCOLES"/>
    <x v="72"/>
    <s v="2FTKI + 2FTN + 1FTP + 1SP PACK x 500ML"/>
    <n v="750"/>
    <n v="250"/>
    <n v="315"/>
  </r>
  <r>
    <x v="285"/>
    <s v="ABRIL"/>
    <n v="16"/>
    <s v="MARTES"/>
    <x v="10"/>
    <s v="TWO PACK CC + IK PFM 3LX2 - RFNN"/>
    <n v="240"/>
    <n v="120"/>
    <n v="40.800000000000004"/>
  </r>
  <r>
    <x v="285"/>
    <s v="ABRIL"/>
    <n v="16"/>
    <s v="MARTES"/>
    <x v="28"/>
    <s v="COCA COLA VR 1.5LX8 - STICKER"/>
    <n v="120"/>
    <n v="30"/>
    <n v="27.6"/>
  </r>
  <r>
    <x v="285"/>
    <s v="ABRIL"/>
    <n v="16"/>
    <s v="MARTES"/>
    <x v="33"/>
    <s v="COCA COLA VR 296MLX24 - STICKER"/>
    <n v="80"/>
    <n v="40"/>
    <n v="18.400000000000002"/>
  </r>
  <r>
    <x v="285"/>
    <s v="ABRIL"/>
    <n v="16"/>
    <s v="MARTES"/>
    <x v="15"/>
    <s v="INCA KOLA VR 625MLX12 - STICKER"/>
    <n v="250"/>
    <n v="50"/>
    <n v="100"/>
  </r>
  <r>
    <x v="285"/>
    <s v="ABRIL"/>
    <n v="16"/>
    <s v="MARTES"/>
    <x v="16"/>
    <s v="SAN LUIS CON GAS PET 625MLX6"/>
    <n v="540"/>
    <n v="180"/>
    <n v="226.79999999999998"/>
  </r>
  <r>
    <x v="285"/>
    <s v="ABRIL"/>
    <n v="16"/>
    <s v="MARTES"/>
    <x v="3"/>
    <s v="TWO PACK SCHWEPPES GINGER ALE PET 1.5LX2"/>
    <n v="990"/>
    <n v="198"/>
    <n v="168.3"/>
  </r>
  <r>
    <x v="285"/>
    <s v="ABRIL"/>
    <n v="16"/>
    <s v="MARTES"/>
    <x v="6"/>
    <s v="INCA KOLA PET 3LX2 - RF"/>
    <n v="1440"/>
    <n v="120"/>
    <n v="244.8"/>
  </r>
  <r>
    <x v="285"/>
    <s v="ABRIL"/>
    <n v="16"/>
    <s v="MARTES"/>
    <x v="9"/>
    <s v="TRIPACK FT NAR+FT KI+SP PET 3L"/>
    <n v="900"/>
    <n v="90"/>
    <n v="153"/>
  </r>
  <r>
    <x v="285"/>
    <s v="ABRIL"/>
    <n v="16"/>
    <s v="MARTES"/>
    <x v="10"/>
    <s v="TWO PACK CC + IK PFM 3LX2 - RFNN"/>
    <n v="4080"/>
    <n v="120"/>
    <n v="693.6"/>
  </r>
  <r>
    <x v="285"/>
    <s v="ABRIL"/>
    <n v="16"/>
    <s v="MARTES"/>
    <x v="26"/>
    <s v="TRIPACK CC+CC+IK PFM 3LX3 - RFNN"/>
    <n v="450"/>
    <n v="90"/>
    <n v="76.5"/>
  </r>
  <r>
    <x v="285"/>
    <s v="ABRIL"/>
    <n v="16"/>
    <s v="MARTES"/>
    <x v="7"/>
    <s v="COCA-COLA PET 1.5LX2 RF"/>
    <n v="450"/>
    <n v="198"/>
    <n v="76.5"/>
  </r>
  <r>
    <x v="285"/>
    <s v="ABRIL"/>
    <n v="16"/>
    <s v="MARTES"/>
    <x v="20"/>
    <s v="TRIPACK (FT NAR+SP)PET+IK RF PFM 3L"/>
    <n v="450"/>
    <n v="90"/>
    <n v="76.5"/>
  </r>
  <r>
    <x v="286"/>
    <s v="ABRIL"/>
    <n v="16"/>
    <s v="MIÉRCOLES"/>
    <x v="36"/>
    <s v="SAN LUIS SIN GAS PET 625MLX15 C/STICKER"/>
    <n v="810"/>
    <n v="90"/>
    <n v="324"/>
  </r>
  <r>
    <x v="286"/>
    <s v="ABRIL"/>
    <n v="16"/>
    <s v="MIÉRCOLES"/>
    <x v="16"/>
    <s v="SAN LUIS CON GAS PET 625MLX6"/>
    <n v="180"/>
    <n v="180"/>
    <n v="75.599999999999994"/>
  </r>
  <r>
    <x v="286"/>
    <s v="ABRIL"/>
    <n v="16"/>
    <s v="MIÉRCOLES"/>
    <x v="1"/>
    <s v="COCA-COLA SIN AZUCAR PET 1.5LX2"/>
    <n v="432"/>
    <n v="198"/>
    <n v="73.440000000000012"/>
  </r>
  <r>
    <x v="286"/>
    <s v="ABRIL"/>
    <n v="16"/>
    <s v="MIÉRCOLES"/>
    <x v="22"/>
    <s v="TWO PACK SCHWEPPES CITRUS PET 1.5LX2"/>
    <n v="990"/>
    <n v="198"/>
    <n v="168.3"/>
  </r>
  <r>
    <x v="286"/>
    <s v="ABRIL"/>
    <n v="16"/>
    <s v="MIÉRCOLES"/>
    <x v="8"/>
    <s v="INCA KOLA PET 1.5LX2 RF"/>
    <n v="3240"/>
    <n v="198"/>
    <n v="550.80000000000007"/>
  </r>
  <r>
    <x v="286"/>
    <s v="ABRIL"/>
    <n v="16"/>
    <s v="MIÉRCOLES"/>
    <x v="9"/>
    <s v="TRIPACK FT NAR+FT KI+SP PET 3L"/>
    <n v="450"/>
    <n v="90"/>
    <n v="76.5"/>
  </r>
  <r>
    <x v="286"/>
    <s v="ABRIL"/>
    <n v="16"/>
    <s v="MIÉRCOLES"/>
    <x v="10"/>
    <s v="TWO PACK CC + IK PFM 3LX2 - RFNN"/>
    <n v="3360"/>
    <n v="120"/>
    <n v="571.20000000000005"/>
  </r>
  <r>
    <x v="286"/>
    <s v="ABRIL"/>
    <n v="16"/>
    <s v="MIÉRCOLES"/>
    <x v="26"/>
    <s v="TRIPACK CC+CC+IK PFM 3LX3 - RFNN"/>
    <n v="900"/>
    <n v="90"/>
    <n v="153"/>
  </r>
  <r>
    <x v="286"/>
    <s v="ABRIL"/>
    <n v="16"/>
    <s v="MIÉRCOLES"/>
    <x v="23"/>
    <s v="TRIPACK CC+IK+IK PFM 3LX3 - RFNN"/>
    <n v="1440"/>
    <n v="90"/>
    <n v="244.8"/>
  </r>
  <r>
    <x v="286"/>
    <s v="ABRIL"/>
    <n v="16"/>
    <s v="MIÉRCOLES"/>
    <x v="43"/>
    <s v="SPRITE PET 500MLX6 BRANDEADO MOD"/>
    <n v="250"/>
    <n v="420"/>
    <n v="105"/>
  </r>
  <r>
    <x v="286"/>
    <s v="ABRIL"/>
    <n v="16"/>
    <s v="MIÉRCOLES"/>
    <x v="72"/>
    <s v="2FTKI + 2FTN + 1FTP + 1SP PACK x 500ML"/>
    <n v="250"/>
    <n v="250"/>
    <n v="105"/>
  </r>
  <r>
    <x v="286"/>
    <s v="ABRIL"/>
    <n v="16"/>
    <s v="MIÉRCOLES"/>
    <x v="28"/>
    <s v="COCA COLA VR 1.5LX8 - STICKER"/>
    <n v="240"/>
    <n v="30"/>
    <n v="55.2"/>
  </r>
  <r>
    <x v="286"/>
    <s v="ABRIL"/>
    <n v="16"/>
    <s v="MIÉRCOLES"/>
    <x v="13"/>
    <s v="INCA KOLA VR 1.5LX8 - STICKER"/>
    <n v="240"/>
    <n v="30"/>
    <n v="96"/>
  </r>
  <r>
    <x v="286"/>
    <s v="ABRIL"/>
    <n v="16"/>
    <s v="MIÉRCOLES"/>
    <x v="15"/>
    <s v="INCA KOLA VR 625MLX12 - STICKER"/>
    <n v="250"/>
    <n v="50"/>
    <n v="100"/>
  </r>
  <r>
    <x v="286"/>
    <s v="ABRIL"/>
    <n v="16"/>
    <s v="MIÉRCOLES"/>
    <x v="16"/>
    <s v="SAN LUIS CON GAS PET 625MLX6"/>
    <n v="180"/>
    <n v="180"/>
    <n v="75.599999999999994"/>
  </r>
  <r>
    <x v="286"/>
    <s v="ABRIL"/>
    <n v="16"/>
    <s v="MIÉRCOLES"/>
    <x v="1"/>
    <s v="COCA-COLA SIN AZUCAR PET 1.5LX2"/>
    <n v="1728"/>
    <n v="198"/>
    <n v="293.76000000000005"/>
  </r>
  <r>
    <x v="286"/>
    <s v="ABRIL"/>
    <n v="16"/>
    <s v="MIÉRCOLES"/>
    <x v="9"/>
    <s v="TRIPACK FT NAR+FT KI+SP PET 3L"/>
    <n v="1260"/>
    <n v="90"/>
    <n v="214.20000000000002"/>
  </r>
  <r>
    <x v="286"/>
    <s v="ABRIL"/>
    <n v="16"/>
    <s v="MIÉRCOLES"/>
    <x v="10"/>
    <s v="TWO PACK CC + IK PFM 3LX2 - RFNN"/>
    <n v="3840"/>
    <n v="120"/>
    <n v="652.80000000000007"/>
  </r>
  <r>
    <x v="286"/>
    <s v="ABRIL"/>
    <n v="16"/>
    <s v="MIÉRCOLES"/>
    <x v="20"/>
    <s v="TRIPACK (FT NAR+SP)PET+IK RF PFM 3L"/>
    <n v="360"/>
    <n v="90"/>
    <n v="61.2"/>
  </r>
  <r>
    <x v="286"/>
    <s v="ABRIL"/>
    <n v="16"/>
    <s v="MIÉRCOLES"/>
    <x v="43"/>
    <s v="SPRITE PET 500MLX6 BRANDEADO MOD"/>
    <n v="250"/>
    <n v="420"/>
    <n v="105"/>
  </r>
  <r>
    <x v="286"/>
    <s v="ABRIL"/>
    <n v="16"/>
    <s v="MIÉRCOLES"/>
    <x v="76"/>
    <s v="SAN LUIS SIN GAS PET 625MLX06 PUC"/>
    <n v="360"/>
    <n v="180"/>
    <n v="151.19999999999999"/>
  </r>
  <r>
    <x v="286"/>
    <s v="ABRIL"/>
    <n v="16"/>
    <s v="MIÉRCOLES"/>
    <x v="70"/>
    <s v="BND X 6 BOTELLAS X 600ML PUC"/>
    <n v="360"/>
    <n v="180"/>
    <n v="151.19999999999999"/>
  </r>
  <r>
    <x v="286"/>
    <s v="ABRIL"/>
    <n v="16"/>
    <s v="MIÉRCOLES"/>
    <x v="75"/>
    <s v="POWERADE 2MORA+4FRUT PET 473MLX6 (TRAD) PUC"/>
    <n v="450"/>
    <n v="225"/>
    <n v="189"/>
  </r>
  <r>
    <x v="287"/>
    <s v="ABRIL"/>
    <n v="16"/>
    <s v="JUEVES"/>
    <x v="68"/>
    <s v="COCA COLA VNR 300ML X 6 PUC"/>
    <n v="1250"/>
    <n v="250"/>
    <n v="525"/>
  </r>
  <r>
    <x v="287"/>
    <s v="ABRIL"/>
    <n v="16"/>
    <s v="JUEVES"/>
    <x v="76"/>
    <s v="SAN LUIS SIN GAS PET 625MLX06 PUC"/>
    <n v="360"/>
    <n v="180"/>
    <n v="151.19999999999999"/>
  </r>
  <r>
    <x v="287"/>
    <s v="ABRIL"/>
    <n v="16"/>
    <s v="JUEVES"/>
    <x v="70"/>
    <s v="BND X 6 BOTELLAS X 600ML PUC"/>
    <n v="360"/>
    <n v="180"/>
    <n v="151.19999999999999"/>
  </r>
  <r>
    <x v="287"/>
    <s v="ABRIL"/>
    <n v="16"/>
    <s v="JUEVES"/>
    <x v="4"/>
    <s v="COCA-COLA PET 2.25LX2 RF"/>
    <n v="1134"/>
    <n v="162"/>
    <n v="192.78"/>
  </r>
  <r>
    <x v="287"/>
    <s v="ABRIL"/>
    <n v="16"/>
    <s v="JUEVES"/>
    <x v="6"/>
    <s v="INCA KOLA PET 3LX2 - RF"/>
    <n v="2400"/>
    <n v="120"/>
    <n v="408.00000000000006"/>
  </r>
  <r>
    <x v="287"/>
    <s v="ABRIL"/>
    <n v="16"/>
    <s v="JUEVES"/>
    <x v="17"/>
    <s v="TWO PACK CC PFM 3LX2 - RFCC"/>
    <n v="1200"/>
    <n v="120"/>
    <n v="204.00000000000003"/>
  </r>
  <r>
    <x v="287"/>
    <s v="ABRIL"/>
    <n v="16"/>
    <s v="JUEVES"/>
    <x v="10"/>
    <s v="TWO PACK CC + IK PFM 3LX2 - RFNN"/>
    <n v="480"/>
    <n v="120"/>
    <n v="81.600000000000009"/>
  </r>
  <r>
    <x v="288"/>
    <s v="ABRIL"/>
    <n v="16"/>
    <s v="VIERNES"/>
    <x v="34"/>
    <s v="TWO PACK CC PET 1.5LX2 - CRC"/>
    <n v="216"/>
    <n v="198"/>
    <n v="36.720000000000006"/>
  </r>
  <r>
    <x v="288"/>
    <s v="ABRIL"/>
    <n v="16"/>
    <s v="VIERNES"/>
    <x v="29"/>
    <s v="TWO PACK IK PET 1.5LX2 - CRCG"/>
    <n v="216"/>
    <n v="198"/>
    <n v="36.720000000000006"/>
  </r>
  <r>
    <x v="288"/>
    <s v="ABRIL"/>
    <n v="16"/>
    <s v="VIERNES"/>
    <x v="3"/>
    <s v="TWO PACK SCHWEPPES GINGER ALE PET 1.5LX2"/>
    <n v="198"/>
    <n v="198"/>
    <n v="33.660000000000004"/>
  </r>
  <r>
    <x v="288"/>
    <s v="ABRIL"/>
    <n v="16"/>
    <s v="VIERNES"/>
    <x v="26"/>
    <s v="TRIPACK CC+CC+IK PFM 3LX3 - RFNN"/>
    <n v="450"/>
    <n v="90"/>
    <n v="76.5"/>
  </r>
  <r>
    <x v="288"/>
    <s v="ABRIL"/>
    <n v="16"/>
    <s v="VIERNES"/>
    <x v="23"/>
    <s v="TRIPACK CC+IK+IK PFM 3LX3 - RFNN"/>
    <n v="900"/>
    <n v="90"/>
    <n v="153"/>
  </r>
  <r>
    <x v="288"/>
    <s v="ABRIL"/>
    <n v="16"/>
    <s v="VIERNES"/>
    <x v="11"/>
    <s v="TRIPACK (CC+IK)PFM+FT PET 3LX3 - RFNN"/>
    <n v="1440"/>
    <n v="90"/>
    <n v="244.8"/>
  </r>
  <r>
    <x v="288"/>
    <s v="ABRIL"/>
    <n v="16"/>
    <s v="VIERNES"/>
    <x v="25"/>
    <s v="POWERADE 3MORA+3FRUT PET 473MLX6"/>
    <n v="1800"/>
    <n v="225"/>
    <n v="756"/>
  </r>
  <r>
    <x v="288"/>
    <s v="ABRIL"/>
    <n v="16"/>
    <s v="VIERNES"/>
    <x v="42"/>
    <s v="FANTA NARANJA PET 500MLX6 BRANDEADO MOD"/>
    <n v="250"/>
    <n v="420"/>
    <n v="105"/>
  </r>
  <r>
    <x v="287"/>
    <s v="ABRIL"/>
    <n v="16"/>
    <s v="JUEVES"/>
    <x v="28"/>
    <s v="COCA COLA VR 1.5LX8 - STICKER"/>
    <n v="180"/>
    <n v="30"/>
    <n v="41.4"/>
  </r>
  <r>
    <x v="287"/>
    <s v="ABRIL"/>
    <n v="16"/>
    <s v="JUEVES"/>
    <x v="13"/>
    <s v="INCA KOLA VR 1.5LX8 - STICKER"/>
    <n v="30"/>
    <n v="30"/>
    <n v="12"/>
  </r>
  <r>
    <x v="287"/>
    <s v="ABRIL"/>
    <n v="16"/>
    <s v="JUEVES"/>
    <x v="14"/>
    <s v="INCA KOLA VR 296MLX24 - STICKER"/>
    <n v="80"/>
    <n v="40"/>
    <n v="18.400000000000002"/>
  </r>
  <r>
    <x v="287"/>
    <s v="ABRIL"/>
    <n v="16"/>
    <s v="JUEVES"/>
    <x v="36"/>
    <s v="SAN LUIS SIN GAS PET 625MLX15 C/STICKER"/>
    <n v="810"/>
    <n v="90"/>
    <n v="324"/>
  </r>
  <r>
    <x v="287"/>
    <s v="ABRIL"/>
    <n v="16"/>
    <s v="JUEVES"/>
    <x v="40"/>
    <s v="SAN LUIS SPORT S/G 10 Lt x6 "/>
    <n v="224"/>
    <n v="240"/>
    <n v="89.600000000000009"/>
  </r>
  <r>
    <x v="287"/>
    <s v="ABRIL"/>
    <n v="16"/>
    <s v="JUEVES"/>
    <x v="38"/>
    <s v="SL S/G TAPA PLANA 1LT"/>
    <n v="448"/>
    <n v="112"/>
    <n v="179.20000000000002"/>
  </r>
  <r>
    <x v="287"/>
    <s v="ABRIL"/>
    <n v="16"/>
    <s v="JUEVES"/>
    <x v="5"/>
    <s v="INCA KOLA PET 2.25LX2 RF"/>
    <n v="162"/>
    <n v="162"/>
    <n v="27.540000000000003"/>
  </r>
  <r>
    <x v="287"/>
    <s v="ABRIL"/>
    <n v="16"/>
    <s v="JUEVES"/>
    <x v="7"/>
    <s v="COCA-COLA PET 1.5LX2 RF"/>
    <n v="3024"/>
    <n v="198"/>
    <n v="514.08000000000004"/>
  </r>
  <r>
    <x v="287"/>
    <s v="ABRIL"/>
    <n v="16"/>
    <s v="JUEVES"/>
    <x v="10"/>
    <s v="TWO PACK CC + IK PFM 3LX2 - RFNN"/>
    <n v="3600"/>
    <n v="120"/>
    <n v="612"/>
  </r>
  <r>
    <x v="287"/>
    <s v="ABRIL"/>
    <n v="16"/>
    <s v="JUEVES"/>
    <x v="26"/>
    <s v="TRIPACK CC+CC+IK PFM 3LX3 - RFNN"/>
    <n v="720"/>
    <n v="90"/>
    <n v="122.4"/>
  </r>
  <r>
    <x v="287"/>
    <s v="ABRIL"/>
    <n v="16"/>
    <s v="JUEVES"/>
    <x v="23"/>
    <s v="TRIPACK CC+IK+IK PFM 3LX3 - RFNN"/>
    <n v="450"/>
    <n v="90"/>
    <n v="76.5"/>
  </r>
  <r>
    <x v="287"/>
    <s v="ABRIL"/>
    <n v="16"/>
    <s v="JUEVES"/>
    <x v="11"/>
    <s v="TRIPACK (CC+IK)PFM+FT PET 3LX3 - RFNN"/>
    <n v="1890"/>
    <n v="90"/>
    <n v="321.3"/>
  </r>
  <r>
    <x v="287"/>
    <s v="ABRIL"/>
    <n v="16"/>
    <s v="JUEVES"/>
    <x v="12"/>
    <s v="POWERADE ION4 FRUTA PET473X6 MOD (STICK)"/>
    <n v="675"/>
    <n v="225"/>
    <n v="270"/>
  </r>
  <r>
    <x v="287"/>
    <s v="ABRIL"/>
    <n v="16"/>
    <s v="JUEVES"/>
    <x v="19"/>
    <s v="POWERADE ION4 MORA AZ PET473X6 MOD(STCK)"/>
    <n v="225"/>
    <n v="225"/>
    <n v="90"/>
  </r>
  <r>
    <x v="287"/>
    <s v="ABRIL"/>
    <n v="16"/>
    <s v="JUEVES"/>
    <x v="40"/>
    <s v="SAN LUIS SPORT S/G 10 Lt x6 "/>
    <n v="224"/>
    <n v="240"/>
    <n v="89.600000000000009"/>
  </r>
  <r>
    <x v="287"/>
    <s v="ABRIL"/>
    <n v="16"/>
    <s v="JUEVES"/>
    <x v="5"/>
    <s v="INCA KOLA PET 2.25LX2 RF"/>
    <n v="648"/>
    <n v="162"/>
    <n v="110.16000000000001"/>
  </r>
  <r>
    <x v="287"/>
    <s v="ABRIL"/>
    <n v="16"/>
    <s v="JUEVES"/>
    <x v="7"/>
    <s v="COCA-COLA PET 1.5LX2 RF"/>
    <n v="1296"/>
    <n v="198"/>
    <n v="220.32000000000002"/>
  </r>
  <r>
    <x v="287"/>
    <s v="ABRIL"/>
    <n v="16"/>
    <s v="JUEVES"/>
    <x v="10"/>
    <s v="TWO PACK CC + IK PFM 3LX2 - RFNN"/>
    <n v="5520"/>
    <n v="120"/>
    <n v="938.40000000000009"/>
  </r>
  <r>
    <x v="287"/>
    <s v="ABRIL"/>
    <n v="16"/>
    <s v="JUEVES"/>
    <x v="68"/>
    <s v="COCA COLA VNR 300ML X 6 PUC"/>
    <n v="500"/>
    <n v="250"/>
    <n v="210"/>
  </r>
  <r>
    <x v="288"/>
    <s v="ABRIL"/>
    <n v="16"/>
    <s v="VIERNES"/>
    <x v="13"/>
    <s v="INCA KOLA VR 1.5LX8 - STICKER"/>
    <n v="180"/>
    <n v="30"/>
    <n v="72"/>
  </r>
  <r>
    <x v="288"/>
    <s v="ABRIL"/>
    <n v="16"/>
    <s v="VIERNES"/>
    <x v="15"/>
    <s v="INCA KOLA VR 625MLX12 - STICKER"/>
    <n v="50"/>
    <n v="50"/>
    <n v="20"/>
  </r>
  <r>
    <x v="288"/>
    <s v="ABRIL"/>
    <n v="16"/>
    <s v="VIERNES"/>
    <x v="0"/>
    <s v="SAN LUIS SIN GAS PET2500X6 STICKER"/>
    <n v="672"/>
    <n v="48"/>
    <n v="268.8"/>
  </r>
  <r>
    <x v="288"/>
    <s v="ABRIL"/>
    <n v="16"/>
    <s v="VIERNES"/>
    <x v="1"/>
    <s v="COCA-COLA SIN AZUCAR PET 1.5LX2"/>
    <n v="3240"/>
    <n v="198"/>
    <n v="550.80000000000007"/>
  </r>
  <r>
    <x v="288"/>
    <s v="ABRIL"/>
    <n v="16"/>
    <s v="VIERNES"/>
    <x v="2"/>
    <s v="INCA KOLA SIN AZUCAR PET 1.5LX2"/>
    <n v="2160"/>
    <n v="198"/>
    <n v="367.20000000000005"/>
  </r>
  <r>
    <x v="288"/>
    <s v="ABRIL"/>
    <n v="16"/>
    <s v="VIERNES"/>
    <x v="22"/>
    <s v="TWO PACK SCHWEPPES CITRUS PET 1.5LX2"/>
    <n v="792"/>
    <n v="198"/>
    <n v="134.64000000000001"/>
  </r>
  <r>
    <x v="288"/>
    <s v="ABRIL"/>
    <n v="16"/>
    <s v="VIERNES"/>
    <x v="8"/>
    <s v="INCA KOLA PET 1.5LX2 RF"/>
    <n v="648"/>
    <n v="198"/>
    <n v="110.16000000000001"/>
  </r>
  <r>
    <x v="288"/>
    <s v="ABRIL"/>
    <n v="16"/>
    <s v="VIERNES"/>
    <x v="9"/>
    <s v="TRIPACK FT NAR+FT KI+SP PET 3L"/>
    <n v="1440"/>
    <n v="90"/>
    <n v="244.8"/>
  </r>
  <r>
    <x v="288"/>
    <s v="ABRIL"/>
    <n v="16"/>
    <s v="VIERNES"/>
    <x v="11"/>
    <s v="TRIPACK (CC+IK)PFM+FT PET 3LX3 - RFNN"/>
    <n v="2160"/>
    <n v="90"/>
    <n v="367.20000000000005"/>
  </r>
  <r>
    <x v="288"/>
    <s v="ABRIL"/>
    <n v="16"/>
    <s v="VIERNES"/>
    <x v="25"/>
    <s v="POWERADE 3MORA+3FRUT PET 473MLX6"/>
    <n v="2700"/>
    <n v="225"/>
    <n v="1134"/>
  </r>
  <r>
    <x v="288"/>
    <s v="ABRIL"/>
    <n v="16"/>
    <s v="VIERNES"/>
    <x v="12"/>
    <s v="POWERADE ION4 FRUTA PET473X6 MOD (STICK)"/>
    <n v="450"/>
    <n v="225"/>
    <n v="180"/>
  </r>
  <r>
    <x v="288"/>
    <s v="ABRIL"/>
    <n v="16"/>
    <s v="VIERNES"/>
    <x v="19"/>
    <s v="POWERADE ION4 MORA AZ PET473X6 MOD(STCK)"/>
    <n v="450"/>
    <n v="225"/>
    <n v="180"/>
  </r>
  <r>
    <x v="288"/>
    <s v="ABRIL"/>
    <n v="16"/>
    <s v="VIERNES"/>
    <x v="13"/>
    <s v="INCA KOLA VR 1.5LX8 - STICKER"/>
    <n v="120"/>
    <n v="30"/>
    <n v="48"/>
  </r>
  <r>
    <x v="288"/>
    <s v="ABRIL"/>
    <n v="16"/>
    <s v="VIERNES"/>
    <x v="15"/>
    <s v="INCA KOLA VR 625MLX12 - STICKER"/>
    <n v="350"/>
    <n v="50"/>
    <n v="140"/>
  </r>
  <r>
    <x v="288"/>
    <s v="ABRIL"/>
    <n v="16"/>
    <s v="VIERNES"/>
    <x v="0"/>
    <s v="SAN LUIS SIN GAS PET2500X6 STICKER"/>
    <n v="288"/>
    <n v="48"/>
    <n v="115.2"/>
  </r>
  <r>
    <x v="288"/>
    <s v="ABRIL"/>
    <n v="16"/>
    <s v="VIERNES"/>
    <x v="3"/>
    <s v="TWO PACK SCHWEPPES GINGER ALE PET 1.5LX2"/>
    <n v="1782"/>
    <n v="198"/>
    <n v="302.94"/>
  </r>
  <r>
    <x v="288"/>
    <s v="ABRIL"/>
    <n v="16"/>
    <s v="VIERNES"/>
    <x v="8"/>
    <s v="INCA KOLA PET 1.5LX2 RF"/>
    <n v="1512"/>
    <n v="198"/>
    <n v="257.04000000000002"/>
  </r>
  <r>
    <x v="288"/>
    <s v="ABRIL"/>
    <n v="16"/>
    <s v="VIERNES"/>
    <x v="25"/>
    <s v="POWERADE 3MORA+3FRUT PET 473MLX6"/>
    <n v="450"/>
    <n v="225"/>
    <n v="189"/>
  </r>
  <r>
    <x v="288"/>
    <s v="ABRIL"/>
    <n v="16"/>
    <s v="VIERNES"/>
    <x v="12"/>
    <s v="POWERADE ION4 FRUTA PET473X6 MOD (STICK)"/>
    <n v="1800"/>
    <n v="225"/>
    <n v="720"/>
  </r>
  <r>
    <x v="288"/>
    <s v="ABRIL"/>
    <n v="16"/>
    <s v="VIERNES"/>
    <x v="64"/>
    <s v="PACK-2 FT NAR+FT KI+FT PIÑA+SP RP 1.5LX8"/>
    <n v="330"/>
    <n v="30"/>
    <n v="69.3"/>
  </r>
  <r>
    <x v="289"/>
    <s v="ABRIL"/>
    <n v="17"/>
    <s v="SÁBADO"/>
    <x v="16"/>
    <s v="SAN LUIS CON GAS PET 625MLX6"/>
    <n v="1440"/>
    <n v="180"/>
    <n v="604.79999999999995"/>
  </r>
  <r>
    <x v="289"/>
    <s v="ABRIL"/>
    <n v="17"/>
    <s v="SÁBADO"/>
    <x v="19"/>
    <s v="POWERADE ION4 MORA AZ PET473X6 MOD(STCK)"/>
    <n v="3150"/>
    <n v="225"/>
    <n v="1260"/>
  </r>
  <r>
    <x v="289"/>
    <s v="ABRIL"/>
    <n v="17"/>
    <s v="SÁBADO"/>
    <x v="64"/>
    <s v="PACK-2 FT NAR+FT KI+FT PIÑA+SP RP 1.5LX8"/>
    <n v="630"/>
    <n v="30"/>
    <n v="132.29999999999998"/>
  </r>
  <r>
    <x v="289"/>
    <s v="ABRIL"/>
    <n v="17"/>
    <s v="SÁBADO"/>
    <x v="68"/>
    <s v="COCA COLA VNR 300ML X 6 PUC"/>
    <n v="2000"/>
    <n v="250"/>
    <n v="840"/>
  </r>
  <r>
    <x v="289"/>
    <s v="ABRIL"/>
    <n v="17"/>
    <s v="SÁBADO"/>
    <x v="12"/>
    <s v="POWERADE ION4 FRUTA PET473X6 MOD (STICK)"/>
    <n v="1350"/>
    <n v="225"/>
    <n v="540"/>
  </r>
  <r>
    <x v="289"/>
    <s v="ABRIL"/>
    <n v="17"/>
    <s v="SÁBADO"/>
    <x v="28"/>
    <s v="COCA COLA VR 1.5LX8 - STICKER"/>
    <n v="270"/>
    <n v="30"/>
    <n v="62.1"/>
  </r>
  <r>
    <x v="289"/>
    <s v="ABRIL"/>
    <n v="17"/>
    <s v="SÁBADO"/>
    <x v="14"/>
    <s v="INCA KOLA VR 296MLX24 - STICKER"/>
    <n v="80"/>
    <n v="40"/>
    <n v="18.400000000000002"/>
  </r>
  <r>
    <x v="289"/>
    <s v="ABRIL"/>
    <n v="17"/>
    <s v="SÁBADO"/>
    <x v="38"/>
    <s v="SL S/G TAPA PLANA 1LT"/>
    <n v="336"/>
    <n v="112"/>
    <n v="134.4"/>
  </r>
  <r>
    <x v="289"/>
    <s v="ABRIL"/>
    <n v="17"/>
    <s v="SÁBADO"/>
    <x v="0"/>
    <s v="SAN LUIS SIN GAS PET2500X6 STICKER"/>
    <n v="960"/>
    <n v="48"/>
    <n v="384"/>
  </r>
  <r>
    <x v="289"/>
    <s v="ABRIL"/>
    <n v="17"/>
    <s v="SÁBADO"/>
    <x v="16"/>
    <s v="SAN LUIS CON GAS PET 625MLX6"/>
    <n v="1080"/>
    <n v="180"/>
    <n v="453.59999999999997"/>
  </r>
  <r>
    <x v="289"/>
    <s v="ABRIL"/>
    <n v="17"/>
    <s v="SÁBADO"/>
    <x v="1"/>
    <s v="COCA-COLA SIN AZUCAR PET 1.5LX2"/>
    <n v="1944"/>
    <n v="198"/>
    <n v="330.48"/>
  </r>
  <r>
    <x v="289"/>
    <s v="ABRIL"/>
    <n v="17"/>
    <s v="SÁBADO"/>
    <x v="2"/>
    <s v="INCA KOLA SIN AZUCAR PET 1.5LX2"/>
    <n v="2160"/>
    <n v="198"/>
    <n v="367.20000000000005"/>
  </r>
  <r>
    <x v="289"/>
    <s v="ABRIL"/>
    <n v="17"/>
    <s v="SÁBADO"/>
    <x v="34"/>
    <s v="TWO PACK CC PET 1.5LX2 - CRC"/>
    <n v="432"/>
    <n v="198"/>
    <n v="73.440000000000012"/>
  </r>
  <r>
    <x v="289"/>
    <s v="ABRIL"/>
    <n v="17"/>
    <s v="SÁBADO"/>
    <x v="29"/>
    <s v="TWO PACK IK PET 1.5LX2 - CRCG"/>
    <n v="432"/>
    <n v="198"/>
    <n v="73.440000000000012"/>
  </r>
  <r>
    <x v="289"/>
    <s v="ABRIL"/>
    <n v="17"/>
    <s v="SÁBADO"/>
    <x v="22"/>
    <s v="TWO PACK SCHWEPPES CITRUS PET 1.5LX2"/>
    <n v="396"/>
    <n v="198"/>
    <n v="67.320000000000007"/>
  </r>
  <r>
    <x v="289"/>
    <s v="ABRIL"/>
    <n v="17"/>
    <s v="SÁBADO"/>
    <x v="3"/>
    <s v="TWO PACK SCHWEPPES GINGER ALE PET 1.5LX2"/>
    <n v="1386"/>
    <n v="198"/>
    <n v="235.62"/>
  </r>
  <r>
    <x v="289"/>
    <s v="ABRIL"/>
    <n v="17"/>
    <s v="SÁBADO"/>
    <x v="17"/>
    <s v="TWO PACK CC PFM 3LX2 - RFCC"/>
    <n v="960"/>
    <n v="120"/>
    <n v="163.20000000000002"/>
  </r>
  <r>
    <x v="289"/>
    <s v="ABRIL"/>
    <n v="17"/>
    <s v="SÁBADO"/>
    <x v="26"/>
    <s v="TRIPACK CC+CC+IK PFM 3LX3 - RFNN"/>
    <n v="900"/>
    <n v="90"/>
    <n v="153"/>
  </r>
  <r>
    <x v="289"/>
    <s v="ABRIL"/>
    <n v="17"/>
    <s v="SÁBADO"/>
    <x v="23"/>
    <s v="TRIPACK CC+IK+IK PFM 3LX3 - RFNN"/>
    <n v="1800"/>
    <n v="90"/>
    <n v="306"/>
  </r>
  <r>
    <x v="289"/>
    <s v="ABRIL"/>
    <n v="17"/>
    <s v="SÁBADO"/>
    <x v="12"/>
    <s v="POWERADE ION4 FRUTA PET473X6 MOD (STICK)"/>
    <n v="675"/>
    <n v="225"/>
    <n v="270"/>
  </r>
  <r>
    <x v="289"/>
    <s v="ABRIL"/>
    <n v="17"/>
    <s v="SÁBADO"/>
    <x v="42"/>
    <s v="FANTA NARANJA PET 500MLX6 BRANDEADO MOD"/>
    <n v="750"/>
    <n v="420"/>
    <n v="315"/>
  </r>
  <r>
    <x v="289"/>
    <s v="ABRIL"/>
    <n v="17"/>
    <s v="SÁBADO"/>
    <x v="43"/>
    <s v="SPRITE PET 500MLX6 BRANDEADO MOD"/>
    <n v="500"/>
    <n v="420"/>
    <n v="210"/>
  </r>
  <r>
    <x v="289"/>
    <s v="ABRIL"/>
    <n v="17"/>
    <s v="SÁBADO"/>
    <x v="1"/>
    <s v="COCA-COLA SIN AZUCAR PET 1.5LX2"/>
    <n v="1296"/>
    <n v="198"/>
    <n v="220.32000000000002"/>
  </r>
  <r>
    <x v="289"/>
    <s v="ABRIL"/>
    <n v="17"/>
    <s v="SÁBADO"/>
    <x v="22"/>
    <s v="TWO PACK SCHWEPPES CITRUS PET 1.5LX2"/>
    <n v="1188"/>
    <n v="198"/>
    <n v="201.96"/>
  </r>
  <r>
    <x v="289"/>
    <s v="ABRIL"/>
    <n v="17"/>
    <s v="SÁBADO"/>
    <x v="6"/>
    <s v="INCA KOLA PET 3LX2 - RF"/>
    <n v="2400"/>
    <n v="120"/>
    <n v="408.00000000000006"/>
  </r>
  <r>
    <x v="289"/>
    <s v="ABRIL"/>
    <n v="17"/>
    <s v="SÁBADO"/>
    <x v="17"/>
    <s v="TWO PACK CC PFM 3LX2 - RFCC"/>
    <n v="480"/>
    <n v="120"/>
    <n v="81.600000000000009"/>
  </r>
  <r>
    <x v="289"/>
    <s v="ABRIL"/>
    <n v="17"/>
    <s v="SÁBADO"/>
    <x v="68"/>
    <s v="COCA COLA VNR 300ML X 6 PUC"/>
    <n v="2000"/>
    <n v="250"/>
    <n v="840"/>
  </r>
  <r>
    <x v="290"/>
    <s v="ABRIL"/>
    <n v="17"/>
    <s v="DOMINGO"/>
    <x v="64"/>
    <s v="PACK-2 FT NAR+FT KI+FT PIÑA+SP RP 1.5LX8"/>
    <n v="960"/>
    <n v="30"/>
    <n v="201.6"/>
  </r>
  <r>
    <x v="290"/>
    <s v="ABRIL"/>
    <n v="17"/>
    <s v="DOMINGO"/>
    <x v="68"/>
    <s v="COCA COLA VNR 300ML X 6 PUC"/>
    <n v="500"/>
    <n v="250"/>
    <n v="210"/>
  </r>
  <r>
    <x v="290"/>
    <s v="ABRIL"/>
    <n v="17"/>
    <s v="DOMINGO"/>
    <x v="69"/>
    <s v="1FTP + 1FTN + 1CC + 1IK PACK x 3000ML PUC"/>
    <n v="300"/>
    <n v="60"/>
    <n v="206.99999999999997"/>
  </r>
  <r>
    <x v="290"/>
    <s v="ABRIL"/>
    <n v="17"/>
    <s v="DOMINGO"/>
    <x v="17"/>
    <s v="TWO PACK CC PFM 3LX2 - RFCC"/>
    <n v="2400"/>
    <n v="120"/>
    <n v="408.00000000000006"/>
  </r>
  <r>
    <x v="290"/>
    <s v="ABRIL"/>
    <n v="17"/>
    <s v="DOMINGO"/>
    <x v="10"/>
    <s v="TWO PACK CC + IK PFM 3LX2 - RFNN"/>
    <n v="1440"/>
    <n v="120"/>
    <n v="244.8"/>
  </r>
  <r>
    <x v="290"/>
    <s v="ABRIL"/>
    <n v="17"/>
    <s v="DOMINGO"/>
    <x v="26"/>
    <s v="TRIPACK CC+CC+IK PFM 3LX3 - RFNN"/>
    <n v="1890"/>
    <n v="90"/>
    <n v="321.3"/>
  </r>
  <r>
    <x v="290"/>
    <s v="ABRIL"/>
    <n v="17"/>
    <s v="DOMINGO"/>
    <x v="23"/>
    <s v="TRIPACK CC+IK+IK PFM 3LX3 - RFNN"/>
    <n v="3600"/>
    <n v="90"/>
    <n v="612"/>
  </r>
  <r>
    <x v="291"/>
    <s v="ABRIL"/>
    <n v="17"/>
    <s v="LUNES"/>
    <x v="0"/>
    <s v="SAN LUIS SIN GAS PET2500X6 STICKER"/>
    <n v="768"/>
    <n v="48"/>
    <n v="307.20000000000005"/>
  </r>
  <r>
    <x v="291"/>
    <s v="ABRIL"/>
    <n v="17"/>
    <s v="LUNES"/>
    <x v="1"/>
    <s v="COCA-COLA SIN AZUCAR PET 1.5LX2"/>
    <n v="2160"/>
    <n v="198"/>
    <n v="367.20000000000005"/>
  </r>
  <r>
    <x v="291"/>
    <s v="ABRIL"/>
    <n v="17"/>
    <s v="LUNES"/>
    <x v="2"/>
    <s v="INCA KOLA SIN AZUCAR PET 1.5LX2"/>
    <n v="594"/>
    <n v="198"/>
    <n v="100.98"/>
  </r>
  <r>
    <x v="291"/>
    <s v="ABRIL"/>
    <n v="17"/>
    <s v="LUNES"/>
    <x v="22"/>
    <s v="TWO PACK SCHWEPPES CITRUS PET 1.5LX2"/>
    <n v="594"/>
    <n v="198"/>
    <n v="100.98"/>
  </r>
  <r>
    <x v="291"/>
    <s v="ABRIL"/>
    <n v="17"/>
    <s v="LUNES"/>
    <x v="3"/>
    <s v="TWO PACK SCHWEPPES GINGER ALE PET 1.5LX2"/>
    <n v="1458"/>
    <n v="198"/>
    <n v="247.86"/>
  </r>
  <r>
    <x v="291"/>
    <s v="ABRIL"/>
    <n v="17"/>
    <s v="LUNES"/>
    <x v="4"/>
    <s v="COCA-COLA PET 2.25LX2 RF"/>
    <n v="486"/>
    <n v="162"/>
    <n v="82.62"/>
  </r>
  <r>
    <x v="291"/>
    <s v="ABRIL"/>
    <n v="17"/>
    <s v="LUNES"/>
    <x v="5"/>
    <s v="INCA KOLA PET 2.25LX2 RF"/>
    <n v="2160"/>
    <n v="162"/>
    <n v="367.20000000000005"/>
  </r>
  <r>
    <x v="291"/>
    <s v="ABRIL"/>
    <n v="17"/>
    <s v="LUNES"/>
    <x v="7"/>
    <s v="COCA-COLA PET 1.5LX2 RF"/>
    <n v="2400"/>
    <n v="198"/>
    <n v="408.00000000000006"/>
  </r>
  <r>
    <x v="291"/>
    <s v="ABRIL"/>
    <n v="17"/>
    <s v="LUNES"/>
    <x v="10"/>
    <s v="TWO PACK CC + IK PFM 3LX2 - RFNN"/>
    <n v="2500"/>
    <n v="120"/>
    <n v="425.00000000000006"/>
  </r>
  <r>
    <x v="291"/>
    <s v="ABRIL"/>
    <n v="17"/>
    <s v="LUNES"/>
    <x v="68"/>
    <s v="COCA COLA VNR 300ML X 6 PUC"/>
    <m/>
    <n v="25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  <r>
    <x v="292"/>
    <s v="ENERO"/>
    <n v="1"/>
    <s v="SÁBADO"/>
    <x v="80"/>
    <n v="0"/>
    <m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60"/>
    <x v="6"/>
    <x v="27"/>
    <s v="DOMINGO"/>
    <x v="6"/>
    <x v="6"/>
    <n v="1680"/>
    <n v="120"/>
    <n v="285.60000000000002"/>
    <x v="2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1"/>
    <x v="6"/>
    <x v="27"/>
    <s v="MARTES"/>
    <x v="28"/>
    <x v="28"/>
    <n v="150"/>
    <n v="30"/>
    <n v="34.5"/>
    <x v="0"/>
  </r>
  <r>
    <x v="161"/>
    <x v="6"/>
    <x v="27"/>
    <s v="MARTES"/>
    <x v="15"/>
    <x v="15"/>
    <n v="250"/>
    <n v="50"/>
    <n v="100"/>
    <x v="0"/>
  </r>
  <r>
    <x v="161"/>
    <x v="6"/>
    <x v="27"/>
    <s v="MARTES"/>
    <x v="36"/>
    <x v="36"/>
    <n v="450"/>
    <n v="90"/>
    <n v="180"/>
    <x v="0"/>
  </r>
  <r>
    <x v="161"/>
    <x v="6"/>
    <x v="27"/>
    <s v="MARTES"/>
    <x v="38"/>
    <x v="38"/>
    <n v="560"/>
    <n v="112"/>
    <n v="224"/>
    <x v="0"/>
  </r>
  <r>
    <x v="161"/>
    <x v="6"/>
    <x v="27"/>
    <s v="MARTES"/>
    <x v="0"/>
    <x v="0"/>
    <n v="480"/>
    <n v="48"/>
    <n v="192"/>
    <x v="0"/>
  </r>
  <r>
    <x v="161"/>
    <x v="6"/>
    <x v="27"/>
    <s v="MARTES"/>
    <x v="1"/>
    <x v="1"/>
    <n v="1512"/>
    <n v="198"/>
    <n v="257.04000000000002"/>
    <x v="0"/>
  </r>
  <r>
    <x v="161"/>
    <x v="6"/>
    <x v="27"/>
    <s v="MARTES"/>
    <x v="2"/>
    <x v="2"/>
    <n v="1944"/>
    <n v="198"/>
    <n v="330.48"/>
    <x v="0"/>
  </r>
  <r>
    <x v="161"/>
    <x v="6"/>
    <x v="27"/>
    <s v="MARTES"/>
    <x v="34"/>
    <x v="34"/>
    <n v="432"/>
    <n v="198"/>
    <n v="73.440000000000012"/>
    <x v="0"/>
  </r>
  <r>
    <x v="161"/>
    <x v="6"/>
    <x v="27"/>
    <s v="MARTES"/>
    <x v="29"/>
    <x v="29"/>
    <n v="432"/>
    <n v="198"/>
    <n v="73.440000000000012"/>
    <x v="0"/>
  </r>
  <r>
    <x v="161"/>
    <x v="6"/>
    <x v="27"/>
    <s v="MARTES"/>
    <x v="3"/>
    <x v="3"/>
    <n v="792"/>
    <n v="198"/>
    <n v="134.64000000000001"/>
    <x v="0"/>
  </r>
  <r>
    <x v="161"/>
    <x v="6"/>
    <x v="27"/>
    <s v="MARTES"/>
    <x v="4"/>
    <x v="4"/>
    <n v="648"/>
    <n v="162"/>
    <n v="110.16000000000001"/>
    <x v="0"/>
  </r>
  <r>
    <x v="161"/>
    <x v="6"/>
    <x v="27"/>
    <s v="MARTES"/>
    <x v="5"/>
    <x v="5"/>
    <n v="648"/>
    <n v="162"/>
    <n v="110.16000000000001"/>
    <x v="0"/>
  </r>
  <r>
    <x v="161"/>
    <x v="6"/>
    <x v="27"/>
    <s v="MARTES"/>
    <x v="6"/>
    <x v="6"/>
    <n v="3840"/>
    <n v="120"/>
    <n v="652.80000000000007"/>
    <x v="0"/>
  </r>
  <r>
    <x v="161"/>
    <x v="6"/>
    <x v="27"/>
    <s v="MARTES"/>
    <x v="17"/>
    <x v="17"/>
    <n v="1800"/>
    <n v="120"/>
    <n v="306"/>
    <x v="0"/>
  </r>
  <r>
    <x v="161"/>
    <x v="6"/>
    <x v="27"/>
    <s v="MARTES"/>
    <x v="7"/>
    <x v="7"/>
    <n v="864"/>
    <n v="198"/>
    <n v="146.88000000000002"/>
    <x v="0"/>
  </r>
  <r>
    <x v="161"/>
    <x v="6"/>
    <x v="27"/>
    <s v="MARTES"/>
    <x v="8"/>
    <x v="8"/>
    <n v="1296"/>
    <n v="198"/>
    <n v="220.32000000000002"/>
    <x v="0"/>
  </r>
  <r>
    <x v="161"/>
    <x v="6"/>
    <x v="27"/>
    <s v="MARTES"/>
    <x v="9"/>
    <x v="9"/>
    <n v="1800"/>
    <n v="90"/>
    <n v="306"/>
    <x v="0"/>
  </r>
  <r>
    <x v="161"/>
    <x v="6"/>
    <x v="27"/>
    <s v="MARTES"/>
    <x v="10"/>
    <x v="10"/>
    <n v="5520"/>
    <n v="120"/>
    <n v="938.40000000000009"/>
    <x v="0"/>
  </r>
  <r>
    <x v="161"/>
    <x v="6"/>
    <x v="27"/>
    <s v="MARTES"/>
    <x v="11"/>
    <x v="11"/>
    <n v="1440"/>
    <n v="90"/>
    <n v="244.8"/>
    <x v="0"/>
  </r>
  <r>
    <x v="161"/>
    <x v="6"/>
    <x v="27"/>
    <s v="MARTES"/>
    <x v="25"/>
    <x v="25"/>
    <n v="900"/>
    <n v="225"/>
    <n v="378"/>
    <x v="0"/>
  </r>
  <r>
    <x v="161"/>
    <x v="6"/>
    <x v="27"/>
    <s v="MARTES"/>
    <x v="12"/>
    <x v="12"/>
    <n v="450"/>
    <n v="225"/>
    <n v="180"/>
    <x v="0"/>
  </r>
  <r>
    <x v="161"/>
    <x v="6"/>
    <x v="27"/>
    <s v="MARTES"/>
    <x v="19"/>
    <x v="19"/>
    <n v="225"/>
    <n v="225"/>
    <n v="90"/>
    <x v="0"/>
  </r>
  <r>
    <x v="161"/>
    <x v="6"/>
    <x v="27"/>
    <s v="MARTES"/>
    <x v="35"/>
    <x v="35"/>
    <n v="1800"/>
    <n v="180"/>
    <n v="756"/>
    <x v="0"/>
  </r>
  <r>
    <x v="161"/>
    <x v="6"/>
    <x v="27"/>
    <s v="MARTES"/>
    <x v="42"/>
    <x v="42"/>
    <n v="500"/>
    <n v="420"/>
    <n v="210"/>
    <x v="0"/>
  </r>
  <r>
    <x v="161"/>
    <x v="6"/>
    <x v="27"/>
    <s v="MARTES"/>
    <x v="43"/>
    <x v="43"/>
    <n v="1000"/>
    <n v="420"/>
    <n v="420"/>
    <x v="0"/>
  </r>
  <r>
    <x v="161"/>
    <x v="6"/>
    <x v="27"/>
    <s v="MARTES"/>
    <x v="25"/>
    <x v="25"/>
    <n v="1350"/>
    <n v="225"/>
    <n v="567"/>
    <x v="0"/>
  </r>
  <r>
    <x v="161"/>
    <x v="6"/>
    <x v="27"/>
    <s v="MARTES"/>
    <x v="6"/>
    <x v="6"/>
    <n v="480"/>
    <n v="120"/>
    <n v="81.600000000000009"/>
    <x v="0"/>
  </r>
  <r>
    <x v="161"/>
    <x v="6"/>
    <x v="27"/>
    <s v="MARTES"/>
    <x v="10"/>
    <x v="10"/>
    <n v="480"/>
    <n v="120"/>
    <n v="81.600000000000009"/>
    <x v="0"/>
  </r>
  <r>
    <x v="161"/>
    <x v="6"/>
    <x v="27"/>
    <s v="MARTES"/>
    <x v="6"/>
    <x v="6"/>
    <n v="1080"/>
    <n v="120"/>
    <n v="183.60000000000002"/>
    <x v="0"/>
  </r>
  <r>
    <x v="161"/>
    <x v="6"/>
    <x v="27"/>
    <s v="MARTES"/>
    <x v="17"/>
    <x v="17"/>
    <n v="4320"/>
    <n v="120"/>
    <n v="734.40000000000009"/>
    <x v="0"/>
  </r>
  <r>
    <x v="161"/>
    <x v="6"/>
    <x v="27"/>
    <s v="MARTES"/>
    <x v="9"/>
    <x v="9"/>
    <n v="1260"/>
    <n v="90"/>
    <n v="214.20000000000002"/>
    <x v="0"/>
  </r>
  <r>
    <x v="161"/>
    <x v="6"/>
    <x v="27"/>
    <s v="MARTES"/>
    <x v="11"/>
    <x v="11"/>
    <n v="1080"/>
    <n v="90"/>
    <n v="183.60000000000002"/>
    <x v="0"/>
  </r>
  <r>
    <x v="161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1"/>
    <x v="6"/>
    <x v="27"/>
    <s v="MARTES"/>
    <x v="9"/>
    <x v="9"/>
    <n v="1080"/>
    <n v="90"/>
    <n v="183.60000000000002"/>
    <x v="0"/>
  </r>
  <r>
    <x v="161"/>
    <x v="6"/>
    <x v="27"/>
    <s v="MARTES"/>
    <x v="42"/>
    <x v="42"/>
    <n v="500"/>
    <n v="420"/>
    <n v="210"/>
    <x v="0"/>
  </r>
  <r>
    <x v="161"/>
    <x v="6"/>
    <x v="27"/>
    <s v="MARTES"/>
    <x v="43"/>
    <x v="43"/>
    <n v="750"/>
    <n v="420"/>
    <n v="315"/>
    <x v="0"/>
  </r>
  <r>
    <x v="161"/>
    <x v="6"/>
    <x v="27"/>
    <s v="MARTES"/>
    <x v="9"/>
    <x v="9"/>
    <n v="360"/>
    <n v="90"/>
    <n v="61.2"/>
    <x v="0"/>
  </r>
  <r>
    <x v="161"/>
    <x v="6"/>
    <x v="27"/>
    <s v="MARTES"/>
    <x v="11"/>
    <x v="11"/>
    <n v="360"/>
    <n v="90"/>
    <n v="61.2"/>
    <x v="0"/>
  </r>
  <r>
    <x v="162"/>
    <x v="7"/>
    <x v="27"/>
    <s v="MIÉRCOLES"/>
    <x v="9"/>
    <x v="9"/>
    <n v="720"/>
    <n v="90"/>
    <n v="122.4"/>
    <x v="0"/>
  </r>
  <r>
    <x v="162"/>
    <x v="7"/>
    <x v="27"/>
    <s v="MIÉRCOLES"/>
    <x v="15"/>
    <x v="15"/>
    <n v="300"/>
    <n v="50"/>
    <n v="120"/>
    <x v="0"/>
  </r>
  <r>
    <x v="162"/>
    <x v="7"/>
    <x v="27"/>
    <s v="MIÉRCOLES"/>
    <x v="17"/>
    <x v="17"/>
    <n v="480"/>
    <n v="120"/>
    <n v="81.600000000000009"/>
    <x v="0"/>
  </r>
  <r>
    <x v="162"/>
    <x v="7"/>
    <x v="27"/>
    <s v="MIÉRCOLES"/>
    <x v="10"/>
    <x v="10"/>
    <n v="240"/>
    <n v="120"/>
    <n v="40.800000000000004"/>
    <x v="0"/>
  </r>
  <r>
    <x v="162"/>
    <x v="7"/>
    <x v="27"/>
    <s v="MIÉRCOLES"/>
    <x v="9"/>
    <x v="9"/>
    <n v="360"/>
    <n v="90"/>
    <n v="61.2"/>
    <x v="0"/>
  </r>
  <r>
    <x v="162"/>
    <x v="7"/>
    <x v="27"/>
    <s v="MIÉRCOLES"/>
    <x v="11"/>
    <x v="11"/>
    <n v="1440"/>
    <n v="90"/>
    <n v="244.8"/>
    <x v="0"/>
  </r>
  <r>
    <x v="162"/>
    <x v="7"/>
    <x v="27"/>
    <s v="MIÉRCOLES"/>
    <x v="6"/>
    <x v="6"/>
    <n v="2880"/>
    <n v="120"/>
    <n v="489.6"/>
    <x v="0"/>
  </r>
  <r>
    <x v="162"/>
    <x v="7"/>
    <x v="27"/>
    <s v="MIÉRCOLES"/>
    <x v="0"/>
    <x v="0"/>
    <n v="960"/>
    <n v="48"/>
    <n v="384"/>
    <x v="0"/>
  </r>
  <r>
    <x v="162"/>
    <x v="7"/>
    <x v="27"/>
    <s v="MIÉRCOLES"/>
    <x v="13"/>
    <x v="13"/>
    <n v="150"/>
    <n v="30"/>
    <n v="60"/>
    <x v="0"/>
  </r>
  <r>
    <x v="162"/>
    <x v="7"/>
    <x v="27"/>
    <s v="MIÉRCOLES"/>
    <x v="28"/>
    <x v="28"/>
    <n v="30"/>
    <n v="30"/>
    <n v="6.9"/>
    <x v="0"/>
  </r>
  <r>
    <x v="162"/>
    <x v="7"/>
    <x v="27"/>
    <s v="MIÉRCOLES"/>
    <x v="38"/>
    <x v="38"/>
    <n v="448"/>
    <n v="112"/>
    <n v="179.20000000000002"/>
    <x v="0"/>
  </r>
  <r>
    <x v="162"/>
    <x v="7"/>
    <x v="27"/>
    <s v="MIÉRCOLES"/>
    <x v="1"/>
    <x v="1"/>
    <n v="1728"/>
    <n v="198"/>
    <n v="293.76000000000005"/>
    <x v="0"/>
  </r>
  <r>
    <x v="162"/>
    <x v="7"/>
    <x v="27"/>
    <s v="MIÉRCOLES"/>
    <x v="2"/>
    <x v="2"/>
    <n v="1080"/>
    <n v="198"/>
    <n v="183.60000000000002"/>
    <x v="0"/>
  </r>
  <r>
    <x v="162"/>
    <x v="7"/>
    <x v="27"/>
    <s v="MIÉRCOLES"/>
    <x v="6"/>
    <x v="6"/>
    <n v="2400"/>
    <n v="120"/>
    <n v="408.00000000000006"/>
    <x v="0"/>
  </r>
  <r>
    <x v="162"/>
    <x v="7"/>
    <x v="27"/>
    <s v="MIÉRCOLES"/>
    <x v="22"/>
    <x v="22"/>
    <n v="792"/>
    <n v="198"/>
    <n v="134.64000000000001"/>
    <x v="0"/>
  </r>
  <r>
    <x v="162"/>
    <x v="7"/>
    <x v="27"/>
    <s v="MIÉRCOLES"/>
    <x v="3"/>
    <x v="3"/>
    <n v="990"/>
    <n v="198"/>
    <n v="168.3"/>
    <x v="0"/>
  </r>
  <r>
    <x v="162"/>
    <x v="7"/>
    <x v="27"/>
    <s v="MIÉRCOLES"/>
    <x v="8"/>
    <x v="8"/>
    <n v="1080"/>
    <n v="198"/>
    <n v="183.60000000000002"/>
    <x v="0"/>
  </r>
  <r>
    <x v="162"/>
    <x v="7"/>
    <x v="27"/>
    <s v="MIÉRCOLES"/>
    <x v="17"/>
    <x v="17"/>
    <n v="2040"/>
    <n v="120"/>
    <n v="346.8"/>
    <x v="0"/>
  </r>
  <r>
    <x v="162"/>
    <x v="7"/>
    <x v="27"/>
    <s v="MIÉRCOLES"/>
    <x v="10"/>
    <x v="10"/>
    <n v="6960"/>
    <n v="120"/>
    <n v="1183.2"/>
    <x v="0"/>
  </r>
  <r>
    <x v="162"/>
    <x v="7"/>
    <x v="27"/>
    <s v="MIÉRCOLES"/>
    <x v="11"/>
    <x v="11"/>
    <n v="2880"/>
    <n v="90"/>
    <n v="489.6"/>
    <x v="0"/>
  </r>
  <r>
    <x v="162"/>
    <x v="7"/>
    <x v="27"/>
    <s v="MIÉRCOLES"/>
    <x v="9"/>
    <x v="9"/>
    <n v="720"/>
    <n v="90"/>
    <n v="122.4"/>
    <x v="0"/>
  </r>
  <r>
    <x v="162"/>
    <x v="7"/>
    <x v="27"/>
    <s v="MIÉRCOLES"/>
    <x v="20"/>
    <x v="20"/>
    <n v="720"/>
    <n v="90"/>
    <n v="122.4"/>
    <x v="0"/>
  </r>
  <r>
    <x v="162"/>
    <x v="7"/>
    <x v="27"/>
    <s v="MIÉRCOLES"/>
    <x v="16"/>
    <x v="16"/>
    <n v="900"/>
    <n v="180"/>
    <n v="378"/>
    <x v="0"/>
  </r>
  <r>
    <x v="162"/>
    <x v="7"/>
    <x v="27"/>
    <s v="MIÉRCOLES"/>
    <x v="36"/>
    <x v="36"/>
    <n v="450"/>
    <n v="90"/>
    <n v="180"/>
    <x v="0"/>
  </r>
  <r>
    <x v="162"/>
    <x v="7"/>
    <x v="27"/>
    <s v="MIÉRCOLES"/>
    <x v="42"/>
    <x v="42"/>
    <n v="500"/>
    <n v="420"/>
    <n v="210"/>
    <x v="0"/>
  </r>
  <r>
    <x v="162"/>
    <x v="7"/>
    <x v="27"/>
    <s v="MIÉRCOLES"/>
    <x v="43"/>
    <x v="43"/>
    <n v="500"/>
    <n v="420"/>
    <n v="210"/>
    <x v="0"/>
  </r>
  <r>
    <x v="162"/>
    <x v="7"/>
    <x v="27"/>
    <s v="MIÉRCOLES"/>
    <x v="17"/>
    <x v="17"/>
    <n v="6120"/>
    <n v="120"/>
    <n v="1040.4000000000001"/>
    <x v="0"/>
  </r>
  <r>
    <x v="162"/>
    <x v="7"/>
    <x v="27"/>
    <s v="MIÉRCOLES"/>
    <x v="10"/>
    <x v="10"/>
    <n v="1440"/>
    <n v="120"/>
    <n v="244.8"/>
    <x v="0"/>
  </r>
  <r>
    <x v="162"/>
    <x v="7"/>
    <x v="27"/>
    <s v="MIÉRCOLES"/>
    <x v="9"/>
    <x v="9"/>
    <n v="1260"/>
    <n v="90"/>
    <n v="214.20000000000002"/>
    <x v="0"/>
  </r>
  <r>
    <x v="162"/>
    <x v="7"/>
    <x v="27"/>
    <s v="MIÉRCOLES"/>
    <x v="23"/>
    <x v="23"/>
    <n v="1440"/>
    <n v="90"/>
    <n v="244.8"/>
    <x v="0"/>
  </r>
  <r>
    <x v="162"/>
    <x v="7"/>
    <x v="27"/>
    <s v="MIÉRCOLES"/>
    <x v="6"/>
    <x v="6"/>
    <n v="2160"/>
    <n v="120"/>
    <n v="367.20000000000005"/>
    <x v="0"/>
  </r>
  <r>
    <x v="162"/>
    <x v="7"/>
    <x v="27"/>
    <s v="MIÉRCOLES"/>
    <x v="26"/>
    <x v="26"/>
    <n v="450"/>
    <n v="90"/>
    <n v="76.5"/>
    <x v="0"/>
  </r>
  <r>
    <x v="162"/>
    <x v="7"/>
    <x v="27"/>
    <s v="MIÉRCOLES"/>
    <x v="6"/>
    <x v="6"/>
    <n v="2400"/>
    <n v="120"/>
    <n v="408.00000000000006"/>
    <x v="0"/>
  </r>
  <r>
    <x v="162"/>
    <x v="7"/>
    <x v="27"/>
    <s v="MIÉRCOLES"/>
    <x v="10"/>
    <x v="10"/>
    <n v="4560"/>
    <n v="120"/>
    <n v="775.2"/>
    <x v="0"/>
  </r>
  <r>
    <x v="162"/>
    <x v="7"/>
    <x v="27"/>
    <s v="MIÉRCOLES"/>
    <x v="17"/>
    <x v="17"/>
    <n v="480"/>
    <n v="120"/>
    <n v="81.600000000000009"/>
    <x v="0"/>
  </r>
  <r>
    <x v="163"/>
    <x v="7"/>
    <x v="27"/>
    <s v="JUEVES"/>
    <x v="25"/>
    <x v="25"/>
    <n v="1350"/>
    <n v="225"/>
    <n v="567"/>
    <x v="0"/>
  </r>
  <r>
    <x v="163"/>
    <x v="7"/>
    <x v="27"/>
    <s v="JUEVES"/>
    <x v="12"/>
    <x v="12"/>
    <n v="900"/>
    <n v="225"/>
    <n v="360"/>
    <x v="0"/>
  </r>
  <r>
    <x v="163"/>
    <x v="7"/>
    <x v="27"/>
    <s v="JUEVES"/>
    <x v="43"/>
    <x v="43"/>
    <n v="500"/>
    <n v="420"/>
    <n v="210"/>
    <x v="0"/>
  </r>
  <r>
    <x v="163"/>
    <x v="7"/>
    <x v="27"/>
    <s v="JUEVES"/>
    <x v="13"/>
    <x v="13"/>
    <n v="150"/>
    <n v="30"/>
    <n v="60"/>
    <x v="0"/>
  </r>
  <r>
    <x v="163"/>
    <x v="7"/>
    <x v="27"/>
    <s v="JUEVES"/>
    <x v="9"/>
    <x v="9"/>
    <n v="180"/>
    <n v="90"/>
    <n v="30.6"/>
    <x v="0"/>
  </r>
  <r>
    <x v="163"/>
    <x v="7"/>
    <x v="27"/>
    <s v="JUEVES"/>
    <x v="1"/>
    <x v="1"/>
    <n v="2160"/>
    <n v="198"/>
    <n v="367.20000000000005"/>
    <x v="0"/>
  </r>
  <r>
    <x v="163"/>
    <x v="7"/>
    <x v="27"/>
    <s v="JUEVES"/>
    <x v="2"/>
    <x v="2"/>
    <n v="2160"/>
    <n v="198"/>
    <n v="367.20000000000005"/>
    <x v="0"/>
  </r>
  <r>
    <x v="163"/>
    <x v="7"/>
    <x v="27"/>
    <s v="JUEVES"/>
    <x v="6"/>
    <x v="6"/>
    <n v="1200"/>
    <n v="120"/>
    <n v="204.00000000000003"/>
    <x v="0"/>
  </r>
  <r>
    <x v="163"/>
    <x v="7"/>
    <x v="27"/>
    <s v="JUEVES"/>
    <x v="5"/>
    <x v="5"/>
    <n v="972"/>
    <n v="162"/>
    <n v="165.24"/>
    <x v="0"/>
  </r>
  <r>
    <x v="163"/>
    <x v="7"/>
    <x v="27"/>
    <s v="JUEVES"/>
    <x v="22"/>
    <x v="22"/>
    <n v="1188"/>
    <n v="198"/>
    <n v="201.96"/>
    <x v="0"/>
  </r>
  <r>
    <x v="163"/>
    <x v="7"/>
    <x v="27"/>
    <s v="JUEVES"/>
    <x v="3"/>
    <x v="3"/>
    <n v="792"/>
    <n v="198"/>
    <n v="134.64000000000001"/>
    <x v="0"/>
  </r>
  <r>
    <x v="163"/>
    <x v="7"/>
    <x v="27"/>
    <s v="JUEVES"/>
    <x v="8"/>
    <x v="8"/>
    <n v="1512"/>
    <n v="198"/>
    <n v="257.04000000000002"/>
    <x v="0"/>
  </r>
  <r>
    <x v="163"/>
    <x v="7"/>
    <x v="27"/>
    <s v="JUEVES"/>
    <x v="4"/>
    <x v="4"/>
    <n v="1296"/>
    <n v="162"/>
    <n v="220.32000000000002"/>
    <x v="0"/>
  </r>
  <r>
    <x v="163"/>
    <x v="7"/>
    <x v="27"/>
    <s v="JUEVES"/>
    <x v="17"/>
    <x v="17"/>
    <n v="1200"/>
    <n v="120"/>
    <n v="204.00000000000003"/>
    <x v="0"/>
  </r>
  <r>
    <x v="163"/>
    <x v="7"/>
    <x v="27"/>
    <s v="JUEVES"/>
    <x v="10"/>
    <x v="10"/>
    <n v="7320"/>
    <n v="120"/>
    <n v="1244.4000000000001"/>
    <x v="0"/>
  </r>
  <r>
    <x v="163"/>
    <x v="7"/>
    <x v="27"/>
    <s v="JUEVES"/>
    <x v="20"/>
    <x v="20"/>
    <n v="360"/>
    <n v="90"/>
    <n v="61.2"/>
    <x v="0"/>
  </r>
  <r>
    <x v="163"/>
    <x v="7"/>
    <x v="27"/>
    <s v="JUEVES"/>
    <x v="0"/>
    <x v="0"/>
    <n v="960"/>
    <n v="48"/>
    <n v="384"/>
    <x v="0"/>
  </r>
  <r>
    <x v="163"/>
    <x v="7"/>
    <x v="27"/>
    <s v="JUEVES"/>
    <x v="9"/>
    <x v="9"/>
    <n v="900"/>
    <n v="90"/>
    <n v="153"/>
    <x v="0"/>
  </r>
  <r>
    <x v="163"/>
    <x v="7"/>
    <x v="27"/>
    <s v="JUEVES"/>
    <x v="36"/>
    <x v="36"/>
    <n v="450"/>
    <n v="90"/>
    <n v="180"/>
    <x v="0"/>
  </r>
  <r>
    <x v="163"/>
    <x v="7"/>
    <x v="27"/>
    <s v="JUEVES"/>
    <x v="9"/>
    <x v="9"/>
    <n v="2160"/>
    <n v="90"/>
    <n v="367.20000000000005"/>
    <x v="0"/>
  </r>
  <r>
    <x v="163"/>
    <x v="7"/>
    <x v="27"/>
    <s v="JUEVES"/>
    <x v="11"/>
    <x v="11"/>
    <n v="720"/>
    <n v="90"/>
    <n v="122.4"/>
    <x v="0"/>
  </r>
  <r>
    <x v="163"/>
    <x v="7"/>
    <x v="27"/>
    <s v="JUEVES"/>
    <x v="6"/>
    <x v="6"/>
    <n v="3360"/>
    <n v="120"/>
    <n v="571.20000000000005"/>
    <x v="0"/>
  </r>
  <r>
    <x v="163"/>
    <x v="7"/>
    <x v="27"/>
    <s v="JUEVES"/>
    <x v="17"/>
    <x v="17"/>
    <n v="3840"/>
    <n v="120"/>
    <n v="652.80000000000007"/>
    <x v="0"/>
  </r>
  <r>
    <x v="163"/>
    <x v="7"/>
    <x v="27"/>
    <s v="JUEVES"/>
    <x v="10"/>
    <x v="10"/>
    <n v="4200"/>
    <n v="120"/>
    <n v="714"/>
    <x v="0"/>
  </r>
  <r>
    <x v="164"/>
    <x v="7"/>
    <x v="27"/>
    <s v="VIERNES"/>
    <x v="25"/>
    <x v="25"/>
    <n v="900"/>
    <n v="225"/>
    <n v="378"/>
    <x v="0"/>
  </r>
  <r>
    <x v="164"/>
    <x v="7"/>
    <x v="27"/>
    <s v="VIERNES"/>
    <x v="1"/>
    <x v="1"/>
    <n v="1080"/>
    <n v="198"/>
    <n v="183.60000000000002"/>
    <x v="0"/>
  </r>
  <r>
    <x v="164"/>
    <x v="7"/>
    <x v="27"/>
    <s v="VIERNES"/>
    <x v="2"/>
    <x v="2"/>
    <n v="1080"/>
    <n v="198"/>
    <n v="183.60000000000002"/>
    <x v="0"/>
  </r>
  <r>
    <x v="164"/>
    <x v="7"/>
    <x v="27"/>
    <s v="VIERNES"/>
    <x v="6"/>
    <x v="6"/>
    <n v="2400"/>
    <n v="120"/>
    <n v="408.00000000000006"/>
    <x v="0"/>
  </r>
  <r>
    <x v="164"/>
    <x v="7"/>
    <x v="27"/>
    <s v="VIERNES"/>
    <x v="17"/>
    <x v="17"/>
    <n v="1800"/>
    <n v="120"/>
    <n v="306"/>
    <x v="0"/>
  </r>
  <r>
    <x v="164"/>
    <x v="7"/>
    <x v="27"/>
    <s v="VIERNES"/>
    <x v="7"/>
    <x v="7"/>
    <n v="4320"/>
    <n v="198"/>
    <n v="734.40000000000009"/>
    <x v="0"/>
  </r>
  <r>
    <x v="164"/>
    <x v="7"/>
    <x v="27"/>
    <s v="VIERNES"/>
    <x v="9"/>
    <x v="9"/>
    <n v="1440"/>
    <n v="90"/>
    <n v="244.8"/>
    <x v="0"/>
  </r>
  <r>
    <x v="164"/>
    <x v="7"/>
    <x v="27"/>
    <s v="VIERNES"/>
    <x v="10"/>
    <x v="10"/>
    <n v="4320"/>
    <n v="120"/>
    <n v="734.40000000000009"/>
    <x v="0"/>
  </r>
  <r>
    <x v="164"/>
    <x v="7"/>
    <x v="27"/>
    <s v="VIERNES"/>
    <x v="11"/>
    <x v="11"/>
    <n v="3600"/>
    <n v="90"/>
    <n v="612"/>
    <x v="0"/>
  </r>
  <r>
    <x v="164"/>
    <x v="7"/>
    <x v="27"/>
    <s v="VIERNES"/>
    <x v="23"/>
    <x v="23"/>
    <n v="1440"/>
    <n v="90"/>
    <n v="244.8"/>
    <x v="0"/>
  </r>
  <r>
    <x v="164"/>
    <x v="7"/>
    <x v="27"/>
    <s v="VIERNES"/>
    <x v="25"/>
    <x v="25"/>
    <n v="450"/>
    <n v="225"/>
    <n v="189"/>
    <x v="0"/>
  </r>
  <r>
    <x v="164"/>
    <x v="7"/>
    <x v="27"/>
    <s v="VIERNES"/>
    <x v="19"/>
    <x v="19"/>
    <n v="675"/>
    <n v="225"/>
    <n v="270"/>
    <x v="0"/>
  </r>
  <r>
    <x v="164"/>
    <x v="7"/>
    <x v="27"/>
    <s v="VIERNES"/>
    <x v="35"/>
    <x v="35"/>
    <n v="900"/>
    <n v="180"/>
    <n v="378"/>
    <x v="0"/>
  </r>
  <r>
    <x v="164"/>
    <x v="7"/>
    <x v="27"/>
    <s v="VIERNES"/>
    <x v="42"/>
    <x v="42"/>
    <n v="1000"/>
    <n v="420"/>
    <n v="420"/>
    <x v="0"/>
  </r>
  <r>
    <x v="164"/>
    <x v="7"/>
    <x v="27"/>
    <s v="VIERNES"/>
    <x v="43"/>
    <x v="43"/>
    <n v="500"/>
    <n v="420"/>
    <n v="210"/>
    <x v="0"/>
  </r>
  <r>
    <x v="164"/>
    <x v="7"/>
    <x v="27"/>
    <s v="VIERNES"/>
    <x v="14"/>
    <x v="14"/>
    <n v="120"/>
    <n v="40"/>
    <n v="27.6"/>
    <x v="0"/>
  </r>
  <r>
    <x v="164"/>
    <x v="7"/>
    <x v="27"/>
    <s v="VIERNES"/>
    <x v="15"/>
    <x v="15"/>
    <n v="400"/>
    <n v="50"/>
    <n v="160"/>
    <x v="0"/>
  </r>
  <r>
    <x v="164"/>
    <x v="7"/>
    <x v="27"/>
    <s v="VIERNES"/>
    <x v="36"/>
    <x v="36"/>
    <n v="360"/>
    <n v="90"/>
    <n v="144"/>
    <x v="0"/>
  </r>
  <r>
    <x v="164"/>
    <x v="7"/>
    <x v="27"/>
    <s v="VIERNES"/>
    <x v="38"/>
    <x v="38"/>
    <n v="1008"/>
    <n v="112"/>
    <n v="403.20000000000005"/>
    <x v="0"/>
  </r>
  <r>
    <x v="164"/>
    <x v="7"/>
    <x v="27"/>
    <s v="VIERNES"/>
    <x v="7"/>
    <x v="7"/>
    <n v="2160"/>
    <n v="198"/>
    <n v="367.20000000000005"/>
    <x v="0"/>
  </r>
  <r>
    <x v="164"/>
    <x v="7"/>
    <x v="27"/>
    <s v="VIERNES"/>
    <x v="8"/>
    <x v="8"/>
    <n v="2160"/>
    <n v="198"/>
    <n v="367.20000000000005"/>
    <x v="0"/>
  </r>
  <r>
    <x v="164"/>
    <x v="7"/>
    <x v="27"/>
    <s v="VIERNES"/>
    <x v="22"/>
    <x v="22"/>
    <n v="1980"/>
    <n v="198"/>
    <n v="336.6"/>
    <x v="0"/>
  </r>
  <r>
    <x v="164"/>
    <x v="7"/>
    <x v="27"/>
    <s v="VIERNES"/>
    <x v="6"/>
    <x v="6"/>
    <n v="2880"/>
    <n v="120"/>
    <n v="489.6"/>
    <x v="0"/>
  </r>
  <r>
    <x v="164"/>
    <x v="7"/>
    <x v="27"/>
    <s v="VIERNES"/>
    <x v="10"/>
    <x v="10"/>
    <n v="4320"/>
    <n v="120"/>
    <n v="734.40000000000009"/>
    <x v="0"/>
  </r>
  <r>
    <x v="164"/>
    <x v="7"/>
    <x v="27"/>
    <s v="VIERNES"/>
    <x v="9"/>
    <x v="9"/>
    <n v="720"/>
    <n v="90"/>
    <n v="122.4"/>
    <x v="0"/>
  </r>
  <r>
    <x v="165"/>
    <x v="7"/>
    <x v="29"/>
    <s v="SÁBADO"/>
    <x v="28"/>
    <x v="28"/>
    <n v="90"/>
    <n v="30"/>
    <n v="20.7"/>
    <x v="0"/>
  </r>
  <r>
    <x v="165"/>
    <x v="7"/>
    <x v="29"/>
    <s v="SÁBADO"/>
    <x v="0"/>
    <x v="0"/>
    <n v="1440"/>
    <n v="48"/>
    <n v="576"/>
    <x v="0"/>
  </r>
  <r>
    <x v="165"/>
    <x v="7"/>
    <x v="29"/>
    <s v="SÁBADO"/>
    <x v="16"/>
    <x v="16"/>
    <n v="1080"/>
    <n v="180"/>
    <n v="453.59999999999997"/>
    <x v="0"/>
  </r>
  <r>
    <x v="165"/>
    <x v="7"/>
    <x v="29"/>
    <s v="SÁBADO"/>
    <x v="34"/>
    <x v="34"/>
    <n v="216"/>
    <n v="198"/>
    <n v="36.720000000000006"/>
    <x v="0"/>
  </r>
  <r>
    <x v="165"/>
    <x v="7"/>
    <x v="29"/>
    <s v="SÁBADO"/>
    <x v="29"/>
    <x v="29"/>
    <n v="216"/>
    <n v="198"/>
    <n v="36.720000000000006"/>
    <x v="0"/>
  </r>
  <r>
    <x v="165"/>
    <x v="7"/>
    <x v="29"/>
    <s v="SÁBADO"/>
    <x v="6"/>
    <x v="6"/>
    <n v="3360"/>
    <n v="120"/>
    <n v="571.20000000000005"/>
    <x v="0"/>
  </r>
  <r>
    <x v="165"/>
    <x v="7"/>
    <x v="29"/>
    <s v="SÁBADO"/>
    <x v="10"/>
    <x v="10"/>
    <n v="6480"/>
    <n v="120"/>
    <n v="1101.6000000000001"/>
    <x v="0"/>
  </r>
  <r>
    <x v="165"/>
    <x v="7"/>
    <x v="29"/>
    <s v="SÁBADO"/>
    <x v="25"/>
    <x v="25"/>
    <n v="1800"/>
    <n v="225"/>
    <n v="756"/>
    <x v="0"/>
  </r>
  <r>
    <x v="165"/>
    <x v="7"/>
    <x v="29"/>
    <s v="SÁBADO"/>
    <x v="35"/>
    <x v="35"/>
    <n v="540"/>
    <n v="180"/>
    <n v="226.79999999999998"/>
    <x v="0"/>
  </r>
  <r>
    <x v="165"/>
    <x v="7"/>
    <x v="29"/>
    <s v="SÁBADO"/>
    <x v="10"/>
    <x v="10"/>
    <n v="1440"/>
    <n v="120"/>
    <n v="244.8"/>
    <x v="0"/>
  </r>
  <r>
    <x v="165"/>
    <x v="7"/>
    <x v="29"/>
    <s v="SÁBADO"/>
    <x v="17"/>
    <x v="17"/>
    <n v="480"/>
    <n v="120"/>
    <n v="81.600000000000009"/>
    <x v="0"/>
  </r>
  <r>
    <x v="165"/>
    <x v="7"/>
    <x v="29"/>
    <s v="SÁBADO"/>
    <x v="1"/>
    <x v="1"/>
    <n v="5400"/>
    <n v="198"/>
    <n v="918.00000000000011"/>
    <x v="0"/>
  </r>
  <r>
    <x v="165"/>
    <x v="7"/>
    <x v="29"/>
    <s v="SÁBADO"/>
    <x v="7"/>
    <x v="7"/>
    <n v="4320"/>
    <n v="198"/>
    <n v="734.40000000000009"/>
    <x v="0"/>
  </r>
  <r>
    <x v="166"/>
    <x v="7"/>
    <x v="29"/>
    <s v="LUNES"/>
    <x v="40"/>
    <x v="40"/>
    <n v="560"/>
    <n v="240"/>
    <n v="224"/>
    <x v="0"/>
  </r>
  <r>
    <x v="166"/>
    <x v="7"/>
    <x v="29"/>
    <s v="LUNES"/>
    <x v="38"/>
    <x v="38"/>
    <n v="224"/>
    <n v="112"/>
    <n v="89.600000000000009"/>
    <x v="0"/>
  </r>
  <r>
    <x v="166"/>
    <x v="7"/>
    <x v="29"/>
    <s v="LUNES"/>
    <x v="0"/>
    <x v="0"/>
    <n v="1440"/>
    <n v="48"/>
    <n v="576"/>
    <x v="0"/>
  </r>
  <r>
    <x v="166"/>
    <x v="7"/>
    <x v="29"/>
    <s v="LUNES"/>
    <x v="1"/>
    <x v="1"/>
    <n v="2160"/>
    <n v="198"/>
    <n v="367.20000000000005"/>
    <x v="0"/>
  </r>
  <r>
    <x v="166"/>
    <x v="7"/>
    <x v="29"/>
    <s v="LUNES"/>
    <x v="2"/>
    <x v="2"/>
    <n v="1080"/>
    <n v="198"/>
    <n v="183.60000000000002"/>
    <x v="0"/>
  </r>
  <r>
    <x v="166"/>
    <x v="7"/>
    <x v="29"/>
    <s v="LUNES"/>
    <x v="6"/>
    <x v="6"/>
    <n v="2400"/>
    <n v="120"/>
    <n v="408.00000000000006"/>
    <x v="0"/>
  </r>
  <r>
    <x v="166"/>
    <x v="7"/>
    <x v="29"/>
    <s v="LUNES"/>
    <x v="17"/>
    <x v="17"/>
    <n v="1800"/>
    <n v="120"/>
    <n v="306"/>
    <x v="0"/>
  </r>
  <r>
    <x v="166"/>
    <x v="7"/>
    <x v="29"/>
    <s v="LUNES"/>
    <x v="7"/>
    <x v="7"/>
    <n v="2160"/>
    <n v="198"/>
    <n v="367.20000000000005"/>
    <x v="0"/>
  </r>
  <r>
    <x v="166"/>
    <x v="7"/>
    <x v="29"/>
    <s v="LUNES"/>
    <x v="9"/>
    <x v="9"/>
    <n v="720"/>
    <n v="90"/>
    <n v="122.4"/>
    <x v="0"/>
  </r>
  <r>
    <x v="166"/>
    <x v="7"/>
    <x v="29"/>
    <s v="LUNES"/>
    <x v="10"/>
    <x v="10"/>
    <n v="2400"/>
    <n v="120"/>
    <n v="408.00000000000006"/>
    <x v="0"/>
  </r>
  <r>
    <x v="166"/>
    <x v="7"/>
    <x v="29"/>
    <s v="LUNES"/>
    <x v="23"/>
    <x v="23"/>
    <n v="720"/>
    <n v="90"/>
    <n v="122.4"/>
    <x v="0"/>
  </r>
  <r>
    <x v="166"/>
    <x v="7"/>
    <x v="29"/>
    <s v="LUNES"/>
    <x v="11"/>
    <x v="11"/>
    <n v="2160"/>
    <n v="90"/>
    <n v="367.20000000000005"/>
    <x v="0"/>
  </r>
  <r>
    <x v="166"/>
    <x v="7"/>
    <x v="29"/>
    <s v="LUNES"/>
    <x v="38"/>
    <x v="38"/>
    <n v="336"/>
    <n v="112"/>
    <n v="134.4"/>
    <x v="0"/>
  </r>
  <r>
    <x v="166"/>
    <x v="7"/>
    <x v="29"/>
    <s v="LUNES"/>
    <x v="43"/>
    <x v="43"/>
    <n v="750"/>
    <n v="420"/>
    <n v="315"/>
    <x v="0"/>
  </r>
  <r>
    <x v="166"/>
    <x v="7"/>
    <x v="29"/>
    <s v="LUNES"/>
    <x v="11"/>
    <x v="11"/>
    <n v="1440"/>
    <n v="90"/>
    <n v="244.8"/>
    <x v="0"/>
  </r>
  <r>
    <x v="166"/>
    <x v="7"/>
    <x v="29"/>
    <s v="LUNES"/>
    <x v="10"/>
    <x v="10"/>
    <n v="6480"/>
    <n v="120"/>
    <n v="1101.6000000000001"/>
    <x v="0"/>
  </r>
  <r>
    <x v="166"/>
    <x v="7"/>
    <x v="29"/>
    <s v="LUNES"/>
    <x v="11"/>
    <x v="11"/>
    <n v="2160"/>
    <n v="90"/>
    <n v="367.20000000000005"/>
    <x v="0"/>
  </r>
  <r>
    <x v="166"/>
    <x v="7"/>
    <x v="29"/>
    <s v="LUNES"/>
    <x v="23"/>
    <x v="23"/>
    <n v="2700"/>
    <n v="90"/>
    <n v="459.00000000000006"/>
    <x v="0"/>
  </r>
  <r>
    <x v="167"/>
    <x v="7"/>
    <x v="29"/>
    <s v="MARTES"/>
    <x v="64"/>
    <x v="48"/>
    <n v="60"/>
    <n v="30"/>
    <n v="12.6"/>
    <x v="0"/>
  </r>
  <r>
    <x v="167"/>
    <x v="7"/>
    <x v="29"/>
    <s v="MARTES"/>
    <x v="15"/>
    <x v="15"/>
    <n v="450"/>
    <n v="50"/>
    <n v="180"/>
    <x v="0"/>
  </r>
  <r>
    <x v="167"/>
    <x v="7"/>
    <x v="29"/>
    <s v="MARTES"/>
    <x v="38"/>
    <x v="38"/>
    <n v="224"/>
    <n v="112"/>
    <n v="89.600000000000009"/>
    <x v="0"/>
  </r>
  <r>
    <x v="167"/>
    <x v="7"/>
    <x v="29"/>
    <s v="MARTES"/>
    <x v="1"/>
    <x v="1"/>
    <n v="2160"/>
    <n v="198"/>
    <n v="367.20000000000005"/>
    <x v="0"/>
  </r>
  <r>
    <x v="167"/>
    <x v="7"/>
    <x v="29"/>
    <s v="MARTES"/>
    <x v="2"/>
    <x v="2"/>
    <n v="2160"/>
    <n v="198"/>
    <n v="367.20000000000005"/>
    <x v="0"/>
  </r>
  <r>
    <x v="167"/>
    <x v="7"/>
    <x v="29"/>
    <s v="MARTES"/>
    <x v="22"/>
    <x v="22"/>
    <n v="594"/>
    <n v="198"/>
    <n v="100.98"/>
    <x v="0"/>
  </r>
  <r>
    <x v="167"/>
    <x v="7"/>
    <x v="29"/>
    <s v="MARTES"/>
    <x v="3"/>
    <x v="3"/>
    <n v="1782"/>
    <n v="198"/>
    <n v="302.94"/>
    <x v="0"/>
  </r>
  <r>
    <x v="167"/>
    <x v="7"/>
    <x v="29"/>
    <s v="MARTES"/>
    <x v="5"/>
    <x v="5"/>
    <n v="486"/>
    <n v="162"/>
    <n v="82.62"/>
    <x v="0"/>
  </r>
  <r>
    <x v="167"/>
    <x v="7"/>
    <x v="29"/>
    <s v="MARTES"/>
    <x v="6"/>
    <x v="6"/>
    <n v="1080"/>
    <n v="120"/>
    <n v="183.60000000000002"/>
    <x v="0"/>
  </r>
  <r>
    <x v="167"/>
    <x v="7"/>
    <x v="29"/>
    <s v="MARTES"/>
    <x v="8"/>
    <x v="8"/>
    <n v="3240"/>
    <n v="198"/>
    <n v="550.80000000000007"/>
    <x v="0"/>
  </r>
  <r>
    <x v="167"/>
    <x v="7"/>
    <x v="29"/>
    <s v="MARTES"/>
    <x v="10"/>
    <x v="10"/>
    <n v="6000"/>
    <n v="120"/>
    <n v="1020.0000000000001"/>
    <x v="0"/>
  </r>
  <r>
    <x v="167"/>
    <x v="7"/>
    <x v="29"/>
    <s v="MARTES"/>
    <x v="23"/>
    <x v="23"/>
    <n v="720"/>
    <n v="90"/>
    <n v="122.4"/>
    <x v="0"/>
  </r>
  <r>
    <x v="167"/>
    <x v="7"/>
    <x v="29"/>
    <s v="MARTES"/>
    <x v="11"/>
    <x v="11"/>
    <n v="3600"/>
    <n v="90"/>
    <n v="612"/>
    <x v="0"/>
  </r>
  <r>
    <x v="167"/>
    <x v="7"/>
    <x v="29"/>
    <s v="MARTES"/>
    <x v="42"/>
    <x v="42"/>
    <n v="500"/>
    <n v="420"/>
    <n v="210"/>
    <x v="0"/>
  </r>
  <r>
    <x v="167"/>
    <x v="7"/>
    <x v="29"/>
    <s v="MARTES"/>
    <x v="43"/>
    <x v="43"/>
    <n v="1000"/>
    <n v="420"/>
    <n v="420"/>
    <x v="0"/>
  </r>
  <r>
    <x v="167"/>
    <x v="7"/>
    <x v="29"/>
    <s v="MARTES"/>
    <x v="64"/>
    <x v="48"/>
    <m/>
    <n v="30"/>
    <n v="0"/>
    <x v="0"/>
  </r>
  <r>
    <x v="167"/>
    <x v="7"/>
    <x v="29"/>
    <s v="MARTES"/>
    <x v="10"/>
    <x v="10"/>
    <n v="9120"/>
    <n v="120"/>
    <n v="1550.4"/>
    <x v="0"/>
  </r>
  <r>
    <x v="167"/>
    <x v="7"/>
    <x v="29"/>
    <s v="MARTES"/>
    <x v="11"/>
    <x v="11"/>
    <n v="1440"/>
    <n v="90"/>
    <n v="244.8"/>
    <x v="0"/>
  </r>
  <r>
    <x v="167"/>
    <x v="7"/>
    <x v="29"/>
    <s v="MARTES"/>
    <x v="26"/>
    <x v="26"/>
    <n v="1260"/>
    <n v="90"/>
    <n v="214.20000000000002"/>
    <x v="0"/>
  </r>
  <r>
    <x v="167"/>
    <x v="7"/>
    <x v="29"/>
    <s v="MARTES"/>
    <x v="2"/>
    <x v="2"/>
    <n v="216"/>
    <n v="198"/>
    <n v="36.720000000000006"/>
    <x v="0"/>
  </r>
  <r>
    <x v="168"/>
    <x v="7"/>
    <x v="29"/>
    <s v="MIÉRCOLES"/>
    <x v="28"/>
    <x v="28"/>
    <n v="300"/>
    <n v="30"/>
    <n v="69"/>
    <x v="0"/>
  </r>
  <r>
    <x v="168"/>
    <x v="7"/>
    <x v="29"/>
    <s v="MIÉRCOLES"/>
    <x v="13"/>
    <x v="13"/>
    <n v="60"/>
    <n v="30"/>
    <n v="24"/>
    <x v="0"/>
  </r>
  <r>
    <x v="168"/>
    <x v="7"/>
    <x v="29"/>
    <s v="MIÉRCOLES"/>
    <x v="38"/>
    <x v="38"/>
    <n v="448"/>
    <n v="112"/>
    <n v="179.20000000000002"/>
    <x v="0"/>
  </r>
  <r>
    <x v="168"/>
    <x v="7"/>
    <x v="29"/>
    <s v="MIÉRCOLES"/>
    <x v="16"/>
    <x v="16"/>
    <n v="900"/>
    <n v="180"/>
    <n v="378"/>
    <x v="0"/>
  </r>
  <r>
    <x v="168"/>
    <x v="7"/>
    <x v="29"/>
    <s v="MIÉRCOLES"/>
    <x v="1"/>
    <x v="1"/>
    <n v="3240"/>
    <n v="198"/>
    <n v="550.80000000000007"/>
    <x v="0"/>
  </r>
  <r>
    <x v="168"/>
    <x v="7"/>
    <x v="29"/>
    <s v="MIÉRCOLES"/>
    <x v="2"/>
    <x v="2"/>
    <n v="1728"/>
    <n v="198"/>
    <n v="293.76000000000005"/>
    <x v="0"/>
  </r>
  <r>
    <x v="168"/>
    <x v="7"/>
    <x v="29"/>
    <s v="MIÉRCOLES"/>
    <x v="22"/>
    <x v="22"/>
    <n v="396"/>
    <n v="198"/>
    <n v="67.320000000000007"/>
    <x v="0"/>
  </r>
  <r>
    <x v="168"/>
    <x v="7"/>
    <x v="29"/>
    <s v="MIÉRCOLES"/>
    <x v="3"/>
    <x v="3"/>
    <n v="990"/>
    <n v="198"/>
    <n v="168.3"/>
    <x v="0"/>
  </r>
  <r>
    <x v="168"/>
    <x v="7"/>
    <x v="29"/>
    <s v="MIÉRCOLES"/>
    <x v="4"/>
    <x v="4"/>
    <n v="810"/>
    <n v="162"/>
    <n v="137.70000000000002"/>
    <x v="0"/>
  </r>
  <r>
    <x v="168"/>
    <x v="7"/>
    <x v="29"/>
    <s v="MIÉRCOLES"/>
    <x v="5"/>
    <x v="5"/>
    <n v="810"/>
    <n v="162"/>
    <n v="137.70000000000002"/>
    <x v="0"/>
  </r>
  <r>
    <x v="168"/>
    <x v="7"/>
    <x v="29"/>
    <s v="MIÉRCOLES"/>
    <x v="6"/>
    <x v="6"/>
    <n v="2400"/>
    <n v="120"/>
    <n v="408.00000000000006"/>
    <x v="0"/>
  </r>
  <r>
    <x v="168"/>
    <x v="7"/>
    <x v="29"/>
    <s v="MIÉRCOLES"/>
    <x v="17"/>
    <x v="17"/>
    <n v="600"/>
    <n v="120"/>
    <n v="102.00000000000001"/>
    <x v="0"/>
  </r>
  <r>
    <x v="168"/>
    <x v="7"/>
    <x v="29"/>
    <s v="MIÉRCOLES"/>
    <x v="7"/>
    <x v="7"/>
    <n v="4320"/>
    <n v="198"/>
    <n v="734.40000000000009"/>
    <x v="0"/>
  </r>
  <r>
    <x v="168"/>
    <x v="7"/>
    <x v="29"/>
    <s v="MIÉRCOLES"/>
    <x v="8"/>
    <x v="8"/>
    <n v="1080"/>
    <n v="198"/>
    <n v="183.60000000000002"/>
    <x v="0"/>
  </r>
  <r>
    <x v="168"/>
    <x v="7"/>
    <x v="29"/>
    <s v="MIÉRCOLES"/>
    <x v="9"/>
    <x v="9"/>
    <n v="1260"/>
    <n v="90"/>
    <n v="214.20000000000002"/>
    <x v="0"/>
  </r>
  <r>
    <x v="168"/>
    <x v="7"/>
    <x v="29"/>
    <s v="MIÉRCOLES"/>
    <x v="10"/>
    <x v="10"/>
    <n v="2400"/>
    <n v="120"/>
    <n v="408.00000000000006"/>
    <x v="0"/>
  </r>
  <r>
    <x v="168"/>
    <x v="7"/>
    <x v="29"/>
    <s v="MIÉRCOLES"/>
    <x v="20"/>
    <x v="20"/>
    <n v="270"/>
    <n v="90"/>
    <n v="45.900000000000006"/>
    <x v="0"/>
  </r>
  <r>
    <x v="168"/>
    <x v="7"/>
    <x v="29"/>
    <s v="MIÉRCOLES"/>
    <x v="25"/>
    <x v="25"/>
    <n v="2250"/>
    <n v="225"/>
    <n v="945"/>
    <x v="0"/>
  </r>
  <r>
    <x v="168"/>
    <x v="7"/>
    <x v="29"/>
    <s v="MIÉRCOLES"/>
    <x v="12"/>
    <x v="12"/>
    <n v="450"/>
    <n v="225"/>
    <n v="180"/>
    <x v="0"/>
  </r>
  <r>
    <x v="168"/>
    <x v="7"/>
    <x v="29"/>
    <s v="MIÉRCOLES"/>
    <x v="19"/>
    <x v="19"/>
    <n v="225"/>
    <n v="225"/>
    <n v="90"/>
    <x v="0"/>
  </r>
  <r>
    <x v="168"/>
    <x v="7"/>
    <x v="29"/>
    <s v="MIÉRCOLES"/>
    <x v="42"/>
    <x v="42"/>
    <n v="750"/>
    <n v="420"/>
    <n v="315"/>
    <x v="0"/>
  </r>
  <r>
    <x v="168"/>
    <x v="7"/>
    <x v="29"/>
    <s v="MIÉRCOLES"/>
    <x v="43"/>
    <x v="43"/>
    <n v="750"/>
    <n v="420"/>
    <n v="315"/>
    <x v="0"/>
  </r>
  <r>
    <x v="168"/>
    <x v="7"/>
    <x v="29"/>
    <s v="MIÉRCOLES"/>
    <x v="64"/>
    <x v="48"/>
    <n v="1800"/>
    <n v="30"/>
    <n v="378"/>
    <x v="0"/>
  </r>
  <r>
    <x v="168"/>
    <x v="7"/>
    <x v="29"/>
    <s v="MIÉRCOLES"/>
    <x v="23"/>
    <x v="23"/>
    <n v="90"/>
    <n v="90"/>
    <n v="15.3"/>
    <x v="0"/>
  </r>
  <r>
    <x v="168"/>
    <x v="7"/>
    <x v="29"/>
    <s v="MIÉRCOLES"/>
    <x v="10"/>
    <x v="10"/>
    <n v="9120"/>
    <n v="120"/>
    <n v="1550.4"/>
    <x v="0"/>
  </r>
  <r>
    <x v="168"/>
    <x v="7"/>
    <x v="29"/>
    <s v="MIÉRCOLES"/>
    <x v="23"/>
    <x v="23"/>
    <n v="360"/>
    <n v="90"/>
    <n v="61.2"/>
    <x v="0"/>
  </r>
  <r>
    <x v="168"/>
    <x v="7"/>
    <x v="29"/>
    <s v="MIÉRCOLES"/>
    <x v="22"/>
    <x v="22"/>
    <n v="792"/>
    <n v="198"/>
    <n v="134.64000000000001"/>
    <x v="0"/>
  </r>
  <r>
    <x v="168"/>
    <x v="7"/>
    <x v="29"/>
    <s v="MIÉRCOLES"/>
    <x v="15"/>
    <x v="15"/>
    <n v="200"/>
    <n v="50"/>
    <n v="80"/>
    <x v="0"/>
  </r>
  <r>
    <x v="168"/>
    <x v="7"/>
    <x v="29"/>
    <s v="MIÉRCOLES"/>
    <x v="13"/>
    <x v="13"/>
    <n v="240"/>
    <n v="30"/>
    <n v="96"/>
    <x v="0"/>
  </r>
  <r>
    <x v="168"/>
    <x v="7"/>
    <x v="29"/>
    <s v="MIÉRCOLES"/>
    <x v="64"/>
    <x v="48"/>
    <n v="60"/>
    <n v="30"/>
    <n v="12.6"/>
    <x v="0"/>
  </r>
  <r>
    <x v="169"/>
    <x v="7"/>
    <x v="29"/>
    <s v="JUEVES"/>
    <x v="28"/>
    <x v="28"/>
    <n v="150"/>
    <n v="30"/>
    <n v="34.5"/>
    <x v="0"/>
  </r>
  <r>
    <x v="169"/>
    <x v="7"/>
    <x v="29"/>
    <s v="JUEVES"/>
    <x v="33"/>
    <x v="33"/>
    <n v="200"/>
    <n v="40"/>
    <n v="46"/>
    <x v="0"/>
  </r>
  <r>
    <x v="169"/>
    <x v="7"/>
    <x v="29"/>
    <s v="JUEVES"/>
    <x v="13"/>
    <x v="13"/>
    <n v="150"/>
    <n v="30"/>
    <n v="60"/>
    <x v="0"/>
  </r>
  <r>
    <x v="169"/>
    <x v="7"/>
    <x v="29"/>
    <s v="JUEVES"/>
    <x v="14"/>
    <x v="14"/>
    <n v="200"/>
    <n v="40"/>
    <n v="46"/>
    <x v="0"/>
  </r>
  <r>
    <x v="169"/>
    <x v="7"/>
    <x v="29"/>
    <s v="JUEVES"/>
    <x v="15"/>
    <x v="15"/>
    <n v="200"/>
    <n v="50"/>
    <n v="80"/>
    <x v="0"/>
  </r>
  <r>
    <x v="169"/>
    <x v="7"/>
    <x v="29"/>
    <s v="JUEVES"/>
    <x v="1"/>
    <x v="1"/>
    <n v="1080"/>
    <n v="198"/>
    <n v="183.60000000000002"/>
    <x v="0"/>
  </r>
  <r>
    <x v="169"/>
    <x v="7"/>
    <x v="29"/>
    <s v="JUEVES"/>
    <x v="4"/>
    <x v="4"/>
    <n v="486"/>
    <n v="162"/>
    <n v="82.62"/>
    <x v="0"/>
  </r>
  <r>
    <x v="169"/>
    <x v="7"/>
    <x v="29"/>
    <s v="JUEVES"/>
    <x v="5"/>
    <x v="5"/>
    <n v="486"/>
    <n v="162"/>
    <n v="82.62"/>
    <x v="0"/>
  </r>
  <r>
    <x v="169"/>
    <x v="7"/>
    <x v="29"/>
    <s v="JUEVES"/>
    <x v="17"/>
    <x v="17"/>
    <n v="600"/>
    <n v="120"/>
    <n v="102.00000000000001"/>
    <x v="0"/>
  </r>
  <r>
    <x v="169"/>
    <x v="7"/>
    <x v="29"/>
    <s v="JUEVES"/>
    <x v="9"/>
    <x v="9"/>
    <n v="630"/>
    <n v="90"/>
    <n v="107.10000000000001"/>
    <x v="0"/>
  </r>
  <r>
    <x v="169"/>
    <x v="7"/>
    <x v="29"/>
    <s v="JUEVES"/>
    <x v="10"/>
    <x v="10"/>
    <n v="2520"/>
    <n v="120"/>
    <n v="428.40000000000003"/>
    <x v="0"/>
  </r>
  <r>
    <x v="169"/>
    <x v="7"/>
    <x v="29"/>
    <s v="JUEVES"/>
    <x v="11"/>
    <x v="11"/>
    <n v="1440"/>
    <n v="90"/>
    <n v="244.8"/>
    <x v="0"/>
  </r>
  <r>
    <x v="169"/>
    <x v="7"/>
    <x v="29"/>
    <s v="JUEVES"/>
    <x v="64"/>
    <x v="48"/>
    <n v="870"/>
    <n v="30"/>
    <n v="182.7"/>
    <x v="0"/>
  </r>
  <r>
    <x v="169"/>
    <x v="7"/>
    <x v="29"/>
    <s v="JUEVES"/>
    <x v="22"/>
    <x v="22"/>
    <n v="396"/>
    <n v="198"/>
    <n v="67.320000000000007"/>
    <x v="0"/>
  </r>
  <r>
    <x v="169"/>
    <x v="7"/>
    <x v="29"/>
    <s v="JUEVES"/>
    <x v="17"/>
    <x v="17"/>
    <n v="240"/>
    <n v="120"/>
    <n v="40.800000000000004"/>
    <x v="0"/>
  </r>
  <r>
    <x v="169"/>
    <x v="7"/>
    <x v="29"/>
    <s v="JUEVES"/>
    <x v="1"/>
    <x v="1"/>
    <n v="4320"/>
    <n v="198"/>
    <n v="734.40000000000009"/>
    <x v="0"/>
  </r>
  <r>
    <x v="169"/>
    <x v="7"/>
    <x v="29"/>
    <s v="JUEVES"/>
    <x v="8"/>
    <x v="8"/>
    <n v="1512"/>
    <n v="198"/>
    <n v="257.04000000000002"/>
    <x v="0"/>
  </r>
  <r>
    <x v="169"/>
    <x v="7"/>
    <x v="29"/>
    <s v="JUEVES"/>
    <x v="23"/>
    <x v="23"/>
    <n v="900"/>
    <n v="90"/>
    <n v="153"/>
    <x v="0"/>
  </r>
  <r>
    <x v="169"/>
    <x v="7"/>
    <x v="29"/>
    <s v="JUEVES"/>
    <x v="9"/>
    <x v="9"/>
    <n v="270"/>
    <n v="90"/>
    <n v="45.900000000000006"/>
    <x v="0"/>
  </r>
  <r>
    <x v="169"/>
    <x v="7"/>
    <x v="29"/>
    <s v="JUEVES"/>
    <x v="11"/>
    <x v="11"/>
    <n v="2340"/>
    <n v="90"/>
    <n v="397.8"/>
    <x v="0"/>
  </r>
  <r>
    <x v="169"/>
    <x v="7"/>
    <x v="29"/>
    <s v="JUEVES"/>
    <x v="10"/>
    <x v="10"/>
    <n v="5640"/>
    <n v="120"/>
    <n v="958.80000000000007"/>
    <x v="0"/>
  </r>
  <r>
    <x v="169"/>
    <x v="7"/>
    <x v="29"/>
    <s v="JUEVES"/>
    <x v="10"/>
    <x v="10"/>
    <n v="2160"/>
    <n v="120"/>
    <n v="367.20000000000005"/>
    <x v="0"/>
  </r>
  <r>
    <x v="169"/>
    <x v="7"/>
    <x v="29"/>
    <s v="JUEVES"/>
    <x v="9"/>
    <x v="9"/>
    <n v="1440"/>
    <n v="90"/>
    <n v="244.8"/>
    <x v="0"/>
  </r>
  <r>
    <x v="169"/>
    <x v="7"/>
    <x v="29"/>
    <s v="JUEVES"/>
    <x v="11"/>
    <x v="11"/>
    <n v="1440"/>
    <n v="90"/>
    <n v="244.8"/>
    <x v="0"/>
  </r>
  <r>
    <x v="170"/>
    <x v="7"/>
    <x v="29"/>
    <s v="VIERNES"/>
    <x v="1"/>
    <x v="1"/>
    <n v="2592"/>
    <n v="198"/>
    <n v="440.64000000000004"/>
    <x v="0"/>
  </r>
  <r>
    <x v="170"/>
    <x v="7"/>
    <x v="29"/>
    <s v="VIERNES"/>
    <x v="29"/>
    <x v="29"/>
    <n v="216"/>
    <n v="198"/>
    <n v="36.720000000000006"/>
    <x v="0"/>
  </r>
  <r>
    <x v="170"/>
    <x v="7"/>
    <x v="29"/>
    <s v="VIERNES"/>
    <x v="22"/>
    <x v="22"/>
    <n v="594"/>
    <n v="198"/>
    <n v="100.98"/>
    <x v="0"/>
  </r>
  <r>
    <x v="170"/>
    <x v="7"/>
    <x v="29"/>
    <s v="VIERNES"/>
    <x v="6"/>
    <x v="6"/>
    <n v="3600"/>
    <n v="120"/>
    <n v="612"/>
    <x v="0"/>
  </r>
  <r>
    <x v="170"/>
    <x v="7"/>
    <x v="29"/>
    <s v="VIERNES"/>
    <x v="10"/>
    <x v="10"/>
    <n v="10800"/>
    <n v="120"/>
    <n v="1836.0000000000002"/>
    <x v="0"/>
  </r>
  <r>
    <x v="170"/>
    <x v="7"/>
    <x v="29"/>
    <s v="VIERNES"/>
    <x v="11"/>
    <x v="11"/>
    <n v="3600"/>
    <n v="90"/>
    <n v="612"/>
    <x v="0"/>
  </r>
  <r>
    <x v="170"/>
    <x v="7"/>
    <x v="29"/>
    <s v="VIERNES"/>
    <x v="20"/>
    <x v="20"/>
    <n v="720"/>
    <n v="90"/>
    <n v="122.4"/>
    <x v="0"/>
  </r>
  <r>
    <x v="170"/>
    <x v="7"/>
    <x v="29"/>
    <s v="VIERNES"/>
    <x v="23"/>
    <x v="23"/>
    <n v="1800"/>
    <n v="90"/>
    <n v="306"/>
    <x v="0"/>
  </r>
  <r>
    <x v="170"/>
    <x v="7"/>
    <x v="29"/>
    <s v="VIERNES"/>
    <x v="26"/>
    <x v="26"/>
    <n v="1800"/>
    <n v="90"/>
    <n v="306"/>
    <x v="0"/>
  </r>
  <r>
    <x v="170"/>
    <x v="7"/>
    <x v="29"/>
    <s v="VIERNES"/>
    <x v="9"/>
    <x v="9"/>
    <n v="360"/>
    <n v="90"/>
    <n v="61.2"/>
    <x v="0"/>
  </r>
  <r>
    <x v="170"/>
    <x v="7"/>
    <x v="29"/>
    <s v="VIERNES"/>
    <x v="10"/>
    <x v="10"/>
    <n v="480"/>
    <n v="120"/>
    <n v="81.600000000000009"/>
    <x v="0"/>
  </r>
  <r>
    <x v="170"/>
    <x v="7"/>
    <x v="29"/>
    <s v="VIERNES"/>
    <x v="23"/>
    <x v="23"/>
    <n v="1170"/>
    <n v="90"/>
    <n v="198.9"/>
    <x v="0"/>
  </r>
  <r>
    <x v="170"/>
    <x v="7"/>
    <x v="29"/>
    <s v="VIERNES"/>
    <x v="9"/>
    <x v="9"/>
    <n v="180"/>
    <n v="90"/>
    <n v="30.6"/>
    <x v="0"/>
  </r>
  <r>
    <x v="170"/>
    <x v="7"/>
    <x v="29"/>
    <s v="VIERNES"/>
    <x v="11"/>
    <x v="11"/>
    <n v="4230"/>
    <n v="90"/>
    <n v="719.1"/>
    <x v="0"/>
  </r>
  <r>
    <x v="171"/>
    <x v="7"/>
    <x v="30"/>
    <s v="SÁBADO"/>
    <x v="13"/>
    <x v="13"/>
    <n v="180"/>
    <n v="30"/>
    <n v="72"/>
    <x v="0"/>
  </r>
  <r>
    <x v="171"/>
    <x v="7"/>
    <x v="30"/>
    <s v="SÁBADO"/>
    <x v="15"/>
    <x v="15"/>
    <n v="150"/>
    <n v="50"/>
    <n v="60"/>
    <x v="0"/>
  </r>
  <r>
    <x v="171"/>
    <x v="7"/>
    <x v="30"/>
    <s v="SÁBADO"/>
    <x v="38"/>
    <x v="38"/>
    <n v="336"/>
    <n v="112"/>
    <n v="134.4"/>
    <x v="0"/>
  </r>
  <r>
    <x v="171"/>
    <x v="7"/>
    <x v="30"/>
    <s v="SÁBADO"/>
    <x v="16"/>
    <x v="16"/>
    <n v="1440"/>
    <n v="180"/>
    <n v="604.79999999999995"/>
    <x v="0"/>
  </r>
  <r>
    <x v="171"/>
    <x v="7"/>
    <x v="30"/>
    <s v="SÁBADO"/>
    <x v="1"/>
    <x v="1"/>
    <n v="1944"/>
    <n v="198"/>
    <n v="330.48"/>
    <x v="0"/>
  </r>
  <r>
    <x v="171"/>
    <x v="7"/>
    <x v="30"/>
    <s v="SÁBADO"/>
    <x v="2"/>
    <x v="2"/>
    <n v="2160"/>
    <n v="198"/>
    <n v="367.20000000000005"/>
    <x v="0"/>
  </r>
  <r>
    <x v="171"/>
    <x v="7"/>
    <x v="30"/>
    <s v="SÁBADO"/>
    <x v="3"/>
    <x v="3"/>
    <n v="990"/>
    <n v="198"/>
    <n v="168.3"/>
    <x v="0"/>
  </r>
  <r>
    <x v="171"/>
    <x v="7"/>
    <x v="30"/>
    <s v="SÁBADO"/>
    <x v="6"/>
    <x v="6"/>
    <n v="2400"/>
    <n v="120"/>
    <n v="408.00000000000006"/>
    <x v="0"/>
  </r>
  <r>
    <x v="171"/>
    <x v="7"/>
    <x v="30"/>
    <s v="SÁBADO"/>
    <x v="8"/>
    <x v="8"/>
    <n v="1944"/>
    <n v="198"/>
    <n v="330.48"/>
    <x v="0"/>
  </r>
  <r>
    <x v="171"/>
    <x v="7"/>
    <x v="30"/>
    <s v="SÁBADO"/>
    <x v="9"/>
    <x v="9"/>
    <n v="720"/>
    <n v="90"/>
    <n v="122.4"/>
    <x v="0"/>
  </r>
  <r>
    <x v="171"/>
    <x v="7"/>
    <x v="30"/>
    <s v="SÁBADO"/>
    <x v="10"/>
    <x v="10"/>
    <n v="5040"/>
    <n v="120"/>
    <n v="856.80000000000007"/>
    <x v="0"/>
  </r>
  <r>
    <x v="171"/>
    <x v="7"/>
    <x v="30"/>
    <s v="SÁBADO"/>
    <x v="20"/>
    <x v="20"/>
    <n v="450"/>
    <n v="90"/>
    <n v="76.5"/>
    <x v="0"/>
  </r>
  <r>
    <x v="171"/>
    <x v="7"/>
    <x v="30"/>
    <s v="SÁBADO"/>
    <x v="25"/>
    <x v="25"/>
    <n v="1350"/>
    <n v="225"/>
    <n v="567"/>
    <x v="0"/>
  </r>
  <r>
    <x v="171"/>
    <x v="7"/>
    <x v="30"/>
    <s v="SÁBADO"/>
    <x v="42"/>
    <x v="42"/>
    <n v="500"/>
    <n v="420"/>
    <n v="210"/>
    <x v="0"/>
  </r>
  <r>
    <x v="171"/>
    <x v="7"/>
    <x v="30"/>
    <s v="SÁBADO"/>
    <x v="24"/>
    <x v="24"/>
    <n v="1680"/>
    <n v="420"/>
    <n v="705.6"/>
    <x v="0"/>
  </r>
  <r>
    <x v="171"/>
    <x v="7"/>
    <x v="30"/>
    <s v="SÁBADO"/>
    <x v="10"/>
    <x v="10"/>
    <n v="4080"/>
    <n v="120"/>
    <n v="693.6"/>
    <x v="0"/>
  </r>
  <r>
    <x v="171"/>
    <x v="7"/>
    <x v="30"/>
    <s v="SÁBADO"/>
    <x v="11"/>
    <x v="11"/>
    <n v="4500"/>
    <n v="90"/>
    <n v="765"/>
    <x v="0"/>
  </r>
  <r>
    <x v="171"/>
    <x v="7"/>
    <x v="30"/>
    <s v="SÁBADO"/>
    <x v="20"/>
    <x v="20"/>
    <n v="2880"/>
    <n v="90"/>
    <n v="489.6"/>
    <x v="0"/>
  </r>
  <r>
    <x v="171"/>
    <x v="7"/>
    <x v="30"/>
    <s v="SÁBADO"/>
    <x v="23"/>
    <x v="23"/>
    <n v="1800"/>
    <n v="90"/>
    <n v="306"/>
    <x v="0"/>
  </r>
  <r>
    <x v="171"/>
    <x v="7"/>
    <x v="30"/>
    <s v="SÁBADO"/>
    <x v="9"/>
    <x v="9"/>
    <n v="720"/>
    <n v="90"/>
    <n v="122.4"/>
    <x v="0"/>
  </r>
  <r>
    <x v="171"/>
    <x v="7"/>
    <x v="30"/>
    <s v="SÁBADO"/>
    <x v="23"/>
    <x v="23"/>
    <n v="180"/>
    <n v="90"/>
    <n v="30.6"/>
    <x v="0"/>
  </r>
  <r>
    <x v="171"/>
    <x v="7"/>
    <x v="30"/>
    <s v="SÁBADO"/>
    <x v="11"/>
    <x v="11"/>
    <n v="990"/>
    <n v="90"/>
    <n v="168.3"/>
    <x v="0"/>
  </r>
  <r>
    <x v="171"/>
    <x v="7"/>
    <x v="30"/>
    <s v="SÁBADO"/>
    <x v="23"/>
    <x v="23"/>
    <n v="630"/>
    <n v="90"/>
    <n v="107.10000000000001"/>
    <x v="0"/>
  </r>
  <r>
    <x v="172"/>
    <x v="7"/>
    <x v="30"/>
    <s v="DOMINGO"/>
    <x v="24"/>
    <x v="24"/>
    <n v="840"/>
    <n v="420"/>
    <n v="352.8"/>
    <x v="0"/>
  </r>
  <r>
    <x v="172"/>
    <x v="7"/>
    <x v="30"/>
    <s v="DOMINGO"/>
    <x v="39"/>
    <x v="39"/>
    <n v="1260"/>
    <n v="420"/>
    <n v="529.19999999999993"/>
    <x v="0"/>
  </r>
  <r>
    <x v="172"/>
    <x v="7"/>
    <x v="30"/>
    <s v="DOMINGO"/>
    <x v="24"/>
    <x v="24"/>
    <n v="2520"/>
    <n v="420"/>
    <n v="1058.3999999999999"/>
    <x v="0"/>
  </r>
  <r>
    <x v="172"/>
    <x v="7"/>
    <x v="30"/>
    <s v="DOMINGO"/>
    <x v="39"/>
    <x v="39"/>
    <n v="840"/>
    <n v="420"/>
    <n v="352.8"/>
    <x v="0"/>
  </r>
  <r>
    <x v="173"/>
    <x v="7"/>
    <x v="30"/>
    <s v="LUNES"/>
    <x v="36"/>
    <x v="36"/>
    <n v="450"/>
    <n v="90"/>
    <n v="180"/>
    <x v="0"/>
  </r>
  <r>
    <x v="173"/>
    <x v="7"/>
    <x v="30"/>
    <s v="LUNES"/>
    <x v="24"/>
    <x v="24"/>
    <n v="2940"/>
    <n v="420"/>
    <n v="1234.8"/>
    <x v="0"/>
  </r>
  <r>
    <x v="173"/>
    <x v="7"/>
    <x v="30"/>
    <s v="LUNES"/>
    <x v="2"/>
    <x v="2"/>
    <n v="2376"/>
    <n v="198"/>
    <n v="403.92"/>
    <x v="0"/>
  </r>
  <r>
    <x v="173"/>
    <x v="7"/>
    <x v="30"/>
    <s v="LUNES"/>
    <x v="6"/>
    <x v="6"/>
    <n v="3600"/>
    <n v="120"/>
    <n v="612"/>
    <x v="0"/>
  </r>
  <r>
    <x v="173"/>
    <x v="7"/>
    <x v="30"/>
    <s v="LUNES"/>
    <x v="17"/>
    <x v="17"/>
    <n v="1200"/>
    <n v="120"/>
    <n v="204.00000000000003"/>
    <x v="0"/>
  </r>
  <r>
    <x v="173"/>
    <x v="7"/>
    <x v="30"/>
    <s v="LUNES"/>
    <x v="7"/>
    <x v="7"/>
    <n v="2160"/>
    <n v="198"/>
    <n v="367.20000000000005"/>
    <x v="0"/>
  </r>
  <r>
    <x v="173"/>
    <x v="7"/>
    <x v="30"/>
    <s v="LUNES"/>
    <x v="9"/>
    <x v="9"/>
    <n v="450"/>
    <n v="90"/>
    <n v="76.5"/>
    <x v="0"/>
  </r>
  <r>
    <x v="173"/>
    <x v="7"/>
    <x v="30"/>
    <s v="LUNES"/>
    <x v="10"/>
    <x v="10"/>
    <n v="3600"/>
    <n v="120"/>
    <n v="612"/>
    <x v="0"/>
  </r>
  <r>
    <x v="173"/>
    <x v="7"/>
    <x v="30"/>
    <s v="LUNES"/>
    <x v="12"/>
    <x v="12"/>
    <n v="450"/>
    <n v="225"/>
    <n v="180"/>
    <x v="0"/>
  </r>
  <r>
    <x v="173"/>
    <x v="7"/>
    <x v="30"/>
    <s v="LUNES"/>
    <x v="42"/>
    <x v="42"/>
    <n v="750"/>
    <n v="420"/>
    <n v="315"/>
    <x v="0"/>
  </r>
  <r>
    <x v="173"/>
    <x v="7"/>
    <x v="30"/>
    <s v="LUNES"/>
    <x v="6"/>
    <x v="6"/>
    <n v="1320"/>
    <n v="120"/>
    <n v="224.4"/>
    <x v="0"/>
  </r>
  <r>
    <x v="173"/>
    <x v="7"/>
    <x v="30"/>
    <s v="LUNES"/>
    <x v="9"/>
    <x v="9"/>
    <n v="1260"/>
    <n v="90"/>
    <n v="214.20000000000002"/>
    <x v="0"/>
  </r>
  <r>
    <x v="173"/>
    <x v="7"/>
    <x v="30"/>
    <s v="LUNES"/>
    <x v="23"/>
    <x v="23"/>
    <n v="180"/>
    <n v="90"/>
    <n v="30.6"/>
    <x v="0"/>
  </r>
  <r>
    <x v="173"/>
    <x v="7"/>
    <x v="30"/>
    <s v="LUNES"/>
    <x v="11"/>
    <x v="11"/>
    <n v="5850"/>
    <n v="90"/>
    <n v="994.50000000000011"/>
    <x v="0"/>
  </r>
  <r>
    <x v="173"/>
    <x v="7"/>
    <x v="30"/>
    <s v="LUNES"/>
    <x v="20"/>
    <x v="20"/>
    <n v="1800"/>
    <n v="90"/>
    <n v="306"/>
    <x v="0"/>
  </r>
  <r>
    <x v="173"/>
    <x v="7"/>
    <x v="30"/>
    <s v="LUNES"/>
    <x v="10"/>
    <x v="10"/>
    <n v="2880"/>
    <n v="120"/>
    <n v="489.6"/>
    <x v="0"/>
  </r>
  <r>
    <x v="173"/>
    <x v="7"/>
    <x v="30"/>
    <s v="LUNES"/>
    <x v="26"/>
    <x v="26"/>
    <n v="1800"/>
    <n v="90"/>
    <n v="306"/>
    <x v="0"/>
  </r>
  <r>
    <x v="174"/>
    <x v="7"/>
    <x v="30"/>
    <s v="MARTES"/>
    <x v="15"/>
    <x v="15"/>
    <n v="350"/>
    <n v="50"/>
    <n v="140"/>
    <x v="0"/>
  </r>
  <r>
    <x v="174"/>
    <x v="7"/>
    <x v="30"/>
    <s v="MARTES"/>
    <x v="39"/>
    <x v="39"/>
    <n v="420"/>
    <n v="420"/>
    <n v="176.4"/>
    <x v="0"/>
  </r>
  <r>
    <x v="174"/>
    <x v="7"/>
    <x v="30"/>
    <s v="MARTES"/>
    <x v="28"/>
    <x v="28"/>
    <n v="240"/>
    <n v="30"/>
    <n v="55.2"/>
    <x v="0"/>
  </r>
  <r>
    <x v="174"/>
    <x v="7"/>
    <x v="30"/>
    <s v="MARTES"/>
    <x v="13"/>
    <x v="13"/>
    <n v="1500"/>
    <n v="30"/>
    <n v="600"/>
    <x v="0"/>
  </r>
  <r>
    <x v="174"/>
    <x v="7"/>
    <x v="30"/>
    <s v="MARTES"/>
    <x v="14"/>
    <x v="14"/>
    <n v="240"/>
    <n v="40"/>
    <n v="55.2"/>
    <x v="0"/>
  </r>
  <r>
    <x v="174"/>
    <x v="7"/>
    <x v="30"/>
    <s v="MARTES"/>
    <x v="15"/>
    <x v="15"/>
    <n v="150"/>
    <n v="50"/>
    <n v="60"/>
    <x v="0"/>
  </r>
  <r>
    <x v="174"/>
    <x v="7"/>
    <x v="30"/>
    <s v="MARTES"/>
    <x v="36"/>
    <x v="36"/>
    <n v="270"/>
    <n v="90"/>
    <n v="108"/>
    <x v="0"/>
  </r>
  <r>
    <x v="174"/>
    <x v="7"/>
    <x v="30"/>
    <s v="MARTES"/>
    <x v="0"/>
    <x v="0"/>
    <n v="960"/>
    <n v="48"/>
    <n v="384"/>
    <x v="0"/>
  </r>
  <r>
    <x v="174"/>
    <x v="7"/>
    <x v="30"/>
    <s v="MARTES"/>
    <x v="24"/>
    <x v="24"/>
    <n v="2100"/>
    <n v="420"/>
    <n v="882"/>
    <x v="0"/>
  </r>
  <r>
    <x v="174"/>
    <x v="7"/>
    <x v="30"/>
    <s v="MARTES"/>
    <x v="39"/>
    <x v="39"/>
    <n v="420"/>
    <n v="420"/>
    <n v="176.4"/>
    <x v="0"/>
  </r>
  <r>
    <x v="174"/>
    <x v="7"/>
    <x v="30"/>
    <s v="MARTES"/>
    <x v="1"/>
    <x v="1"/>
    <n v="2160"/>
    <n v="198"/>
    <n v="367.20000000000005"/>
    <x v="0"/>
  </r>
  <r>
    <x v="174"/>
    <x v="7"/>
    <x v="30"/>
    <s v="MARTES"/>
    <x v="34"/>
    <x v="34"/>
    <n v="648"/>
    <n v="198"/>
    <n v="110.16000000000001"/>
    <x v="0"/>
  </r>
  <r>
    <x v="174"/>
    <x v="7"/>
    <x v="30"/>
    <s v="MARTES"/>
    <x v="29"/>
    <x v="29"/>
    <n v="216"/>
    <n v="198"/>
    <n v="36.720000000000006"/>
    <x v="0"/>
  </r>
  <r>
    <x v="174"/>
    <x v="7"/>
    <x v="30"/>
    <s v="MARTES"/>
    <x v="22"/>
    <x v="22"/>
    <n v="594"/>
    <n v="198"/>
    <n v="100.98"/>
    <x v="0"/>
  </r>
  <r>
    <x v="174"/>
    <x v="7"/>
    <x v="30"/>
    <s v="MARTES"/>
    <x v="4"/>
    <x v="4"/>
    <n v="972"/>
    <n v="162"/>
    <n v="165.24"/>
    <x v="0"/>
  </r>
  <r>
    <x v="174"/>
    <x v="7"/>
    <x v="30"/>
    <s v="MARTES"/>
    <x v="5"/>
    <x v="5"/>
    <n v="810"/>
    <n v="162"/>
    <n v="137.70000000000002"/>
    <x v="0"/>
  </r>
  <r>
    <x v="174"/>
    <x v="7"/>
    <x v="30"/>
    <s v="MARTES"/>
    <x v="3"/>
    <x v="3"/>
    <n v="594"/>
    <n v="198"/>
    <n v="100.98"/>
    <x v="0"/>
  </r>
  <r>
    <x v="174"/>
    <x v="7"/>
    <x v="30"/>
    <s v="MARTES"/>
    <x v="17"/>
    <x v="17"/>
    <n v="1200"/>
    <n v="120"/>
    <n v="204.00000000000003"/>
    <x v="0"/>
  </r>
  <r>
    <x v="174"/>
    <x v="7"/>
    <x v="30"/>
    <s v="MARTES"/>
    <x v="10"/>
    <x v="10"/>
    <n v="3720"/>
    <n v="120"/>
    <n v="632.40000000000009"/>
    <x v="0"/>
  </r>
  <r>
    <x v="174"/>
    <x v="7"/>
    <x v="30"/>
    <s v="MARTES"/>
    <x v="7"/>
    <x v="7"/>
    <n v="990"/>
    <n v="198"/>
    <n v="168.3"/>
    <x v="0"/>
  </r>
  <r>
    <x v="174"/>
    <x v="7"/>
    <x v="30"/>
    <s v="MARTES"/>
    <x v="11"/>
    <x v="11"/>
    <n v="5490"/>
    <n v="90"/>
    <n v="933.30000000000007"/>
    <x v="0"/>
  </r>
  <r>
    <x v="174"/>
    <x v="7"/>
    <x v="30"/>
    <s v="MARTES"/>
    <x v="20"/>
    <x v="20"/>
    <n v="360"/>
    <n v="90"/>
    <n v="61.2"/>
    <x v="0"/>
  </r>
  <r>
    <x v="174"/>
    <x v="7"/>
    <x v="30"/>
    <s v="MARTES"/>
    <x v="25"/>
    <x v="25"/>
    <n v="1350"/>
    <n v="225"/>
    <n v="567"/>
    <x v="0"/>
  </r>
  <r>
    <x v="174"/>
    <x v="7"/>
    <x v="30"/>
    <s v="MARTES"/>
    <x v="6"/>
    <x v="6"/>
    <n v="1920"/>
    <n v="120"/>
    <n v="326.40000000000003"/>
    <x v="0"/>
  </r>
  <r>
    <x v="174"/>
    <x v="7"/>
    <x v="30"/>
    <s v="MARTES"/>
    <x v="11"/>
    <x v="11"/>
    <n v="540"/>
    <n v="90"/>
    <n v="91.800000000000011"/>
    <x v="0"/>
  </r>
  <r>
    <x v="174"/>
    <x v="7"/>
    <x v="30"/>
    <s v="MARTES"/>
    <x v="10"/>
    <x v="10"/>
    <n v="3480"/>
    <n v="120"/>
    <n v="591.6"/>
    <x v="0"/>
  </r>
  <r>
    <x v="175"/>
    <x v="7"/>
    <x v="30"/>
    <s v="MIÉRCOLES"/>
    <x v="40"/>
    <x v="40"/>
    <n v="448"/>
    <n v="240"/>
    <n v="179.20000000000002"/>
    <x v="0"/>
  </r>
  <r>
    <x v="175"/>
    <x v="7"/>
    <x v="30"/>
    <s v="MIÉRCOLES"/>
    <x v="38"/>
    <x v="38"/>
    <n v="784"/>
    <n v="112"/>
    <n v="313.60000000000002"/>
    <x v="0"/>
  </r>
  <r>
    <x v="175"/>
    <x v="7"/>
    <x v="30"/>
    <s v="MIÉRCOLES"/>
    <x v="0"/>
    <x v="0"/>
    <n v="2400"/>
    <n v="48"/>
    <n v="960"/>
    <x v="0"/>
  </r>
  <r>
    <x v="175"/>
    <x v="7"/>
    <x v="30"/>
    <s v="MIÉRCOLES"/>
    <x v="24"/>
    <x v="24"/>
    <n v="4200"/>
    <n v="420"/>
    <n v="1764"/>
    <x v="0"/>
  </r>
  <r>
    <x v="175"/>
    <x v="7"/>
    <x v="30"/>
    <s v="MIÉRCOLES"/>
    <x v="22"/>
    <x v="22"/>
    <n v="1386"/>
    <n v="198"/>
    <n v="235.62"/>
    <x v="0"/>
  </r>
  <r>
    <x v="175"/>
    <x v="7"/>
    <x v="30"/>
    <s v="MIÉRCOLES"/>
    <x v="3"/>
    <x v="3"/>
    <n v="990"/>
    <n v="198"/>
    <n v="168.3"/>
    <x v="0"/>
  </r>
  <r>
    <x v="175"/>
    <x v="7"/>
    <x v="30"/>
    <s v="MIÉRCOLES"/>
    <x v="6"/>
    <x v="6"/>
    <n v="960"/>
    <n v="120"/>
    <n v="163.20000000000002"/>
    <x v="0"/>
  </r>
  <r>
    <x v="175"/>
    <x v="7"/>
    <x v="30"/>
    <s v="MIÉRCOLES"/>
    <x v="8"/>
    <x v="8"/>
    <n v="864"/>
    <n v="198"/>
    <n v="146.88000000000002"/>
    <x v="0"/>
  </r>
  <r>
    <x v="175"/>
    <x v="7"/>
    <x v="30"/>
    <s v="MIÉRCOLES"/>
    <x v="10"/>
    <x v="10"/>
    <n v="1920"/>
    <n v="120"/>
    <n v="326.40000000000003"/>
    <x v="0"/>
  </r>
  <r>
    <x v="175"/>
    <x v="7"/>
    <x v="30"/>
    <s v="MIÉRCOLES"/>
    <x v="20"/>
    <x v="20"/>
    <n v="270"/>
    <n v="90"/>
    <n v="45.900000000000006"/>
    <x v="0"/>
  </r>
  <r>
    <x v="175"/>
    <x v="7"/>
    <x v="30"/>
    <s v="MIÉRCOLES"/>
    <x v="42"/>
    <x v="42"/>
    <n v="1250"/>
    <n v="420"/>
    <n v="525"/>
    <x v="0"/>
  </r>
  <r>
    <x v="175"/>
    <x v="7"/>
    <x v="30"/>
    <s v="MIÉRCOLES"/>
    <x v="39"/>
    <x v="39"/>
    <n v="840"/>
    <n v="420"/>
    <n v="352.8"/>
    <x v="0"/>
  </r>
  <r>
    <x v="175"/>
    <x v="7"/>
    <x v="30"/>
    <s v="MIÉRCOLES"/>
    <x v="20"/>
    <x v="20"/>
    <n v="90"/>
    <n v="90"/>
    <n v="15.3"/>
    <x v="0"/>
  </r>
  <r>
    <x v="175"/>
    <x v="7"/>
    <x v="30"/>
    <s v="MIÉRCOLES"/>
    <x v="9"/>
    <x v="9"/>
    <n v="270"/>
    <n v="90"/>
    <n v="45.900000000000006"/>
    <x v="0"/>
  </r>
  <r>
    <x v="175"/>
    <x v="7"/>
    <x v="30"/>
    <s v="MIÉRCOLES"/>
    <x v="1"/>
    <x v="1"/>
    <n v="1944"/>
    <n v="198"/>
    <n v="330.48"/>
    <x v="0"/>
  </r>
  <r>
    <x v="175"/>
    <x v="7"/>
    <x v="30"/>
    <s v="MIÉRCOLES"/>
    <x v="10"/>
    <x v="10"/>
    <n v="1440"/>
    <n v="120"/>
    <n v="244.8"/>
    <x v="0"/>
  </r>
  <r>
    <x v="175"/>
    <x v="7"/>
    <x v="30"/>
    <s v="MIÉRCOLES"/>
    <x v="1"/>
    <x v="1"/>
    <n v="1080"/>
    <n v="198"/>
    <n v="183.60000000000002"/>
    <x v="0"/>
  </r>
  <r>
    <x v="175"/>
    <x v="7"/>
    <x v="30"/>
    <s v="MIÉRCOLES"/>
    <x v="6"/>
    <x v="6"/>
    <n v="1680"/>
    <n v="120"/>
    <n v="285.60000000000002"/>
    <x v="0"/>
  </r>
  <r>
    <x v="175"/>
    <x v="7"/>
    <x v="30"/>
    <s v="MIÉRCOLES"/>
    <x v="10"/>
    <x v="10"/>
    <n v="6960"/>
    <n v="120"/>
    <n v="1183.2"/>
    <x v="0"/>
  </r>
  <r>
    <x v="175"/>
    <x v="7"/>
    <x v="30"/>
    <s v="MIÉRCOLES"/>
    <x v="11"/>
    <x v="11"/>
    <n v="2250"/>
    <n v="90"/>
    <n v="382.5"/>
    <x v="0"/>
  </r>
  <r>
    <x v="175"/>
    <x v="7"/>
    <x v="30"/>
    <s v="MIÉRCOLES"/>
    <x v="26"/>
    <x v="26"/>
    <n v="1260"/>
    <n v="90"/>
    <n v="214.20000000000002"/>
    <x v="0"/>
  </r>
  <r>
    <x v="176"/>
    <x v="7"/>
    <x v="30"/>
    <s v="JUEVES"/>
    <x v="13"/>
    <x v="13"/>
    <n v="270"/>
    <n v="30"/>
    <n v="108"/>
    <x v="0"/>
  </r>
  <r>
    <x v="176"/>
    <x v="7"/>
    <x v="30"/>
    <s v="JUEVES"/>
    <x v="15"/>
    <x v="15"/>
    <n v="350"/>
    <n v="50"/>
    <n v="140"/>
    <x v="0"/>
  </r>
  <r>
    <x v="176"/>
    <x v="7"/>
    <x v="30"/>
    <s v="JUEVES"/>
    <x v="36"/>
    <x v="36"/>
    <n v="450"/>
    <n v="90"/>
    <n v="180"/>
    <x v="0"/>
  </r>
  <r>
    <x v="176"/>
    <x v="7"/>
    <x v="30"/>
    <s v="JUEVES"/>
    <x v="24"/>
    <x v="24"/>
    <n v="1680"/>
    <n v="420"/>
    <n v="705.6"/>
    <x v="0"/>
  </r>
  <r>
    <x v="176"/>
    <x v="7"/>
    <x v="30"/>
    <s v="JUEVES"/>
    <x v="16"/>
    <x v="16"/>
    <n v="720"/>
    <n v="180"/>
    <n v="302.39999999999998"/>
    <x v="0"/>
  </r>
  <r>
    <x v="176"/>
    <x v="7"/>
    <x v="30"/>
    <s v="JUEVES"/>
    <x v="29"/>
    <x v="29"/>
    <n v="216"/>
    <n v="198"/>
    <n v="36.720000000000006"/>
    <x v="0"/>
  </r>
  <r>
    <x v="176"/>
    <x v="7"/>
    <x v="30"/>
    <s v="JUEVES"/>
    <x v="22"/>
    <x v="22"/>
    <n v="396"/>
    <n v="198"/>
    <n v="67.320000000000007"/>
    <x v="0"/>
  </r>
  <r>
    <x v="176"/>
    <x v="7"/>
    <x v="30"/>
    <s v="JUEVES"/>
    <x v="3"/>
    <x v="3"/>
    <n v="594"/>
    <n v="198"/>
    <n v="100.98"/>
    <x v="0"/>
  </r>
  <r>
    <x v="176"/>
    <x v="7"/>
    <x v="30"/>
    <s v="JUEVES"/>
    <x v="4"/>
    <x v="4"/>
    <n v="1458"/>
    <n v="162"/>
    <n v="247.86"/>
    <x v="0"/>
  </r>
  <r>
    <x v="176"/>
    <x v="7"/>
    <x v="30"/>
    <s v="JUEVES"/>
    <x v="5"/>
    <x v="5"/>
    <n v="1620"/>
    <n v="162"/>
    <n v="275.40000000000003"/>
    <x v="0"/>
  </r>
  <r>
    <x v="176"/>
    <x v="7"/>
    <x v="30"/>
    <s v="JUEVES"/>
    <x v="6"/>
    <x v="6"/>
    <n v="1080"/>
    <n v="120"/>
    <n v="183.60000000000002"/>
    <x v="0"/>
  </r>
  <r>
    <x v="176"/>
    <x v="7"/>
    <x v="30"/>
    <s v="JUEVES"/>
    <x v="9"/>
    <x v="9"/>
    <n v="900"/>
    <n v="90"/>
    <n v="153"/>
    <x v="0"/>
  </r>
  <r>
    <x v="176"/>
    <x v="7"/>
    <x v="30"/>
    <s v="JUEVES"/>
    <x v="26"/>
    <x v="26"/>
    <n v="180"/>
    <n v="90"/>
    <n v="30.6"/>
    <x v="0"/>
  </r>
  <r>
    <x v="176"/>
    <x v="7"/>
    <x v="30"/>
    <s v="JUEVES"/>
    <x v="23"/>
    <x v="23"/>
    <n v="1440"/>
    <n v="90"/>
    <n v="244.8"/>
    <x v="0"/>
  </r>
  <r>
    <x v="176"/>
    <x v="7"/>
    <x v="30"/>
    <s v="JUEVES"/>
    <x v="20"/>
    <x v="20"/>
    <n v="450"/>
    <n v="90"/>
    <n v="76.5"/>
    <x v="0"/>
  </r>
  <r>
    <x v="176"/>
    <x v="7"/>
    <x v="30"/>
    <s v="JUEVES"/>
    <x v="25"/>
    <x v="25"/>
    <n v="450"/>
    <n v="225"/>
    <n v="189"/>
    <x v="0"/>
  </r>
  <r>
    <x v="176"/>
    <x v="7"/>
    <x v="30"/>
    <s v="JUEVES"/>
    <x v="12"/>
    <x v="12"/>
    <n v="1125"/>
    <n v="225"/>
    <n v="450"/>
    <x v="0"/>
  </r>
  <r>
    <x v="176"/>
    <x v="7"/>
    <x v="30"/>
    <s v="JUEVES"/>
    <x v="19"/>
    <x v="19"/>
    <n v="675"/>
    <n v="225"/>
    <n v="270"/>
    <x v="0"/>
  </r>
  <r>
    <x v="176"/>
    <x v="7"/>
    <x v="30"/>
    <s v="JUEVES"/>
    <x v="42"/>
    <x v="42"/>
    <n v="500"/>
    <n v="420"/>
    <n v="210"/>
    <x v="0"/>
  </r>
  <r>
    <x v="176"/>
    <x v="7"/>
    <x v="30"/>
    <s v="JUEVES"/>
    <x v="43"/>
    <x v="43"/>
    <n v="750"/>
    <n v="420"/>
    <n v="315"/>
    <x v="0"/>
  </r>
  <r>
    <x v="176"/>
    <x v="7"/>
    <x v="30"/>
    <s v="JUEVES"/>
    <x v="43"/>
    <x v="43"/>
    <n v="500"/>
    <n v="420"/>
    <n v="210"/>
    <x v="0"/>
  </r>
  <r>
    <x v="176"/>
    <x v="7"/>
    <x v="30"/>
    <s v="JUEVES"/>
    <x v="24"/>
    <x v="24"/>
    <n v="420"/>
    <n v="420"/>
    <n v="176.4"/>
    <x v="0"/>
  </r>
  <r>
    <x v="176"/>
    <x v="7"/>
    <x v="30"/>
    <s v="JUEVES"/>
    <x v="25"/>
    <x v="25"/>
    <n v="900"/>
    <n v="225"/>
    <n v="378"/>
    <x v="0"/>
  </r>
  <r>
    <x v="177"/>
    <x v="7"/>
    <x v="30"/>
    <s v="VIERNES"/>
    <x v="25"/>
    <x v="25"/>
    <n v="2250"/>
    <n v="225"/>
    <n v="945"/>
    <x v="0"/>
  </r>
  <r>
    <x v="177"/>
    <x v="7"/>
    <x v="30"/>
    <s v="VIERNES"/>
    <x v="11"/>
    <x v="11"/>
    <n v="2160"/>
    <n v="90"/>
    <n v="367.20000000000005"/>
    <x v="0"/>
  </r>
  <r>
    <x v="177"/>
    <x v="7"/>
    <x v="30"/>
    <s v="VIERNES"/>
    <x v="23"/>
    <x v="23"/>
    <n v="450"/>
    <n v="90"/>
    <n v="76.5"/>
    <x v="0"/>
  </r>
  <r>
    <x v="177"/>
    <x v="7"/>
    <x v="30"/>
    <s v="VIERNES"/>
    <x v="26"/>
    <x v="26"/>
    <n v="180"/>
    <n v="90"/>
    <n v="30.6"/>
    <x v="0"/>
  </r>
  <r>
    <x v="177"/>
    <x v="7"/>
    <x v="30"/>
    <s v="VIERNES"/>
    <x v="10"/>
    <x v="10"/>
    <n v="2160"/>
    <n v="120"/>
    <n v="367.20000000000005"/>
    <x v="0"/>
  </r>
  <r>
    <x v="177"/>
    <x v="7"/>
    <x v="30"/>
    <s v="VIERNES"/>
    <x v="7"/>
    <x v="7"/>
    <n v="1296"/>
    <n v="198"/>
    <n v="220.32000000000002"/>
    <x v="0"/>
  </r>
  <r>
    <x v="177"/>
    <x v="7"/>
    <x v="30"/>
    <s v="VIERNES"/>
    <x v="22"/>
    <x v="22"/>
    <n v="1188"/>
    <n v="198"/>
    <n v="201.96"/>
    <x v="0"/>
  </r>
  <r>
    <x v="177"/>
    <x v="7"/>
    <x v="30"/>
    <s v="VIERNES"/>
    <x v="1"/>
    <x v="1"/>
    <n v="1296"/>
    <n v="198"/>
    <n v="220.32000000000002"/>
    <x v="0"/>
  </r>
  <r>
    <x v="177"/>
    <x v="7"/>
    <x v="30"/>
    <s v="VIERNES"/>
    <x v="16"/>
    <x v="16"/>
    <n v="900"/>
    <n v="180"/>
    <n v="378"/>
    <x v="0"/>
  </r>
  <r>
    <x v="177"/>
    <x v="7"/>
    <x v="30"/>
    <s v="VIERNES"/>
    <x v="0"/>
    <x v="0"/>
    <n v="720"/>
    <n v="48"/>
    <n v="288"/>
    <x v="0"/>
  </r>
  <r>
    <x v="177"/>
    <x v="7"/>
    <x v="30"/>
    <s v="VIERNES"/>
    <x v="36"/>
    <x v="36"/>
    <n v="990"/>
    <n v="90"/>
    <n v="396"/>
    <x v="0"/>
  </r>
  <r>
    <x v="177"/>
    <x v="7"/>
    <x v="30"/>
    <s v="VIERNES"/>
    <x v="14"/>
    <x v="14"/>
    <n v="160"/>
    <n v="40"/>
    <n v="36.800000000000004"/>
    <x v="0"/>
  </r>
  <r>
    <x v="177"/>
    <x v="7"/>
    <x v="30"/>
    <s v="VIERNES"/>
    <x v="13"/>
    <x v="13"/>
    <n v="240"/>
    <n v="30"/>
    <n v="96"/>
    <x v="0"/>
  </r>
  <r>
    <x v="177"/>
    <x v="7"/>
    <x v="30"/>
    <s v="VIERNES"/>
    <x v="28"/>
    <x v="28"/>
    <n v="240"/>
    <n v="30"/>
    <n v="55.2"/>
    <x v="0"/>
  </r>
  <r>
    <x v="177"/>
    <x v="7"/>
    <x v="30"/>
    <s v="VIERNES"/>
    <x v="33"/>
    <x v="33"/>
    <n v="200"/>
    <n v="40"/>
    <n v="46"/>
    <x v="0"/>
  </r>
  <r>
    <x v="177"/>
    <x v="7"/>
    <x v="30"/>
    <s v="VIERNES"/>
    <x v="22"/>
    <x v="22"/>
    <n v="330"/>
    <n v="198"/>
    <n v="56.1"/>
    <x v="0"/>
  </r>
  <r>
    <x v="178"/>
    <x v="7"/>
    <x v="31"/>
    <s v="SÁBADO"/>
    <x v="36"/>
    <x v="36"/>
    <n v="1620"/>
    <n v="90"/>
    <n v="648"/>
    <x v="0"/>
  </r>
  <r>
    <x v="178"/>
    <x v="7"/>
    <x v="31"/>
    <s v="SÁBADO"/>
    <x v="1"/>
    <x v="1"/>
    <n v="1296"/>
    <n v="198"/>
    <n v="220.32000000000002"/>
    <x v="0"/>
  </r>
  <r>
    <x v="178"/>
    <x v="7"/>
    <x v="31"/>
    <s v="SÁBADO"/>
    <x v="2"/>
    <x v="2"/>
    <n v="432"/>
    <n v="198"/>
    <n v="73.440000000000012"/>
    <x v="0"/>
  </r>
  <r>
    <x v="178"/>
    <x v="7"/>
    <x v="31"/>
    <s v="SÁBADO"/>
    <x v="34"/>
    <x v="34"/>
    <n v="648"/>
    <n v="198"/>
    <n v="110.16000000000001"/>
    <x v="0"/>
  </r>
  <r>
    <x v="178"/>
    <x v="7"/>
    <x v="31"/>
    <s v="SÁBADO"/>
    <x v="29"/>
    <x v="29"/>
    <n v="432"/>
    <n v="198"/>
    <n v="73.440000000000012"/>
    <x v="0"/>
  </r>
  <r>
    <x v="178"/>
    <x v="7"/>
    <x v="31"/>
    <s v="SÁBADO"/>
    <x v="22"/>
    <x v="22"/>
    <n v="792"/>
    <n v="198"/>
    <n v="134.64000000000001"/>
    <x v="0"/>
  </r>
  <r>
    <x v="178"/>
    <x v="7"/>
    <x v="31"/>
    <s v="SÁBADO"/>
    <x v="3"/>
    <x v="3"/>
    <n v="396"/>
    <n v="198"/>
    <n v="67.320000000000007"/>
    <x v="0"/>
  </r>
  <r>
    <x v="178"/>
    <x v="7"/>
    <x v="31"/>
    <s v="SÁBADO"/>
    <x v="5"/>
    <x v="5"/>
    <n v="810"/>
    <n v="162"/>
    <n v="137.70000000000002"/>
    <x v="0"/>
  </r>
  <r>
    <x v="178"/>
    <x v="7"/>
    <x v="31"/>
    <s v="SÁBADO"/>
    <x v="6"/>
    <x v="6"/>
    <n v="1440"/>
    <n v="120"/>
    <n v="244.8"/>
    <x v="0"/>
  </r>
  <r>
    <x v="178"/>
    <x v="7"/>
    <x v="31"/>
    <s v="SÁBADO"/>
    <x v="7"/>
    <x v="7"/>
    <n v="864"/>
    <n v="198"/>
    <n v="146.88000000000002"/>
    <x v="0"/>
  </r>
  <r>
    <x v="178"/>
    <x v="7"/>
    <x v="31"/>
    <s v="SÁBADO"/>
    <x v="8"/>
    <x v="8"/>
    <n v="432"/>
    <n v="198"/>
    <n v="73.440000000000012"/>
    <x v="0"/>
  </r>
  <r>
    <x v="178"/>
    <x v="7"/>
    <x v="31"/>
    <s v="SÁBADO"/>
    <x v="9"/>
    <x v="9"/>
    <n v="450"/>
    <n v="90"/>
    <n v="76.5"/>
    <x v="0"/>
  </r>
  <r>
    <x v="178"/>
    <x v="7"/>
    <x v="31"/>
    <s v="SÁBADO"/>
    <x v="26"/>
    <x v="26"/>
    <n v="720"/>
    <n v="90"/>
    <n v="122.4"/>
    <x v="0"/>
  </r>
  <r>
    <x v="178"/>
    <x v="7"/>
    <x v="31"/>
    <s v="SÁBADO"/>
    <x v="23"/>
    <x v="23"/>
    <n v="1440"/>
    <n v="90"/>
    <n v="244.8"/>
    <x v="0"/>
  </r>
  <r>
    <x v="178"/>
    <x v="7"/>
    <x v="31"/>
    <s v="SÁBADO"/>
    <x v="20"/>
    <x v="20"/>
    <n v="450"/>
    <n v="90"/>
    <n v="76.5"/>
    <x v="0"/>
  </r>
  <r>
    <x v="178"/>
    <x v="7"/>
    <x v="31"/>
    <s v="SÁBADO"/>
    <x v="25"/>
    <x v="25"/>
    <n v="2250"/>
    <n v="225"/>
    <n v="945"/>
    <x v="0"/>
  </r>
  <r>
    <x v="178"/>
    <x v="7"/>
    <x v="31"/>
    <s v="SÁBADO"/>
    <x v="12"/>
    <x v="12"/>
    <n v="450"/>
    <n v="225"/>
    <n v="180"/>
    <x v="0"/>
  </r>
  <r>
    <x v="179"/>
    <x v="7"/>
    <x v="31"/>
    <s v="DOMINGO"/>
    <x v="24"/>
    <x v="24"/>
    <n v="840"/>
    <n v="420"/>
    <n v="352.8"/>
    <x v="0"/>
  </r>
  <r>
    <x v="179"/>
    <x v="7"/>
    <x v="31"/>
    <s v="DOMINGO"/>
    <x v="36"/>
    <x v="36"/>
    <n v="720"/>
    <n v="90"/>
    <n v="288"/>
    <x v="0"/>
  </r>
  <r>
    <x v="179"/>
    <x v="7"/>
    <x v="31"/>
    <s v="DOMINGO"/>
    <x v="24"/>
    <x v="24"/>
    <n v="420"/>
    <n v="420"/>
    <n v="176.4"/>
    <x v="0"/>
  </r>
  <r>
    <x v="179"/>
    <x v="7"/>
    <x v="31"/>
    <s v="DOMINGO"/>
    <x v="36"/>
    <x v="36"/>
    <n v="450"/>
    <n v="90"/>
    <n v="180"/>
    <x v="0"/>
  </r>
  <r>
    <x v="180"/>
    <x v="7"/>
    <x v="31"/>
    <s v="LUNES"/>
    <x v="6"/>
    <x v="6"/>
    <n v="600"/>
    <n v="120"/>
    <n v="102.00000000000001"/>
    <x v="0"/>
  </r>
  <r>
    <x v="180"/>
    <x v="7"/>
    <x v="31"/>
    <s v="LUNES"/>
    <x v="36"/>
    <x v="36"/>
    <n v="360"/>
    <n v="90"/>
    <n v="144"/>
    <x v="0"/>
  </r>
  <r>
    <x v="180"/>
    <x v="7"/>
    <x v="31"/>
    <s v="LUNES"/>
    <x v="28"/>
    <x v="28"/>
    <n v="210"/>
    <n v="30"/>
    <n v="48.300000000000004"/>
    <x v="0"/>
  </r>
  <r>
    <x v="180"/>
    <x v="7"/>
    <x v="31"/>
    <s v="LUNES"/>
    <x v="13"/>
    <x v="13"/>
    <n v="240"/>
    <n v="30"/>
    <n v="96"/>
    <x v="0"/>
  </r>
  <r>
    <x v="180"/>
    <x v="7"/>
    <x v="31"/>
    <s v="LUNES"/>
    <x v="14"/>
    <x v="14"/>
    <n v="80"/>
    <n v="40"/>
    <n v="18.400000000000002"/>
    <x v="0"/>
  </r>
  <r>
    <x v="180"/>
    <x v="7"/>
    <x v="31"/>
    <s v="LUNES"/>
    <x v="36"/>
    <x v="36"/>
    <n v="630"/>
    <n v="90"/>
    <n v="252"/>
    <x v="0"/>
  </r>
  <r>
    <x v="180"/>
    <x v="7"/>
    <x v="31"/>
    <s v="LUNES"/>
    <x v="38"/>
    <x v="38"/>
    <n v="672"/>
    <n v="112"/>
    <n v="268.8"/>
    <x v="0"/>
  </r>
  <r>
    <x v="180"/>
    <x v="7"/>
    <x v="31"/>
    <s v="LUNES"/>
    <x v="0"/>
    <x v="0"/>
    <n v="960"/>
    <n v="48"/>
    <n v="384"/>
    <x v="0"/>
  </r>
  <r>
    <x v="180"/>
    <x v="7"/>
    <x v="31"/>
    <s v="LUNES"/>
    <x v="16"/>
    <x v="16"/>
    <n v="720"/>
    <n v="180"/>
    <n v="302.39999999999998"/>
    <x v="0"/>
  </r>
  <r>
    <x v="180"/>
    <x v="7"/>
    <x v="31"/>
    <s v="LUNES"/>
    <x v="1"/>
    <x v="1"/>
    <n v="864"/>
    <n v="198"/>
    <n v="146.88000000000002"/>
    <x v="0"/>
  </r>
  <r>
    <x v="180"/>
    <x v="7"/>
    <x v="31"/>
    <s v="LUNES"/>
    <x v="2"/>
    <x v="2"/>
    <n v="864"/>
    <n v="198"/>
    <n v="146.88000000000002"/>
    <x v="0"/>
  </r>
  <r>
    <x v="180"/>
    <x v="7"/>
    <x v="31"/>
    <s v="LUNES"/>
    <x v="4"/>
    <x v="4"/>
    <n v="810"/>
    <n v="162"/>
    <n v="137.70000000000002"/>
    <x v="0"/>
  </r>
  <r>
    <x v="180"/>
    <x v="7"/>
    <x v="31"/>
    <s v="LUNES"/>
    <x v="5"/>
    <x v="5"/>
    <n v="810"/>
    <n v="162"/>
    <n v="137.70000000000002"/>
    <x v="0"/>
  </r>
  <r>
    <x v="180"/>
    <x v="7"/>
    <x v="31"/>
    <s v="LUNES"/>
    <x v="6"/>
    <x v="6"/>
    <n v="2760"/>
    <n v="120"/>
    <n v="469.20000000000005"/>
    <x v="0"/>
  </r>
  <r>
    <x v="180"/>
    <x v="7"/>
    <x v="31"/>
    <s v="LUNES"/>
    <x v="23"/>
    <x v="23"/>
    <n v="720"/>
    <n v="90"/>
    <n v="122.4"/>
    <x v="0"/>
  </r>
  <r>
    <x v="180"/>
    <x v="7"/>
    <x v="31"/>
    <s v="LUNES"/>
    <x v="20"/>
    <x v="20"/>
    <n v="450"/>
    <n v="90"/>
    <n v="76.5"/>
    <x v="0"/>
  </r>
  <r>
    <x v="180"/>
    <x v="7"/>
    <x v="31"/>
    <s v="LUNES"/>
    <x v="12"/>
    <x v="12"/>
    <n v="675"/>
    <n v="225"/>
    <n v="270"/>
    <x v="0"/>
  </r>
  <r>
    <x v="180"/>
    <x v="7"/>
    <x v="31"/>
    <s v="LUNES"/>
    <x v="39"/>
    <x v="39"/>
    <n v="1260"/>
    <n v="420"/>
    <n v="529.19999999999993"/>
    <x v="0"/>
  </r>
  <r>
    <x v="180"/>
    <x v="7"/>
    <x v="31"/>
    <s v="LUNES"/>
    <x v="24"/>
    <x v="24"/>
    <n v="2940"/>
    <n v="420"/>
    <n v="1234.8"/>
    <x v="0"/>
  </r>
  <r>
    <x v="181"/>
    <x v="7"/>
    <x v="31"/>
    <s v="MARTES"/>
    <x v="28"/>
    <x v="28"/>
    <n v="150"/>
    <n v="30"/>
    <n v="34.5"/>
    <x v="0"/>
  </r>
  <r>
    <x v="181"/>
    <x v="7"/>
    <x v="31"/>
    <s v="MARTES"/>
    <x v="33"/>
    <x v="33"/>
    <n v="160"/>
    <n v="40"/>
    <n v="36.800000000000004"/>
    <x v="0"/>
  </r>
  <r>
    <x v="181"/>
    <x v="7"/>
    <x v="31"/>
    <s v="MARTES"/>
    <x v="15"/>
    <x v="15"/>
    <n v="450"/>
    <n v="50"/>
    <n v="180"/>
    <x v="0"/>
  </r>
  <r>
    <x v="181"/>
    <x v="7"/>
    <x v="31"/>
    <s v="MARTES"/>
    <x v="36"/>
    <x v="36"/>
    <n v="540"/>
    <n v="90"/>
    <n v="216"/>
    <x v="0"/>
  </r>
  <r>
    <x v="181"/>
    <x v="7"/>
    <x v="31"/>
    <s v="MARTES"/>
    <x v="40"/>
    <x v="40"/>
    <n v="448"/>
    <n v="240"/>
    <n v="179.20000000000002"/>
    <x v="0"/>
  </r>
  <r>
    <x v="181"/>
    <x v="7"/>
    <x v="31"/>
    <s v="MARTES"/>
    <x v="0"/>
    <x v="0"/>
    <n v="480"/>
    <n v="48"/>
    <n v="192"/>
    <x v="0"/>
  </r>
  <r>
    <x v="181"/>
    <x v="7"/>
    <x v="31"/>
    <s v="MARTES"/>
    <x v="24"/>
    <x v="24"/>
    <n v="1260"/>
    <n v="420"/>
    <n v="529.19999999999993"/>
    <x v="0"/>
  </r>
  <r>
    <x v="181"/>
    <x v="7"/>
    <x v="31"/>
    <s v="MARTES"/>
    <x v="39"/>
    <x v="39"/>
    <n v="420"/>
    <n v="420"/>
    <n v="176.4"/>
    <x v="0"/>
  </r>
  <r>
    <x v="181"/>
    <x v="7"/>
    <x v="31"/>
    <s v="MARTES"/>
    <x v="22"/>
    <x v="22"/>
    <n v="594"/>
    <n v="198"/>
    <n v="100.98"/>
    <x v="0"/>
  </r>
  <r>
    <x v="181"/>
    <x v="7"/>
    <x v="31"/>
    <s v="MARTES"/>
    <x v="3"/>
    <x v="3"/>
    <n v="198"/>
    <n v="198"/>
    <n v="33.660000000000004"/>
    <x v="0"/>
  </r>
  <r>
    <x v="181"/>
    <x v="7"/>
    <x v="31"/>
    <s v="MARTES"/>
    <x v="4"/>
    <x v="4"/>
    <n v="486"/>
    <n v="162"/>
    <n v="82.62"/>
    <x v="0"/>
  </r>
  <r>
    <x v="181"/>
    <x v="7"/>
    <x v="31"/>
    <s v="MARTES"/>
    <x v="6"/>
    <x v="6"/>
    <n v="2400"/>
    <n v="120"/>
    <n v="408.00000000000006"/>
    <x v="0"/>
  </r>
  <r>
    <x v="181"/>
    <x v="7"/>
    <x v="31"/>
    <s v="MARTES"/>
    <x v="17"/>
    <x v="17"/>
    <n v="480"/>
    <n v="120"/>
    <n v="81.600000000000009"/>
    <x v="0"/>
  </r>
  <r>
    <x v="181"/>
    <x v="7"/>
    <x v="31"/>
    <s v="MARTES"/>
    <x v="7"/>
    <x v="7"/>
    <n v="864"/>
    <n v="198"/>
    <n v="146.88000000000002"/>
    <x v="0"/>
  </r>
  <r>
    <x v="181"/>
    <x v="7"/>
    <x v="31"/>
    <s v="MARTES"/>
    <x v="9"/>
    <x v="9"/>
    <n v="720"/>
    <n v="90"/>
    <n v="122.4"/>
    <x v="0"/>
  </r>
  <r>
    <x v="181"/>
    <x v="7"/>
    <x v="31"/>
    <s v="MARTES"/>
    <x v="26"/>
    <x v="26"/>
    <n v="720"/>
    <n v="90"/>
    <n v="122.4"/>
    <x v="0"/>
  </r>
  <r>
    <x v="181"/>
    <x v="7"/>
    <x v="31"/>
    <s v="MARTES"/>
    <x v="23"/>
    <x v="23"/>
    <n v="720"/>
    <n v="90"/>
    <n v="122.4"/>
    <x v="0"/>
  </r>
  <r>
    <x v="181"/>
    <x v="7"/>
    <x v="31"/>
    <s v="MARTES"/>
    <x v="11"/>
    <x v="11"/>
    <n v="2160"/>
    <n v="90"/>
    <n v="367.20000000000005"/>
    <x v="0"/>
  </r>
  <r>
    <x v="181"/>
    <x v="7"/>
    <x v="31"/>
    <s v="MARTES"/>
    <x v="12"/>
    <x v="12"/>
    <n v="450"/>
    <n v="225"/>
    <n v="180"/>
    <x v="0"/>
  </r>
  <r>
    <x v="181"/>
    <x v="7"/>
    <x v="31"/>
    <s v="MARTES"/>
    <x v="19"/>
    <x v="19"/>
    <n v="900"/>
    <n v="225"/>
    <n v="360"/>
    <x v="0"/>
  </r>
  <r>
    <x v="181"/>
    <x v="7"/>
    <x v="31"/>
    <s v="MARTES"/>
    <x v="42"/>
    <x v="42"/>
    <n v="750"/>
    <n v="420"/>
    <n v="315"/>
    <x v="0"/>
  </r>
  <r>
    <x v="181"/>
    <x v="7"/>
    <x v="31"/>
    <s v="MARTES"/>
    <x v="38"/>
    <x v="38"/>
    <n v="672"/>
    <n v="112"/>
    <n v="268.8"/>
    <x v="0"/>
  </r>
  <r>
    <x v="181"/>
    <x v="7"/>
    <x v="31"/>
    <s v="MARTES"/>
    <x v="36"/>
    <x v="36"/>
    <n v="1800"/>
    <n v="90"/>
    <n v="720"/>
    <x v="0"/>
  </r>
  <r>
    <x v="181"/>
    <x v="7"/>
    <x v="31"/>
    <s v="MARTES"/>
    <x v="40"/>
    <x v="40"/>
    <n v="224"/>
    <n v="240"/>
    <n v="89.600000000000009"/>
    <x v="0"/>
  </r>
  <r>
    <x v="182"/>
    <x v="7"/>
    <x v="31"/>
    <s v="MIÉRCOLES"/>
    <x v="36"/>
    <x v="36"/>
    <n v="1440"/>
    <n v="90"/>
    <n v="576"/>
    <x v="0"/>
  </r>
  <r>
    <x v="182"/>
    <x v="7"/>
    <x v="28"/>
    <m/>
    <x v="6"/>
    <x v="6"/>
    <n v="1200"/>
    <n v="120"/>
    <n v="204.00000000000003"/>
    <x v="0"/>
  </r>
  <r>
    <x v="182"/>
    <x v="7"/>
    <x v="31"/>
    <s v="MIÉRCOLES"/>
    <x v="28"/>
    <x v="28"/>
    <n v="210"/>
    <n v="30"/>
    <n v="48.300000000000004"/>
    <x v="0"/>
  </r>
  <r>
    <x v="182"/>
    <x v="7"/>
    <x v="31"/>
    <s v="MIÉRCOLES"/>
    <x v="13"/>
    <x v="13"/>
    <n v="300"/>
    <n v="30"/>
    <n v="120"/>
    <x v="0"/>
  </r>
  <r>
    <x v="182"/>
    <x v="7"/>
    <x v="31"/>
    <s v="MIÉRCOLES"/>
    <x v="14"/>
    <x v="14"/>
    <n v="80"/>
    <n v="40"/>
    <n v="18.400000000000002"/>
    <x v="0"/>
  </r>
  <r>
    <x v="182"/>
    <x v="7"/>
    <x v="31"/>
    <s v="MIÉRCOLES"/>
    <x v="15"/>
    <x v="15"/>
    <n v="300"/>
    <n v="50"/>
    <n v="120"/>
    <x v="0"/>
  </r>
  <r>
    <x v="182"/>
    <x v="7"/>
    <x v="31"/>
    <s v="MIÉRCOLES"/>
    <x v="36"/>
    <x v="36"/>
    <n v="1800"/>
    <n v="90"/>
    <n v="720"/>
    <x v="0"/>
  </r>
  <r>
    <x v="182"/>
    <x v="7"/>
    <x v="31"/>
    <s v="MIÉRCOLES"/>
    <x v="0"/>
    <x v="0"/>
    <n v="1056"/>
    <n v="48"/>
    <n v="422.40000000000003"/>
    <x v="0"/>
  </r>
  <r>
    <x v="182"/>
    <x v="7"/>
    <x v="31"/>
    <s v="MIÉRCOLES"/>
    <x v="16"/>
    <x v="16"/>
    <n v="180"/>
    <n v="180"/>
    <n v="75.599999999999994"/>
    <x v="0"/>
  </r>
  <r>
    <x v="182"/>
    <x v="7"/>
    <x v="31"/>
    <s v="MIÉRCOLES"/>
    <x v="2"/>
    <x v="2"/>
    <n v="1296"/>
    <n v="198"/>
    <n v="220.32000000000002"/>
    <x v="0"/>
  </r>
  <r>
    <x v="182"/>
    <x v="7"/>
    <x v="31"/>
    <s v="MIÉRCOLES"/>
    <x v="22"/>
    <x v="22"/>
    <n v="1188"/>
    <n v="198"/>
    <n v="201.96"/>
    <x v="0"/>
  </r>
  <r>
    <x v="182"/>
    <x v="7"/>
    <x v="31"/>
    <s v="MIÉRCOLES"/>
    <x v="3"/>
    <x v="3"/>
    <n v="1584"/>
    <n v="198"/>
    <n v="269.28000000000003"/>
    <x v="0"/>
  </r>
  <r>
    <x v="182"/>
    <x v="7"/>
    <x v="31"/>
    <s v="MIÉRCOLES"/>
    <x v="4"/>
    <x v="4"/>
    <n v="810"/>
    <n v="162"/>
    <n v="137.70000000000002"/>
    <x v="0"/>
  </r>
  <r>
    <x v="182"/>
    <x v="7"/>
    <x v="31"/>
    <s v="MIÉRCOLES"/>
    <x v="5"/>
    <x v="5"/>
    <n v="972"/>
    <n v="162"/>
    <n v="165.24"/>
    <x v="0"/>
  </r>
  <r>
    <x v="182"/>
    <x v="7"/>
    <x v="31"/>
    <s v="MIÉRCOLES"/>
    <x v="17"/>
    <x v="17"/>
    <n v="1200"/>
    <n v="120"/>
    <n v="204.00000000000003"/>
    <x v="0"/>
  </r>
  <r>
    <x v="182"/>
    <x v="7"/>
    <x v="31"/>
    <s v="MIÉRCOLES"/>
    <x v="7"/>
    <x v="7"/>
    <n v="2808"/>
    <n v="198"/>
    <n v="477.36"/>
    <x v="0"/>
  </r>
  <r>
    <x v="182"/>
    <x v="7"/>
    <x v="31"/>
    <s v="MIÉRCOLES"/>
    <x v="8"/>
    <x v="8"/>
    <n v="1728"/>
    <n v="198"/>
    <n v="293.76000000000005"/>
    <x v="0"/>
  </r>
  <r>
    <x v="182"/>
    <x v="7"/>
    <x v="31"/>
    <s v="MIÉRCOLES"/>
    <x v="10"/>
    <x v="10"/>
    <n v="2640"/>
    <n v="120"/>
    <n v="448.8"/>
    <x v="0"/>
  </r>
  <r>
    <x v="182"/>
    <x v="7"/>
    <x v="31"/>
    <s v="MIÉRCOLES"/>
    <x v="12"/>
    <x v="12"/>
    <n v="900"/>
    <n v="225"/>
    <n v="360"/>
    <x v="0"/>
  </r>
  <r>
    <x v="182"/>
    <x v="7"/>
    <x v="31"/>
    <s v="MIÉRCOLES"/>
    <x v="19"/>
    <x v="19"/>
    <n v="450"/>
    <n v="225"/>
    <n v="180"/>
    <x v="0"/>
  </r>
  <r>
    <x v="182"/>
    <x v="7"/>
    <x v="31"/>
    <s v="MIÉRCOLES"/>
    <x v="42"/>
    <x v="42"/>
    <n v="500"/>
    <n v="420"/>
    <n v="210"/>
    <x v="0"/>
  </r>
  <r>
    <x v="182"/>
    <x v="7"/>
    <x v="31"/>
    <s v="MIÉRCOLES"/>
    <x v="6"/>
    <x v="6"/>
    <n v="1200"/>
    <n v="120"/>
    <n v="204.00000000000003"/>
    <x v="0"/>
  </r>
  <r>
    <x v="183"/>
    <x v="7"/>
    <x v="31"/>
    <s v="JUEVES"/>
    <x v="0"/>
    <x v="0"/>
    <n v="960"/>
    <n v="48"/>
    <n v="384"/>
    <x v="0"/>
  </r>
  <r>
    <x v="183"/>
    <x v="7"/>
    <x v="31"/>
    <s v="JUEVES"/>
    <x v="16"/>
    <x v="16"/>
    <n v="900"/>
    <n v="180"/>
    <n v="378"/>
    <x v="0"/>
  </r>
  <r>
    <x v="183"/>
    <x v="7"/>
    <x v="31"/>
    <s v="JUEVES"/>
    <x v="1"/>
    <x v="1"/>
    <n v="2376"/>
    <n v="198"/>
    <n v="403.92"/>
    <x v="0"/>
  </r>
  <r>
    <x v="183"/>
    <x v="7"/>
    <x v="31"/>
    <s v="JUEVES"/>
    <x v="2"/>
    <x v="2"/>
    <n v="2376"/>
    <n v="198"/>
    <n v="403.92"/>
    <x v="0"/>
  </r>
  <r>
    <x v="183"/>
    <x v="7"/>
    <x v="31"/>
    <s v="JUEVES"/>
    <x v="22"/>
    <x v="22"/>
    <n v="1980"/>
    <n v="198"/>
    <n v="336.6"/>
    <x v="0"/>
  </r>
  <r>
    <x v="183"/>
    <x v="7"/>
    <x v="31"/>
    <s v="JUEVES"/>
    <x v="3"/>
    <x v="3"/>
    <n v="990"/>
    <n v="198"/>
    <n v="168.3"/>
    <x v="0"/>
  </r>
  <r>
    <x v="183"/>
    <x v="7"/>
    <x v="31"/>
    <s v="JUEVES"/>
    <x v="4"/>
    <x v="4"/>
    <n v="1296"/>
    <n v="162"/>
    <n v="220.32000000000002"/>
    <x v="0"/>
  </r>
  <r>
    <x v="183"/>
    <x v="7"/>
    <x v="31"/>
    <s v="JUEVES"/>
    <x v="17"/>
    <x v="17"/>
    <n v="1560"/>
    <n v="120"/>
    <n v="265.20000000000005"/>
    <x v="0"/>
  </r>
  <r>
    <x v="183"/>
    <x v="7"/>
    <x v="31"/>
    <s v="JUEVES"/>
    <x v="7"/>
    <x v="7"/>
    <n v="2592"/>
    <n v="198"/>
    <n v="440.64000000000004"/>
    <x v="0"/>
  </r>
  <r>
    <x v="183"/>
    <x v="7"/>
    <x v="31"/>
    <s v="JUEVES"/>
    <x v="8"/>
    <x v="8"/>
    <n v="1728"/>
    <n v="198"/>
    <n v="293.76000000000005"/>
    <x v="0"/>
  </r>
  <r>
    <x v="183"/>
    <x v="7"/>
    <x v="31"/>
    <s v="JUEVES"/>
    <x v="10"/>
    <x v="10"/>
    <n v="6000"/>
    <n v="120"/>
    <n v="1020.0000000000001"/>
    <x v="0"/>
  </r>
  <r>
    <x v="183"/>
    <x v="7"/>
    <x v="31"/>
    <s v="JUEVES"/>
    <x v="11"/>
    <x v="11"/>
    <n v="2880"/>
    <n v="90"/>
    <n v="489.6"/>
    <x v="0"/>
  </r>
  <r>
    <x v="183"/>
    <x v="7"/>
    <x v="31"/>
    <s v="JUEVES"/>
    <x v="25"/>
    <x v="25"/>
    <n v="2250"/>
    <n v="225"/>
    <n v="945"/>
    <x v="0"/>
  </r>
  <r>
    <x v="183"/>
    <x v="7"/>
    <x v="31"/>
    <s v="JUEVES"/>
    <x v="6"/>
    <x v="6"/>
    <n v="2880"/>
    <n v="120"/>
    <n v="489.6"/>
    <x v="0"/>
  </r>
  <r>
    <x v="183"/>
    <x v="7"/>
    <x v="31"/>
    <s v="JUEVES"/>
    <x v="36"/>
    <x v="36"/>
    <n v="900"/>
    <n v="90"/>
    <n v="360"/>
    <x v="0"/>
  </r>
  <r>
    <x v="183"/>
    <x v="7"/>
    <x v="31"/>
    <s v="JUEVES"/>
    <x v="23"/>
    <x v="23"/>
    <n v="450"/>
    <n v="90"/>
    <n v="76.5"/>
    <x v="0"/>
  </r>
  <r>
    <x v="183"/>
    <x v="7"/>
    <x v="31"/>
    <s v="JUEVES"/>
    <x v="11"/>
    <x v="11"/>
    <n v="270"/>
    <n v="90"/>
    <n v="45.900000000000006"/>
    <x v="0"/>
  </r>
  <r>
    <x v="183"/>
    <x v="7"/>
    <x v="31"/>
    <s v="JUEVES"/>
    <x v="20"/>
    <x v="20"/>
    <n v="270"/>
    <n v="90"/>
    <n v="45.900000000000006"/>
    <x v="0"/>
  </r>
  <r>
    <x v="183"/>
    <x v="7"/>
    <x v="31"/>
    <s v="JUEVES"/>
    <x v="2"/>
    <x v="2"/>
    <n v="432"/>
    <n v="198"/>
    <n v="73.440000000000012"/>
    <x v="0"/>
  </r>
  <r>
    <x v="183"/>
    <x v="7"/>
    <x v="31"/>
    <s v="JUEVES"/>
    <x v="17"/>
    <x v="17"/>
    <n v="240"/>
    <n v="120"/>
    <n v="40.800000000000004"/>
    <x v="0"/>
  </r>
  <r>
    <x v="183"/>
    <x v="7"/>
    <x v="31"/>
    <s v="JUEVES"/>
    <x v="5"/>
    <x v="5"/>
    <n v="972"/>
    <n v="162"/>
    <n v="165.24"/>
    <x v="0"/>
  </r>
  <r>
    <x v="183"/>
    <x v="7"/>
    <x v="31"/>
    <s v="JUEVES"/>
    <x v="3"/>
    <x v="3"/>
    <n v="396"/>
    <n v="198"/>
    <n v="67.320000000000007"/>
    <x v="0"/>
  </r>
  <r>
    <x v="184"/>
    <x v="7"/>
    <x v="31"/>
    <s v="VIERNES"/>
    <x v="33"/>
    <x v="33"/>
    <n v="80"/>
    <n v="40"/>
    <n v="18.400000000000002"/>
    <x v="0"/>
  </r>
  <r>
    <x v="184"/>
    <x v="7"/>
    <x v="31"/>
    <s v="VIERNES"/>
    <x v="13"/>
    <x v="13"/>
    <n v="300"/>
    <n v="30"/>
    <n v="120"/>
    <x v="0"/>
  </r>
  <r>
    <x v="184"/>
    <x v="7"/>
    <x v="31"/>
    <s v="VIERNES"/>
    <x v="16"/>
    <x v="16"/>
    <n v="1440"/>
    <n v="180"/>
    <n v="604.79999999999995"/>
    <x v="0"/>
  </r>
  <r>
    <x v="184"/>
    <x v="7"/>
    <x v="31"/>
    <s v="VIERNES"/>
    <x v="3"/>
    <x v="3"/>
    <n v="1188"/>
    <n v="198"/>
    <n v="201.96"/>
    <x v="0"/>
  </r>
  <r>
    <x v="184"/>
    <x v="7"/>
    <x v="31"/>
    <s v="VIERNES"/>
    <x v="4"/>
    <x v="4"/>
    <n v="324"/>
    <n v="162"/>
    <n v="55.080000000000005"/>
    <x v="0"/>
  </r>
  <r>
    <x v="184"/>
    <x v="7"/>
    <x v="31"/>
    <s v="VIERNES"/>
    <x v="6"/>
    <x v="6"/>
    <n v="4080"/>
    <n v="120"/>
    <n v="693.6"/>
    <x v="0"/>
  </r>
  <r>
    <x v="184"/>
    <x v="7"/>
    <x v="31"/>
    <s v="VIERNES"/>
    <x v="7"/>
    <x v="7"/>
    <n v="1080"/>
    <n v="198"/>
    <n v="183.60000000000002"/>
    <x v="0"/>
  </r>
  <r>
    <x v="184"/>
    <x v="7"/>
    <x v="31"/>
    <s v="VIERNES"/>
    <x v="8"/>
    <x v="8"/>
    <n v="2160"/>
    <n v="198"/>
    <n v="367.20000000000005"/>
    <x v="0"/>
  </r>
  <r>
    <x v="184"/>
    <x v="7"/>
    <x v="31"/>
    <s v="VIERNES"/>
    <x v="9"/>
    <x v="9"/>
    <n v="900"/>
    <n v="90"/>
    <n v="153"/>
    <x v="0"/>
  </r>
  <r>
    <x v="184"/>
    <x v="7"/>
    <x v="31"/>
    <s v="VIERNES"/>
    <x v="10"/>
    <x v="10"/>
    <n v="4800"/>
    <n v="120"/>
    <n v="816.00000000000011"/>
    <x v="0"/>
  </r>
  <r>
    <x v="184"/>
    <x v="7"/>
    <x v="31"/>
    <s v="VIERNES"/>
    <x v="23"/>
    <x v="23"/>
    <n v="990"/>
    <n v="90"/>
    <n v="168.3"/>
    <x v="0"/>
  </r>
  <r>
    <x v="184"/>
    <x v="7"/>
    <x v="31"/>
    <s v="VIERNES"/>
    <x v="25"/>
    <x v="25"/>
    <n v="900"/>
    <n v="225"/>
    <n v="378"/>
    <x v="0"/>
  </r>
  <r>
    <x v="184"/>
    <x v="7"/>
    <x v="31"/>
    <s v="VIERNES"/>
    <x v="24"/>
    <x v="24"/>
    <n v="420"/>
    <n v="420"/>
    <n v="176.4"/>
    <x v="0"/>
  </r>
  <r>
    <x v="184"/>
    <x v="7"/>
    <x v="31"/>
    <s v="VIERNES"/>
    <x v="11"/>
    <x v="11"/>
    <n v="2160"/>
    <n v="90"/>
    <n v="367.20000000000005"/>
    <x v="0"/>
  </r>
  <r>
    <x v="185"/>
    <x v="7"/>
    <x v="32"/>
    <s v="LUNES"/>
    <x v="33"/>
    <x v="33"/>
    <n v="80"/>
    <n v="40"/>
    <n v="18.400000000000002"/>
    <x v="0"/>
  </r>
  <r>
    <x v="185"/>
    <x v="7"/>
    <x v="32"/>
    <s v="LUNES"/>
    <x v="40"/>
    <x v="40"/>
    <n v="448"/>
    <n v="240"/>
    <n v="179.20000000000002"/>
    <x v="0"/>
  </r>
  <r>
    <x v="185"/>
    <x v="7"/>
    <x v="32"/>
    <s v="LUNES"/>
    <x v="0"/>
    <x v="0"/>
    <n v="960"/>
    <n v="48"/>
    <n v="384"/>
    <x v="0"/>
  </r>
  <r>
    <x v="185"/>
    <x v="7"/>
    <x v="32"/>
    <s v="LUNES"/>
    <x v="6"/>
    <x v="6"/>
    <n v="3360"/>
    <n v="120"/>
    <n v="571.20000000000005"/>
    <x v="0"/>
  </r>
  <r>
    <x v="185"/>
    <x v="7"/>
    <x v="32"/>
    <s v="LUNES"/>
    <x v="9"/>
    <x v="9"/>
    <n v="2160"/>
    <n v="90"/>
    <n v="367.20000000000005"/>
    <x v="0"/>
  </r>
  <r>
    <x v="185"/>
    <x v="7"/>
    <x v="32"/>
    <s v="LUNES"/>
    <x v="10"/>
    <x v="10"/>
    <n v="2160"/>
    <n v="120"/>
    <n v="367.20000000000005"/>
    <x v="0"/>
  </r>
  <r>
    <x v="185"/>
    <x v="7"/>
    <x v="32"/>
    <s v="LUNES"/>
    <x v="7"/>
    <x v="7"/>
    <n v="1440"/>
    <n v="198"/>
    <n v="244.8"/>
    <x v="0"/>
  </r>
  <r>
    <x v="185"/>
    <x v="7"/>
    <x v="32"/>
    <s v="LUNES"/>
    <x v="11"/>
    <x v="11"/>
    <n v="3690"/>
    <n v="90"/>
    <n v="627.30000000000007"/>
    <x v="0"/>
  </r>
  <r>
    <x v="185"/>
    <x v="7"/>
    <x v="32"/>
    <s v="LUNES"/>
    <x v="25"/>
    <x v="25"/>
    <n v="1350"/>
    <n v="225"/>
    <n v="567"/>
    <x v="0"/>
  </r>
  <r>
    <x v="185"/>
    <x v="7"/>
    <x v="32"/>
    <s v="LUNES"/>
    <x v="43"/>
    <x v="43"/>
    <n v="1500"/>
    <n v="420"/>
    <n v="630"/>
    <x v="0"/>
  </r>
  <r>
    <x v="185"/>
    <x v="7"/>
    <x v="32"/>
    <s v="LUNES"/>
    <x v="30"/>
    <x v="30"/>
    <n v="1440"/>
    <n v="250"/>
    <n v="331.2"/>
    <x v="0"/>
  </r>
  <r>
    <x v="185"/>
    <x v="7"/>
    <x v="32"/>
    <s v="LUNES"/>
    <x v="10"/>
    <x v="10"/>
    <n v="8640"/>
    <n v="120"/>
    <n v="1468.8000000000002"/>
    <x v="0"/>
  </r>
  <r>
    <x v="185"/>
    <x v="7"/>
    <x v="32"/>
    <s v="LUNES"/>
    <x v="6"/>
    <x v="6"/>
    <n v="240"/>
    <n v="120"/>
    <n v="40.800000000000004"/>
    <x v="0"/>
  </r>
  <r>
    <x v="185"/>
    <x v="7"/>
    <x v="32"/>
    <s v="LUNES"/>
    <x v="11"/>
    <x v="11"/>
    <n v="810"/>
    <n v="90"/>
    <n v="137.70000000000002"/>
    <x v="0"/>
  </r>
  <r>
    <x v="185"/>
    <x v="7"/>
    <x v="32"/>
    <s v="LUNES"/>
    <x v="30"/>
    <x v="30"/>
    <n v="250"/>
    <n v="250"/>
    <n v="57.5"/>
    <x v="0"/>
  </r>
  <r>
    <x v="186"/>
    <x v="7"/>
    <x v="32"/>
    <s v="MARTES"/>
    <x v="28"/>
    <x v="28"/>
    <n v="150"/>
    <n v="30"/>
    <n v="34.5"/>
    <x v="0"/>
  </r>
  <r>
    <x v="186"/>
    <x v="7"/>
    <x v="32"/>
    <s v="MARTES"/>
    <x v="38"/>
    <x v="38"/>
    <n v="1120"/>
    <n v="112"/>
    <n v="448"/>
    <x v="0"/>
  </r>
  <r>
    <x v="186"/>
    <x v="7"/>
    <x v="32"/>
    <s v="MARTES"/>
    <x v="0"/>
    <x v="0"/>
    <n v="1920"/>
    <n v="48"/>
    <n v="768"/>
    <x v="0"/>
  </r>
  <r>
    <x v="186"/>
    <x v="7"/>
    <x v="32"/>
    <s v="MARTES"/>
    <x v="24"/>
    <x v="24"/>
    <n v="420"/>
    <n v="420"/>
    <n v="176.4"/>
    <x v="0"/>
  </r>
  <r>
    <x v="186"/>
    <x v="7"/>
    <x v="32"/>
    <s v="MARTES"/>
    <x v="39"/>
    <x v="39"/>
    <n v="420"/>
    <n v="420"/>
    <n v="176.4"/>
    <x v="0"/>
  </r>
  <r>
    <x v="186"/>
    <x v="7"/>
    <x v="32"/>
    <s v="MARTES"/>
    <x v="3"/>
    <x v="3"/>
    <n v="396"/>
    <n v="198"/>
    <n v="67.320000000000007"/>
    <x v="0"/>
  </r>
  <r>
    <x v="186"/>
    <x v="7"/>
    <x v="32"/>
    <s v="MARTES"/>
    <x v="6"/>
    <x v="6"/>
    <n v="1080"/>
    <n v="120"/>
    <n v="183.60000000000002"/>
    <x v="0"/>
  </r>
  <r>
    <x v="186"/>
    <x v="7"/>
    <x v="32"/>
    <s v="MARTES"/>
    <x v="17"/>
    <x v="17"/>
    <n v="3000"/>
    <n v="120"/>
    <n v="510.00000000000006"/>
    <x v="0"/>
  </r>
  <r>
    <x v="186"/>
    <x v="7"/>
    <x v="32"/>
    <s v="MARTES"/>
    <x v="8"/>
    <x v="8"/>
    <n v="1080"/>
    <n v="198"/>
    <n v="183.60000000000002"/>
    <x v="0"/>
  </r>
  <r>
    <x v="186"/>
    <x v="7"/>
    <x v="32"/>
    <s v="MARTES"/>
    <x v="9"/>
    <x v="9"/>
    <n v="1440"/>
    <n v="90"/>
    <n v="244.8"/>
    <x v="0"/>
  </r>
  <r>
    <x v="186"/>
    <x v="7"/>
    <x v="32"/>
    <s v="MARTES"/>
    <x v="10"/>
    <x v="10"/>
    <n v="3840"/>
    <n v="120"/>
    <n v="652.80000000000007"/>
    <x v="0"/>
  </r>
  <r>
    <x v="186"/>
    <x v="7"/>
    <x v="32"/>
    <s v="MARTES"/>
    <x v="11"/>
    <x v="11"/>
    <n v="2160"/>
    <n v="90"/>
    <n v="367.20000000000005"/>
    <x v="0"/>
  </r>
  <r>
    <x v="186"/>
    <x v="7"/>
    <x v="32"/>
    <s v="MARTES"/>
    <x v="20"/>
    <x v="20"/>
    <n v="2160"/>
    <n v="90"/>
    <n v="367.20000000000005"/>
    <x v="0"/>
  </r>
  <r>
    <x v="186"/>
    <x v="7"/>
    <x v="32"/>
    <s v="MARTES"/>
    <x v="12"/>
    <x v="12"/>
    <n v="900"/>
    <n v="225"/>
    <n v="360"/>
    <x v="0"/>
  </r>
  <r>
    <x v="186"/>
    <x v="7"/>
    <x v="32"/>
    <s v="MARTES"/>
    <x v="42"/>
    <x v="42"/>
    <n v="750"/>
    <n v="420"/>
    <n v="315"/>
    <x v="0"/>
  </r>
  <r>
    <x v="186"/>
    <x v="7"/>
    <x v="32"/>
    <s v="MARTES"/>
    <x v="64"/>
    <x v="48"/>
    <n v="360"/>
    <n v="30"/>
    <n v="75.599999999999994"/>
    <x v="0"/>
  </r>
  <r>
    <x v="186"/>
    <x v="7"/>
    <x v="32"/>
    <s v="MARTES"/>
    <x v="30"/>
    <x v="30"/>
    <n v="750"/>
    <n v="250"/>
    <n v="172.5"/>
    <x v="0"/>
  </r>
  <r>
    <x v="187"/>
    <x v="7"/>
    <x v="32"/>
    <s v="MIÉRCOLES"/>
    <x v="11"/>
    <x v="11"/>
    <n v="2160"/>
    <n v="90"/>
    <n v="367.20000000000005"/>
    <x v="0"/>
  </r>
  <r>
    <x v="187"/>
    <x v="7"/>
    <x v="32"/>
    <s v="MIÉRCOLES"/>
    <x v="28"/>
    <x v="28"/>
    <n v="150"/>
    <n v="30"/>
    <n v="34.5"/>
    <x v="0"/>
  </r>
  <r>
    <x v="187"/>
    <x v="7"/>
    <x v="32"/>
    <s v="MIÉRCOLES"/>
    <x v="13"/>
    <x v="13"/>
    <n v="150"/>
    <n v="30"/>
    <n v="60"/>
    <x v="0"/>
  </r>
  <r>
    <x v="187"/>
    <x v="7"/>
    <x v="32"/>
    <s v="MIÉRCOLES"/>
    <x v="15"/>
    <x v="15"/>
    <n v="500"/>
    <n v="50"/>
    <n v="200"/>
    <x v="0"/>
  </r>
  <r>
    <x v="187"/>
    <x v="7"/>
    <x v="32"/>
    <s v="MIÉRCOLES"/>
    <x v="16"/>
    <x v="16"/>
    <n v="1800"/>
    <n v="180"/>
    <n v="756"/>
    <x v="0"/>
  </r>
  <r>
    <x v="187"/>
    <x v="7"/>
    <x v="32"/>
    <s v="MIÉRCOLES"/>
    <x v="6"/>
    <x v="6"/>
    <n v="720"/>
    <n v="120"/>
    <n v="122.4"/>
    <x v="0"/>
  </r>
  <r>
    <x v="187"/>
    <x v="7"/>
    <x v="32"/>
    <s v="MIÉRCOLES"/>
    <x v="9"/>
    <x v="9"/>
    <n v="2160"/>
    <n v="90"/>
    <n v="367.20000000000005"/>
    <x v="0"/>
  </r>
  <r>
    <x v="187"/>
    <x v="7"/>
    <x v="32"/>
    <s v="MIÉRCOLES"/>
    <x v="10"/>
    <x v="10"/>
    <n v="11040"/>
    <n v="120"/>
    <n v="1876.8000000000002"/>
    <x v="0"/>
  </r>
  <r>
    <x v="187"/>
    <x v="7"/>
    <x v="32"/>
    <s v="MIÉRCOLES"/>
    <x v="23"/>
    <x v="23"/>
    <n v="2610"/>
    <n v="90"/>
    <n v="443.70000000000005"/>
    <x v="0"/>
  </r>
  <r>
    <x v="187"/>
    <x v="7"/>
    <x v="32"/>
    <s v="MIÉRCOLES"/>
    <x v="11"/>
    <x v="11"/>
    <n v="9360"/>
    <n v="90"/>
    <n v="1591.2"/>
    <x v="0"/>
  </r>
  <r>
    <x v="187"/>
    <x v="7"/>
    <x v="32"/>
    <s v="MIÉRCOLES"/>
    <x v="12"/>
    <x v="12"/>
    <n v="675"/>
    <n v="225"/>
    <n v="270"/>
    <x v="0"/>
  </r>
  <r>
    <x v="187"/>
    <x v="7"/>
    <x v="32"/>
    <s v="MIÉRCOLES"/>
    <x v="19"/>
    <x v="19"/>
    <n v="450"/>
    <n v="225"/>
    <n v="180"/>
    <x v="0"/>
  </r>
  <r>
    <x v="187"/>
    <x v="7"/>
    <x v="32"/>
    <s v="MIÉRCOLES"/>
    <x v="43"/>
    <x v="43"/>
    <n v="1250"/>
    <n v="420"/>
    <n v="525"/>
    <x v="0"/>
  </r>
  <r>
    <x v="187"/>
    <x v="7"/>
    <x v="32"/>
    <s v="MIÉRCOLES"/>
    <x v="64"/>
    <x v="48"/>
    <n v="360"/>
    <n v="30"/>
    <n v="75.599999999999994"/>
    <x v="0"/>
  </r>
  <r>
    <x v="188"/>
    <x v="7"/>
    <x v="32"/>
    <s v="JUEVES"/>
    <x v="13"/>
    <x v="13"/>
    <n v="210"/>
    <n v="30"/>
    <n v="84"/>
    <x v="0"/>
  </r>
  <r>
    <x v="188"/>
    <x v="7"/>
    <x v="32"/>
    <s v="JUEVES"/>
    <x v="15"/>
    <x v="15"/>
    <n v="250"/>
    <n v="50"/>
    <n v="100"/>
    <x v="0"/>
  </r>
  <r>
    <x v="188"/>
    <x v="7"/>
    <x v="32"/>
    <s v="JUEVES"/>
    <x v="38"/>
    <x v="38"/>
    <n v="560"/>
    <n v="112"/>
    <n v="224"/>
    <x v="0"/>
  </r>
  <r>
    <x v="188"/>
    <x v="7"/>
    <x v="32"/>
    <s v="JUEVES"/>
    <x v="6"/>
    <x v="6"/>
    <n v="1800"/>
    <n v="120"/>
    <n v="306"/>
    <x v="0"/>
  </r>
  <r>
    <x v="188"/>
    <x v="7"/>
    <x v="32"/>
    <s v="JUEVES"/>
    <x v="17"/>
    <x v="17"/>
    <n v="4800"/>
    <n v="120"/>
    <n v="816.00000000000011"/>
    <x v="0"/>
  </r>
  <r>
    <x v="188"/>
    <x v="7"/>
    <x v="32"/>
    <s v="JUEVES"/>
    <x v="9"/>
    <x v="9"/>
    <n v="1440"/>
    <n v="90"/>
    <n v="244.8"/>
    <x v="0"/>
  </r>
  <r>
    <x v="188"/>
    <x v="7"/>
    <x v="32"/>
    <s v="JUEVES"/>
    <x v="10"/>
    <x v="10"/>
    <n v="1920"/>
    <n v="120"/>
    <n v="326.40000000000003"/>
    <x v="0"/>
  </r>
  <r>
    <x v="188"/>
    <x v="7"/>
    <x v="32"/>
    <s v="JUEVES"/>
    <x v="23"/>
    <x v="23"/>
    <n v="2880"/>
    <n v="90"/>
    <n v="489.6"/>
    <x v="0"/>
  </r>
  <r>
    <x v="188"/>
    <x v="7"/>
    <x v="32"/>
    <s v="JUEVES"/>
    <x v="11"/>
    <x v="11"/>
    <n v="5760"/>
    <n v="90"/>
    <n v="979.2"/>
    <x v="0"/>
  </r>
  <r>
    <x v="188"/>
    <x v="7"/>
    <x v="32"/>
    <s v="JUEVES"/>
    <x v="25"/>
    <x v="25"/>
    <n v="1350"/>
    <n v="225"/>
    <n v="567"/>
    <x v="0"/>
  </r>
  <r>
    <x v="188"/>
    <x v="7"/>
    <x v="32"/>
    <s v="JUEVES"/>
    <x v="42"/>
    <x v="42"/>
    <n v="1250"/>
    <n v="420"/>
    <n v="525"/>
    <x v="0"/>
  </r>
  <r>
    <x v="188"/>
    <x v="7"/>
    <x v="32"/>
    <s v="JUEVES"/>
    <x v="64"/>
    <x v="48"/>
    <n v="360"/>
    <n v="30"/>
    <n v="75.599999999999994"/>
    <x v="0"/>
  </r>
  <r>
    <x v="189"/>
    <x v="7"/>
    <x v="32"/>
    <s v="VIERNES"/>
    <x v="2"/>
    <x v="2"/>
    <n v="2160"/>
    <n v="198"/>
    <n v="367.20000000000005"/>
    <x v="0"/>
  </r>
  <r>
    <x v="189"/>
    <x v="7"/>
    <x v="32"/>
    <s v="VIERNES"/>
    <x v="4"/>
    <x v="4"/>
    <n v="972"/>
    <n v="162"/>
    <n v="165.24"/>
    <x v="0"/>
  </r>
  <r>
    <x v="189"/>
    <x v="7"/>
    <x v="32"/>
    <s v="VIERNES"/>
    <x v="6"/>
    <x v="6"/>
    <n v="4920"/>
    <n v="120"/>
    <n v="836.40000000000009"/>
    <x v="0"/>
  </r>
  <r>
    <x v="189"/>
    <x v="7"/>
    <x v="32"/>
    <s v="VIERNES"/>
    <x v="8"/>
    <x v="8"/>
    <n v="216"/>
    <n v="198"/>
    <n v="36.720000000000006"/>
    <x v="0"/>
  </r>
  <r>
    <x v="189"/>
    <x v="7"/>
    <x v="32"/>
    <s v="VIERNES"/>
    <x v="9"/>
    <x v="9"/>
    <n v="1080"/>
    <n v="90"/>
    <n v="183.60000000000002"/>
    <x v="0"/>
  </r>
  <r>
    <x v="189"/>
    <x v="7"/>
    <x v="32"/>
    <s v="VIERNES"/>
    <x v="23"/>
    <x v="23"/>
    <n v="810"/>
    <n v="90"/>
    <n v="137.70000000000002"/>
    <x v="0"/>
  </r>
  <r>
    <x v="189"/>
    <x v="7"/>
    <x v="32"/>
    <s v="VIERNES"/>
    <x v="11"/>
    <x v="11"/>
    <n v="4500"/>
    <n v="90"/>
    <n v="765"/>
    <x v="0"/>
  </r>
  <r>
    <x v="189"/>
    <x v="7"/>
    <x v="32"/>
    <s v="VIERNES"/>
    <x v="42"/>
    <x v="42"/>
    <n v="1250"/>
    <n v="420"/>
    <n v="525"/>
    <x v="0"/>
  </r>
  <r>
    <x v="189"/>
    <x v="7"/>
    <x v="32"/>
    <s v="VIERNES"/>
    <x v="43"/>
    <x v="43"/>
    <n v="250"/>
    <n v="420"/>
    <n v="105"/>
    <x v="0"/>
  </r>
  <r>
    <x v="190"/>
    <x v="5"/>
    <x v="22"/>
    <s v="LUNES"/>
    <x v="22"/>
    <x v="22"/>
    <n v="396"/>
    <n v="198"/>
    <n v="67.320000000000007"/>
    <x v="3"/>
  </r>
  <r>
    <x v="190"/>
    <x v="5"/>
    <x v="22"/>
    <s v="LUNES"/>
    <x v="6"/>
    <x v="6"/>
    <n v="4320"/>
    <n v="120"/>
    <n v="734.40000000000009"/>
    <x v="3"/>
  </r>
  <r>
    <x v="190"/>
    <x v="5"/>
    <x v="22"/>
    <s v="LUNES"/>
    <x v="17"/>
    <x v="17"/>
    <n v="3600"/>
    <n v="120"/>
    <n v="612"/>
    <x v="3"/>
  </r>
  <r>
    <x v="190"/>
    <x v="5"/>
    <x v="22"/>
    <s v="LUNES"/>
    <x v="11"/>
    <x v="11"/>
    <n v="4320"/>
    <n v="90"/>
    <n v="734.40000000000009"/>
    <x v="3"/>
  </r>
  <r>
    <x v="190"/>
    <x v="5"/>
    <x v="22"/>
    <s v="LUNES"/>
    <x v="12"/>
    <x v="12"/>
    <n v="900"/>
    <n v="225"/>
    <n v="360"/>
    <x v="3"/>
  </r>
  <r>
    <x v="190"/>
    <x v="5"/>
    <x v="22"/>
    <s v="LUNES"/>
    <x v="19"/>
    <x v="19"/>
    <n v="675"/>
    <n v="225"/>
    <n v="270"/>
    <x v="3"/>
  </r>
  <r>
    <x v="190"/>
    <x v="5"/>
    <x v="22"/>
    <s v="LUNES"/>
    <x v="43"/>
    <x v="43"/>
    <n v="750"/>
    <n v="420"/>
    <n v="315"/>
    <x v="3"/>
  </r>
  <r>
    <x v="190"/>
    <x v="5"/>
    <x v="22"/>
    <s v="LUNES"/>
    <x v="25"/>
    <x v="25"/>
    <n v="1350"/>
    <n v="225"/>
    <n v="567"/>
    <x v="3"/>
  </r>
  <r>
    <x v="190"/>
    <x v="5"/>
    <x v="22"/>
    <s v="LUNES"/>
    <x v="16"/>
    <x v="16"/>
    <n v="900"/>
    <n v="180"/>
    <n v="378"/>
    <x v="3"/>
  </r>
  <r>
    <x v="191"/>
    <x v="5"/>
    <x v="22"/>
    <s v="MARTES"/>
    <x v="25"/>
    <x v="25"/>
    <n v="2250"/>
    <n v="225"/>
    <n v="945"/>
    <x v="3"/>
  </r>
  <r>
    <x v="191"/>
    <x v="5"/>
    <x v="22"/>
    <s v="MARTES"/>
    <x v="12"/>
    <x v="12"/>
    <n v="1125"/>
    <n v="225"/>
    <n v="450"/>
    <x v="3"/>
  </r>
  <r>
    <x v="191"/>
    <x v="5"/>
    <x v="22"/>
    <s v="MARTES"/>
    <x v="19"/>
    <x v="19"/>
    <n v="450"/>
    <n v="225"/>
    <n v="180"/>
    <x v="3"/>
  </r>
  <r>
    <x v="191"/>
    <x v="5"/>
    <x v="22"/>
    <s v="MARTES"/>
    <x v="28"/>
    <x v="28"/>
    <n v="240"/>
    <n v="30"/>
    <n v="55.2"/>
    <x v="3"/>
  </r>
  <r>
    <x v="191"/>
    <x v="5"/>
    <x v="22"/>
    <s v="MARTES"/>
    <x v="14"/>
    <x v="14"/>
    <n v="200"/>
    <n v="40"/>
    <n v="46"/>
    <x v="3"/>
  </r>
  <r>
    <x v="191"/>
    <x v="5"/>
    <x v="22"/>
    <s v="MARTES"/>
    <x v="40"/>
    <x v="40"/>
    <n v="672"/>
    <n v="240"/>
    <n v="268.8"/>
    <x v="3"/>
  </r>
  <r>
    <x v="191"/>
    <x v="5"/>
    <x v="22"/>
    <s v="MARTES"/>
    <x v="38"/>
    <x v="38"/>
    <n v="448"/>
    <n v="112"/>
    <n v="179.20000000000002"/>
    <x v="3"/>
  </r>
  <r>
    <x v="191"/>
    <x v="5"/>
    <x v="22"/>
    <s v="MARTES"/>
    <x v="0"/>
    <x v="0"/>
    <n v="1248"/>
    <n v="48"/>
    <n v="499.20000000000005"/>
    <x v="3"/>
  </r>
  <r>
    <x v="191"/>
    <x v="5"/>
    <x v="22"/>
    <s v="MARTES"/>
    <x v="16"/>
    <x v="16"/>
    <n v="1260"/>
    <n v="180"/>
    <n v="529.19999999999993"/>
    <x v="3"/>
  </r>
  <r>
    <x v="191"/>
    <x v="5"/>
    <x v="22"/>
    <s v="MARTES"/>
    <x v="1"/>
    <x v="1"/>
    <n v="6480"/>
    <n v="198"/>
    <n v="1101.6000000000001"/>
    <x v="3"/>
  </r>
  <r>
    <x v="191"/>
    <x v="5"/>
    <x v="22"/>
    <s v="MARTES"/>
    <x v="3"/>
    <x v="3"/>
    <n v="396"/>
    <n v="198"/>
    <n v="67.320000000000007"/>
    <x v="3"/>
  </r>
  <r>
    <x v="191"/>
    <x v="5"/>
    <x v="22"/>
    <s v="MARTES"/>
    <x v="6"/>
    <x v="6"/>
    <n v="4800"/>
    <n v="120"/>
    <n v="816.00000000000011"/>
    <x v="3"/>
  </r>
  <r>
    <x v="191"/>
    <x v="5"/>
    <x v="22"/>
    <s v="MARTES"/>
    <x v="17"/>
    <x v="17"/>
    <n v="4800"/>
    <n v="120"/>
    <n v="816.00000000000011"/>
    <x v="3"/>
  </r>
  <r>
    <x v="191"/>
    <x v="5"/>
    <x v="22"/>
    <s v="MARTES"/>
    <x v="8"/>
    <x v="8"/>
    <n v="1296"/>
    <n v="198"/>
    <n v="220.32000000000002"/>
    <x v="3"/>
  </r>
  <r>
    <x v="191"/>
    <x v="5"/>
    <x v="22"/>
    <s v="MARTES"/>
    <x v="9"/>
    <x v="9"/>
    <n v="540"/>
    <n v="90"/>
    <n v="91.800000000000011"/>
    <x v="3"/>
  </r>
  <r>
    <x v="191"/>
    <x v="5"/>
    <x v="22"/>
    <s v="MARTES"/>
    <x v="10"/>
    <x v="10"/>
    <n v="960"/>
    <n v="120"/>
    <n v="163.20000000000002"/>
    <x v="3"/>
  </r>
  <r>
    <x v="191"/>
    <x v="5"/>
    <x v="22"/>
    <s v="MARTES"/>
    <x v="23"/>
    <x v="23"/>
    <n v="2880"/>
    <n v="90"/>
    <n v="489.6"/>
    <x v="3"/>
  </r>
  <r>
    <x v="191"/>
    <x v="5"/>
    <x v="22"/>
    <s v="MARTES"/>
    <x v="20"/>
    <x v="20"/>
    <n v="900"/>
    <n v="90"/>
    <n v="153"/>
    <x v="3"/>
  </r>
  <r>
    <x v="192"/>
    <x v="5"/>
    <x v="22"/>
    <s v="MIÉRCOLES"/>
    <x v="28"/>
    <x v="28"/>
    <n v="150"/>
    <n v="30"/>
    <n v="34.5"/>
    <x v="3"/>
  </r>
  <r>
    <x v="192"/>
    <x v="5"/>
    <x v="22"/>
    <s v="MIÉRCOLES"/>
    <x v="13"/>
    <x v="13"/>
    <n v="240"/>
    <n v="30"/>
    <n v="96"/>
    <x v="3"/>
  </r>
  <r>
    <x v="192"/>
    <x v="5"/>
    <x v="22"/>
    <s v="MIÉRCOLES"/>
    <x v="15"/>
    <x v="15"/>
    <n v="300"/>
    <n v="50"/>
    <n v="120"/>
    <x v="3"/>
  </r>
  <r>
    <x v="192"/>
    <x v="5"/>
    <x v="22"/>
    <s v="MIÉRCOLES"/>
    <x v="38"/>
    <x v="38"/>
    <n v="448"/>
    <n v="112"/>
    <n v="179.20000000000002"/>
    <x v="3"/>
  </r>
  <r>
    <x v="192"/>
    <x v="5"/>
    <x v="22"/>
    <s v="MIÉRCOLES"/>
    <x v="0"/>
    <x v="0"/>
    <n v="912"/>
    <n v="48"/>
    <n v="364.8"/>
    <x v="3"/>
  </r>
  <r>
    <x v="192"/>
    <x v="5"/>
    <x v="22"/>
    <s v="MIÉRCOLES"/>
    <x v="1"/>
    <x v="1"/>
    <n v="4320"/>
    <n v="198"/>
    <n v="734.40000000000009"/>
    <x v="3"/>
  </r>
  <r>
    <x v="192"/>
    <x v="5"/>
    <x v="22"/>
    <s v="MIÉRCOLES"/>
    <x v="2"/>
    <x v="2"/>
    <n v="2160"/>
    <n v="198"/>
    <n v="367.20000000000005"/>
    <x v="3"/>
  </r>
  <r>
    <x v="192"/>
    <x v="5"/>
    <x v="22"/>
    <s v="MIÉRCOLES"/>
    <x v="22"/>
    <x v="22"/>
    <n v="1386"/>
    <n v="198"/>
    <n v="235.62"/>
    <x v="3"/>
  </r>
  <r>
    <x v="192"/>
    <x v="5"/>
    <x v="22"/>
    <s v="MIÉRCOLES"/>
    <x v="3"/>
    <x v="3"/>
    <n v="3960"/>
    <n v="198"/>
    <n v="673.2"/>
    <x v="3"/>
  </r>
  <r>
    <x v="192"/>
    <x v="5"/>
    <x v="22"/>
    <s v="MIÉRCOLES"/>
    <x v="4"/>
    <x v="4"/>
    <n v="1620"/>
    <n v="162"/>
    <n v="275.40000000000003"/>
    <x v="3"/>
  </r>
  <r>
    <x v="192"/>
    <x v="5"/>
    <x v="22"/>
    <s v="MIÉRCOLES"/>
    <x v="5"/>
    <x v="5"/>
    <n v="1134"/>
    <n v="162"/>
    <n v="192.78"/>
    <x v="3"/>
  </r>
  <r>
    <x v="192"/>
    <x v="5"/>
    <x v="22"/>
    <s v="MIÉRCOLES"/>
    <x v="7"/>
    <x v="7"/>
    <n v="3672"/>
    <n v="198"/>
    <n v="624.24"/>
    <x v="3"/>
  </r>
  <r>
    <x v="192"/>
    <x v="5"/>
    <x v="22"/>
    <s v="MIÉRCOLES"/>
    <x v="8"/>
    <x v="8"/>
    <n v="3024"/>
    <n v="198"/>
    <n v="514.08000000000004"/>
    <x v="3"/>
  </r>
  <r>
    <x v="192"/>
    <x v="5"/>
    <x v="22"/>
    <s v="MIÉRCOLES"/>
    <x v="9"/>
    <x v="9"/>
    <n v="900"/>
    <n v="90"/>
    <n v="153"/>
    <x v="3"/>
  </r>
  <r>
    <x v="192"/>
    <x v="5"/>
    <x v="22"/>
    <s v="MIÉRCOLES"/>
    <x v="10"/>
    <x v="10"/>
    <n v="600"/>
    <n v="120"/>
    <n v="102.00000000000001"/>
    <x v="3"/>
  </r>
  <r>
    <x v="192"/>
    <x v="5"/>
    <x v="22"/>
    <s v="MIÉRCOLES"/>
    <x v="26"/>
    <x v="26"/>
    <n v="270"/>
    <n v="90"/>
    <n v="45.900000000000006"/>
    <x v="3"/>
  </r>
  <r>
    <x v="192"/>
    <x v="5"/>
    <x v="22"/>
    <s v="MIÉRCOLES"/>
    <x v="23"/>
    <x v="23"/>
    <n v="360"/>
    <n v="90"/>
    <n v="61.2"/>
    <x v="3"/>
  </r>
  <r>
    <x v="192"/>
    <x v="5"/>
    <x v="22"/>
    <s v="MIÉRCOLES"/>
    <x v="11"/>
    <x v="11"/>
    <n v="1350"/>
    <n v="90"/>
    <n v="229.50000000000003"/>
    <x v="3"/>
  </r>
  <r>
    <x v="192"/>
    <x v="5"/>
    <x v="22"/>
    <s v="MIÉRCOLES"/>
    <x v="20"/>
    <x v="20"/>
    <n v="450"/>
    <n v="90"/>
    <n v="76.5"/>
    <x v="3"/>
  </r>
  <r>
    <x v="192"/>
    <x v="5"/>
    <x v="22"/>
    <s v="MIÉRCOLES"/>
    <x v="25"/>
    <x v="25"/>
    <n v="450"/>
    <n v="225"/>
    <n v="189"/>
    <x v="3"/>
  </r>
  <r>
    <x v="192"/>
    <x v="5"/>
    <x v="22"/>
    <s v="MIÉRCOLES"/>
    <x v="12"/>
    <x v="12"/>
    <n v="675"/>
    <n v="225"/>
    <n v="270"/>
    <x v="3"/>
  </r>
  <r>
    <x v="192"/>
    <x v="5"/>
    <x v="22"/>
    <s v="MIÉRCOLES"/>
    <x v="42"/>
    <x v="42"/>
    <n v="750"/>
    <n v="420"/>
    <n v="315"/>
    <x v="3"/>
  </r>
  <r>
    <x v="193"/>
    <x v="5"/>
    <x v="22"/>
    <s v="JUEVES"/>
    <x v="28"/>
    <x v="28"/>
    <n v="300"/>
    <n v="30"/>
    <n v="69"/>
    <x v="3"/>
  </r>
  <r>
    <x v="193"/>
    <x v="5"/>
    <x v="22"/>
    <s v="JUEVES"/>
    <x v="13"/>
    <x v="13"/>
    <n v="300"/>
    <n v="30"/>
    <n v="120"/>
    <x v="3"/>
  </r>
  <r>
    <x v="193"/>
    <x v="5"/>
    <x v="22"/>
    <s v="JUEVES"/>
    <x v="15"/>
    <x v="15"/>
    <n v="100"/>
    <n v="50"/>
    <n v="40"/>
    <x v="3"/>
  </r>
  <r>
    <x v="193"/>
    <x v="5"/>
    <x v="22"/>
    <s v="JUEVES"/>
    <x v="16"/>
    <x v="16"/>
    <n v="900"/>
    <n v="180"/>
    <n v="378"/>
    <x v="3"/>
  </r>
  <r>
    <x v="193"/>
    <x v="5"/>
    <x v="22"/>
    <s v="JUEVES"/>
    <x v="1"/>
    <x v="1"/>
    <n v="4320"/>
    <n v="198"/>
    <n v="734.40000000000009"/>
    <x v="3"/>
  </r>
  <r>
    <x v="193"/>
    <x v="5"/>
    <x v="22"/>
    <s v="JUEVES"/>
    <x v="2"/>
    <x v="2"/>
    <n v="2160"/>
    <n v="198"/>
    <n v="367.20000000000005"/>
    <x v="3"/>
  </r>
  <r>
    <x v="193"/>
    <x v="5"/>
    <x v="22"/>
    <s v="JUEVES"/>
    <x v="4"/>
    <x v="4"/>
    <n v="1620"/>
    <n v="162"/>
    <n v="275.40000000000003"/>
    <x v="3"/>
  </r>
  <r>
    <x v="193"/>
    <x v="5"/>
    <x v="22"/>
    <s v="JUEVES"/>
    <x v="5"/>
    <x v="5"/>
    <n v="1458"/>
    <n v="162"/>
    <n v="247.86"/>
    <x v="3"/>
  </r>
  <r>
    <x v="193"/>
    <x v="5"/>
    <x v="22"/>
    <s v="JUEVES"/>
    <x v="17"/>
    <x v="17"/>
    <n v="2880"/>
    <n v="120"/>
    <n v="489.6"/>
    <x v="3"/>
  </r>
  <r>
    <x v="193"/>
    <x v="5"/>
    <x v="22"/>
    <s v="JUEVES"/>
    <x v="7"/>
    <x v="7"/>
    <n v="2160"/>
    <n v="198"/>
    <n v="367.20000000000005"/>
    <x v="3"/>
  </r>
  <r>
    <x v="193"/>
    <x v="5"/>
    <x v="22"/>
    <s v="JUEVES"/>
    <x v="9"/>
    <x v="9"/>
    <n v="1440"/>
    <n v="90"/>
    <n v="244.8"/>
    <x v="3"/>
  </r>
  <r>
    <x v="193"/>
    <x v="5"/>
    <x v="22"/>
    <s v="JUEVES"/>
    <x v="10"/>
    <x v="10"/>
    <n v="720"/>
    <n v="120"/>
    <n v="122.4"/>
    <x v="3"/>
  </r>
  <r>
    <x v="193"/>
    <x v="5"/>
    <x v="22"/>
    <s v="JUEVES"/>
    <x v="26"/>
    <x v="26"/>
    <n v="1440"/>
    <n v="90"/>
    <n v="244.8"/>
    <x v="3"/>
  </r>
  <r>
    <x v="193"/>
    <x v="5"/>
    <x v="22"/>
    <s v="JUEVES"/>
    <x v="23"/>
    <x v="23"/>
    <n v="2160"/>
    <n v="90"/>
    <n v="367.20000000000005"/>
    <x v="3"/>
  </r>
  <r>
    <x v="193"/>
    <x v="5"/>
    <x v="22"/>
    <s v="JUEVES"/>
    <x v="11"/>
    <x v="11"/>
    <n v="2880"/>
    <n v="90"/>
    <n v="489.6"/>
    <x v="3"/>
  </r>
  <r>
    <x v="193"/>
    <x v="5"/>
    <x v="22"/>
    <s v="JUEVES"/>
    <x v="20"/>
    <x v="20"/>
    <n v="720"/>
    <n v="90"/>
    <n v="122.4"/>
    <x v="3"/>
  </r>
  <r>
    <x v="193"/>
    <x v="5"/>
    <x v="22"/>
    <s v="JUEVES"/>
    <x v="25"/>
    <x v="25"/>
    <n v="1350"/>
    <n v="225"/>
    <n v="567"/>
    <x v="3"/>
  </r>
  <r>
    <x v="193"/>
    <x v="5"/>
    <x v="22"/>
    <s v="JUEVES"/>
    <x v="43"/>
    <x v="43"/>
    <n v="1000"/>
    <n v="420"/>
    <n v="420"/>
    <x v="3"/>
  </r>
  <r>
    <x v="194"/>
    <x v="5"/>
    <x v="22"/>
    <s v="VIERNES"/>
    <x v="28"/>
    <x v="28"/>
    <n v="150"/>
    <n v="30"/>
    <n v="34.5"/>
    <x v="3"/>
  </r>
  <r>
    <x v="194"/>
    <x v="5"/>
    <x v="22"/>
    <s v="VIERNES"/>
    <x v="33"/>
    <x v="33"/>
    <n v="240"/>
    <n v="40"/>
    <n v="55.2"/>
    <x v="3"/>
  </r>
  <r>
    <x v="194"/>
    <x v="5"/>
    <x v="22"/>
    <s v="VIERNES"/>
    <x v="13"/>
    <x v="13"/>
    <n v="270"/>
    <n v="30"/>
    <n v="108"/>
    <x v="3"/>
  </r>
  <r>
    <x v="194"/>
    <x v="5"/>
    <x v="22"/>
    <s v="VIERNES"/>
    <x v="14"/>
    <x v="14"/>
    <n v="120"/>
    <n v="40"/>
    <n v="27.6"/>
    <x v="3"/>
  </r>
  <r>
    <x v="194"/>
    <x v="5"/>
    <x v="22"/>
    <s v="VIERNES"/>
    <x v="15"/>
    <x v="15"/>
    <n v="100"/>
    <n v="50"/>
    <n v="40"/>
    <x v="3"/>
  </r>
  <r>
    <x v="194"/>
    <x v="5"/>
    <x v="22"/>
    <s v="VIERNES"/>
    <x v="0"/>
    <x v="0"/>
    <n v="960"/>
    <n v="48"/>
    <n v="384"/>
    <x v="3"/>
  </r>
  <r>
    <x v="194"/>
    <x v="5"/>
    <x v="22"/>
    <s v="VIERNES"/>
    <x v="1"/>
    <x v="1"/>
    <n v="2160"/>
    <n v="198"/>
    <n v="367.20000000000005"/>
    <x v="3"/>
  </r>
  <r>
    <x v="194"/>
    <x v="5"/>
    <x v="22"/>
    <s v="VIERNES"/>
    <x v="2"/>
    <x v="2"/>
    <n v="2160"/>
    <n v="198"/>
    <n v="367.20000000000005"/>
    <x v="3"/>
  </r>
  <r>
    <x v="194"/>
    <x v="5"/>
    <x v="22"/>
    <s v="VIERNES"/>
    <x v="29"/>
    <x v="29"/>
    <n v="216"/>
    <n v="198"/>
    <n v="36.720000000000006"/>
    <x v="3"/>
  </r>
  <r>
    <x v="194"/>
    <x v="5"/>
    <x v="22"/>
    <s v="VIERNES"/>
    <x v="4"/>
    <x v="4"/>
    <n v="972"/>
    <n v="162"/>
    <n v="165.24"/>
    <x v="3"/>
  </r>
  <r>
    <x v="194"/>
    <x v="5"/>
    <x v="22"/>
    <s v="VIERNES"/>
    <x v="5"/>
    <x v="5"/>
    <n v="972"/>
    <n v="162"/>
    <n v="165.24"/>
    <x v="3"/>
  </r>
  <r>
    <x v="194"/>
    <x v="5"/>
    <x v="22"/>
    <s v="VIERNES"/>
    <x v="7"/>
    <x v="7"/>
    <n v="2160"/>
    <n v="198"/>
    <n v="367.20000000000005"/>
    <x v="3"/>
  </r>
  <r>
    <x v="194"/>
    <x v="5"/>
    <x v="22"/>
    <s v="VIERNES"/>
    <x v="9"/>
    <x v="9"/>
    <n v="450"/>
    <n v="90"/>
    <n v="76.5"/>
    <x v="3"/>
  </r>
  <r>
    <x v="194"/>
    <x v="5"/>
    <x v="22"/>
    <s v="VIERNES"/>
    <x v="11"/>
    <x v="11"/>
    <n v="2880"/>
    <n v="90"/>
    <n v="489.6"/>
    <x v="3"/>
  </r>
  <r>
    <x v="194"/>
    <x v="5"/>
    <x v="22"/>
    <s v="VIERNES"/>
    <x v="37"/>
    <x v="37"/>
    <n v="1000"/>
    <n v="225"/>
    <n v="420"/>
    <x v="3"/>
  </r>
  <r>
    <x v="194"/>
    <x v="5"/>
    <x v="22"/>
    <s v="VIERNES"/>
    <x v="24"/>
    <x v="24"/>
    <n v="2520"/>
    <n v="420"/>
    <n v="1058.3999999999999"/>
    <x v="3"/>
  </r>
  <r>
    <x v="194"/>
    <x v="5"/>
    <x v="22"/>
    <s v="VIERNES"/>
    <x v="16"/>
    <x v="16"/>
    <n v="900"/>
    <n v="180"/>
    <n v="378"/>
    <x v="3"/>
  </r>
  <r>
    <x v="194"/>
    <x v="5"/>
    <x v="22"/>
    <s v="VIERNES"/>
    <x v="12"/>
    <x v="12"/>
    <n v="675"/>
    <n v="225"/>
    <n v="270"/>
    <x v="3"/>
  </r>
  <r>
    <x v="194"/>
    <x v="5"/>
    <x v="22"/>
    <s v="VIERNES"/>
    <x v="19"/>
    <x v="19"/>
    <n v="225"/>
    <n v="225"/>
    <n v="90"/>
    <x v="3"/>
  </r>
  <r>
    <x v="194"/>
    <x v="5"/>
    <x v="22"/>
    <s v="VIERNES"/>
    <x v="37"/>
    <x v="37"/>
    <n v="2000"/>
    <n v="225"/>
    <n v="840"/>
    <x v="3"/>
  </r>
  <r>
    <x v="194"/>
    <x v="5"/>
    <x v="22"/>
    <s v="VIERNES"/>
    <x v="46"/>
    <x v="46"/>
    <n v="2500"/>
    <n v="250"/>
    <n v="1050"/>
    <x v="3"/>
  </r>
  <r>
    <x v="194"/>
    <x v="5"/>
    <x v="22"/>
    <s v="VIERNES"/>
    <x v="42"/>
    <x v="42"/>
    <n v="750"/>
    <n v="420"/>
    <n v="315"/>
    <x v="3"/>
  </r>
  <r>
    <x v="195"/>
    <x v="5"/>
    <x v="33"/>
    <s v="SÁBADO"/>
    <x v="9"/>
    <x v="9"/>
    <n v="1440"/>
    <n v="90"/>
    <n v="244.8"/>
    <x v="3"/>
  </r>
  <r>
    <x v="195"/>
    <x v="5"/>
    <x v="33"/>
    <s v="SÁBADO"/>
    <x v="10"/>
    <x v="10"/>
    <n v="960"/>
    <n v="120"/>
    <n v="163.20000000000002"/>
    <x v="3"/>
  </r>
  <r>
    <x v="195"/>
    <x v="5"/>
    <x v="33"/>
    <s v="SÁBADO"/>
    <x v="11"/>
    <x v="11"/>
    <n v="900"/>
    <n v="90"/>
    <n v="153"/>
    <x v="3"/>
  </r>
  <r>
    <x v="195"/>
    <x v="5"/>
    <x v="33"/>
    <s v="SÁBADO"/>
    <x v="25"/>
    <x v="25"/>
    <n v="675"/>
    <n v="225"/>
    <n v="283.5"/>
    <x v="3"/>
  </r>
  <r>
    <x v="195"/>
    <x v="5"/>
    <x v="33"/>
    <s v="SÁBADO"/>
    <x v="19"/>
    <x v="19"/>
    <n v="450"/>
    <n v="225"/>
    <n v="180"/>
    <x v="3"/>
  </r>
  <r>
    <x v="195"/>
    <x v="5"/>
    <x v="33"/>
    <s v="SÁBADO"/>
    <x v="37"/>
    <x v="37"/>
    <n v="500"/>
    <n v="225"/>
    <n v="210"/>
    <x v="3"/>
  </r>
  <r>
    <x v="195"/>
    <x v="5"/>
    <x v="33"/>
    <s v="SÁBADO"/>
    <x v="43"/>
    <x v="43"/>
    <n v="1000"/>
    <n v="420"/>
    <n v="420"/>
    <x v="3"/>
  </r>
  <r>
    <x v="195"/>
    <x v="5"/>
    <x v="33"/>
    <s v="SÁBADO"/>
    <x v="28"/>
    <x v="28"/>
    <n v="240"/>
    <n v="30"/>
    <n v="55.2"/>
    <x v="3"/>
  </r>
  <r>
    <x v="195"/>
    <x v="5"/>
    <x v="33"/>
    <s v="SÁBADO"/>
    <x v="33"/>
    <x v="33"/>
    <n v="240"/>
    <n v="40"/>
    <n v="55.2"/>
    <x v="3"/>
  </r>
  <r>
    <x v="195"/>
    <x v="5"/>
    <x v="33"/>
    <s v="SÁBADO"/>
    <x v="13"/>
    <x v="13"/>
    <n v="300"/>
    <n v="30"/>
    <n v="120"/>
    <x v="3"/>
  </r>
  <r>
    <x v="195"/>
    <x v="5"/>
    <x v="33"/>
    <s v="SÁBADO"/>
    <x v="14"/>
    <x v="14"/>
    <n v="200"/>
    <n v="40"/>
    <n v="46"/>
    <x v="3"/>
  </r>
  <r>
    <x v="195"/>
    <x v="5"/>
    <x v="33"/>
    <s v="SÁBADO"/>
    <x v="0"/>
    <x v="0"/>
    <n v="960"/>
    <n v="48"/>
    <n v="384"/>
    <x v="3"/>
  </r>
  <r>
    <x v="195"/>
    <x v="5"/>
    <x v="33"/>
    <s v="SÁBADO"/>
    <x v="1"/>
    <x v="1"/>
    <n v="2160"/>
    <n v="198"/>
    <n v="367.20000000000005"/>
    <x v="3"/>
  </r>
  <r>
    <x v="195"/>
    <x v="5"/>
    <x v="33"/>
    <s v="SÁBADO"/>
    <x v="2"/>
    <x v="2"/>
    <n v="2160"/>
    <n v="198"/>
    <n v="367.20000000000005"/>
    <x v="3"/>
  </r>
  <r>
    <x v="195"/>
    <x v="5"/>
    <x v="33"/>
    <s v="SÁBADO"/>
    <x v="34"/>
    <x v="34"/>
    <n v="432"/>
    <n v="198"/>
    <n v="73.440000000000012"/>
    <x v="3"/>
  </r>
  <r>
    <x v="195"/>
    <x v="5"/>
    <x v="33"/>
    <s v="SÁBADO"/>
    <x v="29"/>
    <x v="29"/>
    <n v="216"/>
    <n v="198"/>
    <n v="36.720000000000006"/>
    <x v="3"/>
  </r>
  <r>
    <x v="195"/>
    <x v="5"/>
    <x v="33"/>
    <s v="SÁBADO"/>
    <x v="22"/>
    <x v="22"/>
    <n v="792"/>
    <n v="198"/>
    <n v="134.64000000000001"/>
    <x v="3"/>
  </r>
  <r>
    <x v="195"/>
    <x v="5"/>
    <x v="33"/>
    <s v="SÁBADO"/>
    <x v="4"/>
    <x v="4"/>
    <n v="648"/>
    <n v="162"/>
    <n v="110.16000000000001"/>
    <x v="3"/>
  </r>
  <r>
    <x v="195"/>
    <x v="5"/>
    <x v="33"/>
    <s v="SÁBADO"/>
    <x v="5"/>
    <x v="5"/>
    <n v="810"/>
    <n v="162"/>
    <n v="137.70000000000002"/>
    <x v="3"/>
  </r>
  <r>
    <x v="195"/>
    <x v="5"/>
    <x v="33"/>
    <s v="SÁBADO"/>
    <x v="17"/>
    <x v="17"/>
    <n v="240"/>
    <n v="120"/>
    <n v="40.800000000000004"/>
    <x v="3"/>
  </r>
  <r>
    <x v="195"/>
    <x v="5"/>
    <x v="33"/>
    <s v="SÁBADO"/>
    <x v="7"/>
    <x v="7"/>
    <n v="648"/>
    <n v="198"/>
    <n v="110.16000000000001"/>
    <x v="3"/>
  </r>
  <r>
    <x v="195"/>
    <x v="5"/>
    <x v="33"/>
    <s v="SÁBADO"/>
    <x v="8"/>
    <x v="8"/>
    <n v="648"/>
    <n v="198"/>
    <n v="110.16000000000001"/>
    <x v="3"/>
  </r>
  <r>
    <x v="192"/>
    <x v="5"/>
    <x v="22"/>
    <s v="MIÉRCOLES"/>
    <x v="26"/>
    <x v="26"/>
    <n v="450"/>
    <n v="90"/>
    <n v="76.5"/>
    <x v="3"/>
  </r>
  <r>
    <x v="192"/>
    <x v="5"/>
    <x v="22"/>
    <s v="MIÉRCOLES"/>
    <x v="10"/>
    <x v="10"/>
    <n v="840"/>
    <n v="120"/>
    <n v="142.80000000000001"/>
    <x v="3"/>
  </r>
  <r>
    <x v="192"/>
    <x v="5"/>
    <x v="22"/>
    <s v="MIÉRCOLES"/>
    <x v="23"/>
    <x v="23"/>
    <n v="90"/>
    <n v="90"/>
    <n v="15.3"/>
    <x v="3"/>
  </r>
  <r>
    <x v="192"/>
    <x v="5"/>
    <x v="22"/>
    <s v="MIÉRCOLES"/>
    <x v="11"/>
    <x v="11"/>
    <n v="450"/>
    <n v="90"/>
    <n v="76.5"/>
    <x v="3"/>
  </r>
  <r>
    <x v="196"/>
    <x v="5"/>
    <x v="33"/>
    <s v="DOMINGO"/>
    <x v="24"/>
    <x v="24"/>
    <n v="4620"/>
    <n v="420"/>
    <n v="1940.3999999999999"/>
    <x v="3"/>
  </r>
  <r>
    <x v="195"/>
    <x v="5"/>
    <x v="33"/>
    <s v="SÁBADO"/>
    <x v="38"/>
    <x v="38"/>
    <n v="560"/>
    <n v="112"/>
    <n v="224"/>
    <x v="3"/>
  </r>
  <r>
    <x v="195"/>
    <x v="5"/>
    <x v="33"/>
    <s v="SÁBADO"/>
    <x v="16"/>
    <x v="16"/>
    <n v="900"/>
    <n v="180"/>
    <n v="378"/>
    <x v="3"/>
  </r>
  <r>
    <x v="195"/>
    <x v="5"/>
    <x v="33"/>
    <s v="SÁBADO"/>
    <x v="25"/>
    <x v="25"/>
    <n v="1575"/>
    <n v="225"/>
    <n v="661.5"/>
    <x v="3"/>
  </r>
  <r>
    <x v="195"/>
    <x v="5"/>
    <x v="33"/>
    <s v="SÁBADO"/>
    <x v="12"/>
    <x v="12"/>
    <n v="675"/>
    <n v="225"/>
    <n v="270"/>
    <x v="3"/>
  </r>
  <r>
    <x v="195"/>
    <x v="5"/>
    <x v="33"/>
    <s v="SÁBADO"/>
    <x v="19"/>
    <x v="19"/>
    <n v="225"/>
    <n v="225"/>
    <n v="90"/>
    <x v="3"/>
  </r>
  <r>
    <x v="197"/>
    <x v="5"/>
    <x v="33"/>
    <s v="LUNES"/>
    <x v="42"/>
    <x v="42"/>
    <n v="750"/>
    <n v="420"/>
    <n v="315"/>
    <x v="3"/>
  </r>
  <r>
    <x v="197"/>
    <x v="5"/>
    <x v="33"/>
    <s v="LUNES"/>
    <x v="28"/>
    <x v="28"/>
    <n v="150"/>
    <n v="30"/>
    <n v="34.5"/>
    <x v="3"/>
  </r>
  <r>
    <x v="197"/>
    <x v="5"/>
    <x v="33"/>
    <s v="LUNES"/>
    <x v="13"/>
    <x v="13"/>
    <n v="90"/>
    <n v="30"/>
    <n v="36"/>
    <x v="3"/>
  </r>
  <r>
    <x v="197"/>
    <x v="5"/>
    <x v="33"/>
    <s v="LUNES"/>
    <x v="15"/>
    <x v="15"/>
    <n v="450"/>
    <n v="50"/>
    <n v="180"/>
    <x v="3"/>
  </r>
  <r>
    <x v="197"/>
    <x v="5"/>
    <x v="33"/>
    <s v="LUNES"/>
    <x v="0"/>
    <x v="0"/>
    <n v="384"/>
    <n v="48"/>
    <n v="153.60000000000002"/>
    <x v="3"/>
  </r>
  <r>
    <x v="197"/>
    <x v="5"/>
    <x v="33"/>
    <s v="LUNES"/>
    <x v="24"/>
    <x v="24"/>
    <n v="3780"/>
    <n v="420"/>
    <n v="1587.6"/>
    <x v="3"/>
  </r>
  <r>
    <x v="197"/>
    <x v="5"/>
    <x v="33"/>
    <s v="LUNES"/>
    <x v="32"/>
    <x v="32"/>
    <n v="1260"/>
    <n v="420"/>
    <n v="529.19999999999993"/>
    <x v="3"/>
  </r>
  <r>
    <x v="197"/>
    <x v="5"/>
    <x v="33"/>
    <s v="LUNES"/>
    <x v="1"/>
    <x v="1"/>
    <n v="1296"/>
    <n v="198"/>
    <n v="220.32000000000002"/>
    <x v="3"/>
  </r>
  <r>
    <x v="197"/>
    <x v="5"/>
    <x v="33"/>
    <s v="LUNES"/>
    <x v="2"/>
    <x v="2"/>
    <n v="432"/>
    <n v="198"/>
    <n v="73.440000000000012"/>
    <x v="3"/>
  </r>
  <r>
    <x v="197"/>
    <x v="5"/>
    <x v="33"/>
    <s v="LUNES"/>
    <x v="17"/>
    <x v="17"/>
    <n v="480"/>
    <n v="120"/>
    <n v="81.600000000000009"/>
    <x v="3"/>
  </r>
  <r>
    <x v="197"/>
    <x v="5"/>
    <x v="33"/>
    <s v="LUNES"/>
    <x v="8"/>
    <x v="8"/>
    <n v="432"/>
    <n v="198"/>
    <n v="73.440000000000012"/>
    <x v="3"/>
  </r>
  <r>
    <x v="197"/>
    <x v="5"/>
    <x v="33"/>
    <s v="LUNES"/>
    <x v="9"/>
    <x v="9"/>
    <n v="450"/>
    <n v="90"/>
    <n v="76.5"/>
    <x v="3"/>
  </r>
  <r>
    <x v="197"/>
    <x v="5"/>
    <x v="33"/>
    <s v="LUNES"/>
    <x v="20"/>
    <x v="20"/>
    <n v="450"/>
    <n v="90"/>
    <n v="76.5"/>
    <x v="3"/>
  </r>
  <r>
    <x v="197"/>
    <x v="5"/>
    <x v="33"/>
    <s v="LUNES"/>
    <x v="25"/>
    <x v="25"/>
    <n v="1350"/>
    <n v="225"/>
    <n v="567"/>
    <x v="3"/>
  </r>
  <r>
    <x v="197"/>
    <x v="5"/>
    <x v="33"/>
    <s v="LUNES"/>
    <x v="12"/>
    <x v="12"/>
    <n v="225"/>
    <n v="225"/>
    <n v="90"/>
    <x v="3"/>
  </r>
  <r>
    <x v="197"/>
    <x v="5"/>
    <x v="33"/>
    <s v="LUNES"/>
    <x v="19"/>
    <x v="19"/>
    <n v="225"/>
    <n v="225"/>
    <n v="90"/>
    <x v="3"/>
  </r>
  <r>
    <x v="198"/>
    <x v="5"/>
    <x v="33"/>
    <s v="MARTES"/>
    <x v="15"/>
    <x v="15"/>
    <n v="250"/>
    <n v="50"/>
    <n v="100"/>
    <x v="3"/>
  </r>
  <r>
    <x v="198"/>
    <x v="5"/>
    <x v="33"/>
    <s v="MARTES"/>
    <x v="36"/>
    <x v="36"/>
    <n v="450"/>
    <n v="90"/>
    <n v="180"/>
    <x v="3"/>
  </r>
  <r>
    <x v="198"/>
    <x v="5"/>
    <x v="33"/>
    <s v="MARTES"/>
    <x v="0"/>
    <x v="0"/>
    <n v="960"/>
    <n v="48"/>
    <n v="384"/>
    <x v="3"/>
  </r>
  <r>
    <x v="198"/>
    <x v="5"/>
    <x v="33"/>
    <s v="MARTES"/>
    <x v="24"/>
    <x v="24"/>
    <n v="4200"/>
    <n v="420"/>
    <n v="1764"/>
    <x v="3"/>
  </r>
  <r>
    <x v="198"/>
    <x v="5"/>
    <x v="33"/>
    <s v="MARTES"/>
    <x v="1"/>
    <x v="1"/>
    <n v="1512"/>
    <n v="198"/>
    <n v="257.04000000000002"/>
    <x v="3"/>
  </r>
  <r>
    <x v="198"/>
    <x v="5"/>
    <x v="33"/>
    <s v="MARTES"/>
    <x v="2"/>
    <x v="2"/>
    <n v="1944"/>
    <n v="198"/>
    <n v="330.48"/>
    <x v="3"/>
  </r>
  <r>
    <x v="198"/>
    <x v="5"/>
    <x v="33"/>
    <s v="MARTES"/>
    <x v="22"/>
    <x v="22"/>
    <n v="792"/>
    <n v="198"/>
    <n v="134.64000000000001"/>
    <x v="3"/>
  </r>
  <r>
    <x v="198"/>
    <x v="5"/>
    <x v="33"/>
    <s v="MARTES"/>
    <x v="3"/>
    <x v="3"/>
    <n v="1188"/>
    <n v="198"/>
    <n v="201.96"/>
    <x v="3"/>
  </r>
  <r>
    <x v="198"/>
    <x v="5"/>
    <x v="33"/>
    <s v="MARTES"/>
    <x v="7"/>
    <x v="7"/>
    <n v="864"/>
    <n v="198"/>
    <n v="146.88000000000002"/>
    <x v="3"/>
  </r>
  <r>
    <x v="198"/>
    <x v="5"/>
    <x v="33"/>
    <s v="MARTES"/>
    <x v="8"/>
    <x v="8"/>
    <n v="648"/>
    <n v="198"/>
    <n v="110.16000000000001"/>
    <x v="3"/>
  </r>
  <r>
    <x v="198"/>
    <x v="5"/>
    <x v="33"/>
    <s v="MARTES"/>
    <x v="9"/>
    <x v="9"/>
    <n v="720"/>
    <n v="90"/>
    <n v="122.4"/>
    <x v="3"/>
  </r>
  <r>
    <x v="198"/>
    <x v="5"/>
    <x v="33"/>
    <s v="MARTES"/>
    <x v="10"/>
    <x v="10"/>
    <n v="3360"/>
    <n v="120"/>
    <n v="571.20000000000005"/>
    <x v="3"/>
  </r>
  <r>
    <x v="198"/>
    <x v="5"/>
    <x v="33"/>
    <s v="MARTES"/>
    <x v="20"/>
    <x v="20"/>
    <n v="720"/>
    <n v="90"/>
    <n v="122.4"/>
    <x v="3"/>
  </r>
  <r>
    <x v="198"/>
    <x v="5"/>
    <x v="33"/>
    <s v="MARTES"/>
    <x v="25"/>
    <x v="25"/>
    <n v="1350"/>
    <n v="225"/>
    <n v="567"/>
    <x v="3"/>
  </r>
  <r>
    <x v="199"/>
    <x v="5"/>
    <x v="33"/>
    <s v="MIÉRCOLES"/>
    <x v="28"/>
    <x v="28"/>
    <n v="300"/>
    <n v="30"/>
    <n v="69"/>
    <x v="3"/>
  </r>
  <r>
    <x v="199"/>
    <x v="5"/>
    <x v="33"/>
    <s v="MIÉRCOLES"/>
    <x v="15"/>
    <x v="15"/>
    <n v="150"/>
    <n v="50"/>
    <n v="60"/>
    <x v="3"/>
  </r>
  <r>
    <x v="199"/>
    <x v="5"/>
    <x v="33"/>
    <s v="MIÉRCOLES"/>
    <x v="36"/>
    <x v="36"/>
    <n v="360"/>
    <n v="90"/>
    <n v="144"/>
    <x v="3"/>
  </r>
  <r>
    <x v="199"/>
    <x v="5"/>
    <x v="33"/>
    <s v="MIÉRCOLES"/>
    <x v="0"/>
    <x v="0"/>
    <n v="1344"/>
    <n v="48"/>
    <n v="537.6"/>
    <x v="3"/>
  </r>
  <r>
    <x v="199"/>
    <x v="5"/>
    <x v="33"/>
    <s v="MIÉRCOLES"/>
    <x v="24"/>
    <x v="24"/>
    <n v="4200"/>
    <n v="420"/>
    <n v="1764"/>
    <x v="3"/>
  </r>
  <r>
    <x v="199"/>
    <x v="5"/>
    <x v="28"/>
    <m/>
    <x v="7"/>
    <x v="7"/>
    <n v="2160"/>
    <n v="198"/>
    <n v="367.20000000000005"/>
    <x v="3"/>
  </r>
  <r>
    <x v="199"/>
    <x v="5"/>
    <x v="33"/>
    <s v="MIÉRCOLES"/>
    <x v="10"/>
    <x v="10"/>
    <n v="2640"/>
    <n v="120"/>
    <n v="448.8"/>
    <x v="3"/>
  </r>
  <r>
    <x v="199"/>
    <x v="5"/>
    <x v="33"/>
    <s v="MIÉRCOLES"/>
    <x v="25"/>
    <x v="25"/>
    <n v="1350"/>
    <n v="225"/>
    <n v="567"/>
    <x v="3"/>
  </r>
  <r>
    <x v="199"/>
    <x v="5"/>
    <x v="33"/>
    <s v="MIÉRCOLES"/>
    <x v="46"/>
    <x v="46"/>
    <n v="250"/>
    <n v="250"/>
    <n v="105"/>
    <x v="3"/>
  </r>
  <r>
    <x v="200"/>
    <x v="5"/>
    <x v="33"/>
    <s v="JUEVES"/>
    <x v="13"/>
    <x v="13"/>
    <n v="270"/>
    <n v="30"/>
    <n v="108"/>
    <x v="3"/>
  </r>
  <r>
    <x v="200"/>
    <x v="5"/>
    <x v="33"/>
    <s v="JUEVES"/>
    <x v="36"/>
    <x v="36"/>
    <n v="720"/>
    <n v="90"/>
    <n v="288"/>
    <x v="3"/>
  </r>
  <r>
    <x v="200"/>
    <x v="5"/>
    <x v="33"/>
    <s v="JUEVES"/>
    <x v="0"/>
    <x v="0"/>
    <n v="1440"/>
    <n v="48"/>
    <n v="576"/>
    <x v="3"/>
  </r>
  <r>
    <x v="200"/>
    <x v="5"/>
    <x v="33"/>
    <s v="JUEVES"/>
    <x v="39"/>
    <x v="39"/>
    <n v="4200"/>
    <n v="420"/>
    <n v="1764"/>
    <x v="3"/>
  </r>
  <r>
    <x v="200"/>
    <x v="5"/>
    <x v="33"/>
    <s v="JUEVES"/>
    <x v="1"/>
    <x v="1"/>
    <n v="2160"/>
    <n v="198"/>
    <n v="367.20000000000005"/>
    <x v="3"/>
  </r>
  <r>
    <x v="200"/>
    <x v="5"/>
    <x v="33"/>
    <s v="JUEVES"/>
    <x v="22"/>
    <x v="22"/>
    <n v="594"/>
    <n v="198"/>
    <n v="100.98"/>
    <x v="3"/>
  </r>
  <r>
    <x v="200"/>
    <x v="5"/>
    <x v="33"/>
    <s v="JUEVES"/>
    <x v="3"/>
    <x v="3"/>
    <n v="990"/>
    <n v="198"/>
    <n v="168.3"/>
    <x v="3"/>
  </r>
  <r>
    <x v="200"/>
    <x v="5"/>
    <x v="33"/>
    <s v="JUEVES"/>
    <x v="6"/>
    <x v="6"/>
    <n v="1800"/>
    <n v="120"/>
    <n v="306"/>
    <x v="3"/>
  </r>
  <r>
    <x v="200"/>
    <x v="5"/>
    <x v="33"/>
    <s v="JUEVES"/>
    <x v="17"/>
    <x v="17"/>
    <n v="600"/>
    <n v="120"/>
    <n v="102.00000000000001"/>
    <x v="3"/>
  </r>
  <r>
    <x v="200"/>
    <x v="5"/>
    <x v="33"/>
    <s v="JUEVES"/>
    <x v="7"/>
    <x v="7"/>
    <n v="1728"/>
    <n v="198"/>
    <n v="293.76000000000005"/>
    <x v="3"/>
  </r>
  <r>
    <x v="200"/>
    <x v="5"/>
    <x v="33"/>
    <s v="JUEVES"/>
    <x v="8"/>
    <x v="8"/>
    <n v="1728"/>
    <n v="198"/>
    <n v="293.76000000000005"/>
    <x v="3"/>
  </r>
  <r>
    <x v="200"/>
    <x v="5"/>
    <x v="33"/>
    <s v="JUEVES"/>
    <x v="25"/>
    <x v="25"/>
    <n v="900"/>
    <n v="225"/>
    <n v="378"/>
    <x v="3"/>
  </r>
  <r>
    <x v="200"/>
    <x v="5"/>
    <x v="33"/>
    <s v="JUEVES"/>
    <x v="19"/>
    <x v="19"/>
    <n v="225"/>
    <n v="225"/>
    <n v="90"/>
    <x v="3"/>
  </r>
  <r>
    <x v="200"/>
    <x v="5"/>
    <x v="33"/>
    <s v="JUEVES"/>
    <x v="46"/>
    <x v="46"/>
    <n v="1500"/>
    <n v="250"/>
    <n v="630"/>
    <x v="3"/>
  </r>
  <r>
    <x v="200"/>
    <x v="5"/>
    <x v="33"/>
    <s v="JUEVES"/>
    <x v="43"/>
    <x v="43"/>
    <n v="750"/>
    <n v="420"/>
    <n v="315"/>
    <x v="3"/>
  </r>
  <r>
    <x v="200"/>
    <x v="5"/>
    <x v="33"/>
    <s v="JUEVES"/>
    <x v="46"/>
    <x v="46"/>
    <n v="1750"/>
    <n v="250"/>
    <n v="735"/>
    <x v="3"/>
  </r>
  <r>
    <x v="201"/>
    <x v="5"/>
    <x v="33"/>
    <s v="VIERNES"/>
    <x v="43"/>
    <x v="43"/>
    <n v="1000"/>
    <n v="420"/>
    <n v="420"/>
    <x v="3"/>
  </r>
  <r>
    <x v="201"/>
    <x v="5"/>
    <x v="33"/>
    <s v="VIERNES"/>
    <x v="64"/>
    <x v="48"/>
    <n v="600"/>
    <n v="30"/>
    <n v="126"/>
    <x v="3"/>
  </r>
  <r>
    <x v="201"/>
    <x v="5"/>
    <x v="33"/>
    <s v="VIERNES"/>
    <x v="28"/>
    <x v="28"/>
    <n v="360"/>
    <n v="30"/>
    <n v="82.8"/>
    <x v="3"/>
  </r>
  <r>
    <x v="201"/>
    <x v="5"/>
    <x v="33"/>
    <s v="VIERNES"/>
    <x v="33"/>
    <x v="33"/>
    <n v="120"/>
    <n v="40"/>
    <n v="27.6"/>
    <x v="3"/>
  </r>
  <r>
    <x v="201"/>
    <x v="5"/>
    <x v="33"/>
    <s v="VIERNES"/>
    <x v="13"/>
    <x v="13"/>
    <n v="390"/>
    <n v="30"/>
    <n v="156"/>
    <x v="3"/>
  </r>
  <r>
    <x v="201"/>
    <x v="5"/>
    <x v="33"/>
    <s v="VIERNES"/>
    <x v="14"/>
    <x v="14"/>
    <n v="600"/>
    <n v="40"/>
    <n v="138"/>
    <x v="3"/>
  </r>
  <r>
    <x v="201"/>
    <x v="5"/>
    <x v="33"/>
    <s v="VIERNES"/>
    <x v="15"/>
    <x v="15"/>
    <n v="500"/>
    <n v="50"/>
    <n v="200"/>
    <x v="3"/>
  </r>
  <r>
    <x v="201"/>
    <x v="5"/>
    <x v="33"/>
    <s v="VIERNES"/>
    <x v="36"/>
    <x v="36"/>
    <n v="450"/>
    <n v="90"/>
    <n v="180"/>
    <x v="3"/>
  </r>
  <r>
    <x v="201"/>
    <x v="5"/>
    <x v="33"/>
    <s v="VIERNES"/>
    <x v="0"/>
    <x v="0"/>
    <n v="1344"/>
    <n v="48"/>
    <n v="537.6"/>
    <x v="3"/>
  </r>
  <r>
    <x v="201"/>
    <x v="5"/>
    <x v="33"/>
    <s v="VIERNES"/>
    <x v="39"/>
    <x v="39"/>
    <n v="2520"/>
    <n v="420"/>
    <n v="1058.3999999999999"/>
    <x v="3"/>
  </r>
  <r>
    <x v="201"/>
    <x v="5"/>
    <x v="33"/>
    <s v="VIERNES"/>
    <x v="34"/>
    <x v="34"/>
    <n v="216"/>
    <n v="198"/>
    <n v="36.720000000000006"/>
    <x v="3"/>
  </r>
  <r>
    <x v="201"/>
    <x v="5"/>
    <x v="33"/>
    <s v="VIERNES"/>
    <x v="29"/>
    <x v="29"/>
    <n v="432"/>
    <n v="198"/>
    <n v="73.440000000000012"/>
    <x v="3"/>
  </r>
  <r>
    <x v="201"/>
    <x v="5"/>
    <x v="33"/>
    <s v="VIERNES"/>
    <x v="26"/>
    <x v="26"/>
    <n v="900"/>
    <n v="90"/>
    <n v="153"/>
    <x v="3"/>
  </r>
  <r>
    <x v="201"/>
    <x v="5"/>
    <x v="33"/>
    <s v="VIERNES"/>
    <x v="12"/>
    <x v="12"/>
    <n v="900"/>
    <n v="225"/>
    <n v="360"/>
    <x v="3"/>
  </r>
  <r>
    <x v="201"/>
    <x v="5"/>
    <x v="33"/>
    <s v="VIERNES"/>
    <x v="19"/>
    <x v="19"/>
    <n v="450"/>
    <n v="225"/>
    <n v="180"/>
    <x v="3"/>
  </r>
  <r>
    <x v="201"/>
    <x v="5"/>
    <x v="33"/>
    <s v="VIERNES"/>
    <x v="46"/>
    <x v="46"/>
    <n v="1750"/>
    <n v="250"/>
    <n v="735"/>
    <x v="3"/>
  </r>
  <r>
    <x v="201"/>
    <x v="5"/>
    <x v="33"/>
    <s v="VIERNES"/>
    <x v="42"/>
    <x v="42"/>
    <n v="1000"/>
    <n v="420"/>
    <n v="420"/>
    <x v="3"/>
  </r>
  <r>
    <x v="201"/>
    <x v="5"/>
    <x v="33"/>
    <s v="VIERNES"/>
    <x v="46"/>
    <x v="46"/>
    <n v="1250"/>
    <n v="250"/>
    <n v="525"/>
    <x v="3"/>
  </r>
  <r>
    <x v="202"/>
    <x v="5"/>
    <x v="34"/>
    <s v="SÁBADO"/>
    <x v="64"/>
    <x v="48"/>
    <n v="240"/>
    <n v="30"/>
    <n v="50.4"/>
    <x v="3"/>
  </r>
  <r>
    <x v="202"/>
    <x v="5"/>
    <x v="34"/>
    <s v="SÁBADO"/>
    <x v="13"/>
    <x v="13"/>
    <n v="300"/>
    <n v="30"/>
    <n v="120"/>
    <x v="3"/>
  </r>
  <r>
    <x v="202"/>
    <x v="5"/>
    <x v="34"/>
    <s v="SÁBADO"/>
    <x v="36"/>
    <x v="36"/>
    <n v="180"/>
    <n v="90"/>
    <n v="72"/>
    <x v="3"/>
  </r>
  <r>
    <x v="202"/>
    <x v="5"/>
    <x v="34"/>
    <s v="SÁBADO"/>
    <x v="0"/>
    <x v="0"/>
    <n v="240"/>
    <n v="48"/>
    <n v="96"/>
    <x v="3"/>
  </r>
  <r>
    <x v="202"/>
    <x v="5"/>
    <x v="34"/>
    <s v="SÁBADO"/>
    <x v="16"/>
    <x v="16"/>
    <n v="180"/>
    <n v="180"/>
    <n v="75.599999999999994"/>
    <x v="3"/>
  </r>
  <r>
    <x v="202"/>
    <x v="5"/>
    <x v="34"/>
    <s v="SÁBADO"/>
    <x v="2"/>
    <x v="2"/>
    <n v="1080"/>
    <n v="198"/>
    <n v="183.60000000000002"/>
    <x v="3"/>
  </r>
  <r>
    <x v="202"/>
    <x v="5"/>
    <x v="34"/>
    <s v="SÁBADO"/>
    <x v="22"/>
    <x v="22"/>
    <n v="1188"/>
    <n v="198"/>
    <n v="201.96"/>
    <x v="3"/>
  </r>
  <r>
    <x v="202"/>
    <x v="5"/>
    <x v="34"/>
    <s v="SÁBADO"/>
    <x v="3"/>
    <x v="3"/>
    <n v="396"/>
    <n v="198"/>
    <n v="67.320000000000007"/>
    <x v="3"/>
  </r>
  <r>
    <x v="202"/>
    <x v="5"/>
    <x v="34"/>
    <s v="SÁBADO"/>
    <x v="8"/>
    <x v="8"/>
    <n v="1728"/>
    <n v="198"/>
    <n v="293.76000000000005"/>
    <x v="3"/>
  </r>
  <r>
    <x v="202"/>
    <x v="5"/>
    <x v="34"/>
    <s v="SÁBADO"/>
    <x v="10"/>
    <x v="10"/>
    <n v="5760"/>
    <n v="120"/>
    <n v="979.2"/>
    <x v="3"/>
  </r>
  <r>
    <x v="202"/>
    <x v="5"/>
    <x v="34"/>
    <s v="SÁBADO"/>
    <x v="23"/>
    <x v="23"/>
    <n v="270"/>
    <n v="90"/>
    <n v="45.900000000000006"/>
    <x v="3"/>
  </r>
  <r>
    <x v="202"/>
    <x v="5"/>
    <x v="34"/>
    <s v="SÁBADO"/>
    <x v="11"/>
    <x v="11"/>
    <n v="540"/>
    <n v="90"/>
    <n v="91.800000000000011"/>
    <x v="3"/>
  </r>
  <r>
    <x v="202"/>
    <x v="5"/>
    <x v="34"/>
    <s v="SÁBADO"/>
    <x v="25"/>
    <x v="25"/>
    <n v="900"/>
    <n v="225"/>
    <n v="378"/>
    <x v="3"/>
  </r>
  <r>
    <x v="202"/>
    <x v="5"/>
    <x v="34"/>
    <s v="SÁBADO"/>
    <x v="46"/>
    <x v="46"/>
    <n v="1750"/>
    <n v="250"/>
    <n v="735"/>
    <x v="3"/>
  </r>
  <r>
    <x v="202"/>
    <x v="5"/>
    <x v="34"/>
    <s v="SÁBADO"/>
    <x v="42"/>
    <x v="42"/>
    <n v="500"/>
    <n v="420"/>
    <n v="210"/>
    <x v="3"/>
  </r>
  <r>
    <x v="202"/>
    <x v="5"/>
    <x v="34"/>
    <s v="SÁBADO"/>
    <x v="43"/>
    <x v="43"/>
    <n v="500"/>
    <n v="420"/>
    <n v="210"/>
    <x v="3"/>
  </r>
  <r>
    <x v="203"/>
    <x v="5"/>
    <x v="34"/>
    <s v="LUNES"/>
    <x v="64"/>
    <x v="48"/>
    <n v="1410"/>
    <n v="30"/>
    <n v="296.09999999999997"/>
    <x v="3"/>
  </r>
  <r>
    <x v="203"/>
    <x v="5"/>
    <x v="34"/>
    <s v="LUNES"/>
    <x v="28"/>
    <x v="28"/>
    <n v="300"/>
    <n v="30"/>
    <n v="69"/>
    <x v="3"/>
  </r>
  <r>
    <x v="203"/>
    <x v="5"/>
    <x v="34"/>
    <s v="LUNES"/>
    <x v="33"/>
    <x v="33"/>
    <n v="120"/>
    <n v="40"/>
    <n v="27.6"/>
    <x v="3"/>
  </r>
  <r>
    <x v="203"/>
    <x v="5"/>
    <x v="34"/>
    <s v="LUNES"/>
    <x v="13"/>
    <x v="13"/>
    <n v="450"/>
    <n v="30"/>
    <n v="180"/>
    <x v="3"/>
  </r>
  <r>
    <x v="203"/>
    <x v="5"/>
    <x v="34"/>
    <s v="LUNES"/>
    <x v="15"/>
    <x v="15"/>
    <n v="350"/>
    <n v="50"/>
    <n v="140"/>
    <x v="3"/>
  </r>
  <r>
    <x v="203"/>
    <x v="5"/>
    <x v="34"/>
    <s v="LUNES"/>
    <x v="36"/>
    <x v="36"/>
    <n v="900"/>
    <n v="90"/>
    <n v="360"/>
    <x v="3"/>
  </r>
  <r>
    <x v="203"/>
    <x v="5"/>
    <x v="34"/>
    <s v="LUNES"/>
    <x v="40"/>
    <x v="40"/>
    <n v="112"/>
    <n v="240"/>
    <n v="44.800000000000004"/>
    <x v="3"/>
  </r>
  <r>
    <x v="203"/>
    <x v="5"/>
    <x v="34"/>
    <s v="LUNES"/>
    <x v="38"/>
    <x v="38"/>
    <n v="336"/>
    <n v="112"/>
    <n v="134.4"/>
    <x v="3"/>
  </r>
  <r>
    <x v="203"/>
    <x v="5"/>
    <x v="34"/>
    <s v="LUNES"/>
    <x v="0"/>
    <x v="0"/>
    <n v="1632"/>
    <n v="48"/>
    <n v="652.80000000000007"/>
    <x v="3"/>
  </r>
  <r>
    <x v="203"/>
    <x v="5"/>
    <x v="34"/>
    <s v="LUNES"/>
    <x v="2"/>
    <x v="2"/>
    <n v="2160"/>
    <n v="198"/>
    <n v="367.20000000000005"/>
    <x v="3"/>
  </r>
  <r>
    <x v="203"/>
    <x v="5"/>
    <x v="34"/>
    <s v="LUNES"/>
    <x v="8"/>
    <x v="8"/>
    <n v="1080"/>
    <n v="198"/>
    <n v="183.60000000000002"/>
    <x v="3"/>
  </r>
  <r>
    <x v="203"/>
    <x v="5"/>
    <x v="34"/>
    <s v="LUNES"/>
    <x v="26"/>
    <x v="26"/>
    <n v="450"/>
    <n v="90"/>
    <n v="76.5"/>
    <x v="3"/>
  </r>
  <r>
    <x v="203"/>
    <x v="5"/>
    <x v="34"/>
    <s v="LUNES"/>
    <x v="11"/>
    <x v="11"/>
    <n v="720"/>
    <n v="90"/>
    <n v="122.4"/>
    <x v="3"/>
  </r>
  <r>
    <x v="203"/>
    <x v="5"/>
    <x v="34"/>
    <s v="LUNES"/>
    <x v="25"/>
    <x v="25"/>
    <n v="1350"/>
    <n v="225"/>
    <n v="567"/>
    <x v="3"/>
  </r>
  <r>
    <x v="203"/>
    <x v="5"/>
    <x v="34"/>
    <s v="LUNES"/>
    <x v="42"/>
    <x v="42"/>
    <n v="500"/>
    <n v="420"/>
    <n v="210"/>
    <x v="3"/>
  </r>
  <r>
    <x v="203"/>
    <x v="5"/>
    <x v="34"/>
    <s v="LUNES"/>
    <x v="43"/>
    <x v="43"/>
    <n v="250"/>
    <n v="420"/>
    <n v="105"/>
    <x v="3"/>
  </r>
  <r>
    <x v="203"/>
    <x v="5"/>
    <x v="34"/>
    <s v="LUNES"/>
    <x v="64"/>
    <x v="48"/>
    <n v="390"/>
    <n v="30"/>
    <n v="81.899999999999991"/>
    <x v="3"/>
  </r>
  <r>
    <x v="204"/>
    <x v="5"/>
    <x v="34"/>
    <s v="MARTES"/>
    <x v="42"/>
    <x v="42"/>
    <n v="500"/>
    <n v="420"/>
    <n v="210"/>
    <x v="3"/>
  </r>
  <r>
    <x v="204"/>
    <x v="5"/>
    <x v="34"/>
    <s v="MARTES"/>
    <x v="43"/>
    <x v="43"/>
    <n v="1000"/>
    <n v="420"/>
    <n v="420"/>
    <x v="3"/>
  </r>
  <r>
    <x v="204"/>
    <x v="5"/>
    <x v="34"/>
    <s v="MARTES"/>
    <x v="64"/>
    <x v="48"/>
    <n v="1560"/>
    <n v="30"/>
    <n v="327.59999999999997"/>
    <x v="3"/>
  </r>
  <r>
    <x v="204"/>
    <x v="5"/>
    <x v="34"/>
    <s v="MARTES"/>
    <x v="28"/>
    <x v="28"/>
    <n v="150"/>
    <n v="30"/>
    <n v="34.5"/>
    <x v="3"/>
  </r>
  <r>
    <x v="204"/>
    <x v="5"/>
    <x v="34"/>
    <s v="MARTES"/>
    <x v="13"/>
    <x v="13"/>
    <n v="150"/>
    <n v="30"/>
    <n v="60"/>
    <x v="3"/>
  </r>
  <r>
    <x v="204"/>
    <x v="5"/>
    <x v="34"/>
    <s v="MARTES"/>
    <x v="14"/>
    <x v="14"/>
    <n v="400"/>
    <n v="40"/>
    <n v="92"/>
    <x v="3"/>
  </r>
  <r>
    <x v="204"/>
    <x v="5"/>
    <x v="34"/>
    <s v="MARTES"/>
    <x v="36"/>
    <x v="36"/>
    <n v="1170"/>
    <n v="90"/>
    <n v="468"/>
    <x v="3"/>
  </r>
  <r>
    <x v="204"/>
    <x v="5"/>
    <x v="34"/>
    <s v="MARTES"/>
    <x v="0"/>
    <x v="0"/>
    <n v="2400"/>
    <n v="48"/>
    <n v="960"/>
    <x v="3"/>
  </r>
  <r>
    <x v="204"/>
    <x v="5"/>
    <x v="34"/>
    <s v="MARTES"/>
    <x v="16"/>
    <x v="16"/>
    <n v="900"/>
    <n v="180"/>
    <n v="378"/>
    <x v="3"/>
  </r>
  <r>
    <x v="204"/>
    <x v="5"/>
    <x v="34"/>
    <s v="MARTES"/>
    <x v="22"/>
    <x v="22"/>
    <n v="990"/>
    <n v="198"/>
    <n v="168.3"/>
    <x v="3"/>
  </r>
  <r>
    <x v="204"/>
    <x v="5"/>
    <x v="34"/>
    <s v="MARTES"/>
    <x v="3"/>
    <x v="3"/>
    <n v="990"/>
    <n v="198"/>
    <n v="168.3"/>
    <x v="3"/>
  </r>
  <r>
    <x v="204"/>
    <x v="5"/>
    <x v="34"/>
    <s v="MARTES"/>
    <x v="4"/>
    <x v="4"/>
    <n v="648"/>
    <n v="162"/>
    <n v="110.16000000000001"/>
    <x v="3"/>
  </r>
  <r>
    <x v="204"/>
    <x v="5"/>
    <x v="34"/>
    <s v="MARTES"/>
    <x v="5"/>
    <x v="5"/>
    <n v="324"/>
    <n v="162"/>
    <n v="55.080000000000005"/>
    <x v="3"/>
  </r>
  <r>
    <x v="204"/>
    <x v="5"/>
    <x v="34"/>
    <s v="MARTES"/>
    <x v="10"/>
    <x v="10"/>
    <n v="3360"/>
    <n v="120"/>
    <n v="571.20000000000005"/>
    <x v="3"/>
  </r>
  <r>
    <x v="204"/>
    <x v="5"/>
    <x v="34"/>
    <s v="MARTES"/>
    <x v="11"/>
    <x v="11"/>
    <n v="900"/>
    <n v="90"/>
    <n v="153"/>
    <x v="3"/>
  </r>
  <r>
    <x v="204"/>
    <x v="5"/>
    <x v="34"/>
    <s v="MARTES"/>
    <x v="12"/>
    <x v="12"/>
    <n v="900"/>
    <n v="225"/>
    <n v="360"/>
    <x v="3"/>
  </r>
  <r>
    <x v="204"/>
    <x v="5"/>
    <x v="34"/>
    <s v="MARTES"/>
    <x v="19"/>
    <x v="19"/>
    <n v="450"/>
    <n v="225"/>
    <n v="180"/>
    <x v="3"/>
  </r>
  <r>
    <x v="204"/>
    <x v="5"/>
    <x v="34"/>
    <s v="MARTES"/>
    <x v="46"/>
    <x v="46"/>
    <n v="2500"/>
    <n v="250"/>
    <n v="1050"/>
    <x v="3"/>
  </r>
  <r>
    <x v="204"/>
    <x v="5"/>
    <x v="34"/>
    <s v="MARTES"/>
    <x v="46"/>
    <x v="46"/>
    <n v="1250"/>
    <n v="250"/>
    <n v="525"/>
    <x v="3"/>
  </r>
  <r>
    <x v="205"/>
    <x v="5"/>
    <x v="34"/>
    <s v="MIÉRCOLES"/>
    <x v="64"/>
    <x v="48"/>
    <n v="960"/>
    <n v="30"/>
    <n v="201.6"/>
    <x v="3"/>
  </r>
  <r>
    <x v="205"/>
    <x v="5"/>
    <x v="34"/>
    <s v="MIÉRCOLES"/>
    <x v="13"/>
    <x v="13"/>
    <n v="150"/>
    <n v="30"/>
    <n v="60"/>
    <x v="3"/>
  </r>
  <r>
    <x v="205"/>
    <x v="5"/>
    <x v="34"/>
    <s v="MIÉRCOLES"/>
    <x v="14"/>
    <x v="14"/>
    <n v="400"/>
    <n v="40"/>
    <n v="92"/>
    <x v="3"/>
  </r>
  <r>
    <x v="205"/>
    <x v="5"/>
    <x v="34"/>
    <s v="MIÉRCOLES"/>
    <x v="15"/>
    <x v="15"/>
    <n v="300"/>
    <n v="50"/>
    <n v="120"/>
    <x v="3"/>
  </r>
  <r>
    <x v="205"/>
    <x v="5"/>
    <x v="34"/>
    <s v="MIÉRCOLES"/>
    <x v="36"/>
    <x v="36"/>
    <n v="1350"/>
    <n v="90"/>
    <n v="540"/>
    <x v="3"/>
  </r>
  <r>
    <x v="205"/>
    <x v="5"/>
    <x v="34"/>
    <s v="MIÉRCOLES"/>
    <x v="40"/>
    <x v="40"/>
    <n v="560"/>
    <n v="240"/>
    <n v="224"/>
    <x v="3"/>
  </r>
  <r>
    <x v="205"/>
    <x v="5"/>
    <x v="34"/>
    <s v="MIÉRCOLES"/>
    <x v="38"/>
    <x v="38"/>
    <n v="560"/>
    <n v="112"/>
    <n v="224"/>
    <x v="3"/>
  </r>
  <r>
    <x v="205"/>
    <x v="5"/>
    <x v="34"/>
    <s v="MIÉRCOLES"/>
    <x v="0"/>
    <x v="0"/>
    <n v="1920"/>
    <n v="48"/>
    <n v="768"/>
    <x v="3"/>
  </r>
  <r>
    <x v="205"/>
    <x v="5"/>
    <x v="34"/>
    <s v="MIÉRCOLES"/>
    <x v="3"/>
    <x v="3"/>
    <n v="792"/>
    <n v="198"/>
    <n v="134.64000000000001"/>
    <x v="3"/>
  </r>
  <r>
    <x v="205"/>
    <x v="5"/>
    <x v="34"/>
    <s v="MIÉRCOLES"/>
    <x v="5"/>
    <x v="5"/>
    <n v="648"/>
    <n v="162"/>
    <n v="110.16000000000001"/>
    <x v="3"/>
  </r>
  <r>
    <x v="205"/>
    <x v="5"/>
    <x v="34"/>
    <s v="MIÉRCOLES"/>
    <x v="9"/>
    <x v="9"/>
    <n v="1440"/>
    <n v="90"/>
    <n v="244.8"/>
    <x v="3"/>
  </r>
  <r>
    <x v="205"/>
    <x v="5"/>
    <x v="34"/>
    <s v="MIÉRCOLES"/>
    <x v="25"/>
    <x v="25"/>
    <n v="1350"/>
    <n v="225"/>
    <n v="567"/>
    <x v="3"/>
  </r>
  <r>
    <x v="205"/>
    <x v="5"/>
    <x v="34"/>
    <s v="MIÉRCOLES"/>
    <x v="12"/>
    <x v="12"/>
    <n v="450"/>
    <n v="225"/>
    <n v="180"/>
    <x v="3"/>
  </r>
  <r>
    <x v="205"/>
    <x v="5"/>
    <x v="34"/>
    <s v="MIÉRCOLES"/>
    <x v="19"/>
    <x v="19"/>
    <n v="450"/>
    <n v="225"/>
    <n v="180"/>
    <x v="3"/>
  </r>
  <r>
    <x v="205"/>
    <x v="5"/>
    <x v="34"/>
    <s v="MIÉRCOLES"/>
    <x v="46"/>
    <x v="46"/>
    <n v="1500"/>
    <n v="250"/>
    <n v="630"/>
    <x v="3"/>
  </r>
  <r>
    <x v="205"/>
    <x v="5"/>
    <x v="34"/>
    <s v="MIÉRCOLES"/>
    <x v="42"/>
    <x v="42"/>
    <n v="500"/>
    <n v="420"/>
    <n v="210"/>
    <x v="3"/>
  </r>
  <r>
    <x v="206"/>
    <x v="5"/>
    <x v="34"/>
    <s v="JUEVES"/>
    <x v="19"/>
    <x v="19"/>
    <n v="450"/>
    <n v="225"/>
    <n v="180"/>
    <x v="3"/>
  </r>
  <r>
    <x v="206"/>
    <x v="5"/>
    <x v="34"/>
    <s v="JUEVES"/>
    <x v="46"/>
    <x v="46"/>
    <n v="500"/>
    <n v="250"/>
    <n v="210"/>
    <x v="3"/>
  </r>
  <r>
    <x v="206"/>
    <x v="5"/>
    <x v="34"/>
    <s v="JUEVES"/>
    <x v="42"/>
    <x v="42"/>
    <n v="250"/>
    <n v="420"/>
    <n v="105"/>
    <x v="3"/>
  </r>
  <r>
    <x v="206"/>
    <x v="5"/>
    <x v="34"/>
    <s v="JUEVES"/>
    <x v="43"/>
    <x v="43"/>
    <n v="500"/>
    <n v="420"/>
    <n v="210"/>
    <x v="3"/>
  </r>
  <r>
    <x v="206"/>
    <x v="5"/>
    <x v="34"/>
    <s v="JUEVES"/>
    <x v="13"/>
    <x v="13"/>
    <n v="150"/>
    <n v="30"/>
    <n v="60"/>
    <x v="3"/>
  </r>
  <r>
    <x v="206"/>
    <x v="5"/>
    <x v="34"/>
    <s v="JUEVES"/>
    <x v="15"/>
    <x v="15"/>
    <n v="200"/>
    <n v="50"/>
    <n v="80"/>
    <x v="3"/>
  </r>
  <r>
    <x v="206"/>
    <x v="5"/>
    <x v="34"/>
    <s v="JUEVES"/>
    <x v="36"/>
    <x v="36"/>
    <n v="540"/>
    <n v="90"/>
    <n v="216"/>
    <x v="3"/>
  </r>
  <r>
    <x v="206"/>
    <x v="5"/>
    <x v="34"/>
    <s v="JUEVES"/>
    <x v="38"/>
    <x v="38"/>
    <n v="224"/>
    <n v="112"/>
    <n v="89.600000000000009"/>
    <x v="3"/>
  </r>
  <r>
    <x v="206"/>
    <x v="5"/>
    <x v="34"/>
    <s v="JUEVES"/>
    <x v="24"/>
    <x v="24"/>
    <n v="840"/>
    <n v="420"/>
    <n v="352.8"/>
    <x v="3"/>
  </r>
  <r>
    <x v="206"/>
    <x v="5"/>
    <x v="34"/>
    <s v="JUEVES"/>
    <x v="39"/>
    <x v="39"/>
    <n v="4200"/>
    <n v="420"/>
    <n v="1764"/>
    <x v="3"/>
  </r>
  <r>
    <x v="206"/>
    <x v="5"/>
    <x v="34"/>
    <s v="JUEVES"/>
    <x v="16"/>
    <x v="16"/>
    <n v="1080"/>
    <n v="180"/>
    <n v="453.59999999999997"/>
    <x v="3"/>
  </r>
  <r>
    <x v="206"/>
    <x v="5"/>
    <x v="34"/>
    <s v="JUEVES"/>
    <x v="1"/>
    <x v="1"/>
    <n v="1080"/>
    <n v="198"/>
    <n v="183.60000000000002"/>
    <x v="3"/>
  </r>
  <r>
    <x v="206"/>
    <x v="5"/>
    <x v="34"/>
    <s v="JUEVES"/>
    <x v="22"/>
    <x v="22"/>
    <n v="990"/>
    <n v="198"/>
    <n v="168.3"/>
    <x v="3"/>
  </r>
  <r>
    <x v="206"/>
    <x v="5"/>
    <x v="34"/>
    <s v="JUEVES"/>
    <x v="4"/>
    <x v="4"/>
    <n v="810"/>
    <n v="162"/>
    <n v="137.70000000000002"/>
    <x v="3"/>
  </r>
  <r>
    <x v="206"/>
    <x v="5"/>
    <x v="34"/>
    <s v="JUEVES"/>
    <x v="6"/>
    <x v="6"/>
    <n v="6600"/>
    <n v="120"/>
    <n v="1122"/>
    <x v="3"/>
  </r>
  <r>
    <x v="206"/>
    <x v="5"/>
    <x v="34"/>
    <s v="JUEVES"/>
    <x v="10"/>
    <x v="10"/>
    <n v="5520"/>
    <n v="120"/>
    <n v="938.40000000000009"/>
    <x v="3"/>
  </r>
  <r>
    <x v="206"/>
    <x v="5"/>
    <x v="34"/>
    <s v="JUEVES"/>
    <x v="26"/>
    <x v="26"/>
    <n v="900"/>
    <n v="90"/>
    <n v="153"/>
    <x v="3"/>
  </r>
  <r>
    <x v="206"/>
    <x v="5"/>
    <x v="34"/>
    <s v="JUEVES"/>
    <x v="23"/>
    <x v="23"/>
    <n v="1440"/>
    <n v="90"/>
    <n v="244.8"/>
    <x v="3"/>
  </r>
  <r>
    <x v="206"/>
    <x v="5"/>
    <x v="34"/>
    <s v="JUEVES"/>
    <x v="12"/>
    <x v="12"/>
    <n v="225"/>
    <n v="225"/>
    <n v="90"/>
    <x v="3"/>
  </r>
  <r>
    <x v="207"/>
    <x v="5"/>
    <x v="35"/>
    <s v="SÁBADO"/>
    <x v="36"/>
    <x v="36"/>
    <n v="1260"/>
    <n v="90"/>
    <n v="504"/>
    <x v="3"/>
  </r>
  <r>
    <x v="207"/>
    <x v="5"/>
    <x v="35"/>
    <s v="SÁBADO"/>
    <x v="38"/>
    <x v="38"/>
    <n v="336"/>
    <n v="112"/>
    <n v="134.4"/>
    <x v="3"/>
  </r>
  <r>
    <x v="207"/>
    <x v="5"/>
    <x v="35"/>
    <s v="SÁBADO"/>
    <x v="0"/>
    <x v="0"/>
    <n v="1296"/>
    <n v="48"/>
    <n v="518.4"/>
    <x v="3"/>
  </r>
  <r>
    <x v="207"/>
    <x v="5"/>
    <x v="35"/>
    <s v="SÁBADO"/>
    <x v="24"/>
    <x v="24"/>
    <n v="1260"/>
    <n v="420"/>
    <n v="529.19999999999993"/>
    <x v="3"/>
  </r>
  <r>
    <x v="207"/>
    <x v="5"/>
    <x v="35"/>
    <s v="SÁBADO"/>
    <x v="39"/>
    <x v="39"/>
    <n v="2100"/>
    <n v="420"/>
    <n v="882"/>
    <x v="3"/>
  </r>
  <r>
    <x v="207"/>
    <x v="5"/>
    <x v="35"/>
    <s v="SÁBADO"/>
    <x v="16"/>
    <x v="16"/>
    <n v="900"/>
    <n v="180"/>
    <n v="378"/>
    <x v="3"/>
  </r>
  <r>
    <x v="207"/>
    <x v="5"/>
    <x v="35"/>
    <s v="SÁBADO"/>
    <x v="1"/>
    <x v="1"/>
    <n v="2160"/>
    <n v="198"/>
    <n v="367.20000000000005"/>
    <x v="3"/>
  </r>
  <r>
    <x v="207"/>
    <x v="5"/>
    <x v="35"/>
    <s v="SÁBADO"/>
    <x v="17"/>
    <x v="17"/>
    <n v="4200"/>
    <n v="120"/>
    <n v="714"/>
    <x v="3"/>
  </r>
  <r>
    <x v="207"/>
    <x v="5"/>
    <x v="35"/>
    <s v="SÁBADO"/>
    <x v="10"/>
    <x v="10"/>
    <n v="2400"/>
    <n v="120"/>
    <n v="408.00000000000006"/>
    <x v="3"/>
  </r>
  <r>
    <x v="207"/>
    <x v="5"/>
    <x v="35"/>
    <s v="SÁBADO"/>
    <x v="23"/>
    <x v="23"/>
    <n v="720"/>
    <n v="90"/>
    <n v="122.4"/>
    <x v="3"/>
  </r>
  <r>
    <x v="207"/>
    <x v="5"/>
    <x v="35"/>
    <s v="SÁBADO"/>
    <x v="11"/>
    <x v="11"/>
    <n v="2160"/>
    <n v="90"/>
    <n v="367.20000000000005"/>
    <x v="3"/>
  </r>
  <r>
    <x v="207"/>
    <x v="5"/>
    <x v="35"/>
    <s v="SÁBADO"/>
    <x v="12"/>
    <x v="12"/>
    <n v="900"/>
    <n v="225"/>
    <n v="360"/>
    <x v="3"/>
  </r>
  <r>
    <x v="207"/>
    <x v="5"/>
    <x v="35"/>
    <s v="SÁBADO"/>
    <x v="19"/>
    <x v="19"/>
    <n v="450"/>
    <n v="225"/>
    <n v="180"/>
    <x v="3"/>
  </r>
  <r>
    <x v="207"/>
    <x v="5"/>
    <x v="35"/>
    <s v="SÁBADO"/>
    <x v="43"/>
    <x v="43"/>
    <n v="250"/>
    <n v="420"/>
    <n v="105"/>
    <x v="3"/>
  </r>
  <r>
    <x v="208"/>
    <x v="5"/>
    <x v="34"/>
    <s v="VIERNES"/>
    <x v="36"/>
    <x v="36"/>
    <n v="900"/>
    <n v="90"/>
    <n v="360"/>
    <x v="3"/>
  </r>
  <r>
    <x v="208"/>
    <x v="5"/>
    <x v="34"/>
    <s v="VIERNES"/>
    <x v="0"/>
    <x v="0"/>
    <n v="2400"/>
    <n v="48"/>
    <n v="960"/>
    <x v="3"/>
  </r>
  <r>
    <x v="208"/>
    <x v="5"/>
    <x v="34"/>
    <s v="VIERNES"/>
    <x v="24"/>
    <x v="24"/>
    <n v="840"/>
    <n v="420"/>
    <n v="352.8"/>
    <x v="3"/>
  </r>
  <r>
    <x v="208"/>
    <x v="5"/>
    <x v="34"/>
    <s v="VIERNES"/>
    <x v="16"/>
    <x v="16"/>
    <n v="1800"/>
    <n v="180"/>
    <n v="756"/>
    <x v="3"/>
  </r>
  <r>
    <x v="208"/>
    <x v="5"/>
    <x v="34"/>
    <s v="VIERNES"/>
    <x v="1"/>
    <x v="1"/>
    <n v="1296"/>
    <n v="198"/>
    <n v="220.32000000000002"/>
    <x v="3"/>
  </r>
  <r>
    <x v="208"/>
    <x v="5"/>
    <x v="34"/>
    <s v="VIERNES"/>
    <x v="2"/>
    <x v="2"/>
    <n v="216"/>
    <n v="198"/>
    <n v="36.720000000000006"/>
    <x v="3"/>
  </r>
  <r>
    <x v="208"/>
    <x v="5"/>
    <x v="34"/>
    <s v="VIERNES"/>
    <x v="34"/>
    <x v="34"/>
    <n v="432"/>
    <n v="198"/>
    <n v="73.440000000000012"/>
    <x v="3"/>
  </r>
  <r>
    <x v="208"/>
    <x v="5"/>
    <x v="34"/>
    <s v="VIERNES"/>
    <x v="3"/>
    <x v="3"/>
    <n v="990"/>
    <n v="198"/>
    <n v="168.3"/>
    <x v="3"/>
  </r>
  <r>
    <x v="208"/>
    <x v="5"/>
    <x v="34"/>
    <s v="VIERNES"/>
    <x v="5"/>
    <x v="5"/>
    <n v="324"/>
    <n v="162"/>
    <n v="55.080000000000005"/>
    <x v="3"/>
  </r>
  <r>
    <x v="208"/>
    <x v="5"/>
    <x v="34"/>
    <s v="VIERNES"/>
    <x v="17"/>
    <x v="17"/>
    <n v="4320"/>
    <n v="120"/>
    <n v="734.40000000000009"/>
    <x v="3"/>
  </r>
  <r>
    <x v="208"/>
    <x v="5"/>
    <x v="34"/>
    <s v="VIERNES"/>
    <x v="7"/>
    <x v="7"/>
    <n v="2376"/>
    <n v="198"/>
    <n v="403.92"/>
    <x v="3"/>
  </r>
  <r>
    <x v="208"/>
    <x v="5"/>
    <x v="34"/>
    <s v="VIERNES"/>
    <x v="8"/>
    <x v="8"/>
    <n v="1080"/>
    <n v="198"/>
    <n v="183.60000000000002"/>
    <x v="3"/>
  </r>
  <r>
    <x v="208"/>
    <x v="5"/>
    <x v="34"/>
    <s v="VIERNES"/>
    <x v="9"/>
    <x v="9"/>
    <n v="900"/>
    <n v="90"/>
    <n v="153"/>
    <x v="3"/>
  </r>
  <r>
    <x v="208"/>
    <x v="5"/>
    <x v="34"/>
    <s v="VIERNES"/>
    <x v="11"/>
    <x v="11"/>
    <n v="3600"/>
    <n v="90"/>
    <n v="612"/>
    <x v="3"/>
  </r>
  <r>
    <x v="208"/>
    <x v="5"/>
    <x v="34"/>
    <s v="VIERNES"/>
    <x v="20"/>
    <x v="20"/>
    <n v="900"/>
    <n v="90"/>
    <n v="153"/>
    <x v="3"/>
  </r>
  <r>
    <x v="208"/>
    <x v="5"/>
    <x v="34"/>
    <s v="VIERNES"/>
    <x v="25"/>
    <x v="25"/>
    <n v="1350"/>
    <n v="225"/>
    <n v="567"/>
    <x v="3"/>
  </r>
  <r>
    <x v="208"/>
    <x v="5"/>
    <x v="34"/>
    <s v="VIERNES"/>
    <x v="12"/>
    <x v="12"/>
    <n v="450"/>
    <n v="225"/>
    <n v="180"/>
    <x v="3"/>
  </r>
  <r>
    <x v="209"/>
    <x v="5"/>
    <x v="35"/>
    <s v="LUNES"/>
    <x v="36"/>
    <x v="36"/>
    <n v="450"/>
    <n v="90"/>
    <n v="180"/>
    <x v="3"/>
  </r>
  <r>
    <x v="209"/>
    <x v="5"/>
    <x v="35"/>
    <s v="LUNES"/>
    <x v="38"/>
    <x v="38"/>
    <n v="224"/>
    <n v="112"/>
    <n v="89.600000000000009"/>
    <x v="3"/>
  </r>
  <r>
    <x v="209"/>
    <x v="5"/>
    <x v="35"/>
    <s v="LUNES"/>
    <x v="0"/>
    <x v="0"/>
    <n v="1440"/>
    <n v="48"/>
    <n v="576"/>
    <x v="3"/>
  </r>
  <r>
    <x v="209"/>
    <x v="5"/>
    <x v="35"/>
    <s v="LUNES"/>
    <x v="39"/>
    <x v="39"/>
    <n v="2100"/>
    <n v="420"/>
    <n v="882"/>
    <x v="3"/>
  </r>
  <r>
    <x v="209"/>
    <x v="5"/>
    <x v="35"/>
    <s v="LUNES"/>
    <x v="22"/>
    <x v="22"/>
    <n v="792"/>
    <n v="198"/>
    <n v="134.64000000000001"/>
    <x v="3"/>
  </r>
  <r>
    <x v="209"/>
    <x v="5"/>
    <x v="35"/>
    <s v="LUNES"/>
    <x v="6"/>
    <x v="6"/>
    <n v="360"/>
    <n v="120"/>
    <n v="61.2"/>
    <x v="3"/>
  </r>
  <r>
    <x v="209"/>
    <x v="5"/>
    <x v="35"/>
    <s v="LUNES"/>
    <x v="9"/>
    <x v="9"/>
    <n v="720"/>
    <n v="90"/>
    <n v="122.4"/>
    <x v="3"/>
  </r>
  <r>
    <x v="209"/>
    <x v="5"/>
    <x v="35"/>
    <s v="LUNES"/>
    <x v="23"/>
    <x v="23"/>
    <n v="720"/>
    <n v="90"/>
    <n v="122.4"/>
    <x v="3"/>
  </r>
  <r>
    <x v="209"/>
    <x v="5"/>
    <x v="35"/>
    <s v="LUNES"/>
    <x v="11"/>
    <x v="11"/>
    <n v="2160"/>
    <n v="90"/>
    <n v="367.20000000000005"/>
    <x v="3"/>
  </r>
  <r>
    <x v="209"/>
    <x v="5"/>
    <x v="35"/>
    <s v="LUNES"/>
    <x v="25"/>
    <x v="25"/>
    <n v="2250"/>
    <n v="225"/>
    <n v="945"/>
    <x v="3"/>
  </r>
  <r>
    <x v="209"/>
    <x v="5"/>
    <x v="35"/>
    <s v="LUNES"/>
    <x v="12"/>
    <x v="12"/>
    <n v="675"/>
    <n v="225"/>
    <n v="270"/>
    <x v="3"/>
  </r>
  <r>
    <x v="209"/>
    <x v="5"/>
    <x v="35"/>
    <s v="LUNES"/>
    <x v="19"/>
    <x v="19"/>
    <n v="225"/>
    <n v="225"/>
    <n v="90"/>
    <x v="3"/>
  </r>
  <r>
    <x v="209"/>
    <x v="5"/>
    <x v="35"/>
    <s v="LUNES"/>
    <x v="37"/>
    <x v="37"/>
    <n v="1250"/>
    <n v="225"/>
    <n v="525"/>
    <x v="3"/>
  </r>
  <r>
    <x v="209"/>
    <x v="5"/>
    <x v="35"/>
    <s v="LUNES"/>
    <x v="64"/>
    <x v="48"/>
    <n v="600"/>
    <n v="30"/>
    <n v="126"/>
    <x v="3"/>
  </r>
  <r>
    <x v="210"/>
    <x v="5"/>
    <x v="35"/>
    <s v="MARTES"/>
    <x v="64"/>
    <x v="48"/>
    <n v="600"/>
    <n v="30"/>
    <n v="126"/>
    <x v="3"/>
  </r>
  <r>
    <x v="210"/>
    <x v="5"/>
    <x v="35"/>
    <s v="MARTES"/>
    <x v="0"/>
    <x v="0"/>
    <n v="1200"/>
    <n v="48"/>
    <n v="480"/>
    <x v="3"/>
  </r>
  <r>
    <x v="210"/>
    <x v="5"/>
    <x v="35"/>
    <s v="MARTES"/>
    <x v="39"/>
    <x v="39"/>
    <n v="2100"/>
    <n v="420"/>
    <n v="882"/>
    <x v="3"/>
  </r>
  <r>
    <x v="210"/>
    <x v="5"/>
    <x v="35"/>
    <s v="MARTES"/>
    <x v="1"/>
    <x v="1"/>
    <n v="4320"/>
    <n v="198"/>
    <n v="734.40000000000009"/>
    <x v="3"/>
  </r>
  <r>
    <x v="210"/>
    <x v="5"/>
    <x v="35"/>
    <s v="MARTES"/>
    <x v="2"/>
    <x v="2"/>
    <n v="1728"/>
    <n v="198"/>
    <n v="293.76000000000005"/>
    <x v="3"/>
  </r>
  <r>
    <x v="210"/>
    <x v="5"/>
    <x v="35"/>
    <s v="MARTES"/>
    <x v="22"/>
    <x v="22"/>
    <n v="990"/>
    <n v="198"/>
    <n v="168.3"/>
    <x v="3"/>
  </r>
  <r>
    <x v="210"/>
    <x v="5"/>
    <x v="35"/>
    <s v="MARTES"/>
    <x v="6"/>
    <x v="6"/>
    <n v="2520"/>
    <n v="120"/>
    <n v="428.40000000000003"/>
    <x v="3"/>
  </r>
  <r>
    <x v="210"/>
    <x v="5"/>
    <x v="35"/>
    <s v="MARTES"/>
    <x v="17"/>
    <x v="17"/>
    <n v="120"/>
    <n v="120"/>
    <n v="20.400000000000002"/>
    <x v="3"/>
  </r>
  <r>
    <x v="210"/>
    <x v="5"/>
    <x v="35"/>
    <s v="MARTES"/>
    <x v="7"/>
    <x v="7"/>
    <n v="2160"/>
    <n v="198"/>
    <n v="367.20000000000005"/>
    <x v="3"/>
  </r>
  <r>
    <x v="210"/>
    <x v="5"/>
    <x v="35"/>
    <s v="MARTES"/>
    <x v="8"/>
    <x v="8"/>
    <n v="1080"/>
    <n v="198"/>
    <n v="183.60000000000002"/>
    <x v="3"/>
  </r>
  <r>
    <x v="210"/>
    <x v="5"/>
    <x v="35"/>
    <s v="MARTES"/>
    <x v="9"/>
    <x v="9"/>
    <n v="900"/>
    <n v="90"/>
    <n v="153"/>
    <x v="3"/>
  </r>
  <r>
    <x v="210"/>
    <x v="5"/>
    <x v="35"/>
    <s v="MARTES"/>
    <x v="23"/>
    <x v="23"/>
    <n v="900"/>
    <n v="90"/>
    <n v="153"/>
    <x v="3"/>
  </r>
  <r>
    <x v="210"/>
    <x v="5"/>
    <x v="35"/>
    <s v="MARTES"/>
    <x v="11"/>
    <x v="11"/>
    <n v="900"/>
    <n v="90"/>
    <n v="153"/>
    <x v="3"/>
  </r>
  <r>
    <x v="210"/>
    <x v="5"/>
    <x v="35"/>
    <s v="MARTES"/>
    <x v="25"/>
    <x v="25"/>
    <n v="1350"/>
    <n v="225"/>
    <n v="567"/>
    <x v="3"/>
  </r>
  <r>
    <x v="210"/>
    <x v="5"/>
    <x v="35"/>
    <s v="MARTES"/>
    <x v="12"/>
    <x v="12"/>
    <n v="675"/>
    <n v="225"/>
    <n v="270"/>
    <x v="3"/>
  </r>
  <r>
    <x v="210"/>
    <x v="5"/>
    <x v="35"/>
    <s v="MARTES"/>
    <x v="42"/>
    <x v="42"/>
    <n v="500"/>
    <n v="420"/>
    <n v="210"/>
    <x v="3"/>
  </r>
  <r>
    <x v="211"/>
    <x v="5"/>
    <x v="35"/>
    <s v="MIÉRCOLES"/>
    <x v="43"/>
    <x v="43"/>
    <n v="500"/>
    <n v="420"/>
    <n v="210"/>
    <x v="3"/>
  </r>
  <r>
    <x v="211"/>
    <x v="5"/>
    <x v="35"/>
    <s v="MIÉRCOLES"/>
    <x v="28"/>
    <x v="28"/>
    <n v="210"/>
    <n v="30"/>
    <n v="48.300000000000004"/>
    <x v="3"/>
  </r>
  <r>
    <x v="211"/>
    <x v="5"/>
    <x v="35"/>
    <s v="MIÉRCOLES"/>
    <x v="13"/>
    <x v="13"/>
    <n v="200"/>
    <n v="30"/>
    <n v="80"/>
    <x v="3"/>
  </r>
  <r>
    <x v="211"/>
    <x v="5"/>
    <x v="35"/>
    <s v="MIÉRCOLES"/>
    <x v="15"/>
    <x v="15"/>
    <n v="200"/>
    <n v="50"/>
    <n v="80"/>
    <x v="3"/>
  </r>
  <r>
    <x v="211"/>
    <x v="5"/>
    <x v="35"/>
    <s v="MIÉRCOLES"/>
    <x v="36"/>
    <x v="36"/>
    <n v="900"/>
    <n v="90"/>
    <n v="360"/>
    <x v="3"/>
  </r>
  <r>
    <x v="211"/>
    <x v="5"/>
    <x v="35"/>
    <s v="MIÉRCOLES"/>
    <x v="38"/>
    <x v="38"/>
    <n v="336"/>
    <n v="112"/>
    <n v="134.4"/>
    <x v="3"/>
  </r>
  <r>
    <x v="211"/>
    <x v="5"/>
    <x v="35"/>
    <s v="MIÉRCOLES"/>
    <x v="0"/>
    <x v="0"/>
    <n v="1440"/>
    <n v="48"/>
    <n v="576"/>
    <x v="3"/>
  </r>
  <r>
    <x v="211"/>
    <x v="5"/>
    <x v="35"/>
    <s v="MIÉRCOLES"/>
    <x v="24"/>
    <x v="24"/>
    <n v="3360"/>
    <n v="420"/>
    <n v="1411.2"/>
    <x v="3"/>
  </r>
  <r>
    <x v="211"/>
    <x v="5"/>
    <x v="35"/>
    <s v="MIÉRCOLES"/>
    <x v="32"/>
    <x v="32"/>
    <n v="4200"/>
    <n v="420"/>
    <n v="1764"/>
    <x v="3"/>
  </r>
  <r>
    <x v="211"/>
    <x v="5"/>
    <x v="35"/>
    <s v="MIÉRCOLES"/>
    <x v="3"/>
    <x v="3"/>
    <n v="990"/>
    <n v="198"/>
    <n v="168.3"/>
    <x v="3"/>
  </r>
  <r>
    <x v="211"/>
    <x v="5"/>
    <x v="35"/>
    <s v="MIÉRCOLES"/>
    <x v="6"/>
    <x v="6"/>
    <n v="3000"/>
    <n v="120"/>
    <n v="510.00000000000006"/>
    <x v="3"/>
  </r>
  <r>
    <x v="211"/>
    <x v="5"/>
    <x v="35"/>
    <s v="MIÉRCOLES"/>
    <x v="8"/>
    <x v="8"/>
    <n v="1512"/>
    <n v="198"/>
    <n v="257.04000000000002"/>
    <x v="3"/>
  </r>
  <r>
    <x v="211"/>
    <x v="5"/>
    <x v="35"/>
    <s v="MIÉRCOLES"/>
    <x v="11"/>
    <x v="11"/>
    <n v="2880"/>
    <n v="90"/>
    <n v="489.6"/>
    <x v="3"/>
  </r>
  <r>
    <x v="211"/>
    <x v="5"/>
    <x v="35"/>
    <s v="MIÉRCOLES"/>
    <x v="20"/>
    <x v="20"/>
    <n v="450"/>
    <n v="90"/>
    <n v="76.5"/>
    <x v="3"/>
  </r>
  <r>
    <x v="211"/>
    <x v="5"/>
    <x v="35"/>
    <s v="MIÉRCOLES"/>
    <x v="19"/>
    <x v="19"/>
    <n v="450"/>
    <n v="225"/>
    <n v="180"/>
    <x v="3"/>
  </r>
  <r>
    <x v="211"/>
    <x v="5"/>
    <x v="35"/>
    <s v="MIÉRCOLES"/>
    <x v="42"/>
    <x v="42"/>
    <n v="500"/>
    <n v="420"/>
    <n v="210"/>
    <x v="3"/>
  </r>
  <r>
    <x v="211"/>
    <x v="5"/>
    <x v="35"/>
    <s v="MIÉRCOLES"/>
    <x v="40"/>
    <x v="40"/>
    <n v="112"/>
    <n v="240"/>
    <n v="44.800000000000004"/>
    <x v="3"/>
  </r>
  <r>
    <x v="211"/>
    <x v="5"/>
    <x v="35"/>
    <s v="MIÉRCOLES"/>
    <x v="24"/>
    <x v="24"/>
    <n v="840"/>
    <n v="420"/>
    <n v="352.8"/>
    <x v="3"/>
  </r>
  <r>
    <x v="211"/>
    <x v="5"/>
    <x v="35"/>
    <s v="MIÉRCOLES"/>
    <x v="16"/>
    <x v="16"/>
    <n v="900"/>
    <n v="180"/>
    <n v="378"/>
    <x v="3"/>
  </r>
  <r>
    <x v="212"/>
    <x v="5"/>
    <x v="35"/>
    <s v="JUEVES"/>
    <x v="24"/>
    <x v="24"/>
    <n v="2940"/>
    <n v="420"/>
    <n v="1234.8"/>
    <x v="3"/>
  </r>
  <r>
    <x v="212"/>
    <x v="5"/>
    <x v="35"/>
    <s v="JUEVES"/>
    <x v="32"/>
    <x v="32"/>
    <n v="2940"/>
    <n v="420"/>
    <n v="1234.8"/>
    <x v="3"/>
  </r>
  <r>
    <x v="212"/>
    <x v="5"/>
    <x v="35"/>
    <s v="JUEVES"/>
    <x v="28"/>
    <x v="28"/>
    <n v="180"/>
    <n v="30"/>
    <n v="41.4"/>
    <x v="3"/>
  </r>
  <r>
    <x v="212"/>
    <x v="5"/>
    <x v="35"/>
    <s v="JUEVES"/>
    <x v="13"/>
    <x v="13"/>
    <n v="150"/>
    <n v="30"/>
    <n v="60"/>
    <x v="3"/>
  </r>
  <r>
    <x v="212"/>
    <x v="5"/>
    <x v="35"/>
    <s v="JUEVES"/>
    <x v="15"/>
    <x v="15"/>
    <n v="250"/>
    <n v="50"/>
    <n v="100"/>
    <x v="3"/>
  </r>
  <r>
    <x v="212"/>
    <x v="5"/>
    <x v="35"/>
    <s v="JUEVES"/>
    <x v="36"/>
    <x v="36"/>
    <n v="450"/>
    <n v="90"/>
    <n v="180"/>
    <x v="3"/>
  </r>
  <r>
    <x v="212"/>
    <x v="5"/>
    <x v="35"/>
    <s v="JUEVES"/>
    <x v="38"/>
    <x v="38"/>
    <n v="224"/>
    <n v="112"/>
    <n v="89.600000000000009"/>
    <x v="3"/>
  </r>
  <r>
    <x v="212"/>
    <x v="5"/>
    <x v="35"/>
    <s v="JUEVES"/>
    <x v="24"/>
    <x v="24"/>
    <n v="5880"/>
    <n v="420"/>
    <n v="2469.6"/>
    <x v="3"/>
  </r>
  <r>
    <x v="212"/>
    <x v="5"/>
    <x v="35"/>
    <s v="JUEVES"/>
    <x v="32"/>
    <x v="32"/>
    <n v="3360"/>
    <n v="420"/>
    <n v="1411.2"/>
    <x v="3"/>
  </r>
  <r>
    <x v="212"/>
    <x v="5"/>
    <x v="35"/>
    <s v="JUEVES"/>
    <x v="16"/>
    <x v="16"/>
    <n v="540"/>
    <n v="180"/>
    <n v="226.79999999999998"/>
    <x v="3"/>
  </r>
  <r>
    <x v="212"/>
    <x v="5"/>
    <x v="35"/>
    <s v="JUEVES"/>
    <x v="3"/>
    <x v="3"/>
    <n v="990"/>
    <n v="198"/>
    <n v="168.3"/>
    <x v="3"/>
  </r>
  <r>
    <x v="212"/>
    <x v="5"/>
    <x v="35"/>
    <s v="JUEVES"/>
    <x v="4"/>
    <x v="4"/>
    <n v="1296"/>
    <n v="162"/>
    <n v="220.32000000000002"/>
    <x v="3"/>
  </r>
  <r>
    <x v="212"/>
    <x v="5"/>
    <x v="35"/>
    <s v="JUEVES"/>
    <x v="5"/>
    <x v="5"/>
    <n v="648"/>
    <n v="162"/>
    <n v="110.16000000000001"/>
    <x v="3"/>
  </r>
  <r>
    <x v="212"/>
    <x v="5"/>
    <x v="35"/>
    <s v="JUEVES"/>
    <x v="6"/>
    <x v="6"/>
    <n v="2400"/>
    <n v="120"/>
    <n v="408.00000000000006"/>
    <x v="3"/>
  </r>
  <r>
    <x v="212"/>
    <x v="5"/>
    <x v="35"/>
    <s v="JUEVES"/>
    <x v="17"/>
    <x v="17"/>
    <n v="2400"/>
    <n v="120"/>
    <n v="408.00000000000006"/>
    <x v="3"/>
  </r>
  <r>
    <x v="212"/>
    <x v="5"/>
    <x v="35"/>
    <s v="JUEVES"/>
    <x v="7"/>
    <x v="7"/>
    <n v="1080"/>
    <n v="198"/>
    <n v="183.60000000000002"/>
    <x v="3"/>
  </r>
  <r>
    <x v="212"/>
    <x v="5"/>
    <x v="35"/>
    <s v="JUEVES"/>
    <x v="11"/>
    <x v="11"/>
    <n v="900"/>
    <n v="90"/>
    <n v="153"/>
    <x v="3"/>
  </r>
  <r>
    <x v="212"/>
    <x v="5"/>
    <x v="35"/>
    <s v="JUEVES"/>
    <x v="20"/>
    <x v="20"/>
    <n v="450"/>
    <n v="90"/>
    <n v="76.5"/>
    <x v="3"/>
  </r>
  <r>
    <x v="212"/>
    <x v="5"/>
    <x v="35"/>
    <s v="JUEVES"/>
    <x v="25"/>
    <x v="25"/>
    <n v="1350"/>
    <n v="225"/>
    <n v="567"/>
    <x v="3"/>
  </r>
  <r>
    <x v="212"/>
    <x v="5"/>
    <x v="35"/>
    <s v="JUEVES"/>
    <x v="42"/>
    <x v="42"/>
    <n v="250"/>
    <n v="420"/>
    <n v="105"/>
    <x v="3"/>
  </r>
  <r>
    <x v="212"/>
    <x v="5"/>
    <x v="35"/>
    <s v="JUEVES"/>
    <x v="43"/>
    <x v="43"/>
    <n v="500"/>
    <n v="420"/>
    <n v="210"/>
    <x v="3"/>
  </r>
  <r>
    <x v="213"/>
    <x v="5"/>
    <x v="35"/>
    <s v="VIERNES"/>
    <x v="32"/>
    <x v="32"/>
    <n v="2940"/>
    <n v="420"/>
    <n v="1234.8"/>
    <x v="3"/>
  </r>
  <r>
    <x v="213"/>
    <x v="5"/>
    <x v="35"/>
    <s v="VIERNES"/>
    <x v="1"/>
    <x v="1"/>
    <n v="864"/>
    <n v="198"/>
    <n v="146.88000000000002"/>
    <x v="3"/>
  </r>
  <r>
    <x v="213"/>
    <x v="5"/>
    <x v="35"/>
    <s v="VIERNES"/>
    <x v="22"/>
    <x v="22"/>
    <n v="396"/>
    <n v="198"/>
    <n v="67.320000000000007"/>
    <x v="3"/>
  </r>
  <r>
    <x v="213"/>
    <x v="5"/>
    <x v="35"/>
    <s v="VIERNES"/>
    <x v="43"/>
    <x v="43"/>
    <n v="500"/>
    <n v="420"/>
    <n v="210"/>
    <x v="3"/>
  </r>
  <r>
    <x v="213"/>
    <x v="5"/>
    <x v="35"/>
    <s v="VIERNES"/>
    <x v="65"/>
    <x v="49"/>
    <n v="2000"/>
    <n v="250"/>
    <n v="460"/>
    <x v="3"/>
  </r>
  <r>
    <x v="213"/>
    <x v="5"/>
    <x v="35"/>
    <s v="VIERNES"/>
    <x v="36"/>
    <x v="36"/>
    <n v="450"/>
    <n v="90"/>
    <n v="180"/>
    <x v="3"/>
  </r>
  <r>
    <x v="213"/>
    <x v="5"/>
    <x v="35"/>
    <s v="VIERNES"/>
    <x v="40"/>
    <x v="40"/>
    <n v="224"/>
    <n v="240"/>
    <n v="89.600000000000009"/>
    <x v="3"/>
  </r>
  <r>
    <x v="213"/>
    <x v="5"/>
    <x v="35"/>
    <s v="VIERNES"/>
    <x v="0"/>
    <x v="0"/>
    <n v="1920"/>
    <n v="48"/>
    <n v="768"/>
    <x v="3"/>
  </r>
  <r>
    <x v="213"/>
    <x v="5"/>
    <x v="35"/>
    <s v="VIERNES"/>
    <x v="24"/>
    <x v="24"/>
    <n v="3360"/>
    <n v="420"/>
    <n v="1411.2"/>
    <x v="3"/>
  </r>
  <r>
    <x v="213"/>
    <x v="5"/>
    <x v="35"/>
    <s v="VIERNES"/>
    <x v="1"/>
    <x v="1"/>
    <n v="1296"/>
    <n v="198"/>
    <n v="220.32000000000002"/>
    <x v="3"/>
  </r>
  <r>
    <x v="213"/>
    <x v="5"/>
    <x v="35"/>
    <s v="VIERNES"/>
    <x v="2"/>
    <x v="2"/>
    <n v="2160"/>
    <n v="198"/>
    <n v="367.20000000000005"/>
    <x v="3"/>
  </r>
  <r>
    <x v="213"/>
    <x v="5"/>
    <x v="35"/>
    <s v="VIERNES"/>
    <x v="22"/>
    <x v="22"/>
    <n v="594"/>
    <n v="198"/>
    <n v="100.98"/>
    <x v="3"/>
  </r>
  <r>
    <x v="213"/>
    <x v="5"/>
    <x v="35"/>
    <s v="VIERNES"/>
    <x v="6"/>
    <x v="6"/>
    <n v="6000"/>
    <n v="120"/>
    <n v="1020.0000000000001"/>
    <x v="3"/>
  </r>
  <r>
    <x v="213"/>
    <x v="5"/>
    <x v="35"/>
    <s v="VIERNES"/>
    <x v="8"/>
    <x v="8"/>
    <n v="2160"/>
    <n v="198"/>
    <n v="367.20000000000005"/>
    <x v="3"/>
  </r>
  <r>
    <x v="213"/>
    <x v="5"/>
    <x v="35"/>
    <s v="VIERNES"/>
    <x v="9"/>
    <x v="9"/>
    <n v="1440"/>
    <n v="90"/>
    <n v="244.8"/>
    <x v="3"/>
  </r>
  <r>
    <x v="213"/>
    <x v="5"/>
    <x v="35"/>
    <s v="VIERNES"/>
    <x v="23"/>
    <x v="23"/>
    <n v="1440"/>
    <n v="90"/>
    <n v="244.8"/>
    <x v="3"/>
  </r>
  <r>
    <x v="213"/>
    <x v="5"/>
    <x v="35"/>
    <s v="VIERNES"/>
    <x v="25"/>
    <x v="25"/>
    <n v="1800"/>
    <n v="225"/>
    <n v="756"/>
    <x v="3"/>
  </r>
  <r>
    <x v="213"/>
    <x v="5"/>
    <x v="35"/>
    <s v="VIERNES"/>
    <x v="12"/>
    <x v="12"/>
    <n v="900"/>
    <n v="225"/>
    <n v="360"/>
    <x v="3"/>
  </r>
  <r>
    <x v="213"/>
    <x v="5"/>
    <x v="35"/>
    <s v="VIERNES"/>
    <x v="19"/>
    <x v="19"/>
    <n v="675"/>
    <n v="225"/>
    <n v="270"/>
    <x v="3"/>
  </r>
  <r>
    <x v="213"/>
    <x v="5"/>
    <x v="35"/>
    <s v="VIERNES"/>
    <x v="42"/>
    <x v="42"/>
    <n v="500"/>
    <n v="420"/>
    <n v="210"/>
    <x v="3"/>
  </r>
  <r>
    <x v="214"/>
    <x v="5"/>
    <x v="36"/>
    <s v="SÁBADO"/>
    <x v="28"/>
    <x v="28"/>
    <n v="120"/>
    <n v="30"/>
    <n v="27.6"/>
    <x v="3"/>
  </r>
  <r>
    <x v="214"/>
    <x v="5"/>
    <x v="36"/>
    <s v="SÁBADO"/>
    <x v="36"/>
    <x v="36"/>
    <n v="540"/>
    <n v="90"/>
    <n v="216"/>
    <x v="3"/>
  </r>
  <r>
    <x v="214"/>
    <x v="5"/>
    <x v="36"/>
    <s v="SÁBADO"/>
    <x v="6"/>
    <x v="6"/>
    <n v="4800"/>
    <n v="120"/>
    <n v="816.00000000000011"/>
    <x v="3"/>
  </r>
  <r>
    <x v="214"/>
    <x v="5"/>
    <x v="36"/>
    <s v="SÁBADO"/>
    <x v="17"/>
    <x v="17"/>
    <n v="4080"/>
    <n v="120"/>
    <n v="693.6"/>
    <x v="3"/>
  </r>
  <r>
    <x v="214"/>
    <x v="5"/>
    <x v="36"/>
    <s v="SÁBADO"/>
    <x v="9"/>
    <x v="9"/>
    <n v="720"/>
    <n v="90"/>
    <n v="122.4"/>
    <x v="3"/>
  </r>
  <r>
    <x v="214"/>
    <x v="5"/>
    <x v="36"/>
    <s v="SÁBADO"/>
    <x v="10"/>
    <x v="10"/>
    <n v="480"/>
    <n v="120"/>
    <n v="81.600000000000009"/>
    <x v="3"/>
  </r>
  <r>
    <x v="214"/>
    <x v="5"/>
    <x v="36"/>
    <s v="SÁBADO"/>
    <x v="25"/>
    <x v="25"/>
    <n v="1350"/>
    <n v="225"/>
    <n v="567"/>
    <x v="3"/>
  </r>
  <r>
    <x v="214"/>
    <x v="5"/>
    <x v="36"/>
    <s v="SÁBADO"/>
    <x v="12"/>
    <x v="12"/>
    <n v="450"/>
    <n v="225"/>
    <n v="180"/>
    <x v="3"/>
  </r>
  <r>
    <x v="214"/>
    <x v="5"/>
    <x v="36"/>
    <s v="SÁBADO"/>
    <x v="42"/>
    <x v="42"/>
    <n v="500"/>
    <n v="420"/>
    <n v="210"/>
    <x v="3"/>
  </r>
  <r>
    <x v="214"/>
    <x v="5"/>
    <x v="36"/>
    <s v="SÁBADO"/>
    <x v="30"/>
    <x v="30"/>
    <n v="1500"/>
    <n v="250"/>
    <n v="345"/>
    <x v="3"/>
  </r>
  <r>
    <x v="214"/>
    <x v="5"/>
    <x v="36"/>
    <s v="SÁBADO"/>
    <x v="66"/>
    <x v="50"/>
    <n v="800"/>
    <n v="200"/>
    <n v="336"/>
    <x v="3"/>
  </r>
  <r>
    <x v="214"/>
    <x v="5"/>
    <x v="36"/>
    <s v="SÁBADO"/>
    <x v="67"/>
    <x v="51"/>
    <n v="360"/>
    <n v="180"/>
    <n v="151.19999999999999"/>
    <x v="3"/>
  </r>
  <r>
    <x v="214"/>
    <x v="5"/>
    <x v="36"/>
    <s v="SÁBADO"/>
    <x v="68"/>
    <x v="52"/>
    <n v="1000"/>
    <n v="250"/>
    <n v="420"/>
    <x v="3"/>
  </r>
  <r>
    <x v="214"/>
    <x v="5"/>
    <x v="36"/>
    <s v="SÁBADO"/>
    <x v="69"/>
    <x v="53"/>
    <n v="240"/>
    <n v="60"/>
    <n v="165.6"/>
    <x v="3"/>
  </r>
  <r>
    <x v="214"/>
    <x v="5"/>
    <x v="36"/>
    <s v="SÁBADO"/>
    <x v="70"/>
    <x v="54"/>
    <n v="360"/>
    <n v="180"/>
    <n v="151.19999999999999"/>
    <x v="3"/>
  </r>
  <r>
    <x v="214"/>
    <x v="5"/>
    <x v="36"/>
    <s v="SÁBADO"/>
    <x v="71"/>
    <x v="55"/>
    <n v="180"/>
    <n v="60"/>
    <n v="124.19999999999999"/>
    <x v="3"/>
  </r>
  <r>
    <x v="214"/>
    <x v="5"/>
    <x v="36"/>
    <s v="SÁBADO"/>
    <x v="72"/>
    <x v="56"/>
    <n v="250"/>
    <n v="250"/>
    <n v="105"/>
    <x v="3"/>
  </r>
  <r>
    <x v="214"/>
    <x v="5"/>
    <x v="36"/>
    <s v="SÁBADO"/>
    <x v="69"/>
    <x v="53"/>
    <n v="240"/>
    <n v="60"/>
    <n v="165.6"/>
    <x v="3"/>
  </r>
  <r>
    <x v="214"/>
    <x v="5"/>
    <x v="36"/>
    <s v="SÁBADO"/>
    <x v="72"/>
    <x v="56"/>
    <n v="500"/>
    <n v="250"/>
    <n v="210"/>
    <x v="3"/>
  </r>
  <r>
    <x v="215"/>
    <x v="5"/>
    <x v="36"/>
    <s v="LUNES"/>
    <x v="15"/>
    <x v="15"/>
    <n v="250"/>
    <n v="50"/>
    <n v="100"/>
    <x v="3"/>
  </r>
  <r>
    <x v="215"/>
    <x v="5"/>
    <x v="36"/>
    <s v="LUNES"/>
    <x v="36"/>
    <x v="36"/>
    <n v="450"/>
    <n v="90"/>
    <n v="180"/>
    <x v="3"/>
  </r>
  <r>
    <x v="215"/>
    <x v="5"/>
    <x v="36"/>
    <s v="LUNES"/>
    <x v="38"/>
    <x v="38"/>
    <n v="448"/>
    <n v="112"/>
    <n v="179.20000000000002"/>
    <x v="3"/>
  </r>
  <r>
    <x v="215"/>
    <x v="5"/>
    <x v="36"/>
    <s v="LUNES"/>
    <x v="0"/>
    <x v="0"/>
    <n v="1440"/>
    <n v="48"/>
    <n v="576"/>
    <x v="3"/>
  </r>
  <r>
    <x v="215"/>
    <x v="5"/>
    <x v="36"/>
    <s v="LUNES"/>
    <x v="16"/>
    <x v="16"/>
    <n v="720"/>
    <n v="180"/>
    <n v="302.39999999999998"/>
    <x v="3"/>
  </r>
  <r>
    <x v="215"/>
    <x v="5"/>
    <x v="36"/>
    <s v="LUNES"/>
    <x v="1"/>
    <x v="1"/>
    <n v="2592"/>
    <n v="198"/>
    <n v="440.64000000000004"/>
    <x v="3"/>
  </r>
  <r>
    <x v="215"/>
    <x v="5"/>
    <x v="36"/>
    <s v="LUNES"/>
    <x v="22"/>
    <x v="22"/>
    <n v="198"/>
    <n v="198"/>
    <n v="33.660000000000004"/>
    <x v="3"/>
  </r>
  <r>
    <x v="215"/>
    <x v="5"/>
    <x v="36"/>
    <s v="LUNES"/>
    <x v="6"/>
    <x v="6"/>
    <n v="2400"/>
    <n v="120"/>
    <n v="408.00000000000006"/>
    <x v="3"/>
  </r>
  <r>
    <x v="215"/>
    <x v="5"/>
    <x v="36"/>
    <s v="LUNES"/>
    <x v="17"/>
    <x v="17"/>
    <n v="840"/>
    <n v="120"/>
    <n v="142.80000000000001"/>
    <x v="3"/>
  </r>
  <r>
    <x v="215"/>
    <x v="5"/>
    <x v="36"/>
    <s v="LUNES"/>
    <x v="8"/>
    <x v="8"/>
    <n v="1080"/>
    <n v="198"/>
    <n v="183.60000000000002"/>
    <x v="3"/>
  </r>
  <r>
    <x v="215"/>
    <x v="5"/>
    <x v="36"/>
    <s v="LUNES"/>
    <x v="9"/>
    <x v="9"/>
    <n v="450"/>
    <n v="90"/>
    <n v="76.5"/>
    <x v="3"/>
  </r>
  <r>
    <x v="215"/>
    <x v="5"/>
    <x v="36"/>
    <s v="LUNES"/>
    <x v="10"/>
    <x v="10"/>
    <n v="240"/>
    <n v="120"/>
    <n v="40.800000000000004"/>
    <x v="3"/>
  </r>
  <r>
    <x v="215"/>
    <x v="5"/>
    <x v="36"/>
    <s v="LUNES"/>
    <x v="25"/>
    <x v="25"/>
    <n v="1350"/>
    <n v="225"/>
    <n v="567"/>
    <x v="3"/>
  </r>
  <r>
    <x v="215"/>
    <x v="5"/>
    <x v="36"/>
    <s v="LUNES"/>
    <x v="43"/>
    <x v="43"/>
    <n v="750"/>
    <n v="420"/>
    <n v="315"/>
    <x v="3"/>
  </r>
  <r>
    <x v="215"/>
    <x v="5"/>
    <x v="36"/>
    <s v="LUNES"/>
    <x v="30"/>
    <x v="30"/>
    <n v="2000"/>
    <n v="250"/>
    <n v="460"/>
    <x v="3"/>
  </r>
  <r>
    <x v="215"/>
    <x v="5"/>
    <x v="36"/>
    <s v="LUNES"/>
    <x v="73"/>
    <x v="57"/>
    <n v="5250"/>
    <n v="350"/>
    <n v="1207.5"/>
    <x v="3"/>
  </r>
  <r>
    <x v="215"/>
    <x v="5"/>
    <x v="36"/>
    <s v="LUNES"/>
    <x v="68"/>
    <x v="52"/>
    <n v="2500"/>
    <n v="250"/>
    <n v="1050"/>
    <x v="3"/>
  </r>
  <r>
    <x v="215"/>
    <x v="5"/>
    <x v="36"/>
    <s v="LUNES"/>
    <x v="66"/>
    <x v="50"/>
    <n v="800"/>
    <n v="200"/>
    <n v="336"/>
    <x v="3"/>
  </r>
  <r>
    <x v="215"/>
    <x v="5"/>
    <x v="36"/>
    <s v="LUNES"/>
    <x v="71"/>
    <x v="55"/>
    <n v="240"/>
    <n v="60"/>
    <n v="165.6"/>
    <x v="3"/>
  </r>
  <r>
    <x v="215"/>
    <x v="5"/>
    <x v="36"/>
    <s v="LUNES"/>
    <x v="69"/>
    <x v="53"/>
    <n v="360"/>
    <n v="60"/>
    <n v="248.39999999999998"/>
    <x v="3"/>
  </r>
  <r>
    <x v="215"/>
    <x v="5"/>
    <x v="36"/>
    <s v="LUNES"/>
    <x v="35"/>
    <x v="35"/>
    <n v="1080"/>
    <n v="180"/>
    <n v="453.59999999999997"/>
    <x v="3"/>
  </r>
  <r>
    <x v="215"/>
    <x v="5"/>
    <x v="36"/>
    <s v="LUNES"/>
    <x v="69"/>
    <x v="53"/>
    <n v="120"/>
    <n v="60"/>
    <n v="82.8"/>
    <x v="3"/>
  </r>
  <r>
    <x v="215"/>
    <x v="5"/>
    <x v="36"/>
    <s v="LUNES"/>
    <x v="72"/>
    <x v="56"/>
    <n v="750"/>
    <n v="250"/>
    <n v="315"/>
    <x v="3"/>
  </r>
  <r>
    <x v="215"/>
    <x v="5"/>
    <x v="36"/>
    <s v="LUNES"/>
    <x v="67"/>
    <x v="51"/>
    <n v="360"/>
    <n v="180"/>
    <n v="151.19999999999999"/>
    <x v="3"/>
  </r>
  <r>
    <x v="215"/>
    <x v="5"/>
    <x v="36"/>
    <s v="LUNES"/>
    <x v="74"/>
    <x v="58"/>
    <n v="350"/>
    <n v="175"/>
    <n v="308"/>
    <x v="3"/>
  </r>
  <r>
    <x v="216"/>
    <x v="8"/>
    <x v="36"/>
    <s v="MARTES"/>
    <x v="30"/>
    <x v="30"/>
    <n v="1250"/>
    <n v="250"/>
    <n v="287.5"/>
    <x v="3"/>
  </r>
  <r>
    <x v="216"/>
    <x v="8"/>
    <x v="36"/>
    <s v="MARTES"/>
    <x v="73"/>
    <x v="57"/>
    <n v="1750"/>
    <n v="350"/>
    <n v="402.5"/>
    <x v="3"/>
  </r>
  <r>
    <x v="216"/>
    <x v="8"/>
    <x v="36"/>
    <s v="MARTES"/>
    <x v="0"/>
    <x v="0"/>
    <n v="480"/>
    <n v="48"/>
    <n v="192"/>
    <x v="3"/>
  </r>
  <r>
    <x v="216"/>
    <x v="8"/>
    <x v="36"/>
    <s v="MARTES"/>
    <x v="24"/>
    <x v="24"/>
    <n v="2000"/>
    <n v="420"/>
    <n v="840"/>
    <x v="3"/>
  </r>
  <r>
    <x v="216"/>
    <x v="8"/>
    <x v="36"/>
    <s v="MARTES"/>
    <x v="39"/>
    <x v="39"/>
    <n v="2000"/>
    <n v="420"/>
    <n v="840"/>
    <x v="3"/>
  </r>
  <r>
    <x v="216"/>
    <x v="8"/>
    <x v="36"/>
    <s v="MARTES"/>
    <x v="2"/>
    <x v="2"/>
    <n v="1080"/>
    <n v="198"/>
    <n v="183.60000000000002"/>
    <x v="3"/>
  </r>
  <r>
    <x v="216"/>
    <x v="8"/>
    <x v="36"/>
    <s v="MARTES"/>
    <x v="17"/>
    <x v="17"/>
    <n v="2400"/>
    <n v="120"/>
    <n v="408.00000000000006"/>
    <x v="3"/>
  </r>
  <r>
    <x v="216"/>
    <x v="8"/>
    <x v="36"/>
    <s v="MARTES"/>
    <x v="7"/>
    <x v="7"/>
    <n v="864"/>
    <n v="198"/>
    <n v="146.88000000000002"/>
    <x v="3"/>
  </r>
  <r>
    <x v="216"/>
    <x v="8"/>
    <x v="36"/>
    <s v="MARTES"/>
    <x v="8"/>
    <x v="8"/>
    <n v="216"/>
    <n v="198"/>
    <n v="36.720000000000006"/>
    <x v="3"/>
  </r>
  <r>
    <x v="216"/>
    <x v="8"/>
    <x v="36"/>
    <s v="MARTES"/>
    <x v="9"/>
    <x v="9"/>
    <n v="1170"/>
    <n v="90"/>
    <n v="198.9"/>
    <x v="3"/>
  </r>
  <r>
    <x v="216"/>
    <x v="8"/>
    <x v="36"/>
    <s v="MARTES"/>
    <x v="23"/>
    <x v="23"/>
    <n v="360"/>
    <n v="90"/>
    <n v="61.2"/>
    <x v="3"/>
  </r>
  <r>
    <x v="216"/>
    <x v="8"/>
    <x v="36"/>
    <s v="MARTES"/>
    <x v="11"/>
    <x v="11"/>
    <n v="3060"/>
    <n v="90"/>
    <n v="520.20000000000005"/>
    <x v="3"/>
  </r>
  <r>
    <x v="216"/>
    <x v="8"/>
    <x v="36"/>
    <s v="MARTES"/>
    <x v="20"/>
    <x v="20"/>
    <n v="180"/>
    <n v="90"/>
    <n v="30.6"/>
    <x v="3"/>
  </r>
  <r>
    <x v="216"/>
    <x v="8"/>
    <x v="36"/>
    <s v="MARTES"/>
    <x v="25"/>
    <x v="25"/>
    <n v="2250"/>
    <n v="225"/>
    <n v="945"/>
    <x v="3"/>
  </r>
  <r>
    <x v="216"/>
    <x v="8"/>
    <x v="36"/>
    <s v="MARTES"/>
    <x v="12"/>
    <x v="12"/>
    <n v="1350"/>
    <n v="225"/>
    <n v="540"/>
    <x v="3"/>
  </r>
  <r>
    <x v="216"/>
    <x v="8"/>
    <x v="36"/>
    <s v="MARTES"/>
    <x v="19"/>
    <x v="19"/>
    <n v="675"/>
    <n v="225"/>
    <n v="270"/>
    <x v="3"/>
  </r>
  <r>
    <x v="216"/>
    <x v="8"/>
    <x v="36"/>
    <s v="MARTES"/>
    <x v="42"/>
    <x v="42"/>
    <n v="250"/>
    <n v="420"/>
    <n v="105"/>
    <x v="3"/>
  </r>
  <r>
    <x v="216"/>
    <x v="8"/>
    <x v="36"/>
    <s v="MARTES"/>
    <x v="36"/>
    <x v="36"/>
    <n v="540"/>
    <n v="90"/>
    <n v="216"/>
    <x v="3"/>
  </r>
  <r>
    <x v="216"/>
    <x v="8"/>
    <x v="36"/>
    <s v="MARTES"/>
    <x v="16"/>
    <x v="16"/>
    <n v="1080"/>
    <n v="180"/>
    <n v="453.59999999999997"/>
    <x v="3"/>
  </r>
  <r>
    <x v="216"/>
    <x v="8"/>
    <x v="36"/>
    <s v="MARTES"/>
    <x v="25"/>
    <x v="25"/>
    <n v="450"/>
    <n v="225"/>
    <n v="189"/>
    <x v="3"/>
  </r>
  <r>
    <x v="216"/>
    <x v="8"/>
    <x v="36"/>
    <s v="MARTES"/>
    <x v="35"/>
    <x v="35"/>
    <n v="720"/>
    <n v="180"/>
    <n v="302.39999999999998"/>
    <x v="3"/>
  </r>
  <r>
    <x v="216"/>
    <x v="8"/>
    <x v="36"/>
    <s v="MARTES"/>
    <x v="30"/>
    <x v="30"/>
    <n v="750"/>
    <n v="250"/>
    <n v="172.5"/>
    <x v="3"/>
  </r>
  <r>
    <x v="217"/>
    <x v="8"/>
    <x v="36"/>
    <s v="MIÉRCOLES"/>
    <x v="28"/>
    <x v="28"/>
    <n v="150"/>
    <n v="30"/>
    <n v="34.5"/>
    <x v="3"/>
  </r>
  <r>
    <x v="217"/>
    <x v="8"/>
    <x v="36"/>
    <s v="MIÉRCOLES"/>
    <x v="13"/>
    <x v="13"/>
    <n v="150"/>
    <n v="30"/>
    <n v="60"/>
    <x v="3"/>
  </r>
  <r>
    <x v="217"/>
    <x v="8"/>
    <x v="36"/>
    <s v="MIÉRCOLES"/>
    <x v="15"/>
    <x v="15"/>
    <n v="200"/>
    <n v="50"/>
    <n v="80"/>
    <x v="3"/>
  </r>
  <r>
    <x v="217"/>
    <x v="8"/>
    <x v="36"/>
    <s v="MIÉRCOLES"/>
    <x v="38"/>
    <x v="38"/>
    <n v="448"/>
    <n v="112"/>
    <n v="179.20000000000002"/>
    <x v="3"/>
  </r>
  <r>
    <x v="217"/>
    <x v="8"/>
    <x v="36"/>
    <s v="MIÉRCOLES"/>
    <x v="0"/>
    <x v="0"/>
    <n v="2400"/>
    <n v="48"/>
    <n v="960"/>
    <x v="3"/>
  </r>
  <r>
    <x v="217"/>
    <x v="8"/>
    <x v="36"/>
    <s v="MIÉRCOLES"/>
    <x v="24"/>
    <x v="24"/>
    <n v="2100"/>
    <n v="420"/>
    <n v="882"/>
    <x v="3"/>
  </r>
  <r>
    <x v="217"/>
    <x v="8"/>
    <x v="36"/>
    <s v="MIÉRCOLES"/>
    <x v="32"/>
    <x v="32"/>
    <n v="840"/>
    <n v="420"/>
    <n v="352.8"/>
    <x v="3"/>
  </r>
  <r>
    <x v="217"/>
    <x v="8"/>
    <x v="36"/>
    <s v="MIÉRCOLES"/>
    <x v="16"/>
    <x v="16"/>
    <n v="720"/>
    <n v="180"/>
    <n v="302.39999999999998"/>
    <x v="3"/>
  </r>
  <r>
    <x v="217"/>
    <x v="8"/>
    <x v="36"/>
    <s v="MIÉRCOLES"/>
    <x v="25"/>
    <x v="25"/>
    <n v="1350"/>
    <n v="225"/>
    <n v="567"/>
    <x v="3"/>
  </r>
  <r>
    <x v="217"/>
    <x v="8"/>
    <x v="36"/>
    <s v="MIÉRCOLES"/>
    <x v="19"/>
    <x v="19"/>
    <n v="450"/>
    <n v="225"/>
    <n v="180"/>
    <x v="3"/>
  </r>
  <r>
    <x v="217"/>
    <x v="8"/>
    <x v="36"/>
    <s v="MIÉRCOLES"/>
    <x v="43"/>
    <x v="43"/>
    <n v="500"/>
    <n v="420"/>
    <n v="210"/>
    <x v="3"/>
  </r>
  <r>
    <x v="217"/>
    <x v="8"/>
    <x v="36"/>
    <s v="MIÉRCOLES"/>
    <x v="69"/>
    <x v="53"/>
    <n v="420"/>
    <n v="60"/>
    <n v="289.79999999999995"/>
    <x v="3"/>
  </r>
  <r>
    <x v="217"/>
    <x v="8"/>
    <x v="36"/>
    <s v="MIÉRCOLES"/>
    <x v="72"/>
    <x v="56"/>
    <n v="500"/>
    <n v="250"/>
    <n v="210"/>
    <x v="3"/>
  </r>
  <r>
    <x v="217"/>
    <x v="8"/>
    <x v="36"/>
    <s v="MIÉRCOLES"/>
    <x v="36"/>
    <x v="36"/>
    <n v="720"/>
    <n v="90"/>
    <n v="288"/>
    <x v="3"/>
  </r>
  <r>
    <x v="217"/>
    <x v="8"/>
    <x v="36"/>
    <s v="MIÉRCOLES"/>
    <x v="35"/>
    <x v="35"/>
    <n v="720"/>
    <n v="180"/>
    <n v="302.39999999999998"/>
    <x v="3"/>
  </r>
  <r>
    <x v="217"/>
    <x v="8"/>
    <x v="36"/>
    <s v="MIÉRCOLES"/>
    <x v="30"/>
    <x v="30"/>
    <n v="500"/>
    <n v="250"/>
    <n v="115"/>
    <x v="3"/>
  </r>
  <r>
    <x v="217"/>
    <x v="8"/>
    <x v="36"/>
    <s v="MIÉRCOLES"/>
    <x v="73"/>
    <x v="57"/>
    <n v="1750"/>
    <n v="350"/>
    <n v="402.5"/>
    <x v="3"/>
  </r>
  <r>
    <x v="217"/>
    <x v="8"/>
    <x v="36"/>
    <s v="MIÉRCOLES"/>
    <x v="66"/>
    <x v="50"/>
    <n v="800"/>
    <n v="200"/>
    <n v="336"/>
    <x v="3"/>
  </r>
  <r>
    <x v="217"/>
    <x v="8"/>
    <x v="36"/>
    <s v="MIÉRCOLES"/>
    <x v="71"/>
    <x v="55"/>
    <n v="180"/>
    <n v="60"/>
    <n v="124.19999999999999"/>
    <x v="3"/>
  </r>
  <r>
    <x v="217"/>
    <x v="8"/>
    <x v="36"/>
    <s v="MIÉRCOLES"/>
    <x v="69"/>
    <x v="53"/>
    <n v="60"/>
    <n v="60"/>
    <n v="41.4"/>
    <x v="3"/>
  </r>
  <r>
    <x v="217"/>
    <x v="8"/>
    <x v="36"/>
    <s v="MIÉRCOLES"/>
    <x v="72"/>
    <x v="56"/>
    <n v="250"/>
    <n v="250"/>
    <n v="105"/>
    <x v="3"/>
  </r>
  <r>
    <x v="217"/>
    <x v="8"/>
    <x v="36"/>
    <s v="MIÉRCOLES"/>
    <x v="67"/>
    <x v="51"/>
    <n v="360"/>
    <n v="180"/>
    <n v="151.19999999999999"/>
    <x v="3"/>
  </r>
  <r>
    <x v="217"/>
    <x v="8"/>
    <x v="36"/>
    <s v="MIÉRCOLES"/>
    <x v="74"/>
    <x v="58"/>
    <n v="350"/>
    <n v="175"/>
    <n v="308"/>
    <x v="3"/>
  </r>
  <r>
    <x v="216"/>
    <x v="8"/>
    <x v="36"/>
    <s v="MARTES"/>
    <x v="66"/>
    <x v="50"/>
    <n v="800"/>
    <n v="200"/>
    <n v="336"/>
    <x v="3"/>
  </r>
  <r>
    <x v="216"/>
    <x v="8"/>
    <x v="36"/>
    <s v="MARTES"/>
    <x v="71"/>
    <x v="55"/>
    <n v="180"/>
    <n v="60"/>
    <n v="124.19999999999999"/>
    <x v="3"/>
  </r>
  <r>
    <x v="216"/>
    <x v="8"/>
    <x v="36"/>
    <s v="MARTES"/>
    <x v="69"/>
    <x v="53"/>
    <n v="480"/>
    <n v="60"/>
    <n v="331.2"/>
    <x v="3"/>
  </r>
  <r>
    <x v="216"/>
    <x v="8"/>
    <x v="36"/>
    <s v="MARTES"/>
    <x v="72"/>
    <x v="56"/>
    <n v="750"/>
    <n v="250"/>
    <n v="315"/>
    <x v="3"/>
  </r>
  <r>
    <x v="216"/>
    <x v="8"/>
    <x v="36"/>
    <s v="MARTES"/>
    <x v="67"/>
    <x v="51"/>
    <n v="360"/>
    <n v="180"/>
    <n v="151.19999999999999"/>
    <x v="3"/>
  </r>
  <r>
    <x v="216"/>
    <x v="8"/>
    <x v="36"/>
    <s v="MARTES"/>
    <x v="74"/>
    <x v="58"/>
    <n v="350"/>
    <n v="175"/>
    <n v="308"/>
    <x v="3"/>
  </r>
  <r>
    <x v="217"/>
    <x v="8"/>
    <x v="36"/>
    <s v="MIÉRCOLES"/>
    <x v="71"/>
    <x v="55"/>
    <n v="60"/>
    <n v="60"/>
    <n v="41.4"/>
    <x v="3"/>
  </r>
  <r>
    <x v="218"/>
    <x v="8"/>
    <x v="36"/>
    <s v="JUEVES"/>
    <x v="28"/>
    <x v="28"/>
    <n v="120"/>
    <n v="30"/>
    <n v="27.6"/>
    <x v="3"/>
  </r>
  <r>
    <x v="218"/>
    <x v="8"/>
    <x v="36"/>
    <s v="JUEVES"/>
    <x v="33"/>
    <x v="33"/>
    <n v="150"/>
    <n v="40"/>
    <n v="34.5"/>
    <x v="3"/>
  </r>
  <r>
    <x v="218"/>
    <x v="8"/>
    <x v="36"/>
    <s v="JUEVES"/>
    <x v="15"/>
    <x v="15"/>
    <n v="300"/>
    <n v="50"/>
    <n v="120"/>
    <x v="3"/>
  </r>
  <r>
    <x v="218"/>
    <x v="8"/>
    <x v="36"/>
    <s v="JUEVES"/>
    <x v="40"/>
    <x v="40"/>
    <n v="224"/>
    <n v="240"/>
    <n v="89.600000000000009"/>
    <x v="3"/>
  </r>
  <r>
    <x v="218"/>
    <x v="8"/>
    <x v="36"/>
    <s v="JUEVES"/>
    <x v="38"/>
    <x v="38"/>
    <n v="448"/>
    <n v="112"/>
    <n v="179.20000000000002"/>
    <x v="3"/>
  </r>
  <r>
    <x v="218"/>
    <x v="8"/>
    <x v="36"/>
    <s v="JUEVES"/>
    <x v="0"/>
    <x v="0"/>
    <n v="2400"/>
    <n v="48"/>
    <n v="960"/>
    <x v="3"/>
  </r>
  <r>
    <x v="218"/>
    <x v="8"/>
    <x v="36"/>
    <s v="JUEVES"/>
    <x v="24"/>
    <x v="24"/>
    <n v="2100"/>
    <n v="420"/>
    <n v="882"/>
    <x v="3"/>
  </r>
  <r>
    <x v="218"/>
    <x v="8"/>
    <x v="36"/>
    <s v="JUEVES"/>
    <x v="25"/>
    <x v="25"/>
    <n v="900"/>
    <n v="225"/>
    <n v="378"/>
    <x v="3"/>
  </r>
  <r>
    <x v="218"/>
    <x v="8"/>
    <x v="36"/>
    <s v="JUEVES"/>
    <x v="19"/>
    <x v="19"/>
    <n v="675"/>
    <n v="225"/>
    <n v="270"/>
    <x v="3"/>
  </r>
  <r>
    <x v="218"/>
    <x v="8"/>
    <x v="36"/>
    <s v="JUEVES"/>
    <x v="42"/>
    <x v="42"/>
    <n v="500"/>
    <n v="420"/>
    <n v="210"/>
    <x v="3"/>
  </r>
  <r>
    <x v="218"/>
    <x v="8"/>
    <x v="36"/>
    <s v="JUEVES"/>
    <x v="63"/>
    <x v="47"/>
    <n v="5250"/>
    <n v="350"/>
    <n v="1207.5"/>
    <x v="3"/>
  </r>
  <r>
    <x v="218"/>
    <x v="8"/>
    <x v="36"/>
    <s v="JUEVES"/>
    <x v="75"/>
    <x v="59"/>
    <n v="900"/>
    <n v="225"/>
    <n v="378"/>
    <x v="3"/>
  </r>
  <r>
    <x v="218"/>
    <x v="8"/>
    <x v="36"/>
    <s v="JUEVES"/>
    <x v="74"/>
    <x v="58"/>
    <n v="175"/>
    <n v="175"/>
    <n v="154"/>
    <x v="3"/>
  </r>
  <r>
    <x v="218"/>
    <x v="8"/>
    <x v="36"/>
    <s v="JUEVES"/>
    <x v="36"/>
    <x v="36"/>
    <n v="540"/>
    <n v="90"/>
    <n v="216"/>
    <x v="3"/>
  </r>
  <r>
    <x v="218"/>
    <x v="8"/>
    <x v="36"/>
    <s v="JUEVES"/>
    <x v="35"/>
    <x v="35"/>
    <n v="720"/>
    <n v="180"/>
    <n v="302.39999999999998"/>
    <x v="3"/>
  </r>
  <r>
    <x v="218"/>
    <x v="8"/>
    <x v="36"/>
    <s v="JUEVES"/>
    <x v="76"/>
    <x v="60"/>
    <n v="360"/>
    <n v="180"/>
    <n v="151.19999999999999"/>
    <x v="3"/>
  </r>
  <r>
    <x v="218"/>
    <x v="8"/>
    <x v="36"/>
    <s v="JUEVES"/>
    <x v="70"/>
    <x v="54"/>
    <n v="360"/>
    <n v="180"/>
    <n v="151.19999999999999"/>
    <x v="3"/>
  </r>
  <r>
    <x v="218"/>
    <x v="8"/>
    <x v="36"/>
    <s v="JUEVES"/>
    <x v="74"/>
    <x v="58"/>
    <n v="175"/>
    <n v="175"/>
    <n v="154"/>
    <x v="3"/>
  </r>
  <r>
    <x v="218"/>
    <x v="8"/>
    <x v="36"/>
    <s v="JUEVES"/>
    <x v="77"/>
    <x v="61"/>
    <n v="500"/>
    <n v="125"/>
    <n v="355"/>
    <x v="3"/>
  </r>
  <r>
    <x v="219"/>
    <x v="8"/>
    <x v="37"/>
    <s v="SÁBADO"/>
    <x v="19"/>
    <x v="19"/>
    <n v="225"/>
    <n v="225"/>
    <n v="90"/>
    <x v="3"/>
  </r>
  <r>
    <x v="219"/>
    <x v="8"/>
    <x v="37"/>
    <s v="SÁBADO"/>
    <x v="33"/>
    <x v="33"/>
    <n v="80"/>
    <n v="40"/>
    <n v="18.400000000000002"/>
    <x v="3"/>
  </r>
  <r>
    <x v="219"/>
    <x v="8"/>
    <x v="37"/>
    <s v="SÁBADO"/>
    <x v="13"/>
    <x v="13"/>
    <n v="120"/>
    <n v="30"/>
    <n v="48"/>
    <x v="3"/>
  </r>
  <r>
    <x v="219"/>
    <x v="8"/>
    <x v="37"/>
    <s v="SÁBADO"/>
    <x v="36"/>
    <x v="36"/>
    <n v="1440"/>
    <n v="90"/>
    <n v="576"/>
    <x v="3"/>
  </r>
  <r>
    <x v="219"/>
    <x v="8"/>
    <x v="37"/>
    <s v="SÁBADO"/>
    <x v="38"/>
    <x v="38"/>
    <n v="224"/>
    <n v="112"/>
    <n v="89.600000000000009"/>
    <x v="3"/>
  </r>
  <r>
    <x v="219"/>
    <x v="8"/>
    <x v="37"/>
    <s v="SÁBADO"/>
    <x v="0"/>
    <x v="0"/>
    <n v="1584"/>
    <n v="48"/>
    <n v="633.6"/>
    <x v="3"/>
  </r>
  <r>
    <x v="219"/>
    <x v="8"/>
    <x v="37"/>
    <s v="SÁBADO"/>
    <x v="24"/>
    <x v="24"/>
    <n v="4200"/>
    <n v="420"/>
    <n v="1764"/>
    <x v="3"/>
  </r>
  <r>
    <x v="219"/>
    <x v="8"/>
    <x v="37"/>
    <s v="SÁBADO"/>
    <x v="39"/>
    <x v="39"/>
    <n v="1260"/>
    <n v="420"/>
    <n v="529.19999999999993"/>
    <x v="3"/>
  </r>
  <r>
    <x v="219"/>
    <x v="8"/>
    <x v="37"/>
    <s v="SÁBADO"/>
    <x v="34"/>
    <x v="34"/>
    <n v="216"/>
    <n v="198"/>
    <n v="36.720000000000006"/>
    <x v="3"/>
  </r>
  <r>
    <x v="219"/>
    <x v="8"/>
    <x v="37"/>
    <s v="SÁBADO"/>
    <x v="22"/>
    <x v="22"/>
    <n v="792"/>
    <n v="198"/>
    <n v="134.64000000000001"/>
    <x v="3"/>
  </r>
  <r>
    <x v="219"/>
    <x v="8"/>
    <x v="37"/>
    <s v="SÁBADO"/>
    <x v="3"/>
    <x v="3"/>
    <n v="1188"/>
    <n v="198"/>
    <n v="201.96"/>
    <x v="3"/>
  </r>
  <r>
    <x v="219"/>
    <x v="8"/>
    <x v="37"/>
    <s v="SÁBADO"/>
    <x v="6"/>
    <x v="6"/>
    <n v="3120"/>
    <n v="120"/>
    <n v="530.40000000000009"/>
    <x v="3"/>
  </r>
  <r>
    <x v="219"/>
    <x v="8"/>
    <x v="37"/>
    <s v="SÁBADO"/>
    <x v="9"/>
    <x v="9"/>
    <n v="1440"/>
    <n v="90"/>
    <n v="244.8"/>
    <x v="3"/>
  </r>
  <r>
    <x v="219"/>
    <x v="8"/>
    <x v="37"/>
    <s v="SÁBADO"/>
    <x v="20"/>
    <x v="20"/>
    <n v="450"/>
    <n v="90"/>
    <n v="76.5"/>
    <x v="3"/>
  </r>
  <r>
    <x v="219"/>
    <x v="8"/>
    <x v="37"/>
    <s v="SÁBADO"/>
    <x v="25"/>
    <x v="25"/>
    <n v="900"/>
    <n v="225"/>
    <n v="378"/>
    <x v="3"/>
  </r>
  <r>
    <x v="219"/>
    <x v="8"/>
    <x v="37"/>
    <s v="SÁBADO"/>
    <x v="12"/>
    <x v="12"/>
    <n v="450"/>
    <n v="225"/>
    <n v="180"/>
    <x v="3"/>
  </r>
  <r>
    <x v="220"/>
    <x v="8"/>
    <x v="36"/>
    <s v="VIERNES"/>
    <x v="23"/>
    <x v="23"/>
    <n v="900"/>
    <n v="90"/>
    <n v="153"/>
    <x v="3"/>
  </r>
  <r>
    <x v="220"/>
    <x v="8"/>
    <x v="36"/>
    <s v="VIERNES"/>
    <x v="11"/>
    <x v="11"/>
    <n v="1800"/>
    <n v="90"/>
    <n v="306"/>
    <x v="3"/>
  </r>
  <r>
    <x v="220"/>
    <x v="8"/>
    <x v="36"/>
    <s v="VIERNES"/>
    <x v="25"/>
    <x v="25"/>
    <n v="1350"/>
    <n v="225"/>
    <n v="567"/>
    <x v="3"/>
  </r>
  <r>
    <x v="220"/>
    <x v="8"/>
    <x v="36"/>
    <s v="VIERNES"/>
    <x v="12"/>
    <x v="12"/>
    <n v="1125"/>
    <n v="225"/>
    <n v="450"/>
    <x v="3"/>
  </r>
  <r>
    <x v="220"/>
    <x v="8"/>
    <x v="36"/>
    <s v="VIERNES"/>
    <x v="19"/>
    <x v="19"/>
    <n v="450"/>
    <n v="225"/>
    <n v="180"/>
    <x v="3"/>
  </r>
  <r>
    <x v="220"/>
    <x v="8"/>
    <x v="36"/>
    <s v="VIERNES"/>
    <x v="42"/>
    <x v="42"/>
    <n v="750"/>
    <n v="420"/>
    <n v="315"/>
    <x v="3"/>
  </r>
  <r>
    <x v="220"/>
    <x v="8"/>
    <x v="36"/>
    <s v="VIERNES"/>
    <x v="43"/>
    <x v="43"/>
    <n v="750"/>
    <n v="420"/>
    <n v="315"/>
    <x v="3"/>
  </r>
  <r>
    <x v="220"/>
    <x v="8"/>
    <x v="36"/>
    <s v="VIERNES"/>
    <x v="28"/>
    <x v="28"/>
    <n v="180"/>
    <n v="30"/>
    <n v="41.4"/>
    <x v="3"/>
  </r>
  <r>
    <x v="220"/>
    <x v="8"/>
    <x v="36"/>
    <s v="VIERNES"/>
    <x v="13"/>
    <x v="13"/>
    <n v="240"/>
    <n v="30"/>
    <n v="96"/>
    <x v="3"/>
  </r>
  <r>
    <x v="220"/>
    <x v="8"/>
    <x v="36"/>
    <s v="VIERNES"/>
    <x v="36"/>
    <x v="36"/>
    <n v="900"/>
    <n v="90"/>
    <n v="360"/>
    <x v="3"/>
  </r>
  <r>
    <x v="220"/>
    <x v="8"/>
    <x v="36"/>
    <s v="VIERNES"/>
    <x v="40"/>
    <x v="40"/>
    <n v="336"/>
    <n v="240"/>
    <n v="134.4"/>
    <x v="3"/>
  </r>
  <r>
    <x v="220"/>
    <x v="8"/>
    <x v="36"/>
    <s v="VIERNES"/>
    <x v="38"/>
    <x v="38"/>
    <n v="336"/>
    <n v="112"/>
    <n v="134.4"/>
    <x v="3"/>
  </r>
  <r>
    <x v="220"/>
    <x v="8"/>
    <x v="36"/>
    <s v="VIERNES"/>
    <x v="0"/>
    <x v="0"/>
    <n v="1920"/>
    <n v="48"/>
    <n v="768"/>
    <x v="3"/>
  </r>
  <r>
    <x v="220"/>
    <x v="8"/>
    <x v="36"/>
    <s v="VIERNES"/>
    <x v="24"/>
    <x v="24"/>
    <n v="2100"/>
    <n v="420"/>
    <n v="882"/>
    <x v="3"/>
  </r>
  <r>
    <x v="220"/>
    <x v="8"/>
    <x v="36"/>
    <s v="VIERNES"/>
    <x v="16"/>
    <x v="16"/>
    <n v="1080"/>
    <n v="180"/>
    <n v="453.59999999999997"/>
    <x v="3"/>
  </r>
  <r>
    <x v="220"/>
    <x v="8"/>
    <x v="36"/>
    <s v="VIERNES"/>
    <x v="1"/>
    <x v="1"/>
    <n v="864"/>
    <n v="198"/>
    <n v="146.88000000000002"/>
    <x v="3"/>
  </r>
  <r>
    <x v="220"/>
    <x v="8"/>
    <x v="36"/>
    <s v="VIERNES"/>
    <x v="4"/>
    <x v="4"/>
    <n v="648"/>
    <n v="162"/>
    <n v="110.16000000000001"/>
    <x v="3"/>
  </r>
  <r>
    <x v="220"/>
    <x v="8"/>
    <x v="36"/>
    <s v="VIERNES"/>
    <x v="5"/>
    <x v="5"/>
    <n v="810"/>
    <n v="162"/>
    <n v="137.70000000000002"/>
    <x v="3"/>
  </r>
  <r>
    <x v="220"/>
    <x v="8"/>
    <x v="36"/>
    <s v="VIERNES"/>
    <x v="17"/>
    <x v="17"/>
    <n v="2400"/>
    <n v="120"/>
    <n v="408.00000000000006"/>
    <x v="3"/>
  </r>
  <r>
    <x v="220"/>
    <x v="8"/>
    <x v="36"/>
    <s v="VIERNES"/>
    <x v="7"/>
    <x v="7"/>
    <n v="1296"/>
    <n v="198"/>
    <n v="220.32000000000002"/>
    <x v="3"/>
  </r>
  <r>
    <x v="220"/>
    <x v="8"/>
    <x v="36"/>
    <s v="VIERNES"/>
    <x v="9"/>
    <x v="9"/>
    <n v="900"/>
    <n v="90"/>
    <n v="153"/>
    <x v="3"/>
  </r>
  <r>
    <x v="220"/>
    <x v="8"/>
    <x v="36"/>
    <s v="VIERNES"/>
    <x v="26"/>
    <x v="26"/>
    <n v="720"/>
    <n v="90"/>
    <n v="122.4"/>
    <x v="3"/>
  </r>
  <r>
    <x v="221"/>
    <x v="8"/>
    <x v="37"/>
    <s v="LUNES"/>
    <x v="0"/>
    <x v="0"/>
    <n v="1440"/>
    <n v="48"/>
    <n v="576"/>
    <x v="3"/>
  </r>
  <r>
    <x v="221"/>
    <x v="8"/>
    <x v="37"/>
    <s v="LUNES"/>
    <x v="12"/>
    <x v="12"/>
    <n v="225"/>
    <n v="225"/>
    <n v="90"/>
    <x v="3"/>
  </r>
  <r>
    <x v="221"/>
    <x v="8"/>
    <x v="37"/>
    <s v="LUNES"/>
    <x v="10"/>
    <x v="10"/>
    <n v="3600"/>
    <n v="120"/>
    <n v="612"/>
    <x v="3"/>
  </r>
  <r>
    <x v="221"/>
    <x v="8"/>
    <x v="37"/>
    <s v="LUNES"/>
    <x v="23"/>
    <x v="23"/>
    <n v="720"/>
    <n v="90"/>
    <n v="122.4"/>
    <x v="3"/>
  </r>
  <r>
    <x v="221"/>
    <x v="8"/>
    <x v="37"/>
    <s v="LUNES"/>
    <x v="11"/>
    <x v="11"/>
    <n v="2160"/>
    <n v="90"/>
    <n v="367.20000000000005"/>
    <x v="3"/>
  </r>
  <r>
    <x v="221"/>
    <x v="8"/>
    <x v="37"/>
    <s v="LUNES"/>
    <x v="46"/>
    <x v="46"/>
    <n v="250"/>
    <n v="250"/>
    <n v="105"/>
    <x v="3"/>
  </r>
  <r>
    <x v="221"/>
    <x v="8"/>
    <x v="37"/>
    <s v="LUNES"/>
    <x v="42"/>
    <x v="42"/>
    <n v="750"/>
    <n v="420"/>
    <n v="315"/>
    <x v="3"/>
  </r>
  <r>
    <x v="221"/>
    <x v="8"/>
    <x v="37"/>
    <s v="LUNES"/>
    <x v="43"/>
    <x v="43"/>
    <n v="750"/>
    <n v="420"/>
    <n v="315"/>
    <x v="3"/>
  </r>
  <r>
    <x v="221"/>
    <x v="8"/>
    <x v="37"/>
    <s v="LUNES"/>
    <x v="28"/>
    <x v="28"/>
    <n v="120"/>
    <n v="30"/>
    <n v="27.6"/>
    <x v="3"/>
  </r>
  <r>
    <x v="221"/>
    <x v="8"/>
    <x v="37"/>
    <s v="LUNES"/>
    <x v="33"/>
    <x v="33"/>
    <n v="160"/>
    <n v="40"/>
    <n v="36.800000000000004"/>
    <x v="3"/>
  </r>
  <r>
    <x v="221"/>
    <x v="8"/>
    <x v="37"/>
    <s v="LUNES"/>
    <x v="13"/>
    <x v="13"/>
    <n v="120"/>
    <n v="30"/>
    <n v="48"/>
    <x v="3"/>
  </r>
  <r>
    <x v="221"/>
    <x v="8"/>
    <x v="37"/>
    <s v="LUNES"/>
    <x v="15"/>
    <x v="15"/>
    <n v="200"/>
    <n v="50"/>
    <n v="80"/>
    <x v="3"/>
  </r>
  <r>
    <x v="221"/>
    <x v="8"/>
    <x v="37"/>
    <s v="LUNES"/>
    <x v="36"/>
    <x v="36"/>
    <n v="450"/>
    <n v="90"/>
    <n v="180"/>
    <x v="3"/>
  </r>
  <r>
    <x v="221"/>
    <x v="8"/>
    <x v="37"/>
    <s v="LUNES"/>
    <x v="38"/>
    <x v="38"/>
    <n v="336"/>
    <n v="112"/>
    <n v="134.4"/>
    <x v="3"/>
  </r>
  <r>
    <x v="221"/>
    <x v="8"/>
    <x v="37"/>
    <s v="LUNES"/>
    <x v="24"/>
    <x v="24"/>
    <n v="4200"/>
    <n v="420"/>
    <n v="1764"/>
    <x v="3"/>
  </r>
  <r>
    <x v="221"/>
    <x v="8"/>
    <x v="37"/>
    <s v="LUNES"/>
    <x v="16"/>
    <x v="16"/>
    <n v="900"/>
    <n v="180"/>
    <n v="378"/>
    <x v="3"/>
  </r>
  <r>
    <x v="221"/>
    <x v="8"/>
    <x v="37"/>
    <s v="LUNES"/>
    <x v="1"/>
    <x v="1"/>
    <n v="3240"/>
    <n v="198"/>
    <n v="550.80000000000007"/>
    <x v="3"/>
  </r>
  <r>
    <x v="221"/>
    <x v="8"/>
    <x v="37"/>
    <s v="LUNES"/>
    <x v="2"/>
    <x v="2"/>
    <n v="3240"/>
    <n v="198"/>
    <n v="550.80000000000007"/>
    <x v="3"/>
  </r>
  <r>
    <x v="221"/>
    <x v="8"/>
    <x v="37"/>
    <s v="LUNES"/>
    <x v="5"/>
    <x v="5"/>
    <n v="810"/>
    <n v="162"/>
    <n v="137.70000000000002"/>
    <x v="3"/>
  </r>
  <r>
    <x v="221"/>
    <x v="8"/>
    <x v="37"/>
    <s v="LUNES"/>
    <x v="6"/>
    <x v="6"/>
    <n v="3600"/>
    <n v="120"/>
    <n v="612"/>
    <x v="3"/>
  </r>
  <r>
    <x v="221"/>
    <x v="8"/>
    <x v="37"/>
    <s v="LUNES"/>
    <x v="17"/>
    <x v="17"/>
    <n v="1800"/>
    <n v="120"/>
    <n v="306"/>
    <x v="3"/>
  </r>
  <r>
    <x v="221"/>
    <x v="8"/>
    <x v="37"/>
    <s v="LUNES"/>
    <x v="7"/>
    <x v="7"/>
    <n v="2100"/>
    <n v="198"/>
    <n v="357"/>
    <x v="3"/>
  </r>
  <r>
    <x v="221"/>
    <x v="8"/>
    <x v="37"/>
    <s v="LUNES"/>
    <x v="8"/>
    <x v="8"/>
    <n v="1050"/>
    <n v="198"/>
    <n v="178.5"/>
    <x v="3"/>
  </r>
  <r>
    <x v="222"/>
    <x v="8"/>
    <x v="37"/>
    <s v="MARTES"/>
    <x v="78"/>
    <x v="62"/>
    <n v="3750"/>
    <n v="250"/>
    <n v="1575"/>
    <x v="3"/>
  </r>
  <r>
    <x v="222"/>
    <x v="8"/>
    <x v="37"/>
    <s v="MARTES"/>
    <x v="0"/>
    <x v="0"/>
    <n v="2400"/>
    <n v="48"/>
    <n v="960"/>
    <x v="3"/>
  </r>
  <r>
    <x v="222"/>
    <x v="8"/>
    <x v="37"/>
    <s v="MARTES"/>
    <x v="24"/>
    <x v="24"/>
    <n v="4200"/>
    <n v="420"/>
    <n v="1764"/>
    <x v="3"/>
  </r>
  <r>
    <x v="222"/>
    <x v="8"/>
    <x v="37"/>
    <s v="MARTES"/>
    <x v="39"/>
    <x v="39"/>
    <n v="2100"/>
    <n v="420"/>
    <n v="882"/>
    <x v="3"/>
  </r>
  <r>
    <x v="222"/>
    <x v="8"/>
    <x v="37"/>
    <s v="MARTES"/>
    <x v="1"/>
    <x v="1"/>
    <n v="3240"/>
    <n v="198"/>
    <n v="550.80000000000007"/>
    <x v="3"/>
  </r>
  <r>
    <x v="222"/>
    <x v="8"/>
    <x v="37"/>
    <s v="MARTES"/>
    <x v="34"/>
    <x v="34"/>
    <n v="216"/>
    <n v="198"/>
    <n v="36.720000000000006"/>
    <x v="3"/>
  </r>
  <r>
    <x v="222"/>
    <x v="8"/>
    <x v="37"/>
    <s v="MARTES"/>
    <x v="9"/>
    <x v="9"/>
    <n v="1440"/>
    <n v="90"/>
    <n v="244.8"/>
    <x v="3"/>
  </r>
  <r>
    <x v="222"/>
    <x v="8"/>
    <x v="37"/>
    <s v="MARTES"/>
    <x v="10"/>
    <x v="10"/>
    <n v="3600"/>
    <n v="120"/>
    <n v="612"/>
    <x v="3"/>
  </r>
  <r>
    <x v="222"/>
    <x v="8"/>
    <x v="37"/>
    <s v="MARTES"/>
    <x v="11"/>
    <x v="11"/>
    <n v="1440"/>
    <n v="90"/>
    <n v="244.8"/>
    <x v="3"/>
  </r>
  <r>
    <x v="222"/>
    <x v="8"/>
    <x v="37"/>
    <s v="MARTES"/>
    <x v="25"/>
    <x v="25"/>
    <n v="1350"/>
    <n v="225"/>
    <n v="567"/>
    <x v="3"/>
  </r>
  <r>
    <x v="222"/>
    <x v="8"/>
    <x v="37"/>
    <s v="MARTES"/>
    <x v="19"/>
    <x v="19"/>
    <n v="450"/>
    <n v="225"/>
    <n v="180"/>
    <x v="3"/>
  </r>
  <r>
    <x v="222"/>
    <x v="8"/>
    <x v="37"/>
    <s v="MARTES"/>
    <x v="68"/>
    <x v="52"/>
    <n v="1250"/>
    <n v="250"/>
    <n v="525"/>
    <x v="3"/>
  </r>
  <r>
    <x v="223"/>
    <x v="8"/>
    <x v="37"/>
    <s v="MIÉRCOLES"/>
    <x v="77"/>
    <x v="61"/>
    <n v="125"/>
    <n v="125"/>
    <n v="88.75"/>
    <x v="3"/>
  </r>
  <r>
    <x v="223"/>
    <x v="8"/>
    <x v="37"/>
    <s v="MIÉRCOLES"/>
    <x v="37"/>
    <x v="37"/>
    <n v="1250"/>
    <n v="225"/>
    <n v="525"/>
    <x v="3"/>
  </r>
  <r>
    <x v="223"/>
    <x v="8"/>
    <x v="37"/>
    <s v="MIÉRCOLES"/>
    <x v="28"/>
    <x v="28"/>
    <n v="150"/>
    <n v="30"/>
    <n v="34.5"/>
    <x v="3"/>
  </r>
  <r>
    <x v="223"/>
    <x v="8"/>
    <x v="37"/>
    <s v="MIÉRCOLES"/>
    <x v="13"/>
    <x v="13"/>
    <n v="150"/>
    <n v="30"/>
    <n v="60"/>
    <x v="3"/>
  </r>
  <r>
    <x v="223"/>
    <x v="8"/>
    <x v="37"/>
    <s v="MIÉRCOLES"/>
    <x v="15"/>
    <x v="15"/>
    <n v="350"/>
    <n v="50"/>
    <n v="140"/>
    <x v="3"/>
  </r>
  <r>
    <x v="223"/>
    <x v="8"/>
    <x v="37"/>
    <s v="MIÉRCOLES"/>
    <x v="39"/>
    <x v="39"/>
    <n v="3360"/>
    <n v="420"/>
    <n v="1411.2"/>
    <x v="3"/>
  </r>
  <r>
    <x v="223"/>
    <x v="8"/>
    <x v="37"/>
    <s v="MIÉRCOLES"/>
    <x v="16"/>
    <x v="16"/>
    <n v="900"/>
    <n v="180"/>
    <n v="378"/>
    <x v="3"/>
  </r>
  <r>
    <x v="223"/>
    <x v="8"/>
    <x v="37"/>
    <s v="MIÉRCOLES"/>
    <x v="1"/>
    <x v="1"/>
    <n v="2160"/>
    <n v="198"/>
    <n v="367.20000000000005"/>
    <x v="3"/>
  </r>
  <r>
    <x v="223"/>
    <x v="8"/>
    <x v="37"/>
    <s v="MIÉRCOLES"/>
    <x v="2"/>
    <x v="2"/>
    <n v="2160"/>
    <n v="198"/>
    <n v="367.20000000000005"/>
    <x v="3"/>
  </r>
  <r>
    <x v="223"/>
    <x v="8"/>
    <x v="37"/>
    <s v="MIÉRCOLES"/>
    <x v="29"/>
    <x v="29"/>
    <n v="216"/>
    <n v="198"/>
    <n v="36.720000000000006"/>
    <x v="3"/>
  </r>
  <r>
    <x v="223"/>
    <x v="8"/>
    <x v="37"/>
    <s v="MIÉRCOLES"/>
    <x v="22"/>
    <x v="22"/>
    <n v="1386"/>
    <n v="198"/>
    <n v="235.62"/>
    <x v="3"/>
  </r>
  <r>
    <x v="223"/>
    <x v="8"/>
    <x v="37"/>
    <s v="MIÉRCOLES"/>
    <x v="6"/>
    <x v="6"/>
    <n v="3600"/>
    <n v="120"/>
    <n v="612"/>
    <x v="3"/>
  </r>
  <r>
    <x v="223"/>
    <x v="8"/>
    <x v="37"/>
    <s v="MIÉRCOLES"/>
    <x v="17"/>
    <x v="17"/>
    <n v="1800"/>
    <n v="120"/>
    <n v="306"/>
    <x v="3"/>
  </r>
  <r>
    <x v="223"/>
    <x v="8"/>
    <x v="37"/>
    <s v="MIÉRCOLES"/>
    <x v="7"/>
    <x v="7"/>
    <n v="3240"/>
    <n v="198"/>
    <n v="550.80000000000007"/>
    <x v="3"/>
  </r>
  <r>
    <x v="223"/>
    <x v="8"/>
    <x v="37"/>
    <s v="MIÉRCOLES"/>
    <x v="8"/>
    <x v="8"/>
    <n v="2160"/>
    <n v="198"/>
    <n v="367.20000000000005"/>
    <x v="3"/>
  </r>
  <r>
    <x v="223"/>
    <x v="8"/>
    <x v="37"/>
    <s v="MIÉRCOLES"/>
    <x v="10"/>
    <x v="10"/>
    <n v="6000"/>
    <n v="120"/>
    <n v="1020.0000000000001"/>
    <x v="3"/>
  </r>
  <r>
    <x v="223"/>
    <x v="8"/>
    <x v="37"/>
    <s v="MIÉRCOLES"/>
    <x v="11"/>
    <x v="11"/>
    <n v="2160"/>
    <n v="90"/>
    <n v="367.20000000000005"/>
    <x v="3"/>
  </r>
  <r>
    <x v="223"/>
    <x v="8"/>
    <x v="37"/>
    <s v="MIÉRCOLES"/>
    <x v="25"/>
    <x v="25"/>
    <n v="1350"/>
    <n v="225"/>
    <n v="567"/>
    <x v="3"/>
  </r>
  <r>
    <x v="223"/>
    <x v="8"/>
    <x v="37"/>
    <s v="MIÉRCOLES"/>
    <x v="19"/>
    <x v="19"/>
    <n v="450"/>
    <n v="225"/>
    <n v="180"/>
    <x v="3"/>
  </r>
  <r>
    <x v="223"/>
    <x v="8"/>
    <x v="37"/>
    <s v="MIÉRCOLES"/>
    <x v="37"/>
    <x v="37"/>
    <n v="1250"/>
    <n v="225"/>
    <n v="525"/>
    <x v="3"/>
  </r>
  <r>
    <x v="223"/>
    <x v="8"/>
    <x v="37"/>
    <s v="MIÉRCOLES"/>
    <x v="42"/>
    <x v="42"/>
    <n v="500"/>
    <n v="420"/>
    <n v="210"/>
    <x v="3"/>
  </r>
  <r>
    <x v="223"/>
    <x v="8"/>
    <x v="37"/>
    <s v="MIÉRCOLES"/>
    <x v="43"/>
    <x v="43"/>
    <n v="750"/>
    <n v="420"/>
    <n v="315"/>
    <x v="3"/>
  </r>
  <r>
    <x v="223"/>
    <x v="8"/>
    <x v="37"/>
    <s v="MIÉRCOLES"/>
    <x v="77"/>
    <x v="61"/>
    <n v="500"/>
    <n v="125"/>
    <n v="355"/>
    <x v="3"/>
  </r>
  <r>
    <x v="224"/>
    <x v="8"/>
    <x v="37"/>
    <s v="JUEVES"/>
    <x v="12"/>
    <x v="12"/>
    <n v="1125"/>
    <n v="225"/>
    <n v="450"/>
    <x v="3"/>
  </r>
  <r>
    <x v="224"/>
    <x v="8"/>
    <x v="37"/>
    <s v="JUEVES"/>
    <x v="37"/>
    <x v="37"/>
    <n v="1250"/>
    <n v="225"/>
    <n v="525"/>
    <x v="3"/>
  </r>
  <r>
    <x v="224"/>
    <x v="8"/>
    <x v="37"/>
    <s v="JUEVES"/>
    <x v="42"/>
    <x v="42"/>
    <n v="500"/>
    <n v="420"/>
    <n v="210"/>
    <x v="3"/>
  </r>
  <r>
    <x v="224"/>
    <x v="8"/>
    <x v="37"/>
    <s v="JUEVES"/>
    <x v="43"/>
    <x v="43"/>
    <n v="1000"/>
    <n v="420"/>
    <n v="420"/>
    <x v="3"/>
  </r>
  <r>
    <x v="224"/>
    <x v="8"/>
    <x v="37"/>
    <s v="JUEVES"/>
    <x v="77"/>
    <x v="61"/>
    <n v="750"/>
    <n v="125"/>
    <n v="532.5"/>
    <x v="3"/>
  </r>
  <r>
    <x v="224"/>
    <x v="8"/>
    <x v="37"/>
    <s v="JUEVES"/>
    <x v="15"/>
    <x v="15"/>
    <n v="250"/>
    <n v="50"/>
    <n v="100"/>
    <x v="3"/>
  </r>
  <r>
    <x v="224"/>
    <x v="8"/>
    <x v="37"/>
    <s v="JUEVES"/>
    <x v="40"/>
    <x v="40"/>
    <n v="112"/>
    <n v="240"/>
    <n v="44.800000000000004"/>
    <x v="3"/>
  </r>
  <r>
    <x v="224"/>
    <x v="8"/>
    <x v="37"/>
    <s v="JUEVES"/>
    <x v="0"/>
    <x v="0"/>
    <n v="960"/>
    <n v="48"/>
    <n v="384"/>
    <x v="3"/>
  </r>
  <r>
    <x v="224"/>
    <x v="8"/>
    <x v="37"/>
    <s v="JUEVES"/>
    <x v="24"/>
    <x v="24"/>
    <n v="2100"/>
    <n v="420"/>
    <n v="882"/>
    <x v="3"/>
  </r>
  <r>
    <x v="224"/>
    <x v="8"/>
    <x v="37"/>
    <s v="JUEVES"/>
    <x v="16"/>
    <x v="16"/>
    <n v="900"/>
    <n v="180"/>
    <n v="378"/>
    <x v="3"/>
  </r>
  <r>
    <x v="224"/>
    <x v="8"/>
    <x v="37"/>
    <s v="JUEVES"/>
    <x v="29"/>
    <x v="29"/>
    <n v="216"/>
    <n v="198"/>
    <n v="36.720000000000006"/>
    <x v="3"/>
  </r>
  <r>
    <x v="224"/>
    <x v="8"/>
    <x v="37"/>
    <s v="JUEVES"/>
    <x v="3"/>
    <x v="3"/>
    <n v="990"/>
    <n v="198"/>
    <n v="168.3"/>
    <x v="3"/>
  </r>
  <r>
    <x v="224"/>
    <x v="8"/>
    <x v="37"/>
    <s v="JUEVES"/>
    <x v="4"/>
    <x v="4"/>
    <n v="648"/>
    <n v="162"/>
    <n v="110.16000000000001"/>
    <x v="3"/>
  </r>
  <r>
    <x v="224"/>
    <x v="8"/>
    <x v="37"/>
    <s v="JUEVES"/>
    <x v="6"/>
    <x v="6"/>
    <n v="3600"/>
    <n v="120"/>
    <n v="612"/>
    <x v="3"/>
  </r>
  <r>
    <x v="224"/>
    <x v="8"/>
    <x v="37"/>
    <s v="JUEVES"/>
    <x v="17"/>
    <x v="17"/>
    <n v="2400"/>
    <n v="120"/>
    <n v="408.00000000000006"/>
    <x v="3"/>
  </r>
  <r>
    <x v="224"/>
    <x v="8"/>
    <x v="37"/>
    <s v="JUEVES"/>
    <x v="9"/>
    <x v="9"/>
    <n v="900"/>
    <n v="90"/>
    <n v="153"/>
    <x v="3"/>
  </r>
  <r>
    <x v="224"/>
    <x v="8"/>
    <x v="37"/>
    <s v="JUEVES"/>
    <x v="10"/>
    <x v="10"/>
    <n v="6000"/>
    <n v="120"/>
    <n v="1020.0000000000001"/>
    <x v="3"/>
  </r>
  <r>
    <x v="224"/>
    <x v="8"/>
    <x v="37"/>
    <s v="JUEVES"/>
    <x v="23"/>
    <x v="23"/>
    <n v="900"/>
    <n v="90"/>
    <n v="153"/>
    <x v="3"/>
  </r>
  <r>
    <x v="224"/>
    <x v="8"/>
    <x v="37"/>
    <s v="JUEVES"/>
    <x v="20"/>
    <x v="20"/>
    <n v="720"/>
    <n v="90"/>
    <n v="122.4"/>
    <x v="3"/>
  </r>
  <r>
    <x v="224"/>
    <x v="8"/>
    <x v="37"/>
    <s v="JUEVES"/>
    <x v="25"/>
    <x v="25"/>
    <n v="900"/>
    <n v="225"/>
    <n v="378"/>
    <x v="3"/>
  </r>
  <r>
    <x v="225"/>
    <x v="8"/>
    <x v="37"/>
    <s v="VIERNES"/>
    <x v="33"/>
    <x v="33"/>
    <n v="40"/>
    <n v="40"/>
    <n v="9.2000000000000011"/>
    <x v="3"/>
  </r>
  <r>
    <x v="225"/>
    <x v="8"/>
    <x v="37"/>
    <s v="VIERNES"/>
    <x v="38"/>
    <x v="38"/>
    <n v="336"/>
    <n v="112"/>
    <n v="134.4"/>
    <x v="3"/>
  </r>
  <r>
    <x v="225"/>
    <x v="8"/>
    <x v="37"/>
    <s v="VIERNES"/>
    <x v="24"/>
    <x v="24"/>
    <n v="2100"/>
    <n v="420"/>
    <n v="882"/>
    <x v="3"/>
  </r>
  <r>
    <x v="225"/>
    <x v="8"/>
    <x v="37"/>
    <s v="VIERNES"/>
    <x v="1"/>
    <x v="1"/>
    <n v="3240"/>
    <n v="198"/>
    <n v="550.80000000000007"/>
    <x v="3"/>
  </r>
  <r>
    <x v="225"/>
    <x v="8"/>
    <x v="37"/>
    <s v="VIERNES"/>
    <x v="2"/>
    <x v="2"/>
    <n v="1512"/>
    <n v="198"/>
    <n v="257.04000000000002"/>
    <x v="3"/>
  </r>
  <r>
    <x v="225"/>
    <x v="8"/>
    <x v="37"/>
    <s v="VIERNES"/>
    <x v="10"/>
    <x v="10"/>
    <n v="7200"/>
    <n v="120"/>
    <n v="1224"/>
    <x v="3"/>
  </r>
  <r>
    <x v="225"/>
    <x v="8"/>
    <x v="37"/>
    <s v="VIERNES"/>
    <x v="23"/>
    <x v="23"/>
    <n v="720"/>
    <n v="90"/>
    <n v="122.4"/>
    <x v="3"/>
  </r>
  <r>
    <x v="225"/>
    <x v="8"/>
    <x v="37"/>
    <s v="VIERNES"/>
    <x v="11"/>
    <x v="11"/>
    <n v="2880"/>
    <n v="90"/>
    <n v="489.6"/>
    <x v="3"/>
  </r>
  <r>
    <x v="225"/>
    <x v="8"/>
    <x v="37"/>
    <s v="VIERNES"/>
    <x v="25"/>
    <x v="25"/>
    <n v="1350"/>
    <n v="225"/>
    <n v="567"/>
    <x v="3"/>
  </r>
  <r>
    <x v="225"/>
    <x v="8"/>
    <x v="37"/>
    <s v="VIERNES"/>
    <x v="77"/>
    <x v="61"/>
    <n v="750"/>
    <n v="125"/>
    <n v="532.5"/>
    <x v="3"/>
  </r>
  <r>
    <x v="226"/>
    <x v="8"/>
    <x v="38"/>
    <s v="SÁBADO"/>
    <x v="13"/>
    <x v="13"/>
    <n v="150"/>
    <n v="30"/>
    <n v="60"/>
    <x v="3"/>
  </r>
  <r>
    <x v="226"/>
    <x v="8"/>
    <x v="38"/>
    <s v="SÁBADO"/>
    <x v="40"/>
    <x v="40"/>
    <n v="112"/>
    <n v="240"/>
    <n v="44.800000000000004"/>
    <x v="3"/>
  </r>
  <r>
    <x v="226"/>
    <x v="8"/>
    <x v="38"/>
    <s v="SÁBADO"/>
    <x v="38"/>
    <x v="38"/>
    <n v="448"/>
    <n v="112"/>
    <n v="179.20000000000002"/>
    <x v="3"/>
  </r>
  <r>
    <x v="226"/>
    <x v="8"/>
    <x v="38"/>
    <s v="SÁBADO"/>
    <x v="0"/>
    <x v="0"/>
    <n v="1920"/>
    <n v="48"/>
    <n v="768"/>
    <x v="3"/>
  </r>
  <r>
    <x v="226"/>
    <x v="8"/>
    <x v="38"/>
    <s v="SÁBADO"/>
    <x v="22"/>
    <x v="22"/>
    <n v="1584"/>
    <n v="198"/>
    <n v="269.28000000000003"/>
    <x v="3"/>
  </r>
  <r>
    <x v="226"/>
    <x v="8"/>
    <x v="38"/>
    <s v="SÁBADO"/>
    <x v="6"/>
    <x v="6"/>
    <n v="6000"/>
    <n v="120"/>
    <n v="1020.0000000000001"/>
    <x v="3"/>
  </r>
  <r>
    <x v="226"/>
    <x v="8"/>
    <x v="38"/>
    <s v="SÁBADO"/>
    <x v="17"/>
    <x v="17"/>
    <n v="2400"/>
    <n v="120"/>
    <n v="408.00000000000006"/>
    <x v="3"/>
  </r>
  <r>
    <x v="226"/>
    <x v="8"/>
    <x v="38"/>
    <s v="SÁBADO"/>
    <x v="10"/>
    <x v="10"/>
    <n v="3600"/>
    <n v="120"/>
    <n v="612"/>
    <x v="3"/>
  </r>
  <r>
    <x v="226"/>
    <x v="8"/>
    <x v="38"/>
    <s v="SÁBADO"/>
    <x v="23"/>
    <x v="23"/>
    <n v="720"/>
    <n v="90"/>
    <n v="122.4"/>
    <x v="3"/>
  </r>
  <r>
    <x v="226"/>
    <x v="8"/>
    <x v="38"/>
    <s v="SÁBADO"/>
    <x v="12"/>
    <x v="12"/>
    <n v="675"/>
    <n v="225"/>
    <n v="270"/>
    <x v="3"/>
  </r>
  <r>
    <x v="226"/>
    <x v="8"/>
    <x v="38"/>
    <s v="SÁBADO"/>
    <x v="19"/>
    <x v="19"/>
    <n v="225"/>
    <n v="225"/>
    <n v="90"/>
    <x v="3"/>
  </r>
  <r>
    <x v="226"/>
    <x v="8"/>
    <x v="38"/>
    <s v="SÁBADO"/>
    <x v="46"/>
    <x v="46"/>
    <n v="3000"/>
    <n v="250"/>
    <n v="1260"/>
    <x v="3"/>
  </r>
  <r>
    <x v="226"/>
    <x v="8"/>
    <x v="38"/>
    <s v="SÁBADO"/>
    <x v="42"/>
    <x v="42"/>
    <n v="500"/>
    <n v="420"/>
    <n v="210"/>
    <x v="3"/>
  </r>
  <r>
    <x v="226"/>
    <x v="8"/>
    <x v="38"/>
    <s v="SÁBADO"/>
    <x v="43"/>
    <x v="43"/>
    <n v="500"/>
    <n v="420"/>
    <n v="210"/>
    <x v="3"/>
  </r>
  <r>
    <x v="226"/>
    <x v="8"/>
    <x v="38"/>
    <s v="SÁBADO"/>
    <x v="30"/>
    <x v="30"/>
    <n v="750"/>
    <n v="250"/>
    <n v="172.5"/>
    <x v="3"/>
  </r>
  <r>
    <x v="227"/>
    <x v="8"/>
    <x v="38"/>
    <s v="LUNES"/>
    <x v="10"/>
    <x v="10"/>
    <n v="3360"/>
    <n v="120"/>
    <n v="571.20000000000005"/>
    <x v="3"/>
  </r>
  <r>
    <x v="227"/>
    <x v="8"/>
    <x v="38"/>
    <s v="LUNES"/>
    <x v="26"/>
    <x v="26"/>
    <n v="450"/>
    <n v="90"/>
    <n v="76.5"/>
    <x v="3"/>
  </r>
  <r>
    <x v="227"/>
    <x v="8"/>
    <x v="38"/>
    <s v="LUNES"/>
    <x v="23"/>
    <x v="23"/>
    <n v="900"/>
    <n v="90"/>
    <n v="153"/>
    <x v="3"/>
  </r>
  <r>
    <x v="227"/>
    <x v="8"/>
    <x v="38"/>
    <s v="LUNES"/>
    <x v="11"/>
    <x v="11"/>
    <n v="2880"/>
    <n v="90"/>
    <n v="489.6"/>
    <x v="3"/>
  </r>
  <r>
    <x v="227"/>
    <x v="8"/>
    <x v="38"/>
    <s v="LUNES"/>
    <x v="20"/>
    <x v="20"/>
    <n v="450"/>
    <n v="90"/>
    <n v="76.5"/>
    <x v="3"/>
  </r>
  <r>
    <x v="227"/>
    <x v="8"/>
    <x v="38"/>
    <s v="LUNES"/>
    <x v="25"/>
    <x v="25"/>
    <n v="2250"/>
    <n v="225"/>
    <n v="945"/>
    <x v="3"/>
  </r>
  <r>
    <x v="227"/>
    <x v="8"/>
    <x v="38"/>
    <s v="LUNES"/>
    <x v="42"/>
    <x v="42"/>
    <n v="250"/>
    <n v="420"/>
    <n v="105"/>
    <x v="3"/>
  </r>
  <r>
    <x v="227"/>
    <x v="8"/>
    <x v="38"/>
    <s v="LUNES"/>
    <x v="43"/>
    <x v="43"/>
    <n v="500"/>
    <n v="420"/>
    <n v="210"/>
    <x v="3"/>
  </r>
  <r>
    <x v="227"/>
    <x v="8"/>
    <x v="38"/>
    <s v="LUNES"/>
    <x v="77"/>
    <x v="61"/>
    <n v="750"/>
    <n v="125"/>
    <n v="532.5"/>
    <x v="3"/>
  </r>
  <r>
    <x v="227"/>
    <x v="8"/>
    <x v="38"/>
    <s v="LUNES"/>
    <x v="28"/>
    <x v="28"/>
    <n v="270"/>
    <n v="30"/>
    <n v="62.1"/>
    <x v="3"/>
  </r>
  <r>
    <x v="227"/>
    <x v="8"/>
    <x v="38"/>
    <s v="LUNES"/>
    <x v="33"/>
    <x v="33"/>
    <n v="120"/>
    <n v="40"/>
    <n v="27.6"/>
    <x v="3"/>
  </r>
  <r>
    <x v="227"/>
    <x v="8"/>
    <x v="38"/>
    <s v="LUNES"/>
    <x v="13"/>
    <x v="13"/>
    <n v="300"/>
    <n v="30"/>
    <n v="120"/>
    <x v="3"/>
  </r>
  <r>
    <x v="227"/>
    <x v="8"/>
    <x v="38"/>
    <s v="LUNES"/>
    <x v="15"/>
    <x v="15"/>
    <n v="400"/>
    <n v="50"/>
    <n v="160"/>
    <x v="3"/>
  </r>
  <r>
    <x v="227"/>
    <x v="8"/>
    <x v="38"/>
    <s v="LUNES"/>
    <x v="0"/>
    <x v="0"/>
    <n v="1920"/>
    <n v="48"/>
    <n v="768"/>
    <x v="3"/>
  </r>
  <r>
    <x v="227"/>
    <x v="8"/>
    <x v="38"/>
    <s v="LUNES"/>
    <x v="24"/>
    <x v="24"/>
    <n v="2520"/>
    <n v="420"/>
    <n v="1058.3999999999999"/>
    <x v="3"/>
  </r>
  <r>
    <x v="227"/>
    <x v="8"/>
    <x v="38"/>
    <s v="LUNES"/>
    <x v="16"/>
    <x v="16"/>
    <n v="1080"/>
    <n v="180"/>
    <n v="453.59999999999997"/>
    <x v="3"/>
  </r>
  <r>
    <x v="227"/>
    <x v="8"/>
    <x v="38"/>
    <s v="LUNES"/>
    <x v="1"/>
    <x v="1"/>
    <n v="4320"/>
    <n v="198"/>
    <n v="734.40000000000009"/>
    <x v="3"/>
  </r>
  <r>
    <x v="227"/>
    <x v="8"/>
    <x v="38"/>
    <s v="LUNES"/>
    <x v="34"/>
    <x v="34"/>
    <n v="216"/>
    <n v="198"/>
    <n v="36.720000000000006"/>
    <x v="3"/>
  </r>
  <r>
    <x v="227"/>
    <x v="8"/>
    <x v="38"/>
    <s v="LUNES"/>
    <x v="29"/>
    <x v="29"/>
    <n v="216"/>
    <n v="198"/>
    <n v="36.720000000000006"/>
    <x v="3"/>
  </r>
  <r>
    <x v="227"/>
    <x v="8"/>
    <x v="38"/>
    <s v="LUNES"/>
    <x v="3"/>
    <x v="3"/>
    <n v="990"/>
    <n v="198"/>
    <n v="168.3"/>
    <x v="3"/>
  </r>
  <r>
    <x v="227"/>
    <x v="8"/>
    <x v="38"/>
    <s v="LUNES"/>
    <x v="4"/>
    <x v="4"/>
    <n v="810"/>
    <n v="162"/>
    <n v="137.70000000000002"/>
    <x v="3"/>
  </r>
  <r>
    <x v="227"/>
    <x v="8"/>
    <x v="38"/>
    <s v="LUNES"/>
    <x v="5"/>
    <x v="5"/>
    <n v="486"/>
    <n v="162"/>
    <n v="82.62"/>
    <x v="3"/>
  </r>
  <r>
    <x v="227"/>
    <x v="8"/>
    <x v="38"/>
    <s v="LUNES"/>
    <x v="6"/>
    <x v="6"/>
    <n v="2400"/>
    <n v="120"/>
    <n v="408.00000000000006"/>
    <x v="3"/>
  </r>
  <r>
    <x v="227"/>
    <x v="8"/>
    <x v="38"/>
    <s v="LUNES"/>
    <x v="7"/>
    <x v="7"/>
    <n v="2160"/>
    <n v="198"/>
    <n v="367.20000000000005"/>
    <x v="3"/>
  </r>
  <r>
    <x v="228"/>
    <x v="8"/>
    <x v="38"/>
    <s v="MARTES"/>
    <x v="28"/>
    <x v="28"/>
    <n v="120"/>
    <n v="30"/>
    <n v="27.6"/>
    <x v="3"/>
  </r>
  <r>
    <x v="228"/>
    <x v="8"/>
    <x v="38"/>
    <s v="MARTES"/>
    <x v="13"/>
    <x v="13"/>
    <n v="150"/>
    <n v="30"/>
    <n v="60"/>
    <x v="3"/>
  </r>
  <r>
    <x v="228"/>
    <x v="8"/>
    <x v="38"/>
    <s v="MARTES"/>
    <x v="15"/>
    <x v="15"/>
    <n v="200"/>
    <n v="50"/>
    <n v="80"/>
    <x v="3"/>
  </r>
  <r>
    <x v="228"/>
    <x v="8"/>
    <x v="38"/>
    <s v="MARTES"/>
    <x v="38"/>
    <x v="38"/>
    <n v="672"/>
    <n v="112"/>
    <n v="268.8"/>
    <x v="3"/>
  </r>
  <r>
    <x v="228"/>
    <x v="8"/>
    <x v="38"/>
    <s v="MARTES"/>
    <x v="0"/>
    <x v="0"/>
    <n v="2400"/>
    <n v="48"/>
    <n v="960"/>
    <x v="3"/>
  </r>
  <r>
    <x v="228"/>
    <x v="8"/>
    <x v="38"/>
    <s v="MARTES"/>
    <x v="24"/>
    <x v="24"/>
    <n v="2520"/>
    <n v="420"/>
    <n v="1058.3999999999999"/>
    <x v="3"/>
  </r>
  <r>
    <x v="228"/>
    <x v="8"/>
    <x v="38"/>
    <s v="MARTES"/>
    <x v="1"/>
    <x v="1"/>
    <n v="2160"/>
    <n v="198"/>
    <n v="367.20000000000005"/>
    <x v="3"/>
  </r>
  <r>
    <x v="228"/>
    <x v="8"/>
    <x v="38"/>
    <s v="MARTES"/>
    <x v="5"/>
    <x v="5"/>
    <n v="648"/>
    <n v="162"/>
    <n v="110.16000000000001"/>
    <x v="3"/>
  </r>
  <r>
    <x v="228"/>
    <x v="8"/>
    <x v="38"/>
    <s v="MARTES"/>
    <x v="6"/>
    <x v="6"/>
    <n v="2400"/>
    <n v="120"/>
    <n v="408.00000000000006"/>
    <x v="3"/>
  </r>
  <r>
    <x v="228"/>
    <x v="8"/>
    <x v="38"/>
    <s v="MARTES"/>
    <x v="17"/>
    <x v="17"/>
    <n v="2400"/>
    <n v="120"/>
    <n v="408.00000000000006"/>
    <x v="3"/>
  </r>
  <r>
    <x v="228"/>
    <x v="8"/>
    <x v="38"/>
    <s v="MARTES"/>
    <x v="7"/>
    <x v="7"/>
    <n v="2160"/>
    <n v="198"/>
    <n v="367.20000000000005"/>
    <x v="3"/>
  </r>
  <r>
    <x v="228"/>
    <x v="8"/>
    <x v="38"/>
    <s v="MARTES"/>
    <x v="8"/>
    <x v="8"/>
    <n v="1728"/>
    <n v="198"/>
    <n v="293.76000000000005"/>
    <x v="3"/>
  </r>
  <r>
    <x v="228"/>
    <x v="8"/>
    <x v="38"/>
    <s v="MARTES"/>
    <x v="9"/>
    <x v="9"/>
    <n v="900"/>
    <n v="90"/>
    <n v="153"/>
    <x v="3"/>
  </r>
  <r>
    <x v="228"/>
    <x v="8"/>
    <x v="38"/>
    <s v="MARTES"/>
    <x v="10"/>
    <x v="10"/>
    <n v="2880"/>
    <n v="120"/>
    <n v="489.6"/>
    <x v="3"/>
  </r>
  <r>
    <x v="228"/>
    <x v="8"/>
    <x v="38"/>
    <s v="MARTES"/>
    <x v="23"/>
    <x v="23"/>
    <n v="450"/>
    <n v="90"/>
    <n v="76.5"/>
    <x v="3"/>
  </r>
  <r>
    <x v="228"/>
    <x v="8"/>
    <x v="38"/>
    <s v="MARTES"/>
    <x v="36"/>
    <x v="36"/>
    <n v="1350"/>
    <n v="90"/>
    <n v="540"/>
    <x v="3"/>
  </r>
  <r>
    <x v="228"/>
    <x v="8"/>
    <x v="38"/>
    <s v="MARTES"/>
    <x v="11"/>
    <x v="11"/>
    <n v="1890"/>
    <n v="90"/>
    <n v="321.3"/>
    <x v="3"/>
  </r>
  <r>
    <x v="228"/>
    <x v="8"/>
    <x v="38"/>
    <s v="MARTES"/>
    <x v="25"/>
    <x v="25"/>
    <n v="1350"/>
    <n v="225"/>
    <n v="567"/>
    <x v="3"/>
  </r>
  <r>
    <x v="228"/>
    <x v="8"/>
    <x v="38"/>
    <s v="MARTES"/>
    <x v="12"/>
    <x v="12"/>
    <n v="450"/>
    <n v="225"/>
    <n v="180"/>
    <x v="3"/>
  </r>
  <r>
    <x v="228"/>
    <x v="8"/>
    <x v="38"/>
    <s v="MARTES"/>
    <x v="42"/>
    <x v="42"/>
    <n v="250"/>
    <n v="420"/>
    <n v="105"/>
    <x v="3"/>
  </r>
  <r>
    <x v="228"/>
    <x v="8"/>
    <x v="38"/>
    <s v="MARTES"/>
    <x v="43"/>
    <x v="43"/>
    <n v="250"/>
    <n v="420"/>
    <n v="105"/>
    <x v="3"/>
  </r>
  <r>
    <x v="228"/>
    <x v="8"/>
    <x v="38"/>
    <s v="MARTES"/>
    <x v="32"/>
    <x v="32"/>
    <n v="4200"/>
    <n v="420"/>
    <n v="1764"/>
    <x v="3"/>
  </r>
  <r>
    <x v="229"/>
    <x v="8"/>
    <x v="38"/>
    <s v="MIÉRCOLES"/>
    <x v="28"/>
    <x v="28"/>
    <n v="270"/>
    <n v="30"/>
    <n v="62.1"/>
    <x v="3"/>
  </r>
  <r>
    <x v="229"/>
    <x v="8"/>
    <x v="38"/>
    <s v="MIÉRCOLES"/>
    <x v="33"/>
    <x v="33"/>
    <n v="40"/>
    <n v="40"/>
    <n v="9.2000000000000011"/>
    <x v="3"/>
  </r>
  <r>
    <x v="229"/>
    <x v="8"/>
    <x v="38"/>
    <s v="MIÉRCOLES"/>
    <x v="36"/>
    <x v="36"/>
    <n v="1350"/>
    <n v="90"/>
    <n v="540"/>
    <x v="3"/>
  </r>
  <r>
    <x v="229"/>
    <x v="8"/>
    <x v="38"/>
    <s v="MIÉRCOLES"/>
    <x v="40"/>
    <x v="40"/>
    <n v="336"/>
    <n v="240"/>
    <n v="134.4"/>
    <x v="3"/>
  </r>
  <r>
    <x v="229"/>
    <x v="8"/>
    <x v="38"/>
    <s v="MIÉRCOLES"/>
    <x v="0"/>
    <x v="0"/>
    <n v="2400"/>
    <n v="48"/>
    <n v="960"/>
    <x v="3"/>
  </r>
  <r>
    <x v="229"/>
    <x v="8"/>
    <x v="38"/>
    <s v="MIÉRCOLES"/>
    <x v="32"/>
    <x v="32"/>
    <n v="4200"/>
    <n v="420"/>
    <n v="1764"/>
    <x v="3"/>
  </r>
  <r>
    <x v="229"/>
    <x v="8"/>
    <x v="38"/>
    <s v="MIÉRCOLES"/>
    <x v="39"/>
    <x v="39"/>
    <n v="2100"/>
    <n v="420"/>
    <n v="882"/>
    <x v="3"/>
  </r>
  <r>
    <x v="229"/>
    <x v="8"/>
    <x v="38"/>
    <s v="MIÉRCOLES"/>
    <x v="2"/>
    <x v="2"/>
    <n v="864"/>
    <n v="198"/>
    <n v="146.88000000000002"/>
    <x v="3"/>
  </r>
  <r>
    <x v="229"/>
    <x v="8"/>
    <x v="38"/>
    <s v="MIÉRCOLES"/>
    <x v="22"/>
    <x v="22"/>
    <n v="990"/>
    <n v="198"/>
    <n v="168.3"/>
    <x v="3"/>
  </r>
  <r>
    <x v="229"/>
    <x v="8"/>
    <x v="38"/>
    <s v="MIÉRCOLES"/>
    <x v="4"/>
    <x v="4"/>
    <n v="648"/>
    <n v="162"/>
    <n v="110.16000000000001"/>
    <x v="3"/>
  </r>
  <r>
    <x v="229"/>
    <x v="8"/>
    <x v="38"/>
    <s v="MIÉRCOLES"/>
    <x v="7"/>
    <x v="7"/>
    <n v="2160"/>
    <n v="198"/>
    <n v="367.20000000000005"/>
    <x v="3"/>
  </r>
  <r>
    <x v="229"/>
    <x v="8"/>
    <x v="38"/>
    <s v="MIÉRCOLES"/>
    <x v="8"/>
    <x v="8"/>
    <n v="1080"/>
    <n v="198"/>
    <n v="183.60000000000002"/>
    <x v="3"/>
  </r>
  <r>
    <x v="229"/>
    <x v="8"/>
    <x v="38"/>
    <s v="MIÉRCOLES"/>
    <x v="9"/>
    <x v="9"/>
    <n v="900"/>
    <n v="90"/>
    <n v="153"/>
    <x v="3"/>
  </r>
  <r>
    <x v="229"/>
    <x v="8"/>
    <x v="38"/>
    <s v="MIÉRCOLES"/>
    <x v="11"/>
    <x v="11"/>
    <n v="1440"/>
    <n v="90"/>
    <n v="244.8"/>
    <x v="3"/>
  </r>
  <r>
    <x v="229"/>
    <x v="8"/>
    <x v="38"/>
    <s v="MIÉRCOLES"/>
    <x v="20"/>
    <x v="20"/>
    <n v="180"/>
    <n v="90"/>
    <n v="30.6"/>
    <x v="3"/>
  </r>
  <r>
    <x v="229"/>
    <x v="8"/>
    <x v="38"/>
    <s v="MIÉRCOLES"/>
    <x v="25"/>
    <x v="25"/>
    <n v="1350"/>
    <n v="225"/>
    <n v="567"/>
    <x v="3"/>
  </r>
  <r>
    <x v="229"/>
    <x v="8"/>
    <x v="38"/>
    <s v="MIÉRCOLES"/>
    <x v="43"/>
    <x v="43"/>
    <n v="250"/>
    <n v="420"/>
    <n v="105"/>
    <x v="3"/>
  </r>
  <r>
    <x v="230"/>
    <x v="8"/>
    <x v="38"/>
    <s v="JUEVES"/>
    <x v="20"/>
    <x v="20"/>
    <n v="450"/>
    <n v="90"/>
    <n v="76.5"/>
    <x v="3"/>
  </r>
  <r>
    <x v="230"/>
    <x v="8"/>
    <x v="38"/>
    <s v="JUEVES"/>
    <x v="25"/>
    <x v="25"/>
    <n v="675"/>
    <n v="225"/>
    <n v="283.5"/>
    <x v="3"/>
  </r>
  <r>
    <x v="230"/>
    <x v="8"/>
    <x v="38"/>
    <s v="JUEVES"/>
    <x v="42"/>
    <x v="42"/>
    <n v="250"/>
    <n v="420"/>
    <n v="105"/>
    <x v="3"/>
  </r>
  <r>
    <x v="230"/>
    <x v="8"/>
    <x v="38"/>
    <s v="JUEVES"/>
    <x v="64"/>
    <x v="48"/>
    <n v="600"/>
    <n v="30"/>
    <n v="126"/>
    <x v="3"/>
  </r>
  <r>
    <x v="230"/>
    <x v="8"/>
    <x v="38"/>
    <s v="JUEVES"/>
    <x v="13"/>
    <x v="13"/>
    <n v="300"/>
    <n v="30"/>
    <n v="120"/>
    <x v="3"/>
  </r>
  <r>
    <x v="230"/>
    <x v="8"/>
    <x v="38"/>
    <s v="JUEVES"/>
    <x v="15"/>
    <x v="15"/>
    <n v="400"/>
    <n v="50"/>
    <n v="160"/>
    <x v="3"/>
  </r>
  <r>
    <x v="230"/>
    <x v="8"/>
    <x v="38"/>
    <s v="JUEVES"/>
    <x v="36"/>
    <x v="36"/>
    <n v="5400"/>
    <n v="90"/>
    <n v="2160"/>
    <x v="3"/>
  </r>
  <r>
    <x v="230"/>
    <x v="8"/>
    <x v="38"/>
    <s v="JUEVES"/>
    <x v="38"/>
    <x v="38"/>
    <n v="448"/>
    <n v="112"/>
    <n v="179.20000000000002"/>
    <x v="3"/>
  </r>
  <r>
    <x v="230"/>
    <x v="8"/>
    <x v="38"/>
    <s v="JUEVES"/>
    <x v="0"/>
    <x v="0"/>
    <n v="1920"/>
    <n v="48"/>
    <n v="768"/>
    <x v="3"/>
  </r>
  <r>
    <x v="230"/>
    <x v="8"/>
    <x v="38"/>
    <s v="JUEVES"/>
    <x v="34"/>
    <x v="34"/>
    <n v="432"/>
    <n v="198"/>
    <n v="73.440000000000012"/>
    <x v="3"/>
  </r>
  <r>
    <x v="230"/>
    <x v="8"/>
    <x v="38"/>
    <s v="JUEVES"/>
    <x v="3"/>
    <x v="3"/>
    <n v="1782"/>
    <n v="198"/>
    <n v="302.94"/>
    <x v="3"/>
  </r>
  <r>
    <x v="230"/>
    <x v="8"/>
    <x v="38"/>
    <s v="JUEVES"/>
    <x v="6"/>
    <x v="6"/>
    <n v="4800"/>
    <n v="120"/>
    <n v="816.00000000000011"/>
    <x v="3"/>
  </r>
  <r>
    <x v="230"/>
    <x v="8"/>
    <x v="38"/>
    <s v="JUEVES"/>
    <x v="17"/>
    <x v="17"/>
    <n v="2400"/>
    <n v="120"/>
    <n v="408.00000000000006"/>
    <x v="3"/>
  </r>
  <r>
    <x v="230"/>
    <x v="8"/>
    <x v="38"/>
    <s v="JUEVES"/>
    <x v="7"/>
    <x v="7"/>
    <n v="1080"/>
    <n v="198"/>
    <n v="183.60000000000002"/>
    <x v="3"/>
  </r>
  <r>
    <x v="230"/>
    <x v="8"/>
    <x v="38"/>
    <s v="JUEVES"/>
    <x v="9"/>
    <x v="9"/>
    <n v="900"/>
    <n v="90"/>
    <n v="153"/>
    <x v="3"/>
  </r>
  <r>
    <x v="230"/>
    <x v="8"/>
    <x v="38"/>
    <s v="JUEVES"/>
    <x v="10"/>
    <x v="10"/>
    <n v="9120"/>
    <n v="120"/>
    <n v="1550.4"/>
    <x v="3"/>
  </r>
  <r>
    <x v="230"/>
    <x v="8"/>
    <x v="38"/>
    <s v="JUEVES"/>
    <x v="26"/>
    <x v="26"/>
    <n v="900"/>
    <n v="90"/>
    <n v="153"/>
    <x v="3"/>
  </r>
  <r>
    <x v="230"/>
    <x v="8"/>
    <x v="38"/>
    <s v="JUEVES"/>
    <x v="23"/>
    <x v="23"/>
    <n v="2160"/>
    <n v="90"/>
    <n v="367.20000000000005"/>
    <x v="3"/>
  </r>
  <r>
    <x v="230"/>
    <x v="8"/>
    <x v="38"/>
    <s v="JUEVES"/>
    <x v="11"/>
    <x v="11"/>
    <n v="3600"/>
    <n v="90"/>
    <n v="612"/>
    <x v="3"/>
  </r>
  <r>
    <x v="229"/>
    <x v="8"/>
    <x v="38"/>
    <s v="MIÉRCOLES"/>
    <x v="1"/>
    <x v="1"/>
    <n v="3240"/>
    <n v="198"/>
    <n v="550.80000000000007"/>
    <x v="3"/>
  </r>
  <r>
    <x v="229"/>
    <x v="8"/>
    <x v="38"/>
    <s v="MIÉRCOLES"/>
    <x v="2"/>
    <x v="2"/>
    <n v="1296"/>
    <n v="198"/>
    <n v="220.32000000000002"/>
    <x v="3"/>
  </r>
  <r>
    <x v="230"/>
    <x v="8"/>
    <x v="38"/>
    <s v="JUEVES"/>
    <x v="24"/>
    <x v="24"/>
    <n v="2100"/>
    <n v="420"/>
    <n v="882"/>
    <x v="3"/>
  </r>
  <r>
    <x v="230"/>
    <x v="8"/>
    <x v="38"/>
    <s v="JUEVES"/>
    <x v="42"/>
    <x v="42"/>
    <n v="750"/>
    <n v="420"/>
    <n v="315"/>
    <x v="3"/>
  </r>
  <r>
    <x v="231"/>
    <x v="8"/>
    <x v="38"/>
    <s v="VIERNES"/>
    <x v="25"/>
    <x v="25"/>
    <n v="675"/>
    <n v="225"/>
    <n v="283.5"/>
    <x v="3"/>
  </r>
  <r>
    <x v="231"/>
    <x v="8"/>
    <x v="38"/>
    <s v="VIERNES"/>
    <x v="26"/>
    <x v="26"/>
    <n v="720"/>
    <n v="90"/>
    <n v="122.4"/>
    <x v="3"/>
  </r>
  <r>
    <x v="231"/>
    <x v="8"/>
    <x v="38"/>
    <s v="VIERNES"/>
    <x v="23"/>
    <x v="23"/>
    <n v="2160"/>
    <n v="90"/>
    <n v="367.20000000000005"/>
    <x v="3"/>
  </r>
  <r>
    <x v="231"/>
    <x v="8"/>
    <x v="38"/>
    <s v="VIERNES"/>
    <x v="20"/>
    <x v="20"/>
    <n v="450"/>
    <n v="90"/>
    <n v="76.5"/>
    <x v="3"/>
  </r>
  <r>
    <x v="231"/>
    <x v="8"/>
    <x v="38"/>
    <s v="VIERNES"/>
    <x v="25"/>
    <x v="25"/>
    <n v="1350"/>
    <n v="225"/>
    <n v="567"/>
    <x v="3"/>
  </r>
  <r>
    <x v="231"/>
    <x v="8"/>
    <x v="38"/>
    <s v="VIERNES"/>
    <x v="12"/>
    <x v="12"/>
    <n v="450"/>
    <n v="225"/>
    <n v="180"/>
    <x v="3"/>
  </r>
  <r>
    <x v="231"/>
    <x v="8"/>
    <x v="38"/>
    <s v="VIERNES"/>
    <x v="43"/>
    <x v="43"/>
    <n v="1000"/>
    <n v="420"/>
    <n v="420"/>
    <x v="3"/>
  </r>
  <r>
    <x v="231"/>
    <x v="8"/>
    <x v="38"/>
    <s v="VIERNES"/>
    <x v="64"/>
    <x v="48"/>
    <n v="600"/>
    <n v="30"/>
    <n v="126"/>
    <x v="3"/>
  </r>
  <r>
    <x v="231"/>
    <x v="8"/>
    <x v="38"/>
    <s v="VIERNES"/>
    <x v="28"/>
    <x v="28"/>
    <n v="300"/>
    <n v="30"/>
    <n v="69"/>
    <x v="3"/>
  </r>
  <r>
    <x v="231"/>
    <x v="8"/>
    <x v="38"/>
    <s v="VIERNES"/>
    <x v="33"/>
    <x v="33"/>
    <n v="80"/>
    <n v="40"/>
    <n v="18.400000000000002"/>
    <x v="3"/>
  </r>
  <r>
    <x v="231"/>
    <x v="8"/>
    <x v="38"/>
    <s v="VIERNES"/>
    <x v="15"/>
    <x v="15"/>
    <n v="250"/>
    <n v="50"/>
    <n v="100"/>
    <x v="3"/>
  </r>
  <r>
    <x v="231"/>
    <x v="8"/>
    <x v="38"/>
    <s v="VIERNES"/>
    <x v="36"/>
    <x v="36"/>
    <n v="900"/>
    <n v="90"/>
    <n v="360"/>
    <x v="3"/>
  </r>
  <r>
    <x v="231"/>
    <x v="8"/>
    <x v="38"/>
    <s v="VIERNES"/>
    <x v="40"/>
    <x v="40"/>
    <n v="112"/>
    <n v="240"/>
    <n v="44.800000000000004"/>
    <x v="3"/>
  </r>
  <r>
    <x v="231"/>
    <x v="8"/>
    <x v="38"/>
    <s v="VIERNES"/>
    <x v="24"/>
    <x v="24"/>
    <n v="4200"/>
    <n v="420"/>
    <n v="1764"/>
    <x v="3"/>
  </r>
  <r>
    <x v="231"/>
    <x v="8"/>
    <x v="38"/>
    <s v="VIERNES"/>
    <x v="39"/>
    <x v="39"/>
    <n v="2100"/>
    <n v="420"/>
    <n v="882"/>
    <x v="3"/>
  </r>
  <r>
    <x v="231"/>
    <x v="8"/>
    <x v="38"/>
    <s v="VIERNES"/>
    <x v="16"/>
    <x v="16"/>
    <n v="900"/>
    <n v="180"/>
    <n v="378"/>
    <x v="3"/>
  </r>
  <r>
    <x v="231"/>
    <x v="8"/>
    <x v="38"/>
    <s v="VIERNES"/>
    <x v="1"/>
    <x v="1"/>
    <n v="2160"/>
    <n v="198"/>
    <n v="367.20000000000005"/>
    <x v="3"/>
  </r>
  <r>
    <x v="231"/>
    <x v="8"/>
    <x v="38"/>
    <s v="VIERNES"/>
    <x v="2"/>
    <x v="2"/>
    <n v="3240"/>
    <n v="198"/>
    <n v="550.80000000000007"/>
    <x v="3"/>
  </r>
  <r>
    <x v="231"/>
    <x v="8"/>
    <x v="38"/>
    <s v="VIERNES"/>
    <x v="5"/>
    <x v="5"/>
    <n v="324"/>
    <n v="162"/>
    <n v="55.080000000000005"/>
    <x v="3"/>
  </r>
  <r>
    <x v="231"/>
    <x v="8"/>
    <x v="38"/>
    <s v="VIERNES"/>
    <x v="7"/>
    <x v="7"/>
    <n v="3240"/>
    <n v="198"/>
    <n v="550.80000000000007"/>
    <x v="3"/>
  </r>
  <r>
    <x v="231"/>
    <x v="8"/>
    <x v="38"/>
    <s v="VIERNES"/>
    <x v="8"/>
    <x v="8"/>
    <n v="1728"/>
    <n v="198"/>
    <n v="293.76000000000005"/>
    <x v="3"/>
  </r>
  <r>
    <x v="231"/>
    <x v="8"/>
    <x v="38"/>
    <s v="VIERNES"/>
    <x v="9"/>
    <x v="9"/>
    <n v="1440"/>
    <n v="90"/>
    <n v="244.8"/>
    <x v="3"/>
  </r>
  <r>
    <x v="231"/>
    <x v="8"/>
    <x v="38"/>
    <s v="VIERNES"/>
    <x v="10"/>
    <x v="10"/>
    <n v="3600"/>
    <n v="120"/>
    <n v="612"/>
    <x v="3"/>
  </r>
  <r>
    <x v="232"/>
    <x v="8"/>
    <x v="39"/>
    <s v="SÁBADO"/>
    <x v="42"/>
    <x v="42"/>
    <n v="500"/>
    <n v="420"/>
    <n v="210"/>
    <x v="3"/>
  </r>
  <r>
    <x v="232"/>
    <x v="8"/>
    <x v="39"/>
    <s v="SÁBADO"/>
    <x v="28"/>
    <x v="28"/>
    <n v="150"/>
    <n v="30"/>
    <n v="34.5"/>
    <x v="3"/>
  </r>
  <r>
    <x v="232"/>
    <x v="8"/>
    <x v="39"/>
    <s v="SÁBADO"/>
    <x v="13"/>
    <x v="13"/>
    <n v="300"/>
    <n v="30"/>
    <n v="120"/>
    <x v="3"/>
  </r>
  <r>
    <x v="232"/>
    <x v="8"/>
    <x v="39"/>
    <s v="SÁBADO"/>
    <x v="24"/>
    <x v="24"/>
    <n v="4200"/>
    <n v="420"/>
    <n v="1764"/>
    <x v="3"/>
  </r>
  <r>
    <x v="232"/>
    <x v="8"/>
    <x v="39"/>
    <s v="SÁBADO"/>
    <x v="22"/>
    <x v="22"/>
    <n v="396"/>
    <n v="198"/>
    <n v="67.320000000000007"/>
    <x v="3"/>
  </r>
  <r>
    <x v="232"/>
    <x v="8"/>
    <x v="39"/>
    <s v="SÁBADO"/>
    <x v="3"/>
    <x v="3"/>
    <n v="1188"/>
    <n v="198"/>
    <n v="201.96"/>
    <x v="3"/>
  </r>
  <r>
    <x v="232"/>
    <x v="8"/>
    <x v="39"/>
    <s v="SÁBADO"/>
    <x v="4"/>
    <x v="4"/>
    <n v="972"/>
    <n v="162"/>
    <n v="165.24"/>
    <x v="3"/>
  </r>
  <r>
    <x v="232"/>
    <x v="8"/>
    <x v="39"/>
    <s v="SÁBADO"/>
    <x v="5"/>
    <x v="5"/>
    <n v="324"/>
    <n v="162"/>
    <n v="55.080000000000005"/>
    <x v="3"/>
  </r>
  <r>
    <x v="232"/>
    <x v="8"/>
    <x v="39"/>
    <s v="SÁBADO"/>
    <x v="6"/>
    <x v="6"/>
    <n v="2400"/>
    <n v="120"/>
    <n v="408.00000000000006"/>
    <x v="3"/>
  </r>
  <r>
    <x v="232"/>
    <x v="8"/>
    <x v="39"/>
    <s v="SÁBADO"/>
    <x v="8"/>
    <x v="8"/>
    <n v="2160"/>
    <n v="198"/>
    <n v="367.20000000000005"/>
    <x v="3"/>
  </r>
  <r>
    <x v="232"/>
    <x v="8"/>
    <x v="39"/>
    <s v="SÁBADO"/>
    <x v="10"/>
    <x v="10"/>
    <n v="12000"/>
    <n v="120"/>
    <n v="2040.0000000000002"/>
    <x v="3"/>
  </r>
  <r>
    <x v="232"/>
    <x v="8"/>
    <x v="39"/>
    <s v="SÁBADO"/>
    <x v="23"/>
    <x v="23"/>
    <n v="2160"/>
    <n v="90"/>
    <n v="367.20000000000005"/>
    <x v="3"/>
  </r>
  <r>
    <x v="232"/>
    <x v="8"/>
    <x v="39"/>
    <s v="SÁBADO"/>
    <x v="11"/>
    <x v="11"/>
    <n v="900"/>
    <n v="90"/>
    <n v="153"/>
    <x v="3"/>
  </r>
  <r>
    <x v="232"/>
    <x v="8"/>
    <x v="39"/>
    <s v="SÁBADO"/>
    <x v="25"/>
    <x v="25"/>
    <n v="450"/>
    <n v="225"/>
    <n v="189"/>
    <x v="3"/>
  </r>
  <r>
    <x v="232"/>
    <x v="8"/>
    <x v="39"/>
    <s v="SÁBADO"/>
    <x v="19"/>
    <x v="19"/>
    <n v="450"/>
    <n v="225"/>
    <n v="180"/>
    <x v="3"/>
  </r>
  <r>
    <x v="232"/>
    <x v="8"/>
    <x v="39"/>
    <s v="SÁBADO"/>
    <x v="37"/>
    <x v="37"/>
    <n v="1500"/>
    <n v="225"/>
    <n v="630"/>
    <x v="3"/>
  </r>
  <r>
    <x v="233"/>
    <x v="8"/>
    <x v="39"/>
    <s v="LUNES"/>
    <x v="28"/>
    <x v="28"/>
    <n v="210"/>
    <n v="30"/>
    <n v="48.300000000000004"/>
    <x v="3"/>
  </r>
  <r>
    <x v="233"/>
    <x v="8"/>
    <x v="39"/>
    <s v="LUNES"/>
    <x v="13"/>
    <x v="13"/>
    <n v="150"/>
    <n v="30"/>
    <n v="60"/>
    <x v="3"/>
  </r>
  <r>
    <x v="233"/>
    <x v="8"/>
    <x v="39"/>
    <s v="LUNES"/>
    <x v="33"/>
    <x v="33"/>
    <n v="120"/>
    <n v="40"/>
    <n v="27.6"/>
    <x v="3"/>
  </r>
  <r>
    <x v="233"/>
    <x v="8"/>
    <x v="39"/>
    <s v="LUNES"/>
    <x v="40"/>
    <x v="40"/>
    <n v="224"/>
    <n v="240"/>
    <n v="89.600000000000009"/>
    <x v="3"/>
  </r>
  <r>
    <x v="233"/>
    <x v="8"/>
    <x v="39"/>
    <s v="LUNES"/>
    <x v="38"/>
    <x v="38"/>
    <n v="224"/>
    <n v="112"/>
    <n v="89.600000000000009"/>
    <x v="3"/>
  </r>
  <r>
    <x v="233"/>
    <x v="8"/>
    <x v="39"/>
    <s v="LUNES"/>
    <x v="39"/>
    <x v="39"/>
    <n v="2100"/>
    <n v="420"/>
    <n v="882"/>
    <x v="3"/>
  </r>
  <r>
    <x v="233"/>
    <x v="8"/>
    <x v="39"/>
    <s v="LUNES"/>
    <x v="16"/>
    <x v="16"/>
    <n v="1440"/>
    <n v="180"/>
    <n v="604.79999999999995"/>
    <x v="3"/>
  </r>
  <r>
    <x v="233"/>
    <x v="8"/>
    <x v="39"/>
    <s v="LUNES"/>
    <x v="1"/>
    <x v="1"/>
    <n v="4320"/>
    <n v="198"/>
    <n v="734.40000000000009"/>
    <x v="3"/>
  </r>
  <r>
    <x v="233"/>
    <x v="8"/>
    <x v="39"/>
    <s v="LUNES"/>
    <x v="2"/>
    <x v="2"/>
    <n v="5400"/>
    <n v="198"/>
    <n v="918.00000000000011"/>
    <x v="3"/>
  </r>
  <r>
    <x v="233"/>
    <x v="8"/>
    <x v="39"/>
    <s v="LUNES"/>
    <x v="22"/>
    <x v="22"/>
    <n v="1980"/>
    <n v="198"/>
    <n v="336.6"/>
    <x v="3"/>
  </r>
  <r>
    <x v="233"/>
    <x v="8"/>
    <x v="39"/>
    <s v="LUNES"/>
    <x v="3"/>
    <x v="3"/>
    <n v="1980"/>
    <n v="198"/>
    <n v="336.6"/>
    <x v="3"/>
  </r>
  <r>
    <x v="233"/>
    <x v="8"/>
    <x v="39"/>
    <s v="LUNES"/>
    <x v="6"/>
    <x v="6"/>
    <n v="3600"/>
    <n v="120"/>
    <n v="612"/>
    <x v="3"/>
  </r>
  <r>
    <x v="233"/>
    <x v="8"/>
    <x v="39"/>
    <s v="LUNES"/>
    <x v="7"/>
    <x v="7"/>
    <n v="3240"/>
    <n v="198"/>
    <n v="550.80000000000007"/>
    <x v="3"/>
  </r>
  <r>
    <x v="233"/>
    <x v="8"/>
    <x v="39"/>
    <s v="LUNES"/>
    <x v="9"/>
    <x v="9"/>
    <n v="900"/>
    <n v="90"/>
    <n v="153"/>
    <x v="3"/>
  </r>
  <r>
    <x v="233"/>
    <x v="8"/>
    <x v="39"/>
    <s v="LUNES"/>
    <x v="10"/>
    <x v="10"/>
    <n v="12000"/>
    <n v="120"/>
    <n v="2040.0000000000002"/>
    <x v="3"/>
  </r>
  <r>
    <x v="233"/>
    <x v="8"/>
    <x v="39"/>
    <s v="LUNES"/>
    <x v="26"/>
    <x v="26"/>
    <n v="900"/>
    <n v="90"/>
    <n v="153"/>
    <x v="3"/>
  </r>
  <r>
    <x v="233"/>
    <x v="8"/>
    <x v="39"/>
    <s v="LUNES"/>
    <x v="11"/>
    <x v="11"/>
    <n v="1800"/>
    <n v="90"/>
    <n v="306"/>
    <x v="3"/>
  </r>
  <r>
    <x v="233"/>
    <x v="8"/>
    <x v="39"/>
    <s v="LUNES"/>
    <x v="20"/>
    <x v="20"/>
    <n v="720"/>
    <n v="90"/>
    <n v="122.4"/>
    <x v="3"/>
  </r>
  <r>
    <x v="233"/>
    <x v="8"/>
    <x v="39"/>
    <s v="LUNES"/>
    <x v="25"/>
    <x v="25"/>
    <n v="1350"/>
    <n v="225"/>
    <n v="567"/>
    <x v="3"/>
  </r>
  <r>
    <x v="233"/>
    <x v="8"/>
    <x v="39"/>
    <s v="LUNES"/>
    <x v="12"/>
    <x v="12"/>
    <n v="1125"/>
    <n v="225"/>
    <n v="450"/>
    <x v="3"/>
  </r>
  <r>
    <x v="233"/>
    <x v="8"/>
    <x v="39"/>
    <s v="LUNES"/>
    <x v="43"/>
    <x v="43"/>
    <n v="500"/>
    <n v="420"/>
    <n v="210"/>
    <x v="3"/>
  </r>
  <r>
    <x v="233"/>
    <x v="8"/>
    <x v="39"/>
    <s v="LUNES"/>
    <x v="64"/>
    <x v="48"/>
    <n v="330"/>
    <n v="30"/>
    <n v="69.3"/>
    <x v="3"/>
  </r>
  <r>
    <x v="234"/>
    <x v="8"/>
    <x v="39"/>
    <s v="MARTES"/>
    <x v="22"/>
    <x v="22"/>
    <n v="990"/>
    <n v="198"/>
    <n v="168.3"/>
    <x v="3"/>
  </r>
  <r>
    <x v="234"/>
    <x v="8"/>
    <x v="39"/>
    <s v="MARTES"/>
    <x v="3"/>
    <x v="3"/>
    <n v="990"/>
    <n v="198"/>
    <n v="168.3"/>
    <x v="3"/>
  </r>
  <r>
    <x v="234"/>
    <x v="8"/>
    <x v="39"/>
    <s v="MARTES"/>
    <x v="7"/>
    <x v="7"/>
    <n v="3456"/>
    <n v="198"/>
    <n v="587.5200000000001"/>
    <x v="3"/>
  </r>
  <r>
    <x v="234"/>
    <x v="8"/>
    <x v="39"/>
    <s v="MARTES"/>
    <x v="23"/>
    <x v="23"/>
    <n v="900"/>
    <n v="90"/>
    <n v="153"/>
    <x v="3"/>
  </r>
  <r>
    <x v="234"/>
    <x v="8"/>
    <x v="39"/>
    <s v="MARTES"/>
    <x v="25"/>
    <x v="25"/>
    <n v="4050"/>
    <n v="225"/>
    <n v="1701"/>
    <x v="3"/>
  </r>
  <r>
    <x v="234"/>
    <x v="8"/>
    <x v="39"/>
    <s v="MARTES"/>
    <x v="15"/>
    <x v="15"/>
    <n v="250"/>
    <n v="50"/>
    <n v="100"/>
    <x v="3"/>
  </r>
  <r>
    <x v="234"/>
    <x v="8"/>
    <x v="39"/>
    <s v="MARTES"/>
    <x v="36"/>
    <x v="36"/>
    <n v="900"/>
    <n v="90"/>
    <n v="360"/>
    <x v="3"/>
  </r>
  <r>
    <x v="234"/>
    <x v="8"/>
    <x v="39"/>
    <s v="MARTES"/>
    <x v="0"/>
    <x v="0"/>
    <n v="1440"/>
    <n v="48"/>
    <n v="576"/>
    <x v="3"/>
  </r>
  <r>
    <x v="234"/>
    <x v="8"/>
    <x v="39"/>
    <s v="MARTES"/>
    <x v="1"/>
    <x v="1"/>
    <n v="1728"/>
    <n v="198"/>
    <n v="293.76000000000005"/>
    <x v="3"/>
  </r>
  <r>
    <x v="234"/>
    <x v="8"/>
    <x v="39"/>
    <s v="MARTES"/>
    <x v="4"/>
    <x v="4"/>
    <n v="648"/>
    <n v="162"/>
    <n v="110.16000000000001"/>
    <x v="3"/>
  </r>
  <r>
    <x v="234"/>
    <x v="8"/>
    <x v="39"/>
    <s v="MARTES"/>
    <x v="6"/>
    <x v="6"/>
    <n v="10800"/>
    <n v="120"/>
    <n v="1836.0000000000002"/>
    <x v="3"/>
  </r>
  <r>
    <x v="234"/>
    <x v="8"/>
    <x v="39"/>
    <s v="MARTES"/>
    <x v="17"/>
    <x v="17"/>
    <n v="4800"/>
    <n v="120"/>
    <n v="816.00000000000011"/>
    <x v="3"/>
  </r>
  <r>
    <x v="234"/>
    <x v="8"/>
    <x v="39"/>
    <s v="MARTES"/>
    <x v="10"/>
    <x v="10"/>
    <n v="9600"/>
    <n v="120"/>
    <n v="1632.0000000000002"/>
    <x v="3"/>
  </r>
  <r>
    <x v="234"/>
    <x v="8"/>
    <x v="39"/>
    <s v="MARTES"/>
    <x v="23"/>
    <x v="23"/>
    <n v="2160"/>
    <n v="90"/>
    <n v="367.20000000000005"/>
    <x v="3"/>
  </r>
  <r>
    <x v="234"/>
    <x v="8"/>
    <x v="39"/>
    <s v="MARTES"/>
    <x v="11"/>
    <x v="11"/>
    <n v="2880"/>
    <n v="90"/>
    <n v="489.6"/>
    <x v="3"/>
  </r>
  <r>
    <x v="234"/>
    <x v="8"/>
    <x v="39"/>
    <s v="MARTES"/>
    <x v="20"/>
    <x v="20"/>
    <n v="180"/>
    <n v="90"/>
    <n v="30.6"/>
    <x v="3"/>
  </r>
  <r>
    <x v="234"/>
    <x v="8"/>
    <x v="39"/>
    <s v="MARTES"/>
    <x v="12"/>
    <x v="12"/>
    <n v="450"/>
    <n v="225"/>
    <n v="180"/>
    <x v="3"/>
  </r>
  <r>
    <x v="234"/>
    <x v="8"/>
    <x v="39"/>
    <s v="MARTES"/>
    <x v="19"/>
    <x v="19"/>
    <n v="225"/>
    <n v="225"/>
    <n v="90"/>
    <x v="3"/>
  </r>
  <r>
    <x v="234"/>
    <x v="8"/>
    <x v="39"/>
    <s v="MARTES"/>
    <x v="43"/>
    <x v="43"/>
    <n v="250"/>
    <n v="420"/>
    <n v="105"/>
    <x v="3"/>
  </r>
  <r>
    <x v="235"/>
    <x v="8"/>
    <x v="39"/>
    <s v="MIÉRCOLES"/>
    <x v="43"/>
    <x v="43"/>
    <n v="750"/>
    <n v="420"/>
    <n v="315"/>
    <x v="3"/>
  </r>
  <r>
    <x v="235"/>
    <x v="8"/>
    <x v="39"/>
    <s v="MIÉRCOLES"/>
    <x v="33"/>
    <x v="33"/>
    <n v="160"/>
    <n v="40"/>
    <n v="36.800000000000004"/>
    <x v="3"/>
  </r>
  <r>
    <x v="235"/>
    <x v="8"/>
    <x v="39"/>
    <s v="MIÉRCOLES"/>
    <x v="13"/>
    <x v="13"/>
    <n v="300"/>
    <n v="30"/>
    <n v="120"/>
    <x v="3"/>
  </r>
  <r>
    <x v="235"/>
    <x v="8"/>
    <x v="39"/>
    <s v="MIÉRCOLES"/>
    <x v="14"/>
    <x v="14"/>
    <n v="120"/>
    <n v="40"/>
    <n v="27.6"/>
    <x v="3"/>
  </r>
  <r>
    <x v="235"/>
    <x v="8"/>
    <x v="39"/>
    <s v="MIÉRCOLES"/>
    <x v="40"/>
    <x v="40"/>
    <n v="224"/>
    <n v="240"/>
    <n v="89.600000000000009"/>
    <x v="3"/>
  </r>
  <r>
    <x v="235"/>
    <x v="8"/>
    <x v="39"/>
    <s v="MIÉRCOLES"/>
    <x v="24"/>
    <x v="24"/>
    <n v="2940"/>
    <n v="420"/>
    <n v="1234.8"/>
    <x v="3"/>
  </r>
  <r>
    <x v="235"/>
    <x v="8"/>
    <x v="39"/>
    <s v="MIÉRCOLES"/>
    <x v="16"/>
    <x v="16"/>
    <n v="900"/>
    <n v="180"/>
    <n v="378"/>
    <x v="3"/>
  </r>
  <r>
    <x v="235"/>
    <x v="8"/>
    <x v="39"/>
    <s v="MIÉRCOLES"/>
    <x v="2"/>
    <x v="2"/>
    <n v="2160"/>
    <n v="198"/>
    <n v="367.20000000000005"/>
    <x v="3"/>
  </r>
  <r>
    <x v="235"/>
    <x v="8"/>
    <x v="39"/>
    <s v="MIÉRCOLES"/>
    <x v="5"/>
    <x v="5"/>
    <n v="324"/>
    <n v="162"/>
    <n v="55.080000000000005"/>
    <x v="3"/>
  </r>
  <r>
    <x v="235"/>
    <x v="8"/>
    <x v="39"/>
    <s v="MIÉRCOLES"/>
    <x v="17"/>
    <x v="17"/>
    <n v="1800"/>
    <n v="120"/>
    <n v="306"/>
    <x v="3"/>
  </r>
  <r>
    <x v="235"/>
    <x v="8"/>
    <x v="39"/>
    <s v="MIÉRCOLES"/>
    <x v="8"/>
    <x v="8"/>
    <n v="2160"/>
    <n v="198"/>
    <n v="367.20000000000005"/>
    <x v="3"/>
  </r>
  <r>
    <x v="235"/>
    <x v="8"/>
    <x v="39"/>
    <s v="MIÉRCOLES"/>
    <x v="9"/>
    <x v="9"/>
    <n v="450"/>
    <n v="90"/>
    <n v="76.5"/>
    <x v="3"/>
  </r>
  <r>
    <x v="235"/>
    <x v="8"/>
    <x v="39"/>
    <s v="MIÉRCOLES"/>
    <x v="10"/>
    <x v="10"/>
    <n v="12000"/>
    <n v="120"/>
    <n v="2040.0000000000002"/>
    <x v="3"/>
  </r>
  <r>
    <x v="235"/>
    <x v="8"/>
    <x v="39"/>
    <s v="MIÉRCOLES"/>
    <x v="26"/>
    <x v="26"/>
    <n v="900"/>
    <n v="90"/>
    <n v="153"/>
    <x v="3"/>
  </r>
  <r>
    <x v="235"/>
    <x v="8"/>
    <x v="39"/>
    <s v="MIÉRCOLES"/>
    <x v="11"/>
    <x v="11"/>
    <n v="3600"/>
    <n v="90"/>
    <n v="612"/>
    <x v="3"/>
  </r>
  <r>
    <x v="235"/>
    <x v="8"/>
    <x v="39"/>
    <s v="MIÉRCOLES"/>
    <x v="42"/>
    <x v="42"/>
    <n v="500"/>
    <n v="420"/>
    <n v="210"/>
    <x v="3"/>
  </r>
  <r>
    <x v="236"/>
    <x v="8"/>
    <x v="39"/>
    <s v="JUEVES"/>
    <x v="28"/>
    <x v="28"/>
    <n v="210"/>
    <n v="30"/>
    <n v="48.300000000000004"/>
    <x v="3"/>
  </r>
  <r>
    <x v="236"/>
    <x v="8"/>
    <x v="39"/>
    <s v="JUEVES"/>
    <x v="13"/>
    <x v="13"/>
    <n v="60"/>
    <n v="30"/>
    <n v="24"/>
    <x v="3"/>
  </r>
  <r>
    <x v="236"/>
    <x v="8"/>
    <x v="39"/>
    <s v="JUEVES"/>
    <x v="15"/>
    <x v="15"/>
    <n v="450"/>
    <n v="50"/>
    <n v="180"/>
    <x v="3"/>
  </r>
  <r>
    <x v="236"/>
    <x v="8"/>
    <x v="39"/>
    <s v="JUEVES"/>
    <x v="24"/>
    <x v="24"/>
    <n v="840"/>
    <n v="420"/>
    <n v="352.8"/>
    <x v="3"/>
  </r>
  <r>
    <x v="236"/>
    <x v="8"/>
    <x v="39"/>
    <s v="JUEVES"/>
    <x v="2"/>
    <x v="2"/>
    <n v="1296"/>
    <n v="198"/>
    <n v="220.32000000000002"/>
    <x v="3"/>
  </r>
  <r>
    <x v="236"/>
    <x v="8"/>
    <x v="39"/>
    <s v="JUEVES"/>
    <x v="6"/>
    <x v="6"/>
    <n v="3600"/>
    <n v="120"/>
    <n v="612"/>
    <x v="3"/>
  </r>
  <r>
    <x v="236"/>
    <x v="8"/>
    <x v="39"/>
    <s v="JUEVES"/>
    <x v="17"/>
    <x v="17"/>
    <n v="2400"/>
    <n v="120"/>
    <n v="408.00000000000006"/>
    <x v="3"/>
  </r>
  <r>
    <x v="236"/>
    <x v="8"/>
    <x v="39"/>
    <s v="JUEVES"/>
    <x v="9"/>
    <x v="9"/>
    <n v="720"/>
    <n v="90"/>
    <n v="122.4"/>
    <x v="3"/>
  </r>
  <r>
    <x v="236"/>
    <x v="8"/>
    <x v="39"/>
    <s v="JUEVES"/>
    <x v="10"/>
    <x v="10"/>
    <n v="12000"/>
    <n v="120"/>
    <n v="2040.0000000000002"/>
    <x v="3"/>
  </r>
  <r>
    <x v="236"/>
    <x v="8"/>
    <x v="39"/>
    <s v="JUEVES"/>
    <x v="79"/>
    <x v="63"/>
    <n v="1925"/>
    <n v="175"/>
    <n v="1694"/>
    <x v="3"/>
  </r>
  <r>
    <x v="236"/>
    <x v="8"/>
    <x v="39"/>
    <s v="JUEVES"/>
    <x v="25"/>
    <x v="25"/>
    <n v="1350"/>
    <n v="225"/>
    <n v="567"/>
    <x v="3"/>
  </r>
  <r>
    <x v="235"/>
    <x v="8"/>
    <x v="39"/>
    <s v="MIÉRCOLES"/>
    <x v="0"/>
    <x v="0"/>
    <n v="1440"/>
    <n v="48"/>
    <n v="576"/>
    <x v="3"/>
  </r>
  <r>
    <x v="235"/>
    <x v="8"/>
    <x v="39"/>
    <s v="MIÉRCOLES"/>
    <x v="24"/>
    <x v="24"/>
    <n v="1260"/>
    <n v="420"/>
    <n v="529.19999999999993"/>
    <x v="3"/>
  </r>
  <r>
    <x v="235"/>
    <x v="8"/>
    <x v="39"/>
    <s v="MIÉRCOLES"/>
    <x v="32"/>
    <x v="32"/>
    <n v="840"/>
    <n v="420"/>
    <n v="352.8"/>
    <x v="3"/>
  </r>
  <r>
    <x v="235"/>
    <x v="8"/>
    <x v="39"/>
    <s v="MIÉRCOLES"/>
    <x v="2"/>
    <x v="2"/>
    <n v="864"/>
    <n v="198"/>
    <n v="146.88000000000002"/>
    <x v="3"/>
  </r>
  <r>
    <x v="235"/>
    <x v="8"/>
    <x v="39"/>
    <s v="MIÉRCOLES"/>
    <x v="6"/>
    <x v="6"/>
    <n v="2400"/>
    <n v="120"/>
    <n v="408.00000000000006"/>
    <x v="3"/>
  </r>
  <r>
    <x v="235"/>
    <x v="8"/>
    <x v="39"/>
    <s v="MIÉRCOLES"/>
    <x v="26"/>
    <x v="26"/>
    <n v="450"/>
    <n v="90"/>
    <n v="76.5"/>
    <x v="3"/>
  </r>
  <r>
    <x v="235"/>
    <x v="8"/>
    <x v="39"/>
    <s v="MIÉRCOLES"/>
    <x v="20"/>
    <x v="20"/>
    <n v="450"/>
    <n v="90"/>
    <n v="76.5"/>
    <x v="3"/>
  </r>
  <r>
    <x v="235"/>
    <x v="8"/>
    <x v="39"/>
    <s v="MIÉRCOLES"/>
    <x v="25"/>
    <x v="25"/>
    <n v="675"/>
    <n v="225"/>
    <n v="283.5"/>
    <x v="3"/>
  </r>
  <r>
    <x v="235"/>
    <x v="8"/>
    <x v="39"/>
    <s v="MIÉRCOLES"/>
    <x v="42"/>
    <x v="42"/>
    <n v="500"/>
    <n v="420"/>
    <n v="210"/>
    <x v="3"/>
  </r>
  <r>
    <x v="235"/>
    <x v="8"/>
    <x v="39"/>
    <s v="MIÉRCOLES"/>
    <x v="43"/>
    <x v="43"/>
    <n v="250"/>
    <n v="420"/>
    <n v="105"/>
    <x v="3"/>
  </r>
  <r>
    <x v="237"/>
    <x v="8"/>
    <x v="39"/>
    <s v="VIERNES"/>
    <x v="13"/>
    <x v="13"/>
    <n v="150"/>
    <n v="30"/>
    <n v="60"/>
    <x v="3"/>
  </r>
  <r>
    <x v="237"/>
    <x v="8"/>
    <x v="39"/>
    <s v="VIERNES"/>
    <x v="14"/>
    <x v="14"/>
    <n v="80"/>
    <n v="40"/>
    <n v="18.400000000000002"/>
    <x v="3"/>
  </r>
  <r>
    <x v="237"/>
    <x v="8"/>
    <x v="39"/>
    <s v="VIERNES"/>
    <x v="15"/>
    <x v="15"/>
    <n v="350"/>
    <n v="50"/>
    <n v="140"/>
    <x v="3"/>
  </r>
  <r>
    <x v="237"/>
    <x v="8"/>
    <x v="39"/>
    <s v="VIERNES"/>
    <x v="22"/>
    <x v="22"/>
    <n v="1386"/>
    <n v="198"/>
    <n v="235.62"/>
    <x v="3"/>
  </r>
  <r>
    <x v="237"/>
    <x v="8"/>
    <x v="39"/>
    <s v="VIERNES"/>
    <x v="3"/>
    <x v="3"/>
    <n v="396"/>
    <n v="198"/>
    <n v="67.320000000000007"/>
    <x v="3"/>
  </r>
  <r>
    <x v="237"/>
    <x v="8"/>
    <x v="39"/>
    <s v="VIERNES"/>
    <x v="7"/>
    <x v="7"/>
    <n v="2376"/>
    <n v="198"/>
    <n v="403.92"/>
    <x v="3"/>
  </r>
  <r>
    <x v="237"/>
    <x v="8"/>
    <x v="39"/>
    <s v="VIERNES"/>
    <x v="8"/>
    <x v="8"/>
    <n v="1944"/>
    <n v="198"/>
    <n v="330.48"/>
    <x v="3"/>
  </r>
  <r>
    <x v="237"/>
    <x v="8"/>
    <x v="39"/>
    <s v="VIERNES"/>
    <x v="9"/>
    <x v="9"/>
    <n v="360"/>
    <n v="90"/>
    <n v="61.2"/>
    <x v="3"/>
  </r>
  <r>
    <x v="237"/>
    <x v="8"/>
    <x v="39"/>
    <s v="VIERNES"/>
    <x v="10"/>
    <x v="10"/>
    <n v="12000"/>
    <n v="120"/>
    <n v="2040.0000000000002"/>
    <x v="3"/>
  </r>
  <r>
    <x v="237"/>
    <x v="8"/>
    <x v="39"/>
    <s v="VIERNES"/>
    <x v="26"/>
    <x v="26"/>
    <n v="450"/>
    <n v="90"/>
    <n v="76.5"/>
    <x v="3"/>
  </r>
  <r>
    <x v="237"/>
    <x v="8"/>
    <x v="39"/>
    <s v="VIERNES"/>
    <x v="11"/>
    <x v="11"/>
    <n v="1800"/>
    <n v="90"/>
    <n v="306"/>
    <x v="3"/>
  </r>
  <r>
    <x v="237"/>
    <x v="8"/>
    <x v="39"/>
    <s v="VIERNES"/>
    <x v="25"/>
    <x v="25"/>
    <n v="2025"/>
    <n v="225"/>
    <n v="850.5"/>
    <x v="3"/>
  </r>
  <r>
    <x v="237"/>
    <x v="8"/>
    <x v="39"/>
    <s v="VIERNES"/>
    <x v="12"/>
    <x v="12"/>
    <n v="225"/>
    <n v="225"/>
    <n v="90"/>
    <x v="3"/>
  </r>
  <r>
    <x v="237"/>
    <x v="8"/>
    <x v="39"/>
    <s v="VIERNES"/>
    <x v="79"/>
    <x v="63"/>
    <n v="1750"/>
    <n v="175"/>
    <n v="1540"/>
    <x v="3"/>
  </r>
  <r>
    <x v="236"/>
    <x v="8"/>
    <x v="39"/>
    <s v="JUEVES"/>
    <x v="16"/>
    <x v="16"/>
    <n v="900"/>
    <n v="180"/>
    <n v="378"/>
    <x v="3"/>
  </r>
  <r>
    <x v="236"/>
    <x v="8"/>
    <x v="39"/>
    <s v="JUEVES"/>
    <x v="3"/>
    <x v="3"/>
    <n v="1386"/>
    <n v="198"/>
    <n v="235.62"/>
    <x v="3"/>
  </r>
  <r>
    <x v="236"/>
    <x v="8"/>
    <x v="39"/>
    <s v="JUEVES"/>
    <x v="4"/>
    <x v="4"/>
    <n v="648"/>
    <n v="162"/>
    <n v="110.16000000000001"/>
    <x v="3"/>
  </r>
  <r>
    <x v="236"/>
    <x v="8"/>
    <x v="39"/>
    <s v="JUEVES"/>
    <x v="5"/>
    <x v="5"/>
    <n v="486"/>
    <n v="162"/>
    <n v="82.62"/>
    <x v="3"/>
  </r>
  <r>
    <x v="236"/>
    <x v="8"/>
    <x v="39"/>
    <s v="JUEVES"/>
    <x v="6"/>
    <x v="6"/>
    <n v="2400"/>
    <n v="120"/>
    <n v="408.00000000000006"/>
    <x v="3"/>
  </r>
  <r>
    <x v="236"/>
    <x v="8"/>
    <x v="39"/>
    <s v="JUEVES"/>
    <x v="7"/>
    <x v="7"/>
    <n v="864"/>
    <n v="198"/>
    <n v="146.88000000000002"/>
    <x v="3"/>
  </r>
  <r>
    <x v="236"/>
    <x v="8"/>
    <x v="39"/>
    <s v="JUEVES"/>
    <x v="9"/>
    <x v="9"/>
    <n v="540"/>
    <n v="90"/>
    <n v="91.800000000000011"/>
    <x v="3"/>
  </r>
  <r>
    <x v="236"/>
    <x v="8"/>
    <x v="39"/>
    <s v="JUEVES"/>
    <x v="7"/>
    <x v="7"/>
    <n v="900"/>
    <n v="198"/>
    <n v="153"/>
    <x v="3"/>
  </r>
  <r>
    <x v="236"/>
    <x v="8"/>
    <x v="39"/>
    <s v="JUEVES"/>
    <x v="25"/>
    <x v="25"/>
    <n v="1575"/>
    <n v="225"/>
    <n v="661.5"/>
    <x v="3"/>
  </r>
  <r>
    <x v="236"/>
    <x v="8"/>
    <x v="39"/>
    <s v="JUEVES"/>
    <x v="12"/>
    <x v="12"/>
    <n v="1350"/>
    <n v="225"/>
    <n v="540"/>
    <x v="3"/>
  </r>
  <r>
    <x v="236"/>
    <x v="8"/>
    <x v="39"/>
    <s v="JUEVES"/>
    <x v="42"/>
    <x v="42"/>
    <n v="500"/>
    <n v="420"/>
    <n v="210"/>
    <x v="3"/>
  </r>
  <r>
    <x v="237"/>
    <x v="8"/>
    <x v="39"/>
    <s v="VIERNES"/>
    <x v="0"/>
    <x v="0"/>
    <n v="960"/>
    <n v="48"/>
    <n v="384"/>
    <x v="3"/>
  </r>
  <r>
    <x v="237"/>
    <x v="8"/>
    <x v="39"/>
    <s v="VIERNES"/>
    <x v="1"/>
    <x v="1"/>
    <n v="3240"/>
    <n v="198"/>
    <n v="550.80000000000007"/>
    <x v="3"/>
  </r>
  <r>
    <x v="237"/>
    <x v="8"/>
    <x v="39"/>
    <s v="VIERNES"/>
    <x v="2"/>
    <x v="2"/>
    <n v="432"/>
    <n v="198"/>
    <n v="73.440000000000012"/>
    <x v="3"/>
  </r>
  <r>
    <x v="237"/>
    <x v="8"/>
    <x v="39"/>
    <s v="VIERNES"/>
    <x v="10"/>
    <x v="10"/>
    <n v="720"/>
    <n v="120"/>
    <n v="122.4"/>
    <x v="3"/>
  </r>
  <r>
    <x v="237"/>
    <x v="8"/>
    <x v="39"/>
    <s v="VIERNES"/>
    <x v="23"/>
    <x v="23"/>
    <n v="2160"/>
    <n v="90"/>
    <n v="367.20000000000005"/>
    <x v="3"/>
  </r>
  <r>
    <x v="238"/>
    <x v="8"/>
    <x v="40"/>
    <s v="SÁBADO"/>
    <x v="13"/>
    <x v="13"/>
    <n v="150"/>
    <n v="30"/>
    <n v="60"/>
    <x v="3"/>
  </r>
  <r>
    <x v="238"/>
    <x v="8"/>
    <x v="40"/>
    <s v="SÁBADO"/>
    <x v="15"/>
    <x v="15"/>
    <n v="200"/>
    <n v="50"/>
    <n v="80"/>
    <x v="3"/>
  </r>
  <r>
    <x v="238"/>
    <x v="8"/>
    <x v="40"/>
    <s v="SÁBADO"/>
    <x v="40"/>
    <x v="40"/>
    <n v="112"/>
    <n v="240"/>
    <n v="44.800000000000004"/>
    <x v="3"/>
  </r>
  <r>
    <x v="238"/>
    <x v="8"/>
    <x v="40"/>
    <s v="SÁBADO"/>
    <x v="38"/>
    <x v="38"/>
    <n v="448"/>
    <n v="112"/>
    <n v="179.20000000000002"/>
    <x v="3"/>
  </r>
  <r>
    <x v="238"/>
    <x v="8"/>
    <x v="40"/>
    <s v="SÁBADO"/>
    <x v="24"/>
    <x v="24"/>
    <n v="2940"/>
    <n v="420"/>
    <n v="1234.8"/>
    <x v="3"/>
  </r>
  <r>
    <x v="238"/>
    <x v="8"/>
    <x v="40"/>
    <s v="SÁBADO"/>
    <x v="2"/>
    <x v="2"/>
    <n v="1728"/>
    <n v="198"/>
    <n v="293.76000000000005"/>
    <x v="3"/>
  </r>
  <r>
    <x v="238"/>
    <x v="8"/>
    <x v="40"/>
    <s v="SÁBADO"/>
    <x v="17"/>
    <x v="17"/>
    <n v="2400"/>
    <n v="120"/>
    <n v="408.00000000000006"/>
    <x v="3"/>
  </r>
  <r>
    <x v="238"/>
    <x v="8"/>
    <x v="40"/>
    <s v="SÁBADO"/>
    <x v="7"/>
    <x v="7"/>
    <n v="1080"/>
    <n v="198"/>
    <n v="183.60000000000002"/>
    <x v="3"/>
  </r>
  <r>
    <x v="238"/>
    <x v="8"/>
    <x v="40"/>
    <s v="SÁBADO"/>
    <x v="9"/>
    <x v="9"/>
    <n v="450"/>
    <n v="90"/>
    <n v="76.5"/>
    <x v="3"/>
  </r>
  <r>
    <x v="238"/>
    <x v="8"/>
    <x v="40"/>
    <s v="SÁBADO"/>
    <x v="10"/>
    <x v="10"/>
    <n v="5040"/>
    <n v="120"/>
    <n v="856.80000000000007"/>
    <x v="3"/>
  </r>
  <r>
    <x v="238"/>
    <x v="8"/>
    <x v="40"/>
    <s v="SÁBADO"/>
    <x v="23"/>
    <x v="23"/>
    <n v="720"/>
    <n v="90"/>
    <n v="122.4"/>
    <x v="3"/>
  </r>
  <r>
    <x v="238"/>
    <x v="8"/>
    <x v="40"/>
    <s v="SÁBADO"/>
    <x v="26"/>
    <x v="26"/>
    <n v="1440"/>
    <n v="90"/>
    <n v="244.8"/>
    <x v="3"/>
  </r>
  <r>
    <x v="238"/>
    <x v="8"/>
    <x v="40"/>
    <s v="SÁBADO"/>
    <x v="20"/>
    <x v="20"/>
    <n v="450"/>
    <n v="90"/>
    <n v="76.5"/>
    <x v="3"/>
  </r>
  <r>
    <x v="238"/>
    <x v="8"/>
    <x v="40"/>
    <s v="SÁBADO"/>
    <x v="25"/>
    <x v="25"/>
    <n v="3600"/>
    <n v="225"/>
    <n v="1512"/>
    <x v="3"/>
  </r>
  <r>
    <x v="238"/>
    <x v="8"/>
    <x v="40"/>
    <s v="SÁBADO"/>
    <x v="19"/>
    <x v="19"/>
    <n v="450"/>
    <n v="225"/>
    <n v="180"/>
    <x v="3"/>
  </r>
  <r>
    <x v="238"/>
    <x v="8"/>
    <x v="40"/>
    <s v="SÁBADO"/>
    <x v="79"/>
    <x v="63"/>
    <n v="1750"/>
    <n v="175"/>
    <n v="1540"/>
    <x v="3"/>
  </r>
  <r>
    <x v="239"/>
    <x v="8"/>
    <x v="40"/>
    <s v="DOMINGO"/>
    <x v="38"/>
    <x v="38"/>
    <n v="448"/>
    <n v="112"/>
    <n v="179.20000000000002"/>
    <x v="3"/>
  </r>
  <r>
    <x v="239"/>
    <x v="8"/>
    <x v="40"/>
    <s v="DOMINGO"/>
    <x v="5"/>
    <x v="5"/>
    <n v="648"/>
    <n v="162"/>
    <n v="110.16000000000001"/>
    <x v="3"/>
  </r>
  <r>
    <x v="239"/>
    <x v="8"/>
    <x v="40"/>
    <s v="DOMINGO"/>
    <x v="6"/>
    <x v="6"/>
    <n v="2400"/>
    <n v="120"/>
    <n v="408.00000000000006"/>
    <x v="3"/>
  </r>
  <r>
    <x v="239"/>
    <x v="8"/>
    <x v="40"/>
    <s v="DOMINGO"/>
    <x v="9"/>
    <x v="9"/>
    <n v="180"/>
    <n v="90"/>
    <n v="30.6"/>
    <x v="3"/>
  </r>
  <r>
    <x v="239"/>
    <x v="8"/>
    <x v="40"/>
    <s v="DOMINGO"/>
    <x v="26"/>
    <x v="26"/>
    <n v="720"/>
    <n v="90"/>
    <n v="122.4"/>
    <x v="3"/>
  </r>
  <r>
    <x v="239"/>
    <x v="8"/>
    <x v="40"/>
    <s v="DOMINGO"/>
    <x v="23"/>
    <x v="23"/>
    <n v="1890"/>
    <n v="90"/>
    <n v="321.3"/>
    <x v="3"/>
  </r>
  <r>
    <x v="239"/>
    <x v="8"/>
    <x v="40"/>
    <s v="DOMINGO"/>
    <x v="20"/>
    <x v="20"/>
    <n v="180"/>
    <n v="90"/>
    <n v="30.6"/>
    <x v="3"/>
  </r>
  <r>
    <x v="239"/>
    <x v="8"/>
    <x v="40"/>
    <s v="DOMINGO"/>
    <x v="19"/>
    <x v="19"/>
    <n v="450"/>
    <n v="225"/>
    <n v="180"/>
    <x v="3"/>
  </r>
  <r>
    <x v="239"/>
    <x v="8"/>
    <x v="40"/>
    <s v="DOMINGO"/>
    <x v="42"/>
    <x v="42"/>
    <n v="500"/>
    <n v="420"/>
    <n v="210"/>
    <x v="3"/>
  </r>
  <r>
    <x v="239"/>
    <x v="8"/>
    <x v="40"/>
    <s v="DOMINGO"/>
    <x v="43"/>
    <x v="43"/>
    <n v="1000"/>
    <n v="420"/>
    <n v="420"/>
    <x v="3"/>
  </r>
  <r>
    <x v="240"/>
    <x v="8"/>
    <x v="40"/>
    <s v="LUNES"/>
    <x v="28"/>
    <x v="28"/>
    <n v="210"/>
    <n v="30"/>
    <n v="48.300000000000004"/>
    <x v="3"/>
  </r>
  <r>
    <x v="240"/>
    <x v="8"/>
    <x v="40"/>
    <s v="LUNES"/>
    <x v="13"/>
    <x v="13"/>
    <n v="210"/>
    <n v="30"/>
    <n v="84"/>
    <x v="3"/>
  </r>
  <r>
    <x v="240"/>
    <x v="8"/>
    <x v="40"/>
    <s v="LUNES"/>
    <x v="40"/>
    <x v="40"/>
    <n v="224"/>
    <n v="240"/>
    <n v="89.600000000000009"/>
    <x v="3"/>
  </r>
  <r>
    <x v="240"/>
    <x v="8"/>
    <x v="40"/>
    <s v="LUNES"/>
    <x v="38"/>
    <x v="38"/>
    <n v="112"/>
    <n v="112"/>
    <n v="44.800000000000004"/>
    <x v="3"/>
  </r>
  <r>
    <x v="240"/>
    <x v="8"/>
    <x v="40"/>
    <s v="LUNES"/>
    <x v="16"/>
    <x v="16"/>
    <n v="900"/>
    <n v="180"/>
    <n v="378"/>
    <x v="3"/>
  </r>
  <r>
    <x v="240"/>
    <x v="8"/>
    <x v="40"/>
    <s v="LUNES"/>
    <x v="1"/>
    <x v="1"/>
    <n v="2160"/>
    <n v="198"/>
    <n v="367.20000000000005"/>
    <x v="3"/>
  </r>
  <r>
    <x v="240"/>
    <x v="8"/>
    <x v="40"/>
    <s v="LUNES"/>
    <x v="4"/>
    <x v="4"/>
    <n v="1296"/>
    <n v="162"/>
    <n v="220.32000000000002"/>
    <x v="3"/>
  </r>
  <r>
    <x v="240"/>
    <x v="8"/>
    <x v="40"/>
    <s v="LUNES"/>
    <x v="6"/>
    <x v="6"/>
    <n v="1200"/>
    <n v="120"/>
    <n v="204.00000000000003"/>
    <x v="3"/>
  </r>
  <r>
    <x v="240"/>
    <x v="8"/>
    <x v="40"/>
    <s v="LUNES"/>
    <x v="17"/>
    <x v="17"/>
    <n v="1800"/>
    <n v="120"/>
    <n v="306"/>
    <x v="3"/>
  </r>
  <r>
    <x v="240"/>
    <x v="8"/>
    <x v="40"/>
    <s v="LUNES"/>
    <x v="7"/>
    <x v="7"/>
    <n v="2160"/>
    <n v="198"/>
    <n v="367.20000000000005"/>
    <x v="3"/>
  </r>
  <r>
    <x v="240"/>
    <x v="8"/>
    <x v="40"/>
    <s v="LUNES"/>
    <x v="8"/>
    <x v="8"/>
    <n v="2160"/>
    <n v="198"/>
    <n v="367.20000000000005"/>
    <x v="3"/>
  </r>
  <r>
    <x v="240"/>
    <x v="8"/>
    <x v="40"/>
    <s v="LUNES"/>
    <x v="9"/>
    <x v="9"/>
    <n v="540"/>
    <n v="90"/>
    <n v="91.800000000000011"/>
    <x v="3"/>
  </r>
  <r>
    <x v="240"/>
    <x v="8"/>
    <x v="40"/>
    <s v="LUNES"/>
    <x v="10"/>
    <x v="10"/>
    <n v="12000"/>
    <n v="120"/>
    <n v="2040.0000000000002"/>
    <x v="3"/>
  </r>
  <r>
    <x v="240"/>
    <x v="8"/>
    <x v="40"/>
    <s v="LUNES"/>
    <x v="11"/>
    <x v="11"/>
    <n v="1440"/>
    <n v="90"/>
    <n v="244.8"/>
    <x v="3"/>
  </r>
  <r>
    <x v="240"/>
    <x v="8"/>
    <x v="40"/>
    <s v="LUNES"/>
    <x v="79"/>
    <x v="63"/>
    <n v="1750"/>
    <n v="175"/>
    <n v="1540"/>
    <x v="3"/>
  </r>
  <r>
    <x v="241"/>
    <x v="9"/>
    <x v="40"/>
    <s v="MARTES"/>
    <x v="2"/>
    <x v="2"/>
    <n v="2160"/>
    <n v="198"/>
    <n v="367.20000000000005"/>
    <x v="3"/>
  </r>
  <r>
    <x v="241"/>
    <x v="9"/>
    <x v="40"/>
    <s v="MARTES"/>
    <x v="34"/>
    <x v="34"/>
    <n v="432"/>
    <n v="198"/>
    <n v="73.440000000000012"/>
    <x v="3"/>
  </r>
  <r>
    <x v="241"/>
    <x v="9"/>
    <x v="40"/>
    <s v="MARTES"/>
    <x v="29"/>
    <x v="29"/>
    <n v="432"/>
    <n v="198"/>
    <n v="73.440000000000012"/>
    <x v="3"/>
  </r>
  <r>
    <x v="241"/>
    <x v="9"/>
    <x v="40"/>
    <s v="MARTES"/>
    <x v="40"/>
    <x v="40"/>
    <n v="224"/>
    <n v="240"/>
    <n v="89.600000000000009"/>
    <x v="3"/>
  </r>
  <r>
    <x v="241"/>
    <x v="9"/>
    <x v="40"/>
    <s v="MARTES"/>
    <x v="38"/>
    <x v="38"/>
    <n v="448"/>
    <n v="112"/>
    <n v="179.20000000000002"/>
    <x v="3"/>
  </r>
  <r>
    <x v="241"/>
    <x v="9"/>
    <x v="40"/>
    <s v="MARTES"/>
    <x v="16"/>
    <x v="16"/>
    <n v="540"/>
    <n v="180"/>
    <n v="226.79999999999998"/>
    <x v="3"/>
  </r>
  <r>
    <x v="241"/>
    <x v="9"/>
    <x v="40"/>
    <s v="MARTES"/>
    <x v="1"/>
    <x v="1"/>
    <n v="2160"/>
    <n v="198"/>
    <n v="367.20000000000005"/>
    <x v="3"/>
  </r>
  <r>
    <x v="241"/>
    <x v="9"/>
    <x v="40"/>
    <s v="MARTES"/>
    <x v="22"/>
    <x v="22"/>
    <n v="792"/>
    <n v="198"/>
    <n v="134.64000000000001"/>
    <x v="3"/>
  </r>
  <r>
    <x v="241"/>
    <x v="9"/>
    <x v="40"/>
    <s v="MARTES"/>
    <x v="3"/>
    <x v="3"/>
    <n v="990"/>
    <n v="198"/>
    <n v="168.3"/>
    <x v="3"/>
  </r>
  <r>
    <x v="241"/>
    <x v="9"/>
    <x v="40"/>
    <s v="MARTES"/>
    <x v="4"/>
    <x v="4"/>
    <n v="324"/>
    <n v="162"/>
    <n v="55.080000000000005"/>
    <x v="3"/>
  </r>
  <r>
    <x v="241"/>
    <x v="9"/>
    <x v="40"/>
    <s v="MARTES"/>
    <x v="17"/>
    <x v="17"/>
    <n v="1440"/>
    <n v="120"/>
    <n v="244.8"/>
    <x v="3"/>
  </r>
  <r>
    <x v="241"/>
    <x v="9"/>
    <x v="40"/>
    <s v="MARTES"/>
    <x v="7"/>
    <x v="7"/>
    <n v="1080"/>
    <n v="198"/>
    <n v="183.60000000000002"/>
    <x v="3"/>
  </r>
  <r>
    <x v="241"/>
    <x v="9"/>
    <x v="40"/>
    <s v="MARTES"/>
    <x v="8"/>
    <x v="8"/>
    <n v="864"/>
    <n v="198"/>
    <n v="146.88000000000002"/>
    <x v="3"/>
  </r>
  <r>
    <x v="241"/>
    <x v="9"/>
    <x v="40"/>
    <s v="MARTES"/>
    <x v="43"/>
    <x v="43"/>
    <n v="250"/>
    <n v="420"/>
    <n v="105"/>
    <x v="3"/>
  </r>
  <r>
    <x v="241"/>
    <x v="9"/>
    <x v="40"/>
    <s v="MARTES"/>
    <x v="68"/>
    <x v="52"/>
    <n v="1000"/>
    <n v="250"/>
    <n v="420"/>
    <x v="3"/>
  </r>
  <r>
    <x v="241"/>
    <x v="9"/>
    <x v="40"/>
    <s v="MARTES"/>
    <x v="77"/>
    <x v="61"/>
    <n v="125"/>
    <n v="125"/>
    <n v="88.75"/>
    <x v="3"/>
  </r>
  <r>
    <x v="241"/>
    <x v="9"/>
    <x v="40"/>
    <s v="MARTES"/>
    <x v="4"/>
    <x v="4"/>
    <n v="324"/>
    <n v="162"/>
    <n v="55.080000000000005"/>
    <x v="3"/>
  </r>
  <r>
    <x v="241"/>
    <x v="9"/>
    <x v="40"/>
    <s v="MARTES"/>
    <x v="8"/>
    <x v="8"/>
    <n v="1296"/>
    <n v="198"/>
    <n v="220.32000000000002"/>
    <x v="3"/>
  </r>
  <r>
    <x v="241"/>
    <x v="9"/>
    <x v="40"/>
    <s v="MARTES"/>
    <x v="9"/>
    <x v="9"/>
    <n v="450"/>
    <n v="90"/>
    <n v="76.5"/>
    <x v="3"/>
  </r>
  <r>
    <x v="241"/>
    <x v="9"/>
    <x v="40"/>
    <s v="MARTES"/>
    <x v="10"/>
    <x v="10"/>
    <n v="3840"/>
    <n v="120"/>
    <n v="652.80000000000007"/>
    <x v="3"/>
  </r>
  <r>
    <x v="241"/>
    <x v="9"/>
    <x v="40"/>
    <s v="MARTES"/>
    <x v="26"/>
    <x v="26"/>
    <n v="720"/>
    <n v="90"/>
    <n v="122.4"/>
    <x v="3"/>
  </r>
  <r>
    <x v="241"/>
    <x v="9"/>
    <x v="40"/>
    <s v="MARTES"/>
    <x v="11"/>
    <x v="11"/>
    <n v="2880"/>
    <n v="90"/>
    <n v="489.6"/>
    <x v="3"/>
  </r>
  <r>
    <x v="241"/>
    <x v="9"/>
    <x v="40"/>
    <s v="MARTES"/>
    <x v="20"/>
    <x v="20"/>
    <n v="450"/>
    <n v="90"/>
    <n v="76.5"/>
    <x v="3"/>
  </r>
  <r>
    <x v="241"/>
    <x v="9"/>
    <x v="40"/>
    <s v="MARTES"/>
    <x v="64"/>
    <x v="48"/>
    <n v="360"/>
    <n v="30"/>
    <n v="75.599999999999994"/>
    <x v="3"/>
  </r>
  <r>
    <x v="241"/>
    <x v="9"/>
    <x v="40"/>
    <s v="MARTES"/>
    <x v="77"/>
    <x v="61"/>
    <n v="625"/>
    <n v="125"/>
    <n v="443.75"/>
    <x v="3"/>
  </r>
  <r>
    <x v="241"/>
    <x v="9"/>
    <x v="40"/>
    <s v="MARTES"/>
    <x v="28"/>
    <x v="28"/>
    <n v="150"/>
    <n v="30"/>
    <n v="34.5"/>
    <x v="3"/>
  </r>
  <r>
    <x v="241"/>
    <x v="9"/>
    <x v="40"/>
    <s v="MARTES"/>
    <x v="6"/>
    <x v="6"/>
    <n v="4800"/>
    <n v="120"/>
    <n v="816.00000000000011"/>
    <x v="3"/>
  </r>
  <r>
    <x v="241"/>
    <x v="9"/>
    <x v="40"/>
    <s v="MARTES"/>
    <x v="17"/>
    <x v="17"/>
    <n v="960"/>
    <n v="120"/>
    <n v="163.20000000000002"/>
    <x v="3"/>
  </r>
  <r>
    <x v="241"/>
    <x v="9"/>
    <x v="40"/>
    <s v="MARTES"/>
    <x v="9"/>
    <x v="9"/>
    <n v="450"/>
    <n v="90"/>
    <n v="76.5"/>
    <x v="3"/>
  </r>
  <r>
    <x v="241"/>
    <x v="9"/>
    <x v="40"/>
    <s v="MARTES"/>
    <x v="10"/>
    <x v="10"/>
    <n v="3360"/>
    <n v="120"/>
    <n v="571.20000000000005"/>
    <x v="3"/>
  </r>
  <r>
    <x v="241"/>
    <x v="9"/>
    <x v="40"/>
    <s v="MARTES"/>
    <x v="64"/>
    <x v="48"/>
    <n v="120"/>
    <n v="30"/>
    <n v="25.2"/>
    <x v="3"/>
  </r>
  <r>
    <x v="241"/>
    <x v="9"/>
    <x v="40"/>
    <s v="MARTES"/>
    <x v="77"/>
    <x v="61"/>
    <n v="500"/>
    <n v="125"/>
    <n v="355"/>
    <x v="3"/>
  </r>
  <r>
    <x v="241"/>
    <x v="9"/>
    <x v="40"/>
    <s v="MARTES"/>
    <x v="77"/>
    <x v="61"/>
    <n v="250"/>
    <n v="125"/>
    <n v="177.5"/>
    <x v="3"/>
  </r>
  <r>
    <x v="241"/>
    <x v="9"/>
    <x v="40"/>
    <s v="MARTES"/>
    <x v="44"/>
    <x v="44"/>
    <n v="1750"/>
    <n v="420"/>
    <n v="735"/>
    <x v="3"/>
  </r>
  <r>
    <x v="241"/>
    <x v="9"/>
    <x v="40"/>
    <s v="MARTES"/>
    <x v="1"/>
    <x v="1"/>
    <n v="2808"/>
    <n v="198"/>
    <n v="477.36"/>
    <x v="3"/>
  </r>
  <r>
    <x v="241"/>
    <x v="9"/>
    <x v="40"/>
    <s v="MARTES"/>
    <x v="11"/>
    <x v="11"/>
    <n v="720"/>
    <n v="90"/>
    <n v="122.4"/>
    <x v="3"/>
  </r>
  <r>
    <x v="241"/>
    <x v="9"/>
    <x v="40"/>
    <s v="MARTES"/>
    <x v="3"/>
    <x v="3"/>
    <n v="396"/>
    <n v="198"/>
    <n v="67.320000000000007"/>
    <x v="3"/>
  </r>
  <r>
    <x v="241"/>
    <x v="9"/>
    <x v="40"/>
    <s v="MARTES"/>
    <x v="20"/>
    <x v="20"/>
    <n v="450"/>
    <n v="90"/>
    <n v="76.5"/>
    <x v="3"/>
  </r>
  <r>
    <x v="241"/>
    <x v="9"/>
    <x v="40"/>
    <s v="MARTES"/>
    <x v="2"/>
    <x v="2"/>
    <n v="1512"/>
    <n v="198"/>
    <n v="257.04000000000002"/>
    <x v="3"/>
  </r>
  <r>
    <x v="241"/>
    <x v="9"/>
    <x v="40"/>
    <s v="MARTES"/>
    <x v="9"/>
    <x v="9"/>
    <n v="180"/>
    <n v="90"/>
    <n v="30.6"/>
    <x v="3"/>
  </r>
  <r>
    <x v="241"/>
    <x v="9"/>
    <x v="40"/>
    <s v="MARTES"/>
    <x v="23"/>
    <x v="23"/>
    <n v="180"/>
    <n v="90"/>
    <n v="30.6"/>
    <x v="3"/>
  </r>
  <r>
    <x v="242"/>
    <x v="9"/>
    <x v="40"/>
    <s v="MIÉRCOLES"/>
    <x v="0"/>
    <x v="0"/>
    <n v="1392"/>
    <n v="48"/>
    <n v="556.80000000000007"/>
    <x v="3"/>
  </r>
  <r>
    <x v="242"/>
    <x v="9"/>
    <x v="40"/>
    <s v="MIÉRCOLES"/>
    <x v="1"/>
    <x v="1"/>
    <n v="432"/>
    <n v="198"/>
    <n v="73.440000000000012"/>
    <x v="3"/>
  </r>
  <r>
    <x v="242"/>
    <x v="9"/>
    <x v="40"/>
    <s v="MIÉRCOLES"/>
    <x v="3"/>
    <x v="3"/>
    <n v="396"/>
    <n v="198"/>
    <n v="67.320000000000007"/>
    <x v="3"/>
  </r>
  <r>
    <x v="242"/>
    <x v="9"/>
    <x v="40"/>
    <s v="MIÉRCOLES"/>
    <x v="5"/>
    <x v="5"/>
    <n v="810"/>
    <n v="162"/>
    <n v="137.70000000000002"/>
    <x v="3"/>
  </r>
  <r>
    <x v="242"/>
    <x v="9"/>
    <x v="40"/>
    <s v="MIÉRCOLES"/>
    <x v="7"/>
    <x v="7"/>
    <n v="1080"/>
    <n v="198"/>
    <n v="183.60000000000002"/>
    <x v="3"/>
  </r>
  <r>
    <x v="242"/>
    <x v="9"/>
    <x v="40"/>
    <s v="MIÉRCOLES"/>
    <x v="10"/>
    <x v="10"/>
    <n v="5280"/>
    <n v="120"/>
    <n v="897.6"/>
    <x v="3"/>
  </r>
  <r>
    <x v="242"/>
    <x v="9"/>
    <x v="40"/>
    <s v="MIÉRCOLES"/>
    <x v="23"/>
    <x v="23"/>
    <n v="270"/>
    <n v="90"/>
    <n v="45.900000000000006"/>
    <x v="3"/>
  </r>
  <r>
    <x v="242"/>
    <x v="9"/>
    <x v="40"/>
    <s v="MIÉRCOLES"/>
    <x v="11"/>
    <x v="11"/>
    <n v="720"/>
    <n v="90"/>
    <n v="122.4"/>
    <x v="3"/>
  </r>
  <r>
    <x v="242"/>
    <x v="9"/>
    <x v="40"/>
    <s v="MIÉRCOLES"/>
    <x v="25"/>
    <x v="25"/>
    <n v="900"/>
    <n v="225"/>
    <n v="378"/>
    <x v="3"/>
  </r>
  <r>
    <x v="242"/>
    <x v="9"/>
    <x v="40"/>
    <s v="MIÉRCOLES"/>
    <x v="42"/>
    <x v="42"/>
    <n v="250"/>
    <n v="420"/>
    <n v="105"/>
    <x v="3"/>
  </r>
  <r>
    <x v="242"/>
    <x v="9"/>
    <x v="40"/>
    <s v="MIÉRCOLES"/>
    <x v="43"/>
    <x v="43"/>
    <n v="1000"/>
    <n v="420"/>
    <n v="420"/>
    <x v="3"/>
  </r>
  <r>
    <x v="242"/>
    <x v="9"/>
    <x v="40"/>
    <s v="MIÉRCOLES"/>
    <x v="44"/>
    <x v="44"/>
    <n v="125"/>
    <n v="420"/>
    <n v="52.5"/>
    <x v="3"/>
  </r>
  <r>
    <x v="242"/>
    <x v="9"/>
    <x v="40"/>
    <s v="MIÉRCOLES"/>
    <x v="28"/>
    <x v="28"/>
    <n v="150"/>
    <n v="30"/>
    <n v="34.5"/>
    <x v="3"/>
  </r>
  <r>
    <x v="242"/>
    <x v="9"/>
    <x v="40"/>
    <s v="MIÉRCOLES"/>
    <x v="33"/>
    <x v="33"/>
    <n v="200"/>
    <n v="40"/>
    <n v="46"/>
    <x v="3"/>
  </r>
  <r>
    <x v="242"/>
    <x v="9"/>
    <x v="40"/>
    <s v="MIÉRCOLES"/>
    <x v="14"/>
    <x v="14"/>
    <n v="80"/>
    <n v="40"/>
    <n v="18.400000000000002"/>
    <x v="3"/>
  </r>
  <r>
    <x v="242"/>
    <x v="9"/>
    <x v="40"/>
    <s v="MIÉRCOLES"/>
    <x v="15"/>
    <x v="15"/>
    <n v="500"/>
    <n v="50"/>
    <n v="200"/>
    <x v="3"/>
  </r>
  <r>
    <x v="242"/>
    <x v="9"/>
    <x v="40"/>
    <s v="MIÉRCOLES"/>
    <x v="0"/>
    <x v="0"/>
    <n v="528"/>
    <n v="48"/>
    <n v="211.20000000000002"/>
    <x v="3"/>
  </r>
  <r>
    <x v="242"/>
    <x v="9"/>
    <x v="40"/>
    <s v="MIÉRCOLES"/>
    <x v="10"/>
    <x v="10"/>
    <n v="6720"/>
    <n v="120"/>
    <n v="1142.4000000000001"/>
    <x v="3"/>
  </r>
  <r>
    <x v="242"/>
    <x v="9"/>
    <x v="40"/>
    <s v="MIÉRCOLES"/>
    <x v="77"/>
    <x v="61"/>
    <n v="2625"/>
    <n v="125"/>
    <n v="1863.75"/>
    <x v="3"/>
  </r>
  <r>
    <x v="243"/>
    <x v="9"/>
    <x v="40"/>
    <s v="JUEVES"/>
    <x v="24"/>
    <x v="24"/>
    <n v="840"/>
    <n v="420"/>
    <n v="352.8"/>
    <x v="3"/>
  </r>
  <r>
    <x v="243"/>
    <x v="9"/>
    <x v="40"/>
    <s v="JUEVES"/>
    <x v="9"/>
    <x v="9"/>
    <n v="180"/>
    <n v="90"/>
    <n v="30.6"/>
    <x v="3"/>
  </r>
  <r>
    <x v="243"/>
    <x v="9"/>
    <x v="40"/>
    <s v="JUEVES"/>
    <x v="10"/>
    <x v="10"/>
    <n v="8880"/>
    <n v="120"/>
    <n v="1509.6000000000001"/>
    <x v="3"/>
  </r>
  <r>
    <x v="243"/>
    <x v="9"/>
    <x v="40"/>
    <s v="JUEVES"/>
    <x v="11"/>
    <x v="11"/>
    <n v="1440"/>
    <n v="90"/>
    <n v="244.8"/>
    <x v="3"/>
  </r>
  <r>
    <x v="242"/>
    <x v="9"/>
    <x v="40"/>
    <s v="MIÉRCOLES"/>
    <x v="43"/>
    <x v="43"/>
    <n v="500"/>
    <n v="420"/>
    <n v="210"/>
    <x v="3"/>
  </r>
  <r>
    <x v="242"/>
    <x v="9"/>
    <x v="40"/>
    <s v="MIÉRCOLES"/>
    <x v="12"/>
    <x v="12"/>
    <n v="225"/>
    <n v="225"/>
    <n v="90"/>
    <x v="3"/>
  </r>
  <r>
    <x v="242"/>
    <x v="9"/>
    <x v="40"/>
    <s v="MIÉRCOLES"/>
    <x v="19"/>
    <x v="19"/>
    <n v="225"/>
    <n v="225"/>
    <n v="90"/>
    <x v="3"/>
  </r>
  <r>
    <x v="242"/>
    <x v="9"/>
    <x v="40"/>
    <s v="MIÉRCOLES"/>
    <x v="24"/>
    <x v="24"/>
    <n v="1680"/>
    <n v="420"/>
    <n v="705.6"/>
    <x v="3"/>
  </r>
  <r>
    <x v="242"/>
    <x v="9"/>
    <x v="40"/>
    <s v="MIÉRCOLES"/>
    <x v="7"/>
    <x v="7"/>
    <n v="1080"/>
    <n v="198"/>
    <n v="183.60000000000002"/>
    <x v="3"/>
  </r>
  <r>
    <x v="242"/>
    <x v="9"/>
    <x v="40"/>
    <s v="MIÉRCOLES"/>
    <x v="17"/>
    <x v="17"/>
    <n v="2400"/>
    <n v="120"/>
    <n v="408.00000000000006"/>
    <x v="3"/>
  </r>
  <r>
    <x v="242"/>
    <x v="9"/>
    <x v="40"/>
    <s v="MIÉRCOLES"/>
    <x v="6"/>
    <x v="6"/>
    <n v="2400"/>
    <n v="120"/>
    <n v="408.00000000000006"/>
    <x v="3"/>
  </r>
  <r>
    <x v="242"/>
    <x v="9"/>
    <x v="40"/>
    <s v="MIÉRCOLES"/>
    <x v="1"/>
    <x v="1"/>
    <n v="1080"/>
    <n v="198"/>
    <n v="183.60000000000002"/>
    <x v="3"/>
  </r>
  <r>
    <x v="242"/>
    <x v="9"/>
    <x v="40"/>
    <s v="MIÉRCOLES"/>
    <x v="8"/>
    <x v="8"/>
    <n v="864"/>
    <n v="198"/>
    <n v="146.88000000000002"/>
    <x v="3"/>
  </r>
  <r>
    <x v="242"/>
    <x v="9"/>
    <x v="40"/>
    <s v="MIÉRCOLES"/>
    <x v="2"/>
    <x v="2"/>
    <n v="1080"/>
    <n v="198"/>
    <n v="183.60000000000002"/>
    <x v="3"/>
  </r>
  <r>
    <x v="242"/>
    <x v="9"/>
    <x v="40"/>
    <s v="MIÉRCOLES"/>
    <x v="10"/>
    <x v="10"/>
    <n v="240"/>
    <n v="120"/>
    <n v="40.800000000000004"/>
    <x v="3"/>
  </r>
  <r>
    <x v="243"/>
    <x v="9"/>
    <x v="40"/>
    <s v="JUEVES"/>
    <x v="13"/>
    <x v="13"/>
    <n v="120"/>
    <n v="30"/>
    <n v="48"/>
    <x v="3"/>
  </r>
  <r>
    <x v="243"/>
    <x v="9"/>
    <x v="40"/>
    <s v="JUEVES"/>
    <x v="15"/>
    <x v="15"/>
    <n v="200"/>
    <n v="50"/>
    <n v="80"/>
    <x v="3"/>
  </r>
  <r>
    <x v="243"/>
    <x v="9"/>
    <x v="40"/>
    <s v="JUEVES"/>
    <x v="38"/>
    <x v="38"/>
    <n v="560"/>
    <n v="112"/>
    <n v="224"/>
    <x v="3"/>
  </r>
  <r>
    <x v="243"/>
    <x v="9"/>
    <x v="40"/>
    <s v="JUEVES"/>
    <x v="24"/>
    <x v="24"/>
    <n v="1680"/>
    <n v="420"/>
    <n v="705.6"/>
    <x v="3"/>
  </r>
  <r>
    <x v="243"/>
    <x v="9"/>
    <x v="40"/>
    <s v="JUEVES"/>
    <x v="6"/>
    <x v="6"/>
    <n v="2640"/>
    <n v="120"/>
    <n v="448.8"/>
    <x v="3"/>
  </r>
  <r>
    <x v="243"/>
    <x v="9"/>
    <x v="40"/>
    <s v="JUEVES"/>
    <x v="10"/>
    <x v="10"/>
    <n v="2880"/>
    <n v="120"/>
    <n v="489.6"/>
    <x v="3"/>
  </r>
  <r>
    <x v="243"/>
    <x v="9"/>
    <x v="40"/>
    <s v="JUEVES"/>
    <x v="26"/>
    <x v="26"/>
    <n v="1440"/>
    <n v="90"/>
    <n v="244.8"/>
    <x v="3"/>
  </r>
  <r>
    <x v="243"/>
    <x v="9"/>
    <x v="40"/>
    <s v="JUEVES"/>
    <x v="23"/>
    <x v="23"/>
    <n v="2880"/>
    <n v="90"/>
    <n v="489.6"/>
    <x v="3"/>
  </r>
  <r>
    <x v="243"/>
    <x v="9"/>
    <x v="40"/>
    <s v="JUEVES"/>
    <x v="11"/>
    <x v="11"/>
    <n v="720"/>
    <n v="90"/>
    <n v="122.4"/>
    <x v="3"/>
  </r>
  <r>
    <x v="243"/>
    <x v="9"/>
    <x v="40"/>
    <s v="JUEVES"/>
    <x v="25"/>
    <x v="25"/>
    <n v="1350"/>
    <n v="225"/>
    <n v="567"/>
    <x v="3"/>
  </r>
  <r>
    <x v="244"/>
    <x v="9"/>
    <x v="40"/>
    <s v="VIERNES"/>
    <x v="24"/>
    <x v="24"/>
    <n v="4200"/>
    <n v="420"/>
    <n v="1764"/>
    <x v="3"/>
  </r>
  <r>
    <x v="244"/>
    <x v="9"/>
    <x v="40"/>
    <s v="VIERNES"/>
    <x v="1"/>
    <x v="1"/>
    <n v="4320"/>
    <n v="198"/>
    <n v="734.40000000000009"/>
    <x v="3"/>
  </r>
  <r>
    <x v="244"/>
    <x v="9"/>
    <x v="40"/>
    <s v="VIERNES"/>
    <x v="8"/>
    <x v="8"/>
    <n v="1080"/>
    <n v="198"/>
    <n v="183.60000000000002"/>
    <x v="3"/>
  </r>
  <r>
    <x v="244"/>
    <x v="9"/>
    <x v="40"/>
    <s v="VIERNES"/>
    <x v="9"/>
    <x v="9"/>
    <n v="450"/>
    <n v="90"/>
    <n v="76.5"/>
    <x v="3"/>
  </r>
  <r>
    <x v="244"/>
    <x v="9"/>
    <x v="40"/>
    <s v="VIERNES"/>
    <x v="10"/>
    <x v="10"/>
    <n v="3840"/>
    <n v="120"/>
    <n v="652.80000000000007"/>
    <x v="3"/>
  </r>
  <r>
    <x v="244"/>
    <x v="9"/>
    <x v="40"/>
    <s v="VIERNES"/>
    <x v="26"/>
    <x v="26"/>
    <n v="450"/>
    <n v="90"/>
    <n v="76.5"/>
    <x v="3"/>
  </r>
  <r>
    <x v="244"/>
    <x v="9"/>
    <x v="40"/>
    <s v="VIERNES"/>
    <x v="23"/>
    <x v="23"/>
    <n v="720"/>
    <n v="90"/>
    <n v="122.4"/>
    <x v="3"/>
  </r>
  <r>
    <x v="244"/>
    <x v="9"/>
    <x v="40"/>
    <s v="VIERNES"/>
    <x v="11"/>
    <x v="11"/>
    <n v="3600"/>
    <n v="90"/>
    <n v="612"/>
    <x v="3"/>
  </r>
  <r>
    <x v="244"/>
    <x v="9"/>
    <x v="40"/>
    <s v="VIERNES"/>
    <x v="42"/>
    <x v="42"/>
    <n v="750"/>
    <n v="420"/>
    <n v="315"/>
    <x v="3"/>
  </r>
  <r>
    <x v="243"/>
    <x v="9"/>
    <x v="40"/>
    <s v="JUEVES"/>
    <x v="22"/>
    <x v="22"/>
    <n v="990"/>
    <n v="198"/>
    <n v="168.3"/>
    <x v="3"/>
  </r>
  <r>
    <x v="243"/>
    <x v="9"/>
    <x v="40"/>
    <s v="JUEVES"/>
    <x v="3"/>
    <x v="3"/>
    <n v="990"/>
    <n v="198"/>
    <n v="168.3"/>
    <x v="3"/>
  </r>
  <r>
    <x v="243"/>
    <x v="9"/>
    <x v="40"/>
    <s v="JUEVES"/>
    <x v="6"/>
    <x v="6"/>
    <n v="2400"/>
    <n v="120"/>
    <n v="408.00000000000006"/>
    <x v="3"/>
  </r>
  <r>
    <x v="243"/>
    <x v="9"/>
    <x v="40"/>
    <s v="JUEVES"/>
    <x v="7"/>
    <x v="7"/>
    <n v="2160"/>
    <n v="198"/>
    <n v="367.20000000000005"/>
    <x v="3"/>
  </r>
  <r>
    <x v="243"/>
    <x v="9"/>
    <x v="40"/>
    <s v="JUEVES"/>
    <x v="23"/>
    <x v="23"/>
    <n v="180"/>
    <n v="90"/>
    <n v="30.6"/>
    <x v="3"/>
  </r>
  <r>
    <x v="243"/>
    <x v="9"/>
    <x v="40"/>
    <s v="JUEVES"/>
    <x v="44"/>
    <x v="44"/>
    <n v="125"/>
    <n v="420"/>
    <n v="52.5"/>
    <x v="3"/>
  </r>
  <r>
    <x v="243"/>
    <x v="9"/>
    <x v="40"/>
    <s v="JUEVES"/>
    <x v="44"/>
    <x v="44"/>
    <n v="1875"/>
    <n v="420"/>
    <n v="787.5"/>
    <x v="3"/>
  </r>
  <r>
    <x v="244"/>
    <x v="9"/>
    <x v="40"/>
    <s v="VIERNES"/>
    <x v="44"/>
    <x v="44"/>
    <n v="875"/>
    <n v="420"/>
    <n v="367.5"/>
    <x v="3"/>
  </r>
  <r>
    <x v="244"/>
    <x v="9"/>
    <x v="40"/>
    <s v="VIERNES"/>
    <x v="10"/>
    <x v="10"/>
    <n v="4560"/>
    <n v="120"/>
    <n v="775.2"/>
    <x v="3"/>
  </r>
  <r>
    <x v="244"/>
    <x v="9"/>
    <x v="40"/>
    <s v="VIERNES"/>
    <x v="25"/>
    <x v="25"/>
    <n v="1350"/>
    <n v="225"/>
    <n v="567"/>
    <x v="3"/>
  </r>
  <r>
    <x v="244"/>
    <x v="9"/>
    <x v="40"/>
    <s v="VIERNES"/>
    <x v="44"/>
    <x v="44"/>
    <n v="875"/>
    <n v="420"/>
    <n v="367.5"/>
    <x v="3"/>
  </r>
  <r>
    <x v="245"/>
    <x v="9"/>
    <x v="41"/>
    <s v="SÁBADO"/>
    <x v="28"/>
    <x v="28"/>
    <n v="120"/>
    <n v="30"/>
    <n v="27.6"/>
    <x v="3"/>
  </r>
  <r>
    <x v="245"/>
    <x v="9"/>
    <x v="41"/>
    <s v="SÁBADO"/>
    <x v="13"/>
    <x v="13"/>
    <n v="300"/>
    <n v="30"/>
    <n v="120"/>
    <x v="3"/>
  </r>
  <r>
    <x v="245"/>
    <x v="9"/>
    <x v="41"/>
    <s v="SÁBADO"/>
    <x v="15"/>
    <x v="15"/>
    <n v="150"/>
    <n v="50"/>
    <n v="60"/>
    <x v="3"/>
  </r>
  <r>
    <x v="245"/>
    <x v="9"/>
    <x v="41"/>
    <s v="SÁBADO"/>
    <x v="24"/>
    <x v="24"/>
    <n v="2100"/>
    <n v="420"/>
    <n v="882"/>
    <x v="3"/>
  </r>
  <r>
    <x v="245"/>
    <x v="9"/>
    <x v="41"/>
    <s v="SÁBADO"/>
    <x v="32"/>
    <x v="32"/>
    <n v="1260"/>
    <n v="420"/>
    <n v="529.19999999999993"/>
    <x v="3"/>
  </r>
  <r>
    <x v="245"/>
    <x v="9"/>
    <x v="41"/>
    <s v="SÁBADO"/>
    <x v="2"/>
    <x v="2"/>
    <n v="1296"/>
    <n v="198"/>
    <n v="220.32000000000002"/>
    <x v="3"/>
  </r>
  <r>
    <x v="245"/>
    <x v="9"/>
    <x v="41"/>
    <s v="SÁBADO"/>
    <x v="4"/>
    <x v="4"/>
    <n v="810"/>
    <n v="162"/>
    <n v="137.70000000000002"/>
    <x v="3"/>
  </r>
  <r>
    <x v="245"/>
    <x v="9"/>
    <x v="41"/>
    <s v="SÁBADO"/>
    <x v="5"/>
    <x v="5"/>
    <n v="486"/>
    <n v="162"/>
    <n v="82.62"/>
    <x v="3"/>
  </r>
  <r>
    <x v="245"/>
    <x v="9"/>
    <x v="41"/>
    <s v="SÁBADO"/>
    <x v="17"/>
    <x v="17"/>
    <n v="720"/>
    <n v="120"/>
    <n v="122.4"/>
    <x v="3"/>
  </r>
  <r>
    <x v="245"/>
    <x v="9"/>
    <x v="41"/>
    <s v="SÁBADO"/>
    <x v="8"/>
    <x v="8"/>
    <n v="1296"/>
    <n v="198"/>
    <n v="220.32000000000002"/>
    <x v="3"/>
  </r>
  <r>
    <x v="245"/>
    <x v="9"/>
    <x v="41"/>
    <s v="SÁBADO"/>
    <x v="9"/>
    <x v="9"/>
    <n v="450"/>
    <n v="90"/>
    <n v="76.5"/>
    <x v="3"/>
  </r>
  <r>
    <x v="245"/>
    <x v="9"/>
    <x v="41"/>
    <s v="SÁBADO"/>
    <x v="10"/>
    <x v="10"/>
    <n v="7920"/>
    <n v="120"/>
    <n v="1346.4"/>
    <x v="3"/>
  </r>
  <r>
    <x v="245"/>
    <x v="9"/>
    <x v="41"/>
    <s v="SÁBADO"/>
    <x v="12"/>
    <x v="12"/>
    <n v="675"/>
    <n v="225"/>
    <n v="270"/>
    <x v="3"/>
  </r>
  <r>
    <x v="245"/>
    <x v="9"/>
    <x v="41"/>
    <s v="SÁBADO"/>
    <x v="19"/>
    <x v="19"/>
    <n v="450"/>
    <n v="225"/>
    <n v="180"/>
    <x v="3"/>
  </r>
  <r>
    <x v="245"/>
    <x v="9"/>
    <x v="41"/>
    <s v="SÁBADO"/>
    <x v="42"/>
    <x v="42"/>
    <n v="500"/>
    <n v="420"/>
    <n v="210"/>
    <x v="3"/>
  </r>
  <r>
    <x v="244"/>
    <x v="9"/>
    <x v="40"/>
    <s v="VIERNES"/>
    <x v="8"/>
    <x v="8"/>
    <n v="864"/>
    <n v="198"/>
    <n v="146.88000000000002"/>
    <x v="3"/>
  </r>
  <r>
    <x v="244"/>
    <x v="9"/>
    <x v="40"/>
    <s v="VIERNES"/>
    <x v="17"/>
    <x v="17"/>
    <n v="1680"/>
    <n v="120"/>
    <n v="285.60000000000002"/>
    <x v="3"/>
  </r>
  <r>
    <x v="244"/>
    <x v="9"/>
    <x v="40"/>
    <s v="VIERNES"/>
    <x v="20"/>
    <x v="20"/>
    <n v="450"/>
    <n v="90"/>
    <n v="76.5"/>
    <x v="3"/>
  </r>
  <r>
    <x v="244"/>
    <x v="9"/>
    <x v="40"/>
    <s v="VIERNES"/>
    <x v="2"/>
    <x v="2"/>
    <n v="1944"/>
    <n v="198"/>
    <n v="330.48"/>
    <x v="3"/>
  </r>
  <r>
    <x v="244"/>
    <x v="9"/>
    <x v="40"/>
    <s v="VIERNES"/>
    <x v="44"/>
    <x v="44"/>
    <n v="750"/>
    <n v="420"/>
    <n v="315"/>
    <x v="3"/>
  </r>
  <r>
    <x v="244"/>
    <x v="9"/>
    <x v="40"/>
    <s v="VIERNES"/>
    <x v="3"/>
    <x v="3"/>
    <n v="554"/>
    <n v="198"/>
    <n v="94.18"/>
    <x v="3"/>
  </r>
  <r>
    <x v="246"/>
    <x v="9"/>
    <x v="41"/>
    <s v="LUNES"/>
    <x v="43"/>
    <x v="43"/>
    <n v="250"/>
    <n v="420"/>
    <n v="105"/>
    <x v="3"/>
  </r>
  <r>
    <x v="246"/>
    <x v="9"/>
    <x v="41"/>
    <s v="LUNES"/>
    <x v="40"/>
    <x v="40"/>
    <n v="224"/>
    <n v="240"/>
    <n v="89.600000000000009"/>
    <x v="3"/>
  </r>
  <r>
    <x v="246"/>
    <x v="9"/>
    <x v="41"/>
    <s v="LUNES"/>
    <x v="38"/>
    <x v="38"/>
    <n v="336"/>
    <n v="112"/>
    <n v="134.4"/>
    <x v="3"/>
  </r>
  <r>
    <x v="246"/>
    <x v="9"/>
    <x v="41"/>
    <s v="LUNES"/>
    <x v="16"/>
    <x v="16"/>
    <n v="540"/>
    <n v="180"/>
    <n v="226.79999999999998"/>
    <x v="3"/>
  </r>
  <r>
    <x v="246"/>
    <x v="9"/>
    <x v="41"/>
    <s v="LUNES"/>
    <x v="22"/>
    <x v="22"/>
    <n v="1782"/>
    <n v="198"/>
    <n v="302.94"/>
    <x v="3"/>
  </r>
  <r>
    <x v="246"/>
    <x v="9"/>
    <x v="41"/>
    <s v="LUNES"/>
    <x v="3"/>
    <x v="3"/>
    <n v="1980"/>
    <n v="198"/>
    <n v="336.6"/>
    <x v="3"/>
  </r>
  <r>
    <x v="246"/>
    <x v="9"/>
    <x v="41"/>
    <s v="LUNES"/>
    <x v="4"/>
    <x v="4"/>
    <n v="1134"/>
    <n v="162"/>
    <n v="192.78"/>
    <x v="3"/>
  </r>
  <r>
    <x v="246"/>
    <x v="9"/>
    <x v="41"/>
    <s v="LUNES"/>
    <x v="5"/>
    <x v="5"/>
    <n v="810"/>
    <n v="162"/>
    <n v="137.70000000000002"/>
    <x v="3"/>
  </r>
  <r>
    <x v="246"/>
    <x v="9"/>
    <x v="41"/>
    <s v="LUNES"/>
    <x v="6"/>
    <x v="6"/>
    <n v="480"/>
    <n v="120"/>
    <n v="81.600000000000009"/>
    <x v="3"/>
  </r>
  <r>
    <x v="246"/>
    <x v="9"/>
    <x v="41"/>
    <s v="LUNES"/>
    <x v="17"/>
    <x v="17"/>
    <n v="1080"/>
    <n v="120"/>
    <n v="183.60000000000002"/>
    <x v="3"/>
  </r>
  <r>
    <x v="246"/>
    <x v="9"/>
    <x v="41"/>
    <s v="LUNES"/>
    <x v="7"/>
    <x v="7"/>
    <n v="432"/>
    <n v="198"/>
    <n v="73.440000000000012"/>
    <x v="3"/>
  </r>
  <r>
    <x v="246"/>
    <x v="9"/>
    <x v="41"/>
    <s v="LUNES"/>
    <x v="8"/>
    <x v="8"/>
    <n v="2376"/>
    <n v="198"/>
    <n v="403.92"/>
    <x v="3"/>
  </r>
  <r>
    <x v="246"/>
    <x v="9"/>
    <x v="41"/>
    <s v="LUNES"/>
    <x v="9"/>
    <x v="9"/>
    <n v="630"/>
    <n v="90"/>
    <n v="107.10000000000001"/>
    <x v="3"/>
  </r>
  <r>
    <x v="246"/>
    <x v="9"/>
    <x v="41"/>
    <s v="LUNES"/>
    <x v="25"/>
    <x v="25"/>
    <n v="1350"/>
    <n v="225"/>
    <n v="567"/>
    <x v="3"/>
  </r>
  <r>
    <x v="246"/>
    <x v="9"/>
    <x v="41"/>
    <s v="LUNES"/>
    <x v="12"/>
    <x v="12"/>
    <n v="225"/>
    <n v="225"/>
    <n v="90"/>
    <x v="3"/>
  </r>
  <r>
    <x v="246"/>
    <x v="9"/>
    <x v="41"/>
    <s v="LUNES"/>
    <x v="42"/>
    <x v="42"/>
    <n v="500"/>
    <n v="420"/>
    <n v="210"/>
    <x v="3"/>
  </r>
  <r>
    <x v="246"/>
    <x v="9"/>
    <x v="41"/>
    <s v="LUNES"/>
    <x v="13"/>
    <x v="13"/>
    <n v="150"/>
    <n v="30"/>
    <n v="60"/>
    <x v="3"/>
  </r>
  <r>
    <x v="246"/>
    <x v="9"/>
    <x v="41"/>
    <s v="LUNES"/>
    <x v="15"/>
    <x v="15"/>
    <n v="50"/>
    <n v="50"/>
    <n v="20"/>
    <x v="3"/>
  </r>
  <r>
    <x v="246"/>
    <x v="9"/>
    <x v="41"/>
    <s v="LUNES"/>
    <x v="10"/>
    <x v="10"/>
    <n v="4320"/>
    <n v="120"/>
    <n v="734.40000000000009"/>
    <x v="3"/>
  </r>
  <r>
    <x v="246"/>
    <x v="9"/>
    <x v="41"/>
    <s v="LUNES"/>
    <x v="72"/>
    <x v="56"/>
    <n v="500"/>
    <n v="250"/>
    <n v="210"/>
    <x v="3"/>
  </r>
  <r>
    <x v="246"/>
    <x v="9"/>
    <x v="41"/>
    <s v="LUNES"/>
    <x v="28"/>
    <x v="28"/>
    <n v="240"/>
    <n v="30"/>
    <n v="55.2"/>
    <x v="3"/>
  </r>
  <r>
    <x v="246"/>
    <x v="9"/>
    <x v="41"/>
    <s v="LUNES"/>
    <x v="15"/>
    <x v="15"/>
    <n v="200"/>
    <n v="50"/>
    <n v="80"/>
    <x v="3"/>
  </r>
  <r>
    <x v="246"/>
    <x v="9"/>
    <x v="41"/>
    <s v="LUNES"/>
    <x v="2"/>
    <x v="2"/>
    <n v="432"/>
    <n v="198"/>
    <n v="73.440000000000012"/>
    <x v="3"/>
  </r>
  <r>
    <x v="246"/>
    <x v="9"/>
    <x v="41"/>
    <s v="LUNES"/>
    <x v="10"/>
    <x v="10"/>
    <n v="6480"/>
    <n v="120"/>
    <n v="1101.6000000000001"/>
    <x v="3"/>
  </r>
  <r>
    <x v="246"/>
    <x v="9"/>
    <x v="41"/>
    <s v="LUNES"/>
    <x v="11"/>
    <x v="11"/>
    <n v="1440"/>
    <n v="90"/>
    <n v="244.8"/>
    <x v="3"/>
  </r>
  <r>
    <x v="246"/>
    <x v="9"/>
    <x v="41"/>
    <s v="LUNES"/>
    <x v="12"/>
    <x v="12"/>
    <n v="450"/>
    <n v="225"/>
    <n v="180"/>
    <x v="3"/>
  </r>
  <r>
    <x v="246"/>
    <x v="9"/>
    <x v="41"/>
    <s v="LUNES"/>
    <x v="66"/>
    <x v="50"/>
    <n v="800"/>
    <n v="200"/>
    <n v="336"/>
    <x v="3"/>
  </r>
  <r>
    <x v="246"/>
    <x v="9"/>
    <x v="41"/>
    <s v="LUNES"/>
    <x v="44"/>
    <x v="44"/>
    <n v="750"/>
    <n v="420"/>
    <n v="315"/>
    <x v="3"/>
  </r>
  <r>
    <x v="247"/>
    <x v="9"/>
    <x v="41"/>
    <s v="DOMINGO"/>
    <x v="16"/>
    <x v="16"/>
    <n v="1080"/>
    <n v="180"/>
    <n v="453.59999999999997"/>
    <x v="3"/>
  </r>
  <r>
    <x v="247"/>
    <x v="9"/>
    <x v="41"/>
    <s v="DOMINGO"/>
    <x v="1"/>
    <x v="1"/>
    <n v="2160"/>
    <n v="198"/>
    <n v="367.20000000000005"/>
    <x v="3"/>
  </r>
  <r>
    <x v="247"/>
    <x v="9"/>
    <x v="41"/>
    <s v="DOMINGO"/>
    <x v="2"/>
    <x v="2"/>
    <n v="648"/>
    <n v="198"/>
    <n v="110.16000000000001"/>
    <x v="3"/>
  </r>
  <r>
    <x v="247"/>
    <x v="9"/>
    <x v="41"/>
    <s v="DOMINGO"/>
    <x v="10"/>
    <x v="10"/>
    <n v="1200"/>
    <n v="120"/>
    <n v="204.00000000000003"/>
    <x v="3"/>
  </r>
  <r>
    <x v="247"/>
    <x v="9"/>
    <x v="41"/>
    <s v="DOMINGO"/>
    <x v="11"/>
    <x v="11"/>
    <n v="720"/>
    <n v="90"/>
    <n v="122.4"/>
    <x v="3"/>
  </r>
  <r>
    <x v="247"/>
    <x v="9"/>
    <x v="41"/>
    <s v="DOMINGO"/>
    <x v="12"/>
    <x v="12"/>
    <n v="225"/>
    <n v="225"/>
    <n v="90"/>
    <x v="3"/>
  </r>
  <r>
    <x v="247"/>
    <x v="9"/>
    <x v="41"/>
    <s v="DOMINGO"/>
    <x v="42"/>
    <x v="42"/>
    <n v="250"/>
    <n v="420"/>
    <n v="105"/>
    <x v="3"/>
  </r>
  <r>
    <x v="247"/>
    <x v="9"/>
    <x v="41"/>
    <s v="DOMINGO"/>
    <x v="43"/>
    <x v="43"/>
    <n v="750"/>
    <n v="420"/>
    <n v="315"/>
    <x v="3"/>
  </r>
  <r>
    <x v="245"/>
    <x v="9"/>
    <x v="41"/>
    <s v="SÁBADO"/>
    <x v="16"/>
    <x v="16"/>
    <n v="720"/>
    <n v="180"/>
    <n v="302.39999999999998"/>
    <x v="3"/>
  </r>
  <r>
    <x v="245"/>
    <x v="9"/>
    <x v="41"/>
    <s v="SÁBADO"/>
    <x v="10"/>
    <x v="10"/>
    <n v="2880"/>
    <n v="120"/>
    <n v="489.6"/>
    <x v="3"/>
  </r>
  <r>
    <x v="245"/>
    <x v="9"/>
    <x v="41"/>
    <s v="SÁBADO"/>
    <x v="44"/>
    <x v="44"/>
    <n v="1125"/>
    <n v="420"/>
    <n v="472.5"/>
    <x v="3"/>
  </r>
  <r>
    <x v="248"/>
    <x v="9"/>
    <x v="41"/>
    <s v="MARTES"/>
    <x v="10"/>
    <x v="10"/>
    <n v="3600"/>
    <n v="120"/>
    <n v="612"/>
    <x v="3"/>
  </r>
  <r>
    <x v="248"/>
    <x v="9"/>
    <x v="41"/>
    <s v="MARTES"/>
    <x v="72"/>
    <x v="56"/>
    <n v="500"/>
    <n v="250"/>
    <n v="210"/>
    <x v="3"/>
  </r>
  <r>
    <x v="248"/>
    <x v="9"/>
    <x v="41"/>
    <s v="MARTES"/>
    <x v="33"/>
    <x v="33"/>
    <n v="80"/>
    <n v="40"/>
    <n v="18.400000000000002"/>
    <x v="3"/>
  </r>
  <r>
    <x v="248"/>
    <x v="9"/>
    <x v="41"/>
    <s v="MARTES"/>
    <x v="13"/>
    <x v="13"/>
    <n v="150"/>
    <n v="30"/>
    <n v="60"/>
    <x v="3"/>
  </r>
  <r>
    <x v="248"/>
    <x v="9"/>
    <x v="41"/>
    <s v="MARTES"/>
    <x v="6"/>
    <x v="6"/>
    <n v="4320"/>
    <n v="120"/>
    <n v="734.40000000000009"/>
    <x v="3"/>
  </r>
  <r>
    <x v="248"/>
    <x v="9"/>
    <x v="41"/>
    <s v="MARTES"/>
    <x v="17"/>
    <x v="17"/>
    <n v="1320"/>
    <n v="120"/>
    <n v="224.4"/>
    <x v="3"/>
  </r>
  <r>
    <x v="248"/>
    <x v="9"/>
    <x v="41"/>
    <s v="MARTES"/>
    <x v="7"/>
    <x v="7"/>
    <n v="2808"/>
    <n v="198"/>
    <n v="477.36"/>
    <x v="3"/>
  </r>
  <r>
    <x v="248"/>
    <x v="9"/>
    <x v="41"/>
    <s v="MARTES"/>
    <x v="8"/>
    <x v="8"/>
    <n v="864"/>
    <n v="198"/>
    <n v="146.88000000000002"/>
    <x v="3"/>
  </r>
  <r>
    <x v="248"/>
    <x v="9"/>
    <x v="41"/>
    <s v="MARTES"/>
    <x v="9"/>
    <x v="9"/>
    <n v="810"/>
    <n v="90"/>
    <n v="137.70000000000002"/>
    <x v="3"/>
  </r>
  <r>
    <x v="248"/>
    <x v="9"/>
    <x v="41"/>
    <s v="MARTES"/>
    <x v="10"/>
    <x v="10"/>
    <n v="10800"/>
    <n v="120"/>
    <n v="1836.0000000000002"/>
    <x v="3"/>
  </r>
  <r>
    <x v="248"/>
    <x v="9"/>
    <x v="41"/>
    <s v="MARTES"/>
    <x v="24"/>
    <x v="24"/>
    <n v="1680"/>
    <n v="420"/>
    <n v="705.6"/>
    <x v="3"/>
  </r>
  <r>
    <x v="248"/>
    <x v="9"/>
    <x v="41"/>
    <s v="MARTES"/>
    <x v="1"/>
    <x v="1"/>
    <n v="216"/>
    <n v="198"/>
    <n v="36.720000000000006"/>
    <x v="3"/>
  </r>
  <r>
    <x v="248"/>
    <x v="9"/>
    <x v="41"/>
    <s v="MARTES"/>
    <x v="2"/>
    <x v="2"/>
    <n v="432"/>
    <n v="198"/>
    <n v="73.440000000000012"/>
    <x v="3"/>
  </r>
  <r>
    <x v="248"/>
    <x v="9"/>
    <x v="41"/>
    <s v="MARTES"/>
    <x v="34"/>
    <x v="34"/>
    <n v="432"/>
    <n v="198"/>
    <n v="73.440000000000012"/>
    <x v="3"/>
  </r>
  <r>
    <x v="248"/>
    <x v="9"/>
    <x v="41"/>
    <s v="MARTES"/>
    <x v="29"/>
    <x v="29"/>
    <n v="432"/>
    <n v="198"/>
    <n v="73.440000000000012"/>
    <x v="3"/>
  </r>
  <r>
    <x v="248"/>
    <x v="9"/>
    <x v="41"/>
    <s v="MARTES"/>
    <x v="6"/>
    <x v="6"/>
    <n v="3600"/>
    <n v="120"/>
    <n v="612"/>
    <x v="3"/>
  </r>
  <r>
    <x v="248"/>
    <x v="9"/>
    <x v="41"/>
    <s v="MARTES"/>
    <x v="7"/>
    <x v="7"/>
    <n v="1728"/>
    <n v="198"/>
    <n v="293.76000000000005"/>
    <x v="3"/>
  </r>
  <r>
    <x v="248"/>
    <x v="9"/>
    <x v="41"/>
    <s v="MARTES"/>
    <x v="11"/>
    <x v="11"/>
    <n v="900"/>
    <n v="90"/>
    <n v="153"/>
    <x v="3"/>
  </r>
  <r>
    <x v="248"/>
    <x v="9"/>
    <x v="41"/>
    <s v="MARTES"/>
    <x v="25"/>
    <x v="25"/>
    <n v="1350"/>
    <n v="225"/>
    <n v="567"/>
    <x v="3"/>
  </r>
  <r>
    <x v="248"/>
    <x v="9"/>
    <x v="41"/>
    <s v="MARTES"/>
    <x v="19"/>
    <x v="19"/>
    <n v="225"/>
    <n v="225"/>
    <n v="90"/>
    <x v="3"/>
  </r>
  <r>
    <x v="248"/>
    <x v="9"/>
    <x v="41"/>
    <s v="MARTES"/>
    <x v="20"/>
    <x v="20"/>
    <n v="360"/>
    <n v="90"/>
    <n v="61.2"/>
    <x v="3"/>
  </r>
  <r>
    <x v="249"/>
    <x v="9"/>
    <x v="41"/>
    <s v="MIÉRCOLES"/>
    <x v="33"/>
    <x v="33"/>
    <n v="80"/>
    <n v="40"/>
    <n v="18.400000000000002"/>
    <x v="3"/>
  </r>
  <r>
    <x v="249"/>
    <x v="9"/>
    <x v="41"/>
    <s v="MIÉRCOLES"/>
    <x v="14"/>
    <x v="14"/>
    <n v="120"/>
    <n v="40"/>
    <n v="27.6"/>
    <x v="3"/>
  </r>
  <r>
    <x v="249"/>
    <x v="9"/>
    <x v="41"/>
    <s v="MIÉRCOLES"/>
    <x v="15"/>
    <x v="15"/>
    <n v="250"/>
    <n v="50"/>
    <n v="100"/>
    <x v="3"/>
  </r>
  <r>
    <x v="249"/>
    <x v="9"/>
    <x v="41"/>
    <s v="MIÉRCOLES"/>
    <x v="1"/>
    <x v="1"/>
    <n v="3024"/>
    <n v="198"/>
    <n v="514.08000000000004"/>
    <x v="3"/>
  </r>
  <r>
    <x v="249"/>
    <x v="9"/>
    <x v="41"/>
    <s v="MIÉRCOLES"/>
    <x v="2"/>
    <x v="2"/>
    <n v="1728"/>
    <n v="198"/>
    <n v="293.76000000000005"/>
    <x v="3"/>
  </r>
  <r>
    <x v="249"/>
    <x v="9"/>
    <x v="41"/>
    <s v="MIÉRCOLES"/>
    <x v="6"/>
    <x v="6"/>
    <n v="2400"/>
    <n v="120"/>
    <n v="408.00000000000006"/>
    <x v="3"/>
  </r>
  <r>
    <x v="249"/>
    <x v="9"/>
    <x v="41"/>
    <s v="MIÉRCOLES"/>
    <x v="17"/>
    <x v="17"/>
    <n v="1200"/>
    <n v="120"/>
    <n v="204.00000000000003"/>
    <x v="3"/>
  </r>
  <r>
    <x v="249"/>
    <x v="9"/>
    <x v="41"/>
    <s v="MIÉRCOLES"/>
    <x v="7"/>
    <x v="7"/>
    <n v="432"/>
    <n v="198"/>
    <n v="73.440000000000012"/>
    <x v="3"/>
  </r>
  <r>
    <x v="249"/>
    <x v="9"/>
    <x v="41"/>
    <s v="MIÉRCOLES"/>
    <x v="10"/>
    <x v="10"/>
    <n v="10080"/>
    <n v="120"/>
    <n v="1713.6000000000001"/>
    <x v="3"/>
  </r>
  <r>
    <x v="249"/>
    <x v="9"/>
    <x v="41"/>
    <s v="MIÉRCOLES"/>
    <x v="11"/>
    <x v="11"/>
    <n v="1260"/>
    <n v="90"/>
    <n v="214.20000000000002"/>
    <x v="3"/>
  </r>
  <r>
    <x v="249"/>
    <x v="9"/>
    <x v="41"/>
    <s v="MIÉRCOLES"/>
    <x v="20"/>
    <x v="20"/>
    <n v="360"/>
    <n v="90"/>
    <n v="61.2"/>
    <x v="3"/>
  </r>
  <r>
    <x v="249"/>
    <x v="9"/>
    <x v="41"/>
    <s v="MIÉRCOLES"/>
    <x v="2"/>
    <x v="2"/>
    <n v="864"/>
    <n v="198"/>
    <n v="146.88000000000002"/>
    <x v="3"/>
  </r>
  <r>
    <x v="249"/>
    <x v="9"/>
    <x v="41"/>
    <s v="MIÉRCOLES"/>
    <x v="5"/>
    <x v="5"/>
    <n v="972"/>
    <n v="162"/>
    <n v="165.24"/>
    <x v="3"/>
  </r>
  <r>
    <x v="249"/>
    <x v="9"/>
    <x v="41"/>
    <s v="MIÉRCOLES"/>
    <x v="6"/>
    <x v="6"/>
    <n v="2400"/>
    <n v="120"/>
    <n v="408.00000000000006"/>
    <x v="3"/>
  </r>
  <r>
    <x v="249"/>
    <x v="9"/>
    <x v="41"/>
    <s v="MIÉRCOLES"/>
    <x v="17"/>
    <x v="17"/>
    <n v="1200"/>
    <n v="120"/>
    <n v="204.00000000000003"/>
    <x v="3"/>
  </r>
  <r>
    <x v="249"/>
    <x v="9"/>
    <x v="41"/>
    <s v="MIÉRCOLES"/>
    <x v="7"/>
    <x v="7"/>
    <n v="1080"/>
    <n v="198"/>
    <n v="183.60000000000002"/>
    <x v="3"/>
  </r>
  <r>
    <x v="249"/>
    <x v="9"/>
    <x v="41"/>
    <s v="MIÉRCOLES"/>
    <x v="8"/>
    <x v="8"/>
    <n v="1512"/>
    <n v="198"/>
    <n v="257.04000000000002"/>
    <x v="3"/>
  </r>
  <r>
    <x v="249"/>
    <x v="9"/>
    <x v="41"/>
    <s v="MIÉRCOLES"/>
    <x v="9"/>
    <x v="9"/>
    <n v="450"/>
    <n v="90"/>
    <n v="76.5"/>
    <x v="3"/>
  </r>
  <r>
    <x v="249"/>
    <x v="9"/>
    <x v="41"/>
    <s v="MIÉRCOLES"/>
    <x v="23"/>
    <x v="23"/>
    <n v="1440"/>
    <n v="90"/>
    <n v="244.8"/>
    <x v="3"/>
  </r>
  <r>
    <x v="249"/>
    <x v="9"/>
    <x v="41"/>
    <s v="MIÉRCOLES"/>
    <x v="64"/>
    <x v="48"/>
    <n v="960"/>
    <n v="30"/>
    <n v="201.6"/>
    <x v="3"/>
  </r>
  <r>
    <x v="250"/>
    <x v="9"/>
    <x v="41"/>
    <s v="VIERNES"/>
    <x v="1"/>
    <x v="1"/>
    <n v="432"/>
    <n v="198"/>
    <n v="73.440000000000012"/>
    <x v="3"/>
  </r>
  <r>
    <x v="250"/>
    <x v="9"/>
    <x v="41"/>
    <s v="VIERNES"/>
    <x v="2"/>
    <x v="2"/>
    <n v="1080"/>
    <n v="198"/>
    <n v="183.60000000000002"/>
    <x v="3"/>
  </r>
  <r>
    <x v="250"/>
    <x v="9"/>
    <x v="41"/>
    <s v="VIERNES"/>
    <x v="34"/>
    <x v="34"/>
    <n v="432"/>
    <n v="198"/>
    <n v="73.440000000000012"/>
    <x v="3"/>
  </r>
  <r>
    <x v="250"/>
    <x v="9"/>
    <x v="41"/>
    <s v="VIERNES"/>
    <x v="22"/>
    <x v="22"/>
    <n v="792"/>
    <n v="198"/>
    <n v="134.64000000000001"/>
    <x v="3"/>
  </r>
  <r>
    <x v="250"/>
    <x v="9"/>
    <x v="41"/>
    <s v="VIERNES"/>
    <x v="3"/>
    <x v="3"/>
    <n v="990"/>
    <n v="198"/>
    <n v="168.3"/>
    <x v="3"/>
  </r>
  <r>
    <x v="250"/>
    <x v="9"/>
    <x v="41"/>
    <s v="VIERNES"/>
    <x v="4"/>
    <x v="4"/>
    <n v="972"/>
    <n v="162"/>
    <n v="165.24"/>
    <x v="3"/>
  </r>
  <r>
    <x v="250"/>
    <x v="9"/>
    <x v="41"/>
    <s v="VIERNES"/>
    <x v="6"/>
    <x v="6"/>
    <n v="2400"/>
    <n v="120"/>
    <n v="408.00000000000006"/>
    <x v="3"/>
  </r>
  <r>
    <x v="250"/>
    <x v="9"/>
    <x v="41"/>
    <s v="VIERNES"/>
    <x v="17"/>
    <x v="17"/>
    <n v="1800"/>
    <n v="120"/>
    <n v="306"/>
    <x v="3"/>
  </r>
  <r>
    <x v="250"/>
    <x v="9"/>
    <x v="41"/>
    <s v="VIERNES"/>
    <x v="10"/>
    <x v="10"/>
    <n v="2160"/>
    <n v="120"/>
    <n v="367.20000000000005"/>
    <x v="3"/>
  </r>
  <r>
    <x v="250"/>
    <x v="9"/>
    <x v="41"/>
    <s v="VIERNES"/>
    <x v="26"/>
    <x v="26"/>
    <n v="900"/>
    <n v="90"/>
    <n v="153"/>
    <x v="3"/>
  </r>
  <r>
    <x v="250"/>
    <x v="9"/>
    <x v="41"/>
    <s v="VIERNES"/>
    <x v="20"/>
    <x v="20"/>
    <n v="450"/>
    <n v="90"/>
    <n v="76.5"/>
    <x v="3"/>
  </r>
  <r>
    <x v="250"/>
    <x v="9"/>
    <x v="41"/>
    <s v="VIERNES"/>
    <x v="28"/>
    <x v="28"/>
    <n v="150"/>
    <n v="30"/>
    <n v="34.5"/>
    <x v="3"/>
  </r>
  <r>
    <x v="250"/>
    <x v="9"/>
    <x v="41"/>
    <s v="VIERNES"/>
    <x v="33"/>
    <x v="33"/>
    <n v="160"/>
    <n v="40"/>
    <n v="36.800000000000004"/>
    <x v="3"/>
  </r>
  <r>
    <x v="250"/>
    <x v="9"/>
    <x v="41"/>
    <s v="VIERNES"/>
    <x v="14"/>
    <x v="14"/>
    <n v="160"/>
    <n v="40"/>
    <n v="36.800000000000004"/>
    <x v="3"/>
  </r>
  <r>
    <x v="250"/>
    <x v="9"/>
    <x v="41"/>
    <s v="VIERNES"/>
    <x v="32"/>
    <x v="32"/>
    <n v="840"/>
    <n v="420"/>
    <n v="352.8"/>
    <x v="3"/>
  </r>
  <r>
    <x v="250"/>
    <x v="9"/>
    <x v="41"/>
    <s v="VIERNES"/>
    <x v="2"/>
    <x v="2"/>
    <n v="864"/>
    <n v="198"/>
    <n v="146.88000000000002"/>
    <x v="3"/>
  </r>
  <r>
    <x v="250"/>
    <x v="9"/>
    <x v="41"/>
    <s v="VIERNES"/>
    <x v="22"/>
    <x v="22"/>
    <n v="396"/>
    <n v="198"/>
    <n v="67.320000000000007"/>
    <x v="3"/>
  </r>
  <r>
    <x v="250"/>
    <x v="9"/>
    <x v="41"/>
    <s v="VIERNES"/>
    <x v="3"/>
    <x v="3"/>
    <n v="1188"/>
    <n v="198"/>
    <n v="201.96"/>
    <x v="3"/>
  </r>
  <r>
    <x v="250"/>
    <x v="9"/>
    <x v="41"/>
    <s v="VIERNES"/>
    <x v="10"/>
    <x v="10"/>
    <n v="480"/>
    <n v="120"/>
    <n v="81.600000000000009"/>
    <x v="3"/>
  </r>
  <r>
    <x v="250"/>
    <x v="9"/>
    <x v="41"/>
    <s v="VIERNES"/>
    <x v="43"/>
    <x v="43"/>
    <n v="750"/>
    <n v="420"/>
    <n v="315"/>
    <x v="3"/>
  </r>
  <r>
    <x v="250"/>
    <x v="9"/>
    <x v="41"/>
    <s v="VIERNES"/>
    <x v="70"/>
    <x v="54"/>
    <n v="360"/>
    <n v="180"/>
    <n v="151.19999999999999"/>
    <x v="3"/>
  </r>
  <r>
    <x v="250"/>
    <x v="9"/>
    <x v="41"/>
    <s v="VIERNES"/>
    <x v="13"/>
    <x v="13"/>
    <n v="300"/>
    <n v="30"/>
    <n v="120"/>
    <x v="3"/>
  </r>
  <r>
    <x v="250"/>
    <x v="9"/>
    <x v="41"/>
    <s v="VIERNES"/>
    <x v="15"/>
    <x v="15"/>
    <n v="150"/>
    <n v="50"/>
    <n v="60"/>
    <x v="3"/>
  </r>
  <r>
    <x v="250"/>
    <x v="9"/>
    <x v="41"/>
    <s v="VIERNES"/>
    <x v="24"/>
    <x v="24"/>
    <n v="2100"/>
    <n v="420"/>
    <n v="882"/>
    <x v="3"/>
  </r>
  <r>
    <x v="250"/>
    <x v="9"/>
    <x v="41"/>
    <s v="VIERNES"/>
    <x v="32"/>
    <x v="32"/>
    <n v="420"/>
    <n v="420"/>
    <n v="176.4"/>
    <x v="3"/>
  </r>
  <r>
    <x v="250"/>
    <x v="9"/>
    <x v="41"/>
    <s v="VIERNES"/>
    <x v="1"/>
    <x v="1"/>
    <n v="432"/>
    <n v="198"/>
    <n v="73.440000000000012"/>
    <x v="3"/>
  </r>
  <r>
    <x v="250"/>
    <x v="9"/>
    <x v="41"/>
    <s v="VIERNES"/>
    <x v="2"/>
    <x v="2"/>
    <n v="1296"/>
    <n v="198"/>
    <n v="220.32000000000002"/>
    <x v="3"/>
  </r>
  <r>
    <x v="250"/>
    <x v="9"/>
    <x v="41"/>
    <s v="VIERNES"/>
    <x v="6"/>
    <x v="6"/>
    <n v="2400"/>
    <n v="120"/>
    <n v="408.00000000000006"/>
    <x v="3"/>
  </r>
  <r>
    <x v="250"/>
    <x v="9"/>
    <x v="41"/>
    <s v="VIERNES"/>
    <x v="7"/>
    <x v="7"/>
    <n v="2596"/>
    <n v="198"/>
    <n v="441.32000000000005"/>
    <x v="3"/>
  </r>
  <r>
    <x v="250"/>
    <x v="9"/>
    <x v="41"/>
    <s v="VIERNES"/>
    <x v="8"/>
    <x v="8"/>
    <n v="1728"/>
    <n v="198"/>
    <n v="293.76000000000005"/>
    <x v="3"/>
  </r>
  <r>
    <x v="250"/>
    <x v="9"/>
    <x v="41"/>
    <s v="VIERNES"/>
    <x v="10"/>
    <x v="10"/>
    <n v="1440"/>
    <n v="120"/>
    <n v="244.8"/>
    <x v="3"/>
  </r>
  <r>
    <x v="250"/>
    <x v="9"/>
    <x v="41"/>
    <s v="VIERNES"/>
    <x v="11"/>
    <x v="11"/>
    <n v="3240"/>
    <n v="90"/>
    <n v="550.80000000000007"/>
    <x v="3"/>
  </r>
  <r>
    <x v="251"/>
    <x v="9"/>
    <x v="41"/>
    <s v="JUEVES"/>
    <x v="0"/>
    <x v="0"/>
    <n v="144"/>
    <n v="48"/>
    <n v="57.6"/>
    <x v="3"/>
  </r>
  <r>
    <x v="251"/>
    <x v="9"/>
    <x v="41"/>
    <s v="JUEVES"/>
    <x v="1"/>
    <x v="1"/>
    <n v="1728"/>
    <n v="198"/>
    <n v="293.76000000000005"/>
    <x v="3"/>
  </r>
  <r>
    <x v="251"/>
    <x v="9"/>
    <x v="41"/>
    <s v="JUEVES"/>
    <x v="2"/>
    <x v="2"/>
    <n v="1080"/>
    <n v="198"/>
    <n v="183.60000000000002"/>
    <x v="3"/>
  </r>
  <r>
    <x v="251"/>
    <x v="9"/>
    <x v="41"/>
    <s v="JUEVES"/>
    <x v="7"/>
    <x v="7"/>
    <n v="1728"/>
    <n v="198"/>
    <n v="293.76000000000005"/>
    <x v="3"/>
  </r>
  <r>
    <x v="251"/>
    <x v="9"/>
    <x v="41"/>
    <s v="JUEVES"/>
    <x v="8"/>
    <x v="8"/>
    <n v="432"/>
    <n v="198"/>
    <n v="73.440000000000012"/>
    <x v="3"/>
  </r>
  <r>
    <x v="251"/>
    <x v="9"/>
    <x v="41"/>
    <s v="JUEVES"/>
    <x v="9"/>
    <x v="9"/>
    <n v="900"/>
    <n v="90"/>
    <n v="153"/>
    <x v="3"/>
  </r>
  <r>
    <x v="251"/>
    <x v="9"/>
    <x v="41"/>
    <s v="JUEVES"/>
    <x v="23"/>
    <x v="23"/>
    <n v="500"/>
    <n v="90"/>
    <n v="85"/>
    <x v="3"/>
  </r>
  <r>
    <x v="251"/>
    <x v="9"/>
    <x v="41"/>
    <s v="JUEVES"/>
    <x v="11"/>
    <x v="11"/>
    <n v="1260"/>
    <n v="90"/>
    <n v="214.20000000000002"/>
    <x v="3"/>
  </r>
  <r>
    <x v="251"/>
    <x v="9"/>
    <x v="41"/>
    <s v="JUEVES"/>
    <x v="15"/>
    <x v="15"/>
    <n v="250"/>
    <n v="50"/>
    <n v="100"/>
    <x v="3"/>
  </r>
  <r>
    <x v="251"/>
    <x v="9"/>
    <x v="41"/>
    <s v="JUEVES"/>
    <x v="1"/>
    <x v="1"/>
    <n v="864"/>
    <n v="198"/>
    <n v="146.88000000000002"/>
    <x v="3"/>
  </r>
  <r>
    <x v="251"/>
    <x v="9"/>
    <x v="41"/>
    <s v="JUEVES"/>
    <x v="22"/>
    <x v="22"/>
    <n v="594"/>
    <n v="198"/>
    <n v="100.98"/>
    <x v="3"/>
  </r>
  <r>
    <x v="251"/>
    <x v="9"/>
    <x v="41"/>
    <s v="JUEVES"/>
    <x v="3"/>
    <x v="3"/>
    <n v="198"/>
    <n v="198"/>
    <n v="33.660000000000004"/>
    <x v="3"/>
  </r>
  <r>
    <x v="251"/>
    <x v="9"/>
    <x v="41"/>
    <s v="JUEVES"/>
    <x v="7"/>
    <x v="7"/>
    <n v="648"/>
    <n v="198"/>
    <n v="110.16000000000001"/>
    <x v="3"/>
  </r>
  <r>
    <x v="251"/>
    <x v="9"/>
    <x v="41"/>
    <s v="JUEVES"/>
    <x v="9"/>
    <x v="9"/>
    <n v="450"/>
    <n v="90"/>
    <n v="76.5"/>
    <x v="3"/>
  </r>
  <r>
    <x v="251"/>
    <x v="9"/>
    <x v="41"/>
    <s v="JUEVES"/>
    <x v="25"/>
    <x v="25"/>
    <n v="1800"/>
    <n v="225"/>
    <n v="756"/>
    <x v="3"/>
  </r>
  <r>
    <x v="251"/>
    <x v="9"/>
    <x v="41"/>
    <s v="JUEVES"/>
    <x v="28"/>
    <x v="28"/>
    <n v="150"/>
    <n v="30"/>
    <n v="34.5"/>
    <x v="3"/>
  </r>
  <r>
    <x v="251"/>
    <x v="9"/>
    <x v="41"/>
    <s v="JUEVES"/>
    <x v="33"/>
    <x v="33"/>
    <n v="80"/>
    <n v="40"/>
    <n v="18.400000000000002"/>
    <x v="3"/>
  </r>
  <r>
    <x v="251"/>
    <x v="9"/>
    <x v="41"/>
    <s v="JUEVES"/>
    <x v="14"/>
    <x v="14"/>
    <n v="80"/>
    <n v="40"/>
    <n v="18.400000000000002"/>
    <x v="3"/>
  </r>
  <r>
    <x v="251"/>
    <x v="9"/>
    <x v="41"/>
    <s v="JUEVES"/>
    <x v="40"/>
    <x v="40"/>
    <n v="336"/>
    <n v="240"/>
    <n v="134.4"/>
    <x v="3"/>
  </r>
  <r>
    <x v="251"/>
    <x v="9"/>
    <x v="41"/>
    <s v="JUEVES"/>
    <x v="38"/>
    <x v="38"/>
    <n v="224"/>
    <n v="112"/>
    <n v="89.600000000000009"/>
    <x v="3"/>
  </r>
  <r>
    <x v="251"/>
    <x v="9"/>
    <x v="41"/>
    <s v="JUEVES"/>
    <x v="32"/>
    <x v="32"/>
    <n v="1680"/>
    <n v="420"/>
    <n v="705.6"/>
    <x v="3"/>
  </r>
  <r>
    <x v="251"/>
    <x v="9"/>
    <x v="41"/>
    <s v="JUEVES"/>
    <x v="1"/>
    <x v="1"/>
    <n v="1080"/>
    <n v="198"/>
    <n v="183.60000000000002"/>
    <x v="3"/>
  </r>
  <r>
    <x v="251"/>
    <x v="9"/>
    <x v="41"/>
    <s v="JUEVES"/>
    <x v="2"/>
    <x v="2"/>
    <n v="432"/>
    <n v="198"/>
    <n v="73.440000000000012"/>
    <x v="3"/>
  </r>
  <r>
    <x v="251"/>
    <x v="9"/>
    <x v="41"/>
    <s v="JUEVES"/>
    <x v="3"/>
    <x v="3"/>
    <n v="396"/>
    <n v="198"/>
    <n v="67.320000000000007"/>
    <x v="3"/>
  </r>
  <r>
    <x v="251"/>
    <x v="9"/>
    <x v="41"/>
    <s v="JUEVES"/>
    <x v="4"/>
    <x v="4"/>
    <n v="486"/>
    <n v="162"/>
    <n v="82.62"/>
    <x v="3"/>
  </r>
  <r>
    <x v="251"/>
    <x v="9"/>
    <x v="41"/>
    <s v="JUEVES"/>
    <x v="10"/>
    <x v="10"/>
    <n v="12000"/>
    <n v="120"/>
    <n v="2040.0000000000002"/>
    <x v="3"/>
  </r>
  <r>
    <x v="251"/>
    <x v="9"/>
    <x v="41"/>
    <s v="JUEVES"/>
    <x v="12"/>
    <x v="12"/>
    <n v="450"/>
    <n v="225"/>
    <n v="180"/>
    <x v="3"/>
  </r>
  <r>
    <x v="251"/>
    <x v="9"/>
    <x v="41"/>
    <s v="JUEVES"/>
    <x v="19"/>
    <x v="19"/>
    <n v="675"/>
    <n v="225"/>
    <n v="270"/>
    <x v="3"/>
  </r>
  <r>
    <x v="251"/>
    <x v="9"/>
    <x v="41"/>
    <s v="JUEVES"/>
    <x v="42"/>
    <x v="42"/>
    <n v="500"/>
    <n v="420"/>
    <n v="210"/>
    <x v="3"/>
  </r>
  <r>
    <x v="252"/>
    <x v="9"/>
    <x v="42"/>
    <s v="SÁBADO"/>
    <x v="13"/>
    <x v="13"/>
    <n v="300"/>
    <n v="30"/>
    <n v="120"/>
    <x v="3"/>
  </r>
  <r>
    <x v="252"/>
    <x v="9"/>
    <x v="42"/>
    <s v="SÁBADO"/>
    <x v="24"/>
    <x v="24"/>
    <n v="840"/>
    <n v="420"/>
    <n v="352.8"/>
    <x v="3"/>
  </r>
  <r>
    <x v="252"/>
    <x v="9"/>
    <x v="42"/>
    <s v="SÁBADO"/>
    <x v="32"/>
    <x v="32"/>
    <n v="2100"/>
    <n v="420"/>
    <n v="882"/>
    <x v="3"/>
  </r>
  <r>
    <x v="252"/>
    <x v="9"/>
    <x v="42"/>
    <s v="SÁBADO"/>
    <x v="1"/>
    <x v="1"/>
    <n v="1728"/>
    <n v="198"/>
    <n v="293.76000000000005"/>
    <x v="3"/>
  </r>
  <r>
    <x v="252"/>
    <x v="9"/>
    <x v="42"/>
    <s v="SÁBADO"/>
    <x v="5"/>
    <x v="5"/>
    <n v="648"/>
    <n v="162"/>
    <n v="110.16000000000001"/>
    <x v="3"/>
  </r>
  <r>
    <x v="252"/>
    <x v="9"/>
    <x v="42"/>
    <s v="SÁBADO"/>
    <x v="10"/>
    <x v="10"/>
    <n v="12960"/>
    <n v="120"/>
    <n v="2203.2000000000003"/>
    <x v="3"/>
  </r>
  <r>
    <x v="252"/>
    <x v="9"/>
    <x v="42"/>
    <s v="SÁBADO"/>
    <x v="12"/>
    <x v="12"/>
    <n v="900"/>
    <n v="225"/>
    <n v="360"/>
    <x v="3"/>
  </r>
  <r>
    <x v="252"/>
    <x v="9"/>
    <x v="42"/>
    <s v="SÁBADO"/>
    <x v="19"/>
    <x v="19"/>
    <n v="450"/>
    <n v="225"/>
    <n v="180"/>
    <x v="3"/>
  </r>
  <r>
    <x v="252"/>
    <x v="9"/>
    <x v="42"/>
    <s v="SÁBADO"/>
    <x v="40"/>
    <x v="40"/>
    <n v="336"/>
    <n v="240"/>
    <n v="134.4"/>
    <x v="3"/>
  </r>
  <r>
    <x v="252"/>
    <x v="9"/>
    <x v="42"/>
    <s v="SÁBADO"/>
    <x v="38"/>
    <x v="38"/>
    <n v="448"/>
    <n v="112"/>
    <n v="179.20000000000002"/>
    <x v="3"/>
  </r>
  <r>
    <x v="252"/>
    <x v="9"/>
    <x v="42"/>
    <s v="SÁBADO"/>
    <x v="24"/>
    <x v="24"/>
    <n v="1260"/>
    <n v="420"/>
    <n v="529.19999999999993"/>
    <x v="3"/>
  </r>
  <r>
    <x v="252"/>
    <x v="9"/>
    <x v="42"/>
    <s v="SÁBADO"/>
    <x v="16"/>
    <x v="16"/>
    <n v="1260"/>
    <n v="180"/>
    <n v="529.19999999999993"/>
    <x v="3"/>
  </r>
  <r>
    <x v="252"/>
    <x v="9"/>
    <x v="42"/>
    <s v="SÁBADO"/>
    <x v="10"/>
    <x v="10"/>
    <n v="2880"/>
    <n v="120"/>
    <n v="489.6"/>
    <x v="3"/>
  </r>
  <r>
    <x v="252"/>
    <x v="9"/>
    <x v="42"/>
    <s v="SÁBADO"/>
    <x v="43"/>
    <x v="43"/>
    <n v="500"/>
    <n v="420"/>
    <n v="210"/>
    <x v="3"/>
  </r>
  <r>
    <x v="253"/>
    <x v="9"/>
    <x v="42"/>
    <s v="LUNES"/>
    <x v="38"/>
    <x v="38"/>
    <n v="448"/>
    <n v="112"/>
    <n v="179.20000000000002"/>
    <x v="3"/>
  </r>
  <r>
    <x v="253"/>
    <x v="9"/>
    <x v="42"/>
    <s v="LUNES"/>
    <x v="16"/>
    <x v="16"/>
    <n v="540"/>
    <n v="180"/>
    <n v="226.79999999999998"/>
    <x v="3"/>
  </r>
  <r>
    <x v="253"/>
    <x v="9"/>
    <x v="42"/>
    <s v="LUNES"/>
    <x v="1"/>
    <x v="1"/>
    <n v="2160"/>
    <n v="198"/>
    <n v="367.20000000000005"/>
    <x v="3"/>
  </r>
  <r>
    <x v="253"/>
    <x v="9"/>
    <x v="42"/>
    <s v="LUNES"/>
    <x v="2"/>
    <x v="2"/>
    <n v="2160"/>
    <n v="198"/>
    <n v="367.20000000000005"/>
    <x v="3"/>
  </r>
  <r>
    <x v="253"/>
    <x v="9"/>
    <x v="42"/>
    <s v="LUNES"/>
    <x v="22"/>
    <x v="22"/>
    <n v="792"/>
    <n v="198"/>
    <n v="134.64000000000001"/>
    <x v="3"/>
  </r>
  <r>
    <x v="253"/>
    <x v="9"/>
    <x v="42"/>
    <s v="LUNES"/>
    <x v="3"/>
    <x v="3"/>
    <n v="792"/>
    <n v="198"/>
    <n v="134.64000000000001"/>
    <x v="3"/>
  </r>
  <r>
    <x v="253"/>
    <x v="9"/>
    <x v="42"/>
    <s v="LUNES"/>
    <x v="4"/>
    <x v="4"/>
    <n v="324"/>
    <n v="162"/>
    <n v="55.080000000000005"/>
    <x v="3"/>
  </r>
  <r>
    <x v="253"/>
    <x v="9"/>
    <x v="42"/>
    <s v="LUNES"/>
    <x v="6"/>
    <x v="6"/>
    <n v="4800"/>
    <n v="120"/>
    <n v="816.00000000000011"/>
    <x v="3"/>
  </r>
  <r>
    <x v="253"/>
    <x v="9"/>
    <x v="42"/>
    <s v="LUNES"/>
    <x v="17"/>
    <x v="17"/>
    <n v="840"/>
    <n v="120"/>
    <n v="142.80000000000001"/>
    <x v="3"/>
  </r>
  <r>
    <x v="253"/>
    <x v="9"/>
    <x v="42"/>
    <s v="LUNES"/>
    <x v="7"/>
    <x v="7"/>
    <n v="1080"/>
    <n v="198"/>
    <n v="183.60000000000002"/>
    <x v="3"/>
  </r>
  <r>
    <x v="253"/>
    <x v="9"/>
    <x v="42"/>
    <s v="LUNES"/>
    <x v="8"/>
    <x v="8"/>
    <n v="1512"/>
    <n v="198"/>
    <n v="257.04000000000002"/>
    <x v="3"/>
  </r>
  <r>
    <x v="253"/>
    <x v="9"/>
    <x v="42"/>
    <s v="LUNES"/>
    <x v="23"/>
    <x v="23"/>
    <n v="900"/>
    <n v="90"/>
    <n v="153"/>
    <x v="3"/>
  </r>
  <r>
    <x v="253"/>
    <x v="9"/>
    <x v="42"/>
    <s v="LUNES"/>
    <x v="25"/>
    <x v="25"/>
    <n v="1800"/>
    <n v="225"/>
    <n v="756"/>
    <x v="3"/>
  </r>
  <r>
    <x v="253"/>
    <x v="9"/>
    <x v="42"/>
    <s v="LUNES"/>
    <x v="43"/>
    <x v="43"/>
    <n v="1000"/>
    <n v="420"/>
    <n v="420"/>
    <x v="3"/>
  </r>
  <r>
    <x v="253"/>
    <x v="9"/>
    <x v="42"/>
    <s v="LUNES"/>
    <x v="24"/>
    <x v="24"/>
    <n v="1260"/>
    <n v="420"/>
    <n v="529.19999999999993"/>
    <x v="3"/>
  </r>
  <r>
    <x v="254"/>
    <x v="9"/>
    <x v="42"/>
    <s v="DOMINGO"/>
    <x v="25"/>
    <x v="25"/>
    <n v="2250"/>
    <n v="225"/>
    <n v="945"/>
    <x v="3"/>
  </r>
  <r>
    <x v="253"/>
    <x v="9"/>
    <x v="42"/>
    <s v="LUNES"/>
    <x v="28"/>
    <x v="28"/>
    <n v="240"/>
    <n v="30"/>
    <n v="55.2"/>
    <x v="3"/>
  </r>
  <r>
    <x v="253"/>
    <x v="9"/>
    <x v="42"/>
    <s v="LUNES"/>
    <x v="15"/>
    <x v="15"/>
    <n v="300"/>
    <n v="50"/>
    <n v="120"/>
    <x v="3"/>
  </r>
  <r>
    <x v="253"/>
    <x v="9"/>
    <x v="42"/>
    <s v="LUNES"/>
    <x v="0"/>
    <x v="0"/>
    <n v="960"/>
    <n v="48"/>
    <n v="384"/>
    <x v="3"/>
  </r>
  <r>
    <x v="253"/>
    <x v="9"/>
    <x v="42"/>
    <s v="LUNES"/>
    <x v="24"/>
    <x v="24"/>
    <n v="840"/>
    <n v="420"/>
    <n v="352.8"/>
    <x v="3"/>
  </r>
  <r>
    <x v="253"/>
    <x v="9"/>
    <x v="42"/>
    <s v="LUNES"/>
    <x v="17"/>
    <x v="17"/>
    <n v="360"/>
    <n v="120"/>
    <n v="61.2"/>
    <x v="3"/>
  </r>
  <r>
    <x v="253"/>
    <x v="9"/>
    <x v="42"/>
    <s v="LUNES"/>
    <x v="8"/>
    <x v="8"/>
    <n v="648"/>
    <n v="198"/>
    <n v="110.16000000000001"/>
    <x v="3"/>
  </r>
  <r>
    <x v="253"/>
    <x v="9"/>
    <x v="42"/>
    <s v="LUNES"/>
    <x v="10"/>
    <x v="10"/>
    <n v="3360"/>
    <n v="120"/>
    <n v="571.20000000000005"/>
    <x v="3"/>
  </r>
  <r>
    <x v="253"/>
    <x v="9"/>
    <x v="42"/>
    <s v="LUNES"/>
    <x v="23"/>
    <x v="23"/>
    <n v="900"/>
    <n v="90"/>
    <n v="153"/>
    <x v="3"/>
  </r>
  <r>
    <x v="253"/>
    <x v="9"/>
    <x v="42"/>
    <s v="LUNES"/>
    <x v="11"/>
    <x v="11"/>
    <n v="3690"/>
    <n v="90"/>
    <n v="627.30000000000007"/>
    <x v="3"/>
  </r>
  <r>
    <x v="253"/>
    <x v="9"/>
    <x v="42"/>
    <s v="LUNES"/>
    <x v="9"/>
    <x v="9"/>
    <n v="900"/>
    <n v="90"/>
    <n v="153"/>
    <x v="3"/>
  </r>
  <r>
    <x v="253"/>
    <x v="9"/>
    <x v="42"/>
    <s v="LUNES"/>
    <x v="10"/>
    <x v="10"/>
    <n v="5760"/>
    <n v="120"/>
    <n v="979.2"/>
    <x v="3"/>
  </r>
  <r>
    <x v="253"/>
    <x v="9"/>
    <x v="42"/>
    <s v="LUNES"/>
    <x v="11"/>
    <x v="11"/>
    <n v="2160"/>
    <n v="90"/>
    <n v="367.20000000000005"/>
    <x v="3"/>
  </r>
  <r>
    <x v="253"/>
    <x v="9"/>
    <x v="42"/>
    <s v="LUNES"/>
    <x v="42"/>
    <x v="42"/>
    <n v="250"/>
    <n v="420"/>
    <n v="105"/>
    <x v="3"/>
  </r>
  <r>
    <x v="253"/>
    <x v="9"/>
    <x v="42"/>
    <s v="LUNES"/>
    <x v="11"/>
    <x v="11"/>
    <n v="360"/>
    <n v="90"/>
    <n v="61.2"/>
    <x v="3"/>
  </r>
  <r>
    <x v="253"/>
    <x v="9"/>
    <x v="42"/>
    <s v="LUNES"/>
    <x v="25"/>
    <x v="25"/>
    <n v="225"/>
    <n v="225"/>
    <n v="94.5"/>
    <x v="3"/>
  </r>
  <r>
    <x v="255"/>
    <x v="9"/>
    <x v="42"/>
    <s v="MARTES"/>
    <x v="40"/>
    <x v="40"/>
    <n v="224"/>
    <n v="240"/>
    <n v="89.600000000000009"/>
    <x v="3"/>
  </r>
  <r>
    <x v="255"/>
    <x v="9"/>
    <x v="42"/>
    <s v="MARTES"/>
    <x v="4"/>
    <x v="4"/>
    <n v="648"/>
    <n v="162"/>
    <n v="110.16000000000001"/>
    <x v="3"/>
  </r>
  <r>
    <x v="255"/>
    <x v="9"/>
    <x v="42"/>
    <s v="MARTES"/>
    <x v="5"/>
    <x v="5"/>
    <n v="810"/>
    <n v="162"/>
    <n v="137.70000000000002"/>
    <x v="3"/>
  </r>
  <r>
    <x v="255"/>
    <x v="9"/>
    <x v="42"/>
    <s v="MARTES"/>
    <x v="6"/>
    <x v="6"/>
    <n v="3000"/>
    <n v="120"/>
    <n v="510.00000000000006"/>
    <x v="3"/>
  </r>
  <r>
    <x v="255"/>
    <x v="9"/>
    <x v="42"/>
    <s v="MARTES"/>
    <x v="17"/>
    <x v="17"/>
    <n v="1800"/>
    <n v="120"/>
    <n v="306"/>
    <x v="3"/>
  </r>
  <r>
    <x v="255"/>
    <x v="9"/>
    <x v="42"/>
    <s v="MARTES"/>
    <x v="8"/>
    <x v="8"/>
    <n v="1080"/>
    <n v="198"/>
    <n v="183.60000000000002"/>
    <x v="3"/>
  </r>
  <r>
    <x v="255"/>
    <x v="9"/>
    <x v="42"/>
    <s v="MARTES"/>
    <x v="9"/>
    <x v="9"/>
    <n v="450"/>
    <n v="90"/>
    <n v="76.5"/>
    <x v="3"/>
  </r>
  <r>
    <x v="255"/>
    <x v="9"/>
    <x v="42"/>
    <s v="MARTES"/>
    <x v="23"/>
    <x v="23"/>
    <n v="720"/>
    <n v="90"/>
    <n v="122.4"/>
    <x v="3"/>
  </r>
  <r>
    <x v="255"/>
    <x v="9"/>
    <x v="42"/>
    <s v="MARTES"/>
    <x v="11"/>
    <x v="11"/>
    <n v="900"/>
    <n v="90"/>
    <n v="153"/>
    <x v="3"/>
  </r>
  <r>
    <x v="255"/>
    <x v="9"/>
    <x v="42"/>
    <s v="MARTES"/>
    <x v="28"/>
    <x v="28"/>
    <n v="240"/>
    <n v="30"/>
    <n v="55.2"/>
    <x v="3"/>
  </r>
  <r>
    <x v="255"/>
    <x v="9"/>
    <x v="42"/>
    <s v="MARTES"/>
    <x v="13"/>
    <x v="13"/>
    <n v="300"/>
    <n v="30"/>
    <n v="120"/>
    <x v="3"/>
  </r>
  <r>
    <x v="255"/>
    <x v="9"/>
    <x v="42"/>
    <s v="MARTES"/>
    <x v="40"/>
    <x v="40"/>
    <n v="112"/>
    <n v="240"/>
    <n v="44.800000000000004"/>
    <x v="3"/>
  </r>
  <r>
    <x v="255"/>
    <x v="9"/>
    <x v="42"/>
    <s v="MARTES"/>
    <x v="0"/>
    <x v="0"/>
    <n v="480"/>
    <n v="48"/>
    <n v="192"/>
    <x v="3"/>
  </r>
  <r>
    <x v="255"/>
    <x v="9"/>
    <x v="42"/>
    <s v="MARTES"/>
    <x v="24"/>
    <x v="24"/>
    <n v="3360"/>
    <n v="420"/>
    <n v="1411.2"/>
    <x v="3"/>
  </r>
  <r>
    <x v="255"/>
    <x v="9"/>
    <x v="42"/>
    <s v="MARTES"/>
    <x v="9"/>
    <x v="9"/>
    <n v="270"/>
    <n v="90"/>
    <n v="45.900000000000006"/>
    <x v="3"/>
  </r>
  <r>
    <x v="255"/>
    <x v="9"/>
    <x v="42"/>
    <s v="MARTES"/>
    <x v="10"/>
    <x v="10"/>
    <n v="4800"/>
    <n v="120"/>
    <n v="816.00000000000011"/>
    <x v="3"/>
  </r>
  <r>
    <x v="255"/>
    <x v="9"/>
    <x v="42"/>
    <s v="MARTES"/>
    <x v="24"/>
    <x v="24"/>
    <n v="2940"/>
    <n v="420"/>
    <n v="1234.8"/>
    <x v="3"/>
  </r>
  <r>
    <x v="255"/>
    <x v="9"/>
    <x v="42"/>
    <s v="MARTES"/>
    <x v="10"/>
    <x v="10"/>
    <n v="7200"/>
    <n v="120"/>
    <n v="1224"/>
    <x v="3"/>
  </r>
  <r>
    <x v="255"/>
    <x v="9"/>
    <x v="42"/>
    <s v="MARTES"/>
    <x v="12"/>
    <x v="12"/>
    <n v="450"/>
    <n v="225"/>
    <n v="180"/>
    <x v="3"/>
  </r>
  <r>
    <x v="255"/>
    <x v="9"/>
    <x v="42"/>
    <s v="MARTES"/>
    <x v="19"/>
    <x v="19"/>
    <n v="225"/>
    <n v="225"/>
    <n v="90"/>
    <x v="3"/>
  </r>
  <r>
    <x v="255"/>
    <x v="9"/>
    <x v="42"/>
    <s v="MARTES"/>
    <x v="70"/>
    <x v="54"/>
    <n v="540"/>
    <n v="180"/>
    <n v="226.79999999999998"/>
    <x v="3"/>
  </r>
  <r>
    <x v="255"/>
    <x v="9"/>
    <x v="42"/>
    <s v="MARTES"/>
    <x v="42"/>
    <x v="42"/>
    <n v="250"/>
    <n v="420"/>
    <n v="105"/>
    <x v="3"/>
  </r>
  <r>
    <x v="256"/>
    <x v="9"/>
    <x v="42"/>
    <s v="MIÉRCOLES"/>
    <x v="36"/>
    <x v="36"/>
    <n v="720"/>
    <n v="90"/>
    <n v="288"/>
    <x v="3"/>
  </r>
  <r>
    <x v="256"/>
    <x v="9"/>
    <x v="42"/>
    <s v="MIÉRCOLES"/>
    <x v="38"/>
    <x v="38"/>
    <n v="336"/>
    <n v="112"/>
    <n v="134.4"/>
    <x v="3"/>
  </r>
  <r>
    <x v="256"/>
    <x v="9"/>
    <x v="42"/>
    <s v="MIÉRCOLES"/>
    <x v="34"/>
    <x v="34"/>
    <n v="216"/>
    <n v="198"/>
    <n v="36.720000000000006"/>
    <x v="3"/>
  </r>
  <r>
    <x v="256"/>
    <x v="9"/>
    <x v="42"/>
    <s v="MIÉRCOLES"/>
    <x v="22"/>
    <x v="22"/>
    <n v="990"/>
    <n v="198"/>
    <n v="168.3"/>
    <x v="3"/>
  </r>
  <r>
    <x v="256"/>
    <x v="9"/>
    <x v="42"/>
    <s v="MIÉRCOLES"/>
    <x v="3"/>
    <x v="3"/>
    <n v="990"/>
    <n v="198"/>
    <n v="168.3"/>
    <x v="3"/>
  </r>
  <r>
    <x v="256"/>
    <x v="9"/>
    <x v="42"/>
    <s v="MIÉRCOLES"/>
    <x v="6"/>
    <x v="6"/>
    <n v="2400"/>
    <n v="120"/>
    <n v="408.00000000000006"/>
    <x v="3"/>
  </r>
  <r>
    <x v="256"/>
    <x v="9"/>
    <x v="42"/>
    <s v="MIÉRCOLES"/>
    <x v="7"/>
    <x v="7"/>
    <n v="3240"/>
    <n v="198"/>
    <n v="550.80000000000007"/>
    <x v="3"/>
  </r>
  <r>
    <x v="256"/>
    <x v="9"/>
    <x v="42"/>
    <s v="MIÉRCOLES"/>
    <x v="8"/>
    <x v="8"/>
    <n v="1296"/>
    <n v="198"/>
    <n v="220.32000000000002"/>
    <x v="3"/>
  </r>
  <r>
    <x v="256"/>
    <x v="9"/>
    <x v="42"/>
    <s v="MIÉRCOLES"/>
    <x v="26"/>
    <x v="26"/>
    <n v="450"/>
    <n v="90"/>
    <n v="76.5"/>
    <x v="3"/>
  </r>
  <r>
    <x v="256"/>
    <x v="9"/>
    <x v="42"/>
    <s v="MIÉRCOLES"/>
    <x v="23"/>
    <x v="23"/>
    <n v="450"/>
    <n v="90"/>
    <n v="76.5"/>
    <x v="3"/>
  </r>
  <r>
    <x v="256"/>
    <x v="9"/>
    <x v="42"/>
    <s v="MIÉRCOLES"/>
    <x v="20"/>
    <x v="20"/>
    <n v="450"/>
    <n v="90"/>
    <n v="76.5"/>
    <x v="3"/>
  </r>
  <r>
    <x v="256"/>
    <x v="9"/>
    <x v="42"/>
    <s v="MIÉRCOLES"/>
    <x v="42"/>
    <x v="42"/>
    <n v="750"/>
    <n v="420"/>
    <n v="315"/>
    <x v="3"/>
  </r>
  <r>
    <x v="256"/>
    <x v="9"/>
    <x v="42"/>
    <s v="MIÉRCOLES"/>
    <x v="44"/>
    <x v="44"/>
    <n v="375"/>
    <n v="420"/>
    <n v="157.5"/>
    <x v="3"/>
  </r>
  <r>
    <x v="257"/>
    <x v="9"/>
    <x v="42"/>
    <s v="VIERNES"/>
    <x v="28"/>
    <x v="28"/>
    <n v="180"/>
    <n v="30"/>
    <n v="41.4"/>
    <x v="3"/>
  </r>
  <r>
    <x v="257"/>
    <x v="9"/>
    <x v="42"/>
    <s v="VIERNES"/>
    <x v="13"/>
    <x v="13"/>
    <n v="180"/>
    <n v="30"/>
    <n v="72"/>
    <x v="3"/>
  </r>
  <r>
    <x v="257"/>
    <x v="9"/>
    <x v="42"/>
    <s v="VIERNES"/>
    <x v="36"/>
    <x v="36"/>
    <n v="180"/>
    <n v="90"/>
    <n v="72"/>
    <x v="3"/>
  </r>
  <r>
    <x v="257"/>
    <x v="9"/>
    <x v="42"/>
    <s v="VIERNES"/>
    <x v="0"/>
    <x v="0"/>
    <n v="960"/>
    <n v="48"/>
    <n v="384"/>
    <x v="3"/>
  </r>
  <r>
    <x v="257"/>
    <x v="9"/>
    <x v="42"/>
    <s v="VIERNES"/>
    <x v="22"/>
    <x v="22"/>
    <n v="396"/>
    <n v="198"/>
    <n v="67.320000000000007"/>
    <x v="3"/>
  </r>
  <r>
    <x v="257"/>
    <x v="9"/>
    <x v="42"/>
    <s v="VIERNES"/>
    <x v="3"/>
    <x v="3"/>
    <n v="396"/>
    <n v="198"/>
    <n v="67.320000000000007"/>
    <x v="3"/>
  </r>
  <r>
    <x v="257"/>
    <x v="9"/>
    <x v="42"/>
    <s v="VIERNES"/>
    <x v="4"/>
    <x v="4"/>
    <n v="810"/>
    <n v="162"/>
    <n v="137.70000000000002"/>
    <x v="3"/>
  </r>
  <r>
    <x v="257"/>
    <x v="9"/>
    <x v="42"/>
    <s v="VIERNES"/>
    <x v="5"/>
    <x v="5"/>
    <n v="324"/>
    <n v="162"/>
    <n v="55.080000000000005"/>
    <x v="3"/>
  </r>
  <r>
    <x v="257"/>
    <x v="9"/>
    <x v="42"/>
    <s v="VIERNES"/>
    <x v="17"/>
    <x v="17"/>
    <n v="1800"/>
    <n v="120"/>
    <n v="306"/>
    <x v="3"/>
  </r>
  <r>
    <x v="257"/>
    <x v="9"/>
    <x v="42"/>
    <s v="VIERNES"/>
    <x v="7"/>
    <x v="7"/>
    <n v="1440"/>
    <n v="198"/>
    <n v="244.8"/>
    <x v="3"/>
  </r>
  <r>
    <x v="257"/>
    <x v="9"/>
    <x v="42"/>
    <s v="VIERNES"/>
    <x v="11"/>
    <x v="11"/>
    <n v="1440"/>
    <n v="90"/>
    <n v="244.8"/>
    <x v="3"/>
  </r>
  <r>
    <x v="257"/>
    <x v="9"/>
    <x v="42"/>
    <s v="VIERNES"/>
    <x v="35"/>
    <x v="35"/>
    <n v="1800"/>
    <n v="180"/>
    <n v="756"/>
    <x v="3"/>
  </r>
  <r>
    <x v="257"/>
    <x v="9"/>
    <x v="42"/>
    <s v="VIERNES"/>
    <x v="69"/>
    <x v="53"/>
    <n v="180"/>
    <n v="60"/>
    <n v="124.19999999999999"/>
    <x v="3"/>
  </r>
  <r>
    <x v="257"/>
    <x v="9"/>
    <x v="42"/>
    <s v="VIERNES"/>
    <x v="36"/>
    <x v="36"/>
    <n v="720"/>
    <n v="90"/>
    <n v="288"/>
    <x v="3"/>
  </r>
  <r>
    <x v="257"/>
    <x v="9"/>
    <x v="42"/>
    <s v="VIERNES"/>
    <x v="24"/>
    <x v="24"/>
    <n v="2100"/>
    <n v="420"/>
    <n v="882"/>
    <x v="3"/>
  </r>
  <r>
    <x v="257"/>
    <x v="9"/>
    <x v="42"/>
    <s v="VIERNES"/>
    <x v="19"/>
    <x v="19"/>
    <n v="225"/>
    <n v="225"/>
    <n v="90"/>
    <x v="3"/>
  </r>
  <r>
    <x v="257"/>
    <x v="9"/>
    <x v="42"/>
    <s v="VIERNES"/>
    <x v="42"/>
    <x v="42"/>
    <n v="750"/>
    <n v="420"/>
    <n v="315"/>
    <x v="3"/>
  </r>
  <r>
    <x v="257"/>
    <x v="9"/>
    <x v="42"/>
    <s v="VIERNES"/>
    <x v="69"/>
    <x v="53"/>
    <n v="120"/>
    <n v="60"/>
    <n v="82.8"/>
    <x v="3"/>
  </r>
  <r>
    <x v="258"/>
    <x v="9"/>
    <x v="42"/>
    <s v="JUEVES"/>
    <x v="38"/>
    <x v="38"/>
    <n v="560"/>
    <n v="112"/>
    <n v="224"/>
    <x v="3"/>
  </r>
  <r>
    <x v="258"/>
    <x v="9"/>
    <x v="42"/>
    <s v="JUEVES"/>
    <x v="32"/>
    <x v="32"/>
    <n v="1260"/>
    <n v="420"/>
    <n v="529.19999999999993"/>
    <x v="3"/>
  </r>
  <r>
    <x v="258"/>
    <x v="9"/>
    <x v="42"/>
    <s v="JUEVES"/>
    <x v="16"/>
    <x v="16"/>
    <n v="900"/>
    <n v="180"/>
    <n v="378"/>
    <x v="3"/>
  </r>
  <r>
    <x v="258"/>
    <x v="9"/>
    <x v="42"/>
    <s v="JUEVES"/>
    <x v="10"/>
    <x v="10"/>
    <n v="2400"/>
    <n v="120"/>
    <n v="408.00000000000006"/>
    <x v="3"/>
  </r>
  <r>
    <x v="258"/>
    <x v="9"/>
    <x v="42"/>
    <s v="JUEVES"/>
    <x v="25"/>
    <x v="25"/>
    <n v="1350"/>
    <n v="225"/>
    <n v="567"/>
    <x v="3"/>
  </r>
  <r>
    <x v="258"/>
    <x v="9"/>
    <x v="42"/>
    <s v="JUEVES"/>
    <x v="19"/>
    <x v="19"/>
    <n v="225"/>
    <n v="225"/>
    <n v="90"/>
    <x v="3"/>
  </r>
  <r>
    <x v="258"/>
    <x v="9"/>
    <x v="42"/>
    <s v="JUEVES"/>
    <x v="43"/>
    <x v="43"/>
    <n v="1000"/>
    <n v="420"/>
    <n v="420"/>
    <x v="3"/>
  </r>
  <r>
    <x v="258"/>
    <x v="9"/>
    <x v="42"/>
    <s v="JUEVES"/>
    <x v="15"/>
    <x v="15"/>
    <n v="200"/>
    <n v="50"/>
    <n v="80"/>
    <x v="3"/>
  </r>
  <r>
    <x v="258"/>
    <x v="9"/>
    <x v="42"/>
    <s v="JUEVES"/>
    <x v="1"/>
    <x v="1"/>
    <n v="216"/>
    <n v="198"/>
    <n v="36.720000000000006"/>
    <x v="3"/>
  </r>
  <r>
    <x v="258"/>
    <x v="9"/>
    <x v="42"/>
    <s v="JUEVES"/>
    <x v="2"/>
    <x v="2"/>
    <n v="1728"/>
    <n v="198"/>
    <n v="293.76000000000005"/>
    <x v="3"/>
  </r>
  <r>
    <x v="258"/>
    <x v="9"/>
    <x v="42"/>
    <s v="JUEVES"/>
    <x v="7"/>
    <x v="7"/>
    <n v="1080"/>
    <n v="198"/>
    <n v="183.60000000000002"/>
    <x v="3"/>
  </r>
  <r>
    <x v="258"/>
    <x v="9"/>
    <x v="42"/>
    <s v="JUEVES"/>
    <x v="10"/>
    <x v="10"/>
    <n v="8160"/>
    <n v="120"/>
    <n v="1387.2"/>
    <x v="3"/>
  </r>
  <r>
    <x v="258"/>
    <x v="9"/>
    <x v="42"/>
    <s v="JUEVES"/>
    <x v="11"/>
    <x v="11"/>
    <n v="810"/>
    <n v="90"/>
    <n v="137.70000000000002"/>
    <x v="3"/>
  </r>
  <r>
    <x v="258"/>
    <x v="9"/>
    <x v="42"/>
    <s v="JUEVES"/>
    <x v="42"/>
    <x v="42"/>
    <n v="250"/>
    <n v="420"/>
    <n v="105"/>
    <x v="3"/>
  </r>
  <r>
    <x v="258"/>
    <x v="9"/>
    <x v="42"/>
    <s v="JUEVES"/>
    <x v="64"/>
    <x v="48"/>
    <n v="240"/>
    <n v="30"/>
    <n v="50.4"/>
    <x v="3"/>
  </r>
  <r>
    <x v="258"/>
    <x v="9"/>
    <x v="42"/>
    <s v="JUEVES"/>
    <x v="24"/>
    <x v="24"/>
    <n v="1680"/>
    <n v="420"/>
    <n v="705.6"/>
    <x v="3"/>
  </r>
  <r>
    <x v="258"/>
    <x v="9"/>
    <x v="42"/>
    <s v="JUEVES"/>
    <x v="25"/>
    <x v="25"/>
    <n v="1800"/>
    <n v="225"/>
    <n v="756"/>
    <x v="3"/>
  </r>
  <r>
    <x v="258"/>
    <x v="9"/>
    <x v="42"/>
    <s v="JUEVES"/>
    <x v="43"/>
    <x v="43"/>
    <n v="1000"/>
    <n v="420"/>
    <n v="420"/>
    <x v="3"/>
  </r>
  <r>
    <x v="258"/>
    <x v="9"/>
    <x v="42"/>
    <s v="JUEVES"/>
    <x v="24"/>
    <x v="24"/>
    <n v="2520"/>
    <n v="420"/>
    <n v="1058.3999999999999"/>
    <x v="3"/>
  </r>
  <r>
    <x v="258"/>
    <x v="9"/>
    <x v="42"/>
    <s v="JUEVES"/>
    <x v="1"/>
    <x v="1"/>
    <n v="3024"/>
    <n v="198"/>
    <n v="514.08000000000004"/>
    <x v="3"/>
  </r>
  <r>
    <x v="258"/>
    <x v="9"/>
    <x v="42"/>
    <s v="JUEVES"/>
    <x v="2"/>
    <x v="2"/>
    <n v="432"/>
    <n v="198"/>
    <n v="73.440000000000012"/>
    <x v="3"/>
  </r>
  <r>
    <x v="258"/>
    <x v="9"/>
    <x v="42"/>
    <s v="JUEVES"/>
    <x v="6"/>
    <x v="6"/>
    <n v="3600"/>
    <n v="120"/>
    <n v="612"/>
    <x v="3"/>
  </r>
  <r>
    <x v="258"/>
    <x v="9"/>
    <x v="42"/>
    <s v="JUEVES"/>
    <x v="17"/>
    <x v="17"/>
    <n v="1800"/>
    <n v="120"/>
    <n v="306"/>
    <x v="3"/>
  </r>
  <r>
    <x v="258"/>
    <x v="9"/>
    <x v="42"/>
    <s v="JUEVES"/>
    <x v="9"/>
    <x v="9"/>
    <n v="450"/>
    <n v="90"/>
    <n v="76.5"/>
    <x v="3"/>
  </r>
  <r>
    <x v="258"/>
    <x v="9"/>
    <x v="42"/>
    <s v="JUEVES"/>
    <x v="10"/>
    <x v="10"/>
    <n v="1440"/>
    <n v="120"/>
    <n v="244.8"/>
    <x v="3"/>
  </r>
  <r>
    <x v="258"/>
    <x v="9"/>
    <x v="42"/>
    <s v="JUEVES"/>
    <x v="26"/>
    <x v="26"/>
    <n v="450"/>
    <n v="90"/>
    <n v="76.5"/>
    <x v="3"/>
  </r>
  <r>
    <x v="258"/>
    <x v="9"/>
    <x v="42"/>
    <s v="JUEVES"/>
    <x v="11"/>
    <x v="11"/>
    <n v="1080"/>
    <n v="90"/>
    <n v="183.60000000000002"/>
    <x v="3"/>
  </r>
  <r>
    <x v="256"/>
    <x v="9"/>
    <x v="42"/>
    <s v="MIÉRCOLES"/>
    <x v="32"/>
    <x v="32"/>
    <n v="1260"/>
    <n v="420"/>
    <n v="529.19999999999993"/>
    <x v="3"/>
  </r>
  <r>
    <x v="256"/>
    <x v="9"/>
    <x v="42"/>
    <s v="MIÉRCOLES"/>
    <x v="39"/>
    <x v="39"/>
    <n v="2100"/>
    <n v="420"/>
    <n v="882"/>
    <x v="3"/>
  </r>
  <r>
    <x v="256"/>
    <x v="9"/>
    <x v="42"/>
    <s v="MIÉRCOLES"/>
    <x v="1"/>
    <x v="1"/>
    <n v="864"/>
    <n v="198"/>
    <n v="146.88000000000002"/>
    <x v="3"/>
  </r>
  <r>
    <x v="256"/>
    <x v="9"/>
    <x v="42"/>
    <s v="MIÉRCOLES"/>
    <x v="2"/>
    <x v="2"/>
    <n v="864"/>
    <n v="198"/>
    <n v="146.88000000000002"/>
    <x v="3"/>
  </r>
  <r>
    <x v="256"/>
    <x v="9"/>
    <x v="42"/>
    <s v="MIÉRCOLES"/>
    <x v="10"/>
    <x v="10"/>
    <n v="1200"/>
    <n v="120"/>
    <n v="204.00000000000003"/>
    <x v="3"/>
  </r>
  <r>
    <x v="256"/>
    <x v="9"/>
    <x v="42"/>
    <s v="MIÉRCOLES"/>
    <x v="11"/>
    <x v="11"/>
    <n v="720"/>
    <n v="90"/>
    <n v="122.4"/>
    <x v="3"/>
  </r>
  <r>
    <x v="256"/>
    <x v="9"/>
    <x v="42"/>
    <s v="MIÉRCOLES"/>
    <x v="35"/>
    <x v="35"/>
    <n v="900"/>
    <n v="180"/>
    <n v="378"/>
    <x v="3"/>
  </r>
  <r>
    <x v="256"/>
    <x v="9"/>
    <x v="42"/>
    <s v="MIÉRCOLES"/>
    <x v="32"/>
    <x v="32"/>
    <n v="840"/>
    <n v="420"/>
    <n v="352.8"/>
    <x v="3"/>
  </r>
  <r>
    <x v="256"/>
    <x v="9"/>
    <x v="42"/>
    <s v="MIÉRCOLES"/>
    <x v="16"/>
    <x v="16"/>
    <n v="1440"/>
    <n v="180"/>
    <n v="604.79999999999995"/>
    <x v="3"/>
  </r>
  <r>
    <x v="256"/>
    <x v="9"/>
    <x v="42"/>
    <s v="MIÉRCOLES"/>
    <x v="1"/>
    <x v="1"/>
    <n v="1296"/>
    <n v="198"/>
    <n v="220.32000000000002"/>
    <x v="3"/>
  </r>
  <r>
    <x v="256"/>
    <x v="9"/>
    <x v="42"/>
    <s v="MIÉRCOLES"/>
    <x v="2"/>
    <x v="2"/>
    <n v="1296"/>
    <n v="198"/>
    <n v="220.32000000000002"/>
    <x v="3"/>
  </r>
  <r>
    <x v="256"/>
    <x v="9"/>
    <x v="42"/>
    <s v="MIÉRCOLES"/>
    <x v="9"/>
    <x v="9"/>
    <n v="450"/>
    <n v="90"/>
    <n v="76.5"/>
    <x v="3"/>
  </r>
  <r>
    <x v="256"/>
    <x v="9"/>
    <x v="42"/>
    <s v="MIÉRCOLES"/>
    <x v="10"/>
    <x v="10"/>
    <n v="10800"/>
    <n v="120"/>
    <n v="1836.0000000000002"/>
    <x v="3"/>
  </r>
  <r>
    <x v="256"/>
    <x v="9"/>
    <x v="42"/>
    <s v="MIÉRCOLES"/>
    <x v="11"/>
    <x v="11"/>
    <n v="1440"/>
    <n v="90"/>
    <n v="244.8"/>
    <x v="3"/>
  </r>
  <r>
    <x v="256"/>
    <x v="9"/>
    <x v="42"/>
    <s v="MIÉRCOLES"/>
    <x v="19"/>
    <x v="19"/>
    <n v="450"/>
    <n v="225"/>
    <n v="180"/>
    <x v="3"/>
  </r>
  <r>
    <x v="259"/>
    <x v="9"/>
    <x v="43"/>
    <s v="MARTES"/>
    <x v="0"/>
    <x v="0"/>
    <n v="288"/>
    <n v="48"/>
    <n v="115.2"/>
    <x v="3"/>
  </r>
  <r>
    <x v="259"/>
    <x v="9"/>
    <x v="43"/>
    <s v="MARTES"/>
    <x v="11"/>
    <x v="11"/>
    <n v="450"/>
    <n v="90"/>
    <n v="76.5"/>
    <x v="3"/>
  </r>
  <r>
    <x v="259"/>
    <x v="9"/>
    <x v="43"/>
    <s v="MARTES"/>
    <x v="20"/>
    <x v="20"/>
    <n v="450"/>
    <n v="90"/>
    <n v="76.5"/>
    <x v="3"/>
  </r>
  <r>
    <x v="259"/>
    <x v="9"/>
    <x v="43"/>
    <s v="MARTES"/>
    <x v="64"/>
    <x v="48"/>
    <n v="240"/>
    <n v="30"/>
    <n v="50.4"/>
    <x v="3"/>
  </r>
  <r>
    <x v="259"/>
    <x v="9"/>
    <x v="43"/>
    <s v="MARTES"/>
    <x v="72"/>
    <x v="56"/>
    <n v="1250"/>
    <n v="250"/>
    <n v="525"/>
    <x v="3"/>
  </r>
  <r>
    <x v="259"/>
    <x v="9"/>
    <x v="43"/>
    <s v="MARTES"/>
    <x v="44"/>
    <x v="44"/>
    <n v="750"/>
    <n v="420"/>
    <n v="315"/>
    <x v="3"/>
  </r>
  <r>
    <x v="259"/>
    <x v="9"/>
    <x v="43"/>
    <s v="MARTES"/>
    <x v="36"/>
    <x v="36"/>
    <n v="450"/>
    <n v="90"/>
    <n v="180"/>
    <x v="3"/>
  </r>
  <r>
    <x v="259"/>
    <x v="9"/>
    <x v="43"/>
    <s v="MARTES"/>
    <x v="0"/>
    <x v="0"/>
    <n v="1152"/>
    <n v="48"/>
    <n v="460.8"/>
    <x v="3"/>
  </r>
  <r>
    <x v="259"/>
    <x v="9"/>
    <x v="43"/>
    <s v="MARTES"/>
    <x v="16"/>
    <x v="16"/>
    <n v="540"/>
    <n v="180"/>
    <n v="226.79999999999998"/>
    <x v="3"/>
  </r>
  <r>
    <x v="259"/>
    <x v="9"/>
    <x v="43"/>
    <s v="MARTES"/>
    <x v="6"/>
    <x v="6"/>
    <n v="720"/>
    <n v="120"/>
    <n v="122.4"/>
    <x v="3"/>
  </r>
  <r>
    <x v="259"/>
    <x v="9"/>
    <x v="43"/>
    <s v="MARTES"/>
    <x v="17"/>
    <x v="17"/>
    <n v="360"/>
    <n v="120"/>
    <n v="61.2"/>
    <x v="3"/>
  </r>
  <r>
    <x v="259"/>
    <x v="9"/>
    <x v="43"/>
    <s v="MARTES"/>
    <x v="10"/>
    <x v="10"/>
    <n v="4320"/>
    <n v="120"/>
    <n v="734.40000000000009"/>
    <x v="3"/>
  </r>
  <r>
    <x v="259"/>
    <x v="9"/>
    <x v="43"/>
    <s v="MARTES"/>
    <x v="11"/>
    <x v="11"/>
    <n v="1440"/>
    <n v="90"/>
    <n v="244.8"/>
    <x v="3"/>
  </r>
  <r>
    <x v="259"/>
    <x v="9"/>
    <x v="43"/>
    <s v="MARTES"/>
    <x v="64"/>
    <x v="48"/>
    <n v="360"/>
    <n v="30"/>
    <n v="75.599999999999994"/>
    <x v="3"/>
  </r>
  <r>
    <x v="259"/>
    <x v="9"/>
    <x v="43"/>
    <s v="MARTES"/>
    <x v="66"/>
    <x v="50"/>
    <n v="1200"/>
    <n v="200"/>
    <n v="504"/>
    <x v="3"/>
  </r>
  <r>
    <x v="259"/>
    <x v="9"/>
    <x v="43"/>
    <s v="MARTES"/>
    <x v="40"/>
    <x v="40"/>
    <n v="336"/>
    <n v="240"/>
    <n v="134.4"/>
    <x v="3"/>
  </r>
  <r>
    <x v="259"/>
    <x v="9"/>
    <x v="43"/>
    <s v="MARTES"/>
    <x v="24"/>
    <x v="24"/>
    <n v="2100"/>
    <n v="420"/>
    <n v="882"/>
    <x v="3"/>
  </r>
  <r>
    <x v="259"/>
    <x v="9"/>
    <x v="43"/>
    <s v="MARTES"/>
    <x v="1"/>
    <x v="1"/>
    <n v="1080"/>
    <n v="198"/>
    <n v="183.60000000000002"/>
    <x v="3"/>
  </r>
  <r>
    <x v="259"/>
    <x v="9"/>
    <x v="43"/>
    <s v="MARTES"/>
    <x v="4"/>
    <x v="4"/>
    <n v="486"/>
    <n v="162"/>
    <n v="82.62"/>
    <x v="3"/>
  </r>
  <r>
    <x v="259"/>
    <x v="9"/>
    <x v="43"/>
    <s v="MARTES"/>
    <x v="5"/>
    <x v="5"/>
    <n v="324"/>
    <n v="162"/>
    <n v="55.080000000000005"/>
    <x v="3"/>
  </r>
  <r>
    <x v="259"/>
    <x v="9"/>
    <x v="43"/>
    <s v="MARTES"/>
    <x v="6"/>
    <x v="6"/>
    <n v="2880"/>
    <n v="120"/>
    <n v="489.6"/>
    <x v="3"/>
  </r>
  <r>
    <x v="259"/>
    <x v="9"/>
    <x v="43"/>
    <s v="MARTES"/>
    <x v="17"/>
    <x v="17"/>
    <n v="1440"/>
    <n v="120"/>
    <n v="244.8"/>
    <x v="3"/>
  </r>
  <r>
    <x v="259"/>
    <x v="9"/>
    <x v="43"/>
    <s v="MARTES"/>
    <x v="7"/>
    <x v="7"/>
    <n v="1080"/>
    <n v="198"/>
    <n v="183.60000000000002"/>
    <x v="3"/>
  </r>
  <r>
    <x v="259"/>
    <x v="9"/>
    <x v="43"/>
    <s v="MARTES"/>
    <x v="8"/>
    <x v="8"/>
    <n v="1080"/>
    <n v="198"/>
    <n v="183.60000000000002"/>
    <x v="3"/>
  </r>
  <r>
    <x v="259"/>
    <x v="9"/>
    <x v="43"/>
    <s v="MARTES"/>
    <x v="10"/>
    <x v="10"/>
    <n v="2880"/>
    <n v="120"/>
    <n v="489.6"/>
    <x v="3"/>
  </r>
  <r>
    <x v="259"/>
    <x v="9"/>
    <x v="43"/>
    <s v="MARTES"/>
    <x v="25"/>
    <x v="25"/>
    <n v="900"/>
    <n v="225"/>
    <n v="378"/>
    <x v="3"/>
  </r>
  <r>
    <x v="259"/>
    <x v="9"/>
    <x v="43"/>
    <s v="MARTES"/>
    <x v="12"/>
    <x v="12"/>
    <n v="225"/>
    <n v="225"/>
    <n v="90"/>
    <x v="3"/>
  </r>
  <r>
    <x v="259"/>
    <x v="9"/>
    <x v="43"/>
    <s v="MARTES"/>
    <x v="19"/>
    <x v="19"/>
    <n v="450"/>
    <n v="225"/>
    <n v="180"/>
    <x v="3"/>
  </r>
  <r>
    <x v="259"/>
    <x v="9"/>
    <x v="43"/>
    <s v="MARTES"/>
    <x v="42"/>
    <x v="42"/>
    <n v="250"/>
    <n v="420"/>
    <n v="105"/>
    <x v="3"/>
  </r>
  <r>
    <x v="259"/>
    <x v="9"/>
    <x v="43"/>
    <s v="MARTES"/>
    <x v="43"/>
    <x v="43"/>
    <n v="250"/>
    <n v="420"/>
    <n v="105"/>
    <x v="3"/>
  </r>
  <r>
    <x v="260"/>
    <x v="9"/>
    <x v="43"/>
    <s v="LUNES"/>
    <x v="28"/>
    <x v="28"/>
    <n v="120"/>
    <n v="30"/>
    <n v="27.6"/>
    <x v="3"/>
  </r>
  <r>
    <x v="260"/>
    <x v="9"/>
    <x v="43"/>
    <s v="LUNES"/>
    <x v="33"/>
    <x v="33"/>
    <n v="80"/>
    <n v="40"/>
    <n v="18.400000000000002"/>
    <x v="3"/>
  </r>
  <r>
    <x v="260"/>
    <x v="9"/>
    <x v="43"/>
    <s v="LUNES"/>
    <x v="14"/>
    <x v="14"/>
    <n v="80"/>
    <n v="40"/>
    <n v="18.400000000000002"/>
    <x v="3"/>
  </r>
  <r>
    <x v="260"/>
    <x v="9"/>
    <x v="43"/>
    <s v="LUNES"/>
    <x v="15"/>
    <x v="15"/>
    <n v="400"/>
    <n v="50"/>
    <n v="160"/>
    <x v="3"/>
  </r>
  <r>
    <x v="260"/>
    <x v="9"/>
    <x v="43"/>
    <s v="LUNES"/>
    <x v="1"/>
    <x v="1"/>
    <n v="1296"/>
    <n v="198"/>
    <n v="220.32000000000002"/>
    <x v="3"/>
  </r>
  <r>
    <x v="260"/>
    <x v="9"/>
    <x v="43"/>
    <s v="LUNES"/>
    <x v="3"/>
    <x v="3"/>
    <n v="1950"/>
    <n v="198"/>
    <n v="331.5"/>
    <x v="3"/>
  </r>
  <r>
    <x v="260"/>
    <x v="9"/>
    <x v="43"/>
    <s v="LUNES"/>
    <x v="7"/>
    <x v="7"/>
    <n v="1728"/>
    <n v="198"/>
    <n v="293.76000000000005"/>
    <x v="3"/>
  </r>
  <r>
    <x v="260"/>
    <x v="9"/>
    <x v="43"/>
    <s v="LUNES"/>
    <x v="8"/>
    <x v="8"/>
    <n v="864"/>
    <n v="198"/>
    <n v="146.88000000000002"/>
    <x v="3"/>
  </r>
  <r>
    <x v="260"/>
    <x v="9"/>
    <x v="43"/>
    <s v="LUNES"/>
    <x v="9"/>
    <x v="9"/>
    <n v="450"/>
    <n v="90"/>
    <n v="76.5"/>
    <x v="3"/>
  </r>
  <r>
    <x v="260"/>
    <x v="9"/>
    <x v="43"/>
    <s v="LUNES"/>
    <x v="10"/>
    <x v="10"/>
    <n v="4320"/>
    <n v="120"/>
    <n v="734.40000000000009"/>
    <x v="3"/>
  </r>
  <r>
    <x v="260"/>
    <x v="9"/>
    <x v="43"/>
    <s v="LUNES"/>
    <x v="26"/>
    <x v="26"/>
    <n v="180"/>
    <n v="90"/>
    <n v="30.6"/>
    <x v="3"/>
  </r>
  <r>
    <x v="260"/>
    <x v="9"/>
    <x v="43"/>
    <s v="LUNES"/>
    <x v="11"/>
    <x v="11"/>
    <n v="1440"/>
    <n v="90"/>
    <n v="244.8"/>
    <x v="3"/>
  </r>
  <r>
    <x v="260"/>
    <x v="9"/>
    <x v="43"/>
    <s v="LUNES"/>
    <x v="20"/>
    <x v="20"/>
    <n v="180"/>
    <n v="90"/>
    <n v="30.6"/>
    <x v="3"/>
  </r>
  <r>
    <x v="260"/>
    <x v="9"/>
    <x v="43"/>
    <s v="LUNES"/>
    <x v="43"/>
    <x v="43"/>
    <n v="500"/>
    <n v="420"/>
    <n v="210"/>
    <x v="3"/>
  </r>
  <r>
    <x v="260"/>
    <x v="9"/>
    <x v="43"/>
    <s v="LUNES"/>
    <x v="64"/>
    <x v="48"/>
    <n v="240"/>
    <n v="30"/>
    <n v="50.4"/>
    <x v="3"/>
  </r>
  <r>
    <x v="260"/>
    <x v="9"/>
    <x v="43"/>
    <s v="LUNES"/>
    <x v="13"/>
    <x v="13"/>
    <n v="240"/>
    <n v="30"/>
    <n v="96"/>
    <x v="3"/>
  </r>
  <r>
    <x v="260"/>
    <x v="9"/>
    <x v="43"/>
    <s v="LUNES"/>
    <x v="16"/>
    <x v="16"/>
    <n v="900"/>
    <n v="180"/>
    <n v="378"/>
    <x v="3"/>
  </r>
  <r>
    <x v="260"/>
    <x v="9"/>
    <x v="43"/>
    <s v="LUNES"/>
    <x v="1"/>
    <x v="1"/>
    <n v="1944"/>
    <n v="198"/>
    <n v="330.48"/>
    <x v="3"/>
  </r>
  <r>
    <x v="260"/>
    <x v="9"/>
    <x v="43"/>
    <s v="LUNES"/>
    <x v="2"/>
    <x v="2"/>
    <n v="1728"/>
    <n v="198"/>
    <n v="293.76000000000005"/>
    <x v="3"/>
  </r>
  <r>
    <x v="260"/>
    <x v="9"/>
    <x v="43"/>
    <s v="LUNES"/>
    <x v="22"/>
    <x v="22"/>
    <n v="990"/>
    <n v="198"/>
    <n v="168.3"/>
    <x v="3"/>
  </r>
  <r>
    <x v="260"/>
    <x v="9"/>
    <x v="43"/>
    <s v="LUNES"/>
    <x v="7"/>
    <x v="7"/>
    <n v="432"/>
    <n v="198"/>
    <n v="73.440000000000012"/>
    <x v="3"/>
  </r>
  <r>
    <x v="260"/>
    <x v="9"/>
    <x v="43"/>
    <s v="LUNES"/>
    <x v="8"/>
    <x v="8"/>
    <n v="1296"/>
    <n v="198"/>
    <n v="220.32000000000002"/>
    <x v="3"/>
  </r>
  <r>
    <x v="260"/>
    <x v="9"/>
    <x v="43"/>
    <s v="LUNES"/>
    <x v="9"/>
    <x v="9"/>
    <n v="990"/>
    <n v="90"/>
    <n v="168.3"/>
    <x v="3"/>
  </r>
  <r>
    <x v="260"/>
    <x v="9"/>
    <x v="43"/>
    <s v="LUNES"/>
    <x v="23"/>
    <x v="23"/>
    <n v="720"/>
    <n v="90"/>
    <n v="122.4"/>
    <x v="3"/>
  </r>
  <r>
    <x v="260"/>
    <x v="9"/>
    <x v="43"/>
    <s v="LUNES"/>
    <x v="11"/>
    <x v="11"/>
    <n v="1440"/>
    <n v="90"/>
    <n v="244.8"/>
    <x v="3"/>
  </r>
  <r>
    <x v="260"/>
    <x v="9"/>
    <x v="43"/>
    <s v="LUNES"/>
    <x v="20"/>
    <x v="20"/>
    <n v="720"/>
    <n v="90"/>
    <n v="122.4"/>
    <x v="3"/>
  </r>
  <r>
    <x v="260"/>
    <x v="9"/>
    <x v="43"/>
    <s v="LUNES"/>
    <x v="12"/>
    <x v="12"/>
    <n v="1125"/>
    <n v="225"/>
    <n v="450"/>
    <x v="3"/>
  </r>
  <r>
    <x v="260"/>
    <x v="9"/>
    <x v="43"/>
    <s v="LUNES"/>
    <x v="19"/>
    <x v="19"/>
    <n v="225"/>
    <n v="225"/>
    <n v="90"/>
    <x v="3"/>
  </r>
  <r>
    <x v="260"/>
    <x v="9"/>
    <x v="43"/>
    <s v="LUNES"/>
    <x v="42"/>
    <x v="42"/>
    <n v="750"/>
    <n v="420"/>
    <n v="315"/>
    <x v="3"/>
  </r>
  <r>
    <x v="260"/>
    <x v="9"/>
    <x v="43"/>
    <s v="LUNES"/>
    <x v="43"/>
    <x v="43"/>
    <n v="500"/>
    <n v="420"/>
    <n v="210"/>
    <x v="3"/>
  </r>
  <r>
    <x v="260"/>
    <x v="9"/>
    <x v="43"/>
    <s v="LUNES"/>
    <x v="24"/>
    <x v="24"/>
    <n v="4200"/>
    <n v="420"/>
    <n v="1764"/>
    <x v="3"/>
  </r>
  <r>
    <x v="260"/>
    <x v="9"/>
    <x v="43"/>
    <s v="LUNES"/>
    <x v="9"/>
    <x v="9"/>
    <n v="720"/>
    <n v="90"/>
    <n v="122.4"/>
    <x v="3"/>
  </r>
  <r>
    <x v="260"/>
    <x v="9"/>
    <x v="43"/>
    <s v="LUNES"/>
    <x v="26"/>
    <x v="26"/>
    <n v="720"/>
    <n v="90"/>
    <n v="122.4"/>
    <x v="3"/>
  </r>
  <r>
    <x v="260"/>
    <x v="9"/>
    <x v="43"/>
    <s v="LUNES"/>
    <x v="23"/>
    <x v="23"/>
    <n v="1440"/>
    <n v="90"/>
    <n v="244.8"/>
    <x v="3"/>
  </r>
  <r>
    <x v="260"/>
    <x v="9"/>
    <x v="43"/>
    <s v="LUNES"/>
    <x v="25"/>
    <x v="25"/>
    <n v="2250"/>
    <n v="225"/>
    <n v="945"/>
    <x v="3"/>
  </r>
  <r>
    <x v="260"/>
    <x v="9"/>
    <x v="43"/>
    <s v="LUNES"/>
    <x v="19"/>
    <x v="19"/>
    <n v="225"/>
    <n v="225"/>
    <n v="90"/>
    <x v="3"/>
  </r>
  <r>
    <x v="261"/>
    <x v="9"/>
    <x v="43"/>
    <s v="SÁBADO"/>
    <x v="15"/>
    <x v="15"/>
    <n v="100"/>
    <n v="50"/>
    <n v="40"/>
    <x v="3"/>
  </r>
  <r>
    <x v="261"/>
    <x v="9"/>
    <x v="43"/>
    <s v="SÁBADO"/>
    <x v="36"/>
    <x v="36"/>
    <n v="1350"/>
    <n v="90"/>
    <n v="540"/>
    <x v="3"/>
  </r>
  <r>
    <x v="261"/>
    <x v="9"/>
    <x v="43"/>
    <s v="SÁBADO"/>
    <x v="0"/>
    <x v="0"/>
    <n v="960"/>
    <n v="48"/>
    <n v="384"/>
    <x v="3"/>
  </r>
  <r>
    <x v="261"/>
    <x v="9"/>
    <x v="43"/>
    <s v="SÁBADO"/>
    <x v="1"/>
    <x v="1"/>
    <n v="2160"/>
    <n v="198"/>
    <n v="367.20000000000005"/>
    <x v="3"/>
  </r>
  <r>
    <x v="261"/>
    <x v="9"/>
    <x v="43"/>
    <s v="SÁBADO"/>
    <x v="2"/>
    <x v="2"/>
    <n v="1512"/>
    <n v="198"/>
    <n v="257.04000000000002"/>
    <x v="3"/>
  </r>
  <r>
    <x v="261"/>
    <x v="9"/>
    <x v="43"/>
    <s v="SÁBADO"/>
    <x v="34"/>
    <x v="34"/>
    <n v="432"/>
    <n v="198"/>
    <n v="73.440000000000012"/>
    <x v="3"/>
  </r>
  <r>
    <x v="261"/>
    <x v="9"/>
    <x v="43"/>
    <s v="SÁBADO"/>
    <x v="22"/>
    <x v="22"/>
    <n v="792"/>
    <n v="198"/>
    <n v="134.64000000000001"/>
    <x v="3"/>
  </r>
  <r>
    <x v="261"/>
    <x v="9"/>
    <x v="43"/>
    <s v="SÁBADO"/>
    <x v="3"/>
    <x v="3"/>
    <n v="990"/>
    <n v="198"/>
    <n v="168.3"/>
    <x v="3"/>
  </r>
  <r>
    <x v="261"/>
    <x v="9"/>
    <x v="43"/>
    <s v="SÁBADO"/>
    <x v="4"/>
    <x v="4"/>
    <n v="1134"/>
    <n v="162"/>
    <n v="192.78"/>
    <x v="3"/>
  </r>
  <r>
    <x v="261"/>
    <x v="9"/>
    <x v="43"/>
    <s v="SÁBADO"/>
    <x v="5"/>
    <x v="5"/>
    <n v="972"/>
    <n v="162"/>
    <n v="165.24"/>
    <x v="3"/>
  </r>
  <r>
    <x v="261"/>
    <x v="9"/>
    <x v="43"/>
    <s v="SÁBADO"/>
    <x v="17"/>
    <x v="17"/>
    <n v="3000"/>
    <n v="120"/>
    <n v="510.00000000000006"/>
    <x v="3"/>
  </r>
  <r>
    <x v="261"/>
    <x v="9"/>
    <x v="43"/>
    <s v="SÁBADO"/>
    <x v="7"/>
    <x v="7"/>
    <n v="1080"/>
    <n v="198"/>
    <n v="183.60000000000002"/>
    <x v="3"/>
  </r>
  <r>
    <x v="261"/>
    <x v="9"/>
    <x v="43"/>
    <s v="SÁBADO"/>
    <x v="8"/>
    <x v="8"/>
    <n v="1080"/>
    <n v="198"/>
    <n v="183.60000000000002"/>
    <x v="3"/>
  </r>
  <r>
    <x v="261"/>
    <x v="9"/>
    <x v="43"/>
    <s v="SÁBADO"/>
    <x v="9"/>
    <x v="9"/>
    <n v="900"/>
    <n v="90"/>
    <n v="153"/>
    <x v="3"/>
  </r>
  <r>
    <x v="261"/>
    <x v="9"/>
    <x v="43"/>
    <s v="SÁBADO"/>
    <x v="26"/>
    <x v="26"/>
    <n v="900"/>
    <n v="90"/>
    <n v="153"/>
    <x v="3"/>
  </r>
  <r>
    <x v="261"/>
    <x v="9"/>
    <x v="43"/>
    <s v="SÁBADO"/>
    <x v="23"/>
    <x v="23"/>
    <n v="1170"/>
    <n v="90"/>
    <n v="198.9"/>
    <x v="3"/>
  </r>
  <r>
    <x v="261"/>
    <x v="9"/>
    <x v="43"/>
    <s v="SÁBADO"/>
    <x v="11"/>
    <x v="11"/>
    <n v="2340"/>
    <n v="90"/>
    <n v="397.8"/>
    <x v="3"/>
  </r>
  <r>
    <x v="261"/>
    <x v="9"/>
    <x v="43"/>
    <s v="SÁBADO"/>
    <x v="20"/>
    <x v="20"/>
    <n v="450"/>
    <n v="90"/>
    <n v="76.5"/>
    <x v="3"/>
  </r>
  <r>
    <x v="261"/>
    <x v="9"/>
    <x v="43"/>
    <s v="SÁBADO"/>
    <x v="25"/>
    <x v="25"/>
    <n v="2250"/>
    <n v="225"/>
    <n v="945"/>
    <x v="3"/>
  </r>
  <r>
    <x v="261"/>
    <x v="9"/>
    <x v="43"/>
    <s v="SÁBADO"/>
    <x v="12"/>
    <x v="12"/>
    <n v="450"/>
    <n v="225"/>
    <n v="180"/>
    <x v="3"/>
  </r>
  <r>
    <x v="261"/>
    <x v="9"/>
    <x v="43"/>
    <s v="SÁBADO"/>
    <x v="69"/>
    <x v="53"/>
    <n v="480"/>
    <n v="60"/>
    <n v="331.2"/>
    <x v="3"/>
  </r>
  <r>
    <x v="257"/>
    <x v="9"/>
    <x v="42"/>
    <s v="VIERNES"/>
    <x v="20"/>
    <x v="20"/>
    <n v="180"/>
    <n v="90"/>
    <n v="30.6"/>
    <x v="3"/>
  </r>
  <r>
    <x v="257"/>
    <x v="9"/>
    <x v="42"/>
    <s v="VIERNES"/>
    <x v="25"/>
    <x v="25"/>
    <n v="1350"/>
    <n v="225"/>
    <n v="567"/>
    <x v="3"/>
  </r>
  <r>
    <x v="257"/>
    <x v="9"/>
    <x v="42"/>
    <s v="VIERNES"/>
    <x v="69"/>
    <x v="53"/>
    <n v="660"/>
    <n v="60"/>
    <n v="455.4"/>
    <x v="3"/>
  </r>
  <r>
    <x v="257"/>
    <x v="9"/>
    <x v="42"/>
    <s v="VIERNES"/>
    <x v="3"/>
    <x v="3"/>
    <n v="594"/>
    <n v="198"/>
    <n v="100.98"/>
    <x v="3"/>
  </r>
  <r>
    <x v="257"/>
    <x v="9"/>
    <x v="42"/>
    <s v="VIERNES"/>
    <x v="28"/>
    <x v="28"/>
    <n v="180"/>
    <n v="30"/>
    <n v="41.4"/>
    <x v="3"/>
  </r>
  <r>
    <x v="257"/>
    <x v="9"/>
    <x v="42"/>
    <s v="VIERNES"/>
    <x v="33"/>
    <x v="33"/>
    <n v="120"/>
    <n v="40"/>
    <n v="27.6"/>
    <x v="3"/>
  </r>
  <r>
    <x v="257"/>
    <x v="9"/>
    <x v="42"/>
    <s v="VIERNES"/>
    <x v="13"/>
    <x v="13"/>
    <n v="210"/>
    <n v="30"/>
    <n v="84"/>
    <x v="3"/>
  </r>
  <r>
    <x v="257"/>
    <x v="9"/>
    <x v="42"/>
    <s v="VIERNES"/>
    <x v="14"/>
    <x v="14"/>
    <n v="120"/>
    <n v="40"/>
    <n v="27.6"/>
    <x v="3"/>
  </r>
  <r>
    <x v="257"/>
    <x v="9"/>
    <x v="42"/>
    <s v="VIERNES"/>
    <x v="15"/>
    <x v="15"/>
    <n v="250"/>
    <n v="50"/>
    <n v="100"/>
    <x v="3"/>
  </r>
  <r>
    <x v="257"/>
    <x v="9"/>
    <x v="42"/>
    <s v="VIERNES"/>
    <x v="0"/>
    <x v="0"/>
    <n v="480"/>
    <n v="48"/>
    <n v="192"/>
    <x v="3"/>
  </r>
  <r>
    <x v="257"/>
    <x v="9"/>
    <x v="42"/>
    <s v="VIERNES"/>
    <x v="24"/>
    <x v="24"/>
    <n v="4200"/>
    <n v="420"/>
    <n v="1764"/>
    <x v="3"/>
  </r>
  <r>
    <x v="257"/>
    <x v="9"/>
    <x v="42"/>
    <s v="VIERNES"/>
    <x v="32"/>
    <x v="32"/>
    <n v="840"/>
    <n v="420"/>
    <n v="352.8"/>
    <x v="3"/>
  </r>
  <r>
    <x v="257"/>
    <x v="9"/>
    <x v="42"/>
    <s v="VIERNES"/>
    <x v="1"/>
    <x v="1"/>
    <n v="2160"/>
    <n v="198"/>
    <n v="367.20000000000005"/>
    <x v="3"/>
  </r>
  <r>
    <x v="257"/>
    <x v="9"/>
    <x v="42"/>
    <s v="VIERNES"/>
    <x v="2"/>
    <x v="2"/>
    <n v="1728"/>
    <n v="198"/>
    <n v="293.76000000000005"/>
    <x v="3"/>
  </r>
  <r>
    <x v="257"/>
    <x v="9"/>
    <x v="42"/>
    <s v="VIERNES"/>
    <x v="22"/>
    <x v="22"/>
    <n v="198"/>
    <n v="198"/>
    <n v="33.660000000000004"/>
    <x v="3"/>
  </r>
  <r>
    <x v="257"/>
    <x v="9"/>
    <x v="42"/>
    <s v="VIERNES"/>
    <x v="7"/>
    <x v="7"/>
    <n v="216"/>
    <n v="198"/>
    <n v="36.720000000000006"/>
    <x v="3"/>
  </r>
  <r>
    <x v="257"/>
    <x v="9"/>
    <x v="42"/>
    <s v="VIERNES"/>
    <x v="9"/>
    <x v="9"/>
    <n v="720"/>
    <n v="90"/>
    <n v="122.4"/>
    <x v="3"/>
  </r>
  <r>
    <x v="257"/>
    <x v="9"/>
    <x v="42"/>
    <s v="VIERNES"/>
    <x v="26"/>
    <x v="26"/>
    <n v="450"/>
    <n v="90"/>
    <n v="76.5"/>
    <x v="3"/>
  </r>
  <r>
    <x v="257"/>
    <x v="9"/>
    <x v="42"/>
    <s v="VIERNES"/>
    <x v="23"/>
    <x v="23"/>
    <n v="450"/>
    <n v="90"/>
    <n v="76.5"/>
    <x v="3"/>
  </r>
  <r>
    <x v="259"/>
    <x v="9"/>
    <x v="43"/>
    <s v="MARTES"/>
    <x v="44"/>
    <x v="44"/>
    <n v="500"/>
    <n v="420"/>
    <n v="210"/>
    <x v="3"/>
  </r>
  <r>
    <x v="262"/>
    <x v="9"/>
    <x v="43"/>
    <s v="MIÉRCOLES"/>
    <x v="40"/>
    <x v="40"/>
    <n v="448"/>
    <n v="240"/>
    <n v="179.20000000000002"/>
    <x v="3"/>
  </r>
  <r>
    <x v="262"/>
    <x v="9"/>
    <x v="43"/>
    <s v="MIÉRCOLES"/>
    <x v="38"/>
    <x v="38"/>
    <n v="448"/>
    <n v="112"/>
    <n v="179.20000000000002"/>
    <x v="3"/>
  </r>
  <r>
    <x v="262"/>
    <x v="9"/>
    <x v="43"/>
    <s v="MIÉRCOLES"/>
    <x v="0"/>
    <x v="0"/>
    <n v="480"/>
    <n v="48"/>
    <n v="192"/>
    <x v="3"/>
  </r>
  <r>
    <x v="262"/>
    <x v="9"/>
    <x v="43"/>
    <s v="MIÉRCOLES"/>
    <x v="4"/>
    <x v="4"/>
    <n v="810"/>
    <n v="162"/>
    <n v="137.70000000000002"/>
    <x v="3"/>
  </r>
  <r>
    <x v="262"/>
    <x v="9"/>
    <x v="43"/>
    <s v="MIÉRCOLES"/>
    <x v="5"/>
    <x v="5"/>
    <n v="486"/>
    <n v="162"/>
    <n v="82.62"/>
    <x v="3"/>
  </r>
  <r>
    <x v="262"/>
    <x v="9"/>
    <x v="43"/>
    <s v="MIÉRCOLES"/>
    <x v="6"/>
    <x v="6"/>
    <n v="2640"/>
    <n v="120"/>
    <n v="448.8"/>
    <x v="3"/>
  </r>
  <r>
    <x v="262"/>
    <x v="9"/>
    <x v="43"/>
    <s v="MIÉRCOLES"/>
    <x v="11"/>
    <x v="11"/>
    <n v="2160"/>
    <n v="90"/>
    <n v="367.20000000000005"/>
    <x v="3"/>
  </r>
  <r>
    <x v="262"/>
    <x v="9"/>
    <x v="43"/>
    <s v="MIÉRCOLES"/>
    <x v="25"/>
    <x v="25"/>
    <n v="1350"/>
    <n v="225"/>
    <n v="567"/>
    <x v="3"/>
  </r>
  <r>
    <x v="263"/>
    <x v="9"/>
    <x v="43"/>
    <s v="JUEVES"/>
    <x v="33"/>
    <x v="33"/>
    <n v="80"/>
    <n v="40"/>
    <n v="18.400000000000002"/>
    <x v="3"/>
  </r>
  <r>
    <x v="263"/>
    <x v="9"/>
    <x v="43"/>
    <s v="JUEVES"/>
    <x v="15"/>
    <x v="15"/>
    <n v="250"/>
    <n v="50"/>
    <n v="100"/>
    <x v="3"/>
  </r>
  <r>
    <x v="263"/>
    <x v="9"/>
    <x v="43"/>
    <s v="JUEVES"/>
    <x v="3"/>
    <x v="3"/>
    <n v="396"/>
    <n v="198"/>
    <n v="67.320000000000007"/>
    <x v="3"/>
  </r>
  <r>
    <x v="263"/>
    <x v="9"/>
    <x v="43"/>
    <s v="JUEVES"/>
    <x v="6"/>
    <x v="6"/>
    <n v="480"/>
    <n v="120"/>
    <n v="81.600000000000009"/>
    <x v="3"/>
  </r>
  <r>
    <x v="263"/>
    <x v="9"/>
    <x v="43"/>
    <s v="JUEVES"/>
    <x v="8"/>
    <x v="8"/>
    <n v="1080"/>
    <n v="198"/>
    <n v="183.60000000000002"/>
    <x v="3"/>
  </r>
  <r>
    <x v="263"/>
    <x v="9"/>
    <x v="43"/>
    <s v="JUEVES"/>
    <x v="10"/>
    <x v="10"/>
    <n v="7200"/>
    <n v="120"/>
    <n v="1224"/>
    <x v="3"/>
  </r>
  <r>
    <x v="263"/>
    <x v="9"/>
    <x v="43"/>
    <s v="JUEVES"/>
    <x v="26"/>
    <x v="26"/>
    <n v="450"/>
    <n v="90"/>
    <n v="76.5"/>
    <x v="3"/>
  </r>
  <r>
    <x v="263"/>
    <x v="9"/>
    <x v="43"/>
    <s v="JUEVES"/>
    <x v="23"/>
    <x v="23"/>
    <n v="900"/>
    <n v="90"/>
    <n v="153"/>
    <x v="3"/>
  </r>
  <r>
    <x v="263"/>
    <x v="9"/>
    <x v="43"/>
    <s v="JUEVES"/>
    <x v="11"/>
    <x v="11"/>
    <n v="3960"/>
    <n v="90"/>
    <n v="673.2"/>
    <x v="3"/>
  </r>
  <r>
    <x v="263"/>
    <x v="9"/>
    <x v="43"/>
    <s v="JUEVES"/>
    <x v="20"/>
    <x v="20"/>
    <n v="450"/>
    <n v="90"/>
    <n v="76.5"/>
    <x v="3"/>
  </r>
  <r>
    <x v="263"/>
    <x v="9"/>
    <x v="43"/>
    <s v="JUEVES"/>
    <x v="64"/>
    <x v="48"/>
    <n v="120"/>
    <n v="30"/>
    <n v="25.2"/>
    <x v="3"/>
  </r>
  <r>
    <x v="263"/>
    <x v="9"/>
    <x v="43"/>
    <s v="JUEVES"/>
    <x v="38"/>
    <x v="38"/>
    <n v="896"/>
    <n v="112"/>
    <n v="358.40000000000003"/>
    <x v="3"/>
  </r>
  <r>
    <x v="263"/>
    <x v="9"/>
    <x v="43"/>
    <s v="JUEVES"/>
    <x v="1"/>
    <x v="1"/>
    <n v="2160"/>
    <n v="198"/>
    <n v="367.20000000000005"/>
    <x v="3"/>
  </r>
  <r>
    <x v="263"/>
    <x v="9"/>
    <x v="43"/>
    <s v="JUEVES"/>
    <x v="2"/>
    <x v="2"/>
    <n v="2160"/>
    <n v="198"/>
    <n v="367.20000000000005"/>
    <x v="3"/>
  </r>
  <r>
    <x v="263"/>
    <x v="9"/>
    <x v="43"/>
    <s v="JUEVES"/>
    <x v="22"/>
    <x v="22"/>
    <n v="792"/>
    <n v="198"/>
    <n v="134.64000000000001"/>
    <x v="3"/>
  </r>
  <r>
    <x v="263"/>
    <x v="9"/>
    <x v="43"/>
    <s v="JUEVES"/>
    <x v="6"/>
    <x v="6"/>
    <n v="5520"/>
    <n v="120"/>
    <n v="938.40000000000009"/>
    <x v="3"/>
  </r>
  <r>
    <x v="263"/>
    <x v="9"/>
    <x v="43"/>
    <s v="JUEVES"/>
    <x v="7"/>
    <x v="7"/>
    <n v="1080"/>
    <n v="198"/>
    <n v="183.60000000000002"/>
    <x v="3"/>
  </r>
  <r>
    <x v="263"/>
    <x v="9"/>
    <x v="43"/>
    <s v="JUEVES"/>
    <x v="10"/>
    <x v="10"/>
    <n v="480"/>
    <n v="120"/>
    <n v="81.600000000000009"/>
    <x v="3"/>
  </r>
  <r>
    <x v="263"/>
    <x v="9"/>
    <x v="43"/>
    <s v="JUEVES"/>
    <x v="11"/>
    <x v="11"/>
    <n v="540"/>
    <n v="90"/>
    <n v="91.800000000000011"/>
    <x v="3"/>
  </r>
  <r>
    <x v="263"/>
    <x v="9"/>
    <x v="43"/>
    <s v="JUEVES"/>
    <x v="25"/>
    <x v="25"/>
    <n v="1350"/>
    <n v="225"/>
    <n v="567"/>
    <x v="3"/>
  </r>
  <r>
    <x v="262"/>
    <x v="9"/>
    <x v="43"/>
    <s v="MIÉRCOLES"/>
    <x v="13"/>
    <x v="13"/>
    <n v="240"/>
    <n v="30"/>
    <n v="96"/>
    <x v="3"/>
  </r>
  <r>
    <x v="262"/>
    <x v="9"/>
    <x v="43"/>
    <s v="MIÉRCOLES"/>
    <x v="36"/>
    <x v="36"/>
    <n v="270"/>
    <n v="90"/>
    <n v="108"/>
    <x v="3"/>
  </r>
  <r>
    <x v="262"/>
    <x v="9"/>
    <x v="43"/>
    <s v="MIÉRCOLES"/>
    <x v="0"/>
    <x v="0"/>
    <n v="336"/>
    <n v="48"/>
    <n v="134.4"/>
    <x v="3"/>
  </r>
  <r>
    <x v="262"/>
    <x v="9"/>
    <x v="43"/>
    <s v="MIÉRCOLES"/>
    <x v="10"/>
    <x v="10"/>
    <n v="4320"/>
    <n v="120"/>
    <n v="734.40000000000009"/>
    <x v="3"/>
  </r>
  <r>
    <x v="262"/>
    <x v="9"/>
    <x v="43"/>
    <s v="MIÉRCOLES"/>
    <x v="64"/>
    <x v="48"/>
    <n v="450"/>
    <n v="30"/>
    <n v="94.5"/>
    <x v="3"/>
  </r>
  <r>
    <x v="262"/>
    <x v="9"/>
    <x v="43"/>
    <s v="MIÉRCOLES"/>
    <x v="28"/>
    <x v="28"/>
    <n v="300"/>
    <n v="30"/>
    <n v="69"/>
    <x v="3"/>
  </r>
  <r>
    <x v="262"/>
    <x v="9"/>
    <x v="43"/>
    <s v="MIÉRCOLES"/>
    <x v="36"/>
    <x v="36"/>
    <n v="810"/>
    <n v="90"/>
    <n v="324"/>
    <x v="3"/>
  </r>
  <r>
    <x v="262"/>
    <x v="9"/>
    <x v="43"/>
    <s v="MIÉRCOLES"/>
    <x v="0"/>
    <x v="0"/>
    <n v="1104"/>
    <n v="48"/>
    <n v="441.6"/>
    <x v="3"/>
  </r>
  <r>
    <x v="262"/>
    <x v="9"/>
    <x v="43"/>
    <s v="MIÉRCOLES"/>
    <x v="6"/>
    <x v="6"/>
    <n v="3360"/>
    <n v="120"/>
    <n v="571.20000000000005"/>
    <x v="3"/>
  </r>
  <r>
    <x v="262"/>
    <x v="9"/>
    <x v="43"/>
    <s v="MIÉRCOLES"/>
    <x v="10"/>
    <x v="10"/>
    <n v="7680"/>
    <n v="120"/>
    <n v="1305.6000000000001"/>
    <x v="3"/>
  </r>
  <r>
    <x v="262"/>
    <x v="9"/>
    <x v="43"/>
    <s v="MIÉRCOLES"/>
    <x v="64"/>
    <x v="48"/>
    <n v="510"/>
    <n v="30"/>
    <n v="107.1"/>
    <x v="3"/>
  </r>
  <r>
    <x v="263"/>
    <x v="9"/>
    <x v="43"/>
    <s v="JUEVES"/>
    <x v="8"/>
    <x v="8"/>
    <n v="1080"/>
    <n v="198"/>
    <n v="183.60000000000002"/>
    <x v="3"/>
  </r>
  <r>
    <x v="263"/>
    <x v="9"/>
    <x v="43"/>
    <s v="JUEVES"/>
    <x v="10"/>
    <x v="10"/>
    <n v="4320"/>
    <n v="120"/>
    <n v="734.40000000000009"/>
    <x v="3"/>
  </r>
  <r>
    <x v="263"/>
    <x v="9"/>
    <x v="43"/>
    <s v="JUEVES"/>
    <x v="64"/>
    <x v="48"/>
    <n v="360"/>
    <n v="30"/>
    <n v="75.599999999999994"/>
    <x v="3"/>
  </r>
  <r>
    <x v="264"/>
    <x v="9"/>
    <x v="43"/>
    <s v="VIERNES"/>
    <x v="32"/>
    <x v="32"/>
    <n v="2100"/>
    <n v="420"/>
    <n v="882"/>
    <x v="3"/>
  </r>
  <r>
    <x v="264"/>
    <x v="9"/>
    <x v="43"/>
    <s v="VIERNES"/>
    <x v="39"/>
    <x v="39"/>
    <n v="420"/>
    <n v="420"/>
    <n v="176.4"/>
    <x v="3"/>
  </r>
  <r>
    <x v="264"/>
    <x v="9"/>
    <x v="43"/>
    <s v="VIERNES"/>
    <x v="1"/>
    <x v="1"/>
    <n v="3240"/>
    <n v="198"/>
    <n v="550.80000000000007"/>
    <x v="3"/>
  </r>
  <r>
    <x v="264"/>
    <x v="9"/>
    <x v="43"/>
    <s v="VIERNES"/>
    <x v="2"/>
    <x v="2"/>
    <n v="3024"/>
    <n v="198"/>
    <n v="514.08000000000004"/>
    <x v="3"/>
  </r>
  <r>
    <x v="264"/>
    <x v="9"/>
    <x v="43"/>
    <s v="VIERNES"/>
    <x v="22"/>
    <x v="22"/>
    <n v="198"/>
    <n v="198"/>
    <n v="33.660000000000004"/>
    <x v="3"/>
  </r>
  <r>
    <x v="264"/>
    <x v="9"/>
    <x v="43"/>
    <s v="VIERNES"/>
    <x v="3"/>
    <x v="3"/>
    <n v="1782"/>
    <n v="198"/>
    <n v="302.94"/>
    <x v="3"/>
  </r>
  <r>
    <x v="264"/>
    <x v="9"/>
    <x v="43"/>
    <s v="VIERNES"/>
    <x v="17"/>
    <x v="17"/>
    <n v="2400"/>
    <n v="120"/>
    <n v="408.00000000000006"/>
    <x v="3"/>
  </r>
  <r>
    <x v="264"/>
    <x v="9"/>
    <x v="43"/>
    <s v="VIERNES"/>
    <x v="7"/>
    <x v="7"/>
    <n v="1728"/>
    <n v="198"/>
    <n v="293.76000000000005"/>
    <x v="3"/>
  </r>
  <r>
    <x v="264"/>
    <x v="9"/>
    <x v="43"/>
    <s v="VIERNES"/>
    <x v="8"/>
    <x v="8"/>
    <n v="216"/>
    <n v="198"/>
    <n v="36.720000000000006"/>
    <x v="3"/>
  </r>
  <r>
    <x v="264"/>
    <x v="9"/>
    <x v="43"/>
    <s v="VIERNES"/>
    <x v="33"/>
    <x v="33"/>
    <n v="80"/>
    <n v="40"/>
    <n v="18.400000000000002"/>
    <x v="3"/>
  </r>
  <r>
    <x v="264"/>
    <x v="9"/>
    <x v="43"/>
    <s v="VIERNES"/>
    <x v="13"/>
    <x v="13"/>
    <n v="300"/>
    <n v="30"/>
    <n v="120"/>
    <x v="3"/>
  </r>
  <r>
    <x v="264"/>
    <x v="9"/>
    <x v="43"/>
    <s v="VIERNES"/>
    <x v="14"/>
    <x v="14"/>
    <n v="160"/>
    <n v="40"/>
    <n v="36.800000000000004"/>
    <x v="3"/>
  </r>
  <r>
    <x v="264"/>
    <x v="9"/>
    <x v="43"/>
    <s v="VIERNES"/>
    <x v="15"/>
    <x v="15"/>
    <n v="500"/>
    <n v="50"/>
    <n v="200"/>
    <x v="3"/>
  </r>
  <r>
    <x v="264"/>
    <x v="9"/>
    <x v="43"/>
    <s v="VIERNES"/>
    <x v="36"/>
    <x v="36"/>
    <n v="180"/>
    <n v="90"/>
    <n v="72"/>
    <x v="3"/>
  </r>
  <r>
    <x v="264"/>
    <x v="9"/>
    <x v="43"/>
    <s v="VIERNES"/>
    <x v="24"/>
    <x v="24"/>
    <n v="2520"/>
    <n v="420"/>
    <n v="1058.3999999999999"/>
    <x v="3"/>
  </r>
  <r>
    <x v="264"/>
    <x v="9"/>
    <x v="43"/>
    <s v="VIERNES"/>
    <x v="39"/>
    <x v="39"/>
    <n v="1260"/>
    <n v="420"/>
    <n v="529.19999999999993"/>
    <x v="3"/>
  </r>
  <r>
    <x v="264"/>
    <x v="9"/>
    <x v="43"/>
    <s v="VIERNES"/>
    <x v="6"/>
    <x v="6"/>
    <n v="3600"/>
    <n v="120"/>
    <n v="612"/>
    <x v="3"/>
  </r>
  <r>
    <x v="264"/>
    <x v="9"/>
    <x v="43"/>
    <s v="VIERNES"/>
    <x v="17"/>
    <x v="17"/>
    <n v="120"/>
    <n v="120"/>
    <n v="20.400000000000002"/>
    <x v="3"/>
  </r>
  <r>
    <x v="264"/>
    <x v="9"/>
    <x v="43"/>
    <s v="VIERNES"/>
    <x v="7"/>
    <x v="7"/>
    <n v="1080"/>
    <n v="198"/>
    <n v="183.60000000000002"/>
    <x v="3"/>
  </r>
  <r>
    <x v="264"/>
    <x v="9"/>
    <x v="43"/>
    <s v="VIERNES"/>
    <x v="8"/>
    <x v="8"/>
    <n v="864"/>
    <n v="198"/>
    <n v="146.88000000000002"/>
    <x v="3"/>
  </r>
  <r>
    <x v="264"/>
    <x v="9"/>
    <x v="43"/>
    <s v="VIERNES"/>
    <x v="9"/>
    <x v="9"/>
    <n v="540"/>
    <n v="90"/>
    <n v="91.800000000000011"/>
    <x v="3"/>
  </r>
  <r>
    <x v="264"/>
    <x v="9"/>
    <x v="43"/>
    <s v="VIERNES"/>
    <x v="23"/>
    <x v="23"/>
    <n v="360"/>
    <n v="90"/>
    <n v="61.2"/>
    <x v="3"/>
  </r>
  <r>
    <x v="264"/>
    <x v="9"/>
    <x v="43"/>
    <s v="VIERNES"/>
    <x v="25"/>
    <x v="25"/>
    <n v="900"/>
    <n v="225"/>
    <n v="378"/>
    <x v="3"/>
  </r>
  <r>
    <x v="264"/>
    <x v="9"/>
    <x v="43"/>
    <s v="VIERNES"/>
    <x v="36"/>
    <x v="36"/>
    <n v="360"/>
    <n v="90"/>
    <n v="144"/>
    <x v="3"/>
  </r>
  <r>
    <x v="264"/>
    <x v="9"/>
    <x v="43"/>
    <s v="VIERNES"/>
    <x v="40"/>
    <x v="40"/>
    <n v="336"/>
    <n v="240"/>
    <n v="134.4"/>
    <x v="3"/>
  </r>
  <r>
    <x v="264"/>
    <x v="9"/>
    <x v="43"/>
    <s v="VIERNES"/>
    <x v="39"/>
    <x v="39"/>
    <n v="420"/>
    <n v="420"/>
    <n v="176.4"/>
    <x v="3"/>
  </r>
  <r>
    <x v="264"/>
    <x v="9"/>
    <x v="43"/>
    <s v="VIERNES"/>
    <x v="16"/>
    <x v="16"/>
    <n v="900"/>
    <n v="180"/>
    <n v="378"/>
    <x v="3"/>
  </r>
  <r>
    <x v="264"/>
    <x v="9"/>
    <x v="43"/>
    <s v="VIERNES"/>
    <x v="22"/>
    <x v="22"/>
    <n v="792"/>
    <n v="198"/>
    <n v="134.64000000000001"/>
    <x v="3"/>
  </r>
  <r>
    <x v="264"/>
    <x v="9"/>
    <x v="43"/>
    <s v="VIERNES"/>
    <x v="17"/>
    <x v="17"/>
    <n v="480"/>
    <n v="120"/>
    <n v="81.600000000000009"/>
    <x v="3"/>
  </r>
  <r>
    <x v="264"/>
    <x v="9"/>
    <x v="43"/>
    <s v="VIERNES"/>
    <x v="7"/>
    <x v="7"/>
    <n v="2592"/>
    <n v="198"/>
    <n v="440.64000000000004"/>
    <x v="3"/>
  </r>
  <r>
    <x v="264"/>
    <x v="9"/>
    <x v="43"/>
    <s v="VIERNES"/>
    <x v="8"/>
    <x v="8"/>
    <n v="2160"/>
    <n v="198"/>
    <n v="367.20000000000005"/>
    <x v="3"/>
  </r>
  <r>
    <x v="264"/>
    <x v="9"/>
    <x v="43"/>
    <s v="VIERNES"/>
    <x v="9"/>
    <x v="9"/>
    <n v="1800"/>
    <n v="90"/>
    <n v="306"/>
    <x v="3"/>
  </r>
  <r>
    <x v="264"/>
    <x v="9"/>
    <x v="43"/>
    <s v="VIERNES"/>
    <x v="26"/>
    <x v="26"/>
    <n v="720"/>
    <n v="90"/>
    <n v="122.4"/>
    <x v="3"/>
  </r>
  <r>
    <x v="264"/>
    <x v="9"/>
    <x v="43"/>
    <s v="VIERNES"/>
    <x v="23"/>
    <x v="23"/>
    <n v="1080"/>
    <n v="90"/>
    <n v="183.60000000000002"/>
    <x v="3"/>
  </r>
  <r>
    <x v="264"/>
    <x v="9"/>
    <x v="43"/>
    <s v="VIERNES"/>
    <x v="25"/>
    <x v="25"/>
    <n v="450"/>
    <n v="225"/>
    <n v="189"/>
    <x v="3"/>
  </r>
  <r>
    <x v="264"/>
    <x v="9"/>
    <x v="43"/>
    <s v="VIERNES"/>
    <x v="12"/>
    <x v="12"/>
    <n v="675"/>
    <n v="225"/>
    <n v="270"/>
    <x v="3"/>
  </r>
  <r>
    <x v="264"/>
    <x v="9"/>
    <x v="43"/>
    <s v="VIERNES"/>
    <x v="19"/>
    <x v="19"/>
    <n v="450"/>
    <n v="225"/>
    <n v="180"/>
    <x v="3"/>
  </r>
  <r>
    <x v="264"/>
    <x v="9"/>
    <x v="43"/>
    <s v="VIERNES"/>
    <x v="42"/>
    <x v="42"/>
    <n v="750"/>
    <n v="420"/>
    <n v="315"/>
    <x v="3"/>
  </r>
  <r>
    <x v="264"/>
    <x v="9"/>
    <x v="43"/>
    <s v="VIERNES"/>
    <x v="36"/>
    <x v="36"/>
    <n v="360"/>
    <n v="90"/>
    <n v="144"/>
    <x v="3"/>
  </r>
  <r>
    <x v="264"/>
    <x v="9"/>
    <x v="43"/>
    <s v="VIERNES"/>
    <x v="40"/>
    <x v="40"/>
    <n v="336"/>
    <n v="240"/>
    <n v="134.4"/>
    <x v="3"/>
  </r>
  <r>
    <x v="264"/>
    <x v="9"/>
    <x v="43"/>
    <s v="VIERNES"/>
    <x v="39"/>
    <x v="39"/>
    <n v="420"/>
    <n v="420"/>
    <n v="176.4"/>
    <x v="3"/>
  </r>
  <r>
    <x v="264"/>
    <x v="9"/>
    <x v="43"/>
    <s v="VIERNES"/>
    <x v="16"/>
    <x v="16"/>
    <n v="900"/>
    <n v="180"/>
    <n v="378"/>
    <x v="3"/>
  </r>
  <r>
    <x v="264"/>
    <x v="9"/>
    <x v="43"/>
    <s v="VIERNES"/>
    <x v="22"/>
    <x v="22"/>
    <n v="792"/>
    <n v="198"/>
    <n v="134.64000000000001"/>
    <x v="3"/>
  </r>
  <r>
    <x v="264"/>
    <x v="9"/>
    <x v="43"/>
    <s v="VIERNES"/>
    <x v="17"/>
    <x v="17"/>
    <n v="480"/>
    <n v="120"/>
    <n v="81.600000000000009"/>
    <x v="3"/>
  </r>
  <r>
    <x v="264"/>
    <x v="9"/>
    <x v="43"/>
    <s v="VIERNES"/>
    <x v="7"/>
    <x v="7"/>
    <n v="2592"/>
    <n v="198"/>
    <n v="440.64000000000004"/>
    <x v="3"/>
  </r>
  <r>
    <x v="264"/>
    <x v="9"/>
    <x v="43"/>
    <s v="VIERNES"/>
    <x v="8"/>
    <x v="8"/>
    <n v="2160"/>
    <n v="198"/>
    <n v="367.20000000000005"/>
    <x v="3"/>
  </r>
  <r>
    <x v="264"/>
    <x v="9"/>
    <x v="43"/>
    <s v="VIERNES"/>
    <x v="9"/>
    <x v="9"/>
    <n v="1800"/>
    <n v="90"/>
    <n v="306"/>
    <x v="3"/>
  </r>
  <r>
    <x v="264"/>
    <x v="9"/>
    <x v="43"/>
    <s v="VIERNES"/>
    <x v="26"/>
    <x v="26"/>
    <n v="720"/>
    <n v="90"/>
    <n v="122.4"/>
    <x v="3"/>
  </r>
  <r>
    <x v="264"/>
    <x v="9"/>
    <x v="43"/>
    <s v="VIERNES"/>
    <x v="23"/>
    <x v="23"/>
    <n v="1080"/>
    <n v="90"/>
    <n v="183.60000000000002"/>
    <x v="3"/>
  </r>
  <r>
    <x v="264"/>
    <x v="9"/>
    <x v="43"/>
    <s v="VIERNES"/>
    <x v="25"/>
    <x v="25"/>
    <n v="450"/>
    <n v="225"/>
    <n v="189"/>
    <x v="3"/>
  </r>
  <r>
    <x v="264"/>
    <x v="9"/>
    <x v="43"/>
    <s v="VIERNES"/>
    <x v="12"/>
    <x v="12"/>
    <n v="675"/>
    <n v="225"/>
    <n v="270"/>
    <x v="3"/>
  </r>
  <r>
    <x v="264"/>
    <x v="9"/>
    <x v="43"/>
    <s v="VIERNES"/>
    <x v="19"/>
    <x v="19"/>
    <n v="450"/>
    <n v="225"/>
    <n v="180"/>
    <x v="3"/>
  </r>
  <r>
    <x v="264"/>
    <x v="9"/>
    <x v="43"/>
    <s v="VIERNES"/>
    <x v="42"/>
    <x v="42"/>
    <n v="750"/>
    <n v="420"/>
    <n v="315"/>
    <x v="3"/>
  </r>
  <r>
    <x v="264"/>
    <x v="9"/>
    <x v="43"/>
    <s v="VIERNES"/>
    <x v="2"/>
    <x v="2"/>
    <n v="1296"/>
    <n v="198"/>
    <n v="220.32000000000002"/>
    <x v="3"/>
  </r>
  <r>
    <x v="265"/>
    <x v="9"/>
    <x v="44"/>
    <s v="SÁBADO"/>
    <x v="38"/>
    <x v="38"/>
    <n v="560"/>
    <n v="112"/>
    <n v="224"/>
    <x v="3"/>
  </r>
  <r>
    <x v="265"/>
    <x v="9"/>
    <x v="44"/>
    <s v="SÁBADO"/>
    <x v="22"/>
    <x v="22"/>
    <n v="594"/>
    <n v="198"/>
    <n v="100.98"/>
    <x v="3"/>
  </r>
  <r>
    <x v="265"/>
    <x v="9"/>
    <x v="44"/>
    <s v="SÁBADO"/>
    <x v="4"/>
    <x v="4"/>
    <n v="1296"/>
    <n v="162"/>
    <n v="220.32000000000002"/>
    <x v="3"/>
  </r>
  <r>
    <x v="265"/>
    <x v="9"/>
    <x v="44"/>
    <s v="SÁBADO"/>
    <x v="5"/>
    <x v="5"/>
    <n v="162"/>
    <n v="162"/>
    <n v="27.540000000000003"/>
    <x v="3"/>
  </r>
  <r>
    <x v="265"/>
    <x v="9"/>
    <x v="44"/>
    <s v="SÁBADO"/>
    <x v="6"/>
    <x v="6"/>
    <n v="960"/>
    <n v="120"/>
    <n v="163.20000000000002"/>
    <x v="3"/>
  </r>
  <r>
    <x v="265"/>
    <x v="9"/>
    <x v="44"/>
    <s v="SÁBADO"/>
    <x v="8"/>
    <x v="8"/>
    <n v="864"/>
    <n v="198"/>
    <n v="146.88000000000002"/>
    <x v="3"/>
  </r>
  <r>
    <x v="265"/>
    <x v="9"/>
    <x v="44"/>
    <s v="SÁBADO"/>
    <x v="26"/>
    <x v="26"/>
    <n v="900"/>
    <n v="90"/>
    <n v="153"/>
    <x v="3"/>
  </r>
  <r>
    <x v="265"/>
    <x v="9"/>
    <x v="44"/>
    <s v="SÁBADO"/>
    <x v="23"/>
    <x v="23"/>
    <n v="900"/>
    <n v="90"/>
    <n v="153"/>
    <x v="3"/>
  </r>
  <r>
    <x v="265"/>
    <x v="9"/>
    <x v="44"/>
    <s v="SÁBADO"/>
    <x v="11"/>
    <x v="11"/>
    <n v="1800"/>
    <n v="90"/>
    <n v="306"/>
    <x v="3"/>
  </r>
  <r>
    <x v="265"/>
    <x v="9"/>
    <x v="44"/>
    <s v="SÁBADO"/>
    <x v="25"/>
    <x v="25"/>
    <n v="225"/>
    <n v="225"/>
    <n v="94.5"/>
    <x v="3"/>
  </r>
  <r>
    <x v="265"/>
    <x v="9"/>
    <x v="44"/>
    <s v="SÁBADO"/>
    <x v="12"/>
    <x v="12"/>
    <n v="450"/>
    <n v="225"/>
    <n v="180"/>
    <x v="3"/>
  </r>
  <r>
    <x v="265"/>
    <x v="9"/>
    <x v="44"/>
    <s v="SÁBADO"/>
    <x v="19"/>
    <x v="19"/>
    <n v="225"/>
    <n v="225"/>
    <n v="90"/>
    <x v="3"/>
  </r>
  <r>
    <x v="265"/>
    <x v="9"/>
    <x v="44"/>
    <s v="SÁBADO"/>
    <x v="43"/>
    <x v="43"/>
    <n v="750"/>
    <n v="420"/>
    <n v="315"/>
    <x v="3"/>
  </r>
  <r>
    <x v="265"/>
    <x v="9"/>
    <x v="44"/>
    <s v="SÁBADO"/>
    <x v="33"/>
    <x v="33"/>
    <n v="120"/>
    <n v="40"/>
    <n v="27.6"/>
    <x v="3"/>
  </r>
  <r>
    <x v="265"/>
    <x v="9"/>
    <x v="44"/>
    <s v="SÁBADO"/>
    <x v="14"/>
    <x v="14"/>
    <n v="320"/>
    <n v="40"/>
    <n v="73.600000000000009"/>
    <x v="3"/>
  </r>
  <r>
    <x v="265"/>
    <x v="9"/>
    <x v="44"/>
    <s v="SÁBADO"/>
    <x v="36"/>
    <x v="36"/>
    <n v="540"/>
    <n v="90"/>
    <n v="216"/>
    <x v="3"/>
  </r>
  <r>
    <x v="265"/>
    <x v="9"/>
    <x v="44"/>
    <s v="SÁBADO"/>
    <x v="24"/>
    <x v="24"/>
    <n v="1260"/>
    <n v="420"/>
    <n v="529.19999999999993"/>
    <x v="3"/>
  </r>
  <r>
    <x v="265"/>
    <x v="9"/>
    <x v="44"/>
    <s v="SÁBADO"/>
    <x v="22"/>
    <x v="22"/>
    <n v="396"/>
    <n v="198"/>
    <n v="67.320000000000007"/>
    <x v="3"/>
  </r>
  <r>
    <x v="265"/>
    <x v="9"/>
    <x v="44"/>
    <s v="SÁBADO"/>
    <x v="5"/>
    <x v="5"/>
    <n v="648"/>
    <n v="162"/>
    <n v="110.16000000000001"/>
    <x v="3"/>
  </r>
  <r>
    <x v="265"/>
    <x v="9"/>
    <x v="44"/>
    <s v="SÁBADO"/>
    <x v="6"/>
    <x v="6"/>
    <n v="3840"/>
    <n v="120"/>
    <n v="652.80000000000007"/>
    <x v="3"/>
  </r>
  <r>
    <x v="265"/>
    <x v="9"/>
    <x v="44"/>
    <s v="SÁBADO"/>
    <x v="8"/>
    <x v="8"/>
    <n v="1296"/>
    <n v="198"/>
    <n v="220.32000000000002"/>
    <x v="3"/>
  </r>
  <r>
    <x v="265"/>
    <x v="9"/>
    <x v="44"/>
    <s v="SÁBADO"/>
    <x v="10"/>
    <x v="10"/>
    <n v="1440"/>
    <n v="120"/>
    <n v="244.8"/>
    <x v="3"/>
  </r>
  <r>
    <x v="265"/>
    <x v="9"/>
    <x v="44"/>
    <s v="SÁBADO"/>
    <x v="25"/>
    <x v="25"/>
    <n v="2025"/>
    <n v="225"/>
    <n v="850.5"/>
    <x v="3"/>
  </r>
  <r>
    <x v="265"/>
    <x v="9"/>
    <x v="44"/>
    <s v="SÁBADO"/>
    <x v="11"/>
    <x v="11"/>
    <n v="1080"/>
    <n v="90"/>
    <n v="183.60000000000002"/>
    <x v="3"/>
  </r>
  <r>
    <x v="265"/>
    <x v="9"/>
    <x v="44"/>
    <s v="SÁBADO"/>
    <x v="24"/>
    <x v="24"/>
    <n v="840"/>
    <n v="420"/>
    <n v="352.8"/>
    <x v="3"/>
  </r>
  <r>
    <x v="265"/>
    <x v="9"/>
    <x v="44"/>
    <s v="SÁBADO"/>
    <x v="32"/>
    <x v="32"/>
    <n v="1680"/>
    <n v="420"/>
    <n v="705.6"/>
    <x v="3"/>
  </r>
  <r>
    <x v="265"/>
    <x v="9"/>
    <x v="44"/>
    <s v="SÁBADO"/>
    <x v="39"/>
    <x v="39"/>
    <n v="2100"/>
    <n v="420"/>
    <n v="882"/>
    <x v="3"/>
  </r>
  <r>
    <x v="265"/>
    <x v="9"/>
    <x v="44"/>
    <s v="SÁBADO"/>
    <x v="10"/>
    <x v="10"/>
    <n v="480"/>
    <n v="120"/>
    <n v="81.600000000000009"/>
    <x v="3"/>
  </r>
  <r>
    <x v="265"/>
    <x v="9"/>
    <x v="44"/>
    <s v="SÁBADO"/>
    <x v="20"/>
    <x v="20"/>
    <n v="180"/>
    <n v="90"/>
    <n v="30.6"/>
    <x v="3"/>
  </r>
  <r>
    <x v="266"/>
    <x v="9"/>
    <x v="44"/>
    <s v="LUNES"/>
    <x v="13"/>
    <x v="13"/>
    <n v="60"/>
    <n v="30"/>
    <n v="24"/>
    <x v="3"/>
  </r>
  <r>
    <x v="266"/>
    <x v="9"/>
    <x v="44"/>
    <s v="LUNES"/>
    <x v="16"/>
    <x v="16"/>
    <n v="360"/>
    <n v="180"/>
    <n v="151.19999999999999"/>
    <x v="3"/>
  </r>
  <r>
    <x v="266"/>
    <x v="9"/>
    <x v="44"/>
    <s v="LUNES"/>
    <x v="10"/>
    <x v="10"/>
    <n v="6480"/>
    <n v="120"/>
    <n v="1101.6000000000001"/>
    <x v="3"/>
  </r>
  <r>
    <x v="266"/>
    <x v="9"/>
    <x v="44"/>
    <s v="LUNES"/>
    <x v="23"/>
    <x v="23"/>
    <n v="720"/>
    <n v="90"/>
    <n v="122.4"/>
    <x v="3"/>
  </r>
  <r>
    <x v="266"/>
    <x v="9"/>
    <x v="44"/>
    <s v="LUNES"/>
    <x v="11"/>
    <x v="11"/>
    <n v="2520"/>
    <n v="90"/>
    <n v="428.40000000000003"/>
    <x v="3"/>
  </r>
  <r>
    <x v="266"/>
    <x v="9"/>
    <x v="44"/>
    <s v="LUNES"/>
    <x v="38"/>
    <x v="38"/>
    <n v="448"/>
    <n v="112"/>
    <n v="179.20000000000002"/>
    <x v="3"/>
  </r>
  <r>
    <x v="266"/>
    <x v="9"/>
    <x v="44"/>
    <s v="LUNES"/>
    <x v="16"/>
    <x v="16"/>
    <n v="540"/>
    <n v="180"/>
    <n v="226.79999999999998"/>
    <x v="3"/>
  </r>
  <r>
    <x v="266"/>
    <x v="9"/>
    <x v="44"/>
    <s v="LUNES"/>
    <x v="1"/>
    <x v="1"/>
    <n v="1296"/>
    <n v="198"/>
    <n v="220.32000000000002"/>
    <x v="3"/>
  </r>
  <r>
    <x v="266"/>
    <x v="9"/>
    <x v="44"/>
    <s v="LUNES"/>
    <x v="34"/>
    <x v="34"/>
    <n v="216"/>
    <n v="198"/>
    <n v="36.720000000000006"/>
    <x v="3"/>
  </r>
  <r>
    <x v="266"/>
    <x v="9"/>
    <x v="44"/>
    <s v="LUNES"/>
    <x v="22"/>
    <x v="22"/>
    <n v="396"/>
    <n v="198"/>
    <n v="67.320000000000007"/>
    <x v="3"/>
  </r>
  <r>
    <x v="266"/>
    <x v="9"/>
    <x v="44"/>
    <s v="LUNES"/>
    <x v="3"/>
    <x v="3"/>
    <n v="792"/>
    <n v="198"/>
    <n v="134.64000000000001"/>
    <x v="3"/>
  </r>
  <r>
    <x v="266"/>
    <x v="9"/>
    <x v="44"/>
    <s v="LUNES"/>
    <x v="6"/>
    <x v="6"/>
    <n v="3600"/>
    <n v="120"/>
    <n v="612"/>
    <x v="3"/>
  </r>
  <r>
    <x v="266"/>
    <x v="9"/>
    <x v="44"/>
    <s v="LUNES"/>
    <x v="26"/>
    <x v="26"/>
    <n v="540"/>
    <n v="90"/>
    <n v="91.800000000000011"/>
    <x v="3"/>
  </r>
  <r>
    <x v="266"/>
    <x v="9"/>
    <x v="44"/>
    <s v="LUNES"/>
    <x v="23"/>
    <x v="23"/>
    <n v="540"/>
    <n v="90"/>
    <n v="91.800000000000011"/>
    <x v="3"/>
  </r>
  <r>
    <x v="266"/>
    <x v="9"/>
    <x v="44"/>
    <s v="LUNES"/>
    <x v="11"/>
    <x v="11"/>
    <n v="900"/>
    <n v="90"/>
    <n v="153"/>
    <x v="3"/>
  </r>
  <r>
    <x v="266"/>
    <x v="9"/>
    <x v="44"/>
    <s v="LUNES"/>
    <x v="19"/>
    <x v="19"/>
    <n v="450"/>
    <n v="225"/>
    <n v="180"/>
    <x v="3"/>
  </r>
  <r>
    <x v="267"/>
    <x v="9"/>
    <x v="44"/>
    <s v="DOMINGO"/>
    <x v="24"/>
    <x v="24"/>
    <n v="2940"/>
    <n v="420"/>
    <n v="1234.8"/>
    <x v="3"/>
  </r>
  <r>
    <x v="267"/>
    <x v="9"/>
    <x v="44"/>
    <s v="DOMINGO"/>
    <x v="1"/>
    <x v="1"/>
    <n v="1728"/>
    <n v="198"/>
    <n v="293.76000000000005"/>
    <x v="3"/>
  </r>
  <r>
    <x v="267"/>
    <x v="9"/>
    <x v="44"/>
    <s v="DOMINGO"/>
    <x v="2"/>
    <x v="2"/>
    <n v="1512"/>
    <n v="198"/>
    <n v="257.04000000000002"/>
    <x v="3"/>
  </r>
  <r>
    <x v="267"/>
    <x v="9"/>
    <x v="44"/>
    <s v="DOMINGO"/>
    <x v="5"/>
    <x v="5"/>
    <n v="162"/>
    <n v="162"/>
    <n v="27.540000000000003"/>
    <x v="3"/>
  </r>
  <r>
    <x v="267"/>
    <x v="9"/>
    <x v="44"/>
    <s v="DOMINGO"/>
    <x v="6"/>
    <x v="6"/>
    <n v="2400"/>
    <n v="120"/>
    <n v="408.00000000000006"/>
    <x v="3"/>
  </r>
  <r>
    <x v="267"/>
    <x v="9"/>
    <x v="44"/>
    <s v="DOMINGO"/>
    <x v="17"/>
    <x v="17"/>
    <n v="1200"/>
    <n v="120"/>
    <n v="204.00000000000003"/>
    <x v="3"/>
  </r>
  <r>
    <x v="267"/>
    <x v="9"/>
    <x v="44"/>
    <s v="DOMINGO"/>
    <x v="7"/>
    <x v="7"/>
    <n v="3456"/>
    <n v="198"/>
    <n v="587.5200000000001"/>
    <x v="3"/>
  </r>
  <r>
    <x v="267"/>
    <x v="9"/>
    <x v="44"/>
    <s v="DOMINGO"/>
    <x v="10"/>
    <x v="10"/>
    <n v="1440"/>
    <n v="120"/>
    <n v="244.8"/>
    <x v="3"/>
  </r>
  <r>
    <x v="266"/>
    <x v="9"/>
    <x v="44"/>
    <s v="LUNES"/>
    <x v="28"/>
    <x v="28"/>
    <n v="300"/>
    <n v="30"/>
    <n v="69"/>
    <x v="3"/>
  </r>
  <r>
    <x v="266"/>
    <x v="9"/>
    <x v="44"/>
    <s v="LUNES"/>
    <x v="13"/>
    <x v="13"/>
    <n v="90"/>
    <n v="30"/>
    <n v="36"/>
    <x v="3"/>
  </r>
  <r>
    <x v="266"/>
    <x v="9"/>
    <x v="44"/>
    <s v="LUNES"/>
    <x v="15"/>
    <x v="15"/>
    <n v="250"/>
    <n v="50"/>
    <n v="100"/>
    <x v="3"/>
  </r>
  <r>
    <x v="266"/>
    <x v="9"/>
    <x v="44"/>
    <s v="LUNES"/>
    <x v="36"/>
    <x v="36"/>
    <n v="450"/>
    <n v="90"/>
    <n v="180"/>
    <x v="3"/>
  </r>
  <r>
    <x v="266"/>
    <x v="9"/>
    <x v="44"/>
    <s v="LUNES"/>
    <x v="24"/>
    <x v="24"/>
    <n v="840"/>
    <n v="420"/>
    <n v="352.8"/>
    <x v="3"/>
  </r>
  <r>
    <x v="266"/>
    <x v="9"/>
    <x v="44"/>
    <s v="LUNES"/>
    <x v="1"/>
    <x v="1"/>
    <n v="2592"/>
    <n v="198"/>
    <n v="440.64000000000004"/>
    <x v="3"/>
  </r>
  <r>
    <x v="266"/>
    <x v="9"/>
    <x v="44"/>
    <s v="LUNES"/>
    <x v="2"/>
    <x v="2"/>
    <n v="1728"/>
    <n v="198"/>
    <n v="293.76000000000005"/>
    <x v="3"/>
  </r>
  <r>
    <x v="266"/>
    <x v="9"/>
    <x v="44"/>
    <s v="LUNES"/>
    <x v="7"/>
    <x v="7"/>
    <n v="864"/>
    <n v="198"/>
    <n v="146.88000000000002"/>
    <x v="3"/>
  </r>
  <r>
    <x v="266"/>
    <x v="9"/>
    <x v="44"/>
    <s v="LUNES"/>
    <x v="10"/>
    <x v="10"/>
    <n v="3600"/>
    <n v="120"/>
    <n v="612"/>
    <x v="3"/>
  </r>
  <r>
    <x v="266"/>
    <x v="9"/>
    <x v="44"/>
    <s v="LUNES"/>
    <x v="7"/>
    <x v="7"/>
    <n v="1440"/>
    <n v="198"/>
    <n v="244.8"/>
    <x v="3"/>
  </r>
  <r>
    <x v="266"/>
    <x v="9"/>
    <x v="44"/>
    <s v="LUNES"/>
    <x v="11"/>
    <x v="11"/>
    <n v="720"/>
    <n v="90"/>
    <n v="122.4"/>
    <x v="3"/>
  </r>
  <r>
    <x v="266"/>
    <x v="9"/>
    <x v="44"/>
    <s v="LUNES"/>
    <x v="24"/>
    <x v="24"/>
    <n v="420"/>
    <n v="420"/>
    <n v="176.4"/>
    <x v="3"/>
  </r>
  <r>
    <x v="266"/>
    <x v="9"/>
    <x v="44"/>
    <s v="LUNES"/>
    <x v="16"/>
    <x v="16"/>
    <n v="540"/>
    <n v="180"/>
    <n v="226.79999999999998"/>
    <x v="3"/>
  </r>
  <r>
    <x v="266"/>
    <x v="9"/>
    <x v="44"/>
    <s v="LUNES"/>
    <x v="10"/>
    <x v="10"/>
    <n v="480"/>
    <n v="120"/>
    <n v="81.600000000000009"/>
    <x v="3"/>
  </r>
  <r>
    <x v="266"/>
    <x v="9"/>
    <x v="44"/>
    <s v="LUNES"/>
    <x v="11"/>
    <x v="11"/>
    <n v="360"/>
    <n v="90"/>
    <n v="61.2"/>
    <x v="3"/>
  </r>
  <r>
    <x v="268"/>
    <x v="9"/>
    <x v="44"/>
    <s v="MARTES"/>
    <x v="36"/>
    <x v="36"/>
    <n v="810"/>
    <n v="90"/>
    <n v="324"/>
    <x v="3"/>
  </r>
  <r>
    <x v="268"/>
    <x v="9"/>
    <x v="44"/>
    <s v="MARTES"/>
    <x v="32"/>
    <x v="32"/>
    <n v="2100"/>
    <n v="420"/>
    <n v="882"/>
    <x v="3"/>
  </r>
  <r>
    <x v="268"/>
    <x v="9"/>
    <x v="44"/>
    <s v="MARTES"/>
    <x v="22"/>
    <x v="22"/>
    <n v="396"/>
    <n v="198"/>
    <n v="67.320000000000007"/>
    <x v="3"/>
  </r>
  <r>
    <x v="268"/>
    <x v="9"/>
    <x v="44"/>
    <s v="MARTES"/>
    <x v="3"/>
    <x v="3"/>
    <n v="396"/>
    <n v="198"/>
    <n v="67.320000000000007"/>
    <x v="3"/>
  </r>
  <r>
    <x v="268"/>
    <x v="9"/>
    <x v="44"/>
    <s v="MARTES"/>
    <x v="9"/>
    <x v="9"/>
    <n v="450"/>
    <n v="90"/>
    <n v="76.5"/>
    <x v="3"/>
  </r>
  <r>
    <x v="268"/>
    <x v="9"/>
    <x v="44"/>
    <s v="MARTES"/>
    <x v="10"/>
    <x v="10"/>
    <n v="4320"/>
    <n v="120"/>
    <n v="734.40000000000009"/>
    <x v="3"/>
  </r>
  <r>
    <x v="268"/>
    <x v="9"/>
    <x v="44"/>
    <s v="MARTES"/>
    <x v="26"/>
    <x v="26"/>
    <n v="180"/>
    <n v="90"/>
    <n v="30.6"/>
    <x v="3"/>
  </r>
  <r>
    <x v="268"/>
    <x v="9"/>
    <x v="44"/>
    <s v="MARTES"/>
    <x v="23"/>
    <x v="23"/>
    <n v="360"/>
    <n v="90"/>
    <n v="61.2"/>
    <x v="3"/>
  </r>
  <r>
    <x v="268"/>
    <x v="9"/>
    <x v="44"/>
    <s v="MARTES"/>
    <x v="11"/>
    <x v="11"/>
    <n v="1980"/>
    <n v="90"/>
    <n v="336.6"/>
    <x v="3"/>
  </r>
  <r>
    <x v="268"/>
    <x v="9"/>
    <x v="44"/>
    <s v="MARTES"/>
    <x v="20"/>
    <x v="20"/>
    <n v="450"/>
    <n v="90"/>
    <n v="76.5"/>
    <x v="3"/>
  </r>
  <r>
    <x v="268"/>
    <x v="9"/>
    <x v="44"/>
    <s v="MARTES"/>
    <x v="42"/>
    <x v="42"/>
    <n v="750"/>
    <n v="420"/>
    <n v="315"/>
    <x v="3"/>
  </r>
  <r>
    <x v="268"/>
    <x v="9"/>
    <x v="44"/>
    <s v="MARTES"/>
    <x v="43"/>
    <x v="43"/>
    <n v="1000"/>
    <n v="420"/>
    <n v="420"/>
    <x v="3"/>
  </r>
  <r>
    <x v="268"/>
    <x v="9"/>
    <x v="44"/>
    <s v="MARTES"/>
    <x v="38"/>
    <x v="38"/>
    <n v="112"/>
    <n v="112"/>
    <n v="44.800000000000004"/>
    <x v="3"/>
  </r>
  <r>
    <x v="268"/>
    <x v="9"/>
    <x v="44"/>
    <s v="MARTES"/>
    <x v="1"/>
    <x v="1"/>
    <n v="864"/>
    <n v="198"/>
    <n v="146.88000000000002"/>
    <x v="3"/>
  </r>
  <r>
    <x v="268"/>
    <x v="9"/>
    <x v="44"/>
    <s v="MARTES"/>
    <x v="2"/>
    <x v="2"/>
    <n v="1080"/>
    <n v="198"/>
    <n v="183.60000000000002"/>
    <x v="3"/>
  </r>
  <r>
    <x v="268"/>
    <x v="9"/>
    <x v="44"/>
    <s v="MARTES"/>
    <x v="29"/>
    <x v="29"/>
    <n v="432"/>
    <n v="198"/>
    <n v="73.440000000000012"/>
    <x v="3"/>
  </r>
  <r>
    <x v="268"/>
    <x v="9"/>
    <x v="44"/>
    <s v="MARTES"/>
    <x v="10"/>
    <x v="10"/>
    <n v="11520"/>
    <n v="120"/>
    <n v="1958.4"/>
    <x v="3"/>
  </r>
  <r>
    <x v="268"/>
    <x v="9"/>
    <x v="44"/>
    <s v="MARTES"/>
    <x v="25"/>
    <x v="25"/>
    <n v="900"/>
    <n v="225"/>
    <n v="378"/>
    <x v="3"/>
  </r>
  <r>
    <x v="269"/>
    <x v="9"/>
    <x v="44"/>
    <s v="MIÉRCOLES"/>
    <x v="36"/>
    <x v="36"/>
    <n v="720"/>
    <n v="90"/>
    <n v="288"/>
    <x v="3"/>
  </r>
  <r>
    <x v="269"/>
    <x v="9"/>
    <x v="44"/>
    <s v="MIÉRCOLES"/>
    <x v="38"/>
    <x v="38"/>
    <n v="336"/>
    <n v="112"/>
    <n v="134.4"/>
    <x v="3"/>
  </r>
  <r>
    <x v="269"/>
    <x v="9"/>
    <x v="44"/>
    <s v="MIÉRCOLES"/>
    <x v="0"/>
    <x v="0"/>
    <n v="480"/>
    <n v="48"/>
    <n v="192"/>
    <x v="3"/>
  </r>
  <r>
    <x v="269"/>
    <x v="9"/>
    <x v="44"/>
    <s v="MIÉRCOLES"/>
    <x v="6"/>
    <x v="6"/>
    <n v="2400"/>
    <n v="120"/>
    <n v="408.00000000000006"/>
    <x v="3"/>
  </r>
  <r>
    <x v="269"/>
    <x v="9"/>
    <x v="44"/>
    <s v="MIÉRCOLES"/>
    <x v="17"/>
    <x v="17"/>
    <n v="1800"/>
    <n v="120"/>
    <n v="306"/>
    <x v="3"/>
  </r>
  <r>
    <x v="269"/>
    <x v="9"/>
    <x v="44"/>
    <s v="MIÉRCOLES"/>
    <x v="26"/>
    <x v="26"/>
    <n v="900"/>
    <n v="90"/>
    <n v="153"/>
    <x v="3"/>
  </r>
  <r>
    <x v="269"/>
    <x v="9"/>
    <x v="44"/>
    <s v="MIÉRCOLES"/>
    <x v="23"/>
    <x v="23"/>
    <n v="1440"/>
    <n v="90"/>
    <n v="244.8"/>
    <x v="3"/>
  </r>
  <r>
    <x v="269"/>
    <x v="9"/>
    <x v="44"/>
    <s v="MIÉRCOLES"/>
    <x v="11"/>
    <x v="11"/>
    <n v="900"/>
    <n v="90"/>
    <n v="153"/>
    <x v="3"/>
  </r>
  <r>
    <x v="269"/>
    <x v="9"/>
    <x v="44"/>
    <s v="MIÉRCOLES"/>
    <x v="42"/>
    <x v="42"/>
    <n v="500"/>
    <n v="420"/>
    <n v="210"/>
    <x v="3"/>
  </r>
  <r>
    <x v="268"/>
    <x v="9"/>
    <x v="44"/>
    <s v="MARTES"/>
    <x v="24"/>
    <x v="24"/>
    <n v="1260"/>
    <n v="420"/>
    <n v="529.19999999999993"/>
    <x v="3"/>
  </r>
  <r>
    <x v="268"/>
    <x v="9"/>
    <x v="44"/>
    <s v="MARTES"/>
    <x v="32"/>
    <x v="32"/>
    <n v="1260"/>
    <n v="420"/>
    <n v="529.19999999999993"/>
    <x v="3"/>
  </r>
  <r>
    <x v="268"/>
    <x v="9"/>
    <x v="44"/>
    <s v="MARTES"/>
    <x v="39"/>
    <x v="39"/>
    <n v="840"/>
    <n v="420"/>
    <n v="352.8"/>
    <x v="3"/>
  </r>
  <r>
    <x v="268"/>
    <x v="9"/>
    <x v="44"/>
    <s v="MARTES"/>
    <x v="4"/>
    <x v="4"/>
    <n v="486"/>
    <n v="162"/>
    <n v="82.62"/>
    <x v="3"/>
  </r>
  <r>
    <x v="268"/>
    <x v="9"/>
    <x v="44"/>
    <s v="MARTES"/>
    <x v="5"/>
    <x v="5"/>
    <n v="648"/>
    <n v="162"/>
    <n v="110.16000000000001"/>
    <x v="3"/>
  </r>
  <r>
    <x v="268"/>
    <x v="9"/>
    <x v="44"/>
    <s v="MARTES"/>
    <x v="7"/>
    <x v="7"/>
    <n v="1296"/>
    <n v="198"/>
    <n v="220.32000000000002"/>
    <x v="3"/>
  </r>
  <r>
    <x v="268"/>
    <x v="9"/>
    <x v="44"/>
    <s v="MARTES"/>
    <x v="8"/>
    <x v="8"/>
    <n v="1728"/>
    <n v="198"/>
    <n v="293.76000000000005"/>
    <x v="3"/>
  </r>
  <r>
    <x v="268"/>
    <x v="9"/>
    <x v="44"/>
    <s v="MARTES"/>
    <x v="9"/>
    <x v="9"/>
    <n v="900"/>
    <n v="90"/>
    <n v="153"/>
    <x v="3"/>
  </r>
  <r>
    <x v="268"/>
    <x v="9"/>
    <x v="44"/>
    <s v="MARTES"/>
    <x v="10"/>
    <x v="10"/>
    <n v="6240"/>
    <n v="120"/>
    <n v="1060.8000000000002"/>
    <x v="3"/>
  </r>
  <r>
    <x v="268"/>
    <x v="9"/>
    <x v="44"/>
    <s v="MARTES"/>
    <x v="12"/>
    <x v="12"/>
    <n v="450"/>
    <n v="225"/>
    <n v="180"/>
    <x v="3"/>
  </r>
  <r>
    <x v="269"/>
    <x v="9"/>
    <x v="44"/>
    <s v="MIÉRCOLES"/>
    <x v="13"/>
    <x v="13"/>
    <n v="90"/>
    <n v="30"/>
    <n v="36"/>
    <x v="3"/>
  </r>
  <r>
    <x v="269"/>
    <x v="9"/>
    <x v="44"/>
    <s v="MIÉRCOLES"/>
    <x v="15"/>
    <x v="15"/>
    <n v="200"/>
    <n v="50"/>
    <n v="80"/>
    <x v="3"/>
  </r>
  <r>
    <x v="269"/>
    <x v="9"/>
    <x v="44"/>
    <s v="MIÉRCOLES"/>
    <x v="0"/>
    <x v="0"/>
    <n v="1152"/>
    <n v="48"/>
    <n v="460.8"/>
    <x v="3"/>
  </r>
  <r>
    <x v="269"/>
    <x v="9"/>
    <x v="44"/>
    <s v="MIÉRCOLES"/>
    <x v="24"/>
    <x v="24"/>
    <n v="840"/>
    <n v="420"/>
    <n v="352.8"/>
    <x v="3"/>
  </r>
  <r>
    <x v="269"/>
    <x v="9"/>
    <x v="44"/>
    <s v="MIÉRCOLES"/>
    <x v="39"/>
    <x v="39"/>
    <n v="420"/>
    <n v="420"/>
    <n v="176.4"/>
    <x v="3"/>
  </r>
  <r>
    <x v="269"/>
    <x v="9"/>
    <x v="44"/>
    <s v="MIÉRCOLES"/>
    <x v="10"/>
    <x v="10"/>
    <n v="4560"/>
    <n v="120"/>
    <n v="775.2"/>
    <x v="3"/>
  </r>
  <r>
    <x v="269"/>
    <x v="9"/>
    <x v="44"/>
    <s v="MIÉRCOLES"/>
    <x v="64"/>
    <x v="48"/>
    <n v="390"/>
    <n v="30"/>
    <n v="81.899999999999991"/>
    <x v="3"/>
  </r>
  <r>
    <x v="269"/>
    <x v="9"/>
    <x v="44"/>
    <s v="MIÉRCOLES"/>
    <x v="13"/>
    <x v="13"/>
    <n v="180"/>
    <n v="30"/>
    <n v="72"/>
    <x v="3"/>
  </r>
  <r>
    <x v="269"/>
    <x v="9"/>
    <x v="44"/>
    <s v="MIÉRCOLES"/>
    <x v="10"/>
    <x v="10"/>
    <n v="1200"/>
    <n v="120"/>
    <n v="204.00000000000003"/>
    <x v="3"/>
  </r>
  <r>
    <x v="269"/>
    <x v="9"/>
    <x v="44"/>
    <s v="MIÉRCOLES"/>
    <x v="26"/>
    <x v="26"/>
    <n v="1440"/>
    <n v="90"/>
    <n v="244.8"/>
    <x v="3"/>
  </r>
  <r>
    <x v="269"/>
    <x v="9"/>
    <x v="44"/>
    <s v="MIÉRCOLES"/>
    <x v="64"/>
    <x v="48"/>
    <n v="210"/>
    <n v="30"/>
    <n v="44.1"/>
    <x v="3"/>
  </r>
  <r>
    <x v="270"/>
    <x v="9"/>
    <x v="44"/>
    <s v="JUEVES"/>
    <x v="28"/>
    <x v="28"/>
    <n v="120"/>
    <n v="30"/>
    <n v="27.6"/>
    <x v="3"/>
  </r>
  <r>
    <x v="270"/>
    <x v="9"/>
    <x v="44"/>
    <s v="JUEVES"/>
    <x v="15"/>
    <x v="15"/>
    <n v="100"/>
    <n v="50"/>
    <n v="40"/>
    <x v="3"/>
  </r>
  <r>
    <x v="270"/>
    <x v="9"/>
    <x v="44"/>
    <s v="JUEVES"/>
    <x v="24"/>
    <x v="24"/>
    <n v="2100"/>
    <n v="420"/>
    <n v="882"/>
    <x v="3"/>
  </r>
  <r>
    <x v="270"/>
    <x v="9"/>
    <x v="44"/>
    <s v="JUEVES"/>
    <x v="64"/>
    <x v="48"/>
    <n v="360"/>
    <n v="30"/>
    <n v="75.599999999999994"/>
    <x v="3"/>
  </r>
  <r>
    <x v="271"/>
    <x v="10"/>
    <x v="44"/>
    <s v="VIERNES"/>
    <x v="10"/>
    <x v="10"/>
    <n v="6000"/>
    <n v="120"/>
    <n v="1020.0000000000001"/>
    <x v="3"/>
  </r>
  <r>
    <x v="270"/>
    <x v="9"/>
    <x v="44"/>
    <s v="JUEVES"/>
    <x v="0"/>
    <x v="0"/>
    <n v="576"/>
    <n v="48"/>
    <n v="230.4"/>
    <x v="3"/>
  </r>
  <r>
    <x v="270"/>
    <x v="9"/>
    <x v="44"/>
    <s v="JUEVES"/>
    <x v="1"/>
    <x v="1"/>
    <n v="5184"/>
    <n v="198"/>
    <n v="881.28000000000009"/>
    <x v="3"/>
  </r>
  <r>
    <x v="270"/>
    <x v="9"/>
    <x v="44"/>
    <s v="JUEVES"/>
    <x v="2"/>
    <x v="2"/>
    <n v="3456"/>
    <n v="198"/>
    <n v="587.5200000000001"/>
    <x v="3"/>
  </r>
  <r>
    <x v="270"/>
    <x v="9"/>
    <x v="44"/>
    <s v="JUEVES"/>
    <x v="22"/>
    <x v="22"/>
    <n v="594"/>
    <n v="198"/>
    <n v="100.98"/>
    <x v="3"/>
  </r>
  <r>
    <x v="270"/>
    <x v="9"/>
    <x v="44"/>
    <s v="JUEVES"/>
    <x v="7"/>
    <x v="7"/>
    <n v="1728"/>
    <n v="198"/>
    <n v="293.76000000000005"/>
    <x v="3"/>
  </r>
  <r>
    <x v="270"/>
    <x v="9"/>
    <x v="44"/>
    <s v="JUEVES"/>
    <x v="8"/>
    <x v="8"/>
    <n v="1080"/>
    <n v="198"/>
    <n v="183.60000000000002"/>
    <x v="3"/>
  </r>
  <r>
    <x v="270"/>
    <x v="9"/>
    <x v="44"/>
    <s v="JUEVES"/>
    <x v="43"/>
    <x v="43"/>
    <n v="500"/>
    <n v="420"/>
    <n v="210"/>
    <x v="3"/>
  </r>
  <r>
    <x v="271"/>
    <x v="10"/>
    <x v="44"/>
    <s v="VIERNES"/>
    <x v="28"/>
    <x v="28"/>
    <n v="180"/>
    <n v="30"/>
    <n v="41.4"/>
    <x v="3"/>
  </r>
  <r>
    <x v="271"/>
    <x v="10"/>
    <x v="44"/>
    <s v="VIERNES"/>
    <x v="33"/>
    <x v="33"/>
    <n v="80"/>
    <n v="40"/>
    <n v="18.400000000000002"/>
    <x v="3"/>
  </r>
  <r>
    <x v="271"/>
    <x v="10"/>
    <x v="44"/>
    <s v="VIERNES"/>
    <x v="15"/>
    <x v="15"/>
    <n v="300"/>
    <n v="50"/>
    <n v="120"/>
    <x v="3"/>
  </r>
  <r>
    <x v="271"/>
    <x v="10"/>
    <x v="44"/>
    <s v="VIERNES"/>
    <x v="16"/>
    <x v="16"/>
    <n v="900"/>
    <n v="180"/>
    <n v="378"/>
    <x v="3"/>
  </r>
  <r>
    <x v="271"/>
    <x v="10"/>
    <x v="44"/>
    <s v="VIERNES"/>
    <x v="1"/>
    <x v="1"/>
    <n v="432"/>
    <n v="198"/>
    <n v="73.440000000000012"/>
    <x v="3"/>
  </r>
  <r>
    <x v="271"/>
    <x v="10"/>
    <x v="44"/>
    <s v="VIERNES"/>
    <x v="5"/>
    <x v="5"/>
    <n v="324"/>
    <n v="162"/>
    <n v="55.080000000000005"/>
    <x v="3"/>
  </r>
  <r>
    <x v="271"/>
    <x v="10"/>
    <x v="44"/>
    <s v="VIERNES"/>
    <x v="8"/>
    <x v="8"/>
    <n v="1728"/>
    <n v="198"/>
    <n v="293.76000000000005"/>
    <x v="3"/>
  </r>
  <r>
    <x v="271"/>
    <x v="10"/>
    <x v="44"/>
    <s v="VIERNES"/>
    <x v="20"/>
    <x v="20"/>
    <n v="450"/>
    <n v="90"/>
    <n v="76.5"/>
    <x v="3"/>
  </r>
  <r>
    <x v="271"/>
    <x v="10"/>
    <x v="44"/>
    <s v="VIERNES"/>
    <x v="25"/>
    <x v="25"/>
    <n v="1800"/>
    <n v="225"/>
    <n v="756"/>
    <x v="3"/>
  </r>
  <r>
    <x v="271"/>
    <x v="10"/>
    <x v="44"/>
    <s v="VIERNES"/>
    <x v="28"/>
    <x v="28"/>
    <n v="30"/>
    <n v="30"/>
    <n v="6.9"/>
    <x v="3"/>
  </r>
  <r>
    <x v="271"/>
    <x v="10"/>
    <x v="44"/>
    <s v="VIERNES"/>
    <x v="10"/>
    <x v="10"/>
    <n v="4320"/>
    <n v="120"/>
    <n v="734.40000000000009"/>
    <x v="3"/>
  </r>
  <r>
    <x v="271"/>
    <x v="10"/>
    <x v="44"/>
    <s v="VIERNES"/>
    <x v="36"/>
    <x v="36"/>
    <n v="540"/>
    <n v="90"/>
    <n v="216"/>
    <x v="3"/>
  </r>
  <r>
    <x v="271"/>
    <x v="10"/>
    <x v="44"/>
    <s v="VIERNES"/>
    <x v="40"/>
    <x v="40"/>
    <n v="224"/>
    <n v="240"/>
    <n v="89.600000000000009"/>
    <x v="3"/>
  </r>
  <r>
    <x v="271"/>
    <x v="10"/>
    <x v="44"/>
    <s v="VIERNES"/>
    <x v="10"/>
    <x v="10"/>
    <n v="1680"/>
    <n v="120"/>
    <n v="285.60000000000002"/>
    <x v="3"/>
  </r>
  <r>
    <x v="271"/>
    <x v="10"/>
    <x v="44"/>
    <s v="VIERNES"/>
    <x v="42"/>
    <x v="42"/>
    <n v="250"/>
    <n v="420"/>
    <n v="105"/>
    <x v="3"/>
  </r>
  <r>
    <x v="271"/>
    <x v="10"/>
    <x v="44"/>
    <s v="VIERNES"/>
    <x v="43"/>
    <x v="43"/>
    <n v="250"/>
    <n v="420"/>
    <n v="105"/>
    <x v="3"/>
  </r>
  <r>
    <x v="271"/>
    <x v="10"/>
    <x v="44"/>
    <s v="VIERNES"/>
    <x v="24"/>
    <x v="24"/>
    <n v="4200"/>
    <n v="420"/>
    <n v="1764"/>
    <x v="3"/>
  </r>
  <r>
    <x v="271"/>
    <x v="10"/>
    <x v="44"/>
    <s v="VIERNES"/>
    <x v="16"/>
    <x v="16"/>
    <n v="180"/>
    <n v="180"/>
    <n v="75.599999999999994"/>
    <x v="3"/>
  </r>
  <r>
    <x v="271"/>
    <x v="10"/>
    <x v="44"/>
    <s v="VIERNES"/>
    <x v="5"/>
    <x v="5"/>
    <n v="162"/>
    <n v="162"/>
    <n v="27.540000000000003"/>
    <x v="3"/>
  </r>
  <r>
    <x v="271"/>
    <x v="10"/>
    <x v="44"/>
    <s v="VIERNES"/>
    <x v="6"/>
    <x v="6"/>
    <n v="2880"/>
    <n v="120"/>
    <n v="489.6"/>
    <x v="3"/>
  </r>
  <r>
    <x v="271"/>
    <x v="10"/>
    <x v="44"/>
    <s v="VIERNES"/>
    <x v="17"/>
    <x v="17"/>
    <n v="720"/>
    <n v="120"/>
    <n v="122.4"/>
    <x v="3"/>
  </r>
  <r>
    <x v="271"/>
    <x v="10"/>
    <x v="44"/>
    <s v="VIERNES"/>
    <x v="10"/>
    <x v="10"/>
    <n v="720"/>
    <n v="120"/>
    <n v="122.4"/>
    <x v="3"/>
  </r>
  <r>
    <x v="271"/>
    <x v="10"/>
    <x v="44"/>
    <s v="VIERNES"/>
    <x v="23"/>
    <x v="23"/>
    <n v="1800"/>
    <n v="90"/>
    <n v="306"/>
    <x v="3"/>
  </r>
  <r>
    <x v="271"/>
    <x v="10"/>
    <x v="44"/>
    <s v="VIERNES"/>
    <x v="11"/>
    <x v="11"/>
    <n v="1440"/>
    <n v="90"/>
    <n v="244.8"/>
    <x v="3"/>
  </r>
  <r>
    <x v="272"/>
    <x v="10"/>
    <x v="45"/>
    <s v="SÁBADO"/>
    <x v="10"/>
    <x v="10"/>
    <n v="3840"/>
    <n v="120"/>
    <n v="652.80000000000007"/>
    <x v="3"/>
  </r>
  <r>
    <x v="272"/>
    <x v="10"/>
    <x v="45"/>
    <s v="SÁBADO"/>
    <x v="10"/>
    <x v="10"/>
    <n v="960"/>
    <n v="120"/>
    <n v="163.20000000000002"/>
    <x v="3"/>
  </r>
  <r>
    <x v="272"/>
    <x v="10"/>
    <x v="45"/>
    <s v="SÁBADO"/>
    <x v="28"/>
    <x v="28"/>
    <n v="120"/>
    <n v="30"/>
    <n v="27.6"/>
    <x v="3"/>
  </r>
  <r>
    <x v="272"/>
    <x v="10"/>
    <x v="45"/>
    <s v="SÁBADO"/>
    <x v="13"/>
    <x v="13"/>
    <n v="180"/>
    <n v="30"/>
    <n v="72"/>
    <x v="3"/>
  </r>
  <r>
    <x v="272"/>
    <x v="10"/>
    <x v="45"/>
    <s v="SÁBADO"/>
    <x v="15"/>
    <x v="15"/>
    <n v="100"/>
    <n v="50"/>
    <n v="40"/>
    <x v="3"/>
  </r>
  <r>
    <x v="272"/>
    <x v="10"/>
    <x v="45"/>
    <s v="SÁBADO"/>
    <x v="22"/>
    <x v="22"/>
    <n v="792"/>
    <n v="198"/>
    <n v="134.64000000000001"/>
    <x v="3"/>
  </r>
  <r>
    <x v="272"/>
    <x v="10"/>
    <x v="45"/>
    <s v="SÁBADO"/>
    <x v="4"/>
    <x v="4"/>
    <n v="486"/>
    <n v="162"/>
    <n v="82.62"/>
    <x v="3"/>
  </r>
  <r>
    <x v="272"/>
    <x v="10"/>
    <x v="45"/>
    <s v="SÁBADO"/>
    <x v="5"/>
    <x v="5"/>
    <n v="324"/>
    <n v="162"/>
    <n v="55.080000000000005"/>
    <x v="3"/>
  </r>
  <r>
    <x v="272"/>
    <x v="10"/>
    <x v="45"/>
    <s v="SÁBADO"/>
    <x v="6"/>
    <x v="6"/>
    <n v="120"/>
    <n v="120"/>
    <n v="20.400000000000002"/>
    <x v="3"/>
  </r>
  <r>
    <x v="272"/>
    <x v="10"/>
    <x v="45"/>
    <s v="SÁBADO"/>
    <x v="17"/>
    <x v="17"/>
    <n v="1080"/>
    <n v="120"/>
    <n v="183.60000000000002"/>
    <x v="3"/>
  </r>
  <r>
    <x v="272"/>
    <x v="10"/>
    <x v="45"/>
    <s v="SÁBADO"/>
    <x v="10"/>
    <x v="10"/>
    <n v="2880"/>
    <n v="120"/>
    <n v="489.6"/>
    <x v="3"/>
  </r>
  <r>
    <x v="272"/>
    <x v="10"/>
    <x v="45"/>
    <s v="SÁBADO"/>
    <x v="23"/>
    <x v="23"/>
    <n v="90"/>
    <n v="90"/>
    <n v="15.3"/>
    <x v="3"/>
  </r>
  <r>
    <x v="272"/>
    <x v="10"/>
    <x v="45"/>
    <s v="SÁBADO"/>
    <x v="11"/>
    <x v="11"/>
    <n v="900"/>
    <n v="90"/>
    <n v="153"/>
    <x v="3"/>
  </r>
  <r>
    <x v="273"/>
    <x v="10"/>
    <x v="45"/>
    <s v="LUNES"/>
    <x v="40"/>
    <x v="40"/>
    <n v="112"/>
    <n v="240"/>
    <n v="44.800000000000004"/>
    <x v="3"/>
  </r>
  <r>
    <x v="273"/>
    <x v="10"/>
    <x v="45"/>
    <s v="LUNES"/>
    <x v="38"/>
    <x v="38"/>
    <n v="224"/>
    <n v="112"/>
    <n v="89.600000000000009"/>
    <x v="3"/>
  </r>
  <r>
    <x v="273"/>
    <x v="10"/>
    <x v="45"/>
    <s v="LUNES"/>
    <x v="0"/>
    <x v="0"/>
    <n v="960"/>
    <n v="48"/>
    <n v="384"/>
    <x v="3"/>
  </r>
  <r>
    <x v="273"/>
    <x v="10"/>
    <x v="45"/>
    <s v="LUNES"/>
    <x v="16"/>
    <x v="16"/>
    <n v="1080"/>
    <n v="180"/>
    <n v="453.59999999999997"/>
    <x v="3"/>
  </r>
  <r>
    <x v="273"/>
    <x v="10"/>
    <x v="45"/>
    <s v="LUNES"/>
    <x v="1"/>
    <x v="1"/>
    <n v="1080"/>
    <n v="198"/>
    <n v="183.60000000000002"/>
    <x v="3"/>
  </r>
  <r>
    <x v="273"/>
    <x v="10"/>
    <x v="45"/>
    <s v="LUNES"/>
    <x v="2"/>
    <x v="2"/>
    <n v="2160"/>
    <n v="198"/>
    <n v="367.20000000000005"/>
    <x v="3"/>
  </r>
  <r>
    <x v="273"/>
    <x v="10"/>
    <x v="45"/>
    <s v="LUNES"/>
    <x v="6"/>
    <x v="6"/>
    <n v="1680"/>
    <n v="120"/>
    <n v="285.60000000000002"/>
    <x v="3"/>
  </r>
  <r>
    <x v="273"/>
    <x v="10"/>
    <x v="45"/>
    <s v="LUNES"/>
    <x v="7"/>
    <x v="7"/>
    <n v="1080"/>
    <n v="198"/>
    <n v="183.60000000000002"/>
    <x v="3"/>
  </r>
  <r>
    <x v="273"/>
    <x v="10"/>
    <x v="45"/>
    <s v="LUNES"/>
    <x v="8"/>
    <x v="8"/>
    <n v="1080"/>
    <n v="198"/>
    <n v="183.60000000000002"/>
    <x v="3"/>
  </r>
  <r>
    <x v="273"/>
    <x v="10"/>
    <x v="45"/>
    <s v="LUNES"/>
    <x v="10"/>
    <x v="10"/>
    <n v="240"/>
    <n v="120"/>
    <n v="40.800000000000004"/>
    <x v="3"/>
  </r>
  <r>
    <x v="273"/>
    <x v="10"/>
    <x v="45"/>
    <s v="LUNES"/>
    <x v="12"/>
    <x v="12"/>
    <n v="450"/>
    <n v="225"/>
    <n v="180"/>
    <x v="3"/>
  </r>
  <r>
    <x v="273"/>
    <x v="10"/>
    <x v="45"/>
    <s v="LUNES"/>
    <x v="33"/>
    <x v="33"/>
    <n v="120"/>
    <n v="40"/>
    <n v="27.6"/>
    <x v="3"/>
  </r>
  <r>
    <x v="273"/>
    <x v="10"/>
    <x v="45"/>
    <s v="LUNES"/>
    <x v="13"/>
    <x v="13"/>
    <n v="210"/>
    <n v="30"/>
    <n v="84"/>
    <x v="3"/>
  </r>
  <r>
    <x v="273"/>
    <x v="10"/>
    <x v="45"/>
    <s v="LUNES"/>
    <x v="14"/>
    <x v="14"/>
    <n v="80"/>
    <n v="40"/>
    <n v="18.400000000000002"/>
    <x v="3"/>
  </r>
  <r>
    <x v="273"/>
    <x v="10"/>
    <x v="45"/>
    <s v="LUNES"/>
    <x v="15"/>
    <x v="15"/>
    <n v="350"/>
    <n v="50"/>
    <n v="140"/>
    <x v="3"/>
  </r>
  <r>
    <x v="273"/>
    <x v="10"/>
    <x v="45"/>
    <s v="LUNES"/>
    <x v="24"/>
    <x v="24"/>
    <n v="2100"/>
    <n v="420"/>
    <n v="882"/>
    <x v="3"/>
  </r>
  <r>
    <x v="273"/>
    <x v="10"/>
    <x v="45"/>
    <s v="LUNES"/>
    <x v="16"/>
    <x v="16"/>
    <n v="180"/>
    <n v="180"/>
    <n v="75.599999999999994"/>
    <x v="3"/>
  </r>
  <r>
    <x v="273"/>
    <x v="10"/>
    <x v="45"/>
    <s v="LUNES"/>
    <x v="4"/>
    <x v="4"/>
    <n v="486"/>
    <n v="162"/>
    <n v="82.62"/>
    <x v="3"/>
  </r>
  <r>
    <x v="273"/>
    <x v="10"/>
    <x v="45"/>
    <s v="LUNES"/>
    <x v="6"/>
    <x v="6"/>
    <n v="720"/>
    <n v="120"/>
    <n v="122.4"/>
    <x v="3"/>
  </r>
  <r>
    <x v="273"/>
    <x v="10"/>
    <x v="45"/>
    <s v="LUNES"/>
    <x v="9"/>
    <x v="9"/>
    <n v="900"/>
    <n v="90"/>
    <n v="153"/>
    <x v="3"/>
  </r>
  <r>
    <x v="273"/>
    <x v="10"/>
    <x v="45"/>
    <s v="LUNES"/>
    <x v="10"/>
    <x v="10"/>
    <n v="960"/>
    <n v="120"/>
    <n v="163.20000000000002"/>
    <x v="3"/>
  </r>
  <r>
    <x v="273"/>
    <x v="10"/>
    <x v="45"/>
    <s v="LUNES"/>
    <x v="26"/>
    <x v="26"/>
    <n v="900"/>
    <n v="90"/>
    <n v="153"/>
    <x v="3"/>
  </r>
  <r>
    <x v="273"/>
    <x v="10"/>
    <x v="45"/>
    <s v="LUNES"/>
    <x v="20"/>
    <x v="20"/>
    <n v="450"/>
    <n v="90"/>
    <n v="76.5"/>
    <x v="3"/>
  </r>
  <r>
    <x v="273"/>
    <x v="10"/>
    <x v="45"/>
    <s v="LUNES"/>
    <x v="25"/>
    <x v="25"/>
    <n v="1350"/>
    <n v="225"/>
    <n v="567"/>
    <x v="3"/>
  </r>
  <r>
    <x v="274"/>
    <x v="10"/>
    <x v="45"/>
    <s v="MIÉRCOLES"/>
    <x v="10"/>
    <x v="10"/>
    <n v="6000"/>
    <n v="120"/>
    <n v="1020.0000000000001"/>
    <x v="3"/>
  </r>
  <r>
    <x v="275"/>
    <x v="10"/>
    <x v="45"/>
    <s v="MARTES"/>
    <x v="25"/>
    <x v="25"/>
    <n v="900"/>
    <n v="225"/>
    <n v="378"/>
    <x v="3"/>
  </r>
  <r>
    <x v="275"/>
    <x v="10"/>
    <x v="45"/>
    <s v="MARTES"/>
    <x v="42"/>
    <x v="42"/>
    <n v="500"/>
    <n v="420"/>
    <n v="210"/>
    <x v="3"/>
  </r>
  <r>
    <x v="275"/>
    <x v="10"/>
    <x v="45"/>
    <s v="MARTES"/>
    <x v="43"/>
    <x v="43"/>
    <n v="750"/>
    <n v="420"/>
    <n v="315"/>
    <x v="3"/>
  </r>
  <r>
    <x v="275"/>
    <x v="10"/>
    <x v="45"/>
    <s v="MARTES"/>
    <x v="64"/>
    <x v="48"/>
    <n v="360"/>
    <n v="30"/>
    <n v="75.599999999999994"/>
    <x v="3"/>
  </r>
  <r>
    <x v="275"/>
    <x v="10"/>
    <x v="45"/>
    <s v="MARTES"/>
    <x v="13"/>
    <x v="13"/>
    <n v="210"/>
    <n v="30"/>
    <n v="84"/>
    <x v="3"/>
  </r>
  <r>
    <x v="275"/>
    <x v="10"/>
    <x v="45"/>
    <s v="MARTES"/>
    <x v="36"/>
    <x v="36"/>
    <n v="900"/>
    <n v="90"/>
    <n v="360"/>
    <x v="3"/>
  </r>
  <r>
    <x v="275"/>
    <x v="10"/>
    <x v="45"/>
    <s v="MARTES"/>
    <x v="38"/>
    <x v="38"/>
    <n v="560"/>
    <n v="112"/>
    <n v="224"/>
    <x v="3"/>
  </r>
  <r>
    <x v="275"/>
    <x v="10"/>
    <x v="45"/>
    <s v="MARTES"/>
    <x v="0"/>
    <x v="0"/>
    <n v="960"/>
    <n v="48"/>
    <n v="384"/>
    <x v="3"/>
  </r>
  <r>
    <x v="275"/>
    <x v="10"/>
    <x v="45"/>
    <s v="MARTES"/>
    <x v="24"/>
    <x v="24"/>
    <n v="840"/>
    <n v="420"/>
    <n v="352.8"/>
    <x v="3"/>
  </r>
  <r>
    <x v="275"/>
    <x v="10"/>
    <x v="45"/>
    <s v="MARTES"/>
    <x v="32"/>
    <x v="32"/>
    <n v="420"/>
    <n v="420"/>
    <n v="176.4"/>
    <x v="3"/>
  </r>
  <r>
    <x v="275"/>
    <x v="10"/>
    <x v="45"/>
    <s v="MARTES"/>
    <x v="1"/>
    <x v="1"/>
    <n v="1080"/>
    <n v="198"/>
    <n v="183.60000000000002"/>
    <x v="3"/>
  </r>
  <r>
    <x v="275"/>
    <x v="10"/>
    <x v="45"/>
    <s v="MARTES"/>
    <x v="22"/>
    <x v="22"/>
    <n v="792"/>
    <n v="198"/>
    <n v="134.64000000000001"/>
    <x v="3"/>
  </r>
  <r>
    <x v="275"/>
    <x v="10"/>
    <x v="45"/>
    <s v="MARTES"/>
    <x v="5"/>
    <x v="5"/>
    <n v="648"/>
    <n v="162"/>
    <n v="110.16000000000001"/>
    <x v="3"/>
  </r>
  <r>
    <x v="275"/>
    <x v="10"/>
    <x v="45"/>
    <s v="MARTES"/>
    <x v="7"/>
    <x v="7"/>
    <n v="2160"/>
    <n v="198"/>
    <n v="367.20000000000005"/>
    <x v="3"/>
  </r>
  <r>
    <x v="275"/>
    <x v="10"/>
    <x v="45"/>
    <s v="MARTES"/>
    <x v="8"/>
    <x v="8"/>
    <n v="1080"/>
    <n v="198"/>
    <n v="183.60000000000002"/>
    <x v="3"/>
  </r>
  <r>
    <x v="275"/>
    <x v="10"/>
    <x v="45"/>
    <s v="MARTES"/>
    <x v="9"/>
    <x v="9"/>
    <n v="720"/>
    <n v="90"/>
    <n v="122.4"/>
    <x v="3"/>
  </r>
  <r>
    <x v="275"/>
    <x v="10"/>
    <x v="45"/>
    <s v="MARTES"/>
    <x v="26"/>
    <x v="26"/>
    <n v="720"/>
    <n v="90"/>
    <n v="122.4"/>
    <x v="3"/>
  </r>
  <r>
    <x v="275"/>
    <x v="10"/>
    <x v="45"/>
    <s v="MARTES"/>
    <x v="23"/>
    <x v="23"/>
    <n v="1440"/>
    <n v="90"/>
    <n v="244.8"/>
    <x v="3"/>
  </r>
  <r>
    <x v="275"/>
    <x v="10"/>
    <x v="45"/>
    <s v="MARTES"/>
    <x v="20"/>
    <x v="20"/>
    <n v="450"/>
    <n v="90"/>
    <n v="76.5"/>
    <x v="3"/>
  </r>
  <r>
    <x v="274"/>
    <x v="10"/>
    <x v="45"/>
    <s v="MIÉRCOLES"/>
    <x v="22"/>
    <x v="22"/>
    <n v="396"/>
    <n v="198"/>
    <n v="67.320000000000007"/>
    <x v="3"/>
  </r>
  <r>
    <x v="274"/>
    <x v="10"/>
    <x v="45"/>
    <s v="MIÉRCOLES"/>
    <x v="6"/>
    <x v="6"/>
    <n v="2520"/>
    <n v="120"/>
    <n v="428.40000000000003"/>
    <x v="3"/>
  </r>
  <r>
    <x v="274"/>
    <x v="10"/>
    <x v="45"/>
    <s v="MIÉRCOLES"/>
    <x v="17"/>
    <x v="17"/>
    <n v="3000"/>
    <n v="120"/>
    <n v="510.00000000000006"/>
    <x v="3"/>
  </r>
  <r>
    <x v="274"/>
    <x v="10"/>
    <x v="45"/>
    <s v="MIÉRCOLES"/>
    <x v="10"/>
    <x v="10"/>
    <n v="6000"/>
    <n v="120"/>
    <n v="1020.0000000000001"/>
    <x v="3"/>
  </r>
  <r>
    <x v="274"/>
    <x v="10"/>
    <x v="45"/>
    <s v="MIÉRCOLES"/>
    <x v="11"/>
    <x v="11"/>
    <n v="1800"/>
    <n v="90"/>
    <n v="306"/>
    <x v="3"/>
  </r>
  <r>
    <x v="276"/>
    <x v="10"/>
    <x v="45"/>
    <s v="JUEVES"/>
    <x v="28"/>
    <x v="28"/>
    <n v="180"/>
    <n v="30"/>
    <n v="41.4"/>
    <x v="3"/>
  </r>
  <r>
    <x v="276"/>
    <x v="10"/>
    <x v="45"/>
    <s v="JUEVES"/>
    <x v="13"/>
    <x v="13"/>
    <n v="120"/>
    <n v="30"/>
    <n v="48"/>
    <x v="3"/>
  </r>
  <r>
    <x v="276"/>
    <x v="10"/>
    <x v="45"/>
    <s v="JUEVES"/>
    <x v="15"/>
    <x v="15"/>
    <n v="250"/>
    <n v="50"/>
    <n v="100"/>
    <x v="3"/>
  </r>
  <r>
    <x v="276"/>
    <x v="10"/>
    <x v="45"/>
    <s v="JUEVES"/>
    <x v="2"/>
    <x v="2"/>
    <n v="1296"/>
    <n v="198"/>
    <n v="220.32000000000002"/>
    <x v="3"/>
  </r>
  <r>
    <x v="276"/>
    <x v="10"/>
    <x v="45"/>
    <s v="JUEVES"/>
    <x v="9"/>
    <x v="9"/>
    <n v="1260"/>
    <n v="90"/>
    <n v="214.20000000000002"/>
    <x v="3"/>
  </r>
  <r>
    <x v="276"/>
    <x v="10"/>
    <x v="45"/>
    <s v="JUEVES"/>
    <x v="28"/>
    <x v="28"/>
    <n v="120"/>
    <n v="30"/>
    <n v="27.6"/>
    <x v="3"/>
  </r>
  <r>
    <x v="276"/>
    <x v="10"/>
    <x v="45"/>
    <s v="JUEVES"/>
    <x v="13"/>
    <x v="13"/>
    <n v="120"/>
    <n v="30"/>
    <n v="48"/>
    <x v="3"/>
  </r>
  <r>
    <x v="276"/>
    <x v="10"/>
    <x v="45"/>
    <s v="JUEVES"/>
    <x v="0"/>
    <x v="0"/>
    <n v="960"/>
    <n v="48"/>
    <n v="384"/>
    <x v="3"/>
  </r>
  <r>
    <x v="276"/>
    <x v="10"/>
    <x v="45"/>
    <s v="JUEVES"/>
    <x v="2"/>
    <x v="2"/>
    <n v="864"/>
    <n v="198"/>
    <n v="146.88000000000002"/>
    <x v="3"/>
  </r>
  <r>
    <x v="276"/>
    <x v="10"/>
    <x v="45"/>
    <s v="JUEVES"/>
    <x v="34"/>
    <x v="34"/>
    <n v="216"/>
    <n v="198"/>
    <n v="36.720000000000006"/>
    <x v="3"/>
  </r>
  <r>
    <x v="276"/>
    <x v="10"/>
    <x v="45"/>
    <s v="JUEVES"/>
    <x v="3"/>
    <x v="3"/>
    <n v="1584"/>
    <n v="198"/>
    <n v="269.28000000000003"/>
    <x v="3"/>
  </r>
  <r>
    <x v="276"/>
    <x v="10"/>
    <x v="45"/>
    <s v="JUEVES"/>
    <x v="4"/>
    <x v="4"/>
    <n v="810"/>
    <n v="162"/>
    <n v="137.70000000000002"/>
    <x v="3"/>
  </r>
  <r>
    <x v="276"/>
    <x v="10"/>
    <x v="45"/>
    <s v="JUEVES"/>
    <x v="7"/>
    <x v="7"/>
    <n v="1728"/>
    <n v="198"/>
    <n v="293.76000000000005"/>
    <x v="3"/>
  </r>
  <r>
    <x v="276"/>
    <x v="10"/>
    <x v="45"/>
    <s v="JUEVES"/>
    <x v="9"/>
    <x v="9"/>
    <n v="1080"/>
    <n v="90"/>
    <n v="183.60000000000002"/>
    <x v="3"/>
  </r>
  <r>
    <x v="276"/>
    <x v="10"/>
    <x v="45"/>
    <s v="JUEVES"/>
    <x v="23"/>
    <x v="23"/>
    <n v="3600"/>
    <n v="90"/>
    <n v="612"/>
    <x v="3"/>
  </r>
  <r>
    <x v="276"/>
    <x v="10"/>
    <x v="45"/>
    <s v="JUEVES"/>
    <x v="25"/>
    <x v="25"/>
    <n v="2250"/>
    <n v="225"/>
    <n v="945"/>
    <x v="3"/>
  </r>
  <r>
    <x v="276"/>
    <x v="10"/>
    <x v="45"/>
    <s v="JUEVES"/>
    <x v="43"/>
    <x v="43"/>
    <n v="500"/>
    <n v="420"/>
    <n v="210"/>
    <x v="3"/>
  </r>
  <r>
    <x v="274"/>
    <x v="10"/>
    <x v="45"/>
    <s v="MIÉRCOLES"/>
    <x v="22"/>
    <x v="22"/>
    <n v="792"/>
    <n v="198"/>
    <n v="134.64000000000001"/>
    <x v="3"/>
  </r>
  <r>
    <x v="274"/>
    <x v="10"/>
    <x v="45"/>
    <s v="MIÉRCOLES"/>
    <x v="6"/>
    <x v="6"/>
    <n v="480"/>
    <n v="120"/>
    <n v="81.600000000000009"/>
    <x v="3"/>
  </r>
  <r>
    <x v="274"/>
    <x v="10"/>
    <x v="45"/>
    <s v="MIÉRCOLES"/>
    <x v="8"/>
    <x v="8"/>
    <n v="1080"/>
    <n v="198"/>
    <n v="183.60000000000002"/>
    <x v="3"/>
  </r>
  <r>
    <x v="274"/>
    <x v="10"/>
    <x v="45"/>
    <s v="MIÉRCOLES"/>
    <x v="23"/>
    <x v="23"/>
    <n v="900"/>
    <n v="90"/>
    <n v="153"/>
    <x v="3"/>
  </r>
  <r>
    <x v="274"/>
    <x v="10"/>
    <x v="45"/>
    <s v="MIÉRCOLES"/>
    <x v="11"/>
    <x v="11"/>
    <n v="3690"/>
    <n v="90"/>
    <n v="627.30000000000007"/>
    <x v="3"/>
  </r>
  <r>
    <x v="274"/>
    <x v="10"/>
    <x v="45"/>
    <s v="MIÉRCOLES"/>
    <x v="12"/>
    <x v="12"/>
    <n v="900"/>
    <n v="225"/>
    <n v="360"/>
    <x v="3"/>
  </r>
  <r>
    <x v="276"/>
    <x v="10"/>
    <x v="45"/>
    <s v="JUEVES"/>
    <x v="0"/>
    <x v="0"/>
    <n v="480"/>
    <n v="48"/>
    <n v="192"/>
    <x v="3"/>
  </r>
  <r>
    <x v="276"/>
    <x v="10"/>
    <x v="45"/>
    <s v="JUEVES"/>
    <x v="1"/>
    <x v="1"/>
    <n v="5400"/>
    <n v="198"/>
    <n v="918.00000000000011"/>
    <x v="3"/>
  </r>
  <r>
    <x v="276"/>
    <x v="10"/>
    <x v="45"/>
    <s v="JUEVES"/>
    <x v="7"/>
    <x v="7"/>
    <n v="1728"/>
    <n v="198"/>
    <n v="293.76000000000005"/>
    <x v="3"/>
  </r>
  <r>
    <x v="276"/>
    <x v="10"/>
    <x v="45"/>
    <s v="JUEVES"/>
    <x v="8"/>
    <x v="8"/>
    <n v="648"/>
    <n v="198"/>
    <n v="110.16000000000001"/>
    <x v="3"/>
  </r>
  <r>
    <x v="276"/>
    <x v="10"/>
    <x v="45"/>
    <s v="JUEVES"/>
    <x v="26"/>
    <x v="26"/>
    <n v="1800"/>
    <n v="90"/>
    <n v="306"/>
    <x v="3"/>
  </r>
  <r>
    <x v="276"/>
    <x v="10"/>
    <x v="45"/>
    <s v="JUEVES"/>
    <x v="20"/>
    <x v="20"/>
    <n v="720"/>
    <n v="90"/>
    <n v="122.4"/>
    <x v="3"/>
  </r>
  <r>
    <x v="277"/>
    <x v="10"/>
    <x v="45"/>
    <s v="VIERNES"/>
    <x v="15"/>
    <x v="15"/>
    <n v="200"/>
    <n v="50"/>
    <n v="80"/>
    <x v="3"/>
  </r>
  <r>
    <x v="277"/>
    <x v="10"/>
    <x v="45"/>
    <s v="VIERNES"/>
    <x v="36"/>
    <x v="36"/>
    <n v="900"/>
    <n v="90"/>
    <n v="360"/>
    <x v="3"/>
  </r>
  <r>
    <x v="277"/>
    <x v="10"/>
    <x v="45"/>
    <s v="VIERNES"/>
    <x v="0"/>
    <x v="0"/>
    <n v="480"/>
    <n v="48"/>
    <n v="192"/>
    <x v="3"/>
  </r>
  <r>
    <x v="277"/>
    <x v="10"/>
    <x v="45"/>
    <s v="VIERNES"/>
    <x v="24"/>
    <x v="24"/>
    <n v="1680"/>
    <n v="420"/>
    <n v="705.6"/>
    <x v="3"/>
  </r>
  <r>
    <x v="277"/>
    <x v="10"/>
    <x v="45"/>
    <s v="VIERNES"/>
    <x v="2"/>
    <x v="2"/>
    <n v="3240"/>
    <n v="198"/>
    <n v="550.80000000000007"/>
    <x v="3"/>
  </r>
  <r>
    <x v="277"/>
    <x v="10"/>
    <x v="45"/>
    <s v="VIERNES"/>
    <x v="3"/>
    <x v="3"/>
    <n v="594"/>
    <n v="198"/>
    <n v="100.98"/>
    <x v="3"/>
  </r>
  <r>
    <x v="277"/>
    <x v="10"/>
    <x v="45"/>
    <s v="VIERNES"/>
    <x v="4"/>
    <x v="4"/>
    <n v="648"/>
    <n v="162"/>
    <n v="110.16000000000001"/>
    <x v="3"/>
  </r>
  <r>
    <x v="277"/>
    <x v="10"/>
    <x v="45"/>
    <s v="VIERNES"/>
    <x v="7"/>
    <x v="7"/>
    <n v="2592"/>
    <n v="198"/>
    <n v="440.64000000000004"/>
    <x v="3"/>
  </r>
  <r>
    <x v="277"/>
    <x v="10"/>
    <x v="45"/>
    <s v="VIERNES"/>
    <x v="8"/>
    <x v="8"/>
    <n v="864"/>
    <n v="198"/>
    <n v="146.88000000000002"/>
    <x v="3"/>
  </r>
  <r>
    <x v="277"/>
    <x v="10"/>
    <x v="45"/>
    <s v="VIERNES"/>
    <x v="20"/>
    <x v="20"/>
    <n v="720"/>
    <n v="90"/>
    <n v="122.4"/>
    <x v="3"/>
  </r>
  <r>
    <x v="277"/>
    <x v="10"/>
    <x v="45"/>
    <s v="VIERNES"/>
    <x v="12"/>
    <x v="12"/>
    <n v="450"/>
    <n v="225"/>
    <n v="180"/>
    <x v="3"/>
  </r>
  <r>
    <x v="277"/>
    <x v="10"/>
    <x v="45"/>
    <s v="VIERNES"/>
    <x v="19"/>
    <x v="19"/>
    <n v="450"/>
    <n v="225"/>
    <n v="180"/>
    <x v="3"/>
  </r>
  <r>
    <x v="277"/>
    <x v="10"/>
    <x v="45"/>
    <s v="VIERNES"/>
    <x v="42"/>
    <x v="42"/>
    <n v="750"/>
    <n v="420"/>
    <n v="315"/>
    <x v="3"/>
  </r>
  <r>
    <x v="277"/>
    <x v="10"/>
    <x v="45"/>
    <s v="VIERNES"/>
    <x v="40"/>
    <x v="40"/>
    <n v="224"/>
    <n v="240"/>
    <n v="89.600000000000009"/>
    <x v="3"/>
  </r>
  <r>
    <x v="277"/>
    <x v="10"/>
    <x v="45"/>
    <s v="VIERNES"/>
    <x v="38"/>
    <x v="38"/>
    <n v="448"/>
    <n v="112"/>
    <n v="179.20000000000002"/>
    <x v="3"/>
  </r>
  <r>
    <x v="277"/>
    <x v="10"/>
    <x v="45"/>
    <s v="VIERNES"/>
    <x v="16"/>
    <x v="16"/>
    <n v="720"/>
    <n v="180"/>
    <n v="302.39999999999998"/>
    <x v="3"/>
  </r>
  <r>
    <x v="277"/>
    <x v="10"/>
    <x v="45"/>
    <s v="VIERNES"/>
    <x v="3"/>
    <x v="3"/>
    <n v="1188"/>
    <n v="198"/>
    <n v="201.96"/>
    <x v="3"/>
  </r>
  <r>
    <x v="277"/>
    <x v="10"/>
    <x v="45"/>
    <s v="VIERNES"/>
    <x v="8"/>
    <x v="8"/>
    <n v="1728"/>
    <n v="198"/>
    <n v="293.76000000000005"/>
    <x v="3"/>
  </r>
  <r>
    <x v="277"/>
    <x v="10"/>
    <x v="45"/>
    <s v="VIERNES"/>
    <x v="40"/>
    <x v="40"/>
    <n v="224"/>
    <n v="240"/>
    <n v="89.600000000000009"/>
    <x v="3"/>
  </r>
  <r>
    <x v="277"/>
    <x v="10"/>
    <x v="45"/>
    <s v="VIERNES"/>
    <x v="38"/>
    <x v="38"/>
    <n v="336"/>
    <n v="112"/>
    <n v="134.4"/>
    <x v="3"/>
  </r>
  <r>
    <x v="277"/>
    <x v="10"/>
    <x v="45"/>
    <s v="VIERNES"/>
    <x v="24"/>
    <x v="24"/>
    <n v="2520"/>
    <n v="420"/>
    <n v="1058.3999999999999"/>
    <x v="3"/>
  </r>
  <r>
    <x v="277"/>
    <x v="10"/>
    <x v="45"/>
    <s v="VIERNES"/>
    <x v="4"/>
    <x v="4"/>
    <n v="810"/>
    <n v="162"/>
    <n v="137.70000000000002"/>
    <x v="3"/>
  </r>
  <r>
    <x v="277"/>
    <x v="10"/>
    <x v="45"/>
    <s v="VIERNES"/>
    <x v="5"/>
    <x v="5"/>
    <n v="810"/>
    <n v="162"/>
    <n v="137.70000000000002"/>
    <x v="3"/>
  </r>
  <r>
    <x v="277"/>
    <x v="10"/>
    <x v="45"/>
    <s v="VIERNES"/>
    <x v="10"/>
    <x v="10"/>
    <n v="6000"/>
    <n v="120"/>
    <n v="1020.0000000000001"/>
    <x v="3"/>
  </r>
  <r>
    <x v="277"/>
    <x v="10"/>
    <x v="45"/>
    <s v="VIERNES"/>
    <x v="26"/>
    <x v="26"/>
    <n v="720"/>
    <n v="90"/>
    <n v="122.4"/>
    <x v="3"/>
  </r>
  <r>
    <x v="277"/>
    <x v="10"/>
    <x v="45"/>
    <s v="VIERNES"/>
    <x v="23"/>
    <x v="23"/>
    <n v="900"/>
    <n v="90"/>
    <n v="153"/>
    <x v="3"/>
  </r>
  <r>
    <x v="277"/>
    <x v="10"/>
    <x v="45"/>
    <s v="VIERNES"/>
    <x v="12"/>
    <x v="12"/>
    <n v="225"/>
    <n v="225"/>
    <n v="90"/>
    <x v="3"/>
  </r>
  <r>
    <x v="278"/>
    <x v="10"/>
    <x v="46"/>
    <s v="SÁBADO"/>
    <x v="36"/>
    <x v="36"/>
    <n v="450"/>
    <n v="90"/>
    <n v="180"/>
    <x v="3"/>
  </r>
  <r>
    <x v="278"/>
    <x v="10"/>
    <x v="46"/>
    <s v="SÁBADO"/>
    <x v="0"/>
    <x v="0"/>
    <n v="960"/>
    <n v="48"/>
    <n v="384"/>
    <x v="3"/>
  </r>
  <r>
    <x v="278"/>
    <x v="10"/>
    <x v="46"/>
    <s v="SÁBADO"/>
    <x v="22"/>
    <x v="22"/>
    <n v="1584"/>
    <n v="198"/>
    <n v="269.28000000000003"/>
    <x v="3"/>
  </r>
  <r>
    <x v="278"/>
    <x v="10"/>
    <x v="46"/>
    <s v="SÁBADO"/>
    <x v="3"/>
    <x v="3"/>
    <n v="2376"/>
    <n v="198"/>
    <n v="403.92"/>
    <x v="3"/>
  </r>
  <r>
    <x v="278"/>
    <x v="10"/>
    <x v="46"/>
    <s v="SÁBADO"/>
    <x v="7"/>
    <x v="7"/>
    <n v="1080"/>
    <n v="198"/>
    <n v="183.60000000000002"/>
    <x v="3"/>
  </r>
  <r>
    <x v="278"/>
    <x v="10"/>
    <x v="46"/>
    <s v="SÁBADO"/>
    <x v="8"/>
    <x v="8"/>
    <n v="1296"/>
    <n v="198"/>
    <n v="220.32000000000002"/>
    <x v="3"/>
  </r>
  <r>
    <x v="278"/>
    <x v="10"/>
    <x v="46"/>
    <s v="SÁBADO"/>
    <x v="43"/>
    <x v="43"/>
    <n v="500"/>
    <n v="420"/>
    <n v="210"/>
    <x v="3"/>
  </r>
  <r>
    <x v="278"/>
    <x v="10"/>
    <x v="46"/>
    <s v="SÁBADO"/>
    <x v="68"/>
    <x v="52"/>
    <n v="250"/>
    <n v="250"/>
    <n v="105"/>
    <x v="3"/>
  </r>
  <r>
    <x v="278"/>
    <x v="10"/>
    <x v="46"/>
    <s v="SÁBADO"/>
    <x v="19"/>
    <x v="19"/>
    <n v="675"/>
    <n v="225"/>
    <n v="270"/>
    <x v="3"/>
  </r>
  <r>
    <x v="278"/>
    <x v="10"/>
    <x v="46"/>
    <s v="SÁBADO"/>
    <x v="12"/>
    <x v="12"/>
    <n v="450"/>
    <n v="225"/>
    <n v="180"/>
    <x v="3"/>
  </r>
  <r>
    <x v="278"/>
    <x v="10"/>
    <x v="46"/>
    <s v="SÁBADO"/>
    <x v="8"/>
    <x v="8"/>
    <n v="864"/>
    <n v="198"/>
    <n v="146.88000000000002"/>
    <x v="3"/>
  </r>
  <r>
    <x v="278"/>
    <x v="10"/>
    <x v="46"/>
    <s v="SÁBADO"/>
    <x v="10"/>
    <x v="10"/>
    <n v="4800"/>
    <n v="120"/>
    <n v="816.00000000000011"/>
    <x v="3"/>
  </r>
  <r>
    <x v="278"/>
    <x v="10"/>
    <x v="46"/>
    <s v="SÁBADO"/>
    <x v="43"/>
    <x v="43"/>
    <n v="500"/>
    <n v="420"/>
    <n v="210"/>
    <x v="3"/>
  </r>
  <r>
    <x v="278"/>
    <x v="10"/>
    <x v="46"/>
    <s v="SÁBADO"/>
    <x v="68"/>
    <x v="52"/>
    <n v="500"/>
    <n v="250"/>
    <n v="210"/>
    <x v="3"/>
  </r>
  <r>
    <x v="279"/>
    <x v="10"/>
    <x v="46"/>
    <s v="LUNES"/>
    <x v="36"/>
    <x v="36"/>
    <n v="630"/>
    <n v="90"/>
    <n v="252"/>
    <x v="3"/>
  </r>
  <r>
    <x v="279"/>
    <x v="10"/>
    <x v="46"/>
    <s v="LUNES"/>
    <x v="0"/>
    <x v="0"/>
    <n v="1248"/>
    <n v="48"/>
    <n v="499.20000000000005"/>
    <x v="3"/>
  </r>
  <r>
    <x v="279"/>
    <x v="10"/>
    <x v="46"/>
    <s v="LUNES"/>
    <x v="2"/>
    <x v="2"/>
    <n v="2592"/>
    <n v="198"/>
    <n v="440.64000000000004"/>
    <x v="3"/>
  </r>
  <r>
    <x v="279"/>
    <x v="10"/>
    <x v="46"/>
    <s v="LUNES"/>
    <x v="34"/>
    <x v="34"/>
    <n v="216"/>
    <n v="198"/>
    <n v="36.720000000000006"/>
    <x v="3"/>
  </r>
  <r>
    <x v="279"/>
    <x v="10"/>
    <x v="46"/>
    <s v="LUNES"/>
    <x v="22"/>
    <x v="22"/>
    <n v="792"/>
    <n v="198"/>
    <n v="134.64000000000001"/>
    <x v="3"/>
  </r>
  <r>
    <x v="279"/>
    <x v="10"/>
    <x v="46"/>
    <s v="LUNES"/>
    <x v="3"/>
    <x v="3"/>
    <n v="792"/>
    <n v="198"/>
    <n v="134.64000000000001"/>
    <x v="3"/>
  </r>
  <r>
    <x v="279"/>
    <x v="10"/>
    <x v="46"/>
    <s v="LUNES"/>
    <x v="6"/>
    <x v="6"/>
    <n v="360"/>
    <n v="120"/>
    <n v="61.2"/>
    <x v="3"/>
  </r>
  <r>
    <x v="279"/>
    <x v="10"/>
    <x v="46"/>
    <s v="LUNES"/>
    <x v="17"/>
    <x v="17"/>
    <n v="120"/>
    <n v="120"/>
    <n v="20.400000000000002"/>
    <x v="3"/>
  </r>
  <r>
    <x v="279"/>
    <x v="10"/>
    <x v="46"/>
    <s v="LUNES"/>
    <x v="7"/>
    <x v="7"/>
    <n v="864"/>
    <n v="198"/>
    <n v="146.88000000000002"/>
    <x v="3"/>
  </r>
  <r>
    <x v="279"/>
    <x v="10"/>
    <x v="46"/>
    <s v="LUNES"/>
    <x v="8"/>
    <x v="8"/>
    <n v="648"/>
    <n v="198"/>
    <n v="110.16000000000001"/>
    <x v="3"/>
  </r>
  <r>
    <x v="279"/>
    <x v="10"/>
    <x v="46"/>
    <s v="LUNES"/>
    <x v="9"/>
    <x v="9"/>
    <n v="1260"/>
    <n v="90"/>
    <n v="214.20000000000002"/>
    <x v="3"/>
  </r>
  <r>
    <x v="279"/>
    <x v="10"/>
    <x v="46"/>
    <s v="LUNES"/>
    <x v="23"/>
    <x v="23"/>
    <n v="900"/>
    <n v="90"/>
    <n v="153"/>
    <x v="3"/>
  </r>
  <r>
    <x v="279"/>
    <x v="10"/>
    <x v="46"/>
    <s v="LUNES"/>
    <x v="42"/>
    <x v="42"/>
    <n v="500"/>
    <n v="420"/>
    <n v="210"/>
    <x v="3"/>
  </r>
  <r>
    <x v="279"/>
    <x v="10"/>
    <x v="46"/>
    <s v="LUNES"/>
    <x v="43"/>
    <x v="43"/>
    <n v="250"/>
    <n v="420"/>
    <n v="105"/>
    <x v="3"/>
  </r>
  <r>
    <x v="279"/>
    <x v="10"/>
    <x v="46"/>
    <s v="LUNES"/>
    <x v="68"/>
    <x v="52"/>
    <n v="1000"/>
    <n v="250"/>
    <n v="420"/>
    <x v="3"/>
  </r>
  <r>
    <x v="279"/>
    <x v="10"/>
    <x v="46"/>
    <s v="LUNES"/>
    <x v="26"/>
    <x v="26"/>
    <n v="1440"/>
    <n v="90"/>
    <n v="244.8"/>
    <x v="3"/>
  </r>
  <r>
    <x v="279"/>
    <x v="10"/>
    <x v="46"/>
    <s v="LUNES"/>
    <x v="23"/>
    <x v="23"/>
    <n v="1440"/>
    <n v="90"/>
    <n v="244.8"/>
    <x v="3"/>
  </r>
  <r>
    <x v="279"/>
    <x v="10"/>
    <x v="46"/>
    <s v="LUNES"/>
    <x v="33"/>
    <x v="33"/>
    <n v="80"/>
    <n v="40"/>
    <n v="18.400000000000002"/>
    <x v="3"/>
  </r>
  <r>
    <x v="279"/>
    <x v="10"/>
    <x v="46"/>
    <s v="LUNES"/>
    <x v="14"/>
    <x v="14"/>
    <n v="160"/>
    <n v="40"/>
    <n v="36.800000000000004"/>
    <x v="3"/>
  </r>
  <r>
    <x v="279"/>
    <x v="10"/>
    <x v="46"/>
    <s v="LUNES"/>
    <x v="15"/>
    <x v="15"/>
    <n v="250"/>
    <n v="50"/>
    <n v="100"/>
    <x v="3"/>
  </r>
  <r>
    <x v="279"/>
    <x v="10"/>
    <x v="46"/>
    <s v="LUNES"/>
    <x v="2"/>
    <x v="2"/>
    <n v="648"/>
    <n v="198"/>
    <n v="110.16000000000001"/>
    <x v="3"/>
  </r>
  <r>
    <x v="279"/>
    <x v="10"/>
    <x v="46"/>
    <s v="LUNES"/>
    <x v="3"/>
    <x v="3"/>
    <n v="396"/>
    <n v="198"/>
    <n v="67.320000000000007"/>
    <x v="3"/>
  </r>
  <r>
    <x v="279"/>
    <x v="10"/>
    <x v="46"/>
    <s v="LUNES"/>
    <x v="9"/>
    <x v="9"/>
    <n v="360"/>
    <n v="90"/>
    <n v="61.2"/>
    <x v="3"/>
  </r>
  <r>
    <x v="279"/>
    <x v="10"/>
    <x v="46"/>
    <s v="LUNES"/>
    <x v="42"/>
    <x v="42"/>
    <n v="250"/>
    <n v="420"/>
    <n v="105"/>
    <x v="3"/>
  </r>
  <r>
    <x v="279"/>
    <x v="10"/>
    <x v="46"/>
    <s v="LUNES"/>
    <x v="68"/>
    <x v="52"/>
    <n v="750"/>
    <n v="250"/>
    <n v="315"/>
    <x v="3"/>
  </r>
  <r>
    <x v="280"/>
    <x v="10"/>
    <x v="46"/>
    <s v="MARTES"/>
    <x v="28"/>
    <x v="28"/>
    <n v="210"/>
    <n v="30"/>
    <n v="48.300000000000004"/>
    <x v="3"/>
  </r>
  <r>
    <x v="280"/>
    <x v="10"/>
    <x v="46"/>
    <s v="MARTES"/>
    <x v="13"/>
    <x v="13"/>
    <n v="150"/>
    <n v="30"/>
    <n v="60"/>
    <x v="3"/>
  </r>
  <r>
    <x v="280"/>
    <x v="10"/>
    <x v="46"/>
    <s v="MARTES"/>
    <x v="15"/>
    <x v="15"/>
    <n v="250"/>
    <n v="50"/>
    <n v="100"/>
    <x v="3"/>
  </r>
  <r>
    <x v="280"/>
    <x v="10"/>
    <x v="46"/>
    <s v="MARTES"/>
    <x v="22"/>
    <x v="22"/>
    <n v="396"/>
    <n v="198"/>
    <n v="67.320000000000007"/>
    <x v="3"/>
  </r>
  <r>
    <x v="280"/>
    <x v="10"/>
    <x v="46"/>
    <s v="MARTES"/>
    <x v="3"/>
    <x v="3"/>
    <n v="198"/>
    <n v="198"/>
    <n v="33.660000000000004"/>
    <x v="3"/>
  </r>
  <r>
    <x v="280"/>
    <x v="10"/>
    <x v="46"/>
    <s v="MARTES"/>
    <x v="5"/>
    <x v="5"/>
    <n v="162"/>
    <n v="162"/>
    <n v="27.540000000000003"/>
    <x v="3"/>
  </r>
  <r>
    <x v="280"/>
    <x v="10"/>
    <x v="46"/>
    <s v="MARTES"/>
    <x v="7"/>
    <x v="7"/>
    <n v="864"/>
    <n v="198"/>
    <n v="146.88000000000002"/>
    <x v="3"/>
  </r>
  <r>
    <x v="280"/>
    <x v="10"/>
    <x v="46"/>
    <s v="MARTES"/>
    <x v="8"/>
    <x v="8"/>
    <n v="1080"/>
    <n v="198"/>
    <n v="183.60000000000002"/>
    <x v="3"/>
  </r>
  <r>
    <x v="280"/>
    <x v="10"/>
    <x v="46"/>
    <s v="MARTES"/>
    <x v="10"/>
    <x v="10"/>
    <n v="480"/>
    <n v="120"/>
    <n v="81.600000000000009"/>
    <x v="3"/>
  </r>
  <r>
    <x v="280"/>
    <x v="10"/>
    <x v="46"/>
    <s v="MARTES"/>
    <x v="23"/>
    <x v="23"/>
    <n v="1440"/>
    <n v="90"/>
    <n v="244.8"/>
    <x v="3"/>
  </r>
  <r>
    <x v="280"/>
    <x v="10"/>
    <x v="46"/>
    <s v="MARTES"/>
    <x v="11"/>
    <x v="11"/>
    <n v="2880"/>
    <n v="90"/>
    <n v="489.6"/>
    <x v="3"/>
  </r>
  <r>
    <x v="280"/>
    <x v="10"/>
    <x v="46"/>
    <s v="MARTES"/>
    <x v="25"/>
    <x v="25"/>
    <n v="900"/>
    <n v="225"/>
    <n v="378"/>
    <x v="3"/>
  </r>
  <r>
    <x v="280"/>
    <x v="10"/>
    <x v="46"/>
    <s v="MARTES"/>
    <x v="71"/>
    <x v="55"/>
    <n v="450"/>
    <n v="60"/>
    <n v="310.5"/>
    <x v="3"/>
  </r>
  <r>
    <x v="280"/>
    <x v="10"/>
    <x v="46"/>
    <s v="MARTES"/>
    <x v="10"/>
    <x v="10"/>
    <n v="2400"/>
    <n v="120"/>
    <n v="408.00000000000006"/>
    <x v="3"/>
  </r>
  <r>
    <x v="280"/>
    <x v="10"/>
    <x v="46"/>
    <s v="MARTES"/>
    <x v="26"/>
    <x v="26"/>
    <n v="900"/>
    <n v="90"/>
    <n v="153"/>
    <x v="3"/>
  </r>
  <r>
    <x v="280"/>
    <x v="10"/>
    <x v="46"/>
    <s v="MARTES"/>
    <x v="23"/>
    <x v="23"/>
    <n v="900"/>
    <n v="90"/>
    <n v="153"/>
    <x v="3"/>
  </r>
  <r>
    <x v="280"/>
    <x v="10"/>
    <x v="46"/>
    <s v="MARTES"/>
    <x v="68"/>
    <x v="52"/>
    <n v="1500"/>
    <n v="250"/>
    <n v="630"/>
    <x v="3"/>
  </r>
  <r>
    <x v="279"/>
    <x v="10"/>
    <x v="46"/>
    <s v="LUNES"/>
    <x v="68"/>
    <x v="52"/>
    <n v="2500"/>
    <n v="250"/>
    <n v="1050"/>
    <x v="3"/>
  </r>
  <r>
    <x v="279"/>
    <x v="10"/>
    <x v="46"/>
    <s v="LUNES"/>
    <x v="0"/>
    <x v="0"/>
    <n v="192"/>
    <n v="48"/>
    <n v="76.800000000000011"/>
    <x v="3"/>
  </r>
  <r>
    <x v="279"/>
    <x v="10"/>
    <x v="46"/>
    <s v="LUNES"/>
    <x v="1"/>
    <x v="1"/>
    <n v="5400"/>
    <n v="198"/>
    <n v="918.00000000000011"/>
    <x v="3"/>
  </r>
  <r>
    <x v="279"/>
    <x v="10"/>
    <x v="46"/>
    <s v="LUNES"/>
    <x v="6"/>
    <x v="6"/>
    <n v="1440"/>
    <n v="120"/>
    <n v="244.8"/>
    <x v="3"/>
  </r>
  <r>
    <x v="279"/>
    <x v="10"/>
    <x v="46"/>
    <s v="LUNES"/>
    <x v="17"/>
    <x v="17"/>
    <n v="1680"/>
    <n v="120"/>
    <n v="285.60000000000002"/>
    <x v="3"/>
  </r>
  <r>
    <x v="279"/>
    <x v="10"/>
    <x v="46"/>
    <s v="LUNES"/>
    <x v="7"/>
    <x v="7"/>
    <n v="216"/>
    <n v="198"/>
    <n v="36.720000000000006"/>
    <x v="3"/>
  </r>
  <r>
    <x v="279"/>
    <x v="10"/>
    <x v="46"/>
    <s v="LUNES"/>
    <x v="9"/>
    <x v="9"/>
    <n v="180"/>
    <n v="90"/>
    <n v="30.6"/>
    <x v="3"/>
  </r>
  <r>
    <x v="280"/>
    <x v="10"/>
    <x v="46"/>
    <s v="MARTES"/>
    <x v="10"/>
    <x v="10"/>
    <n v="1920"/>
    <n v="120"/>
    <n v="326.40000000000003"/>
    <x v="3"/>
  </r>
  <r>
    <x v="280"/>
    <x v="10"/>
    <x v="46"/>
    <s v="MARTES"/>
    <x v="2"/>
    <x v="2"/>
    <n v="1296"/>
    <n v="198"/>
    <n v="220.32000000000002"/>
    <x v="3"/>
  </r>
  <r>
    <x v="280"/>
    <x v="10"/>
    <x v="46"/>
    <s v="MARTES"/>
    <x v="3"/>
    <x v="3"/>
    <n v="792"/>
    <n v="198"/>
    <n v="134.64000000000001"/>
    <x v="3"/>
  </r>
  <r>
    <x v="280"/>
    <x v="10"/>
    <x v="46"/>
    <s v="MARTES"/>
    <x v="4"/>
    <x v="4"/>
    <n v="1296"/>
    <n v="162"/>
    <n v="220.32000000000002"/>
    <x v="3"/>
  </r>
  <r>
    <x v="280"/>
    <x v="10"/>
    <x v="46"/>
    <s v="MARTES"/>
    <x v="5"/>
    <x v="5"/>
    <n v="972"/>
    <n v="162"/>
    <n v="165.24"/>
    <x v="3"/>
  </r>
  <r>
    <x v="280"/>
    <x v="10"/>
    <x v="46"/>
    <s v="MARTES"/>
    <x v="7"/>
    <x v="7"/>
    <n v="1296"/>
    <n v="198"/>
    <n v="220.32000000000002"/>
    <x v="3"/>
  </r>
  <r>
    <x v="280"/>
    <x v="10"/>
    <x v="46"/>
    <s v="MARTES"/>
    <x v="23"/>
    <x v="23"/>
    <n v="450"/>
    <n v="90"/>
    <n v="76.5"/>
    <x v="3"/>
  </r>
  <r>
    <x v="280"/>
    <x v="10"/>
    <x v="46"/>
    <s v="MARTES"/>
    <x v="25"/>
    <x v="25"/>
    <n v="2025"/>
    <n v="225"/>
    <n v="850.5"/>
    <x v="3"/>
  </r>
  <r>
    <x v="281"/>
    <x v="10"/>
    <x v="46"/>
    <s v="JUEVES"/>
    <x v="34"/>
    <x v="34"/>
    <n v="216"/>
    <n v="198"/>
    <n v="36.720000000000006"/>
    <x v="3"/>
  </r>
  <r>
    <x v="281"/>
    <x v="10"/>
    <x v="46"/>
    <s v="JUEVES"/>
    <x v="29"/>
    <x v="29"/>
    <n v="216"/>
    <n v="198"/>
    <n v="36.720000000000006"/>
    <x v="3"/>
  </r>
  <r>
    <x v="281"/>
    <x v="10"/>
    <x v="46"/>
    <s v="JUEVES"/>
    <x v="3"/>
    <x v="3"/>
    <n v="594"/>
    <n v="198"/>
    <n v="100.98"/>
    <x v="3"/>
  </r>
  <r>
    <x v="281"/>
    <x v="10"/>
    <x v="46"/>
    <s v="JUEVES"/>
    <x v="4"/>
    <x v="4"/>
    <n v="1134"/>
    <n v="162"/>
    <n v="192.78"/>
    <x v="3"/>
  </r>
  <r>
    <x v="281"/>
    <x v="10"/>
    <x v="46"/>
    <s v="JUEVES"/>
    <x v="5"/>
    <x v="5"/>
    <n v="648"/>
    <n v="162"/>
    <n v="110.16000000000001"/>
    <x v="3"/>
  </r>
  <r>
    <x v="281"/>
    <x v="10"/>
    <x v="46"/>
    <s v="JUEVES"/>
    <x v="8"/>
    <x v="8"/>
    <n v="2160"/>
    <n v="198"/>
    <n v="367.20000000000005"/>
    <x v="3"/>
  </r>
  <r>
    <x v="281"/>
    <x v="10"/>
    <x v="46"/>
    <s v="JUEVES"/>
    <x v="10"/>
    <x v="10"/>
    <n v="720"/>
    <n v="120"/>
    <n v="122.4"/>
    <x v="3"/>
  </r>
  <r>
    <x v="281"/>
    <x v="10"/>
    <x v="46"/>
    <s v="JUEVES"/>
    <x v="20"/>
    <x v="20"/>
    <n v="450"/>
    <n v="90"/>
    <n v="76.5"/>
    <x v="3"/>
  </r>
  <r>
    <x v="281"/>
    <x v="10"/>
    <x v="46"/>
    <s v="JUEVES"/>
    <x v="42"/>
    <x v="42"/>
    <n v="250"/>
    <n v="420"/>
    <n v="105"/>
    <x v="3"/>
  </r>
  <r>
    <x v="281"/>
    <x v="10"/>
    <x v="46"/>
    <s v="JUEVES"/>
    <x v="40"/>
    <x v="40"/>
    <n v="224"/>
    <n v="240"/>
    <n v="89.600000000000009"/>
    <x v="3"/>
  </r>
  <r>
    <x v="281"/>
    <x v="10"/>
    <x v="46"/>
    <s v="JUEVES"/>
    <x v="24"/>
    <x v="24"/>
    <n v="2100"/>
    <n v="420"/>
    <n v="882"/>
    <x v="3"/>
  </r>
  <r>
    <x v="281"/>
    <x v="10"/>
    <x v="46"/>
    <s v="JUEVES"/>
    <x v="25"/>
    <x v="25"/>
    <n v="1800"/>
    <n v="225"/>
    <n v="756"/>
    <x v="3"/>
  </r>
  <r>
    <x v="282"/>
    <x v="10"/>
    <x v="46"/>
    <s v="MIÉRCOLES"/>
    <x v="33"/>
    <x v="33"/>
    <n v="200"/>
    <n v="40"/>
    <n v="46"/>
    <x v="3"/>
  </r>
  <r>
    <x v="282"/>
    <x v="10"/>
    <x v="46"/>
    <s v="MIÉRCOLES"/>
    <x v="13"/>
    <x v="13"/>
    <n v="240"/>
    <n v="30"/>
    <n v="96"/>
    <x v="3"/>
  </r>
  <r>
    <x v="282"/>
    <x v="10"/>
    <x v="46"/>
    <s v="MIÉRCOLES"/>
    <x v="14"/>
    <x v="14"/>
    <n v="160"/>
    <n v="40"/>
    <n v="36.800000000000004"/>
    <x v="3"/>
  </r>
  <r>
    <x v="282"/>
    <x v="10"/>
    <x v="46"/>
    <s v="MIÉRCOLES"/>
    <x v="38"/>
    <x v="38"/>
    <n v="224"/>
    <n v="112"/>
    <n v="89.600000000000009"/>
    <x v="3"/>
  </r>
  <r>
    <x v="282"/>
    <x v="10"/>
    <x v="46"/>
    <s v="MIÉRCOLES"/>
    <x v="0"/>
    <x v="0"/>
    <n v="672"/>
    <n v="48"/>
    <n v="268.8"/>
    <x v="3"/>
  </r>
  <r>
    <x v="282"/>
    <x v="10"/>
    <x v="46"/>
    <s v="MIÉRCOLES"/>
    <x v="2"/>
    <x v="2"/>
    <n v="3024"/>
    <n v="198"/>
    <n v="514.08000000000004"/>
    <x v="3"/>
  </r>
  <r>
    <x v="282"/>
    <x v="10"/>
    <x v="46"/>
    <s v="MIÉRCOLES"/>
    <x v="10"/>
    <x v="10"/>
    <n v="1920"/>
    <n v="120"/>
    <n v="326.40000000000003"/>
    <x v="3"/>
  </r>
  <r>
    <x v="282"/>
    <x v="10"/>
    <x v="46"/>
    <s v="MIÉRCOLES"/>
    <x v="11"/>
    <x v="11"/>
    <n v="720"/>
    <n v="90"/>
    <n v="122.4"/>
    <x v="3"/>
  </r>
  <r>
    <x v="282"/>
    <x v="10"/>
    <x v="46"/>
    <s v="MIÉRCOLES"/>
    <x v="12"/>
    <x v="12"/>
    <n v="450"/>
    <n v="225"/>
    <n v="180"/>
    <x v="3"/>
  </r>
  <r>
    <x v="282"/>
    <x v="10"/>
    <x v="46"/>
    <s v="MIÉRCOLES"/>
    <x v="19"/>
    <x v="19"/>
    <n v="675"/>
    <n v="225"/>
    <n v="270"/>
    <x v="3"/>
  </r>
  <r>
    <x v="282"/>
    <x v="10"/>
    <x v="46"/>
    <s v="MIÉRCOLES"/>
    <x v="38"/>
    <x v="38"/>
    <n v="448"/>
    <n v="112"/>
    <n v="179.20000000000002"/>
    <x v="3"/>
  </r>
  <r>
    <x v="282"/>
    <x v="10"/>
    <x v="46"/>
    <s v="MIÉRCOLES"/>
    <x v="0"/>
    <x v="0"/>
    <n v="288"/>
    <n v="48"/>
    <n v="115.2"/>
    <x v="3"/>
  </r>
  <r>
    <x v="282"/>
    <x v="10"/>
    <x v="46"/>
    <s v="MIÉRCOLES"/>
    <x v="1"/>
    <x v="1"/>
    <n v="216"/>
    <n v="198"/>
    <n v="36.720000000000006"/>
    <x v="3"/>
  </r>
  <r>
    <x v="282"/>
    <x v="10"/>
    <x v="46"/>
    <s v="MIÉRCOLES"/>
    <x v="2"/>
    <x v="2"/>
    <n v="864"/>
    <n v="198"/>
    <n v="146.88000000000002"/>
    <x v="3"/>
  </r>
  <r>
    <x v="282"/>
    <x v="10"/>
    <x v="46"/>
    <s v="MIÉRCOLES"/>
    <x v="4"/>
    <x v="4"/>
    <n v="162"/>
    <n v="162"/>
    <n v="27.540000000000003"/>
    <x v="3"/>
  </r>
  <r>
    <x v="282"/>
    <x v="10"/>
    <x v="46"/>
    <s v="MIÉRCOLES"/>
    <x v="7"/>
    <x v="7"/>
    <n v="1296"/>
    <n v="198"/>
    <n v="220.32000000000002"/>
    <x v="3"/>
  </r>
  <r>
    <x v="282"/>
    <x v="10"/>
    <x v="46"/>
    <s v="MIÉRCOLES"/>
    <x v="10"/>
    <x v="10"/>
    <n v="960"/>
    <n v="120"/>
    <n v="163.20000000000002"/>
    <x v="3"/>
  </r>
  <r>
    <x v="282"/>
    <x v="10"/>
    <x v="46"/>
    <s v="MIÉRCOLES"/>
    <x v="11"/>
    <x v="11"/>
    <n v="2880"/>
    <n v="90"/>
    <n v="489.6"/>
    <x v="3"/>
  </r>
  <r>
    <x v="282"/>
    <x v="10"/>
    <x v="46"/>
    <s v="MIÉRCOLES"/>
    <x v="20"/>
    <x v="20"/>
    <n v="450"/>
    <n v="90"/>
    <n v="76.5"/>
    <x v="3"/>
  </r>
  <r>
    <x v="282"/>
    <x v="10"/>
    <x v="46"/>
    <s v="MIÉRCOLES"/>
    <x v="12"/>
    <x v="12"/>
    <n v="450"/>
    <n v="225"/>
    <n v="180"/>
    <x v="3"/>
  </r>
  <r>
    <x v="282"/>
    <x v="10"/>
    <x v="46"/>
    <s v="MIÉRCOLES"/>
    <x v="43"/>
    <x v="43"/>
    <n v="1000"/>
    <n v="420"/>
    <n v="420"/>
    <x v="3"/>
  </r>
  <r>
    <x v="282"/>
    <x v="10"/>
    <x v="46"/>
    <s v="MIÉRCOLES"/>
    <x v="42"/>
    <x v="42"/>
    <n v="500"/>
    <n v="420"/>
    <n v="210"/>
    <x v="3"/>
  </r>
  <r>
    <x v="282"/>
    <x v="10"/>
    <x v="46"/>
    <s v="MIÉRCOLES"/>
    <x v="40"/>
    <x v="40"/>
    <n v="224"/>
    <n v="240"/>
    <n v="89.600000000000009"/>
    <x v="3"/>
  </r>
  <r>
    <x v="282"/>
    <x v="10"/>
    <x v="46"/>
    <s v="MIÉRCOLES"/>
    <x v="38"/>
    <x v="38"/>
    <n v="112"/>
    <n v="112"/>
    <n v="44.800000000000004"/>
    <x v="3"/>
  </r>
  <r>
    <x v="282"/>
    <x v="10"/>
    <x v="46"/>
    <s v="MIÉRCOLES"/>
    <x v="25"/>
    <x v="25"/>
    <n v="1125"/>
    <n v="225"/>
    <n v="472.5"/>
    <x v="3"/>
  </r>
  <r>
    <x v="282"/>
    <x v="10"/>
    <x v="46"/>
    <s v="MIÉRCOLES"/>
    <x v="42"/>
    <x v="42"/>
    <n v="250"/>
    <n v="420"/>
    <n v="105"/>
    <x v="3"/>
  </r>
  <r>
    <x v="282"/>
    <x v="10"/>
    <x v="46"/>
    <s v="MIÉRCOLES"/>
    <x v="1"/>
    <x v="1"/>
    <n v="5184"/>
    <n v="198"/>
    <n v="881.28000000000009"/>
    <x v="3"/>
  </r>
  <r>
    <x v="282"/>
    <x v="10"/>
    <x v="46"/>
    <s v="MIÉRCOLES"/>
    <x v="2"/>
    <x v="2"/>
    <n v="432"/>
    <n v="198"/>
    <n v="73.440000000000012"/>
    <x v="3"/>
  </r>
  <r>
    <x v="282"/>
    <x v="10"/>
    <x v="46"/>
    <s v="MIÉRCOLES"/>
    <x v="7"/>
    <x v="7"/>
    <n v="1296"/>
    <n v="198"/>
    <n v="220.32000000000002"/>
    <x v="3"/>
  </r>
  <r>
    <x v="282"/>
    <x v="10"/>
    <x v="46"/>
    <s v="MIÉRCOLES"/>
    <x v="10"/>
    <x v="10"/>
    <n v="960"/>
    <n v="120"/>
    <n v="163.20000000000002"/>
    <x v="3"/>
  </r>
  <r>
    <x v="281"/>
    <x v="10"/>
    <x v="46"/>
    <s v="JUEVES"/>
    <x v="0"/>
    <x v="0"/>
    <n v="960"/>
    <n v="48"/>
    <n v="384"/>
    <x v="3"/>
  </r>
  <r>
    <x v="281"/>
    <x v="10"/>
    <x v="46"/>
    <s v="JUEVES"/>
    <x v="24"/>
    <x v="24"/>
    <n v="1680"/>
    <n v="420"/>
    <n v="705.6"/>
    <x v="3"/>
  </r>
  <r>
    <x v="281"/>
    <x v="10"/>
    <x v="46"/>
    <s v="JUEVES"/>
    <x v="16"/>
    <x v="16"/>
    <n v="180"/>
    <n v="180"/>
    <n v="75.599999999999994"/>
    <x v="3"/>
  </r>
  <r>
    <x v="281"/>
    <x v="10"/>
    <x v="46"/>
    <s v="JUEVES"/>
    <x v="10"/>
    <x v="10"/>
    <n v="4320"/>
    <n v="120"/>
    <n v="734.40000000000009"/>
    <x v="3"/>
  </r>
  <r>
    <x v="281"/>
    <x v="10"/>
    <x v="46"/>
    <s v="JUEVES"/>
    <x v="26"/>
    <x v="26"/>
    <n v="450"/>
    <n v="90"/>
    <n v="76.5"/>
    <x v="3"/>
  </r>
  <r>
    <x v="281"/>
    <x v="10"/>
    <x v="46"/>
    <s v="JUEVES"/>
    <x v="11"/>
    <x v="11"/>
    <n v="2880"/>
    <n v="90"/>
    <n v="489.6"/>
    <x v="3"/>
  </r>
  <r>
    <x v="281"/>
    <x v="10"/>
    <x v="46"/>
    <s v="JUEVES"/>
    <x v="12"/>
    <x v="12"/>
    <n v="1125"/>
    <n v="225"/>
    <n v="450"/>
    <x v="3"/>
  </r>
  <r>
    <x v="281"/>
    <x v="10"/>
    <x v="46"/>
    <s v="JUEVES"/>
    <x v="19"/>
    <x v="19"/>
    <n v="900"/>
    <n v="225"/>
    <n v="360"/>
    <x v="3"/>
  </r>
  <r>
    <x v="281"/>
    <x v="10"/>
    <x v="46"/>
    <s v="JUEVES"/>
    <x v="42"/>
    <x v="42"/>
    <n v="750"/>
    <n v="420"/>
    <n v="315"/>
    <x v="3"/>
  </r>
  <r>
    <x v="281"/>
    <x v="10"/>
    <x v="46"/>
    <s v="JUEVES"/>
    <x v="43"/>
    <x v="43"/>
    <n v="750"/>
    <n v="420"/>
    <n v="315"/>
    <x v="3"/>
  </r>
  <r>
    <x v="281"/>
    <x v="10"/>
    <x v="46"/>
    <s v="JUEVES"/>
    <x v="36"/>
    <x v="36"/>
    <n v="450"/>
    <n v="90"/>
    <n v="180"/>
    <x v="3"/>
  </r>
  <r>
    <x v="281"/>
    <x v="10"/>
    <x v="46"/>
    <s v="JUEVES"/>
    <x v="38"/>
    <x v="38"/>
    <n v="448"/>
    <n v="112"/>
    <n v="179.20000000000002"/>
    <x v="3"/>
  </r>
  <r>
    <x v="281"/>
    <x v="10"/>
    <x v="46"/>
    <s v="JUEVES"/>
    <x v="24"/>
    <x v="24"/>
    <n v="420"/>
    <n v="420"/>
    <n v="176.4"/>
    <x v="3"/>
  </r>
  <r>
    <x v="281"/>
    <x v="10"/>
    <x v="46"/>
    <s v="JUEVES"/>
    <x v="16"/>
    <x v="16"/>
    <n v="900"/>
    <n v="180"/>
    <n v="378"/>
    <x v="3"/>
  </r>
  <r>
    <x v="281"/>
    <x v="10"/>
    <x v="46"/>
    <s v="JUEVES"/>
    <x v="9"/>
    <x v="9"/>
    <n v="720"/>
    <n v="90"/>
    <n v="122.4"/>
    <x v="3"/>
  </r>
  <r>
    <x v="281"/>
    <x v="10"/>
    <x v="46"/>
    <s v="JUEVES"/>
    <x v="11"/>
    <x v="11"/>
    <n v="720"/>
    <n v="90"/>
    <n v="122.4"/>
    <x v="3"/>
  </r>
  <r>
    <x v="283"/>
    <x v="10"/>
    <x v="47"/>
    <s v="SÁBADO"/>
    <x v="28"/>
    <x v="28"/>
    <n v="150"/>
    <n v="30"/>
    <n v="34.5"/>
    <x v="3"/>
  </r>
  <r>
    <x v="283"/>
    <x v="10"/>
    <x v="47"/>
    <s v="SÁBADO"/>
    <x v="33"/>
    <x v="33"/>
    <n v="80"/>
    <n v="40"/>
    <n v="18.400000000000002"/>
    <x v="3"/>
  </r>
  <r>
    <x v="283"/>
    <x v="10"/>
    <x v="47"/>
    <s v="SÁBADO"/>
    <x v="13"/>
    <x v="13"/>
    <n v="150"/>
    <n v="30"/>
    <n v="60"/>
    <x v="3"/>
  </r>
  <r>
    <x v="283"/>
    <x v="10"/>
    <x v="47"/>
    <s v="SÁBADO"/>
    <x v="14"/>
    <x v="14"/>
    <n v="160"/>
    <n v="40"/>
    <n v="36.800000000000004"/>
    <x v="3"/>
  </r>
  <r>
    <x v="283"/>
    <x v="10"/>
    <x v="47"/>
    <s v="SÁBADO"/>
    <x v="15"/>
    <x v="15"/>
    <n v="250"/>
    <n v="50"/>
    <n v="100"/>
    <x v="3"/>
  </r>
  <r>
    <x v="283"/>
    <x v="10"/>
    <x v="47"/>
    <s v="SÁBADO"/>
    <x v="36"/>
    <x v="36"/>
    <n v="450"/>
    <n v="90"/>
    <n v="180"/>
    <x v="3"/>
  </r>
  <r>
    <x v="283"/>
    <x v="10"/>
    <x v="47"/>
    <s v="SÁBADO"/>
    <x v="0"/>
    <x v="0"/>
    <n v="480"/>
    <n v="48"/>
    <n v="192"/>
    <x v="3"/>
  </r>
  <r>
    <x v="283"/>
    <x v="10"/>
    <x v="47"/>
    <s v="SÁBADO"/>
    <x v="1"/>
    <x v="1"/>
    <n v="2160"/>
    <n v="198"/>
    <n v="367.20000000000005"/>
    <x v="3"/>
  </r>
  <r>
    <x v="283"/>
    <x v="10"/>
    <x v="47"/>
    <s v="SÁBADO"/>
    <x v="2"/>
    <x v="2"/>
    <n v="1080"/>
    <n v="198"/>
    <n v="183.60000000000002"/>
    <x v="3"/>
  </r>
  <r>
    <x v="283"/>
    <x v="10"/>
    <x v="47"/>
    <s v="SÁBADO"/>
    <x v="22"/>
    <x v="22"/>
    <n v="990"/>
    <n v="198"/>
    <n v="168.3"/>
    <x v="3"/>
  </r>
  <r>
    <x v="283"/>
    <x v="10"/>
    <x v="47"/>
    <s v="SÁBADO"/>
    <x v="5"/>
    <x v="5"/>
    <n v="486"/>
    <n v="162"/>
    <n v="82.62"/>
    <x v="3"/>
  </r>
  <r>
    <x v="283"/>
    <x v="10"/>
    <x v="47"/>
    <s v="SÁBADO"/>
    <x v="9"/>
    <x v="9"/>
    <n v="450"/>
    <n v="90"/>
    <n v="76.5"/>
    <x v="3"/>
  </r>
  <r>
    <x v="283"/>
    <x v="10"/>
    <x v="47"/>
    <s v="SÁBADO"/>
    <x v="10"/>
    <x v="10"/>
    <n v="2400"/>
    <n v="120"/>
    <n v="408.00000000000006"/>
    <x v="3"/>
  </r>
  <r>
    <x v="283"/>
    <x v="10"/>
    <x v="47"/>
    <s v="SÁBADO"/>
    <x v="26"/>
    <x v="26"/>
    <n v="900"/>
    <n v="90"/>
    <n v="153"/>
    <x v="3"/>
  </r>
  <r>
    <x v="283"/>
    <x v="10"/>
    <x v="47"/>
    <s v="SÁBADO"/>
    <x v="23"/>
    <x v="23"/>
    <n v="1440"/>
    <n v="90"/>
    <n v="244.8"/>
    <x v="3"/>
  </r>
  <r>
    <x v="283"/>
    <x v="10"/>
    <x v="47"/>
    <s v="SÁBADO"/>
    <x v="28"/>
    <x v="28"/>
    <n v="120"/>
    <n v="30"/>
    <n v="27.6"/>
    <x v="3"/>
  </r>
  <r>
    <x v="283"/>
    <x v="10"/>
    <x v="47"/>
    <s v="SÁBADO"/>
    <x v="13"/>
    <x v="13"/>
    <n v="180"/>
    <n v="30"/>
    <n v="72"/>
    <x v="3"/>
  </r>
  <r>
    <x v="283"/>
    <x v="10"/>
    <x v="47"/>
    <s v="SÁBADO"/>
    <x v="11"/>
    <x v="11"/>
    <n v="3600"/>
    <n v="90"/>
    <n v="612"/>
    <x v="3"/>
  </r>
  <r>
    <x v="283"/>
    <x v="10"/>
    <x v="47"/>
    <s v="SÁBADO"/>
    <x v="25"/>
    <x v="25"/>
    <n v="2250"/>
    <n v="225"/>
    <n v="945"/>
    <x v="3"/>
  </r>
  <r>
    <x v="283"/>
    <x v="10"/>
    <x v="47"/>
    <s v="SÁBADO"/>
    <x v="42"/>
    <x v="42"/>
    <n v="750"/>
    <n v="420"/>
    <n v="315"/>
    <x v="3"/>
  </r>
  <r>
    <x v="283"/>
    <x v="10"/>
    <x v="47"/>
    <s v="SÁBADO"/>
    <x v="43"/>
    <x v="43"/>
    <n v="500"/>
    <n v="420"/>
    <n v="210"/>
    <x v="3"/>
  </r>
  <r>
    <x v="283"/>
    <x v="10"/>
    <x v="47"/>
    <s v="SÁBADO"/>
    <x v="68"/>
    <x v="52"/>
    <n v="7250"/>
    <n v="250"/>
    <n v="3045"/>
    <x v="3"/>
  </r>
  <r>
    <x v="283"/>
    <x v="10"/>
    <x v="47"/>
    <s v="SÁBADO"/>
    <x v="66"/>
    <x v="50"/>
    <n v="1200"/>
    <n v="200"/>
    <n v="504"/>
    <x v="3"/>
  </r>
  <r>
    <x v="284"/>
    <x v="10"/>
    <x v="47"/>
    <s v="LUNES"/>
    <x v="0"/>
    <x v="0"/>
    <n v="144"/>
    <n v="48"/>
    <n v="57.6"/>
    <x v="3"/>
  </r>
  <r>
    <x v="284"/>
    <x v="10"/>
    <x v="47"/>
    <s v="LUNES"/>
    <x v="24"/>
    <x v="24"/>
    <n v="2100"/>
    <n v="420"/>
    <n v="882"/>
    <x v="3"/>
  </r>
  <r>
    <x v="284"/>
    <x v="10"/>
    <x v="47"/>
    <s v="LUNES"/>
    <x v="22"/>
    <x v="22"/>
    <n v="792"/>
    <n v="198"/>
    <n v="134.64000000000001"/>
    <x v="3"/>
  </r>
  <r>
    <x v="284"/>
    <x v="10"/>
    <x v="47"/>
    <s v="LUNES"/>
    <x v="4"/>
    <x v="4"/>
    <n v="972"/>
    <n v="162"/>
    <n v="165.24"/>
    <x v="3"/>
  </r>
  <r>
    <x v="284"/>
    <x v="10"/>
    <x v="47"/>
    <s v="LUNES"/>
    <x v="5"/>
    <x v="5"/>
    <n v="486"/>
    <n v="162"/>
    <n v="82.62"/>
    <x v="3"/>
  </r>
  <r>
    <x v="284"/>
    <x v="10"/>
    <x v="47"/>
    <s v="LUNES"/>
    <x v="23"/>
    <x v="23"/>
    <n v="900"/>
    <n v="90"/>
    <n v="153"/>
    <x v="3"/>
  </r>
  <r>
    <x v="284"/>
    <x v="10"/>
    <x v="47"/>
    <s v="LUNES"/>
    <x v="11"/>
    <x v="11"/>
    <n v="900"/>
    <n v="90"/>
    <n v="153"/>
    <x v="3"/>
  </r>
  <r>
    <x v="284"/>
    <x v="10"/>
    <x v="47"/>
    <s v="LUNES"/>
    <x v="25"/>
    <x v="25"/>
    <n v="1350"/>
    <n v="225"/>
    <n v="567"/>
    <x v="3"/>
  </r>
  <r>
    <x v="284"/>
    <x v="10"/>
    <x v="47"/>
    <s v="LUNES"/>
    <x v="42"/>
    <x v="42"/>
    <n v="750"/>
    <n v="420"/>
    <n v="315"/>
    <x v="3"/>
  </r>
  <r>
    <x v="284"/>
    <x v="10"/>
    <x v="47"/>
    <s v="LUNES"/>
    <x v="43"/>
    <x v="43"/>
    <n v="750"/>
    <n v="420"/>
    <n v="315"/>
    <x v="3"/>
  </r>
  <r>
    <x v="284"/>
    <x v="10"/>
    <x v="47"/>
    <s v="LUNES"/>
    <x v="0"/>
    <x v="0"/>
    <n v="2256"/>
    <n v="48"/>
    <n v="902.40000000000009"/>
    <x v="3"/>
  </r>
  <r>
    <x v="284"/>
    <x v="10"/>
    <x v="47"/>
    <s v="LUNES"/>
    <x v="1"/>
    <x v="1"/>
    <n v="2160"/>
    <n v="198"/>
    <n v="367.20000000000005"/>
    <x v="3"/>
  </r>
  <r>
    <x v="284"/>
    <x v="10"/>
    <x v="47"/>
    <s v="LUNES"/>
    <x v="7"/>
    <x v="7"/>
    <n v="2160"/>
    <n v="198"/>
    <n v="367.20000000000005"/>
    <x v="3"/>
  </r>
  <r>
    <x v="284"/>
    <x v="10"/>
    <x v="47"/>
    <s v="LUNES"/>
    <x v="20"/>
    <x v="20"/>
    <n v="1170"/>
    <n v="90"/>
    <n v="198.9"/>
    <x v="3"/>
  </r>
  <r>
    <x v="284"/>
    <x v="10"/>
    <x v="47"/>
    <s v="LUNES"/>
    <x v="25"/>
    <x v="25"/>
    <n v="1350"/>
    <n v="225"/>
    <n v="567"/>
    <x v="3"/>
  </r>
  <r>
    <x v="284"/>
    <x v="10"/>
    <x v="47"/>
    <s v="LUNES"/>
    <x v="68"/>
    <x v="52"/>
    <n v="2500"/>
    <n v="250"/>
    <n v="1050"/>
    <x v="3"/>
  </r>
  <r>
    <x v="284"/>
    <x v="10"/>
    <x v="47"/>
    <s v="LUNES"/>
    <x v="24"/>
    <x v="24"/>
    <n v="840"/>
    <n v="420"/>
    <n v="352.8"/>
    <x v="3"/>
  </r>
  <r>
    <x v="284"/>
    <x v="10"/>
    <x v="47"/>
    <s v="LUNES"/>
    <x v="2"/>
    <x v="2"/>
    <n v="2160"/>
    <n v="198"/>
    <n v="367.20000000000005"/>
    <x v="3"/>
  </r>
  <r>
    <x v="284"/>
    <x v="10"/>
    <x v="47"/>
    <s v="LUNES"/>
    <x v="4"/>
    <x v="4"/>
    <n v="810"/>
    <n v="162"/>
    <n v="137.70000000000002"/>
    <x v="3"/>
  </r>
  <r>
    <x v="284"/>
    <x v="10"/>
    <x v="47"/>
    <s v="LUNES"/>
    <x v="5"/>
    <x v="5"/>
    <n v="810"/>
    <n v="162"/>
    <n v="137.70000000000002"/>
    <x v="3"/>
  </r>
  <r>
    <x v="284"/>
    <x v="10"/>
    <x v="47"/>
    <s v="LUNES"/>
    <x v="11"/>
    <x v="11"/>
    <n v="1440"/>
    <n v="90"/>
    <n v="244.8"/>
    <x v="3"/>
  </r>
  <r>
    <x v="285"/>
    <x v="10"/>
    <x v="47"/>
    <s v="MARTES"/>
    <x v="40"/>
    <x v="40"/>
    <n v="336"/>
    <n v="240"/>
    <n v="134.4"/>
    <x v="3"/>
  </r>
  <r>
    <x v="285"/>
    <x v="10"/>
    <x v="47"/>
    <s v="MARTES"/>
    <x v="38"/>
    <x v="38"/>
    <n v="560"/>
    <n v="112"/>
    <n v="224"/>
    <x v="3"/>
  </r>
  <r>
    <x v="285"/>
    <x v="10"/>
    <x v="47"/>
    <s v="MARTES"/>
    <x v="24"/>
    <x v="24"/>
    <n v="1680"/>
    <n v="420"/>
    <n v="705.6"/>
    <x v="3"/>
  </r>
  <r>
    <x v="285"/>
    <x v="10"/>
    <x v="47"/>
    <s v="MARTES"/>
    <x v="16"/>
    <x v="16"/>
    <n v="1080"/>
    <n v="180"/>
    <n v="453.59999999999997"/>
    <x v="3"/>
  </r>
  <r>
    <x v="285"/>
    <x v="10"/>
    <x v="47"/>
    <s v="MARTES"/>
    <x v="34"/>
    <x v="34"/>
    <n v="216"/>
    <n v="198"/>
    <n v="36.720000000000006"/>
    <x v="3"/>
  </r>
  <r>
    <x v="285"/>
    <x v="10"/>
    <x v="47"/>
    <s v="MARTES"/>
    <x v="29"/>
    <x v="29"/>
    <n v="216"/>
    <n v="198"/>
    <n v="36.720000000000006"/>
    <x v="3"/>
  </r>
  <r>
    <x v="285"/>
    <x v="10"/>
    <x v="47"/>
    <s v="MARTES"/>
    <x v="6"/>
    <x v="6"/>
    <n v="2160"/>
    <n v="120"/>
    <n v="367.20000000000005"/>
    <x v="3"/>
  </r>
  <r>
    <x v="285"/>
    <x v="10"/>
    <x v="47"/>
    <s v="MARTES"/>
    <x v="10"/>
    <x v="10"/>
    <n v="1680"/>
    <n v="120"/>
    <n v="285.60000000000002"/>
    <x v="3"/>
  </r>
  <r>
    <x v="285"/>
    <x v="10"/>
    <x v="47"/>
    <s v="MARTES"/>
    <x v="23"/>
    <x v="23"/>
    <n v="1440"/>
    <n v="90"/>
    <n v="244.8"/>
    <x v="3"/>
  </r>
  <r>
    <x v="285"/>
    <x v="10"/>
    <x v="47"/>
    <s v="MARTES"/>
    <x v="40"/>
    <x v="40"/>
    <n v="224"/>
    <n v="240"/>
    <n v="89.600000000000009"/>
    <x v="3"/>
  </r>
  <r>
    <x v="285"/>
    <x v="10"/>
    <x v="47"/>
    <s v="MARTES"/>
    <x v="38"/>
    <x v="38"/>
    <n v="224"/>
    <n v="112"/>
    <n v="89.600000000000009"/>
    <x v="3"/>
  </r>
  <r>
    <x v="285"/>
    <x v="10"/>
    <x v="47"/>
    <s v="MARTES"/>
    <x v="16"/>
    <x v="16"/>
    <n v="540"/>
    <n v="180"/>
    <n v="226.79999999999998"/>
    <x v="3"/>
  </r>
  <r>
    <x v="285"/>
    <x v="10"/>
    <x v="47"/>
    <s v="MARTES"/>
    <x v="42"/>
    <x v="42"/>
    <n v="500"/>
    <n v="420"/>
    <n v="210"/>
    <x v="3"/>
  </r>
  <r>
    <x v="285"/>
    <x v="10"/>
    <x v="47"/>
    <s v="MARTES"/>
    <x v="64"/>
    <x v="48"/>
    <n v="720"/>
    <n v="30"/>
    <n v="151.19999999999999"/>
    <x v="3"/>
  </r>
  <r>
    <x v="285"/>
    <x v="10"/>
    <x v="47"/>
    <s v="MARTES"/>
    <x v="72"/>
    <x v="56"/>
    <n v="500"/>
    <n v="250"/>
    <n v="210"/>
    <x v="3"/>
  </r>
  <r>
    <x v="286"/>
    <x v="10"/>
    <x v="47"/>
    <s v="MIÉRCOLES"/>
    <x v="10"/>
    <x v="10"/>
    <n v="4800"/>
    <n v="120"/>
    <n v="816.00000000000011"/>
    <x v="3"/>
  </r>
  <r>
    <x v="286"/>
    <x v="10"/>
    <x v="47"/>
    <s v="MIÉRCOLES"/>
    <x v="72"/>
    <x v="56"/>
    <n v="750"/>
    <n v="250"/>
    <n v="315"/>
    <x v="3"/>
  </r>
  <r>
    <x v="285"/>
    <x v="10"/>
    <x v="47"/>
    <s v="MARTES"/>
    <x v="10"/>
    <x v="10"/>
    <n v="240"/>
    <n v="120"/>
    <n v="40.800000000000004"/>
    <x v="3"/>
  </r>
  <r>
    <x v="285"/>
    <x v="10"/>
    <x v="47"/>
    <s v="MARTES"/>
    <x v="28"/>
    <x v="28"/>
    <n v="120"/>
    <n v="30"/>
    <n v="27.6"/>
    <x v="3"/>
  </r>
  <r>
    <x v="285"/>
    <x v="10"/>
    <x v="47"/>
    <s v="MARTES"/>
    <x v="33"/>
    <x v="33"/>
    <n v="80"/>
    <n v="40"/>
    <n v="18.400000000000002"/>
    <x v="3"/>
  </r>
  <r>
    <x v="285"/>
    <x v="10"/>
    <x v="47"/>
    <s v="MARTES"/>
    <x v="15"/>
    <x v="15"/>
    <n v="250"/>
    <n v="50"/>
    <n v="100"/>
    <x v="3"/>
  </r>
  <r>
    <x v="285"/>
    <x v="10"/>
    <x v="47"/>
    <s v="MARTES"/>
    <x v="16"/>
    <x v="16"/>
    <n v="540"/>
    <n v="180"/>
    <n v="226.79999999999998"/>
    <x v="3"/>
  </r>
  <r>
    <x v="285"/>
    <x v="10"/>
    <x v="47"/>
    <s v="MARTES"/>
    <x v="3"/>
    <x v="3"/>
    <n v="990"/>
    <n v="198"/>
    <n v="168.3"/>
    <x v="3"/>
  </r>
  <r>
    <x v="285"/>
    <x v="10"/>
    <x v="47"/>
    <s v="MARTES"/>
    <x v="6"/>
    <x v="6"/>
    <n v="1440"/>
    <n v="120"/>
    <n v="244.8"/>
    <x v="3"/>
  </r>
  <r>
    <x v="285"/>
    <x v="10"/>
    <x v="47"/>
    <s v="MARTES"/>
    <x v="9"/>
    <x v="9"/>
    <n v="900"/>
    <n v="90"/>
    <n v="153"/>
    <x v="3"/>
  </r>
  <r>
    <x v="285"/>
    <x v="10"/>
    <x v="47"/>
    <s v="MARTES"/>
    <x v="10"/>
    <x v="10"/>
    <n v="4080"/>
    <n v="120"/>
    <n v="693.6"/>
    <x v="3"/>
  </r>
  <r>
    <x v="285"/>
    <x v="10"/>
    <x v="47"/>
    <s v="MARTES"/>
    <x v="26"/>
    <x v="26"/>
    <n v="450"/>
    <n v="90"/>
    <n v="76.5"/>
    <x v="3"/>
  </r>
  <r>
    <x v="285"/>
    <x v="10"/>
    <x v="47"/>
    <s v="MARTES"/>
    <x v="7"/>
    <x v="7"/>
    <n v="450"/>
    <n v="198"/>
    <n v="76.5"/>
    <x v="3"/>
  </r>
  <r>
    <x v="285"/>
    <x v="10"/>
    <x v="47"/>
    <s v="MARTES"/>
    <x v="20"/>
    <x v="20"/>
    <n v="450"/>
    <n v="90"/>
    <n v="76.5"/>
    <x v="3"/>
  </r>
  <r>
    <x v="286"/>
    <x v="10"/>
    <x v="47"/>
    <s v="MIÉRCOLES"/>
    <x v="36"/>
    <x v="36"/>
    <n v="810"/>
    <n v="90"/>
    <n v="324"/>
    <x v="3"/>
  </r>
  <r>
    <x v="286"/>
    <x v="10"/>
    <x v="47"/>
    <s v="MIÉRCOLES"/>
    <x v="16"/>
    <x v="16"/>
    <n v="180"/>
    <n v="180"/>
    <n v="75.599999999999994"/>
    <x v="3"/>
  </r>
  <r>
    <x v="286"/>
    <x v="10"/>
    <x v="47"/>
    <s v="MIÉRCOLES"/>
    <x v="1"/>
    <x v="1"/>
    <n v="432"/>
    <n v="198"/>
    <n v="73.440000000000012"/>
    <x v="3"/>
  </r>
  <r>
    <x v="286"/>
    <x v="10"/>
    <x v="47"/>
    <s v="MIÉRCOLES"/>
    <x v="22"/>
    <x v="22"/>
    <n v="990"/>
    <n v="198"/>
    <n v="168.3"/>
    <x v="3"/>
  </r>
  <r>
    <x v="286"/>
    <x v="10"/>
    <x v="47"/>
    <s v="MIÉRCOLES"/>
    <x v="8"/>
    <x v="8"/>
    <n v="3240"/>
    <n v="198"/>
    <n v="550.80000000000007"/>
    <x v="3"/>
  </r>
  <r>
    <x v="286"/>
    <x v="10"/>
    <x v="47"/>
    <s v="MIÉRCOLES"/>
    <x v="9"/>
    <x v="9"/>
    <n v="450"/>
    <n v="90"/>
    <n v="76.5"/>
    <x v="3"/>
  </r>
  <r>
    <x v="286"/>
    <x v="10"/>
    <x v="47"/>
    <s v="MIÉRCOLES"/>
    <x v="10"/>
    <x v="10"/>
    <n v="3360"/>
    <n v="120"/>
    <n v="571.20000000000005"/>
    <x v="3"/>
  </r>
  <r>
    <x v="286"/>
    <x v="10"/>
    <x v="47"/>
    <s v="MIÉRCOLES"/>
    <x v="26"/>
    <x v="26"/>
    <n v="900"/>
    <n v="90"/>
    <n v="153"/>
    <x v="3"/>
  </r>
  <r>
    <x v="286"/>
    <x v="10"/>
    <x v="47"/>
    <s v="MIÉRCOLES"/>
    <x v="23"/>
    <x v="23"/>
    <n v="1440"/>
    <n v="90"/>
    <n v="244.8"/>
    <x v="3"/>
  </r>
  <r>
    <x v="286"/>
    <x v="10"/>
    <x v="47"/>
    <s v="MIÉRCOLES"/>
    <x v="43"/>
    <x v="43"/>
    <n v="250"/>
    <n v="420"/>
    <n v="105"/>
    <x v="3"/>
  </r>
  <r>
    <x v="286"/>
    <x v="10"/>
    <x v="47"/>
    <s v="MIÉRCOLES"/>
    <x v="72"/>
    <x v="56"/>
    <n v="250"/>
    <n v="250"/>
    <n v="105"/>
    <x v="3"/>
  </r>
  <r>
    <x v="286"/>
    <x v="10"/>
    <x v="47"/>
    <s v="MIÉRCOLES"/>
    <x v="28"/>
    <x v="28"/>
    <n v="240"/>
    <n v="30"/>
    <n v="55.2"/>
    <x v="3"/>
  </r>
  <r>
    <x v="286"/>
    <x v="10"/>
    <x v="47"/>
    <s v="MIÉRCOLES"/>
    <x v="13"/>
    <x v="13"/>
    <n v="240"/>
    <n v="30"/>
    <n v="96"/>
    <x v="3"/>
  </r>
  <r>
    <x v="286"/>
    <x v="10"/>
    <x v="47"/>
    <s v="MIÉRCOLES"/>
    <x v="15"/>
    <x v="15"/>
    <n v="250"/>
    <n v="50"/>
    <n v="100"/>
    <x v="3"/>
  </r>
  <r>
    <x v="286"/>
    <x v="10"/>
    <x v="47"/>
    <s v="MIÉRCOLES"/>
    <x v="16"/>
    <x v="16"/>
    <n v="180"/>
    <n v="180"/>
    <n v="75.599999999999994"/>
    <x v="3"/>
  </r>
  <r>
    <x v="286"/>
    <x v="10"/>
    <x v="47"/>
    <s v="MIÉRCOLES"/>
    <x v="1"/>
    <x v="1"/>
    <n v="1728"/>
    <n v="198"/>
    <n v="293.76000000000005"/>
    <x v="3"/>
  </r>
  <r>
    <x v="286"/>
    <x v="10"/>
    <x v="47"/>
    <s v="MIÉRCOLES"/>
    <x v="9"/>
    <x v="9"/>
    <n v="1260"/>
    <n v="90"/>
    <n v="214.20000000000002"/>
    <x v="3"/>
  </r>
  <r>
    <x v="286"/>
    <x v="10"/>
    <x v="47"/>
    <s v="MIÉRCOLES"/>
    <x v="10"/>
    <x v="10"/>
    <n v="3840"/>
    <n v="120"/>
    <n v="652.80000000000007"/>
    <x v="3"/>
  </r>
  <r>
    <x v="286"/>
    <x v="10"/>
    <x v="47"/>
    <s v="MIÉRCOLES"/>
    <x v="20"/>
    <x v="20"/>
    <n v="360"/>
    <n v="90"/>
    <n v="61.2"/>
    <x v="3"/>
  </r>
  <r>
    <x v="286"/>
    <x v="10"/>
    <x v="47"/>
    <s v="MIÉRCOLES"/>
    <x v="43"/>
    <x v="43"/>
    <n v="250"/>
    <n v="420"/>
    <n v="105"/>
    <x v="3"/>
  </r>
  <r>
    <x v="286"/>
    <x v="10"/>
    <x v="47"/>
    <s v="MIÉRCOLES"/>
    <x v="76"/>
    <x v="60"/>
    <n v="360"/>
    <n v="180"/>
    <n v="151.19999999999999"/>
    <x v="3"/>
  </r>
  <r>
    <x v="286"/>
    <x v="10"/>
    <x v="47"/>
    <s v="MIÉRCOLES"/>
    <x v="70"/>
    <x v="54"/>
    <n v="360"/>
    <n v="180"/>
    <n v="151.19999999999999"/>
    <x v="3"/>
  </r>
  <r>
    <x v="286"/>
    <x v="10"/>
    <x v="47"/>
    <s v="MIÉRCOLES"/>
    <x v="75"/>
    <x v="59"/>
    <n v="450"/>
    <n v="225"/>
    <n v="189"/>
    <x v="3"/>
  </r>
  <r>
    <x v="287"/>
    <x v="10"/>
    <x v="47"/>
    <s v="JUEVES"/>
    <x v="68"/>
    <x v="52"/>
    <n v="1250"/>
    <n v="250"/>
    <n v="525"/>
    <x v="3"/>
  </r>
  <r>
    <x v="287"/>
    <x v="10"/>
    <x v="47"/>
    <s v="JUEVES"/>
    <x v="76"/>
    <x v="60"/>
    <n v="360"/>
    <n v="180"/>
    <n v="151.19999999999999"/>
    <x v="3"/>
  </r>
  <r>
    <x v="287"/>
    <x v="10"/>
    <x v="47"/>
    <s v="JUEVES"/>
    <x v="70"/>
    <x v="54"/>
    <n v="360"/>
    <n v="180"/>
    <n v="151.19999999999999"/>
    <x v="3"/>
  </r>
  <r>
    <x v="287"/>
    <x v="10"/>
    <x v="47"/>
    <s v="JUEVES"/>
    <x v="4"/>
    <x v="4"/>
    <n v="1134"/>
    <n v="162"/>
    <n v="192.78"/>
    <x v="3"/>
  </r>
  <r>
    <x v="287"/>
    <x v="10"/>
    <x v="47"/>
    <s v="JUEVES"/>
    <x v="6"/>
    <x v="6"/>
    <n v="2400"/>
    <n v="120"/>
    <n v="408.00000000000006"/>
    <x v="3"/>
  </r>
  <r>
    <x v="287"/>
    <x v="10"/>
    <x v="47"/>
    <s v="JUEVES"/>
    <x v="17"/>
    <x v="17"/>
    <n v="1200"/>
    <n v="120"/>
    <n v="204.00000000000003"/>
    <x v="3"/>
  </r>
  <r>
    <x v="287"/>
    <x v="10"/>
    <x v="47"/>
    <s v="JUEVES"/>
    <x v="10"/>
    <x v="10"/>
    <n v="480"/>
    <n v="120"/>
    <n v="81.600000000000009"/>
    <x v="3"/>
  </r>
  <r>
    <x v="288"/>
    <x v="10"/>
    <x v="47"/>
    <s v="VIERNES"/>
    <x v="34"/>
    <x v="34"/>
    <n v="216"/>
    <n v="198"/>
    <n v="36.720000000000006"/>
    <x v="3"/>
  </r>
  <r>
    <x v="288"/>
    <x v="10"/>
    <x v="47"/>
    <s v="VIERNES"/>
    <x v="29"/>
    <x v="29"/>
    <n v="216"/>
    <n v="198"/>
    <n v="36.720000000000006"/>
    <x v="3"/>
  </r>
  <r>
    <x v="288"/>
    <x v="10"/>
    <x v="47"/>
    <s v="VIERNES"/>
    <x v="3"/>
    <x v="3"/>
    <n v="198"/>
    <n v="198"/>
    <n v="33.660000000000004"/>
    <x v="3"/>
  </r>
  <r>
    <x v="288"/>
    <x v="10"/>
    <x v="47"/>
    <s v="VIERNES"/>
    <x v="26"/>
    <x v="26"/>
    <n v="450"/>
    <n v="90"/>
    <n v="76.5"/>
    <x v="3"/>
  </r>
  <r>
    <x v="288"/>
    <x v="10"/>
    <x v="47"/>
    <s v="VIERNES"/>
    <x v="23"/>
    <x v="23"/>
    <n v="900"/>
    <n v="90"/>
    <n v="153"/>
    <x v="3"/>
  </r>
  <r>
    <x v="288"/>
    <x v="10"/>
    <x v="47"/>
    <s v="VIERNES"/>
    <x v="11"/>
    <x v="11"/>
    <n v="1440"/>
    <n v="90"/>
    <n v="244.8"/>
    <x v="3"/>
  </r>
  <r>
    <x v="288"/>
    <x v="10"/>
    <x v="47"/>
    <s v="VIERNES"/>
    <x v="25"/>
    <x v="25"/>
    <n v="1800"/>
    <n v="225"/>
    <n v="756"/>
    <x v="3"/>
  </r>
  <r>
    <x v="288"/>
    <x v="10"/>
    <x v="47"/>
    <s v="VIERNES"/>
    <x v="42"/>
    <x v="42"/>
    <n v="250"/>
    <n v="420"/>
    <n v="105"/>
    <x v="3"/>
  </r>
  <r>
    <x v="287"/>
    <x v="10"/>
    <x v="47"/>
    <s v="JUEVES"/>
    <x v="28"/>
    <x v="28"/>
    <n v="180"/>
    <n v="30"/>
    <n v="41.4"/>
    <x v="3"/>
  </r>
  <r>
    <x v="287"/>
    <x v="10"/>
    <x v="47"/>
    <s v="JUEVES"/>
    <x v="13"/>
    <x v="13"/>
    <n v="30"/>
    <n v="30"/>
    <n v="12"/>
    <x v="3"/>
  </r>
  <r>
    <x v="287"/>
    <x v="10"/>
    <x v="47"/>
    <s v="JUEVES"/>
    <x v="14"/>
    <x v="14"/>
    <n v="80"/>
    <n v="40"/>
    <n v="18.400000000000002"/>
    <x v="3"/>
  </r>
  <r>
    <x v="287"/>
    <x v="10"/>
    <x v="47"/>
    <s v="JUEVES"/>
    <x v="36"/>
    <x v="36"/>
    <n v="810"/>
    <n v="90"/>
    <n v="324"/>
    <x v="3"/>
  </r>
  <r>
    <x v="287"/>
    <x v="10"/>
    <x v="47"/>
    <s v="JUEVES"/>
    <x v="40"/>
    <x v="40"/>
    <n v="224"/>
    <n v="240"/>
    <n v="89.600000000000009"/>
    <x v="3"/>
  </r>
  <r>
    <x v="287"/>
    <x v="10"/>
    <x v="47"/>
    <s v="JUEVES"/>
    <x v="38"/>
    <x v="38"/>
    <n v="448"/>
    <n v="112"/>
    <n v="179.20000000000002"/>
    <x v="3"/>
  </r>
  <r>
    <x v="287"/>
    <x v="10"/>
    <x v="47"/>
    <s v="JUEVES"/>
    <x v="5"/>
    <x v="5"/>
    <n v="162"/>
    <n v="162"/>
    <n v="27.540000000000003"/>
    <x v="3"/>
  </r>
  <r>
    <x v="287"/>
    <x v="10"/>
    <x v="47"/>
    <s v="JUEVES"/>
    <x v="7"/>
    <x v="7"/>
    <n v="3024"/>
    <n v="198"/>
    <n v="514.08000000000004"/>
    <x v="3"/>
  </r>
  <r>
    <x v="287"/>
    <x v="10"/>
    <x v="47"/>
    <s v="JUEVES"/>
    <x v="10"/>
    <x v="10"/>
    <n v="3600"/>
    <n v="120"/>
    <n v="612"/>
    <x v="3"/>
  </r>
  <r>
    <x v="287"/>
    <x v="10"/>
    <x v="47"/>
    <s v="JUEVES"/>
    <x v="26"/>
    <x v="26"/>
    <n v="720"/>
    <n v="90"/>
    <n v="122.4"/>
    <x v="3"/>
  </r>
  <r>
    <x v="287"/>
    <x v="10"/>
    <x v="47"/>
    <s v="JUEVES"/>
    <x v="23"/>
    <x v="23"/>
    <n v="450"/>
    <n v="90"/>
    <n v="76.5"/>
    <x v="3"/>
  </r>
  <r>
    <x v="287"/>
    <x v="10"/>
    <x v="47"/>
    <s v="JUEVES"/>
    <x v="11"/>
    <x v="11"/>
    <n v="1890"/>
    <n v="90"/>
    <n v="321.3"/>
    <x v="3"/>
  </r>
  <r>
    <x v="287"/>
    <x v="10"/>
    <x v="47"/>
    <s v="JUEVES"/>
    <x v="12"/>
    <x v="12"/>
    <n v="675"/>
    <n v="225"/>
    <n v="270"/>
    <x v="3"/>
  </r>
  <r>
    <x v="287"/>
    <x v="10"/>
    <x v="47"/>
    <s v="JUEVES"/>
    <x v="19"/>
    <x v="19"/>
    <n v="225"/>
    <n v="225"/>
    <n v="90"/>
    <x v="3"/>
  </r>
  <r>
    <x v="287"/>
    <x v="10"/>
    <x v="47"/>
    <s v="JUEVES"/>
    <x v="40"/>
    <x v="40"/>
    <n v="224"/>
    <n v="240"/>
    <n v="89.600000000000009"/>
    <x v="3"/>
  </r>
  <r>
    <x v="287"/>
    <x v="10"/>
    <x v="47"/>
    <s v="JUEVES"/>
    <x v="5"/>
    <x v="5"/>
    <n v="648"/>
    <n v="162"/>
    <n v="110.16000000000001"/>
    <x v="3"/>
  </r>
  <r>
    <x v="287"/>
    <x v="10"/>
    <x v="47"/>
    <s v="JUEVES"/>
    <x v="7"/>
    <x v="7"/>
    <n v="1296"/>
    <n v="198"/>
    <n v="220.32000000000002"/>
    <x v="3"/>
  </r>
  <r>
    <x v="287"/>
    <x v="10"/>
    <x v="47"/>
    <s v="JUEVES"/>
    <x v="10"/>
    <x v="10"/>
    <n v="5520"/>
    <n v="120"/>
    <n v="938.40000000000009"/>
    <x v="3"/>
  </r>
  <r>
    <x v="287"/>
    <x v="10"/>
    <x v="47"/>
    <s v="JUEVES"/>
    <x v="68"/>
    <x v="52"/>
    <n v="500"/>
    <n v="250"/>
    <n v="210"/>
    <x v="3"/>
  </r>
  <r>
    <x v="288"/>
    <x v="10"/>
    <x v="47"/>
    <s v="VIERNES"/>
    <x v="13"/>
    <x v="13"/>
    <n v="180"/>
    <n v="30"/>
    <n v="72"/>
    <x v="3"/>
  </r>
  <r>
    <x v="288"/>
    <x v="10"/>
    <x v="47"/>
    <s v="VIERNES"/>
    <x v="15"/>
    <x v="15"/>
    <n v="50"/>
    <n v="50"/>
    <n v="20"/>
    <x v="3"/>
  </r>
  <r>
    <x v="288"/>
    <x v="10"/>
    <x v="47"/>
    <s v="VIERNES"/>
    <x v="0"/>
    <x v="0"/>
    <n v="672"/>
    <n v="48"/>
    <n v="268.8"/>
    <x v="3"/>
  </r>
  <r>
    <x v="288"/>
    <x v="10"/>
    <x v="47"/>
    <s v="VIERNES"/>
    <x v="1"/>
    <x v="1"/>
    <n v="3240"/>
    <n v="198"/>
    <n v="550.80000000000007"/>
    <x v="3"/>
  </r>
  <r>
    <x v="288"/>
    <x v="10"/>
    <x v="47"/>
    <s v="VIERNES"/>
    <x v="2"/>
    <x v="2"/>
    <n v="2160"/>
    <n v="198"/>
    <n v="367.20000000000005"/>
    <x v="3"/>
  </r>
  <r>
    <x v="288"/>
    <x v="10"/>
    <x v="47"/>
    <s v="VIERNES"/>
    <x v="22"/>
    <x v="22"/>
    <n v="792"/>
    <n v="198"/>
    <n v="134.64000000000001"/>
    <x v="3"/>
  </r>
  <r>
    <x v="288"/>
    <x v="10"/>
    <x v="47"/>
    <s v="VIERNES"/>
    <x v="8"/>
    <x v="8"/>
    <n v="648"/>
    <n v="198"/>
    <n v="110.16000000000001"/>
    <x v="3"/>
  </r>
  <r>
    <x v="288"/>
    <x v="10"/>
    <x v="47"/>
    <s v="VIERNES"/>
    <x v="9"/>
    <x v="9"/>
    <n v="1440"/>
    <n v="90"/>
    <n v="244.8"/>
    <x v="3"/>
  </r>
  <r>
    <x v="288"/>
    <x v="10"/>
    <x v="47"/>
    <s v="VIERNES"/>
    <x v="11"/>
    <x v="11"/>
    <n v="2160"/>
    <n v="90"/>
    <n v="367.20000000000005"/>
    <x v="3"/>
  </r>
  <r>
    <x v="288"/>
    <x v="10"/>
    <x v="47"/>
    <s v="VIERNES"/>
    <x v="25"/>
    <x v="25"/>
    <n v="2700"/>
    <n v="225"/>
    <n v="1134"/>
    <x v="3"/>
  </r>
  <r>
    <x v="288"/>
    <x v="10"/>
    <x v="47"/>
    <s v="VIERNES"/>
    <x v="12"/>
    <x v="12"/>
    <n v="450"/>
    <n v="225"/>
    <n v="180"/>
    <x v="3"/>
  </r>
  <r>
    <x v="288"/>
    <x v="10"/>
    <x v="47"/>
    <s v="VIERNES"/>
    <x v="19"/>
    <x v="19"/>
    <n v="450"/>
    <n v="225"/>
    <n v="180"/>
    <x v="3"/>
  </r>
  <r>
    <x v="288"/>
    <x v="10"/>
    <x v="47"/>
    <s v="VIERNES"/>
    <x v="13"/>
    <x v="13"/>
    <n v="120"/>
    <n v="30"/>
    <n v="48"/>
    <x v="3"/>
  </r>
  <r>
    <x v="288"/>
    <x v="10"/>
    <x v="47"/>
    <s v="VIERNES"/>
    <x v="15"/>
    <x v="15"/>
    <n v="350"/>
    <n v="50"/>
    <n v="140"/>
    <x v="3"/>
  </r>
  <r>
    <x v="288"/>
    <x v="10"/>
    <x v="47"/>
    <s v="VIERNES"/>
    <x v="0"/>
    <x v="0"/>
    <n v="288"/>
    <n v="48"/>
    <n v="115.2"/>
    <x v="3"/>
  </r>
  <r>
    <x v="288"/>
    <x v="10"/>
    <x v="47"/>
    <s v="VIERNES"/>
    <x v="3"/>
    <x v="3"/>
    <n v="1782"/>
    <n v="198"/>
    <n v="302.94"/>
    <x v="3"/>
  </r>
  <r>
    <x v="288"/>
    <x v="10"/>
    <x v="47"/>
    <s v="VIERNES"/>
    <x v="8"/>
    <x v="8"/>
    <n v="1512"/>
    <n v="198"/>
    <n v="257.04000000000002"/>
    <x v="3"/>
  </r>
  <r>
    <x v="288"/>
    <x v="10"/>
    <x v="47"/>
    <s v="VIERNES"/>
    <x v="25"/>
    <x v="25"/>
    <n v="450"/>
    <n v="225"/>
    <n v="189"/>
    <x v="3"/>
  </r>
  <r>
    <x v="288"/>
    <x v="10"/>
    <x v="47"/>
    <s v="VIERNES"/>
    <x v="12"/>
    <x v="12"/>
    <n v="1800"/>
    <n v="225"/>
    <n v="720"/>
    <x v="3"/>
  </r>
  <r>
    <x v="288"/>
    <x v="10"/>
    <x v="47"/>
    <s v="VIERNES"/>
    <x v="64"/>
    <x v="48"/>
    <n v="330"/>
    <n v="30"/>
    <n v="69.3"/>
    <x v="3"/>
  </r>
  <r>
    <x v="289"/>
    <x v="10"/>
    <x v="48"/>
    <s v="SÁBADO"/>
    <x v="16"/>
    <x v="16"/>
    <n v="1440"/>
    <n v="180"/>
    <n v="604.79999999999995"/>
    <x v="3"/>
  </r>
  <r>
    <x v="289"/>
    <x v="10"/>
    <x v="48"/>
    <s v="SÁBADO"/>
    <x v="19"/>
    <x v="19"/>
    <n v="3150"/>
    <n v="225"/>
    <n v="1260"/>
    <x v="3"/>
  </r>
  <r>
    <x v="289"/>
    <x v="10"/>
    <x v="48"/>
    <s v="SÁBADO"/>
    <x v="64"/>
    <x v="48"/>
    <n v="630"/>
    <n v="30"/>
    <n v="132.29999999999998"/>
    <x v="3"/>
  </r>
  <r>
    <x v="289"/>
    <x v="10"/>
    <x v="48"/>
    <s v="SÁBADO"/>
    <x v="68"/>
    <x v="52"/>
    <n v="2000"/>
    <n v="250"/>
    <n v="840"/>
    <x v="3"/>
  </r>
  <r>
    <x v="289"/>
    <x v="10"/>
    <x v="48"/>
    <s v="SÁBADO"/>
    <x v="12"/>
    <x v="12"/>
    <n v="1350"/>
    <n v="225"/>
    <n v="540"/>
    <x v="3"/>
  </r>
  <r>
    <x v="289"/>
    <x v="10"/>
    <x v="48"/>
    <s v="SÁBADO"/>
    <x v="28"/>
    <x v="28"/>
    <n v="270"/>
    <n v="30"/>
    <n v="62.1"/>
    <x v="3"/>
  </r>
  <r>
    <x v="289"/>
    <x v="10"/>
    <x v="48"/>
    <s v="SÁBADO"/>
    <x v="14"/>
    <x v="14"/>
    <n v="80"/>
    <n v="40"/>
    <n v="18.400000000000002"/>
    <x v="3"/>
  </r>
  <r>
    <x v="289"/>
    <x v="10"/>
    <x v="48"/>
    <s v="SÁBADO"/>
    <x v="38"/>
    <x v="38"/>
    <n v="336"/>
    <n v="112"/>
    <n v="134.4"/>
    <x v="3"/>
  </r>
  <r>
    <x v="289"/>
    <x v="10"/>
    <x v="48"/>
    <s v="SÁBADO"/>
    <x v="0"/>
    <x v="0"/>
    <n v="960"/>
    <n v="48"/>
    <n v="384"/>
    <x v="3"/>
  </r>
  <r>
    <x v="289"/>
    <x v="10"/>
    <x v="48"/>
    <s v="SÁBADO"/>
    <x v="16"/>
    <x v="16"/>
    <n v="1080"/>
    <n v="180"/>
    <n v="453.59999999999997"/>
    <x v="3"/>
  </r>
  <r>
    <x v="289"/>
    <x v="10"/>
    <x v="48"/>
    <s v="SÁBADO"/>
    <x v="1"/>
    <x v="1"/>
    <n v="1944"/>
    <n v="198"/>
    <n v="330.48"/>
    <x v="3"/>
  </r>
  <r>
    <x v="289"/>
    <x v="10"/>
    <x v="48"/>
    <s v="SÁBADO"/>
    <x v="2"/>
    <x v="2"/>
    <n v="2160"/>
    <n v="198"/>
    <n v="367.20000000000005"/>
    <x v="3"/>
  </r>
  <r>
    <x v="289"/>
    <x v="10"/>
    <x v="48"/>
    <s v="SÁBADO"/>
    <x v="34"/>
    <x v="34"/>
    <n v="432"/>
    <n v="198"/>
    <n v="73.440000000000012"/>
    <x v="3"/>
  </r>
  <r>
    <x v="289"/>
    <x v="10"/>
    <x v="48"/>
    <s v="SÁBADO"/>
    <x v="29"/>
    <x v="29"/>
    <n v="432"/>
    <n v="198"/>
    <n v="73.440000000000012"/>
    <x v="3"/>
  </r>
  <r>
    <x v="289"/>
    <x v="10"/>
    <x v="48"/>
    <s v="SÁBADO"/>
    <x v="22"/>
    <x v="22"/>
    <n v="396"/>
    <n v="198"/>
    <n v="67.320000000000007"/>
    <x v="3"/>
  </r>
  <r>
    <x v="289"/>
    <x v="10"/>
    <x v="48"/>
    <s v="SÁBADO"/>
    <x v="3"/>
    <x v="3"/>
    <n v="1386"/>
    <n v="198"/>
    <n v="235.62"/>
    <x v="3"/>
  </r>
  <r>
    <x v="289"/>
    <x v="10"/>
    <x v="48"/>
    <s v="SÁBADO"/>
    <x v="17"/>
    <x v="17"/>
    <n v="960"/>
    <n v="120"/>
    <n v="163.20000000000002"/>
    <x v="3"/>
  </r>
  <r>
    <x v="289"/>
    <x v="10"/>
    <x v="48"/>
    <s v="SÁBADO"/>
    <x v="26"/>
    <x v="26"/>
    <n v="900"/>
    <n v="90"/>
    <n v="153"/>
    <x v="3"/>
  </r>
  <r>
    <x v="289"/>
    <x v="10"/>
    <x v="48"/>
    <s v="SÁBADO"/>
    <x v="23"/>
    <x v="23"/>
    <n v="1800"/>
    <n v="90"/>
    <n v="306"/>
    <x v="3"/>
  </r>
  <r>
    <x v="289"/>
    <x v="10"/>
    <x v="48"/>
    <s v="SÁBADO"/>
    <x v="12"/>
    <x v="12"/>
    <n v="675"/>
    <n v="225"/>
    <n v="270"/>
    <x v="3"/>
  </r>
  <r>
    <x v="289"/>
    <x v="10"/>
    <x v="48"/>
    <s v="SÁBADO"/>
    <x v="42"/>
    <x v="42"/>
    <n v="750"/>
    <n v="420"/>
    <n v="315"/>
    <x v="3"/>
  </r>
  <r>
    <x v="289"/>
    <x v="10"/>
    <x v="48"/>
    <s v="SÁBADO"/>
    <x v="43"/>
    <x v="43"/>
    <n v="500"/>
    <n v="420"/>
    <n v="210"/>
    <x v="3"/>
  </r>
  <r>
    <x v="289"/>
    <x v="10"/>
    <x v="48"/>
    <s v="SÁBADO"/>
    <x v="1"/>
    <x v="1"/>
    <n v="1296"/>
    <n v="198"/>
    <n v="220.32000000000002"/>
    <x v="3"/>
  </r>
  <r>
    <x v="289"/>
    <x v="10"/>
    <x v="48"/>
    <s v="SÁBADO"/>
    <x v="22"/>
    <x v="22"/>
    <n v="1188"/>
    <n v="198"/>
    <n v="201.96"/>
    <x v="3"/>
  </r>
  <r>
    <x v="289"/>
    <x v="10"/>
    <x v="48"/>
    <s v="SÁBADO"/>
    <x v="6"/>
    <x v="6"/>
    <n v="2400"/>
    <n v="120"/>
    <n v="408.00000000000006"/>
    <x v="3"/>
  </r>
  <r>
    <x v="289"/>
    <x v="10"/>
    <x v="48"/>
    <s v="SÁBADO"/>
    <x v="17"/>
    <x v="17"/>
    <n v="480"/>
    <n v="120"/>
    <n v="81.600000000000009"/>
    <x v="3"/>
  </r>
  <r>
    <x v="289"/>
    <x v="10"/>
    <x v="48"/>
    <s v="SÁBADO"/>
    <x v="68"/>
    <x v="52"/>
    <n v="2000"/>
    <n v="250"/>
    <n v="840"/>
    <x v="3"/>
  </r>
  <r>
    <x v="290"/>
    <x v="10"/>
    <x v="48"/>
    <s v="DOMINGO"/>
    <x v="64"/>
    <x v="48"/>
    <n v="960"/>
    <n v="30"/>
    <n v="201.6"/>
    <x v="3"/>
  </r>
  <r>
    <x v="290"/>
    <x v="10"/>
    <x v="48"/>
    <s v="DOMINGO"/>
    <x v="68"/>
    <x v="52"/>
    <n v="500"/>
    <n v="250"/>
    <n v="210"/>
    <x v="3"/>
  </r>
  <r>
    <x v="290"/>
    <x v="10"/>
    <x v="48"/>
    <s v="DOMINGO"/>
    <x v="69"/>
    <x v="53"/>
    <n v="300"/>
    <n v="60"/>
    <n v="206.99999999999997"/>
    <x v="3"/>
  </r>
  <r>
    <x v="290"/>
    <x v="10"/>
    <x v="48"/>
    <s v="DOMINGO"/>
    <x v="17"/>
    <x v="17"/>
    <n v="2400"/>
    <n v="120"/>
    <n v="408.00000000000006"/>
    <x v="3"/>
  </r>
  <r>
    <x v="290"/>
    <x v="10"/>
    <x v="48"/>
    <s v="DOMINGO"/>
    <x v="10"/>
    <x v="10"/>
    <n v="1440"/>
    <n v="120"/>
    <n v="244.8"/>
    <x v="3"/>
  </r>
  <r>
    <x v="290"/>
    <x v="10"/>
    <x v="48"/>
    <s v="DOMINGO"/>
    <x v="26"/>
    <x v="26"/>
    <n v="1890"/>
    <n v="90"/>
    <n v="321.3"/>
    <x v="3"/>
  </r>
  <r>
    <x v="290"/>
    <x v="10"/>
    <x v="48"/>
    <s v="DOMINGO"/>
    <x v="23"/>
    <x v="23"/>
    <n v="3600"/>
    <n v="90"/>
    <n v="612"/>
    <x v="3"/>
  </r>
  <r>
    <x v="291"/>
    <x v="10"/>
    <x v="48"/>
    <s v="LUNES"/>
    <x v="0"/>
    <x v="0"/>
    <n v="768"/>
    <n v="48"/>
    <n v="307.20000000000005"/>
    <x v="3"/>
  </r>
  <r>
    <x v="291"/>
    <x v="10"/>
    <x v="48"/>
    <s v="LUNES"/>
    <x v="1"/>
    <x v="1"/>
    <n v="2160"/>
    <n v="198"/>
    <n v="367.20000000000005"/>
    <x v="3"/>
  </r>
  <r>
    <x v="291"/>
    <x v="10"/>
    <x v="48"/>
    <s v="LUNES"/>
    <x v="2"/>
    <x v="2"/>
    <n v="594"/>
    <n v="198"/>
    <n v="100.98"/>
    <x v="3"/>
  </r>
  <r>
    <x v="291"/>
    <x v="10"/>
    <x v="48"/>
    <s v="LUNES"/>
    <x v="22"/>
    <x v="22"/>
    <n v="594"/>
    <n v="198"/>
    <n v="100.98"/>
    <x v="3"/>
  </r>
  <r>
    <x v="291"/>
    <x v="10"/>
    <x v="48"/>
    <s v="LUNES"/>
    <x v="3"/>
    <x v="3"/>
    <n v="1458"/>
    <n v="198"/>
    <n v="247.86"/>
    <x v="3"/>
  </r>
  <r>
    <x v="291"/>
    <x v="10"/>
    <x v="48"/>
    <s v="LUNES"/>
    <x v="4"/>
    <x v="4"/>
    <n v="486"/>
    <n v="162"/>
    <n v="82.62"/>
    <x v="3"/>
  </r>
  <r>
    <x v="291"/>
    <x v="10"/>
    <x v="48"/>
    <s v="LUNES"/>
    <x v="5"/>
    <x v="5"/>
    <n v="2160"/>
    <n v="162"/>
    <n v="367.20000000000005"/>
    <x v="3"/>
  </r>
  <r>
    <x v="291"/>
    <x v="10"/>
    <x v="48"/>
    <s v="LUNES"/>
    <x v="7"/>
    <x v="7"/>
    <n v="2400"/>
    <n v="198"/>
    <n v="408.00000000000006"/>
    <x v="3"/>
  </r>
  <r>
    <x v="291"/>
    <x v="10"/>
    <x v="48"/>
    <s v="LUNES"/>
    <x v="10"/>
    <x v="10"/>
    <n v="2500"/>
    <n v="120"/>
    <n v="425.00000000000006"/>
    <x v="3"/>
  </r>
  <r>
    <x v="291"/>
    <x v="10"/>
    <x v="48"/>
    <s v="LUNES"/>
    <x v="68"/>
    <x v="52"/>
    <m/>
    <n v="250"/>
    <n v="0"/>
    <x v="3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  <r>
    <x v="292"/>
    <x v="5"/>
    <x v="22"/>
    <s v="SÁBADO"/>
    <x v="80"/>
    <x v="21"/>
    <m/>
    <n v="0"/>
    <n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d v="2021-06-01T00:00:00"/>
    <x v="0"/>
    <n v="23"/>
    <s v="MARTES"/>
    <x v="0"/>
    <x v="0"/>
    <n v="576"/>
    <n v="48"/>
    <n v="230.4"/>
    <x v="0"/>
  </r>
  <r>
    <d v="2021-06-01T00:00:00"/>
    <x v="0"/>
    <n v="23"/>
    <s v="MARTES"/>
    <x v="1"/>
    <x v="1"/>
    <n v="1188"/>
    <n v="198"/>
    <n v="201.96"/>
    <x v="0"/>
  </r>
  <r>
    <d v="2021-06-01T00:00:00"/>
    <x v="0"/>
    <n v="23"/>
    <s v="MARTES"/>
    <x v="2"/>
    <x v="2"/>
    <n v="1584"/>
    <n v="198"/>
    <n v="269.28000000000003"/>
    <x v="0"/>
  </r>
  <r>
    <d v="2021-06-01T00:00:00"/>
    <x v="0"/>
    <n v="23"/>
    <s v="MARTES"/>
    <x v="3"/>
    <x v="3"/>
    <n v="792"/>
    <n v="198"/>
    <n v="134.64000000000001"/>
    <x v="0"/>
  </r>
  <r>
    <d v="2021-06-01T00:00:00"/>
    <x v="0"/>
    <n v="23"/>
    <s v="MARTES"/>
    <x v="4"/>
    <x v="4"/>
    <n v="648"/>
    <n v="162"/>
    <n v="110.16000000000001"/>
    <x v="0"/>
  </r>
  <r>
    <d v="2021-06-01T00:00:00"/>
    <x v="0"/>
    <n v="23"/>
    <s v="MARTES"/>
    <x v="5"/>
    <x v="5"/>
    <n v="324"/>
    <n v="162"/>
    <n v="55.080000000000005"/>
    <x v="0"/>
  </r>
  <r>
    <d v="2021-06-01T00:00:00"/>
    <x v="0"/>
    <n v="23"/>
    <s v="MARTES"/>
    <x v="6"/>
    <x v="6"/>
    <n v="240"/>
    <n v="120"/>
    <n v="40.800000000000004"/>
    <x v="0"/>
  </r>
  <r>
    <d v="2021-06-01T00:00:00"/>
    <x v="0"/>
    <n v="23"/>
    <s v="MARTES"/>
    <x v="7"/>
    <x v="7"/>
    <n v="1198"/>
    <n v="198"/>
    <n v="203.66000000000003"/>
    <x v="0"/>
  </r>
  <r>
    <d v="2021-06-01T00:00:00"/>
    <x v="0"/>
    <n v="23"/>
    <s v="MARTES"/>
    <x v="8"/>
    <x v="8"/>
    <n v="396"/>
    <n v="198"/>
    <n v="67.320000000000007"/>
    <x v="0"/>
  </r>
  <r>
    <d v="2021-06-01T00:00:00"/>
    <x v="0"/>
    <n v="23"/>
    <s v="MARTES"/>
    <x v="9"/>
    <x v="9"/>
    <n v="360"/>
    <n v="90"/>
    <n v="61.2"/>
    <x v="0"/>
  </r>
  <r>
    <d v="2021-06-01T00:00:00"/>
    <x v="0"/>
    <n v="23"/>
    <s v="MARTES"/>
    <x v="10"/>
    <x v="10"/>
    <n v="3840"/>
    <n v="120"/>
    <n v="652.80000000000007"/>
    <x v="0"/>
  </r>
  <r>
    <d v="2021-06-01T00:00:00"/>
    <x v="0"/>
    <n v="23"/>
    <s v="MARTES"/>
    <x v="11"/>
    <x v="11"/>
    <n v="990"/>
    <n v="90"/>
    <n v="168.3"/>
    <x v="0"/>
  </r>
  <r>
    <d v="2021-06-01T00:00:00"/>
    <x v="0"/>
    <n v="23"/>
    <s v="MARTES"/>
    <x v="12"/>
    <x v="12"/>
    <n v="450"/>
    <n v="225"/>
    <n v="180"/>
    <x v="0"/>
  </r>
  <r>
    <d v="2021-06-02T00:00:00"/>
    <x v="0"/>
    <n v="23"/>
    <s v="MIÉRCOLES"/>
    <x v="13"/>
    <x v="13"/>
    <n v="180"/>
    <n v="30"/>
    <n v="72"/>
    <x v="0"/>
  </r>
  <r>
    <d v="2021-06-02T00:00:00"/>
    <x v="0"/>
    <n v="23"/>
    <s v="MIÉRCOLES"/>
    <x v="14"/>
    <x v="14"/>
    <n v="80"/>
    <n v="40"/>
    <n v="18.400000000000002"/>
    <x v="0"/>
  </r>
  <r>
    <d v="2021-06-02T00:00:00"/>
    <x v="0"/>
    <n v="23"/>
    <s v="MIÉRCOLES"/>
    <x v="15"/>
    <x v="15"/>
    <n v="100"/>
    <n v="50"/>
    <n v="40"/>
    <x v="0"/>
  </r>
  <r>
    <d v="2021-06-02T00:00:00"/>
    <x v="0"/>
    <n v="23"/>
    <s v="MIÉRCOLES"/>
    <x v="16"/>
    <x v="16"/>
    <n v="180"/>
    <n v="180"/>
    <n v="75.599999999999994"/>
    <x v="0"/>
  </r>
  <r>
    <d v="2021-06-02T00:00:00"/>
    <x v="0"/>
    <n v="23"/>
    <s v="MIÉRCOLES"/>
    <x v="1"/>
    <x v="1"/>
    <n v="1188"/>
    <n v="198"/>
    <n v="201.96"/>
    <x v="0"/>
  </r>
  <r>
    <d v="2021-06-02T00:00:00"/>
    <x v="0"/>
    <n v="23"/>
    <s v="MIÉRCOLES"/>
    <x v="2"/>
    <x v="2"/>
    <n v="792"/>
    <n v="198"/>
    <n v="134.64000000000001"/>
    <x v="0"/>
  </r>
  <r>
    <d v="2021-06-02T00:00:00"/>
    <x v="0"/>
    <n v="23"/>
    <s v="MIÉRCOLES"/>
    <x v="4"/>
    <x v="4"/>
    <n v="324"/>
    <n v="162"/>
    <n v="55.080000000000005"/>
    <x v="0"/>
  </r>
  <r>
    <d v="2021-06-02T00:00:00"/>
    <x v="0"/>
    <n v="23"/>
    <s v="MIÉRCOLES"/>
    <x v="5"/>
    <x v="5"/>
    <n v="324"/>
    <n v="162"/>
    <n v="55.080000000000005"/>
    <x v="0"/>
  </r>
  <r>
    <d v="2021-06-02T00:00:00"/>
    <x v="0"/>
    <n v="23"/>
    <s v="MIÉRCOLES"/>
    <x v="17"/>
    <x v="17"/>
    <n v="240"/>
    <n v="120"/>
    <n v="40.800000000000004"/>
    <x v="0"/>
  </r>
  <r>
    <d v="2021-06-02T00:00:00"/>
    <x v="0"/>
    <n v="23"/>
    <s v="MIÉRCOLES"/>
    <x v="7"/>
    <x v="7"/>
    <n v="792"/>
    <n v="198"/>
    <n v="134.64000000000001"/>
    <x v="0"/>
  </r>
  <r>
    <d v="2021-06-02T00:00:00"/>
    <x v="0"/>
    <n v="23"/>
    <s v="MIÉRCOLES"/>
    <x v="8"/>
    <x v="8"/>
    <n v="792"/>
    <n v="198"/>
    <n v="134.64000000000001"/>
    <x v="0"/>
  </r>
  <r>
    <d v="2021-06-02T00:00:00"/>
    <x v="0"/>
    <n v="23"/>
    <s v="MIÉRCOLES"/>
    <x v="10"/>
    <x v="10"/>
    <n v="480"/>
    <n v="120"/>
    <n v="81.600000000000009"/>
    <x v="0"/>
  </r>
  <r>
    <d v="2021-06-02T00:00:00"/>
    <x v="0"/>
    <n v="23"/>
    <s v="MIÉRCOLES"/>
    <x v="9"/>
    <x v="9"/>
    <n v="810"/>
    <n v="90"/>
    <n v="137.70000000000002"/>
    <x v="0"/>
  </r>
  <r>
    <d v="2021-06-02T00:00:00"/>
    <x v="0"/>
    <n v="23"/>
    <s v="MIÉRCOLES"/>
    <x v="11"/>
    <x v="11"/>
    <n v="1170"/>
    <n v="90"/>
    <n v="198.9"/>
    <x v="0"/>
  </r>
  <r>
    <d v="2021-06-02T00:00:00"/>
    <x v="0"/>
    <n v="23"/>
    <s v="MIÉRCOLES"/>
    <x v="18"/>
    <x v="18"/>
    <n v="270"/>
    <n v="90"/>
    <n v="45.900000000000006"/>
    <x v="0"/>
  </r>
  <r>
    <d v="2021-06-02T00:00:00"/>
    <x v="0"/>
    <n v="23"/>
    <s v="MIÉRCOLES"/>
    <x v="19"/>
    <x v="19"/>
    <n v="225"/>
    <n v="225"/>
    <n v="90"/>
    <x v="0"/>
  </r>
  <r>
    <d v="2021-06-03T00:00:00"/>
    <x v="0"/>
    <n v="23"/>
    <s v="JUEVES"/>
    <x v="5"/>
    <x v="5"/>
    <n v="324"/>
    <n v="162"/>
    <n v="55.080000000000005"/>
    <x v="0"/>
  </r>
  <r>
    <d v="2021-06-03T00:00:00"/>
    <x v="0"/>
    <n v="23"/>
    <s v="JUEVES"/>
    <x v="6"/>
    <x v="6"/>
    <n v="480"/>
    <n v="120"/>
    <n v="81.600000000000009"/>
    <x v="0"/>
  </r>
  <r>
    <d v="2021-06-03T00:00:00"/>
    <x v="0"/>
    <n v="23"/>
    <s v="JUEVES"/>
    <x v="2"/>
    <x v="2"/>
    <n v="396"/>
    <n v="198"/>
    <n v="67.320000000000007"/>
    <x v="0"/>
  </r>
  <r>
    <d v="2021-06-03T00:00:00"/>
    <x v="0"/>
    <n v="23"/>
    <s v="JUEVES"/>
    <x v="17"/>
    <x v="17"/>
    <n v="240"/>
    <n v="120"/>
    <n v="40.800000000000004"/>
    <x v="0"/>
  </r>
  <r>
    <d v="2021-06-03T00:00:00"/>
    <x v="0"/>
    <n v="23"/>
    <s v="JUEVES"/>
    <x v="20"/>
    <x v="20"/>
    <n v="180"/>
    <n v="90"/>
    <n v="30.6"/>
    <x v="0"/>
  </r>
  <r>
    <d v="2021-06-03T00:00:00"/>
    <x v="0"/>
    <n v="23"/>
    <s v="JUEVES"/>
    <x v="11"/>
    <x v="11"/>
    <n v="2160"/>
    <n v="90"/>
    <n v="367.20000000000005"/>
    <x v="0"/>
  </r>
  <r>
    <d v="2021-06-03T00:00:00"/>
    <x v="0"/>
    <n v="23"/>
    <s v="JUEVES"/>
    <x v="0"/>
    <x v="0"/>
    <n v="216"/>
    <n v="48"/>
    <n v="86.4"/>
    <x v="0"/>
  </r>
  <r>
    <d v="2021-06-03T00:00:00"/>
    <x v="0"/>
    <n v="23"/>
    <s v="JUEVES"/>
    <x v="12"/>
    <x v="12"/>
    <n v="225"/>
    <n v="225"/>
    <n v="90"/>
    <x v="0"/>
  </r>
  <r>
    <d v="2021-06-03T00:00:00"/>
    <x v="0"/>
    <n v="23"/>
    <s v="JUEVES"/>
    <x v="19"/>
    <x v="19"/>
    <n v="225"/>
    <n v="225"/>
    <n v="90"/>
    <x v="0"/>
  </r>
  <r>
    <d v="2021-06-03T00:00:00"/>
    <x v="0"/>
    <n v="23"/>
    <s v="JUEVES"/>
    <x v="9"/>
    <x v="9"/>
    <n v="720"/>
    <n v="90"/>
    <n v="122.4"/>
    <x v="0"/>
  </r>
  <r>
    <d v="2021-06-03T00:00:00"/>
    <x v="0"/>
    <n v="23"/>
    <s v="JUEVES"/>
    <x v="16"/>
    <x v="16"/>
    <n v="540"/>
    <n v="180"/>
    <n v="226.79999999999998"/>
    <x v="0"/>
  </r>
  <r>
    <d v="2021-06-04T00:00:00"/>
    <x v="0"/>
    <n v="23"/>
    <s v="VIERNES"/>
    <x v="21"/>
    <x v="21"/>
    <n v="792"/>
    <n v="0"/>
    <n v="0"/>
    <x v="0"/>
  </r>
  <r>
    <d v="2021-06-04T00:00:00"/>
    <x v="0"/>
    <n v="23"/>
    <s v="VIERNES"/>
    <x v="22"/>
    <x v="22"/>
    <n v="792"/>
    <n v="198"/>
    <n v="134.64000000000001"/>
    <x v="0"/>
  </r>
  <r>
    <d v="2021-06-04T00:00:00"/>
    <x v="0"/>
    <n v="23"/>
    <s v="VIERNES"/>
    <x v="3"/>
    <x v="3"/>
    <n v="594"/>
    <n v="198"/>
    <n v="100.98"/>
    <x v="0"/>
  </r>
  <r>
    <d v="2021-06-04T00:00:00"/>
    <x v="0"/>
    <n v="23"/>
    <s v="VIERNES"/>
    <x v="17"/>
    <x v="17"/>
    <n v="600"/>
    <n v="120"/>
    <n v="102.00000000000001"/>
    <x v="0"/>
  </r>
  <r>
    <d v="2021-06-04T00:00:00"/>
    <x v="0"/>
    <n v="23"/>
    <s v="VIERNES"/>
    <x v="23"/>
    <x v="23"/>
    <n v="360"/>
    <n v="90"/>
    <n v="61.2"/>
    <x v="0"/>
  </r>
  <r>
    <d v="2021-06-04T00:00:00"/>
    <x v="0"/>
    <n v="23"/>
    <s v="VIERNES"/>
    <x v="11"/>
    <x v="11"/>
    <n v="450"/>
    <n v="90"/>
    <n v="76.5"/>
    <x v="0"/>
  </r>
  <r>
    <d v="2021-06-04T00:00:00"/>
    <x v="0"/>
    <n v="23"/>
    <s v="VIERNES"/>
    <x v="16"/>
    <x v="16"/>
    <n v="180"/>
    <n v="180"/>
    <n v="75.599999999999994"/>
    <x v="0"/>
  </r>
  <r>
    <d v="2021-06-04T00:00:00"/>
    <x v="0"/>
    <n v="23"/>
    <s v="VIERNES"/>
    <x v="24"/>
    <x v="24"/>
    <n v="1260"/>
    <n v="420"/>
    <n v="529.19999999999993"/>
    <x v="0"/>
  </r>
  <r>
    <d v="2021-06-04T00:00:00"/>
    <x v="0"/>
    <n v="23"/>
    <s v="VIERNES"/>
    <x v="0"/>
    <x v="0"/>
    <n v="48"/>
    <n v="48"/>
    <n v="19.200000000000003"/>
    <x v="0"/>
  </r>
  <r>
    <d v="2021-06-04T00:00:00"/>
    <x v="0"/>
    <n v="23"/>
    <s v="VIERNES"/>
    <x v="15"/>
    <x v="15"/>
    <n v="50"/>
    <n v="50"/>
    <n v="20"/>
    <x v="0"/>
  </r>
  <r>
    <d v="2021-06-04T00:00:00"/>
    <x v="0"/>
    <n v="23"/>
    <s v="VIERNES"/>
    <x v="25"/>
    <x v="25"/>
    <n v="225"/>
    <n v="225"/>
    <n v="94.5"/>
    <x v="0"/>
  </r>
  <r>
    <d v="2021-06-04T00:00:00"/>
    <x v="0"/>
    <n v="23"/>
    <s v="VIERNES"/>
    <x v="12"/>
    <x v="12"/>
    <n v="450"/>
    <n v="225"/>
    <n v="180"/>
    <x v="0"/>
  </r>
  <r>
    <d v="2021-06-04T00:00:00"/>
    <x v="0"/>
    <n v="23"/>
    <s v="VIERNES"/>
    <x v="26"/>
    <x v="26"/>
    <n v="180"/>
    <n v="90"/>
    <n v="30.6"/>
    <x v="0"/>
  </r>
  <r>
    <d v="2021-06-04T00:00:00"/>
    <x v="0"/>
    <n v="23"/>
    <s v="VIERNES"/>
    <x v="25"/>
    <x v="25"/>
    <n v="450"/>
    <n v="225"/>
    <n v="189"/>
    <x v="0"/>
  </r>
  <r>
    <d v="2021-06-04T00:00:00"/>
    <x v="0"/>
    <n v="23"/>
    <s v="VIERNES"/>
    <x v="12"/>
    <x v="12"/>
    <n v="450"/>
    <n v="225"/>
    <n v="180"/>
    <x v="0"/>
  </r>
  <r>
    <d v="2021-06-04T00:00:00"/>
    <x v="0"/>
    <n v="23"/>
    <s v="VIERNES"/>
    <x v="19"/>
    <x v="19"/>
    <n v="675"/>
    <n v="225"/>
    <n v="270"/>
    <x v="0"/>
  </r>
  <r>
    <d v="2021-06-05T00:00:00"/>
    <x v="0"/>
    <n v="24"/>
    <s v="SÁBADO"/>
    <x v="6"/>
    <x v="6"/>
    <n v="240"/>
    <n v="120"/>
    <n v="40.800000000000004"/>
    <x v="0"/>
  </r>
  <r>
    <d v="2021-06-05T00:00:00"/>
    <x v="0"/>
    <n v="24"/>
    <s v="SÁBADO"/>
    <x v="2"/>
    <x v="2"/>
    <n v="594"/>
    <n v="198"/>
    <n v="100.98"/>
    <x v="0"/>
  </r>
  <r>
    <d v="2021-06-05T00:00:00"/>
    <x v="0"/>
    <n v="24"/>
    <s v="SÁBADO"/>
    <x v="0"/>
    <x v="0"/>
    <n v="288"/>
    <n v="48"/>
    <n v="115.2"/>
    <x v="0"/>
  </r>
  <r>
    <d v="2021-06-05T00:00:00"/>
    <x v="0"/>
    <n v="24"/>
    <s v="SÁBADO"/>
    <x v="25"/>
    <x v="25"/>
    <n v="450"/>
    <n v="225"/>
    <n v="189"/>
    <x v="0"/>
  </r>
  <r>
    <d v="2021-06-05T00:00:00"/>
    <x v="0"/>
    <n v="24"/>
    <s v="SÁBADO"/>
    <x v="24"/>
    <x v="24"/>
    <n v="420"/>
    <n v="420"/>
    <n v="176.4"/>
    <x v="0"/>
  </r>
  <r>
    <d v="2021-06-05T00:00:00"/>
    <x v="0"/>
    <n v="24"/>
    <s v="SÁBADO"/>
    <x v="16"/>
    <x v="16"/>
    <n v="180"/>
    <n v="180"/>
    <n v="75.599999999999994"/>
    <x v="0"/>
  </r>
  <r>
    <d v="2021-06-05T00:00:00"/>
    <x v="0"/>
    <n v="24"/>
    <s v="SÁBADO"/>
    <x v="6"/>
    <x v="6"/>
    <n v="480"/>
    <n v="120"/>
    <n v="81.600000000000009"/>
    <x v="0"/>
  </r>
  <r>
    <d v="2021-06-05T00:00:00"/>
    <x v="0"/>
    <n v="24"/>
    <s v="SÁBADO"/>
    <x v="2"/>
    <x v="2"/>
    <n v="396"/>
    <n v="198"/>
    <n v="67.320000000000007"/>
    <x v="0"/>
  </r>
  <r>
    <d v="2021-06-05T00:00:00"/>
    <x v="0"/>
    <n v="24"/>
    <s v="SÁBADO"/>
    <x v="22"/>
    <x v="22"/>
    <n v="792"/>
    <n v="198"/>
    <n v="134.64000000000001"/>
    <x v="0"/>
  </r>
  <r>
    <d v="2021-06-05T00:00:00"/>
    <x v="0"/>
    <n v="24"/>
    <s v="SÁBADO"/>
    <x v="9"/>
    <x v="9"/>
    <n v="720"/>
    <n v="90"/>
    <n v="122.4"/>
    <x v="0"/>
  </r>
  <r>
    <d v="2021-06-05T00:00:00"/>
    <x v="0"/>
    <n v="24"/>
    <s v="SÁBADO"/>
    <x v="26"/>
    <x v="26"/>
    <n v="90"/>
    <n v="90"/>
    <n v="15.3"/>
    <x v="0"/>
  </r>
  <r>
    <d v="2021-06-05T00:00:00"/>
    <x v="0"/>
    <n v="24"/>
    <s v="SÁBADO"/>
    <x v="15"/>
    <x v="15"/>
    <n v="100"/>
    <n v="50"/>
    <n v="40"/>
    <x v="0"/>
  </r>
  <r>
    <d v="2021-06-05T00:00:00"/>
    <x v="0"/>
    <n v="24"/>
    <s v="SÁBADO"/>
    <x v="25"/>
    <x v="25"/>
    <n v="450"/>
    <n v="225"/>
    <n v="189"/>
    <x v="0"/>
  </r>
  <r>
    <d v="2021-06-05T00:00:00"/>
    <x v="0"/>
    <n v="24"/>
    <s v="SÁBADO"/>
    <x v="3"/>
    <x v="3"/>
    <n v="792"/>
    <n v="198"/>
    <n v="134.64000000000001"/>
    <x v="0"/>
  </r>
  <r>
    <d v="2021-06-05T00:00:00"/>
    <x v="0"/>
    <n v="24"/>
    <s v="SÁBADO"/>
    <x v="1"/>
    <x v="1"/>
    <n v="1386"/>
    <n v="198"/>
    <n v="235.62"/>
    <x v="0"/>
  </r>
  <r>
    <d v="2021-06-05T00:00:00"/>
    <x v="0"/>
    <n v="24"/>
    <s v="SÁBADO"/>
    <x v="7"/>
    <x v="7"/>
    <n v="594"/>
    <n v="198"/>
    <n v="100.98"/>
    <x v="0"/>
  </r>
  <r>
    <d v="2021-06-05T00:00:00"/>
    <x v="0"/>
    <n v="24"/>
    <s v="SÁBADO"/>
    <x v="0"/>
    <x v="0"/>
    <n v="48"/>
    <n v="48"/>
    <n v="19.200000000000003"/>
    <x v="0"/>
  </r>
  <r>
    <d v="2021-06-07T00:00:00"/>
    <x v="0"/>
    <n v="24"/>
    <s v="LUNES"/>
    <x v="5"/>
    <x v="5"/>
    <n v="162"/>
    <n v="162"/>
    <n v="27.540000000000003"/>
    <x v="0"/>
  </r>
  <r>
    <d v="2021-06-07T00:00:00"/>
    <x v="0"/>
    <n v="24"/>
    <s v="LUNES"/>
    <x v="4"/>
    <x v="4"/>
    <n v="324"/>
    <n v="162"/>
    <n v="55.080000000000005"/>
    <x v="0"/>
  </r>
  <r>
    <d v="2021-06-07T00:00:00"/>
    <x v="0"/>
    <n v="24"/>
    <s v="LUNES"/>
    <x v="1"/>
    <x v="1"/>
    <n v="396"/>
    <n v="198"/>
    <n v="67.320000000000007"/>
    <x v="0"/>
  </r>
  <r>
    <d v="2021-06-07T00:00:00"/>
    <x v="0"/>
    <n v="24"/>
    <s v="LUNES"/>
    <x v="6"/>
    <x v="6"/>
    <n v="960"/>
    <n v="120"/>
    <n v="163.20000000000002"/>
    <x v="0"/>
  </r>
  <r>
    <d v="2021-06-07T00:00:00"/>
    <x v="0"/>
    <n v="24"/>
    <s v="LUNES"/>
    <x v="2"/>
    <x v="2"/>
    <n v="1188"/>
    <n v="198"/>
    <n v="201.96"/>
    <x v="0"/>
  </r>
  <r>
    <d v="2021-06-07T00:00:00"/>
    <x v="0"/>
    <n v="24"/>
    <s v="LUNES"/>
    <x v="22"/>
    <x v="22"/>
    <n v="198"/>
    <n v="198"/>
    <n v="33.660000000000004"/>
    <x v="0"/>
  </r>
  <r>
    <d v="2021-06-07T00:00:00"/>
    <x v="0"/>
    <n v="24"/>
    <s v="LUNES"/>
    <x v="10"/>
    <x v="10"/>
    <n v="240"/>
    <n v="120"/>
    <n v="40.800000000000004"/>
    <x v="0"/>
  </r>
  <r>
    <d v="2021-06-07T00:00:00"/>
    <x v="0"/>
    <n v="24"/>
    <s v="LUNES"/>
    <x v="26"/>
    <x v="26"/>
    <n v="270"/>
    <n v="90"/>
    <n v="45.900000000000006"/>
    <x v="0"/>
  </r>
  <r>
    <d v="2021-06-07T00:00:00"/>
    <x v="0"/>
    <n v="24"/>
    <s v="LUNES"/>
    <x v="11"/>
    <x v="11"/>
    <n v="720"/>
    <n v="90"/>
    <n v="122.4"/>
    <x v="0"/>
  </r>
  <r>
    <d v="2021-06-07T00:00:00"/>
    <x v="0"/>
    <n v="24"/>
    <s v="LUNES"/>
    <x v="7"/>
    <x v="7"/>
    <n v="198"/>
    <n v="198"/>
    <n v="33.660000000000004"/>
    <x v="0"/>
  </r>
  <r>
    <d v="2021-06-07T00:00:00"/>
    <x v="0"/>
    <n v="24"/>
    <s v="LUNES"/>
    <x v="8"/>
    <x v="8"/>
    <n v="594"/>
    <n v="198"/>
    <n v="100.98"/>
    <x v="0"/>
  </r>
  <r>
    <d v="2021-06-07T00:00:00"/>
    <x v="0"/>
    <n v="24"/>
    <s v="LUNES"/>
    <x v="0"/>
    <x v="0"/>
    <n v="576"/>
    <n v="48"/>
    <n v="230.4"/>
    <x v="0"/>
  </r>
  <r>
    <d v="2021-06-07T00:00:00"/>
    <x v="0"/>
    <n v="24"/>
    <s v="LUNES"/>
    <x v="15"/>
    <x v="15"/>
    <n v="100"/>
    <n v="50"/>
    <n v="40"/>
    <x v="0"/>
  </r>
  <r>
    <d v="2021-06-07T00:00:00"/>
    <x v="0"/>
    <n v="24"/>
    <s v="LUNES"/>
    <x v="1"/>
    <x v="1"/>
    <n v="396"/>
    <n v="198"/>
    <n v="67.320000000000007"/>
    <x v="0"/>
  </r>
  <r>
    <d v="2021-06-07T00:00:00"/>
    <x v="0"/>
    <n v="24"/>
    <s v="LUNES"/>
    <x v="2"/>
    <x v="2"/>
    <n v="396"/>
    <n v="198"/>
    <n v="67.320000000000007"/>
    <x v="0"/>
  </r>
  <r>
    <d v="2021-06-07T00:00:00"/>
    <x v="0"/>
    <n v="24"/>
    <s v="LUNES"/>
    <x v="10"/>
    <x v="10"/>
    <n v="720"/>
    <n v="120"/>
    <n v="122.4"/>
    <x v="0"/>
  </r>
  <r>
    <d v="2021-06-07T00:00:00"/>
    <x v="0"/>
    <n v="24"/>
    <s v="LUNES"/>
    <x v="17"/>
    <x v="17"/>
    <n v="600"/>
    <n v="120"/>
    <n v="102.00000000000001"/>
    <x v="0"/>
  </r>
  <r>
    <d v="2021-06-07T00:00:00"/>
    <x v="0"/>
    <n v="24"/>
    <s v="LUNES"/>
    <x v="7"/>
    <x v="7"/>
    <n v="198"/>
    <n v="198"/>
    <n v="33.660000000000004"/>
    <x v="0"/>
  </r>
  <r>
    <d v="2021-06-07T00:00:00"/>
    <x v="0"/>
    <n v="24"/>
    <s v="LUNES"/>
    <x v="27"/>
    <x v="27"/>
    <n v="392"/>
    <n v="350"/>
    <n v="90.160000000000011"/>
    <x v="0"/>
  </r>
  <r>
    <d v="2021-06-07T00:00:00"/>
    <x v="0"/>
    <n v="24"/>
    <s v="LUNES"/>
    <x v="25"/>
    <x v="25"/>
    <n v="225"/>
    <n v="225"/>
    <n v="94.5"/>
    <x v="0"/>
  </r>
  <r>
    <d v="2021-06-07T00:00:00"/>
    <x v="0"/>
    <n v="24"/>
    <s v="LUNES"/>
    <x v="23"/>
    <x v="23"/>
    <n v="90"/>
    <n v="90"/>
    <n v="15.3"/>
    <x v="0"/>
  </r>
  <r>
    <d v="2021-06-08T00:00:00"/>
    <x v="0"/>
    <n v="24"/>
    <s v="MARTES"/>
    <x v="1"/>
    <x v="1"/>
    <n v="792"/>
    <n v="198"/>
    <n v="134.64000000000001"/>
    <x v="0"/>
  </r>
  <r>
    <d v="2021-06-08T00:00:00"/>
    <x v="0"/>
    <n v="24"/>
    <s v="MARTES"/>
    <x v="2"/>
    <x v="2"/>
    <n v="594"/>
    <n v="198"/>
    <n v="100.98"/>
    <x v="0"/>
  </r>
  <r>
    <d v="2021-06-08T00:00:00"/>
    <x v="0"/>
    <n v="24"/>
    <s v="MARTES"/>
    <x v="7"/>
    <x v="7"/>
    <n v="396"/>
    <n v="198"/>
    <n v="67.320000000000007"/>
    <x v="0"/>
  </r>
  <r>
    <d v="2021-06-08T00:00:00"/>
    <x v="0"/>
    <n v="24"/>
    <s v="MARTES"/>
    <x v="23"/>
    <x v="23"/>
    <n v="90"/>
    <n v="90"/>
    <n v="15.3"/>
    <x v="0"/>
  </r>
  <r>
    <d v="2021-06-08T00:00:00"/>
    <x v="0"/>
    <n v="24"/>
    <s v="MARTES"/>
    <x v="0"/>
    <x v="0"/>
    <n v="816"/>
    <n v="48"/>
    <n v="326.40000000000003"/>
    <x v="0"/>
  </r>
  <r>
    <d v="2021-06-08T00:00:00"/>
    <x v="0"/>
    <n v="24"/>
    <s v="MARTES"/>
    <x v="8"/>
    <x v="8"/>
    <n v="396"/>
    <n v="198"/>
    <n v="67.320000000000007"/>
    <x v="0"/>
  </r>
  <r>
    <d v="2021-06-08T00:00:00"/>
    <x v="0"/>
    <n v="24"/>
    <s v="MARTES"/>
    <x v="10"/>
    <x v="10"/>
    <n v="240"/>
    <n v="120"/>
    <n v="40.800000000000004"/>
    <x v="0"/>
  </r>
  <r>
    <d v="2021-06-08T00:00:00"/>
    <x v="0"/>
    <n v="24"/>
    <s v="MARTES"/>
    <x v="6"/>
    <x v="6"/>
    <n v="240"/>
    <n v="120"/>
    <n v="40.800000000000004"/>
    <x v="0"/>
  </r>
  <r>
    <d v="2021-06-08T00:00:00"/>
    <x v="0"/>
    <n v="24"/>
    <s v="MARTES"/>
    <x v="3"/>
    <x v="3"/>
    <n v="396"/>
    <n v="198"/>
    <n v="67.320000000000007"/>
    <x v="0"/>
  </r>
  <r>
    <d v="2021-06-08T00:00:00"/>
    <x v="0"/>
    <n v="24"/>
    <s v="MARTES"/>
    <x v="1"/>
    <x v="1"/>
    <n v="1584"/>
    <n v="198"/>
    <n v="269.28000000000003"/>
    <x v="0"/>
  </r>
  <r>
    <d v="2021-06-08T00:00:00"/>
    <x v="0"/>
    <n v="24"/>
    <s v="MARTES"/>
    <x v="5"/>
    <x v="5"/>
    <n v="162"/>
    <n v="162"/>
    <n v="27.540000000000003"/>
    <x v="0"/>
  </r>
  <r>
    <d v="2021-06-08T00:00:00"/>
    <x v="0"/>
    <n v="24"/>
    <s v="MARTES"/>
    <x v="12"/>
    <x v="12"/>
    <n v="225"/>
    <n v="225"/>
    <n v="90"/>
    <x v="0"/>
  </r>
  <r>
    <d v="2021-06-08T00:00:00"/>
    <x v="0"/>
    <n v="24"/>
    <s v="MARTES"/>
    <x v="17"/>
    <x v="17"/>
    <n v="240"/>
    <n v="120"/>
    <n v="40.800000000000004"/>
    <x v="0"/>
  </r>
  <r>
    <d v="2021-06-08T00:00:00"/>
    <x v="0"/>
    <n v="24"/>
    <s v="MARTES"/>
    <x v="7"/>
    <x v="7"/>
    <n v="792"/>
    <n v="198"/>
    <n v="134.64000000000001"/>
    <x v="0"/>
  </r>
  <r>
    <d v="2021-06-08T00:00:00"/>
    <x v="0"/>
    <n v="24"/>
    <s v="MARTES"/>
    <x v="16"/>
    <x v="16"/>
    <n v="180"/>
    <n v="180"/>
    <n v="75.599999999999994"/>
    <x v="0"/>
  </r>
  <r>
    <d v="2021-06-08T00:00:00"/>
    <x v="0"/>
    <n v="24"/>
    <s v="MARTES"/>
    <x v="28"/>
    <x v="28"/>
    <n v="30"/>
    <n v="30"/>
    <n v="6.9"/>
    <x v="0"/>
  </r>
  <r>
    <d v="2021-06-08T00:00:00"/>
    <x v="0"/>
    <n v="24"/>
    <s v="MARTES"/>
    <x v="25"/>
    <x v="25"/>
    <n v="2025"/>
    <n v="225"/>
    <n v="850.5"/>
    <x v="0"/>
  </r>
  <r>
    <d v="2021-06-08T00:00:00"/>
    <x v="0"/>
    <n v="24"/>
    <s v="MARTES"/>
    <x v="29"/>
    <x v="29"/>
    <n v="198"/>
    <n v="198"/>
    <n v="33.660000000000004"/>
    <x v="0"/>
  </r>
  <r>
    <d v="2021-06-09T00:00:00"/>
    <x v="0"/>
    <n v="24"/>
    <s v="MIÉRCOLES"/>
    <x v="1"/>
    <x v="1"/>
    <n v="792"/>
    <n v="198"/>
    <n v="134.64000000000001"/>
    <x v="0"/>
  </r>
  <r>
    <d v="2021-06-09T00:00:00"/>
    <x v="0"/>
    <n v="24"/>
    <s v="MIÉRCOLES"/>
    <x v="0"/>
    <x v="0"/>
    <n v="576"/>
    <n v="48"/>
    <n v="230.4"/>
    <x v="0"/>
  </r>
  <r>
    <d v="2021-06-09T00:00:00"/>
    <x v="0"/>
    <n v="24"/>
    <s v="MIÉRCOLES"/>
    <x v="16"/>
    <x v="16"/>
    <n v="540"/>
    <n v="180"/>
    <n v="226.79999999999998"/>
    <x v="0"/>
  </r>
  <r>
    <d v="2021-06-09T00:00:00"/>
    <x v="0"/>
    <n v="24"/>
    <s v="MIÉRCOLES"/>
    <x v="2"/>
    <x v="2"/>
    <n v="3366"/>
    <n v="198"/>
    <n v="572.22"/>
    <x v="0"/>
  </r>
  <r>
    <d v="2021-06-09T00:00:00"/>
    <x v="0"/>
    <n v="24"/>
    <s v="MIÉRCOLES"/>
    <x v="15"/>
    <x v="15"/>
    <n v="100"/>
    <n v="50"/>
    <n v="40"/>
    <x v="0"/>
  </r>
  <r>
    <d v="2021-06-09T00:00:00"/>
    <x v="0"/>
    <n v="24"/>
    <s v="MIÉRCOLES"/>
    <x v="5"/>
    <x v="5"/>
    <n v="810"/>
    <n v="162"/>
    <n v="137.70000000000002"/>
    <x v="0"/>
  </r>
  <r>
    <d v="2021-06-09T00:00:00"/>
    <x v="0"/>
    <n v="24"/>
    <s v="MIÉRCOLES"/>
    <x v="22"/>
    <x v="22"/>
    <n v="180"/>
    <n v="198"/>
    <n v="30.6"/>
    <x v="0"/>
  </r>
  <r>
    <d v="2021-06-09T00:00:00"/>
    <x v="0"/>
    <n v="24"/>
    <s v="MIÉRCOLES"/>
    <x v="3"/>
    <x v="3"/>
    <n v="594"/>
    <n v="198"/>
    <n v="100.98"/>
    <x v="0"/>
  </r>
  <r>
    <d v="2021-06-09T00:00:00"/>
    <x v="0"/>
    <n v="24"/>
    <s v="MIÉRCOLES"/>
    <x v="9"/>
    <x v="9"/>
    <n v="360"/>
    <n v="90"/>
    <n v="61.2"/>
    <x v="0"/>
  </r>
  <r>
    <d v="2021-06-09T00:00:00"/>
    <x v="0"/>
    <n v="24"/>
    <s v="MIÉRCOLES"/>
    <x v="4"/>
    <x v="4"/>
    <n v="324"/>
    <n v="162"/>
    <n v="55.080000000000005"/>
    <x v="0"/>
  </r>
  <r>
    <d v="2021-06-09T00:00:00"/>
    <x v="0"/>
    <n v="24"/>
    <s v="MIÉRCOLES"/>
    <x v="8"/>
    <x v="8"/>
    <n v="594"/>
    <n v="198"/>
    <n v="100.98"/>
    <x v="0"/>
  </r>
  <r>
    <d v="2021-06-09T00:00:00"/>
    <x v="0"/>
    <n v="24"/>
    <s v="MIÉRCOLES"/>
    <x v="17"/>
    <x v="17"/>
    <n v="720"/>
    <n v="120"/>
    <n v="122.4"/>
    <x v="0"/>
  </r>
  <r>
    <d v="2021-06-09T00:00:00"/>
    <x v="0"/>
    <n v="24"/>
    <s v="MIÉRCOLES"/>
    <x v="10"/>
    <x v="10"/>
    <n v="1200"/>
    <n v="120"/>
    <n v="204.00000000000003"/>
    <x v="0"/>
  </r>
  <r>
    <d v="2021-06-09T00:00:00"/>
    <x v="0"/>
    <n v="24"/>
    <s v="MIÉRCOLES"/>
    <x v="11"/>
    <x v="11"/>
    <n v="270"/>
    <n v="90"/>
    <n v="45.900000000000006"/>
    <x v="0"/>
  </r>
  <r>
    <d v="2021-06-09T00:00:00"/>
    <x v="0"/>
    <n v="24"/>
    <s v="MIÉRCOLES"/>
    <x v="23"/>
    <x v="23"/>
    <n v="180"/>
    <n v="90"/>
    <n v="30.6"/>
    <x v="0"/>
  </r>
  <r>
    <d v="2021-06-09T00:00:00"/>
    <x v="0"/>
    <n v="24"/>
    <s v="MIÉRCOLES"/>
    <x v="9"/>
    <x v="9"/>
    <n v="90"/>
    <n v="90"/>
    <n v="15.3"/>
    <x v="0"/>
  </r>
  <r>
    <d v="2021-06-09T00:00:00"/>
    <x v="0"/>
    <n v="24"/>
    <s v="MIÉRCOLES"/>
    <x v="1"/>
    <x v="1"/>
    <n v="396"/>
    <n v="198"/>
    <n v="67.320000000000007"/>
    <x v="0"/>
  </r>
  <r>
    <d v="2021-06-09T00:00:00"/>
    <x v="0"/>
    <n v="24"/>
    <s v="MIÉRCOLES"/>
    <x v="16"/>
    <x v="16"/>
    <n v="180"/>
    <n v="180"/>
    <n v="75.599999999999994"/>
    <x v="0"/>
  </r>
  <r>
    <d v="2021-06-09T00:00:00"/>
    <x v="0"/>
    <n v="24"/>
    <s v="MIÉRCOLES"/>
    <x v="8"/>
    <x v="8"/>
    <n v="396"/>
    <n v="198"/>
    <n v="67.320000000000007"/>
    <x v="0"/>
  </r>
  <r>
    <d v="2021-06-09T00:00:00"/>
    <x v="0"/>
    <n v="24"/>
    <s v="MIÉRCOLES"/>
    <x v="30"/>
    <x v="30"/>
    <n v="750"/>
    <n v="250"/>
    <n v="172.5"/>
    <x v="0"/>
  </r>
  <r>
    <d v="2021-06-09T00:00:00"/>
    <x v="0"/>
    <n v="24"/>
    <s v="MIÉRCOLES"/>
    <x v="7"/>
    <x v="7"/>
    <n v="396"/>
    <n v="198"/>
    <n v="67.320000000000007"/>
    <x v="0"/>
  </r>
  <r>
    <d v="2021-06-09T00:00:00"/>
    <x v="0"/>
    <n v="24"/>
    <s v="MIÉRCOLES"/>
    <x v="1"/>
    <x v="1"/>
    <n v="396"/>
    <n v="198"/>
    <n v="67.320000000000007"/>
    <x v="0"/>
  </r>
  <r>
    <d v="2021-06-09T00:00:00"/>
    <x v="0"/>
    <n v="24"/>
    <s v="MIÉRCOLES"/>
    <x v="16"/>
    <x v="16"/>
    <n v="180"/>
    <n v="180"/>
    <n v="75.599999999999994"/>
    <x v="0"/>
  </r>
  <r>
    <d v="2021-06-09T00:00:00"/>
    <x v="0"/>
    <n v="24"/>
    <s v="MIÉRCOLES"/>
    <x v="8"/>
    <x v="8"/>
    <n v="396"/>
    <n v="198"/>
    <n v="67.320000000000007"/>
    <x v="0"/>
  </r>
  <r>
    <d v="2021-06-09T00:00:00"/>
    <x v="0"/>
    <n v="24"/>
    <s v="MIÉRCOLES"/>
    <x v="30"/>
    <x v="30"/>
    <n v="750"/>
    <n v="250"/>
    <n v="172.5"/>
    <x v="0"/>
  </r>
  <r>
    <d v="2021-06-09T00:00:00"/>
    <x v="0"/>
    <n v="24"/>
    <s v="MIÉRCOLES"/>
    <x v="7"/>
    <x v="7"/>
    <n v="396"/>
    <n v="198"/>
    <n v="67.320000000000007"/>
    <x v="0"/>
  </r>
  <r>
    <d v="2021-06-10T00:00:00"/>
    <x v="0"/>
    <n v="24"/>
    <s v="JUEVES"/>
    <x v="1"/>
    <x v="1"/>
    <n v="396"/>
    <n v="198"/>
    <n v="67.320000000000007"/>
    <x v="0"/>
  </r>
  <r>
    <d v="2021-06-10T00:00:00"/>
    <x v="0"/>
    <n v="24"/>
    <s v="JUEVES"/>
    <x v="17"/>
    <x v="17"/>
    <n v="240"/>
    <n v="120"/>
    <n v="40.800000000000004"/>
    <x v="0"/>
  </r>
  <r>
    <d v="2021-06-10T00:00:00"/>
    <x v="0"/>
    <n v="24"/>
    <s v="JUEVES"/>
    <x v="24"/>
    <x v="24"/>
    <n v="420"/>
    <n v="420"/>
    <n v="176.4"/>
    <x v="0"/>
  </r>
  <r>
    <d v="2021-06-10T00:00:00"/>
    <x v="0"/>
    <n v="24"/>
    <s v="JUEVES"/>
    <x v="30"/>
    <x v="30"/>
    <n v="250"/>
    <n v="250"/>
    <n v="57.5"/>
    <x v="0"/>
  </r>
  <r>
    <d v="2021-06-10T00:00:00"/>
    <x v="0"/>
    <n v="24"/>
    <s v="JUEVES"/>
    <x v="1"/>
    <x v="1"/>
    <n v="1584"/>
    <n v="198"/>
    <n v="269.28000000000003"/>
    <x v="0"/>
  </r>
  <r>
    <d v="2021-06-10T00:00:00"/>
    <x v="0"/>
    <n v="24"/>
    <s v="JUEVES"/>
    <x v="11"/>
    <x v="11"/>
    <n v="1440"/>
    <n v="90"/>
    <n v="244.8"/>
    <x v="0"/>
  </r>
  <r>
    <d v="2021-06-10T00:00:00"/>
    <x v="0"/>
    <n v="24"/>
    <s v="JUEVES"/>
    <x v="6"/>
    <x v="6"/>
    <n v="240"/>
    <n v="120"/>
    <n v="40.800000000000004"/>
    <x v="0"/>
  </r>
  <r>
    <d v="2021-06-10T00:00:00"/>
    <x v="0"/>
    <n v="24"/>
    <s v="JUEVES"/>
    <x v="22"/>
    <x v="22"/>
    <n v="720"/>
    <n v="198"/>
    <n v="122.4"/>
    <x v="0"/>
  </r>
  <r>
    <d v="2021-06-10T00:00:00"/>
    <x v="0"/>
    <n v="24"/>
    <s v="JUEVES"/>
    <x v="10"/>
    <x v="10"/>
    <n v="960"/>
    <n v="120"/>
    <n v="163.20000000000002"/>
    <x v="0"/>
  </r>
  <r>
    <d v="2021-06-10T00:00:00"/>
    <x v="0"/>
    <n v="24"/>
    <s v="JUEVES"/>
    <x v="7"/>
    <x v="7"/>
    <n v="1188"/>
    <n v="198"/>
    <n v="201.96"/>
    <x v="0"/>
  </r>
  <r>
    <d v="2021-06-10T00:00:00"/>
    <x v="0"/>
    <n v="24"/>
    <s v="JUEVES"/>
    <x v="24"/>
    <x v="24"/>
    <n v="1680"/>
    <n v="420"/>
    <n v="705.6"/>
    <x v="0"/>
  </r>
  <r>
    <d v="2021-06-10T00:00:00"/>
    <x v="0"/>
    <n v="24"/>
    <s v="JUEVES"/>
    <x v="0"/>
    <x v="0"/>
    <n v="192"/>
    <n v="48"/>
    <n v="76.800000000000011"/>
    <x v="0"/>
  </r>
  <r>
    <d v="2021-06-10T00:00:00"/>
    <x v="0"/>
    <n v="24"/>
    <s v="JUEVES"/>
    <x v="25"/>
    <x v="25"/>
    <n v="1350"/>
    <n v="225"/>
    <n v="567"/>
    <x v="0"/>
  </r>
  <r>
    <d v="2021-06-10T00:00:00"/>
    <x v="0"/>
    <n v="24"/>
    <s v="JUEVES"/>
    <x v="30"/>
    <x v="30"/>
    <n v="1000"/>
    <n v="250"/>
    <n v="230"/>
    <x v="0"/>
  </r>
  <r>
    <d v="2021-06-11T00:00:00"/>
    <x v="0"/>
    <n v="24"/>
    <s v="VIERNES"/>
    <x v="1"/>
    <x v="1"/>
    <n v="396"/>
    <n v="198"/>
    <n v="67.320000000000007"/>
    <x v="0"/>
  </r>
  <r>
    <d v="2021-06-11T00:00:00"/>
    <x v="0"/>
    <n v="24"/>
    <s v="VIERNES"/>
    <x v="4"/>
    <x v="4"/>
    <n v="324"/>
    <n v="162"/>
    <n v="55.080000000000005"/>
    <x v="0"/>
  </r>
  <r>
    <d v="2021-06-11T00:00:00"/>
    <x v="0"/>
    <n v="24"/>
    <s v="VIERNES"/>
    <x v="6"/>
    <x v="6"/>
    <n v="2280"/>
    <n v="120"/>
    <n v="387.6"/>
    <x v="0"/>
  </r>
  <r>
    <d v="2021-06-11T00:00:00"/>
    <x v="0"/>
    <n v="24"/>
    <s v="VIERNES"/>
    <x v="9"/>
    <x v="9"/>
    <n v="450"/>
    <n v="90"/>
    <n v="76.5"/>
    <x v="0"/>
  </r>
  <r>
    <d v="2021-06-11T00:00:00"/>
    <x v="0"/>
    <n v="24"/>
    <s v="VIERNES"/>
    <x v="10"/>
    <x v="10"/>
    <n v="2640"/>
    <n v="120"/>
    <n v="448.8"/>
    <x v="0"/>
  </r>
  <r>
    <d v="2021-06-11T00:00:00"/>
    <x v="0"/>
    <n v="24"/>
    <s v="VIERNES"/>
    <x v="11"/>
    <x v="11"/>
    <n v="180"/>
    <n v="90"/>
    <n v="30.6"/>
    <x v="0"/>
  </r>
  <r>
    <d v="2021-06-11T00:00:00"/>
    <x v="0"/>
    <n v="24"/>
    <s v="VIERNES"/>
    <x v="26"/>
    <x v="26"/>
    <n v="180"/>
    <n v="90"/>
    <n v="30.6"/>
    <x v="0"/>
  </r>
  <r>
    <d v="2021-06-11T00:00:00"/>
    <x v="0"/>
    <n v="24"/>
    <s v="VIERNES"/>
    <x v="17"/>
    <x v="17"/>
    <n v="960"/>
    <n v="120"/>
    <n v="163.20000000000002"/>
    <x v="0"/>
  </r>
  <r>
    <d v="2021-06-11T00:00:00"/>
    <x v="0"/>
    <n v="24"/>
    <s v="VIERNES"/>
    <x v="11"/>
    <x v="11"/>
    <n v="450"/>
    <n v="90"/>
    <n v="76.5"/>
    <x v="0"/>
  </r>
  <r>
    <d v="2021-06-11T00:00:00"/>
    <x v="0"/>
    <n v="24"/>
    <s v="VIERNES"/>
    <x v="7"/>
    <x v="7"/>
    <n v="396"/>
    <n v="198"/>
    <n v="67.320000000000007"/>
    <x v="0"/>
  </r>
  <r>
    <d v="2021-06-11T00:00:00"/>
    <x v="0"/>
    <n v="24"/>
    <s v="VIERNES"/>
    <x v="24"/>
    <x v="24"/>
    <n v="1680"/>
    <n v="420"/>
    <n v="705.6"/>
    <x v="0"/>
  </r>
  <r>
    <d v="2021-06-11T00:00:00"/>
    <x v="0"/>
    <n v="24"/>
    <s v="VIERNES"/>
    <x v="8"/>
    <x v="8"/>
    <n v="792"/>
    <n v="198"/>
    <n v="134.64000000000001"/>
    <x v="0"/>
  </r>
  <r>
    <d v="2021-06-11T00:00:00"/>
    <x v="0"/>
    <n v="24"/>
    <s v="VIERNES"/>
    <x v="16"/>
    <x v="16"/>
    <n v="720"/>
    <n v="180"/>
    <n v="302.39999999999998"/>
    <x v="0"/>
  </r>
  <r>
    <d v="2021-06-11T00:00:00"/>
    <x v="0"/>
    <n v="24"/>
    <s v="VIERNES"/>
    <x v="0"/>
    <x v="0"/>
    <n v="288"/>
    <n v="48"/>
    <n v="115.2"/>
    <x v="0"/>
  </r>
  <r>
    <d v="2021-06-11T00:00:00"/>
    <x v="0"/>
    <n v="24"/>
    <s v="VIERNES"/>
    <x v="27"/>
    <x v="27"/>
    <n v="350"/>
    <n v="350"/>
    <n v="80.5"/>
    <x v="0"/>
  </r>
  <r>
    <d v="2021-06-11T00:00:00"/>
    <x v="0"/>
    <n v="24"/>
    <s v="VIERNES"/>
    <x v="15"/>
    <x v="15"/>
    <n v="150"/>
    <n v="50"/>
    <n v="60"/>
    <x v="0"/>
  </r>
  <r>
    <d v="2021-06-11T00:00:00"/>
    <x v="0"/>
    <n v="24"/>
    <s v="VIERNES"/>
    <x v="13"/>
    <x v="13"/>
    <n v="30"/>
    <n v="30"/>
    <n v="12"/>
    <x v="0"/>
  </r>
  <r>
    <d v="2021-06-11T00:00:00"/>
    <x v="0"/>
    <n v="24"/>
    <s v="VIERNES"/>
    <x v="31"/>
    <x v="31"/>
    <n v="150"/>
    <n v="90"/>
    <n v="25.500000000000004"/>
    <x v="0"/>
  </r>
  <r>
    <d v="2021-06-11T00:00:00"/>
    <x v="0"/>
    <n v="24"/>
    <s v="VIERNES"/>
    <x v="25"/>
    <x v="25"/>
    <n v="225"/>
    <n v="225"/>
    <n v="94.5"/>
    <x v="0"/>
  </r>
  <r>
    <d v="2021-06-11T00:00:00"/>
    <x v="0"/>
    <n v="24"/>
    <s v="VIERNES"/>
    <x v="12"/>
    <x v="12"/>
    <n v="225"/>
    <n v="225"/>
    <n v="90"/>
    <x v="0"/>
  </r>
  <r>
    <d v="2021-06-11T00:00:00"/>
    <x v="0"/>
    <n v="24"/>
    <s v="VIERNES"/>
    <x v="2"/>
    <x v="2"/>
    <n v="594"/>
    <n v="198"/>
    <n v="100.98"/>
    <x v="0"/>
  </r>
  <r>
    <d v="2021-06-11T00:00:00"/>
    <x v="0"/>
    <n v="24"/>
    <s v="VIERNES"/>
    <x v="24"/>
    <x v="24"/>
    <n v="1260"/>
    <n v="420"/>
    <n v="529.19999999999993"/>
    <x v="0"/>
  </r>
  <r>
    <d v="2021-06-11T00:00:00"/>
    <x v="0"/>
    <n v="24"/>
    <s v="VIERNES"/>
    <x v="16"/>
    <x v="16"/>
    <n v="180"/>
    <n v="180"/>
    <n v="75.599999999999994"/>
    <x v="0"/>
  </r>
  <r>
    <d v="2021-06-12T00:00:00"/>
    <x v="0"/>
    <n v="25"/>
    <s v="SÁBADO"/>
    <x v="0"/>
    <x v="0"/>
    <n v="96"/>
    <n v="48"/>
    <n v="38.400000000000006"/>
    <x v="0"/>
  </r>
  <r>
    <d v="2021-06-12T00:00:00"/>
    <x v="0"/>
    <n v="25"/>
    <s v="SÁBADO"/>
    <x v="27"/>
    <x v="27"/>
    <n v="350"/>
    <n v="350"/>
    <n v="80.5"/>
    <x v="0"/>
  </r>
  <r>
    <d v="2021-06-12T00:00:00"/>
    <x v="0"/>
    <n v="25"/>
    <s v="SÁBADO"/>
    <x v="24"/>
    <x v="24"/>
    <n v="840"/>
    <n v="420"/>
    <n v="352.8"/>
    <x v="0"/>
  </r>
  <r>
    <d v="2021-06-12T00:00:00"/>
    <x v="0"/>
    <n v="25"/>
    <s v="SÁBADO"/>
    <x v="1"/>
    <x v="1"/>
    <n v="2970"/>
    <n v="198"/>
    <n v="504.90000000000003"/>
    <x v="0"/>
  </r>
  <r>
    <d v="2021-06-12T00:00:00"/>
    <x v="0"/>
    <n v="25"/>
    <s v="SÁBADO"/>
    <x v="2"/>
    <x v="2"/>
    <n v="1980"/>
    <n v="198"/>
    <n v="336.6"/>
    <x v="0"/>
  </r>
  <r>
    <d v="2021-06-12T00:00:00"/>
    <x v="0"/>
    <n v="25"/>
    <s v="SÁBADO"/>
    <x v="20"/>
    <x v="20"/>
    <n v="180"/>
    <n v="90"/>
    <n v="30.6"/>
    <x v="0"/>
  </r>
  <r>
    <d v="2021-06-12T00:00:00"/>
    <x v="0"/>
    <n v="25"/>
    <s v="SÁBADO"/>
    <x v="22"/>
    <x v="22"/>
    <n v="1188"/>
    <n v="198"/>
    <n v="201.96"/>
    <x v="0"/>
  </r>
  <r>
    <d v="2021-06-12T00:00:00"/>
    <x v="0"/>
    <n v="25"/>
    <s v="SÁBADO"/>
    <x v="3"/>
    <x v="3"/>
    <n v="396"/>
    <n v="198"/>
    <n v="67.320000000000007"/>
    <x v="0"/>
  </r>
  <r>
    <d v="2021-06-12T00:00:00"/>
    <x v="0"/>
    <n v="25"/>
    <s v="SÁBADO"/>
    <x v="9"/>
    <x v="9"/>
    <n v="720"/>
    <n v="90"/>
    <n v="122.4"/>
    <x v="0"/>
  </r>
  <r>
    <d v="2021-06-12T00:00:00"/>
    <x v="0"/>
    <n v="25"/>
    <s v="SÁBADO"/>
    <x v="4"/>
    <x v="4"/>
    <n v="162"/>
    <n v="162"/>
    <n v="27.540000000000003"/>
    <x v="0"/>
  </r>
  <r>
    <d v="2021-06-12T00:00:00"/>
    <x v="0"/>
    <n v="25"/>
    <s v="SÁBADO"/>
    <x v="26"/>
    <x v="26"/>
    <n v="180"/>
    <n v="90"/>
    <n v="30.6"/>
    <x v="0"/>
  </r>
  <r>
    <d v="2021-06-12T00:00:00"/>
    <x v="0"/>
    <n v="25"/>
    <s v="SÁBADO"/>
    <x v="10"/>
    <x v="10"/>
    <n v="960"/>
    <n v="120"/>
    <n v="163.20000000000002"/>
    <x v="0"/>
  </r>
  <r>
    <d v="2021-06-12T00:00:00"/>
    <x v="0"/>
    <n v="25"/>
    <s v="SÁBADO"/>
    <x v="17"/>
    <x v="17"/>
    <n v="480"/>
    <n v="120"/>
    <n v="81.600000000000009"/>
    <x v="0"/>
  </r>
  <r>
    <d v="2021-06-12T00:00:00"/>
    <x v="0"/>
    <n v="25"/>
    <s v="SÁBADO"/>
    <x v="23"/>
    <x v="23"/>
    <n v="180"/>
    <n v="90"/>
    <n v="30.6"/>
    <x v="0"/>
  </r>
  <r>
    <d v="2021-06-12T00:00:00"/>
    <x v="0"/>
    <n v="25"/>
    <s v="SÁBADO"/>
    <x v="11"/>
    <x v="11"/>
    <n v="720"/>
    <n v="90"/>
    <n v="122.4"/>
    <x v="0"/>
  </r>
  <r>
    <d v="2021-06-12T00:00:00"/>
    <x v="0"/>
    <n v="25"/>
    <s v="SÁBADO"/>
    <x v="7"/>
    <x v="7"/>
    <n v="396"/>
    <n v="198"/>
    <n v="67.320000000000007"/>
    <x v="0"/>
  </r>
  <r>
    <d v="2021-06-12T00:00:00"/>
    <x v="0"/>
    <n v="25"/>
    <s v="SÁBADO"/>
    <x v="16"/>
    <x v="16"/>
    <n v="900"/>
    <n v="180"/>
    <n v="378"/>
    <x v="0"/>
  </r>
  <r>
    <d v="2021-06-13T00:00:00"/>
    <x v="0"/>
    <n v="25"/>
    <s v="DOMINGO"/>
    <x v="1"/>
    <x v="1"/>
    <n v="3168"/>
    <n v="198"/>
    <n v="538.56000000000006"/>
    <x v="0"/>
  </r>
  <r>
    <d v="2021-06-13T00:00:00"/>
    <x v="0"/>
    <n v="25"/>
    <s v="DOMINGO"/>
    <x v="2"/>
    <x v="2"/>
    <n v="2970"/>
    <n v="198"/>
    <n v="504.90000000000003"/>
    <x v="0"/>
  </r>
  <r>
    <d v="2021-06-13T00:00:00"/>
    <x v="0"/>
    <n v="25"/>
    <s v="DOMINGO"/>
    <x v="22"/>
    <x v="22"/>
    <n v="1584"/>
    <n v="198"/>
    <n v="269.28000000000003"/>
    <x v="0"/>
  </r>
  <r>
    <d v="2021-06-13T00:00:00"/>
    <x v="0"/>
    <n v="25"/>
    <s v="DOMINGO"/>
    <x v="3"/>
    <x v="3"/>
    <n v="198"/>
    <n v="198"/>
    <n v="33.660000000000004"/>
    <x v="0"/>
  </r>
  <r>
    <d v="2021-06-13T00:00:00"/>
    <x v="0"/>
    <n v="25"/>
    <s v="DOMINGO"/>
    <x v="7"/>
    <x v="7"/>
    <n v="1584"/>
    <n v="198"/>
    <n v="269.28000000000003"/>
    <x v="0"/>
  </r>
  <r>
    <d v="2021-06-13T00:00:00"/>
    <x v="0"/>
    <n v="25"/>
    <s v="DOMINGO"/>
    <x v="8"/>
    <x v="8"/>
    <n v="990"/>
    <n v="198"/>
    <n v="168.3"/>
    <x v="0"/>
  </r>
  <r>
    <d v="2021-06-13T00:00:00"/>
    <x v="0"/>
    <n v="25"/>
    <s v="DOMINGO"/>
    <x v="4"/>
    <x v="4"/>
    <n v="324"/>
    <n v="162"/>
    <n v="55.080000000000005"/>
    <x v="0"/>
  </r>
  <r>
    <d v="2021-06-13T00:00:00"/>
    <x v="0"/>
    <n v="25"/>
    <s v="DOMINGO"/>
    <x v="25"/>
    <x v="25"/>
    <n v="675"/>
    <n v="225"/>
    <n v="283.5"/>
    <x v="0"/>
  </r>
  <r>
    <d v="2021-06-13T00:00:00"/>
    <x v="0"/>
    <n v="25"/>
    <s v="DOMINGO"/>
    <x v="24"/>
    <x v="24"/>
    <n v="420"/>
    <n v="420"/>
    <n v="176.4"/>
    <x v="0"/>
  </r>
  <r>
    <d v="2021-06-13T00:00:00"/>
    <x v="0"/>
    <n v="25"/>
    <s v="DOMINGO"/>
    <x v="16"/>
    <x v="16"/>
    <n v="360"/>
    <n v="180"/>
    <n v="151.19999999999999"/>
    <x v="0"/>
  </r>
  <r>
    <d v="2021-06-13T00:00:00"/>
    <x v="0"/>
    <n v="25"/>
    <s v="DOMINGO"/>
    <x v="15"/>
    <x v="15"/>
    <n v="50"/>
    <n v="50"/>
    <n v="20"/>
    <x v="0"/>
  </r>
  <r>
    <d v="2021-06-13T00:00:00"/>
    <x v="0"/>
    <n v="25"/>
    <s v="DOMINGO"/>
    <x v="14"/>
    <x v="14"/>
    <n v="40"/>
    <n v="40"/>
    <n v="9.2000000000000011"/>
    <x v="0"/>
  </r>
  <r>
    <d v="2021-06-14T00:00:00"/>
    <x v="0"/>
    <n v="25"/>
    <s v="LUNES"/>
    <x v="20"/>
    <x v="20"/>
    <n v="450"/>
    <n v="90"/>
    <n v="76.5"/>
    <x v="0"/>
  </r>
  <r>
    <d v="2021-06-14T00:00:00"/>
    <x v="0"/>
    <n v="25"/>
    <s v="LUNES"/>
    <x v="4"/>
    <x v="4"/>
    <n v="324"/>
    <n v="162"/>
    <n v="55.080000000000005"/>
    <x v="0"/>
  </r>
  <r>
    <d v="2021-06-14T00:00:00"/>
    <x v="0"/>
    <n v="25"/>
    <s v="LUNES"/>
    <x v="28"/>
    <x v="28"/>
    <n v="30"/>
    <n v="30"/>
    <n v="6.9"/>
    <x v="0"/>
  </r>
  <r>
    <d v="2021-06-14T00:00:00"/>
    <x v="0"/>
    <n v="25"/>
    <s v="LUNES"/>
    <x v="13"/>
    <x v="13"/>
    <n v="60"/>
    <n v="30"/>
    <n v="24"/>
    <x v="0"/>
  </r>
  <r>
    <d v="2021-06-14T00:00:00"/>
    <x v="0"/>
    <n v="25"/>
    <s v="LUNES"/>
    <x v="15"/>
    <x v="15"/>
    <n v="250"/>
    <n v="50"/>
    <n v="100"/>
    <x v="0"/>
  </r>
  <r>
    <d v="2021-06-14T00:00:00"/>
    <x v="0"/>
    <n v="25"/>
    <s v="LUNES"/>
    <x v="0"/>
    <x v="0"/>
    <n v="480"/>
    <n v="48"/>
    <n v="192"/>
    <x v="0"/>
  </r>
  <r>
    <d v="2021-06-14T00:00:00"/>
    <x v="0"/>
    <n v="25"/>
    <s v="LUNES"/>
    <x v="24"/>
    <x v="24"/>
    <n v="1680"/>
    <n v="420"/>
    <n v="705.6"/>
    <x v="0"/>
  </r>
  <r>
    <d v="2021-06-14T00:00:00"/>
    <x v="0"/>
    <n v="25"/>
    <s v="LUNES"/>
    <x v="16"/>
    <x v="16"/>
    <n v="900"/>
    <n v="180"/>
    <n v="378"/>
    <x v="0"/>
  </r>
  <r>
    <d v="2021-06-14T00:00:00"/>
    <x v="0"/>
    <n v="25"/>
    <s v="LUNES"/>
    <x v="17"/>
    <x v="17"/>
    <n v="1800"/>
    <n v="120"/>
    <n v="306"/>
    <x v="0"/>
  </r>
  <r>
    <d v="2021-06-14T00:00:00"/>
    <x v="0"/>
    <n v="25"/>
    <s v="LUNES"/>
    <x v="7"/>
    <x v="7"/>
    <n v="594"/>
    <n v="198"/>
    <n v="100.98"/>
    <x v="0"/>
  </r>
  <r>
    <d v="2021-06-14T00:00:00"/>
    <x v="0"/>
    <n v="25"/>
    <s v="LUNES"/>
    <x v="8"/>
    <x v="8"/>
    <n v="792"/>
    <n v="198"/>
    <n v="134.64000000000001"/>
    <x v="0"/>
  </r>
  <r>
    <d v="2021-06-14T00:00:00"/>
    <x v="0"/>
    <n v="25"/>
    <s v="LUNES"/>
    <x v="10"/>
    <x v="10"/>
    <n v="1920"/>
    <n v="120"/>
    <n v="326.40000000000003"/>
    <x v="0"/>
  </r>
  <r>
    <d v="2021-06-14T00:00:00"/>
    <x v="0"/>
    <n v="25"/>
    <s v="LUNES"/>
    <x v="23"/>
    <x v="23"/>
    <n v="990"/>
    <n v="90"/>
    <n v="168.3"/>
    <x v="0"/>
  </r>
  <r>
    <d v="2021-06-14T00:00:00"/>
    <x v="0"/>
    <n v="25"/>
    <s v="LUNES"/>
    <x v="11"/>
    <x v="11"/>
    <n v="720"/>
    <n v="90"/>
    <n v="122.4"/>
    <x v="0"/>
  </r>
  <r>
    <d v="2021-06-14T00:00:00"/>
    <x v="0"/>
    <n v="25"/>
    <s v="LUNES"/>
    <x v="5"/>
    <x v="5"/>
    <n v="324"/>
    <n v="162"/>
    <n v="55.080000000000005"/>
    <x v="0"/>
  </r>
  <r>
    <d v="2021-06-15T00:00:00"/>
    <x v="0"/>
    <n v="25"/>
    <s v="MARTES"/>
    <x v="28"/>
    <x v="28"/>
    <n v="30"/>
    <n v="30"/>
    <n v="6.9"/>
    <x v="0"/>
  </r>
  <r>
    <d v="2021-06-15T00:00:00"/>
    <x v="0"/>
    <n v="25"/>
    <s v="MARTES"/>
    <x v="13"/>
    <x v="13"/>
    <n v="90"/>
    <n v="30"/>
    <n v="36"/>
    <x v="0"/>
  </r>
  <r>
    <d v="2021-06-15T00:00:00"/>
    <x v="0"/>
    <n v="25"/>
    <s v="MARTES"/>
    <x v="26"/>
    <x v="26"/>
    <n v="540"/>
    <n v="90"/>
    <n v="91.800000000000011"/>
    <x v="0"/>
  </r>
  <r>
    <d v="2021-06-15T00:00:00"/>
    <x v="0"/>
    <n v="25"/>
    <s v="MARTES"/>
    <x v="17"/>
    <x v="17"/>
    <n v="480"/>
    <n v="120"/>
    <n v="81.600000000000009"/>
    <x v="0"/>
  </r>
  <r>
    <d v="2021-06-15T00:00:00"/>
    <x v="0"/>
    <n v="25"/>
    <s v="MARTES"/>
    <x v="11"/>
    <x v="11"/>
    <n v="540"/>
    <n v="90"/>
    <n v="91.800000000000011"/>
    <x v="0"/>
  </r>
  <r>
    <d v="2021-06-15T00:00:00"/>
    <x v="0"/>
    <n v="25"/>
    <s v="MARTES"/>
    <x v="24"/>
    <x v="24"/>
    <n v="2100"/>
    <n v="420"/>
    <n v="882"/>
    <x v="0"/>
  </r>
  <r>
    <d v="2021-06-15T00:00:00"/>
    <x v="0"/>
    <n v="25"/>
    <s v="MARTES"/>
    <x v="0"/>
    <x v="0"/>
    <n v="672"/>
    <n v="48"/>
    <n v="268.8"/>
    <x v="0"/>
  </r>
  <r>
    <d v="2021-06-15T00:00:00"/>
    <x v="0"/>
    <n v="25"/>
    <s v="MARTES"/>
    <x v="2"/>
    <x v="2"/>
    <n v="1584"/>
    <n v="198"/>
    <n v="269.28000000000003"/>
    <x v="0"/>
  </r>
  <r>
    <d v="2021-06-15T00:00:00"/>
    <x v="0"/>
    <n v="25"/>
    <s v="MARTES"/>
    <x v="30"/>
    <x v="30"/>
    <n v="250"/>
    <n v="250"/>
    <n v="57.5"/>
    <x v="0"/>
  </r>
  <r>
    <d v="2021-06-15T00:00:00"/>
    <x v="0"/>
    <n v="25"/>
    <s v="MARTES"/>
    <x v="15"/>
    <x v="15"/>
    <n v="100"/>
    <n v="50"/>
    <n v="40"/>
    <x v="0"/>
  </r>
  <r>
    <d v="2021-06-15T00:00:00"/>
    <x v="0"/>
    <n v="25"/>
    <s v="MARTES"/>
    <x v="6"/>
    <x v="6"/>
    <n v="1080"/>
    <n v="120"/>
    <n v="183.60000000000002"/>
    <x v="0"/>
  </r>
  <r>
    <d v="2021-06-15T00:00:00"/>
    <x v="0"/>
    <n v="25"/>
    <s v="MARTES"/>
    <x v="5"/>
    <x v="5"/>
    <n v="162"/>
    <n v="162"/>
    <n v="27.540000000000003"/>
    <x v="0"/>
  </r>
  <r>
    <d v="2021-06-15T00:00:00"/>
    <x v="0"/>
    <n v="25"/>
    <s v="MARTES"/>
    <x v="22"/>
    <x v="22"/>
    <n v="198"/>
    <n v="198"/>
    <n v="33.660000000000004"/>
    <x v="0"/>
  </r>
  <r>
    <d v="2021-06-15T00:00:00"/>
    <x v="0"/>
    <n v="25"/>
    <s v="MARTES"/>
    <x v="4"/>
    <x v="4"/>
    <n v="648"/>
    <n v="162"/>
    <n v="110.16000000000001"/>
    <x v="0"/>
  </r>
  <r>
    <d v="2021-06-15T00:00:00"/>
    <x v="0"/>
    <n v="25"/>
    <s v="MARTES"/>
    <x v="7"/>
    <x v="7"/>
    <n v="396"/>
    <n v="198"/>
    <n v="67.320000000000007"/>
    <x v="0"/>
  </r>
  <r>
    <d v="2021-06-15T00:00:00"/>
    <x v="0"/>
    <n v="25"/>
    <s v="MARTES"/>
    <x v="8"/>
    <x v="8"/>
    <n v="1180"/>
    <n v="198"/>
    <n v="200.60000000000002"/>
    <x v="0"/>
  </r>
  <r>
    <d v="2021-06-15T00:00:00"/>
    <x v="0"/>
    <n v="25"/>
    <s v="MARTES"/>
    <x v="17"/>
    <x v="17"/>
    <n v="840"/>
    <n v="120"/>
    <n v="142.80000000000001"/>
    <x v="0"/>
  </r>
  <r>
    <d v="2021-06-15T00:00:00"/>
    <x v="0"/>
    <n v="25"/>
    <s v="MARTES"/>
    <x v="10"/>
    <x v="10"/>
    <n v="960"/>
    <n v="120"/>
    <n v="163.20000000000002"/>
    <x v="0"/>
  </r>
  <r>
    <d v="2021-06-15T00:00:00"/>
    <x v="0"/>
    <n v="25"/>
    <s v="MARTES"/>
    <x v="11"/>
    <x v="11"/>
    <n v="720"/>
    <n v="90"/>
    <n v="122.4"/>
    <x v="0"/>
  </r>
  <r>
    <d v="2021-06-15T00:00:00"/>
    <x v="0"/>
    <n v="25"/>
    <s v="MARTES"/>
    <x v="23"/>
    <x v="23"/>
    <n v="360"/>
    <n v="90"/>
    <n v="61.2"/>
    <x v="0"/>
  </r>
  <r>
    <d v="2021-06-15T00:00:00"/>
    <x v="0"/>
    <n v="25"/>
    <s v="MARTES"/>
    <x v="26"/>
    <x v="26"/>
    <n v="270"/>
    <n v="90"/>
    <n v="45.900000000000006"/>
    <x v="0"/>
  </r>
  <r>
    <d v="2021-06-15T00:00:00"/>
    <x v="0"/>
    <n v="25"/>
    <s v="MARTES"/>
    <x v="0"/>
    <x v="0"/>
    <n v="336"/>
    <n v="48"/>
    <n v="134.4"/>
    <x v="0"/>
  </r>
  <r>
    <d v="2021-06-15T00:00:00"/>
    <x v="0"/>
    <n v="25"/>
    <s v="MARTES"/>
    <x v="23"/>
    <x v="23"/>
    <n v="180"/>
    <n v="90"/>
    <n v="30.6"/>
    <x v="0"/>
  </r>
  <r>
    <d v="2021-06-15T00:00:00"/>
    <x v="0"/>
    <n v="25"/>
    <s v="MARTES"/>
    <x v="6"/>
    <x v="6"/>
    <n v="1440"/>
    <n v="120"/>
    <n v="244.8"/>
    <x v="0"/>
  </r>
  <r>
    <d v="2021-06-15T00:00:00"/>
    <x v="0"/>
    <n v="25"/>
    <s v="MARTES"/>
    <x v="10"/>
    <x v="10"/>
    <n v="1680"/>
    <n v="120"/>
    <n v="285.60000000000002"/>
    <x v="0"/>
  </r>
  <r>
    <d v="2021-06-15T00:00:00"/>
    <x v="0"/>
    <n v="25"/>
    <s v="MARTES"/>
    <x v="3"/>
    <x v="3"/>
    <n v="792"/>
    <n v="198"/>
    <n v="134.64000000000001"/>
    <x v="0"/>
  </r>
  <r>
    <d v="2021-06-15T00:00:00"/>
    <x v="0"/>
    <n v="25"/>
    <s v="MARTES"/>
    <x v="12"/>
    <x v="12"/>
    <n v="1125"/>
    <n v="225"/>
    <n v="450"/>
    <x v="0"/>
  </r>
  <r>
    <d v="2021-06-15T00:00:00"/>
    <x v="0"/>
    <n v="25"/>
    <s v="MARTES"/>
    <x v="16"/>
    <x v="16"/>
    <n v="540"/>
    <n v="180"/>
    <n v="226.79999999999998"/>
    <x v="0"/>
  </r>
  <r>
    <d v="2021-06-15T00:00:00"/>
    <x v="0"/>
    <n v="25"/>
    <s v="MARTES"/>
    <x v="24"/>
    <x v="24"/>
    <n v="2520"/>
    <n v="420"/>
    <n v="1058.3999999999999"/>
    <x v="0"/>
  </r>
  <r>
    <d v="2021-06-15T00:00:00"/>
    <x v="0"/>
    <n v="25"/>
    <s v="MARTES"/>
    <x v="7"/>
    <x v="7"/>
    <n v="1584"/>
    <n v="198"/>
    <n v="269.28000000000003"/>
    <x v="0"/>
  </r>
  <r>
    <d v="2021-06-15T00:00:00"/>
    <x v="0"/>
    <n v="25"/>
    <s v="MARTES"/>
    <x v="8"/>
    <x v="8"/>
    <n v="990"/>
    <n v="198"/>
    <n v="168.3"/>
    <x v="0"/>
  </r>
  <r>
    <d v="2021-06-15T00:00:00"/>
    <x v="0"/>
    <n v="25"/>
    <s v="MARTES"/>
    <x v="1"/>
    <x v="1"/>
    <n v="1188"/>
    <n v="198"/>
    <n v="201.96"/>
    <x v="0"/>
  </r>
  <r>
    <d v="2021-06-15T00:00:00"/>
    <x v="0"/>
    <n v="25"/>
    <s v="MARTES"/>
    <x v="4"/>
    <x v="4"/>
    <n v="324"/>
    <n v="162"/>
    <n v="55.080000000000005"/>
    <x v="0"/>
  </r>
  <r>
    <d v="2021-06-15T00:00:00"/>
    <x v="0"/>
    <n v="25"/>
    <s v="MARTES"/>
    <x v="27"/>
    <x v="27"/>
    <n v="350"/>
    <n v="350"/>
    <n v="80.5"/>
    <x v="0"/>
  </r>
  <r>
    <d v="2021-06-15T00:00:00"/>
    <x v="0"/>
    <n v="25"/>
    <s v="MARTES"/>
    <x v="22"/>
    <x v="22"/>
    <n v="198"/>
    <n v="198"/>
    <n v="33.660000000000004"/>
    <x v="0"/>
  </r>
  <r>
    <d v="2021-06-15T00:00:00"/>
    <x v="0"/>
    <n v="25"/>
    <s v="MARTES"/>
    <x v="19"/>
    <x v="19"/>
    <n v="450"/>
    <n v="225"/>
    <n v="180"/>
    <x v="0"/>
  </r>
  <r>
    <d v="2021-06-15T00:00:00"/>
    <x v="0"/>
    <n v="25"/>
    <s v="MARTES"/>
    <x v="0"/>
    <x v="0"/>
    <n v="672"/>
    <n v="48"/>
    <n v="268.8"/>
    <x v="0"/>
  </r>
  <r>
    <d v="2021-06-15T00:00:00"/>
    <x v="0"/>
    <n v="25"/>
    <s v="MARTES"/>
    <x v="2"/>
    <x v="2"/>
    <n v="1584"/>
    <n v="198"/>
    <n v="269.28000000000003"/>
    <x v="0"/>
  </r>
  <r>
    <d v="2021-06-15T00:00:00"/>
    <x v="0"/>
    <n v="25"/>
    <s v="MARTES"/>
    <x v="15"/>
    <x v="15"/>
    <n v="100"/>
    <n v="50"/>
    <n v="40"/>
    <x v="0"/>
  </r>
  <r>
    <d v="2021-06-15T00:00:00"/>
    <x v="0"/>
    <n v="25"/>
    <s v="MARTES"/>
    <x v="6"/>
    <x v="6"/>
    <n v="1080"/>
    <n v="120"/>
    <n v="183.60000000000002"/>
    <x v="0"/>
  </r>
  <r>
    <d v="2021-06-15T00:00:00"/>
    <x v="0"/>
    <n v="25"/>
    <s v="MARTES"/>
    <x v="5"/>
    <x v="5"/>
    <n v="162"/>
    <n v="162"/>
    <n v="27.540000000000003"/>
    <x v="0"/>
  </r>
  <r>
    <d v="2021-06-15T00:00:00"/>
    <x v="0"/>
    <n v="25"/>
    <s v="MARTES"/>
    <x v="22"/>
    <x v="22"/>
    <n v="198"/>
    <n v="198"/>
    <n v="33.660000000000004"/>
    <x v="0"/>
  </r>
  <r>
    <d v="2021-06-15T00:00:00"/>
    <x v="0"/>
    <n v="25"/>
    <s v="MARTES"/>
    <x v="4"/>
    <x v="4"/>
    <n v="648"/>
    <n v="162"/>
    <n v="110.16000000000001"/>
    <x v="0"/>
  </r>
  <r>
    <d v="2021-06-15T00:00:00"/>
    <x v="0"/>
    <n v="25"/>
    <s v="MARTES"/>
    <x v="8"/>
    <x v="8"/>
    <n v="1188"/>
    <n v="198"/>
    <n v="201.96"/>
    <x v="0"/>
  </r>
  <r>
    <d v="2021-06-15T00:00:00"/>
    <x v="0"/>
    <n v="25"/>
    <s v="MARTES"/>
    <x v="17"/>
    <x v="17"/>
    <n v="840"/>
    <n v="120"/>
    <n v="142.80000000000001"/>
    <x v="0"/>
  </r>
  <r>
    <d v="2021-06-15T00:00:00"/>
    <x v="0"/>
    <n v="25"/>
    <s v="MARTES"/>
    <x v="10"/>
    <x v="10"/>
    <n v="960"/>
    <n v="120"/>
    <n v="163.20000000000002"/>
    <x v="0"/>
  </r>
  <r>
    <d v="2021-06-15T00:00:00"/>
    <x v="0"/>
    <n v="25"/>
    <s v="MARTES"/>
    <x v="11"/>
    <x v="11"/>
    <n v="720"/>
    <n v="90"/>
    <n v="122.4"/>
    <x v="0"/>
  </r>
  <r>
    <d v="2021-06-15T00:00:00"/>
    <x v="0"/>
    <n v="25"/>
    <s v="MARTES"/>
    <x v="23"/>
    <x v="23"/>
    <n v="360"/>
    <n v="90"/>
    <n v="61.2"/>
    <x v="0"/>
  </r>
  <r>
    <d v="2021-06-15T00:00:00"/>
    <x v="0"/>
    <n v="25"/>
    <s v="MARTES"/>
    <x v="26"/>
    <x v="26"/>
    <n v="270"/>
    <n v="90"/>
    <n v="45.900000000000006"/>
    <x v="0"/>
  </r>
  <r>
    <d v="2021-06-15T00:00:00"/>
    <x v="0"/>
    <n v="25"/>
    <s v="MARTES"/>
    <x v="7"/>
    <x v="7"/>
    <n v="396"/>
    <n v="198"/>
    <n v="67.320000000000007"/>
    <x v="0"/>
  </r>
  <r>
    <d v="2021-06-16T00:00:00"/>
    <x v="0"/>
    <n v="25"/>
    <s v="MIÉRCOLES"/>
    <x v="1"/>
    <x v="1"/>
    <n v="396"/>
    <n v="198"/>
    <n v="67.320000000000007"/>
    <x v="0"/>
  </r>
  <r>
    <d v="2021-06-16T00:00:00"/>
    <x v="0"/>
    <n v="25"/>
    <s v="MIÉRCOLES"/>
    <x v="5"/>
    <x v="5"/>
    <n v="162"/>
    <n v="162"/>
    <n v="27.540000000000003"/>
    <x v="0"/>
  </r>
  <r>
    <d v="2021-06-16T00:00:00"/>
    <x v="0"/>
    <n v="25"/>
    <s v="MIÉRCOLES"/>
    <x v="4"/>
    <x v="4"/>
    <n v="648"/>
    <n v="162"/>
    <n v="110.16000000000001"/>
    <x v="0"/>
  </r>
  <r>
    <d v="2021-06-16T00:00:00"/>
    <x v="0"/>
    <n v="25"/>
    <s v="MIÉRCOLES"/>
    <x v="6"/>
    <x v="6"/>
    <n v="960"/>
    <n v="120"/>
    <n v="163.20000000000002"/>
    <x v="0"/>
  </r>
  <r>
    <d v="2021-06-16T00:00:00"/>
    <x v="0"/>
    <n v="25"/>
    <s v="MIÉRCOLES"/>
    <x v="22"/>
    <x v="22"/>
    <n v="990"/>
    <n v="198"/>
    <n v="168.3"/>
    <x v="0"/>
  </r>
  <r>
    <d v="2021-06-16T00:00:00"/>
    <x v="0"/>
    <n v="25"/>
    <s v="MIÉRCOLES"/>
    <x v="3"/>
    <x v="3"/>
    <n v="198"/>
    <n v="198"/>
    <n v="33.660000000000004"/>
    <x v="0"/>
  </r>
  <r>
    <d v="2021-06-16T00:00:00"/>
    <x v="0"/>
    <n v="25"/>
    <s v="MIÉRCOLES"/>
    <x v="9"/>
    <x v="9"/>
    <n v="720"/>
    <n v="90"/>
    <n v="122.4"/>
    <x v="0"/>
  </r>
  <r>
    <d v="2021-06-16T00:00:00"/>
    <x v="0"/>
    <n v="25"/>
    <s v="MIÉRCOLES"/>
    <x v="10"/>
    <x v="10"/>
    <n v="1200"/>
    <n v="120"/>
    <n v="204.00000000000003"/>
    <x v="0"/>
  </r>
  <r>
    <d v="2021-06-16T00:00:00"/>
    <x v="0"/>
    <n v="25"/>
    <s v="MIÉRCOLES"/>
    <x v="23"/>
    <x v="23"/>
    <n v="180"/>
    <n v="90"/>
    <n v="30.6"/>
    <x v="0"/>
  </r>
  <r>
    <d v="2021-06-16T00:00:00"/>
    <x v="0"/>
    <n v="25"/>
    <s v="MIÉRCOLES"/>
    <x v="17"/>
    <x v="17"/>
    <n v="1440"/>
    <n v="120"/>
    <n v="244.8"/>
    <x v="0"/>
  </r>
  <r>
    <d v="2021-06-16T00:00:00"/>
    <x v="0"/>
    <n v="25"/>
    <s v="MIÉRCOLES"/>
    <x v="11"/>
    <x v="11"/>
    <n v="180"/>
    <n v="90"/>
    <n v="30.6"/>
    <x v="0"/>
  </r>
  <r>
    <d v="2021-06-16T00:00:00"/>
    <x v="0"/>
    <n v="25"/>
    <s v="MIÉRCOLES"/>
    <x v="7"/>
    <x v="7"/>
    <n v="990"/>
    <n v="198"/>
    <n v="168.3"/>
    <x v="0"/>
  </r>
  <r>
    <d v="2021-06-16T00:00:00"/>
    <x v="0"/>
    <n v="25"/>
    <s v="MIÉRCOLES"/>
    <x v="8"/>
    <x v="8"/>
    <n v="792"/>
    <n v="198"/>
    <n v="134.64000000000001"/>
    <x v="0"/>
  </r>
  <r>
    <d v="2021-06-16T00:00:00"/>
    <x v="0"/>
    <n v="25"/>
    <s v="MIÉRCOLES"/>
    <x v="24"/>
    <x v="24"/>
    <n v="2520"/>
    <n v="420"/>
    <n v="1058.3999999999999"/>
    <x v="0"/>
  </r>
  <r>
    <d v="2021-06-16T00:00:00"/>
    <x v="0"/>
    <n v="25"/>
    <s v="MIÉRCOLES"/>
    <x v="0"/>
    <x v="0"/>
    <n v="288"/>
    <n v="48"/>
    <n v="115.2"/>
    <x v="0"/>
  </r>
  <r>
    <d v="2021-06-17T00:00:00"/>
    <x v="0"/>
    <n v="25"/>
    <s v="JUEVES"/>
    <x v="15"/>
    <x v="15"/>
    <n v="50"/>
    <n v="50"/>
    <n v="20"/>
    <x v="0"/>
  </r>
  <r>
    <d v="2021-06-17T00:00:00"/>
    <x v="0"/>
    <n v="25"/>
    <s v="JUEVES"/>
    <x v="14"/>
    <x v="14"/>
    <n v="40"/>
    <n v="40"/>
    <n v="9.2000000000000011"/>
    <x v="0"/>
  </r>
  <r>
    <d v="2021-06-17T00:00:00"/>
    <x v="0"/>
    <n v="25"/>
    <s v="JUEVES"/>
    <x v="13"/>
    <x v="13"/>
    <n v="90"/>
    <n v="30"/>
    <n v="36"/>
    <x v="0"/>
  </r>
  <r>
    <d v="2021-06-17T00:00:00"/>
    <x v="0"/>
    <n v="25"/>
    <s v="JUEVES"/>
    <x v="28"/>
    <x v="28"/>
    <n v="90"/>
    <n v="30"/>
    <n v="20.7"/>
    <x v="0"/>
  </r>
  <r>
    <d v="2021-06-17T00:00:00"/>
    <x v="0"/>
    <n v="25"/>
    <s v="JUEVES"/>
    <x v="25"/>
    <x v="25"/>
    <n v="1350"/>
    <n v="225"/>
    <n v="567"/>
    <x v="0"/>
  </r>
  <r>
    <d v="2021-06-17T00:00:00"/>
    <x v="0"/>
    <n v="25"/>
    <s v="JUEVES"/>
    <x v="32"/>
    <x v="32"/>
    <n v="1680"/>
    <n v="420"/>
    <n v="705.6"/>
    <x v="0"/>
  </r>
  <r>
    <d v="2021-06-17T00:00:00"/>
    <x v="0"/>
    <n v="25"/>
    <s v="JUEVES"/>
    <x v="13"/>
    <x v="13"/>
    <n v="30"/>
    <n v="30"/>
    <n v="12"/>
    <x v="0"/>
  </r>
  <r>
    <d v="2021-06-17T00:00:00"/>
    <x v="0"/>
    <n v="25"/>
    <s v="JUEVES"/>
    <x v="15"/>
    <x v="15"/>
    <n v="100"/>
    <n v="50"/>
    <n v="40"/>
    <x v="0"/>
  </r>
  <r>
    <d v="2021-06-17T00:00:00"/>
    <x v="0"/>
    <n v="25"/>
    <s v="JUEVES"/>
    <x v="24"/>
    <x v="24"/>
    <n v="2520"/>
    <n v="420"/>
    <n v="1058.3999999999999"/>
    <x v="0"/>
  </r>
  <r>
    <d v="2021-06-17T00:00:00"/>
    <x v="0"/>
    <n v="25"/>
    <s v="JUEVES"/>
    <x v="32"/>
    <x v="32"/>
    <n v="1680"/>
    <n v="420"/>
    <n v="705.6"/>
    <x v="0"/>
  </r>
  <r>
    <d v="2021-06-17T00:00:00"/>
    <x v="0"/>
    <n v="25"/>
    <s v="JUEVES"/>
    <x v="25"/>
    <x v="25"/>
    <n v="450"/>
    <n v="225"/>
    <n v="189"/>
    <x v="0"/>
  </r>
  <r>
    <d v="2021-06-17T00:00:00"/>
    <x v="0"/>
    <n v="25"/>
    <s v="JUEVES"/>
    <x v="16"/>
    <x v="16"/>
    <n v="720"/>
    <n v="180"/>
    <n v="302.39999999999998"/>
    <x v="0"/>
  </r>
  <r>
    <d v="2021-06-17T00:00:00"/>
    <x v="0"/>
    <n v="25"/>
    <s v="JUEVES"/>
    <x v="14"/>
    <x v="14"/>
    <n v="40"/>
    <n v="40"/>
    <n v="9.2000000000000011"/>
    <x v="0"/>
  </r>
  <r>
    <d v="2021-06-17T00:00:00"/>
    <x v="0"/>
    <n v="25"/>
    <s v="JUEVES"/>
    <x v="1"/>
    <x v="1"/>
    <n v="1188"/>
    <n v="198"/>
    <n v="201.96"/>
    <x v="0"/>
  </r>
  <r>
    <d v="2021-06-17T00:00:00"/>
    <x v="0"/>
    <n v="25"/>
    <s v="JUEVES"/>
    <x v="6"/>
    <x v="6"/>
    <n v="240"/>
    <n v="120"/>
    <n v="40.800000000000004"/>
    <x v="0"/>
  </r>
  <r>
    <d v="2021-06-17T00:00:00"/>
    <x v="0"/>
    <n v="25"/>
    <s v="JUEVES"/>
    <x v="20"/>
    <x v="20"/>
    <n v="180"/>
    <n v="90"/>
    <n v="30.6"/>
    <x v="0"/>
  </r>
  <r>
    <d v="2021-06-17T00:00:00"/>
    <x v="0"/>
    <n v="25"/>
    <s v="JUEVES"/>
    <x v="10"/>
    <x v="10"/>
    <n v="720"/>
    <n v="120"/>
    <n v="122.4"/>
    <x v="0"/>
  </r>
  <r>
    <d v="2021-06-17T00:00:00"/>
    <x v="0"/>
    <n v="25"/>
    <s v="JUEVES"/>
    <x v="3"/>
    <x v="3"/>
    <n v="396"/>
    <n v="198"/>
    <n v="67.320000000000007"/>
    <x v="0"/>
  </r>
  <r>
    <d v="2021-06-17T00:00:00"/>
    <x v="0"/>
    <n v="25"/>
    <s v="JUEVES"/>
    <x v="2"/>
    <x v="2"/>
    <n v="1188"/>
    <n v="198"/>
    <n v="201.96"/>
    <x v="0"/>
  </r>
  <r>
    <d v="2021-06-17T00:00:00"/>
    <x v="0"/>
    <n v="25"/>
    <s v="JUEVES"/>
    <x v="7"/>
    <x v="7"/>
    <n v="2574"/>
    <n v="198"/>
    <n v="437.58000000000004"/>
    <x v="0"/>
  </r>
  <r>
    <d v="2021-06-17T00:00:00"/>
    <x v="0"/>
    <n v="25"/>
    <s v="JUEVES"/>
    <x v="11"/>
    <x v="11"/>
    <n v="2160"/>
    <n v="90"/>
    <n v="367.20000000000005"/>
    <x v="0"/>
  </r>
  <r>
    <d v="2021-06-17T00:00:00"/>
    <x v="0"/>
    <n v="25"/>
    <s v="JUEVES"/>
    <x v="9"/>
    <x v="9"/>
    <n v="180"/>
    <n v="90"/>
    <n v="30.6"/>
    <x v="0"/>
  </r>
  <r>
    <d v="2021-06-17T00:00:00"/>
    <x v="0"/>
    <n v="25"/>
    <s v="JUEVES"/>
    <x v="22"/>
    <x v="22"/>
    <n v="198"/>
    <n v="198"/>
    <n v="33.660000000000004"/>
    <x v="0"/>
  </r>
  <r>
    <d v="2021-06-17T00:00:00"/>
    <x v="0"/>
    <n v="25"/>
    <s v="JUEVES"/>
    <x v="8"/>
    <x v="8"/>
    <n v="1188"/>
    <n v="198"/>
    <n v="201.96"/>
    <x v="0"/>
  </r>
  <r>
    <d v="2021-06-17T00:00:00"/>
    <x v="0"/>
    <n v="25"/>
    <s v="JUEVES"/>
    <x v="0"/>
    <x v="0"/>
    <n v="288"/>
    <n v="48"/>
    <n v="115.2"/>
    <x v="0"/>
  </r>
  <r>
    <d v="2021-06-18T00:00:00"/>
    <x v="0"/>
    <n v="25"/>
    <s v="VIERNES"/>
    <x v="7"/>
    <x v="7"/>
    <n v="1188"/>
    <n v="198"/>
    <n v="201.96"/>
    <x v="0"/>
  </r>
  <r>
    <d v="2021-06-18T00:00:00"/>
    <x v="0"/>
    <n v="25"/>
    <s v="VIERNES"/>
    <x v="33"/>
    <x v="33"/>
    <n v="80"/>
    <n v="40"/>
    <n v="18.400000000000002"/>
    <x v="0"/>
  </r>
  <r>
    <d v="2021-06-18T00:00:00"/>
    <x v="0"/>
    <n v="25"/>
    <s v="VIERNES"/>
    <x v="15"/>
    <x v="15"/>
    <n v="100"/>
    <n v="50"/>
    <n v="40"/>
    <x v="0"/>
  </r>
  <r>
    <d v="2021-06-18T00:00:00"/>
    <x v="0"/>
    <n v="25"/>
    <s v="VIERNES"/>
    <x v="13"/>
    <x v="13"/>
    <n v="60"/>
    <n v="30"/>
    <n v="24"/>
    <x v="0"/>
  </r>
  <r>
    <d v="2021-06-18T00:00:00"/>
    <x v="0"/>
    <n v="25"/>
    <s v="VIERNES"/>
    <x v="3"/>
    <x v="3"/>
    <n v="396"/>
    <n v="198"/>
    <n v="67.320000000000007"/>
    <x v="0"/>
  </r>
  <r>
    <d v="2021-06-18T00:00:00"/>
    <x v="0"/>
    <n v="25"/>
    <s v="VIERNES"/>
    <x v="34"/>
    <x v="34"/>
    <n v="396"/>
    <n v="198"/>
    <n v="67.320000000000007"/>
    <x v="0"/>
  </r>
  <r>
    <d v="2021-06-18T00:00:00"/>
    <x v="0"/>
    <n v="25"/>
    <s v="VIERNES"/>
    <x v="2"/>
    <x v="2"/>
    <n v="1980"/>
    <n v="198"/>
    <n v="336.6"/>
    <x v="0"/>
  </r>
  <r>
    <d v="2021-06-18T00:00:00"/>
    <x v="0"/>
    <n v="25"/>
    <s v="VIERNES"/>
    <x v="10"/>
    <x v="10"/>
    <n v="720"/>
    <n v="120"/>
    <n v="122.4"/>
    <x v="0"/>
  </r>
  <r>
    <d v="2021-06-18T00:00:00"/>
    <x v="0"/>
    <n v="25"/>
    <s v="VIERNES"/>
    <x v="1"/>
    <x v="1"/>
    <n v="2574"/>
    <n v="198"/>
    <n v="437.58000000000004"/>
    <x v="0"/>
  </r>
  <r>
    <d v="2021-06-18T00:00:00"/>
    <x v="0"/>
    <n v="25"/>
    <s v="VIERNES"/>
    <x v="23"/>
    <x v="23"/>
    <n v="180"/>
    <n v="90"/>
    <n v="30.6"/>
    <x v="0"/>
  </r>
  <r>
    <d v="2021-06-18T00:00:00"/>
    <x v="0"/>
    <n v="25"/>
    <s v="VIERNES"/>
    <x v="4"/>
    <x v="4"/>
    <n v="486"/>
    <n v="162"/>
    <n v="82.62"/>
    <x v="0"/>
  </r>
  <r>
    <d v="2021-06-18T00:00:00"/>
    <x v="0"/>
    <n v="25"/>
    <s v="VIERNES"/>
    <x v="9"/>
    <x v="9"/>
    <n v="450"/>
    <n v="90"/>
    <n v="76.5"/>
    <x v="0"/>
  </r>
  <r>
    <d v="2021-06-18T00:00:00"/>
    <x v="0"/>
    <n v="25"/>
    <s v="VIERNES"/>
    <x v="25"/>
    <x v="25"/>
    <n v="2250"/>
    <n v="225"/>
    <n v="945"/>
    <x v="0"/>
  </r>
  <r>
    <d v="2021-06-18T00:00:00"/>
    <x v="0"/>
    <n v="25"/>
    <s v="VIERNES"/>
    <x v="19"/>
    <x v="19"/>
    <n v="225"/>
    <n v="225"/>
    <n v="90"/>
    <x v="0"/>
  </r>
  <r>
    <d v="2021-06-18T00:00:00"/>
    <x v="0"/>
    <n v="25"/>
    <s v="VIERNES"/>
    <x v="6"/>
    <x v="6"/>
    <n v="720"/>
    <n v="120"/>
    <n v="122.4"/>
    <x v="0"/>
  </r>
  <r>
    <d v="2021-06-18T00:00:00"/>
    <x v="0"/>
    <n v="25"/>
    <s v="VIERNES"/>
    <x v="12"/>
    <x v="12"/>
    <n v="225"/>
    <n v="225"/>
    <n v="90"/>
    <x v="0"/>
  </r>
  <r>
    <d v="2021-06-18T00:00:00"/>
    <x v="0"/>
    <n v="25"/>
    <s v="VIERNES"/>
    <x v="24"/>
    <x v="24"/>
    <n v="3780"/>
    <n v="420"/>
    <n v="1587.6"/>
    <x v="0"/>
  </r>
  <r>
    <d v="2021-06-18T00:00:00"/>
    <x v="0"/>
    <n v="25"/>
    <s v="VIERNES"/>
    <x v="32"/>
    <x v="32"/>
    <n v="420"/>
    <n v="420"/>
    <n v="176.4"/>
    <x v="0"/>
  </r>
  <r>
    <d v="2021-06-18T00:00:00"/>
    <x v="0"/>
    <n v="25"/>
    <s v="VIERNES"/>
    <x v="11"/>
    <x v="11"/>
    <n v="1620"/>
    <n v="90"/>
    <n v="275.40000000000003"/>
    <x v="0"/>
  </r>
  <r>
    <d v="2021-06-18T00:00:00"/>
    <x v="0"/>
    <n v="25"/>
    <s v="VIERNES"/>
    <x v="8"/>
    <x v="8"/>
    <n v="1188"/>
    <n v="198"/>
    <n v="201.96"/>
    <x v="0"/>
  </r>
  <r>
    <d v="2021-06-18T00:00:00"/>
    <x v="0"/>
    <n v="25"/>
    <s v="VIERNES"/>
    <x v="5"/>
    <x v="5"/>
    <n v="324"/>
    <n v="162"/>
    <n v="55.080000000000005"/>
    <x v="0"/>
  </r>
  <r>
    <d v="2021-06-18T00:00:00"/>
    <x v="0"/>
    <n v="25"/>
    <s v="VIERNES"/>
    <x v="35"/>
    <x v="35"/>
    <n v="900"/>
    <n v="180"/>
    <n v="378"/>
    <x v="0"/>
  </r>
  <r>
    <d v="2021-06-18T00:00:00"/>
    <x v="0"/>
    <n v="25"/>
    <s v="VIERNES"/>
    <x v="12"/>
    <x v="12"/>
    <n v="225"/>
    <n v="225"/>
    <n v="90"/>
    <x v="0"/>
  </r>
  <r>
    <d v="2021-06-18T00:00:00"/>
    <x v="0"/>
    <n v="25"/>
    <s v="VIERNES"/>
    <x v="5"/>
    <x v="5"/>
    <n v="324"/>
    <n v="162"/>
    <n v="55.080000000000005"/>
    <x v="0"/>
  </r>
  <r>
    <d v="2021-06-18T00:00:00"/>
    <x v="0"/>
    <n v="25"/>
    <s v="VIERNES"/>
    <x v="4"/>
    <x v="4"/>
    <n v="324"/>
    <n v="162"/>
    <n v="55.080000000000005"/>
    <x v="0"/>
  </r>
  <r>
    <d v="2021-06-18T00:00:00"/>
    <x v="0"/>
    <n v="25"/>
    <s v="VIERNES"/>
    <x v="6"/>
    <x v="6"/>
    <n v="480"/>
    <n v="120"/>
    <n v="81.600000000000009"/>
    <x v="0"/>
  </r>
  <r>
    <d v="2021-06-18T00:00:00"/>
    <x v="0"/>
    <n v="25"/>
    <s v="VIERNES"/>
    <x v="2"/>
    <x v="2"/>
    <n v="396"/>
    <n v="198"/>
    <n v="67.320000000000007"/>
    <x v="0"/>
  </r>
  <r>
    <d v="2021-06-18T00:00:00"/>
    <x v="0"/>
    <n v="25"/>
    <s v="VIERNES"/>
    <x v="9"/>
    <x v="9"/>
    <n v="720"/>
    <n v="90"/>
    <n v="122.4"/>
    <x v="0"/>
  </r>
  <r>
    <d v="2021-06-18T00:00:00"/>
    <x v="0"/>
    <n v="25"/>
    <s v="VIERNES"/>
    <x v="10"/>
    <x v="10"/>
    <n v="1920"/>
    <n v="120"/>
    <n v="326.40000000000003"/>
    <x v="0"/>
  </r>
  <r>
    <d v="2021-06-18T00:00:00"/>
    <x v="0"/>
    <n v="25"/>
    <s v="VIERNES"/>
    <x v="17"/>
    <x v="17"/>
    <n v="480"/>
    <n v="120"/>
    <n v="81.600000000000009"/>
    <x v="0"/>
  </r>
  <r>
    <d v="2021-06-18T00:00:00"/>
    <x v="0"/>
    <n v="25"/>
    <s v="VIERNES"/>
    <x v="11"/>
    <x v="11"/>
    <n v="2160"/>
    <n v="90"/>
    <n v="367.20000000000005"/>
    <x v="0"/>
  </r>
  <r>
    <d v="2021-06-18T00:00:00"/>
    <x v="0"/>
    <n v="25"/>
    <s v="VIERNES"/>
    <x v="8"/>
    <x v="8"/>
    <n v="1980"/>
    <n v="198"/>
    <n v="336.6"/>
    <x v="0"/>
  </r>
  <r>
    <d v="2021-06-18T00:00:00"/>
    <x v="0"/>
    <n v="25"/>
    <s v="VIERNES"/>
    <x v="16"/>
    <x v="16"/>
    <n v="900"/>
    <n v="180"/>
    <n v="378"/>
    <x v="0"/>
  </r>
  <r>
    <d v="2021-06-18T00:00:00"/>
    <x v="0"/>
    <n v="25"/>
    <s v="VIERNES"/>
    <x v="24"/>
    <x v="24"/>
    <n v="1680"/>
    <n v="420"/>
    <n v="705.6"/>
    <x v="0"/>
  </r>
  <r>
    <d v="2021-06-18T00:00:00"/>
    <x v="0"/>
    <n v="25"/>
    <s v="VIERNES"/>
    <x v="32"/>
    <x v="32"/>
    <n v="420"/>
    <n v="420"/>
    <n v="176.4"/>
    <x v="0"/>
  </r>
  <r>
    <d v="2021-06-18T00:00:00"/>
    <x v="0"/>
    <n v="25"/>
    <s v="VIERNES"/>
    <x v="0"/>
    <x v="0"/>
    <n v="288"/>
    <n v="48"/>
    <n v="115.2"/>
    <x v="0"/>
  </r>
  <r>
    <d v="2021-06-18T00:00:00"/>
    <x v="0"/>
    <n v="25"/>
    <s v="VIERNES"/>
    <x v="33"/>
    <x v="33"/>
    <n v="40"/>
    <n v="40"/>
    <n v="9.2000000000000011"/>
    <x v="0"/>
  </r>
  <r>
    <d v="2021-06-18T00:00:00"/>
    <x v="0"/>
    <n v="25"/>
    <s v="VIERNES"/>
    <x v="25"/>
    <x v="25"/>
    <n v="450"/>
    <n v="225"/>
    <n v="189"/>
    <x v="0"/>
  </r>
  <r>
    <d v="2021-06-21T00:00:00"/>
    <x v="0"/>
    <n v="26"/>
    <s v="LUNES"/>
    <x v="1"/>
    <x v="1"/>
    <n v="2970"/>
    <n v="198"/>
    <n v="504.90000000000003"/>
    <x v="0"/>
  </r>
  <r>
    <d v="2021-06-21T00:00:00"/>
    <x v="0"/>
    <n v="26"/>
    <s v="LUNES"/>
    <x v="24"/>
    <x v="24"/>
    <n v="3360"/>
    <n v="420"/>
    <n v="1411.2"/>
    <x v="0"/>
  </r>
  <r>
    <d v="2021-06-21T00:00:00"/>
    <x v="0"/>
    <n v="26"/>
    <s v="LUNES"/>
    <x v="32"/>
    <x v="32"/>
    <n v="2100"/>
    <n v="420"/>
    <n v="882"/>
    <x v="0"/>
  </r>
  <r>
    <d v="2021-06-21T00:00:00"/>
    <x v="0"/>
    <n v="26"/>
    <s v="LUNES"/>
    <x v="7"/>
    <x v="7"/>
    <n v="3168"/>
    <n v="198"/>
    <n v="538.56000000000006"/>
    <x v="0"/>
  </r>
  <r>
    <d v="2021-06-21T00:00:00"/>
    <x v="0"/>
    <n v="26"/>
    <s v="LUNES"/>
    <x v="28"/>
    <x v="28"/>
    <n v="60"/>
    <n v="30"/>
    <n v="13.8"/>
    <x v="0"/>
  </r>
  <r>
    <d v="2021-06-21T00:00:00"/>
    <x v="0"/>
    <n v="26"/>
    <s v="LUNES"/>
    <x v="4"/>
    <x v="4"/>
    <n v="324"/>
    <n v="162"/>
    <n v="55.080000000000005"/>
    <x v="0"/>
  </r>
  <r>
    <d v="2021-06-21T00:00:00"/>
    <x v="0"/>
    <n v="26"/>
    <s v="LUNES"/>
    <x v="33"/>
    <x v="33"/>
    <n v="40"/>
    <n v="40"/>
    <n v="9.2000000000000011"/>
    <x v="0"/>
  </r>
  <r>
    <d v="2021-06-21T00:00:00"/>
    <x v="0"/>
    <n v="26"/>
    <s v="LUNES"/>
    <x v="10"/>
    <x v="10"/>
    <n v="720"/>
    <n v="120"/>
    <n v="122.4"/>
    <x v="0"/>
  </r>
  <r>
    <d v="2021-06-21T00:00:00"/>
    <x v="0"/>
    <n v="26"/>
    <s v="LUNES"/>
    <x v="22"/>
    <x v="22"/>
    <n v="396"/>
    <n v="198"/>
    <n v="67.320000000000007"/>
    <x v="0"/>
  </r>
  <r>
    <d v="2021-06-21T00:00:00"/>
    <x v="0"/>
    <n v="26"/>
    <s v="LUNES"/>
    <x v="2"/>
    <x v="2"/>
    <n v="3168"/>
    <n v="198"/>
    <n v="538.56000000000006"/>
    <x v="0"/>
  </r>
  <r>
    <d v="2021-06-21T00:00:00"/>
    <x v="0"/>
    <n v="26"/>
    <s v="LUNES"/>
    <x v="3"/>
    <x v="3"/>
    <n v="396"/>
    <n v="198"/>
    <n v="67.320000000000007"/>
    <x v="0"/>
  </r>
  <r>
    <d v="2021-06-21T00:00:00"/>
    <x v="0"/>
    <n v="26"/>
    <s v="LUNES"/>
    <x v="23"/>
    <x v="23"/>
    <n v="180"/>
    <n v="90"/>
    <n v="30.6"/>
    <x v="0"/>
  </r>
  <r>
    <d v="2021-06-21T00:00:00"/>
    <x v="0"/>
    <n v="26"/>
    <s v="LUNES"/>
    <x v="14"/>
    <x v="14"/>
    <n v="40"/>
    <n v="40"/>
    <n v="9.2000000000000011"/>
    <x v="0"/>
  </r>
  <r>
    <d v="2021-06-21T00:00:00"/>
    <x v="0"/>
    <n v="26"/>
    <s v="LUNES"/>
    <x v="13"/>
    <x v="13"/>
    <n v="60"/>
    <n v="30"/>
    <n v="24"/>
    <x v="0"/>
  </r>
  <r>
    <d v="2021-06-21T00:00:00"/>
    <x v="0"/>
    <n v="26"/>
    <s v="LUNES"/>
    <x v="16"/>
    <x v="16"/>
    <n v="180"/>
    <n v="180"/>
    <n v="75.599999999999994"/>
    <x v="0"/>
  </r>
  <r>
    <d v="2021-06-21T00:00:00"/>
    <x v="0"/>
    <n v="26"/>
    <s v="LUNES"/>
    <x v="29"/>
    <x v="29"/>
    <n v="198"/>
    <n v="198"/>
    <n v="33.660000000000004"/>
    <x v="0"/>
  </r>
  <r>
    <d v="2021-06-21T00:00:00"/>
    <x v="0"/>
    <n v="26"/>
    <s v="LUNES"/>
    <x v="34"/>
    <x v="34"/>
    <n v="396"/>
    <n v="198"/>
    <n v="67.320000000000007"/>
    <x v="0"/>
  </r>
  <r>
    <d v="2021-06-21T00:00:00"/>
    <x v="0"/>
    <n v="26"/>
    <s v="LUNES"/>
    <x v="11"/>
    <x v="11"/>
    <n v="180"/>
    <n v="90"/>
    <n v="30.6"/>
    <x v="0"/>
  </r>
  <r>
    <d v="2021-06-21T00:00:00"/>
    <x v="0"/>
    <n v="26"/>
    <s v="LUNES"/>
    <x v="25"/>
    <x v="25"/>
    <n v="450"/>
    <n v="225"/>
    <n v="189"/>
    <x v="0"/>
  </r>
  <r>
    <d v="2021-06-21T00:00:00"/>
    <x v="0"/>
    <n v="26"/>
    <s v="LUNES"/>
    <x v="15"/>
    <x v="15"/>
    <n v="200"/>
    <n v="50"/>
    <n v="80"/>
    <x v="0"/>
  </r>
  <r>
    <d v="2021-06-21T00:00:00"/>
    <x v="0"/>
    <n v="26"/>
    <s v="LUNES"/>
    <x v="9"/>
    <x v="9"/>
    <n v="720"/>
    <n v="90"/>
    <n v="122.4"/>
    <x v="0"/>
  </r>
  <r>
    <d v="2021-06-21T00:00:00"/>
    <x v="0"/>
    <n v="26"/>
    <s v="LUNES"/>
    <x v="26"/>
    <x v="26"/>
    <n v="180"/>
    <n v="90"/>
    <n v="30.6"/>
    <x v="0"/>
  </r>
  <r>
    <d v="2021-06-21T00:00:00"/>
    <x v="0"/>
    <n v="26"/>
    <s v="LUNES"/>
    <x v="0"/>
    <x v="0"/>
    <n v="192"/>
    <n v="48"/>
    <n v="76.800000000000011"/>
    <x v="0"/>
  </r>
  <r>
    <d v="2021-06-22T00:00:00"/>
    <x v="0"/>
    <n v="26"/>
    <s v="MARTES"/>
    <x v="24"/>
    <x v="24"/>
    <n v="1680"/>
    <n v="420"/>
    <n v="705.6"/>
    <x v="0"/>
  </r>
  <r>
    <d v="2021-06-22T00:00:00"/>
    <x v="0"/>
    <n v="26"/>
    <s v="MARTES"/>
    <x v="16"/>
    <x v="16"/>
    <n v="360"/>
    <n v="180"/>
    <n v="151.19999999999999"/>
    <x v="0"/>
  </r>
  <r>
    <d v="2021-06-22T00:00:00"/>
    <x v="0"/>
    <n v="26"/>
    <s v="MARTES"/>
    <x v="1"/>
    <x v="1"/>
    <n v="396"/>
    <n v="198"/>
    <n v="67.320000000000007"/>
    <x v="0"/>
  </r>
  <r>
    <d v="2021-06-22T00:00:00"/>
    <x v="0"/>
    <n v="26"/>
    <s v="MARTES"/>
    <x v="2"/>
    <x v="2"/>
    <n v="396"/>
    <n v="198"/>
    <n v="67.320000000000007"/>
    <x v="0"/>
  </r>
  <r>
    <d v="2021-06-22T00:00:00"/>
    <x v="0"/>
    <n v="26"/>
    <s v="MARTES"/>
    <x v="11"/>
    <x v="11"/>
    <n v="1440"/>
    <n v="90"/>
    <n v="244.8"/>
    <x v="0"/>
  </r>
  <r>
    <d v="2021-06-22T00:00:00"/>
    <x v="0"/>
    <n v="26"/>
    <s v="MARTES"/>
    <x v="23"/>
    <x v="23"/>
    <n v="450"/>
    <n v="90"/>
    <n v="76.5"/>
    <x v="0"/>
  </r>
  <r>
    <d v="2021-06-22T00:00:00"/>
    <x v="0"/>
    <n v="26"/>
    <s v="MARTES"/>
    <x v="20"/>
    <x v="20"/>
    <n v="450"/>
    <n v="90"/>
    <n v="76.5"/>
    <x v="0"/>
  </r>
  <r>
    <d v="2021-06-22T00:00:00"/>
    <x v="0"/>
    <n v="26"/>
    <s v="MARTES"/>
    <x v="25"/>
    <x v="25"/>
    <n v="900"/>
    <n v="225"/>
    <n v="378"/>
    <x v="0"/>
  </r>
  <r>
    <d v="2021-06-22T00:00:00"/>
    <x v="0"/>
    <n v="26"/>
    <s v="MARTES"/>
    <x v="12"/>
    <x v="12"/>
    <n v="450"/>
    <n v="225"/>
    <n v="180"/>
    <x v="0"/>
  </r>
  <r>
    <d v="2021-06-22T00:00:00"/>
    <x v="0"/>
    <n v="26"/>
    <s v="MARTES"/>
    <x v="10"/>
    <x v="10"/>
    <n v="960"/>
    <n v="120"/>
    <n v="163.20000000000002"/>
    <x v="0"/>
  </r>
  <r>
    <d v="2021-06-22T00:00:00"/>
    <x v="0"/>
    <n v="26"/>
    <s v="MARTES"/>
    <x v="8"/>
    <x v="8"/>
    <n v="792"/>
    <n v="198"/>
    <n v="134.64000000000001"/>
    <x v="0"/>
  </r>
  <r>
    <d v="2021-06-22T00:00:00"/>
    <x v="0"/>
    <n v="26"/>
    <s v="MARTES"/>
    <x v="6"/>
    <x v="6"/>
    <n v="960"/>
    <n v="120"/>
    <n v="163.20000000000002"/>
    <x v="0"/>
  </r>
  <r>
    <d v="2021-06-22T00:00:00"/>
    <x v="0"/>
    <n v="26"/>
    <s v="MARTES"/>
    <x v="5"/>
    <x v="5"/>
    <n v="972"/>
    <n v="162"/>
    <n v="165.24"/>
    <x v="0"/>
  </r>
  <r>
    <d v="2021-06-22T00:00:00"/>
    <x v="0"/>
    <n v="26"/>
    <s v="MARTES"/>
    <x v="36"/>
    <x v="36"/>
    <n v="1170"/>
    <n v="90"/>
    <n v="468"/>
    <x v="0"/>
  </r>
  <r>
    <d v="2021-06-22T00:00:00"/>
    <x v="0"/>
    <n v="26"/>
    <s v="MARTES"/>
    <x v="0"/>
    <x v="0"/>
    <n v="384"/>
    <n v="48"/>
    <n v="153.60000000000002"/>
    <x v="0"/>
  </r>
  <r>
    <d v="2021-06-22T00:00:00"/>
    <x v="0"/>
    <n v="26"/>
    <s v="MARTES"/>
    <x v="35"/>
    <x v="35"/>
    <n v="1620"/>
    <n v="180"/>
    <n v="680.4"/>
    <x v="0"/>
  </r>
  <r>
    <d v="2021-06-22T00:00:00"/>
    <x v="0"/>
    <n v="26"/>
    <s v="MARTES"/>
    <x v="4"/>
    <x v="4"/>
    <n v="648"/>
    <n v="162"/>
    <n v="110.16000000000001"/>
    <x v="0"/>
  </r>
  <r>
    <d v="2021-06-22T00:00:00"/>
    <x v="0"/>
    <n v="26"/>
    <s v="MARTES"/>
    <x v="17"/>
    <x v="17"/>
    <n v="720"/>
    <n v="120"/>
    <n v="122.4"/>
    <x v="0"/>
  </r>
  <r>
    <d v="2021-06-22T00:00:00"/>
    <x v="0"/>
    <n v="26"/>
    <s v="MARTES"/>
    <x v="1"/>
    <x v="1"/>
    <n v="396"/>
    <n v="198"/>
    <n v="67.320000000000007"/>
    <x v="0"/>
  </r>
  <r>
    <d v="2021-06-23T00:00:00"/>
    <x v="0"/>
    <n v="26"/>
    <s v="MIÉRCOLES"/>
    <x v="1"/>
    <x v="1"/>
    <n v="3564"/>
    <n v="198"/>
    <n v="605.88"/>
    <x v="0"/>
  </r>
  <r>
    <d v="2021-06-23T00:00:00"/>
    <x v="0"/>
    <n v="26"/>
    <s v="MIÉRCOLES"/>
    <x v="2"/>
    <x v="2"/>
    <n v="2772"/>
    <n v="198"/>
    <n v="471.24"/>
    <x v="0"/>
  </r>
  <r>
    <d v="2021-06-23T00:00:00"/>
    <x v="0"/>
    <n v="26"/>
    <s v="MIÉRCOLES"/>
    <x v="12"/>
    <x v="12"/>
    <n v="225"/>
    <n v="225"/>
    <n v="90"/>
    <x v="0"/>
  </r>
  <r>
    <d v="2021-06-23T00:00:00"/>
    <x v="0"/>
    <n v="26"/>
    <s v="MIÉRCOLES"/>
    <x v="19"/>
    <x v="19"/>
    <n v="225"/>
    <n v="225"/>
    <n v="90"/>
    <x v="0"/>
  </r>
  <r>
    <d v="2021-06-23T00:00:00"/>
    <x v="0"/>
    <n v="26"/>
    <s v="MIÉRCOLES"/>
    <x v="36"/>
    <x v="36"/>
    <n v="1350"/>
    <n v="90"/>
    <n v="540"/>
    <x v="0"/>
  </r>
  <r>
    <d v="2021-06-23T00:00:00"/>
    <x v="0"/>
    <n v="26"/>
    <s v="MIÉRCOLES"/>
    <x v="24"/>
    <x v="24"/>
    <n v="1680"/>
    <n v="420"/>
    <n v="705.6"/>
    <x v="0"/>
  </r>
  <r>
    <d v="2021-06-23T00:00:00"/>
    <x v="0"/>
    <n v="26"/>
    <s v="MIÉRCOLES"/>
    <x v="3"/>
    <x v="3"/>
    <n v="1980"/>
    <n v="198"/>
    <n v="336.6"/>
    <x v="0"/>
  </r>
  <r>
    <d v="2021-06-23T00:00:00"/>
    <x v="0"/>
    <n v="26"/>
    <s v="MIÉRCOLES"/>
    <x v="9"/>
    <x v="9"/>
    <n v="900"/>
    <n v="90"/>
    <n v="153"/>
    <x v="0"/>
  </r>
  <r>
    <d v="2021-06-23T00:00:00"/>
    <x v="0"/>
    <n v="26"/>
    <s v="MIÉRCOLES"/>
    <x v="7"/>
    <x v="7"/>
    <n v="2376"/>
    <n v="198"/>
    <n v="403.92"/>
    <x v="0"/>
  </r>
  <r>
    <d v="2021-06-23T00:00:00"/>
    <x v="0"/>
    <n v="26"/>
    <s v="MIÉRCOLES"/>
    <x v="4"/>
    <x v="4"/>
    <n v="648"/>
    <n v="162"/>
    <n v="110.16000000000001"/>
    <x v="0"/>
  </r>
  <r>
    <d v="2021-06-23T00:00:00"/>
    <x v="0"/>
    <n v="26"/>
    <s v="MIÉRCOLES"/>
    <x v="8"/>
    <x v="8"/>
    <n v="1188"/>
    <n v="198"/>
    <n v="201.96"/>
    <x v="0"/>
  </r>
  <r>
    <d v="2021-06-23T00:00:00"/>
    <x v="0"/>
    <n v="26"/>
    <s v="MIÉRCOLES"/>
    <x v="0"/>
    <x v="0"/>
    <n v="192"/>
    <n v="48"/>
    <n v="76.800000000000011"/>
    <x v="0"/>
  </r>
  <r>
    <d v="2021-06-23T00:00:00"/>
    <x v="0"/>
    <n v="26"/>
    <s v="MIÉRCOLES"/>
    <x v="10"/>
    <x v="10"/>
    <n v="1440"/>
    <n v="120"/>
    <n v="244.8"/>
    <x v="0"/>
  </r>
  <r>
    <d v="2021-06-23T00:00:00"/>
    <x v="0"/>
    <n v="26"/>
    <s v="MIÉRCOLES"/>
    <x v="35"/>
    <x v="35"/>
    <n v="540"/>
    <n v="180"/>
    <n v="226.79999999999998"/>
    <x v="0"/>
  </r>
  <r>
    <d v="2021-06-24T00:00:00"/>
    <x v="0"/>
    <n v="26"/>
    <s v="JUEVES"/>
    <x v="25"/>
    <x v="25"/>
    <n v="450"/>
    <n v="225"/>
    <n v="189"/>
    <x v="0"/>
  </r>
  <r>
    <d v="2021-06-24T00:00:00"/>
    <x v="0"/>
    <n v="26"/>
    <s v="JUEVES"/>
    <x v="19"/>
    <x v="19"/>
    <n v="225"/>
    <n v="225"/>
    <n v="90"/>
    <x v="0"/>
  </r>
  <r>
    <d v="2021-06-24T00:00:00"/>
    <x v="0"/>
    <n v="26"/>
    <s v="JUEVES"/>
    <x v="24"/>
    <x v="24"/>
    <n v="840"/>
    <n v="420"/>
    <n v="352.8"/>
    <x v="0"/>
  </r>
  <r>
    <d v="2021-06-24T00:00:00"/>
    <x v="0"/>
    <n v="26"/>
    <s v="JUEVES"/>
    <x v="36"/>
    <x v="36"/>
    <n v="1080"/>
    <n v="90"/>
    <n v="432"/>
    <x v="0"/>
  </r>
  <r>
    <d v="2021-06-24T00:00:00"/>
    <x v="0"/>
    <n v="26"/>
    <s v="JUEVES"/>
    <x v="6"/>
    <x v="6"/>
    <n v="1440"/>
    <n v="120"/>
    <n v="244.8"/>
    <x v="0"/>
  </r>
  <r>
    <d v="2021-06-24T00:00:00"/>
    <x v="0"/>
    <n v="26"/>
    <s v="JUEVES"/>
    <x v="20"/>
    <x v="20"/>
    <n v="450"/>
    <n v="90"/>
    <n v="76.5"/>
    <x v="0"/>
  </r>
  <r>
    <d v="2021-06-24T00:00:00"/>
    <x v="0"/>
    <n v="26"/>
    <s v="JUEVES"/>
    <x v="29"/>
    <x v="29"/>
    <n v="198"/>
    <n v="198"/>
    <n v="33.660000000000004"/>
    <x v="0"/>
  </r>
  <r>
    <d v="2021-06-24T00:00:00"/>
    <x v="0"/>
    <n v="26"/>
    <s v="JUEVES"/>
    <x v="4"/>
    <x v="4"/>
    <n v="324"/>
    <n v="162"/>
    <n v="55.080000000000005"/>
    <x v="0"/>
  </r>
  <r>
    <d v="2021-06-25T00:00:00"/>
    <x v="0"/>
    <n v="26"/>
    <s v="VIERNES"/>
    <x v="28"/>
    <x v="28"/>
    <n v="60"/>
    <n v="30"/>
    <n v="13.8"/>
    <x v="0"/>
  </r>
  <r>
    <d v="2021-06-25T00:00:00"/>
    <x v="0"/>
    <n v="26"/>
    <s v="VIERNES"/>
    <x v="33"/>
    <x v="33"/>
    <n v="80"/>
    <n v="40"/>
    <n v="18.400000000000002"/>
    <x v="0"/>
  </r>
  <r>
    <d v="2021-06-25T00:00:00"/>
    <x v="0"/>
    <n v="26"/>
    <s v="VIERNES"/>
    <x v="14"/>
    <x v="14"/>
    <n v="40"/>
    <n v="40"/>
    <n v="9.2000000000000011"/>
    <x v="0"/>
  </r>
  <r>
    <d v="2021-06-25T00:00:00"/>
    <x v="0"/>
    <n v="26"/>
    <s v="VIERNES"/>
    <x v="15"/>
    <x v="15"/>
    <n v="200"/>
    <n v="50"/>
    <n v="80"/>
    <x v="0"/>
  </r>
  <r>
    <d v="2021-06-25T00:00:00"/>
    <x v="0"/>
    <n v="26"/>
    <s v="VIERNES"/>
    <x v="0"/>
    <x v="0"/>
    <n v="336"/>
    <n v="48"/>
    <n v="134.4"/>
    <x v="0"/>
  </r>
  <r>
    <d v="2021-06-25T00:00:00"/>
    <x v="0"/>
    <n v="26"/>
    <s v="VIERNES"/>
    <x v="12"/>
    <x v="12"/>
    <n v="675"/>
    <n v="225"/>
    <n v="270"/>
    <x v="0"/>
  </r>
  <r>
    <d v="2021-06-25T00:00:00"/>
    <x v="0"/>
    <n v="26"/>
    <s v="VIERNES"/>
    <x v="19"/>
    <x v="19"/>
    <n v="225"/>
    <n v="225"/>
    <n v="90"/>
    <x v="0"/>
  </r>
  <r>
    <d v="2021-06-25T00:00:00"/>
    <x v="0"/>
    <n v="26"/>
    <s v="VIERNES"/>
    <x v="36"/>
    <x v="36"/>
    <n v="720"/>
    <n v="90"/>
    <n v="288"/>
    <x v="0"/>
  </r>
  <r>
    <d v="2021-06-26T00:00:00"/>
    <x v="0"/>
    <n v="27"/>
    <s v="SÁBADO"/>
    <x v="1"/>
    <x v="1"/>
    <n v="2178"/>
    <n v="198"/>
    <n v="370.26000000000005"/>
    <x v="0"/>
  </r>
  <r>
    <d v="2021-06-26T00:00:00"/>
    <x v="0"/>
    <n v="27"/>
    <s v="SÁBADO"/>
    <x v="2"/>
    <x v="2"/>
    <n v="1782"/>
    <n v="198"/>
    <n v="302.94"/>
    <x v="0"/>
  </r>
  <r>
    <d v="2021-06-26T00:00:00"/>
    <x v="0"/>
    <n v="27"/>
    <s v="SÁBADO"/>
    <x v="3"/>
    <x v="3"/>
    <n v="198"/>
    <n v="198"/>
    <n v="33.660000000000004"/>
    <x v="0"/>
  </r>
  <r>
    <d v="2021-06-26T00:00:00"/>
    <x v="0"/>
    <n v="27"/>
    <s v="SÁBADO"/>
    <x v="6"/>
    <x v="6"/>
    <n v="240"/>
    <n v="120"/>
    <n v="40.800000000000004"/>
    <x v="0"/>
  </r>
  <r>
    <d v="2021-06-26T00:00:00"/>
    <x v="0"/>
    <n v="27"/>
    <s v="SÁBADO"/>
    <x v="17"/>
    <x v="17"/>
    <n v="240"/>
    <n v="120"/>
    <n v="40.800000000000004"/>
    <x v="0"/>
  </r>
  <r>
    <d v="2021-06-26T00:00:00"/>
    <x v="0"/>
    <n v="27"/>
    <s v="SÁBADO"/>
    <x v="7"/>
    <x v="7"/>
    <n v="1782"/>
    <n v="198"/>
    <n v="302.94"/>
    <x v="0"/>
  </r>
  <r>
    <d v="2021-06-26T00:00:00"/>
    <x v="0"/>
    <n v="27"/>
    <s v="SÁBADO"/>
    <x v="8"/>
    <x v="8"/>
    <n v="792"/>
    <n v="198"/>
    <n v="134.64000000000001"/>
    <x v="0"/>
  </r>
  <r>
    <d v="2021-06-26T00:00:00"/>
    <x v="0"/>
    <n v="27"/>
    <s v="SÁBADO"/>
    <x v="10"/>
    <x v="10"/>
    <n v="3840"/>
    <n v="120"/>
    <n v="652.80000000000007"/>
    <x v="0"/>
  </r>
  <r>
    <d v="2021-06-26T00:00:00"/>
    <x v="0"/>
    <n v="27"/>
    <s v="SÁBADO"/>
    <x v="7"/>
    <x v="7"/>
    <n v="720"/>
    <n v="198"/>
    <n v="122.4"/>
    <x v="0"/>
  </r>
  <r>
    <d v="2021-06-26T00:00:00"/>
    <x v="0"/>
    <n v="27"/>
    <s v="SÁBADO"/>
    <x v="11"/>
    <x v="11"/>
    <n v="2880"/>
    <n v="90"/>
    <n v="489.6"/>
    <x v="0"/>
  </r>
  <r>
    <d v="2021-06-26T00:00:00"/>
    <x v="0"/>
    <n v="27"/>
    <s v="SÁBADO"/>
    <x v="24"/>
    <x v="24"/>
    <n v="2100"/>
    <n v="420"/>
    <n v="882"/>
    <x v="0"/>
  </r>
  <r>
    <d v="2021-06-26T00:00:00"/>
    <x v="0"/>
    <n v="27"/>
    <s v="SÁBADO"/>
    <x v="32"/>
    <x v="32"/>
    <n v="840"/>
    <n v="420"/>
    <n v="352.8"/>
    <x v="0"/>
  </r>
  <r>
    <d v="2021-06-26T00:00:00"/>
    <x v="0"/>
    <n v="27"/>
    <s v="SÁBADO"/>
    <x v="25"/>
    <x v="25"/>
    <n v="900"/>
    <n v="225"/>
    <n v="378"/>
    <x v="0"/>
  </r>
  <r>
    <d v="2021-06-26T00:00:00"/>
    <x v="0"/>
    <n v="27"/>
    <s v="SÁBADO"/>
    <x v="35"/>
    <x v="35"/>
    <n v="1080"/>
    <n v="180"/>
    <n v="453.59999999999997"/>
    <x v="0"/>
  </r>
  <r>
    <d v="2021-06-26T00:00:00"/>
    <x v="0"/>
    <n v="27"/>
    <s v="SÁBADO"/>
    <x v="28"/>
    <x v="28"/>
    <n v="90"/>
    <n v="30"/>
    <n v="20.7"/>
    <x v="0"/>
  </r>
  <r>
    <d v="2021-06-26T00:00:00"/>
    <x v="0"/>
    <n v="27"/>
    <s v="SÁBADO"/>
    <x v="15"/>
    <x v="15"/>
    <n v="250"/>
    <n v="50"/>
    <n v="100"/>
    <x v="0"/>
  </r>
  <r>
    <d v="2021-06-26T00:00:00"/>
    <x v="0"/>
    <n v="27"/>
    <s v="SÁBADO"/>
    <x v="0"/>
    <x v="0"/>
    <n v="384"/>
    <n v="48"/>
    <n v="153.60000000000002"/>
    <x v="0"/>
  </r>
  <r>
    <d v="2021-06-26T00:00:00"/>
    <x v="0"/>
    <n v="27"/>
    <s v="SÁBADO"/>
    <x v="12"/>
    <x v="12"/>
    <n v="225"/>
    <n v="225"/>
    <n v="90"/>
    <x v="0"/>
  </r>
  <r>
    <d v="2021-06-26T00:00:00"/>
    <x v="0"/>
    <n v="27"/>
    <s v="SÁBADO"/>
    <x v="19"/>
    <x v="19"/>
    <n v="450"/>
    <n v="225"/>
    <n v="180"/>
    <x v="0"/>
  </r>
  <r>
    <d v="2021-06-26T00:00:00"/>
    <x v="0"/>
    <n v="27"/>
    <s v="SÁBADO"/>
    <x v="16"/>
    <x v="16"/>
    <n v="360"/>
    <n v="180"/>
    <n v="151.19999999999999"/>
    <x v="0"/>
  </r>
  <r>
    <d v="2021-06-28T00:00:00"/>
    <x v="0"/>
    <n v="27"/>
    <s v="LUNES"/>
    <x v="1"/>
    <x v="1"/>
    <n v="990"/>
    <n v="198"/>
    <n v="168.3"/>
    <x v="0"/>
  </r>
  <r>
    <d v="2021-06-28T00:00:00"/>
    <x v="0"/>
    <n v="27"/>
    <s v="LUNES"/>
    <x v="2"/>
    <x v="2"/>
    <n v="792"/>
    <n v="198"/>
    <n v="134.64000000000001"/>
    <x v="0"/>
  </r>
  <r>
    <d v="2021-06-28T00:00:00"/>
    <x v="0"/>
    <n v="27"/>
    <s v="LUNES"/>
    <x v="3"/>
    <x v="3"/>
    <n v="198"/>
    <n v="198"/>
    <n v="33.660000000000004"/>
    <x v="0"/>
  </r>
  <r>
    <d v="2021-06-28T00:00:00"/>
    <x v="0"/>
    <n v="27"/>
    <s v="LUNES"/>
    <x v="4"/>
    <x v="4"/>
    <n v="162"/>
    <n v="162"/>
    <n v="27.540000000000003"/>
    <x v="0"/>
  </r>
  <r>
    <d v="2021-06-28T00:00:00"/>
    <x v="0"/>
    <n v="27"/>
    <s v="LUNES"/>
    <x v="6"/>
    <x v="6"/>
    <n v="2040"/>
    <n v="120"/>
    <n v="346.8"/>
    <x v="0"/>
  </r>
  <r>
    <d v="2021-06-28T00:00:00"/>
    <x v="0"/>
    <n v="27"/>
    <s v="LUNES"/>
    <x v="17"/>
    <x v="17"/>
    <n v="480"/>
    <n v="120"/>
    <n v="81.600000000000009"/>
    <x v="0"/>
  </r>
  <r>
    <d v="2021-06-28T00:00:00"/>
    <x v="0"/>
    <n v="27"/>
    <s v="LUNES"/>
    <x v="7"/>
    <x v="7"/>
    <n v="2178"/>
    <n v="198"/>
    <n v="370.26000000000005"/>
    <x v="0"/>
  </r>
  <r>
    <d v="2021-06-28T00:00:00"/>
    <x v="0"/>
    <n v="27"/>
    <s v="LUNES"/>
    <x v="8"/>
    <x v="8"/>
    <n v="2376"/>
    <n v="198"/>
    <n v="403.92"/>
    <x v="0"/>
  </r>
  <r>
    <d v="2021-06-28T00:00:00"/>
    <x v="0"/>
    <n v="27"/>
    <s v="LUNES"/>
    <x v="9"/>
    <x v="9"/>
    <n v="900"/>
    <n v="90"/>
    <n v="153"/>
    <x v="0"/>
  </r>
  <r>
    <d v="2021-06-28T00:00:00"/>
    <x v="0"/>
    <n v="27"/>
    <s v="LUNES"/>
    <x v="10"/>
    <x v="10"/>
    <n v="3600"/>
    <n v="120"/>
    <n v="612"/>
    <x v="0"/>
  </r>
  <r>
    <d v="2021-06-28T00:00:00"/>
    <x v="0"/>
    <n v="27"/>
    <s v="LUNES"/>
    <x v="11"/>
    <x v="11"/>
    <n v="2160"/>
    <n v="90"/>
    <n v="367.20000000000005"/>
    <x v="0"/>
  </r>
  <r>
    <d v="2021-06-28T00:00:00"/>
    <x v="0"/>
    <n v="27"/>
    <s v="LUNES"/>
    <x v="24"/>
    <x v="24"/>
    <n v="420"/>
    <n v="420"/>
    <n v="176.4"/>
    <x v="0"/>
  </r>
  <r>
    <d v="2021-06-28T00:00:00"/>
    <x v="0"/>
    <n v="27"/>
    <s v="LUNES"/>
    <x v="16"/>
    <x v="16"/>
    <n v="720"/>
    <n v="180"/>
    <n v="302.39999999999998"/>
    <x v="0"/>
  </r>
  <r>
    <d v="2021-06-28T00:00:00"/>
    <x v="0"/>
    <n v="27"/>
    <s v="LUNES"/>
    <x v="28"/>
    <x v="28"/>
    <n v="30"/>
    <n v="30"/>
    <n v="6.9"/>
    <x v="0"/>
  </r>
  <r>
    <d v="2021-06-28T00:00:00"/>
    <x v="0"/>
    <n v="27"/>
    <s v="LUNES"/>
    <x v="14"/>
    <x v="14"/>
    <n v="80"/>
    <n v="40"/>
    <n v="18.400000000000002"/>
    <x v="0"/>
  </r>
  <r>
    <d v="2021-06-28T00:00:00"/>
    <x v="0"/>
    <n v="27"/>
    <s v="LUNES"/>
    <x v="15"/>
    <x v="15"/>
    <n v="50"/>
    <n v="50"/>
    <n v="20"/>
    <x v="0"/>
  </r>
  <r>
    <d v="2021-06-28T00:00:00"/>
    <x v="0"/>
    <n v="27"/>
    <s v="LUNES"/>
    <x v="0"/>
    <x v="0"/>
    <n v="192"/>
    <n v="48"/>
    <n v="76.800000000000011"/>
    <x v="0"/>
  </r>
  <r>
    <d v="2021-06-30T00:00:00"/>
    <x v="0"/>
    <n v="27"/>
    <s v="MIÉRCOLES"/>
    <x v="28"/>
    <x v="28"/>
    <n v="150"/>
    <n v="30"/>
    <n v="34.5"/>
    <x v="0"/>
  </r>
  <r>
    <d v="2021-06-30T00:00:00"/>
    <x v="0"/>
    <n v="27"/>
    <s v="MIÉRCOLES"/>
    <x v="33"/>
    <x v="33"/>
    <n v="80"/>
    <n v="40"/>
    <n v="18.400000000000002"/>
    <x v="0"/>
  </r>
  <r>
    <d v="2021-06-30T00:00:00"/>
    <x v="0"/>
    <n v="27"/>
    <s v="MIÉRCOLES"/>
    <x v="14"/>
    <x v="14"/>
    <n v="80"/>
    <n v="40"/>
    <n v="18.400000000000002"/>
    <x v="0"/>
  </r>
  <r>
    <d v="2021-06-30T00:00:00"/>
    <x v="0"/>
    <n v="27"/>
    <s v="MIÉRCOLES"/>
    <x v="15"/>
    <x v="15"/>
    <n v="50"/>
    <n v="50"/>
    <n v="20"/>
    <x v="0"/>
  </r>
  <r>
    <d v="2021-06-30T00:00:00"/>
    <x v="0"/>
    <n v="27"/>
    <s v="MIÉRCOLES"/>
    <x v="36"/>
    <x v="36"/>
    <n v="90"/>
    <n v="90"/>
    <n v="36"/>
    <x v="0"/>
  </r>
  <r>
    <d v="2021-06-30T00:00:00"/>
    <x v="0"/>
    <n v="27"/>
    <s v="MIÉRCOLES"/>
    <x v="0"/>
    <x v="0"/>
    <n v="336"/>
    <n v="48"/>
    <n v="134.4"/>
    <x v="0"/>
  </r>
  <r>
    <d v="2021-06-30T00:00:00"/>
    <x v="0"/>
    <n v="27"/>
    <s v="MIÉRCOLES"/>
    <x v="24"/>
    <x v="24"/>
    <n v="1680"/>
    <n v="420"/>
    <n v="705.6"/>
    <x v="0"/>
  </r>
  <r>
    <d v="2021-06-30T00:00:00"/>
    <x v="0"/>
    <n v="27"/>
    <s v="MIÉRCOLES"/>
    <x v="1"/>
    <x v="1"/>
    <n v="1782"/>
    <n v="198"/>
    <n v="302.94"/>
    <x v="0"/>
  </r>
  <r>
    <d v="2021-06-30T00:00:00"/>
    <x v="0"/>
    <n v="27"/>
    <s v="MIÉRCOLES"/>
    <x v="2"/>
    <x v="2"/>
    <n v="1386"/>
    <n v="198"/>
    <n v="235.62"/>
    <x v="0"/>
  </r>
  <r>
    <d v="2021-06-30T00:00:00"/>
    <x v="0"/>
    <n v="27"/>
    <s v="MIÉRCOLES"/>
    <x v="22"/>
    <x v="22"/>
    <n v="2178"/>
    <n v="198"/>
    <n v="370.26000000000005"/>
    <x v="0"/>
  </r>
  <r>
    <d v="2021-06-30T00:00:00"/>
    <x v="0"/>
    <n v="27"/>
    <s v="MIÉRCOLES"/>
    <x v="4"/>
    <x v="4"/>
    <n v="324"/>
    <n v="162"/>
    <n v="55.080000000000005"/>
    <x v="0"/>
  </r>
  <r>
    <d v="2021-06-30T00:00:00"/>
    <x v="0"/>
    <n v="27"/>
    <s v="MIÉRCOLES"/>
    <x v="5"/>
    <x v="5"/>
    <n v="324"/>
    <n v="162"/>
    <n v="55.080000000000005"/>
    <x v="0"/>
  </r>
  <r>
    <d v="2021-06-30T00:00:00"/>
    <x v="0"/>
    <n v="27"/>
    <s v="MIÉRCOLES"/>
    <x v="6"/>
    <x v="6"/>
    <n v="360"/>
    <n v="120"/>
    <n v="61.2"/>
    <x v="0"/>
  </r>
  <r>
    <d v="2021-06-30T00:00:00"/>
    <x v="0"/>
    <n v="27"/>
    <s v="MIÉRCOLES"/>
    <x v="7"/>
    <x v="7"/>
    <n v="990"/>
    <n v="198"/>
    <n v="168.3"/>
    <x v="0"/>
  </r>
  <r>
    <d v="2021-06-30T00:00:00"/>
    <x v="0"/>
    <n v="27"/>
    <s v="MIÉRCOLES"/>
    <x v="17"/>
    <x v="17"/>
    <n v="480"/>
    <n v="120"/>
    <n v="81.600000000000009"/>
    <x v="0"/>
  </r>
  <r>
    <d v="2021-06-30T00:00:00"/>
    <x v="0"/>
    <n v="27"/>
    <s v="MIÉRCOLES"/>
    <x v="8"/>
    <x v="8"/>
    <n v="792"/>
    <n v="198"/>
    <n v="134.64000000000001"/>
    <x v="0"/>
  </r>
  <r>
    <d v="2021-06-30T00:00:00"/>
    <x v="0"/>
    <n v="27"/>
    <s v="MIÉRCOLES"/>
    <x v="9"/>
    <x v="9"/>
    <n v="540"/>
    <n v="90"/>
    <n v="91.800000000000011"/>
    <x v="0"/>
  </r>
  <r>
    <d v="2021-06-30T00:00:00"/>
    <x v="0"/>
    <n v="27"/>
    <s v="MIÉRCOLES"/>
    <x v="10"/>
    <x v="10"/>
    <n v="2160"/>
    <n v="120"/>
    <n v="367.20000000000005"/>
    <x v="0"/>
  </r>
  <r>
    <d v="2021-06-30T00:00:00"/>
    <x v="0"/>
    <n v="27"/>
    <s v="MIÉRCOLES"/>
    <x v="26"/>
    <x v="26"/>
    <n v="630"/>
    <n v="90"/>
    <n v="107.10000000000001"/>
    <x v="0"/>
  </r>
  <r>
    <d v="2021-06-30T00:00:00"/>
    <x v="0"/>
    <n v="27"/>
    <s v="MIÉRCOLES"/>
    <x v="7"/>
    <x v="7"/>
    <n v="1080"/>
    <n v="198"/>
    <n v="183.60000000000002"/>
    <x v="0"/>
  </r>
  <r>
    <d v="2021-06-30T00:00:00"/>
    <x v="0"/>
    <n v="27"/>
    <s v="MIÉRCOLES"/>
    <x v="11"/>
    <x v="11"/>
    <n v="1440"/>
    <n v="90"/>
    <n v="244.8"/>
    <x v="0"/>
  </r>
  <r>
    <d v="2021-06-30T00:00:00"/>
    <x v="0"/>
    <n v="27"/>
    <s v="MIÉRCOLES"/>
    <x v="25"/>
    <x v="25"/>
    <n v="1800"/>
    <n v="225"/>
    <n v="756"/>
    <x v="0"/>
  </r>
  <r>
    <d v="2021-06-30T00:00:00"/>
    <x v="0"/>
    <n v="27"/>
    <s v="MIÉRCOLES"/>
    <x v="12"/>
    <x v="12"/>
    <n v="450"/>
    <n v="225"/>
    <n v="180"/>
    <x v="0"/>
  </r>
  <r>
    <d v="2021-06-30T00:00:00"/>
    <x v="0"/>
    <n v="27"/>
    <s v="MIÉRCOLES"/>
    <x v="19"/>
    <x v="19"/>
    <n v="225"/>
    <n v="225"/>
    <n v="90"/>
    <x v="0"/>
  </r>
  <r>
    <d v="2021-06-30T00:00:00"/>
    <x v="0"/>
    <n v="27"/>
    <s v="MIÉRCOLES"/>
    <x v="35"/>
    <x v="35"/>
    <n v="180"/>
    <n v="180"/>
    <n v="75.599999999999994"/>
    <x v="0"/>
  </r>
  <r>
    <d v="2021-06-30T00:00:00"/>
    <x v="0"/>
    <n v="27"/>
    <s v="MIÉRCOLES"/>
    <x v="27"/>
    <x v="27"/>
    <n v="350"/>
    <n v="350"/>
    <n v="80.5"/>
    <x v="0"/>
  </r>
  <r>
    <d v="2021-07-01T00:00:00"/>
    <x v="1"/>
    <n v="27"/>
    <s v="JUEVES"/>
    <x v="23"/>
    <x v="23"/>
    <n v="450"/>
    <n v="90"/>
    <n v="76.5"/>
    <x v="0"/>
  </r>
  <r>
    <d v="2021-07-01T00:00:00"/>
    <x v="1"/>
    <n v="27"/>
    <s v="JUEVES"/>
    <x v="11"/>
    <x v="11"/>
    <n v="1620"/>
    <n v="90"/>
    <n v="275.40000000000003"/>
    <x v="0"/>
  </r>
  <r>
    <d v="2021-07-01T00:00:00"/>
    <x v="1"/>
    <n v="27"/>
    <s v="JUEVES"/>
    <x v="20"/>
    <x v="20"/>
    <n v="270"/>
    <n v="90"/>
    <n v="45.900000000000006"/>
    <x v="0"/>
  </r>
  <r>
    <d v="2021-07-01T00:00:00"/>
    <x v="1"/>
    <n v="27"/>
    <s v="JUEVES"/>
    <x v="25"/>
    <x v="25"/>
    <n v="1800"/>
    <n v="225"/>
    <n v="756"/>
    <x v="0"/>
  </r>
  <r>
    <d v="2021-07-01T00:00:00"/>
    <x v="1"/>
    <n v="27"/>
    <s v="JUEVES"/>
    <x v="12"/>
    <x v="12"/>
    <n v="450"/>
    <n v="225"/>
    <n v="180"/>
    <x v="0"/>
  </r>
  <r>
    <d v="2021-07-01T00:00:00"/>
    <x v="1"/>
    <n v="27"/>
    <s v="JUEVES"/>
    <x v="0"/>
    <x v="0"/>
    <n v="192"/>
    <n v="48"/>
    <n v="76.800000000000011"/>
    <x v="0"/>
  </r>
  <r>
    <d v="2021-07-01T00:00:00"/>
    <x v="1"/>
    <n v="27"/>
    <s v="JUEVES"/>
    <x v="34"/>
    <x v="34"/>
    <n v="396"/>
    <n v="198"/>
    <n v="67.320000000000007"/>
    <x v="0"/>
  </r>
  <r>
    <d v="2021-07-01T00:00:00"/>
    <x v="1"/>
    <n v="27"/>
    <s v="JUEVES"/>
    <x v="29"/>
    <x v="29"/>
    <n v="198"/>
    <n v="198"/>
    <n v="33.660000000000004"/>
    <x v="0"/>
  </r>
  <r>
    <d v="2021-07-01T00:00:00"/>
    <x v="1"/>
    <n v="27"/>
    <s v="JUEVES"/>
    <x v="13"/>
    <x v="13"/>
    <n v="60"/>
    <n v="30"/>
    <n v="24"/>
    <x v="0"/>
  </r>
  <r>
    <d v="2021-07-01T00:00:00"/>
    <x v="1"/>
    <n v="27"/>
    <s v="JUEVES"/>
    <x v="36"/>
    <x v="36"/>
    <n v="180"/>
    <n v="90"/>
    <n v="72"/>
    <x v="0"/>
  </r>
  <r>
    <d v="2021-07-01T00:00:00"/>
    <x v="1"/>
    <n v="27"/>
    <s v="JUEVES"/>
    <x v="24"/>
    <x v="24"/>
    <n v="2100"/>
    <n v="420"/>
    <n v="882"/>
    <x v="0"/>
  </r>
  <r>
    <d v="2021-07-01T00:00:00"/>
    <x v="1"/>
    <n v="27"/>
    <s v="JUEVES"/>
    <x v="32"/>
    <x v="32"/>
    <n v="840"/>
    <n v="420"/>
    <n v="352.8"/>
    <x v="0"/>
  </r>
  <r>
    <d v="2021-07-01T00:00:00"/>
    <x v="1"/>
    <n v="27"/>
    <s v="JUEVES"/>
    <x v="1"/>
    <x v="1"/>
    <n v="1782"/>
    <n v="198"/>
    <n v="302.94"/>
    <x v="0"/>
  </r>
  <r>
    <d v="2021-07-01T00:00:00"/>
    <x v="1"/>
    <n v="27"/>
    <s v="JUEVES"/>
    <x v="2"/>
    <x v="2"/>
    <n v="1980"/>
    <n v="198"/>
    <n v="336.6"/>
    <x v="0"/>
  </r>
  <r>
    <d v="2021-07-01T00:00:00"/>
    <x v="1"/>
    <n v="27"/>
    <s v="JUEVES"/>
    <x v="22"/>
    <x v="22"/>
    <n v="792"/>
    <n v="198"/>
    <n v="134.64000000000001"/>
    <x v="0"/>
  </r>
  <r>
    <d v="2021-07-01T00:00:00"/>
    <x v="1"/>
    <n v="27"/>
    <s v="JUEVES"/>
    <x v="3"/>
    <x v="3"/>
    <n v="594"/>
    <n v="198"/>
    <n v="100.98"/>
    <x v="0"/>
  </r>
  <r>
    <d v="2021-07-01T00:00:00"/>
    <x v="1"/>
    <n v="27"/>
    <s v="JUEVES"/>
    <x v="4"/>
    <x v="4"/>
    <n v="162"/>
    <n v="162"/>
    <n v="27.540000000000003"/>
    <x v="0"/>
  </r>
  <r>
    <d v="2021-07-01T00:00:00"/>
    <x v="1"/>
    <n v="27"/>
    <s v="JUEVES"/>
    <x v="5"/>
    <x v="5"/>
    <n v="162"/>
    <n v="162"/>
    <n v="27.540000000000003"/>
    <x v="0"/>
  </r>
  <r>
    <d v="2021-07-01T00:00:00"/>
    <x v="1"/>
    <n v="27"/>
    <s v="JUEVES"/>
    <x v="6"/>
    <x v="6"/>
    <n v="480"/>
    <n v="120"/>
    <n v="81.600000000000009"/>
    <x v="0"/>
  </r>
  <r>
    <d v="2021-07-01T00:00:00"/>
    <x v="1"/>
    <n v="27"/>
    <s v="JUEVES"/>
    <x v="7"/>
    <x v="7"/>
    <n v="792"/>
    <n v="198"/>
    <n v="134.64000000000001"/>
    <x v="0"/>
  </r>
  <r>
    <d v="2021-07-01T00:00:00"/>
    <x v="1"/>
    <n v="27"/>
    <s v="JUEVES"/>
    <x v="8"/>
    <x v="8"/>
    <n v="990"/>
    <n v="198"/>
    <n v="168.3"/>
    <x v="0"/>
  </r>
  <r>
    <d v="2021-07-01T00:00:00"/>
    <x v="1"/>
    <n v="27"/>
    <s v="JUEVES"/>
    <x v="9"/>
    <x v="9"/>
    <n v="540"/>
    <n v="90"/>
    <n v="91.800000000000011"/>
    <x v="0"/>
  </r>
  <r>
    <d v="2021-07-01T00:00:00"/>
    <x v="1"/>
    <n v="27"/>
    <s v="JUEVES"/>
    <x v="10"/>
    <x v="10"/>
    <n v="1920"/>
    <n v="120"/>
    <n v="326.40000000000003"/>
    <x v="0"/>
  </r>
  <r>
    <d v="2021-07-02T00:00:00"/>
    <x v="1"/>
    <n v="27"/>
    <s v="VIERNES"/>
    <x v="28"/>
    <x v="28"/>
    <n v="180"/>
    <n v="30"/>
    <n v="41.4"/>
    <x v="0"/>
  </r>
  <r>
    <d v="2021-07-02T00:00:00"/>
    <x v="1"/>
    <n v="27"/>
    <s v="VIERNES"/>
    <x v="15"/>
    <x v="15"/>
    <n v="100"/>
    <n v="50"/>
    <n v="40"/>
    <x v="0"/>
  </r>
  <r>
    <d v="2021-07-02T00:00:00"/>
    <x v="1"/>
    <n v="27"/>
    <s v="VIERNES"/>
    <x v="0"/>
    <x v="0"/>
    <n v="672"/>
    <n v="48"/>
    <n v="268.8"/>
    <x v="0"/>
  </r>
  <r>
    <d v="2021-07-02T00:00:00"/>
    <x v="1"/>
    <n v="27"/>
    <s v="VIERNES"/>
    <x v="24"/>
    <x v="24"/>
    <n v="840"/>
    <n v="420"/>
    <n v="352.8"/>
    <x v="0"/>
  </r>
  <r>
    <d v="2021-07-02T00:00:00"/>
    <x v="1"/>
    <n v="27"/>
    <s v="VIERNES"/>
    <x v="16"/>
    <x v="16"/>
    <n v="360"/>
    <n v="180"/>
    <n v="151.19999999999999"/>
    <x v="0"/>
  </r>
  <r>
    <d v="2021-07-02T00:00:00"/>
    <x v="1"/>
    <n v="27"/>
    <s v="VIERNES"/>
    <x v="1"/>
    <x v="1"/>
    <n v="396"/>
    <n v="198"/>
    <n v="67.320000000000007"/>
    <x v="0"/>
  </r>
  <r>
    <d v="2021-07-02T00:00:00"/>
    <x v="1"/>
    <n v="27"/>
    <s v="VIERNES"/>
    <x v="2"/>
    <x v="2"/>
    <n v="2574"/>
    <n v="198"/>
    <n v="437.58000000000004"/>
    <x v="0"/>
  </r>
  <r>
    <d v="2021-07-02T00:00:00"/>
    <x v="1"/>
    <n v="27"/>
    <s v="VIERNES"/>
    <x v="22"/>
    <x v="22"/>
    <n v="198"/>
    <n v="198"/>
    <n v="33.660000000000004"/>
    <x v="0"/>
  </r>
  <r>
    <d v="2021-07-02T00:00:00"/>
    <x v="1"/>
    <n v="27"/>
    <s v="VIERNES"/>
    <x v="4"/>
    <x v="4"/>
    <n v="324"/>
    <n v="162"/>
    <n v="55.080000000000005"/>
    <x v="0"/>
  </r>
  <r>
    <d v="2021-07-02T00:00:00"/>
    <x v="1"/>
    <n v="27"/>
    <s v="VIERNES"/>
    <x v="5"/>
    <x v="5"/>
    <n v="324"/>
    <n v="162"/>
    <n v="55.080000000000005"/>
    <x v="0"/>
  </r>
  <r>
    <d v="2021-07-02T00:00:00"/>
    <x v="1"/>
    <n v="27"/>
    <s v="VIERNES"/>
    <x v="6"/>
    <x v="6"/>
    <n v="1080"/>
    <n v="120"/>
    <n v="183.60000000000002"/>
    <x v="0"/>
  </r>
  <r>
    <d v="2021-07-02T00:00:00"/>
    <x v="1"/>
    <n v="27"/>
    <s v="VIERNES"/>
    <x v="17"/>
    <x v="17"/>
    <n v="1200"/>
    <n v="120"/>
    <n v="204.00000000000003"/>
    <x v="0"/>
  </r>
  <r>
    <d v="2021-07-02T00:00:00"/>
    <x v="1"/>
    <n v="27"/>
    <s v="VIERNES"/>
    <x v="7"/>
    <x v="7"/>
    <n v="1188"/>
    <n v="198"/>
    <n v="201.96"/>
    <x v="0"/>
  </r>
  <r>
    <d v="2021-07-02T00:00:00"/>
    <x v="1"/>
    <n v="27"/>
    <s v="VIERNES"/>
    <x v="8"/>
    <x v="8"/>
    <n v="1188"/>
    <n v="198"/>
    <n v="201.96"/>
    <x v="0"/>
  </r>
  <r>
    <d v="2021-07-02T00:00:00"/>
    <x v="1"/>
    <n v="27"/>
    <s v="VIERNES"/>
    <x v="9"/>
    <x v="9"/>
    <n v="540"/>
    <n v="90"/>
    <n v="91.800000000000011"/>
    <x v="0"/>
  </r>
  <r>
    <d v="2021-07-02T00:00:00"/>
    <x v="1"/>
    <n v="27"/>
    <s v="VIERNES"/>
    <x v="10"/>
    <x v="10"/>
    <n v="1200"/>
    <n v="120"/>
    <n v="204.00000000000003"/>
    <x v="0"/>
  </r>
  <r>
    <d v="2021-07-02T00:00:00"/>
    <x v="1"/>
    <n v="27"/>
    <s v="VIERNES"/>
    <x v="11"/>
    <x v="11"/>
    <n v="900"/>
    <n v="90"/>
    <n v="153"/>
    <x v="0"/>
  </r>
  <r>
    <d v="2021-07-02T00:00:00"/>
    <x v="1"/>
    <n v="27"/>
    <s v="VIERNES"/>
    <x v="20"/>
    <x v="20"/>
    <n v="270"/>
    <n v="90"/>
    <n v="45.900000000000006"/>
    <x v="0"/>
  </r>
  <r>
    <d v="2021-07-02T00:00:00"/>
    <x v="1"/>
    <n v="27"/>
    <s v="VIERNES"/>
    <x v="25"/>
    <x v="25"/>
    <n v="1800"/>
    <n v="225"/>
    <n v="756"/>
    <x v="0"/>
  </r>
  <r>
    <d v="2021-07-02T00:00:00"/>
    <x v="1"/>
    <n v="27"/>
    <s v="VIERNES"/>
    <x v="12"/>
    <x v="12"/>
    <n v="450"/>
    <n v="225"/>
    <n v="180"/>
    <x v="0"/>
  </r>
  <r>
    <d v="2021-07-02T00:00:00"/>
    <x v="1"/>
    <n v="27"/>
    <s v="VIERNES"/>
    <x v="37"/>
    <x v="37"/>
    <n v="1500"/>
    <n v="225"/>
    <n v="630"/>
    <x v="0"/>
  </r>
  <r>
    <d v="2021-07-03T00:00:00"/>
    <x v="1"/>
    <n v="28"/>
    <s v="SÁBADO"/>
    <x v="26"/>
    <x v="26"/>
    <n v="90"/>
    <n v="90"/>
    <n v="15.3"/>
    <x v="0"/>
  </r>
  <r>
    <d v="2021-07-03T00:00:00"/>
    <x v="1"/>
    <n v="28"/>
    <s v="SÁBADO"/>
    <x v="23"/>
    <x v="23"/>
    <n v="270"/>
    <n v="90"/>
    <n v="45.900000000000006"/>
    <x v="0"/>
  </r>
  <r>
    <d v="2021-07-03T00:00:00"/>
    <x v="1"/>
    <n v="28"/>
    <s v="SÁBADO"/>
    <x v="37"/>
    <x v="37"/>
    <n v="1250"/>
    <n v="225"/>
    <n v="525"/>
    <x v="0"/>
  </r>
  <r>
    <d v="2021-07-03T00:00:00"/>
    <x v="1"/>
    <n v="28"/>
    <s v="SÁBADO"/>
    <x v="11"/>
    <x v="11"/>
    <n v="180"/>
    <n v="90"/>
    <n v="30.6"/>
    <x v="0"/>
  </r>
  <r>
    <d v="2021-07-03T00:00:00"/>
    <x v="1"/>
    <n v="28"/>
    <s v="SÁBADO"/>
    <x v="20"/>
    <x v="20"/>
    <n v="450"/>
    <n v="90"/>
    <n v="76.5"/>
    <x v="0"/>
  </r>
  <r>
    <d v="2021-07-03T00:00:00"/>
    <x v="1"/>
    <n v="28"/>
    <s v="SÁBADO"/>
    <x v="9"/>
    <x v="9"/>
    <n v="540"/>
    <n v="90"/>
    <n v="91.800000000000011"/>
    <x v="0"/>
  </r>
  <r>
    <d v="2021-07-03T00:00:00"/>
    <x v="1"/>
    <n v="28"/>
    <s v="SÁBADO"/>
    <x v="11"/>
    <x v="11"/>
    <n v="1890"/>
    <n v="90"/>
    <n v="321.3"/>
    <x v="0"/>
  </r>
  <r>
    <d v="2021-07-03T00:00:00"/>
    <x v="1"/>
    <n v="28"/>
    <s v="SÁBADO"/>
    <x v="10"/>
    <x v="10"/>
    <n v="480"/>
    <n v="120"/>
    <n v="81.600000000000009"/>
    <x v="0"/>
  </r>
  <r>
    <d v="2021-07-03T00:00:00"/>
    <x v="1"/>
    <n v="28"/>
    <s v="SÁBADO"/>
    <x v="0"/>
    <x v="0"/>
    <n v="240"/>
    <n v="48"/>
    <n v="96"/>
    <x v="0"/>
  </r>
  <r>
    <d v="2021-07-03T00:00:00"/>
    <x v="1"/>
    <n v="28"/>
    <s v="SÁBADO"/>
    <x v="17"/>
    <x v="17"/>
    <n v="720"/>
    <n v="120"/>
    <n v="122.4"/>
    <x v="0"/>
  </r>
  <r>
    <d v="2021-07-03T00:00:00"/>
    <x v="1"/>
    <n v="28"/>
    <s v="SÁBADO"/>
    <x v="6"/>
    <x v="6"/>
    <n v="1560"/>
    <n v="120"/>
    <n v="265.20000000000005"/>
    <x v="0"/>
  </r>
  <r>
    <d v="2021-07-03T00:00:00"/>
    <x v="1"/>
    <n v="28"/>
    <s v="SÁBADO"/>
    <x v="8"/>
    <x v="8"/>
    <n v="1188"/>
    <n v="198"/>
    <n v="201.96"/>
    <x v="0"/>
  </r>
  <r>
    <d v="2021-07-03T00:00:00"/>
    <x v="1"/>
    <n v="28"/>
    <s v="SÁBADO"/>
    <x v="7"/>
    <x v="7"/>
    <n v="792"/>
    <n v="198"/>
    <n v="134.64000000000001"/>
    <x v="0"/>
  </r>
  <r>
    <d v="2021-07-03T00:00:00"/>
    <x v="1"/>
    <n v="28"/>
    <s v="SÁBADO"/>
    <x v="2"/>
    <x v="2"/>
    <n v="1188"/>
    <n v="198"/>
    <n v="201.96"/>
    <x v="0"/>
  </r>
  <r>
    <d v="2021-07-03T00:00:00"/>
    <x v="1"/>
    <n v="28"/>
    <s v="SÁBADO"/>
    <x v="1"/>
    <x v="1"/>
    <n v="2178"/>
    <n v="198"/>
    <n v="370.26000000000005"/>
    <x v="0"/>
  </r>
  <r>
    <d v="2021-07-03T00:00:00"/>
    <x v="1"/>
    <n v="28"/>
    <s v="SÁBADO"/>
    <x v="22"/>
    <x v="22"/>
    <n v="594"/>
    <n v="198"/>
    <n v="100.98"/>
    <x v="0"/>
  </r>
  <r>
    <d v="2021-07-03T00:00:00"/>
    <x v="1"/>
    <n v="28"/>
    <s v="SÁBADO"/>
    <x v="24"/>
    <x v="24"/>
    <n v="1680"/>
    <n v="420"/>
    <n v="705.6"/>
    <x v="0"/>
  </r>
  <r>
    <d v="2021-07-03T00:00:00"/>
    <x v="1"/>
    <n v="28"/>
    <s v="SÁBADO"/>
    <x v="16"/>
    <x v="16"/>
    <n v="180"/>
    <n v="180"/>
    <n v="75.599999999999994"/>
    <x v="0"/>
  </r>
  <r>
    <d v="2021-07-03T00:00:00"/>
    <x v="1"/>
    <n v="28"/>
    <s v="SÁBADO"/>
    <x v="4"/>
    <x v="4"/>
    <n v="162"/>
    <n v="162"/>
    <n v="27.540000000000003"/>
    <x v="0"/>
  </r>
  <r>
    <d v="2021-07-05T00:00:00"/>
    <x v="1"/>
    <n v="28"/>
    <s v="LUNES"/>
    <x v="22"/>
    <x v="22"/>
    <n v="792"/>
    <n v="198"/>
    <n v="134.64000000000001"/>
    <x v="0"/>
  </r>
  <r>
    <d v="2021-07-05T00:00:00"/>
    <x v="1"/>
    <n v="28"/>
    <s v="LUNES"/>
    <x v="19"/>
    <x v="19"/>
    <n v="450"/>
    <n v="225"/>
    <n v="180"/>
    <x v="0"/>
  </r>
  <r>
    <d v="2021-07-05T00:00:00"/>
    <x v="1"/>
    <n v="28"/>
    <s v="LUNES"/>
    <x v="24"/>
    <x v="24"/>
    <n v="2940"/>
    <n v="420"/>
    <n v="1234.8"/>
    <x v="0"/>
  </r>
  <r>
    <d v="2021-07-05T00:00:00"/>
    <x v="1"/>
    <n v="28"/>
    <s v="LUNES"/>
    <x v="9"/>
    <x v="9"/>
    <n v="540"/>
    <n v="90"/>
    <n v="91.800000000000011"/>
    <x v="0"/>
  </r>
  <r>
    <d v="2021-07-05T00:00:00"/>
    <x v="1"/>
    <n v="28"/>
    <s v="LUNES"/>
    <x v="11"/>
    <x v="11"/>
    <n v="360"/>
    <n v="90"/>
    <n v="61.2"/>
    <x v="0"/>
  </r>
  <r>
    <d v="2021-07-05T00:00:00"/>
    <x v="1"/>
    <n v="28"/>
    <s v="LUNES"/>
    <x v="5"/>
    <x v="5"/>
    <n v="324"/>
    <n v="162"/>
    <n v="55.080000000000005"/>
    <x v="0"/>
  </r>
  <r>
    <d v="2021-07-05T00:00:00"/>
    <x v="1"/>
    <n v="28"/>
    <s v="LUNES"/>
    <x v="8"/>
    <x v="8"/>
    <n v="990"/>
    <n v="198"/>
    <n v="168.3"/>
    <x v="0"/>
  </r>
  <r>
    <d v="2021-07-05T00:00:00"/>
    <x v="1"/>
    <n v="28"/>
    <s v="LUNES"/>
    <x v="2"/>
    <x v="2"/>
    <n v="3564"/>
    <n v="198"/>
    <n v="605.88"/>
    <x v="0"/>
  </r>
  <r>
    <d v="2021-07-05T00:00:00"/>
    <x v="1"/>
    <n v="28"/>
    <s v="LUNES"/>
    <x v="27"/>
    <x v="27"/>
    <n v="700"/>
    <n v="350"/>
    <n v="161"/>
    <x v="0"/>
  </r>
  <r>
    <d v="2021-07-05T00:00:00"/>
    <x v="1"/>
    <n v="28"/>
    <s v="LUNES"/>
    <x v="32"/>
    <x v="32"/>
    <n v="420"/>
    <n v="420"/>
    <n v="176.4"/>
    <x v="0"/>
  </r>
  <r>
    <d v="2021-07-05T00:00:00"/>
    <x v="1"/>
    <n v="28"/>
    <s v="LUNES"/>
    <x v="10"/>
    <x v="10"/>
    <n v="1920"/>
    <n v="120"/>
    <n v="326.40000000000003"/>
    <x v="0"/>
  </r>
  <r>
    <d v="2021-07-05T00:00:00"/>
    <x v="1"/>
    <n v="28"/>
    <s v="LUNES"/>
    <x v="6"/>
    <x v="6"/>
    <n v="120"/>
    <n v="120"/>
    <n v="20.400000000000002"/>
    <x v="0"/>
  </r>
  <r>
    <d v="2021-07-05T00:00:00"/>
    <x v="1"/>
    <n v="28"/>
    <s v="LUNES"/>
    <x v="7"/>
    <x v="7"/>
    <n v="792"/>
    <n v="198"/>
    <n v="134.64000000000001"/>
    <x v="0"/>
  </r>
  <r>
    <d v="2021-07-05T00:00:00"/>
    <x v="1"/>
    <n v="28"/>
    <s v="LUNES"/>
    <x v="23"/>
    <x v="23"/>
    <n v="720"/>
    <n v="90"/>
    <n v="122.4"/>
    <x v="0"/>
  </r>
  <r>
    <d v="2021-07-05T00:00:00"/>
    <x v="1"/>
    <n v="28"/>
    <s v="LUNES"/>
    <x v="16"/>
    <x v="16"/>
    <n v="180"/>
    <n v="180"/>
    <n v="75.599999999999994"/>
    <x v="0"/>
  </r>
  <r>
    <d v="2021-07-06T00:00:00"/>
    <x v="1"/>
    <n v="28"/>
    <s v="MARTES"/>
    <x v="5"/>
    <x v="5"/>
    <n v="648"/>
    <n v="162"/>
    <n v="110.16000000000001"/>
    <x v="0"/>
  </r>
  <r>
    <d v="2021-07-06T00:00:00"/>
    <x v="1"/>
    <n v="28"/>
    <s v="MARTES"/>
    <x v="2"/>
    <x v="2"/>
    <n v="1188"/>
    <n v="198"/>
    <n v="201.96"/>
    <x v="0"/>
  </r>
  <r>
    <d v="2021-07-06T00:00:00"/>
    <x v="1"/>
    <n v="28"/>
    <s v="MARTES"/>
    <x v="1"/>
    <x v="1"/>
    <n v="2574"/>
    <n v="198"/>
    <n v="437.58000000000004"/>
    <x v="0"/>
  </r>
  <r>
    <d v="2021-07-06T00:00:00"/>
    <x v="1"/>
    <n v="28"/>
    <s v="MARTES"/>
    <x v="20"/>
    <x v="20"/>
    <n v="450"/>
    <n v="90"/>
    <n v="76.5"/>
    <x v="0"/>
  </r>
  <r>
    <d v="2021-07-06T00:00:00"/>
    <x v="1"/>
    <n v="28"/>
    <s v="MARTES"/>
    <x v="17"/>
    <x v="17"/>
    <n v="720"/>
    <n v="120"/>
    <n v="122.4"/>
    <x v="0"/>
  </r>
  <r>
    <d v="2021-07-06T00:00:00"/>
    <x v="1"/>
    <n v="28"/>
    <s v="MARTES"/>
    <x v="7"/>
    <x v="7"/>
    <n v="1782"/>
    <n v="198"/>
    <n v="302.94"/>
    <x v="0"/>
  </r>
  <r>
    <d v="2021-07-06T00:00:00"/>
    <x v="1"/>
    <n v="28"/>
    <s v="MARTES"/>
    <x v="25"/>
    <x v="25"/>
    <n v="1350"/>
    <n v="225"/>
    <n v="567"/>
    <x v="0"/>
  </r>
  <r>
    <d v="2021-07-06T00:00:00"/>
    <x v="1"/>
    <n v="28"/>
    <s v="MARTES"/>
    <x v="15"/>
    <x v="15"/>
    <n v="400"/>
    <n v="50"/>
    <n v="160"/>
    <x v="0"/>
  </r>
  <r>
    <d v="2021-07-06T00:00:00"/>
    <x v="1"/>
    <n v="28"/>
    <s v="MARTES"/>
    <x v="3"/>
    <x v="3"/>
    <n v="792"/>
    <n v="198"/>
    <n v="134.64000000000001"/>
    <x v="0"/>
  </r>
  <r>
    <d v="2021-07-06T00:00:00"/>
    <x v="1"/>
    <n v="28"/>
    <s v="MARTES"/>
    <x v="8"/>
    <x v="8"/>
    <n v="1188"/>
    <n v="198"/>
    <n v="201.96"/>
    <x v="0"/>
  </r>
  <r>
    <d v="2021-07-06T00:00:00"/>
    <x v="1"/>
    <n v="28"/>
    <s v="MARTES"/>
    <x v="4"/>
    <x v="4"/>
    <n v="972"/>
    <n v="162"/>
    <n v="165.24"/>
    <x v="0"/>
  </r>
  <r>
    <d v="2021-07-06T00:00:00"/>
    <x v="1"/>
    <n v="28"/>
    <s v="MARTES"/>
    <x v="11"/>
    <x v="11"/>
    <n v="450"/>
    <n v="90"/>
    <n v="76.5"/>
    <x v="0"/>
  </r>
  <r>
    <d v="2021-07-06T00:00:00"/>
    <x v="1"/>
    <n v="28"/>
    <s v="MARTES"/>
    <x v="9"/>
    <x v="9"/>
    <n v="720"/>
    <n v="90"/>
    <n v="122.4"/>
    <x v="0"/>
  </r>
  <r>
    <d v="2021-07-06T00:00:00"/>
    <x v="1"/>
    <n v="28"/>
    <s v="MARTES"/>
    <x v="10"/>
    <x v="10"/>
    <n v="960"/>
    <n v="120"/>
    <n v="163.20000000000002"/>
    <x v="0"/>
  </r>
  <r>
    <d v="2021-07-06T00:00:00"/>
    <x v="1"/>
    <n v="28"/>
    <s v="MARTES"/>
    <x v="12"/>
    <x v="12"/>
    <n v="675"/>
    <n v="225"/>
    <n v="270"/>
    <x v="0"/>
  </r>
  <r>
    <d v="2021-07-06T00:00:00"/>
    <x v="1"/>
    <n v="28"/>
    <s v="MARTES"/>
    <x v="0"/>
    <x v="0"/>
    <n v="192"/>
    <n v="48"/>
    <n v="76.800000000000011"/>
    <x v="0"/>
  </r>
  <r>
    <d v="2021-07-06T00:00:00"/>
    <x v="1"/>
    <n v="28"/>
    <s v="MARTES"/>
    <x v="6"/>
    <x v="6"/>
    <n v="1080"/>
    <n v="120"/>
    <n v="183.60000000000002"/>
    <x v="0"/>
  </r>
  <r>
    <d v="2021-07-07T00:00:00"/>
    <x v="1"/>
    <n v="28"/>
    <s v="MIÉRCOLES"/>
    <x v="27"/>
    <x v="27"/>
    <n v="392"/>
    <n v="350"/>
    <n v="90.160000000000011"/>
    <x v="0"/>
  </r>
  <r>
    <d v="2021-07-07T00:00:00"/>
    <x v="1"/>
    <n v="28"/>
    <s v="MIÉRCOLES"/>
    <x v="16"/>
    <x v="16"/>
    <n v="900"/>
    <n v="180"/>
    <n v="378"/>
    <x v="0"/>
  </r>
  <r>
    <d v="2021-07-07T00:00:00"/>
    <x v="1"/>
    <n v="28"/>
    <s v="MIÉRCOLES"/>
    <x v="13"/>
    <x v="13"/>
    <n v="60"/>
    <n v="30"/>
    <n v="24"/>
    <x v="0"/>
  </r>
  <r>
    <d v="2021-07-07T00:00:00"/>
    <x v="1"/>
    <n v="28"/>
    <s v="MIÉRCOLES"/>
    <x v="25"/>
    <x v="25"/>
    <n v="900"/>
    <n v="225"/>
    <n v="378"/>
    <x v="0"/>
  </r>
  <r>
    <d v="2021-07-07T00:00:00"/>
    <x v="1"/>
    <n v="28"/>
    <s v="MIÉRCOLES"/>
    <x v="27"/>
    <x v="27"/>
    <n v="350"/>
    <n v="350"/>
    <n v="80.5"/>
    <x v="0"/>
  </r>
  <r>
    <d v="2021-07-07T00:00:00"/>
    <x v="1"/>
    <n v="28"/>
    <s v="MIÉRCOLES"/>
    <x v="12"/>
    <x v="12"/>
    <n v="225"/>
    <n v="225"/>
    <n v="90"/>
    <x v="0"/>
  </r>
  <r>
    <d v="2021-07-07T00:00:00"/>
    <x v="1"/>
    <n v="28"/>
    <s v="MIÉRCOLES"/>
    <x v="19"/>
    <x v="19"/>
    <n v="450"/>
    <n v="225"/>
    <n v="180"/>
    <x v="0"/>
  </r>
  <r>
    <d v="2021-07-07T00:00:00"/>
    <x v="1"/>
    <n v="28"/>
    <s v="MIÉRCOLES"/>
    <x v="0"/>
    <x v="0"/>
    <n v="192"/>
    <n v="48"/>
    <n v="76.800000000000011"/>
    <x v="0"/>
  </r>
  <r>
    <d v="2021-07-07T00:00:00"/>
    <x v="1"/>
    <n v="28"/>
    <s v="MIÉRCOLES"/>
    <x v="17"/>
    <x v="17"/>
    <n v="240"/>
    <n v="120"/>
    <n v="40.800000000000004"/>
    <x v="0"/>
  </r>
  <r>
    <d v="2021-07-07T00:00:00"/>
    <x v="1"/>
    <n v="28"/>
    <s v="MIÉRCOLES"/>
    <x v="20"/>
    <x v="20"/>
    <n v="180"/>
    <n v="90"/>
    <n v="30.6"/>
    <x v="0"/>
  </r>
  <r>
    <d v="2021-07-07T00:00:00"/>
    <x v="1"/>
    <n v="28"/>
    <s v="MIÉRCOLES"/>
    <x v="11"/>
    <x v="11"/>
    <n v="720"/>
    <n v="90"/>
    <n v="122.4"/>
    <x v="0"/>
  </r>
  <r>
    <d v="2021-07-07T00:00:00"/>
    <x v="1"/>
    <n v="28"/>
    <s v="MIÉRCOLES"/>
    <x v="23"/>
    <x v="23"/>
    <n v="270"/>
    <n v="90"/>
    <n v="45.900000000000006"/>
    <x v="0"/>
  </r>
  <r>
    <d v="2021-07-07T00:00:00"/>
    <x v="1"/>
    <n v="28"/>
    <s v="MIÉRCOLES"/>
    <x v="9"/>
    <x v="9"/>
    <n v="450"/>
    <n v="90"/>
    <n v="76.5"/>
    <x v="0"/>
  </r>
  <r>
    <d v="2021-07-07T00:00:00"/>
    <x v="1"/>
    <n v="28"/>
    <s v="MIÉRCOLES"/>
    <x v="26"/>
    <x v="26"/>
    <n v="180"/>
    <n v="90"/>
    <n v="30.6"/>
    <x v="0"/>
  </r>
  <r>
    <d v="2021-07-07T00:00:00"/>
    <x v="1"/>
    <n v="28"/>
    <s v="MIÉRCOLES"/>
    <x v="15"/>
    <x v="15"/>
    <n v="400"/>
    <n v="50"/>
    <n v="160"/>
    <x v="0"/>
  </r>
  <r>
    <d v="2021-07-07T00:00:00"/>
    <x v="1"/>
    <n v="28"/>
    <s v="MIÉRCOLES"/>
    <x v="8"/>
    <x v="8"/>
    <n v="1188"/>
    <n v="198"/>
    <n v="201.96"/>
    <x v="0"/>
  </r>
  <r>
    <d v="2021-07-07T00:00:00"/>
    <x v="1"/>
    <n v="28"/>
    <s v="MIÉRCOLES"/>
    <x v="1"/>
    <x v="1"/>
    <n v="4752"/>
    <n v="198"/>
    <n v="807.84"/>
    <x v="0"/>
  </r>
  <r>
    <d v="2021-07-07T00:00:00"/>
    <x v="1"/>
    <n v="28"/>
    <s v="MIÉRCOLES"/>
    <x v="2"/>
    <x v="2"/>
    <n v="1386"/>
    <n v="198"/>
    <n v="235.62"/>
    <x v="0"/>
  </r>
  <r>
    <d v="2021-07-07T00:00:00"/>
    <x v="1"/>
    <n v="28"/>
    <s v="MIÉRCOLES"/>
    <x v="3"/>
    <x v="3"/>
    <n v="990"/>
    <n v="198"/>
    <n v="168.3"/>
    <x v="0"/>
  </r>
  <r>
    <d v="2021-07-07T00:00:00"/>
    <x v="1"/>
    <n v="28"/>
    <s v="MIÉRCOLES"/>
    <x v="22"/>
    <x v="22"/>
    <n v="396"/>
    <n v="198"/>
    <n v="67.320000000000007"/>
    <x v="0"/>
  </r>
  <r>
    <d v="2021-07-07T00:00:00"/>
    <x v="1"/>
    <n v="28"/>
    <s v="MIÉRCOLES"/>
    <x v="7"/>
    <x v="7"/>
    <n v="792"/>
    <n v="198"/>
    <n v="134.64000000000001"/>
    <x v="0"/>
  </r>
  <r>
    <d v="2021-07-07T00:00:00"/>
    <x v="1"/>
    <n v="28"/>
    <s v="MIÉRCOLES"/>
    <x v="5"/>
    <x v="5"/>
    <n v="648"/>
    <n v="162"/>
    <n v="110.16000000000001"/>
    <x v="0"/>
  </r>
  <r>
    <d v="2021-07-07T00:00:00"/>
    <x v="1"/>
    <n v="28"/>
    <s v="MIÉRCOLES"/>
    <x v="4"/>
    <x v="4"/>
    <n v="648"/>
    <n v="162"/>
    <n v="110.16000000000001"/>
    <x v="0"/>
  </r>
  <r>
    <d v="2021-07-08T00:00:00"/>
    <x v="1"/>
    <n v="28"/>
    <s v="JUEVES"/>
    <x v="1"/>
    <x v="1"/>
    <n v="1188"/>
    <n v="198"/>
    <n v="201.96"/>
    <x v="0"/>
  </r>
  <r>
    <d v="2021-07-08T00:00:00"/>
    <x v="1"/>
    <n v="28"/>
    <s v="JUEVES"/>
    <x v="7"/>
    <x v="7"/>
    <n v="2376"/>
    <n v="198"/>
    <n v="403.92"/>
    <x v="0"/>
  </r>
  <r>
    <d v="2021-07-08T00:00:00"/>
    <x v="1"/>
    <n v="28"/>
    <s v="JUEVES"/>
    <x v="11"/>
    <x v="11"/>
    <n v="1440"/>
    <n v="90"/>
    <n v="244.8"/>
    <x v="0"/>
  </r>
  <r>
    <d v="2021-07-08T00:00:00"/>
    <x v="1"/>
    <n v="28"/>
    <s v="JUEVES"/>
    <x v="3"/>
    <x v="3"/>
    <n v="792"/>
    <n v="198"/>
    <n v="134.64000000000001"/>
    <x v="0"/>
  </r>
  <r>
    <d v="2021-07-08T00:00:00"/>
    <x v="1"/>
    <n v="28"/>
    <s v="JUEVES"/>
    <x v="9"/>
    <x v="9"/>
    <n v="900"/>
    <n v="90"/>
    <n v="153"/>
    <x v="0"/>
  </r>
  <r>
    <d v="2021-07-08T00:00:00"/>
    <x v="1"/>
    <n v="28"/>
    <s v="JUEVES"/>
    <x v="17"/>
    <x v="17"/>
    <n v="1440"/>
    <n v="120"/>
    <n v="244.8"/>
    <x v="0"/>
  </r>
  <r>
    <d v="2021-07-08T00:00:00"/>
    <x v="1"/>
    <n v="28"/>
    <s v="JUEVES"/>
    <x v="2"/>
    <x v="2"/>
    <n v="1584"/>
    <n v="198"/>
    <n v="269.28000000000003"/>
    <x v="0"/>
  </r>
  <r>
    <d v="2021-07-08T00:00:00"/>
    <x v="1"/>
    <n v="28"/>
    <s v="JUEVES"/>
    <x v="23"/>
    <x v="23"/>
    <n v="2700"/>
    <n v="90"/>
    <n v="459.00000000000006"/>
    <x v="0"/>
  </r>
  <r>
    <d v="2021-07-08T00:00:00"/>
    <x v="1"/>
    <n v="28"/>
    <s v="JUEVES"/>
    <x v="6"/>
    <x v="6"/>
    <n v="1080"/>
    <n v="120"/>
    <n v="183.60000000000002"/>
    <x v="0"/>
  </r>
  <r>
    <d v="2021-07-08T00:00:00"/>
    <x v="1"/>
    <n v="28"/>
    <s v="JUEVES"/>
    <x v="13"/>
    <x v="13"/>
    <n v="60"/>
    <n v="30"/>
    <n v="24"/>
    <x v="0"/>
  </r>
  <r>
    <d v="2021-07-08T00:00:00"/>
    <x v="1"/>
    <n v="28"/>
    <s v="JUEVES"/>
    <x v="15"/>
    <x v="15"/>
    <n v="100"/>
    <n v="50"/>
    <n v="40"/>
    <x v="0"/>
  </r>
  <r>
    <d v="2021-07-08T00:00:00"/>
    <x v="1"/>
    <n v="28"/>
    <s v="JUEVES"/>
    <x v="8"/>
    <x v="8"/>
    <n v="792"/>
    <n v="198"/>
    <n v="134.64000000000001"/>
    <x v="0"/>
  </r>
  <r>
    <d v="2021-07-08T00:00:00"/>
    <x v="1"/>
    <n v="28"/>
    <s v="JUEVES"/>
    <x v="26"/>
    <x v="26"/>
    <n v="630"/>
    <n v="90"/>
    <n v="107.10000000000001"/>
    <x v="0"/>
  </r>
  <r>
    <d v="2021-07-08T00:00:00"/>
    <x v="1"/>
    <n v="28"/>
    <s v="JUEVES"/>
    <x v="0"/>
    <x v="0"/>
    <n v="144"/>
    <n v="48"/>
    <n v="57.6"/>
    <x v="0"/>
  </r>
  <r>
    <d v="2021-07-08T00:00:00"/>
    <x v="1"/>
    <n v="28"/>
    <s v="JUEVES"/>
    <x v="28"/>
    <x v="28"/>
    <n v="30"/>
    <n v="30"/>
    <n v="6.9"/>
    <x v="0"/>
  </r>
  <r>
    <d v="2021-07-08T00:00:00"/>
    <x v="1"/>
    <n v="28"/>
    <s v="JUEVES"/>
    <x v="4"/>
    <x v="4"/>
    <n v="162"/>
    <n v="162"/>
    <n v="27.540000000000003"/>
    <x v="0"/>
  </r>
  <r>
    <d v="2021-07-08T00:00:00"/>
    <x v="1"/>
    <n v="28"/>
    <s v="JUEVES"/>
    <x v="22"/>
    <x v="22"/>
    <n v="198"/>
    <n v="198"/>
    <n v="33.660000000000004"/>
    <x v="0"/>
  </r>
  <r>
    <d v="2021-07-09T00:00:00"/>
    <x v="1"/>
    <n v="28"/>
    <s v="VIERNES"/>
    <x v="15"/>
    <x v="15"/>
    <n v="400"/>
    <n v="50"/>
    <n v="160"/>
    <x v="0"/>
  </r>
  <r>
    <d v="2021-07-09T00:00:00"/>
    <x v="1"/>
    <n v="28"/>
    <s v="VIERNES"/>
    <x v="13"/>
    <x v="13"/>
    <n v="60"/>
    <n v="30"/>
    <n v="24"/>
    <x v="0"/>
  </r>
  <r>
    <d v="2021-07-09T00:00:00"/>
    <x v="1"/>
    <n v="28"/>
    <s v="VIERNES"/>
    <x v="0"/>
    <x v="0"/>
    <n v="96"/>
    <n v="48"/>
    <n v="38.400000000000006"/>
    <x v="0"/>
  </r>
  <r>
    <d v="2021-07-09T00:00:00"/>
    <x v="1"/>
    <n v="28"/>
    <s v="VIERNES"/>
    <x v="16"/>
    <x v="16"/>
    <n v="360"/>
    <n v="180"/>
    <n v="151.19999999999999"/>
    <x v="0"/>
  </r>
  <r>
    <d v="2021-07-09T00:00:00"/>
    <x v="1"/>
    <n v="28"/>
    <s v="VIERNES"/>
    <x v="22"/>
    <x v="22"/>
    <n v="792"/>
    <n v="198"/>
    <n v="134.64000000000001"/>
    <x v="0"/>
  </r>
  <r>
    <d v="2021-07-09T00:00:00"/>
    <x v="1"/>
    <n v="28"/>
    <s v="VIERNES"/>
    <x v="2"/>
    <x v="2"/>
    <n v="792"/>
    <n v="198"/>
    <n v="134.64000000000001"/>
    <x v="0"/>
  </r>
  <r>
    <d v="2021-07-09T00:00:00"/>
    <x v="1"/>
    <n v="28"/>
    <s v="VIERNES"/>
    <x v="20"/>
    <x v="20"/>
    <n v="450"/>
    <n v="90"/>
    <n v="76.5"/>
    <x v="0"/>
  </r>
  <r>
    <d v="2021-07-09T00:00:00"/>
    <x v="1"/>
    <n v="28"/>
    <s v="VIERNES"/>
    <x v="23"/>
    <x v="23"/>
    <n v="2610"/>
    <n v="90"/>
    <n v="443.70000000000005"/>
    <x v="0"/>
  </r>
  <r>
    <d v="2021-07-09T00:00:00"/>
    <x v="1"/>
    <n v="28"/>
    <s v="VIERNES"/>
    <x v="11"/>
    <x v="11"/>
    <n v="1440"/>
    <n v="90"/>
    <n v="244.8"/>
    <x v="0"/>
  </r>
  <r>
    <d v="2021-07-09T00:00:00"/>
    <x v="1"/>
    <n v="28"/>
    <s v="VIERNES"/>
    <x v="25"/>
    <x v="25"/>
    <n v="1800"/>
    <n v="225"/>
    <n v="756"/>
    <x v="0"/>
  </r>
  <r>
    <d v="2021-07-09T00:00:00"/>
    <x v="1"/>
    <n v="28"/>
    <s v="VIERNES"/>
    <x v="34"/>
    <x v="34"/>
    <n v="1188"/>
    <n v="198"/>
    <n v="201.96"/>
    <x v="0"/>
  </r>
  <r>
    <d v="2021-07-09T00:00:00"/>
    <x v="1"/>
    <n v="28"/>
    <s v="VIERNES"/>
    <x v="3"/>
    <x v="3"/>
    <n v="396"/>
    <n v="198"/>
    <n v="67.320000000000007"/>
    <x v="0"/>
  </r>
  <r>
    <d v="2021-07-09T00:00:00"/>
    <x v="1"/>
    <n v="28"/>
    <s v="VIERNES"/>
    <x v="1"/>
    <x v="1"/>
    <n v="2376"/>
    <n v="198"/>
    <n v="403.92"/>
    <x v="0"/>
  </r>
  <r>
    <d v="2021-07-09T00:00:00"/>
    <x v="1"/>
    <n v="28"/>
    <s v="VIERNES"/>
    <x v="7"/>
    <x v="7"/>
    <n v="792"/>
    <n v="198"/>
    <n v="134.64000000000001"/>
    <x v="0"/>
  </r>
  <r>
    <d v="2021-07-09T00:00:00"/>
    <x v="1"/>
    <n v="28"/>
    <s v="VIERNES"/>
    <x v="17"/>
    <x v="17"/>
    <n v="480"/>
    <n v="120"/>
    <n v="81.600000000000009"/>
    <x v="0"/>
  </r>
  <r>
    <d v="2021-07-09T00:00:00"/>
    <x v="1"/>
    <n v="28"/>
    <s v="VIERNES"/>
    <x v="8"/>
    <x v="8"/>
    <n v="792"/>
    <n v="198"/>
    <n v="134.64000000000001"/>
    <x v="0"/>
  </r>
  <r>
    <d v="2021-07-09T00:00:00"/>
    <x v="1"/>
    <n v="28"/>
    <s v="VIERNES"/>
    <x v="26"/>
    <x v="26"/>
    <n v="540"/>
    <n v="90"/>
    <n v="91.800000000000011"/>
    <x v="0"/>
  </r>
  <r>
    <d v="2021-07-09T00:00:00"/>
    <x v="1"/>
    <n v="28"/>
    <s v="VIERNES"/>
    <x v="9"/>
    <x v="9"/>
    <n v="720"/>
    <n v="90"/>
    <n v="122.4"/>
    <x v="0"/>
  </r>
  <r>
    <d v="2021-07-09T00:00:00"/>
    <x v="1"/>
    <n v="28"/>
    <s v="VIERNES"/>
    <x v="19"/>
    <x v="19"/>
    <n v="450"/>
    <n v="225"/>
    <n v="180"/>
    <x v="0"/>
  </r>
  <r>
    <d v="2021-07-09T00:00:00"/>
    <x v="1"/>
    <n v="28"/>
    <s v="VIERNES"/>
    <x v="12"/>
    <x v="12"/>
    <n v="450"/>
    <n v="225"/>
    <n v="180"/>
    <x v="0"/>
  </r>
  <r>
    <d v="2021-07-09T00:00:00"/>
    <x v="1"/>
    <n v="28"/>
    <s v="VIERNES"/>
    <x v="4"/>
    <x v="4"/>
    <n v="324"/>
    <n v="162"/>
    <n v="55.080000000000005"/>
    <x v="0"/>
  </r>
  <r>
    <d v="2021-07-10T00:00:00"/>
    <x v="1"/>
    <n v="29"/>
    <s v="SÁBADO"/>
    <x v="16"/>
    <x v="16"/>
    <n v="360"/>
    <n v="180"/>
    <n v="151.19999999999999"/>
    <x v="0"/>
  </r>
  <r>
    <d v="2021-07-10T00:00:00"/>
    <x v="1"/>
    <n v="29"/>
    <s v="SÁBADO"/>
    <x v="3"/>
    <x v="3"/>
    <n v="396"/>
    <n v="198"/>
    <n v="67.320000000000007"/>
    <x v="0"/>
  </r>
  <r>
    <d v="2021-07-10T00:00:00"/>
    <x v="1"/>
    <n v="29"/>
    <s v="SÁBADO"/>
    <x v="23"/>
    <x v="23"/>
    <n v="1440"/>
    <n v="90"/>
    <n v="244.8"/>
    <x v="0"/>
  </r>
  <r>
    <d v="2021-07-10T00:00:00"/>
    <x v="1"/>
    <n v="29"/>
    <s v="SÁBADO"/>
    <x v="9"/>
    <x v="9"/>
    <n v="900"/>
    <n v="90"/>
    <n v="153"/>
    <x v="0"/>
  </r>
  <r>
    <d v="2021-07-10T00:00:00"/>
    <x v="1"/>
    <n v="29"/>
    <s v="SÁBADO"/>
    <x v="1"/>
    <x v="1"/>
    <n v="2772"/>
    <n v="198"/>
    <n v="471.24"/>
    <x v="0"/>
  </r>
  <r>
    <d v="2021-07-10T00:00:00"/>
    <x v="1"/>
    <n v="29"/>
    <s v="SÁBADO"/>
    <x v="7"/>
    <x v="7"/>
    <n v="3564"/>
    <n v="198"/>
    <n v="605.88"/>
    <x v="0"/>
  </r>
  <r>
    <d v="2021-07-10T00:00:00"/>
    <x v="1"/>
    <n v="29"/>
    <s v="SÁBADO"/>
    <x v="13"/>
    <x v="13"/>
    <n v="60"/>
    <n v="30"/>
    <n v="24"/>
    <x v="0"/>
  </r>
  <r>
    <d v="2021-07-10T00:00:00"/>
    <x v="1"/>
    <n v="29"/>
    <s v="SÁBADO"/>
    <x v="33"/>
    <x v="33"/>
    <n v="40"/>
    <n v="40"/>
    <n v="9.2000000000000011"/>
    <x v="0"/>
  </r>
  <r>
    <d v="2021-07-10T00:00:00"/>
    <x v="1"/>
    <n v="29"/>
    <s v="SÁBADO"/>
    <x v="22"/>
    <x v="22"/>
    <n v="792"/>
    <n v="198"/>
    <n v="134.64000000000001"/>
    <x v="0"/>
  </r>
  <r>
    <d v="2021-07-10T00:00:00"/>
    <x v="1"/>
    <n v="29"/>
    <s v="SÁBADO"/>
    <x v="8"/>
    <x v="8"/>
    <n v="396"/>
    <n v="198"/>
    <n v="67.320000000000007"/>
    <x v="0"/>
  </r>
  <r>
    <d v="2021-07-10T00:00:00"/>
    <x v="1"/>
    <n v="29"/>
    <s v="SÁBADO"/>
    <x v="6"/>
    <x v="6"/>
    <n v="480"/>
    <n v="120"/>
    <n v="81.600000000000009"/>
    <x v="0"/>
  </r>
  <r>
    <d v="2021-07-10T00:00:00"/>
    <x v="1"/>
    <n v="29"/>
    <s v="SÁBADO"/>
    <x v="2"/>
    <x v="2"/>
    <n v="1188"/>
    <n v="198"/>
    <n v="201.96"/>
    <x v="0"/>
  </r>
  <r>
    <d v="2021-07-10T00:00:00"/>
    <x v="1"/>
    <n v="29"/>
    <s v="SÁBADO"/>
    <x v="10"/>
    <x v="10"/>
    <n v="1440"/>
    <n v="120"/>
    <n v="244.8"/>
    <x v="0"/>
  </r>
  <r>
    <d v="2021-07-10T00:00:00"/>
    <x v="1"/>
    <n v="29"/>
    <s v="SÁBADO"/>
    <x v="17"/>
    <x v="17"/>
    <n v="240"/>
    <n v="120"/>
    <n v="40.800000000000004"/>
    <x v="0"/>
  </r>
  <r>
    <d v="2021-07-10T00:00:00"/>
    <x v="1"/>
    <n v="29"/>
    <s v="SÁBADO"/>
    <x v="11"/>
    <x v="11"/>
    <n v="450"/>
    <n v="90"/>
    <n v="76.5"/>
    <x v="0"/>
  </r>
  <r>
    <d v="2021-07-10T00:00:00"/>
    <x v="1"/>
    <n v="29"/>
    <s v="SÁBADO"/>
    <x v="26"/>
    <x v="26"/>
    <n v="90"/>
    <n v="90"/>
    <n v="15.3"/>
    <x v="0"/>
  </r>
  <r>
    <d v="2021-07-10T00:00:00"/>
    <x v="1"/>
    <n v="29"/>
    <s v="SÁBADO"/>
    <x v="25"/>
    <x v="25"/>
    <n v="900"/>
    <n v="225"/>
    <n v="378"/>
    <x v="0"/>
  </r>
  <r>
    <d v="2021-07-10T00:00:00"/>
    <x v="1"/>
    <n v="29"/>
    <s v="SÁBADO"/>
    <x v="12"/>
    <x v="12"/>
    <n v="225"/>
    <n v="225"/>
    <n v="90"/>
    <x v="0"/>
  </r>
  <r>
    <d v="2021-07-10T00:00:00"/>
    <x v="1"/>
    <n v="29"/>
    <s v="SÁBADO"/>
    <x v="0"/>
    <x v="0"/>
    <n v="576"/>
    <n v="48"/>
    <n v="230.4"/>
    <x v="0"/>
  </r>
  <r>
    <d v="2021-07-12T00:00:00"/>
    <x v="1"/>
    <n v="29"/>
    <s v="LUNES"/>
    <x v="10"/>
    <x v="10"/>
    <n v="1440"/>
    <n v="120"/>
    <n v="244.8"/>
    <x v="0"/>
  </r>
  <r>
    <d v="2021-07-12T00:00:00"/>
    <x v="1"/>
    <n v="29"/>
    <s v="LUNES"/>
    <x v="11"/>
    <x v="11"/>
    <n v="810"/>
    <n v="90"/>
    <n v="137.70000000000002"/>
    <x v="0"/>
  </r>
  <r>
    <d v="2021-07-12T00:00:00"/>
    <x v="1"/>
    <n v="29"/>
    <s v="LUNES"/>
    <x v="6"/>
    <x v="6"/>
    <n v="960"/>
    <n v="120"/>
    <n v="163.20000000000002"/>
    <x v="0"/>
  </r>
  <r>
    <d v="2021-07-12T00:00:00"/>
    <x v="1"/>
    <n v="29"/>
    <s v="LUNES"/>
    <x v="7"/>
    <x v="7"/>
    <n v="1188"/>
    <n v="198"/>
    <n v="201.96"/>
    <x v="0"/>
  </r>
  <r>
    <d v="2021-07-12T00:00:00"/>
    <x v="1"/>
    <n v="29"/>
    <s v="LUNES"/>
    <x v="0"/>
    <x v="0"/>
    <n v="672"/>
    <n v="48"/>
    <n v="268.8"/>
    <x v="0"/>
  </r>
  <r>
    <d v="2021-07-12T00:00:00"/>
    <x v="1"/>
    <n v="29"/>
    <s v="LUNES"/>
    <x v="38"/>
    <x v="38"/>
    <n v="448"/>
    <n v="112"/>
    <n v="179.20000000000002"/>
    <x v="0"/>
  </r>
  <r>
    <d v="2021-07-12T00:00:00"/>
    <x v="1"/>
    <n v="29"/>
    <s v="LUNES"/>
    <x v="16"/>
    <x v="16"/>
    <n v="900"/>
    <n v="180"/>
    <n v="378"/>
    <x v="0"/>
  </r>
  <r>
    <d v="2021-07-12T00:00:00"/>
    <x v="1"/>
    <n v="29"/>
    <s v="LUNES"/>
    <x v="25"/>
    <x v="25"/>
    <n v="450"/>
    <n v="225"/>
    <n v="189"/>
    <x v="0"/>
  </r>
  <r>
    <d v="2021-07-12T00:00:00"/>
    <x v="1"/>
    <n v="29"/>
    <s v="LUNES"/>
    <x v="23"/>
    <x v="23"/>
    <n v="450"/>
    <n v="90"/>
    <n v="76.5"/>
    <x v="0"/>
  </r>
  <r>
    <d v="2021-07-12T00:00:00"/>
    <x v="1"/>
    <n v="29"/>
    <s v="LUNES"/>
    <x v="27"/>
    <x v="27"/>
    <n v="1050"/>
    <n v="350"/>
    <n v="241.5"/>
    <x v="0"/>
  </r>
  <r>
    <d v="2021-07-12T00:00:00"/>
    <x v="1"/>
    <n v="29"/>
    <s v="LUNES"/>
    <x v="17"/>
    <x v="17"/>
    <n v="240"/>
    <n v="120"/>
    <n v="40.800000000000004"/>
    <x v="0"/>
  </r>
  <r>
    <d v="2021-07-12T00:00:00"/>
    <x v="1"/>
    <n v="29"/>
    <s v="LUNES"/>
    <x v="26"/>
    <x v="26"/>
    <n v="450"/>
    <n v="90"/>
    <n v="76.5"/>
    <x v="0"/>
  </r>
  <r>
    <d v="2021-07-12T00:00:00"/>
    <x v="1"/>
    <n v="29"/>
    <s v="LUNES"/>
    <x v="1"/>
    <x v="1"/>
    <n v="2772"/>
    <n v="198"/>
    <n v="471.24"/>
    <x v="0"/>
  </r>
  <r>
    <d v="2021-07-12T00:00:00"/>
    <x v="1"/>
    <n v="29"/>
    <s v="LUNES"/>
    <x v="2"/>
    <x v="2"/>
    <n v="1584"/>
    <n v="198"/>
    <n v="269.28000000000003"/>
    <x v="0"/>
  </r>
  <r>
    <d v="2021-07-12T00:00:00"/>
    <x v="1"/>
    <n v="29"/>
    <s v="LUNES"/>
    <x v="8"/>
    <x v="8"/>
    <n v="792"/>
    <n v="198"/>
    <n v="134.64000000000001"/>
    <x v="0"/>
  </r>
  <r>
    <d v="2021-07-12T00:00:00"/>
    <x v="1"/>
    <n v="29"/>
    <s v="LUNES"/>
    <x v="15"/>
    <x v="15"/>
    <n v="100"/>
    <n v="50"/>
    <n v="40"/>
    <x v="0"/>
  </r>
  <r>
    <d v="2021-07-13T00:00:00"/>
    <x v="1"/>
    <n v="29"/>
    <s v="MARTES"/>
    <x v="0"/>
    <x v="0"/>
    <n v="192"/>
    <n v="48"/>
    <n v="76.800000000000011"/>
    <x v="0"/>
  </r>
  <r>
    <d v="2021-07-13T00:00:00"/>
    <x v="1"/>
    <n v="29"/>
    <s v="MARTES"/>
    <x v="16"/>
    <x v="16"/>
    <n v="180"/>
    <n v="180"/>
    <n v="75.599999999999994"/>
    <x v="0"/>
  </r>
  <r>
    <d v="2021-07-13T00:00:00"/>
    <x v="1"/>
    <n v="29"/>
    <s v="MARTES"/>
    <x v="19"/>
    <x v="19"/>
    <n v="225"/>
    <n v="225"/>
    <n v="90"/>
    <x v="0"/>
  </r>
  <r>
    <d v="2021-07-13T00:00:00"/>
    <x v="1"/>
    <n v="29"/>
    <s v="MARTES"/>
    <x v="24"/>
    <x v="24"/>
    <n v="840"/>
    <n v="420"/>
    <n v="352.8"/>
    <x v="0"/>
  </r>
  <r>
    <d v="2021-07-13T00:00:00"/>
    <x v="1"/>
    <n v="29"/>
    <s v="MARTES"/>
    <x v="23"/>
    <x v="23"/>
    <n v="720"/>
    <n v="90"/>
    <n v="122.4"/>
    <x v="0"/>
  </r>
  <r>
    <d v="2021-07-13T00:00:00"/>
    <x v="1"/>
    <n v="29"/>
    <s v="MARTES"/>
    <x v="2"/>
    <x v="2"/>
    <n v="1188"/>
    <n v="198"/>
    <n v="201.96"/>
    <x v="0"/>
  </r>
  <r>
    <d v="2021-07-13T00:00:00"/>
    <x v="1"/>
    <n v="29"/>
    <s v="MARTES"/>
    <x v="3"/>
    <x v="3"/>
    <n v="792"/>
    <n v="198"/>
    <n v="134.64000000000001"/>
    <x v="0"/>
  </r>
  <r>
    <d v="2021-07-13T00:00:00"/>
    <x v="1"/>
    <n v="29"/>
    <s v="MARTES"/>
    <x v="4"/>
    <x v="4"/>
    <n v="162"/>
    <n v="162"/>
    <n v="27.540000000000003"/>
    <x v="0"/>
  </r>
  <r>
    <d v="2021-07-13T00:00:00"/>
    <x v="1"/>
    <n v="29"/>
    <s v="MARTES"/>
    <x v="5"/>
    <x v="5"/>
    <n v="324"/>
    <n v="162"/>
    <n v="55.080000000000005"/>
    <x v="0"/>
  </r>
  <r>
    <d v="2021-07-13T00:00:00"/>
    <x v="1"/>
    <n v="29"/>
    <s v="MARTES"/>
    <x v="6"/>
    <x v="6"/>
    <n v="1680"/>
    <n v="120"/>
    <n v="285.60000000000002"/>
    <x v="0"/>
  </r>
  <r>
    <d v="2021-07-13T00:00:00"/>
    <x v="1"/>
    <n v="29"/>
    <s v="MARTES"/>
    <x v="17"/>
    <x v="17"/>
    <n v="960"/>
    <n v="120"/>
    <n v="163.20000000000002"/>
    <x v="0"/>
  </r>
  <r>
    <d v="2021-07-13T00:00:00"/>
    <x v="1"/>
    <n v="29"/>
    <s v="MARTES"/>
    <x v="7"/>
    <x v="7"/>
    <n v="198"/>
    <n v="198"/>
    <n v="33.660000000000004"/>
    <x v="0"/>
  </r>
  <r>
    <d v="2021-07-13T00:00:00"/>
    <x v="1"/>
    <n v="29"/>
    <s v="MARTES"/>
    <x v="8"/>
    <x v="8"/>
    <n v="2772"/>
    <n v="198"/>
    <n v="471.24"/>
    <x v="0"/>
  </r>
  <r>
    <d v="2021-07-13T00:00:00"/>
    <x v="1"/>
    <n v="29"/>
    <s v="MARTES"/>
    <x v="9"/>
    <x v="9"/>
    <n v="720"/>
    <n v="90"/>
    <n v="122.4"/>
    <x v="0"/>
  </r>
  <r>
    <d v="2021-07-13T00:00:00"/>
    <x v="1"/>
    <n v="29"/>
    <s v="MARTES"/>
    <x v="10"/>
    <x v="10"/>
    <n v="1680"/>
    <n v="120"/>
    <n v="285.60000000000002"/>
    <x v="0"/>
  </r>
  <r>
    <d v="2021-07-13T00:00:00"/>
    <x v="1"/>
    <n v="29"/>
    <s v="MARTES"/>
    <x v="11"/>
    <x v="11"/>
    <n v="2160"/>
    <n v="90"/>
    <n v="367.20000000000005"/>
    <x v="0"/>
  </r>
  <r>
    <d v="2021-07-13T00:00:00"/>
    <x v="1"/>
    <n v="29"/>
    <s v="MARTES"/>
    <x v="12"/>
    <x v="12"/>
    <n v="225"/>
    <n v="225"/>
    <n v="90"/>
    <x v="0"/>
  </r>
  <r>
    <d v="2021-07-13T00:00:00"/>
    <x v="1"/>
    <n v="29"/>
    <s v="MARTES"/>
    <x v="28"/>
    <x v="28"/>
    <n v="60"/>
    <n v="30"/>
    <n v="13.8"/>
    <x v="0"/>
  </r>
  <r>
    <d v="2021-07-13T00:00:00"/>
    <x v="1"/>
    <n v="29"/>
    <s v="MARTES"/>
    <x v="13"/>
    <x v="13"/>
    <n v="60"/>
    <n v="30"/>
    <n v="24"/>
    <x v="0"/>
  </r>
  <r>
    <d v="2021-07-13T00:00:00"/>
    <x v="1"/>
    <n v="29"/>
    <s v="MARTES"/>
    <x v="15"/>
    <x v="15"/>
    <n v="100"/>
    <n v="50"/>
    <n v="40"/>
    <x v="0"/>
  </r>
  <r>
    <d v="2021-07-14T00:00:00"/>
    <x v="1"/>
    <n v="29"/>
    <s v="MIÉRCOLES"/>
    <x v="9"/>
    <x v="9"/>
    <n v="450"/>
    <n v="90"/>
    <n v="76.5"/>
    <x v="0"/>
  </r>
  <r>
    <d v="2021-07-14T00:00:00"/>
    <x v="1"/>
    <n v="29"/>
    <s v="MIÉRCOLES"/>
    <x v="7"/>
    <x v="7"/>
    <n v="1584"/>
    <n v="198"/>
    <n v="269.28000000000003"/>
    <x v="0"/>
  </r>
  <r>
    <d v="2021-07-14T00:00:00"/>
    <x v="1"/>
    <n v="29"/>
    <s v="MIÉRCOLES"/>
    <x v="1"/>
    <x v="1"/>
    <n v="592"/>
    <n v="198"/>
    <n v="100.64"/>
    <x v="0"/>
  </r>
  <r>
    <d v="2021-07-14T00:00:00"/>
    <x v="1"/>
    <n v="29"/>
    <s v="MIÉRCOLES"/>
    <x v="3"/>
    <x v="3"/>
    <n v="198"/>
    <n v="198"/>
    <n v="33.660000000000004"/>
    <x v="0"/>
  </r>
  <r>
    <d v="2021-07-14T00:00:00"/>
    <x v="1"/>
    <n v="29"/>
    <s v="MIÉRCOLES"/>
    <x v="2"/>
    <x v="2"/>
    <n v="792"/>
    <n v="198"/>
    <n v="134.64000000000001"/>
    <x v="0"/>
  </r>
  <r>
    <d v="2021-07-14T00:00:00"/>
    <x v="1"/>
    <n v="29"/>
    <s v="MIÉRCOLES"/>
    <x v="26"/>
    <x v="26"/>
    <n v="450"/>
    <n v="90"/>
    <n v="76.5"/>
    <x v="0"/>
  </r>
  <r>
    <d v="2021-07-14T00:00:00"/>
    <x v="1"/>
    <n v="29"/>
    <s v="MIÉRCOLES"/>
    <x v="7"/>
    <x v="7"/>
    <n v="1188"/>
    <n v="198"/>
    <n v="201.96"/>
    <x v="0"/>
  </r>
  <r>
    <d v="2021-07-14T00:00:00"/>
    <x v="1"/>
    <n v="29"/>
    <s v="MIÉRCOLES"/>
    <x v="6"/>
    <x v="6"/>
    <n v="360"/>
    <n v="120"/>
    <n v="61.2"/>
    <x v="0"/>
  </r>
  <r>
    <d v="2021-07-14T00:00:00"/>
    <x v="1"/>
    <n v="29"/>
    <s v="MIÉRCOLES"/>
    <x v="2"/>
    <x v="2"/>
    <n v="594"/>
    <n v="198"/>
    <n v="100.98"/>
    <x v="0"/>
  </r>
  <r>
    <d v="2021-07-14T00:00:00"/>
    <x v="1"/>
    <n v="29"/>
    <s v="MIÉRCOLES"/>
    <x v="1"/>
    <x v="1"/>
    <n v="594"/>
    <n v="198"/>
    <n v="100.98"/>
    <x v="0"/>
  </r>
  <r>
    <d v="2021-07-14T00:00:00"/>
    <x v="1"/>
    <n v="29"/>
    <s v="MIÉRCOLES"/>
    <x v="8"/>
    <x v="8"/>
    <n v="1386"/>
    <n v="198"/>
    <n v="235.62"/>
    <x v="0"/>
  </r>
  <r>
    <d v="2021-07-14T00:00:00"/>
    <x v="1"/>
    <n v="29"/>
    <s v="MIÉRCOLES"/>
    <x v="26"/>
    <x v="26"/>
    <n v="270"/>
    <n v="90"/>
    <n v="45.900000000000006"/>
    <x v="0"/>
  </r>
  <r>
    <d v="2021-07-14T00:00:00"/>
    <x v="1"/>
    <n v="29"/>
    <s v="MIÉRCOLES"/>
    <x v="17"/>
    <x v="17"/>
    <n v="360"/>
    <n v="120"/>
    <n v="61.2"/>
    <x v="0"/>
  </r>
  <r>
    <d v="2021-07-14T00:00:00"/>
    <x v="1"/>
    <n v="29"/>
    <s v="MIÉRCOLES"/>
    <x v="25"/>
    <x v="25"/>
    <n v="450"/>
    <n v="225"/>
    <n v="189"/>
    <x v="0"/>
  </r>
  <r>
    <d v="2021-07-14T00:00:00"/>
    <x v="1"/>
    <n v="29"/>
    <s v="MIÉRCOLES"/>
    <x v="0"/>
    <x v="0"/>
    <n v="96"/>
    <n v="48"/>
    <n v="38.400000000000006"/>
    <x v="0"/>
  </r>
  <r>
    <d v="2021-07-14T00:00:00"/>
    <x v="1"/>
    <n v="29"/>
    <s v="MIÉRCOLES"/>
    <x v="12"/>
    <x v="12"/>
    <n v="450"/>
    <n v="225"/>
    <n v="180"/>
    <x v="0"/>
  </r>
  <r>
    <d v="2021-07-14T00:00:00"/>
    <x v="1"/>
    <n v="29"/>
    <s v="MIÉRCOLES"/>
    <x v="15"/>
    <x v="15"/>
    <n v="150"/>
    <n v="50"/>
    <n v="60"/>
    <x v="0"/>
  </r>
  <r>
    <d v="2021-07-14T00:00:00"/>
    <x v="1"/>
    <n v="29"/>
    <s v="MIÉRCOLES"/>
    <x v="13"/>
    <x v="13"/>
    <n v="90"/>
    <n v="30"/>
    <n v="36"/>
    <x v="0"/>
  </r>
  <r>
    <d v="2021-07-14T00:00:00"/>
    <x v="1"/>
    <n v="29"/>
    <s v="MIÉRCOLES"/>
    <x v="33"/>
    <x v="33"/>
    <n v="80"/>
    <n v="40"/>
    <n v="18.400000000000002"/>
    <x v="0"/>
  </r>
  <r>
    <d v="2021-07-14T00:00:00"/>
    <x v="1"/>
    <n v="29"/>
    <s v="MIÉRCOLES"/>
    <x v="28"/>
    <x v="28"/>
    <n v="150"/>
    <n v="30"/>
    <n v="34.5"/>
    <x v="0"/>
  </r>
  <r>
    <d v="2021-07-14T00:00:00"/>
    <x v="1"/>
    <n v="29"/>
    <s v="MIÉRCOLES"/>
    <x v="8"/>
    <x v="8"/>
    <n v="1980"/>
    <n v="198"/>
    <n v="336.6"/>
    <x v="0"/>
  </r>
  <r>
    <d v="2021-07-14T00:00:00"/>
    <x v="1"/>
    <n v="29"/>
    <s v="MIÉRCOLES"/>
    <x v="16"/>
    <x v="16"/>
    <n v="360"/>
    <n v="180"/>
    <n v="151.19999999999999"/>
    <x v="0"/>
  </r>
  <r>
    <d v="2021-07-14T00:00:00"/>
    <x v="1"/>
    <n v="29"/>
    <s v="MIÉRCOLES"/>
    <x v="10"/>
    <x v="10"/>
    <n v="1200"/>
    <n v="120"/>
    <n v="204.00000000000003"/>
    <x v="0"/>
  </r>
  <r>
    <d v="2021-07-14T00:00:00"/>
    <x v="1"/>
    <n v="29"/>
    <s v="MIÉRCOLES"/>
    <x v="17"/>
    <x v="17"/>
    <n v="720"/>
    <n v="120"/>
    <n v="122.4"/>
    <x v="0"/>
  </r>
  <r>
    <d v="2021-07-14T00:00:00"/>
    <x v="1"/>
    <n v="29"/>
    <s v="MIÉRCOLES"/>
    <x v="23"/>
    <x v="23"/>
    <n v="1620"/>
    <n v="90"/>
    <n v="275.40000000000003"/>
    <x v="0"/>
  </r>
  <r>
    <d v="2021-07-14T00:00:00"/>
    <x v="1"/>
    <n v="29"/>
    <s v="MIÉRCOLES"/>
    <x v="5"/>
    <x v="5"/>
    <n v="324"/>
    <n v="162"/>
    <n v="55.080000000000005"/>
    <x v="0"/>
  </r>
  <r>
    <d v="2021-07-14T00:00:00"/>
    <x v="1"/>
    <n v="29"/>
    <s v="MIÉRCOLES"/>
    <x v="6"/>
    <x v="6"/>
    <n v="720"/>
    <n v="120"/>
    <n v="122.4"/>
    <x v="0"/>
  </r>
  <r>
    <d v="2021-07-14T00:00:00"/>
    <x v="1"/>
    <n v="29"/>
    <s v="MIÉRCOLES"/>
    <x v="4"/>
    <x v="4"/>
    <n v="324"/>
    <n v="162"/>
    <n v="55.080000000000005"/>
    <x v="0"/>
  </r>
  <r>
    <d v="2021-07-15T00:00:00"/>
    <x v="1"/>
    <n v="29"/>
    <s v="JUEVES"/>
    <x v="10"/>
    <x v="10"/>
    <n v="1440"/>
    <n v="120"/>
    <n v="244.8"/>
    <x v="0"/>
  </r>
  <r>
    <d v="2021-07-15T00:00:00"/>
    <x v="1"/>
    <n v="29"/>
    <s v="JUEVES"/>
    <x v="4"/>
    <x v="4"/>
    <n v="972"/>
    <n v="162"/>
    <n v="165.24"/>
    <x v="0"/>
  </r>
  <r>
    <d v="2021-07-15T00:00:00"/>
    <x v="1"/>
    <n v="29"/>
    <s v="JUEVES"/>
    <x v="20"/>
    <x v="20"/>
    <n v="270"/>
    <n v="90"/>
    <n v="45.900000000000006"/>
    <x v="0"/>
  </r>
  <r>
    <d v="2021-07-15T00:00:00"/>
    <x v="1"/>
    <n v="29"/>
    <s v="JUEVES"/>
    <x v="0"/>
    <x v="0"/>
    <n v="96"/>
    <n v="48"/>
    <n v="38.400000000000006"/>
    <x v="0"/>
  </r>
  <r>
    <d v="2021-07-15T00:00:00"/>
    <x v="1"/>
    <n v="29"/>
    <s v="JUEVES"/>
    <x v="3"/>
    <x v="3"/>
    <n v="198"/>
    <n v="198"/>
    <n v="33.660000000000004"/>
    <x v="0"/>
  </r>
  <r>
    <d v="2021-07-15T00:00:00"/>
    <x v="1"/>
    <n v="29"/>
    <s v="JUEVES"/>
    <x v="1"/>
    <x v="1"/>
    <n v="1782"/>
    <n v="198"/>
    <n v="302.94"/>
    <x v="0"/>
  </r>
  <r>
    <d v="2021-07-15T00:00:00"/>
    <x v="1"/>
    <n v="29"/>
    <s v="JUEVES"/>
    <x v="24"/>
    <x v="24"/>
    <n v="840"/>
    <n v="420"/>
    <n v="352.8"/>
    <x v="0"/>
  </r>
  <r>
    <d v="2021-07-15T00:00:00"/>
    <x v="1"/>
    <n v="29"/>
    <s v="JUEVES"/>
    <x v="28"/>
    <x v="28"/>
    <n v="150"/>
    <n v="30"/>
    <n v="34.5"/>
    <x v="0"/>
  </r>
  <r>
    <d v="2021-07-15T00:00:00"/>
    <x v="1"/>
    <n v="29"/>
    <s v="JUEVES"/>
    <x v="38"/>
    <x v="38"/>
    <n v="112"/>
    <n v="112"/>
    <n v="44.800000000000004"/>
    <x v="0"/>
  </r>
  <r>
    <d v="2021-07-15T00:00:00"/>
    <x v="1"/>
    <n v="29"/>
    <s v="JUEVES"/>
    <x v="25"/>
    <x v="25"/>
    <n v="450"/>
    <n v="225"/>
    <n v="189"/>
    <x v="0"/>
  </r>
  <r>
    <d v="2021-07-15T00:00:00"/>
    <x v="1"/>
    <n v="29"/>
    <s v="JUEVES"/>
    <x v="5"/>
    <x v="5"/>
    <n v="810"/>
    <n v="162"/>
    <n v="137.70000000000002"/>
    <x v="0"/>
  </r>
  <r>
    <d v="2021-07-15T00:00:00"/>
    <x v="1"/>
    <n v="29"/>
    <s v="JUEVES"/>
    <x v="11"/>
    <x v="11"/>
    <n v="1440"/>
    <n v="90"/>
    <n v="244.8"/>
    <x v="0"/>
  </r>
  <r>
    <d v="2021-07-15T00:00:00"/>
    <x v="1"/>
    <n v="29"/>
    <s v="JUEVES"/>
    <x v="13"/>
    <x v="13"/>
    <n v="30"/>
    <n v="30"/>
    <n v="12"/>
    <x v="0"/>
  </r>
  <r>
    <d v="2021-07-15T00:00:00"/>
    <x v="1"/>
    <n v="29"/>
    <s v="JUEVES"/>
    <x v="32"/>
    <x v="32"/>
    <n v="2520"/>
    <n v="420"/>
    <n v="1058.3999999999999"/>
    <x v="0"/>
  </r>
  <r>
    <d v="2021-07-15T00:00:00"/>
    <x v="1"/>
    <n v="29"/>
    <s v="JUEVES"/>
    <x v="9"/>
    <x v="9"/>
    <n v="180"/>
    <n v="90"/>
    <n v="30.6"/>
    <x v="0"/>
  </r>
  <r>
    <d v="2021-07-16T00:00:00"/>
    <x v="1"/>
    <n v="29"/>
    <s v="VIERNES"/>
    <x v="13"/>
    <x v="13"/>
    <n v="60"/>
    <n v="30"/>
    <n v="24"/>
    <x v="0"/>
  </r>
  <r>
    <d v="2021-07-16T00:00:00"/>
    <x v="1"/>
    <n v="29"/>
    <s v="VIERNES"/>
    <x v="38"/>
    <x v="38"/>
    <n v="672"/>
    <n v="112"/>
    <n v="268.8"/>
    <x v="0"/>
  </r>
  <r>
    <d v="2021-07-16T00:00:00"/>
    <x v="1"/>
    <n v="29"/>
    <s v="VIERNES"/>
    <x v="0"/>
    <x v="0"/>
    <n v="576"/>
    <n v="48"/>
    <n v="230.4"/>
    <x v="0"/>
  </r>
  <r>
    <d v="2021-07-16T00:00:00"/>
    <x v="1"/>
    <n v="29"/>
    <s v="VIERNES"/>
    <x v="24"/>
    <x v="24"/>
    <n v="3360"/>
    <n v="420"/>
    <n v="1411.2"/>
    <x v="0"/>
  </r>
  <r>
    <d v="2021-07-16T00:00:00"/>
    <x v="1"/>
    <n v="29"/>
    <s v="VIERNES"/>
    <x v="16"/>
    <x v="16"/>
    <n v="360"/>
    <n v="180"/>
    <n v="151.19999999999999"/>
    <x v="0"/>
  </r>
  <r>
    <d v="2021-07-16T00:00:00"/>
    <x v="1"/>
    <n v="29"/>
    <s v="VIERNES"/>
    <x v="1"/>
    <x v="1"/>
    <n v="1386"/>
    <n v="198"/>
    <n v="235.62"/>
    <x v="0"/>
  </r>
  <r>
    <d v="2021-07-16T00:00:00"/>
    <x v="1"/>
    <n v="29"/>
    <s v="VIERNES"/>
    <x v="2"/>
    <x v="2"/>
    <n v="1386"/>
    <n v="198"/>
    <n v="235.62"/>
    <x v="0"/>
  </r>
  <r>
    <d v="2021-07-16T00:00:00"/>
    <x v="1"/>
    <n v="29"/>
    <s v="VIERNES"/>
    <x v="3"/>
    <x v="3"/>
    <n v="396"/>
    <n v="198"/>
    <n v="67.320000000000007"/>
    <x v="0"/>
  </r>
  <r>
    <d v="2021-07-16T00:00:00"/>
    <x v="1"/>
    <n v="29"/>
    <s v="VIERNES"/>
    <x v="4"/>
    <x v="4"/>
    <n v="486"/>
    <n v="162"/>
    <n v="82.62"/>
    <x v="0"/>
  </r>
  <r>
    <d v="2021-07-16T00:00:00"/>
    <x v="1"/>
    <n v="29"/>
    <s v="VIERNES"/>
    <x v="5"/>
    <x v="5"/>
    <n v="324"/>
    <n v="162"/>
    <n v="55.080000000000005"/>
    <x v="0"/>
  </r>
  <r>
    <d v="2021-07-16T00:00:00"/>
    <x v="1"/>
    <n v="29"/>
    <s v="VIERNES"/>
    <x v="7"/>
    <x v="7"/>
    <n v="1782"/>
    <n v="198"/>
    <n v="302.94"/>
    <x v="0"/>
  </r>
  <r>
    <d v="2021-07-16T00:00:00"/>
    <x v="1"/>
    <n v="29"/>
    <s v="VIERNES"/>
    <x v="8"/>
    <x v="8"/>
    <n v="1386"/>
    <n v="198"/>
    <n v="235.62"/>
    <x v="0"/>
  </r>
  <r>
    <d v="2021-07-16T00:00:00"/>
    <x v="1"/>
    <n v="29"/>
    <s v="VIERNES"/>
    <x v="10"/>
    <x v="10"/>
    <n v="960"/>
    <n v="120"/>
    <n v="163.20000000000002"/>
    <x v="0"/>
  </r>
  <r>
    <d v="2021-07-16T00:00:00"/>
    <x v="1"/>
    <n v="29"/>
    <s v="VIERNES"/>
    <x v="26"/>
    <x v="26"/>
    <n v="90"/>
    <n v="90"/>
    <n v="15.3"/>
    <x v="0"/>
  </r>
  <r>
    <d v="2021-07-16T00:00:00"/>
    <x v="1"/>
    <n v="29"/>
    <s v="VIERNES"/>
    <x v="11"/>
    <x v="11"/>
    <n v="810"/>
    <n v="90"/>
    <n v="137.70000000000002"/>
    <x v="0"/>
  </r>
  <r>
    <d v="2021-07-17T00:00:00"/>
    <x v="1"/>
    <n v="30"/>
    <s v="SÁBADO"/>
    <x v="23"/>
    <x v="23"/>
    <n v="2610"/>
    <n v="90"/>
    <n v="443.70000000000005"/>
    <x v="0"/>
  </r>
  <r>
    <d v="2021-07-17T00:00:00"/>
    <x v="1"/>
    <n v="30"/>
    <s v="SÁBADO"/>
    <x v="11"/>
    <x v="11"/>
    <n v="270"/>
    <n v="90"/>
    <n v="45.900000000000006"/>
    <x v="0"/>
  </r>
  <r>
    <d v="2021-07-17T00:00:00"/>
    <x v="1"/>
    <n v="30"/>
    <s v="SÁBADO"/>
    <x v="20"/>
    <x v="20"/>
    <n v="90"/>
    <n v="90"/>
    <n v="15.3"/>
    <x v="0"/>
  </r>
  <r>
    <d v="2021-07-17T00:00:00"/>
    <x v="1"/>
    <n v="30"/>
    <s v="SÁBADO"/>
    <x v="24"/>
    <x v="24"/>
    <n v="840"/>
    <n v="420"/>
    <n v="352.8"/>
    <x v="0"/>
  </r>
  <r>
    <d v="2021-07-17T00:00:00"/>
    <x v="1"/>
    <n v="30"/>
    <s v="SÁBADO"/>
    <x v="16"/>
    <x v="16"/>
    <n v="180"/>
    <n v="180"/>
    <n v="75.599999999999994"/>
    <x v="0"/>
  </r>
  <r>
    <d v="2021-07-17T00:00:00"/>
    <x v="1"/>
    <n v="30"/>
    <s v="SÁBADO"/>
    <x v="28"/>
    <x v="28"/>
    <n v="30"/>
    <n v="30"/>
    <n v="6.9"/>
    <x v="0"/>
  </r>
  <r>
    <d v="2021-07-17T00:00:00"/>
    <x v="1"/>
    <n v="30"/>
    <s v="SÁBADO"/>
    <x v="13"/>
    <x v="13"/>
    <n v="30"/>
    <n v="30"/>
    <n v="12"/>
    <x v="0"/>
  </r>
  <r>
    <d v="2021-07-17T00:00:00"/>
    <x v="1"/>
    <n v="30"/>
    <s v="SÁBADO"/>
    <x v="14"/>
    <x v="14"/>
    <n v="40"/>
    <n v="40"/>
    <n v="9.2000000000000011"/>
    <x v="0"/>
  </r>
  <r>
    <d v="2021-07-17T00:00:00"/>
    <x v="1"/>
    <n v="30"/>
    <s v="SÁBADO"/>
    <x v="0"/>
    <x v="0"/>
    <n v="1056"/>
    <n v="48"/>
    <n v="422.40000000000003"/>
    <x v="0"/>
  </r>
  <r>
    <d v="2021-07-17T00:00:00"/>
    <x v="1"/>
    <n v="30"/>
    <s v="SÁBADO"/>
    <x v="1"/>
    <x v="1"/>
    <n v="1188"/>
    <n v="198"/>
    <n v="201.96"/>
    <x v="0"/>
  </r>
  <r>
    <d v="2021-07-17T00:00:00"/>
    <x v="1"/>
    <n v="30"/>
    <s v="SÁBADO"/>
    <x v="2"/>
    <x v="2"/>
    <n v="1188"/>
    <n v="198"/>
    <n v="201.96"/>
    <x v="0"/>
  </r>
  <r>
    <d v="2021-07-17T00:00:00"/>
    <x v="1"/>
    <n v="30"/>
    <s v="SÁBADO"/>
    <x v="3"/>
    <x v="3"/>
    <n v="792"/>
    <n v="198"/>
    <n v="134.64000000000001"/>
    <x v="0"/>
  </r>
  <r>
    <d v="2021-07-17T00:00:00"/>
    <x v="1"/>
    <n v="30"/>
    <s v="SÁBADO"/>
    <x v="4"/>
    <x v="4"/>
    <n v="810"/>
    <n v="162"/>
    <n v="137.70000000000002"/>
    <x v="0"/>
  </r>
  <r>
    <d v="2021-07-17T00:00:00"/>
    <x v="1"/>
    <n v="30"/>
    <s v="SÁBADO"/>
    <x v="5"/>
    <x v="5"/>
    <n v="648"/>
    <n v="162"/>
    <n v="110.16000000000001"/>
    <x v="0"/>
  </r>
  <r>
    <d v="2021-07-17T00:00:00"/>
    <x v="1"/>
    <n v="30"/>
    <s v="SÁBADO"/>
    <x v="6"/>
    <x v="6"/>
    <n v="240"/>
    <n v="120"/>
    <n v="40.800000000000004"/>
    <x v="0"/>
  </r>
  <r>
    <d v="2021-07-17T00:00:00"/>
    <x v="1"/>
    <n v="30"/>
    <s v="SÁBADO"/>
    <x v="17"/>
    <x v="17"/>
    <n v="360"/>
    <n v="120"/>
    <n v="61.2"/>
    <x v="0"/>
  </r>
  <r>
    <d v="2021-07-17T00:00:00"/>
    <x v="1"/>
    <n v="30"/>
    <s v="SÁBADO"/>
    <x v="7"/>
    <x v="7"/>
    <n v="2376"/>
    <n v="198"/>
    <n v="403.92"/>
    <x v="0"/>
  </r>
  <r>
    <d v="2021-07-17T00:00:00"/>
    <x v="1"/>
    <n v="30"/>
    <s v="SÁBADO"/>
    <x v="8"/>
    <x v="8"/>
    <n v="594"/>
    <n v="198"/>
    <n v="100.98"/>
    <x v="0"/>
  </r>
  <r>
    <d v="2021-07-17T00:00:00"/>
    <x v="1"/>
    <n v="30"/>
    <s v="SÁBADO"/>
    <x v="9"/>
    <x v="9"/>
    <n v="270"/>
    <n v="90"/>
    <n v="45.900000000000006"/>
    <x v="0"/>
  </r>
  <r>
    <d v="2021-07-17T00:00:00"/>
    <x v="1"/>
    <n v="30"/>
    <s v="SÁBADO"/>
    <x v="26"/>
    <x v="26"/>
    <n v="270"/>
    <n v="90"/>
    <n v="45.900000000000006"/>
    <x v="0"/>
  </r>
  <r>
    <d v="2021-07-19T00:00:00"/>
    <x v="1"/>
    <n v="30"/>
    <s v="LUNES"/>
    <x v="13"/>
    <x v="13"/>
    <n v="30"/>
    <n v="30"/>
    <n v="12"/>
    <x v="0"/>
  </r>
  <r>
    <d v="2021-07-19T00:00:00"/>
    <x v="1"/>
    <n v="30"/>
    <s v="LUNES"/>
    <x v="0"/>
    <x v="0"/>
    <n v="576"/>
    <n v="48"/>
    <n v="230.4"/>
    <x v="0"/>
  </r>
  <r>
    <d v="2021-07-19T00:00:00"/>
    <x v="1"/>
    <n v="30"/>
    <s v="LUNES"/>
    <x v="24"/>
    <x v="24"/>
    <n v="420"/>
    <n v="420"/>
    <n v="176.4"/>
    <x v="0"/>
  </r>
  <r>
    <d v="2021-07-19T00:00:00"/>
    <x v="1"/>
    <n v="30"/>
    <s v="LUNES"/>
    <x v="32"/>
    <x v="32"/>
    <n v="840"/>
    <n v="420"/>
    <n v="352.8"/>
    <x v="0"/>
  </r>
  <r>
    <d v="2021-07-19T00:00:00"/>
    <x v="1"/>
    <n v="30"/>
    <s v="LUNES"/>
    <x v="16"/>
    <x v="16"/>
    <n v="180"/>
    <n v="180"/>
    <n v="75.599999999999994"/>
    <x v="0"/>
  </r>
  <r>
    <d v="2021-07-19T00:00:00"/>
    <x v="1"/>
    <n v="30"/>
    <s v="LUNES"/>
    <x v="1"/>
    <x v="1"/>
    <n v="1782"/>
    <n v="198"/>
    <n v="302.94"/>
    <x v="0"/>
  </r>
  <r>
    <d v="2021-07-19T00:00:00"/>
    <x v="1"/>
    <n v="30"/>
    <s v="LUNES"/>
    <x v="7"/>
    <x v="7"/>
    <n v="1386"/>
    <n v="198"/>
    <n v="235.62"/>
    <x v="0"/>
  </r>
  <r>
    <d v="2021-07-19T00:00:00"/>
    <x v="1"/>
    <n v="30"/>
    <s v="LUNES"/>
    <x v="8"/>
    <x v="8"/>
    <n v="792"/>
    <n v="198"/>
    <n v="134.64000000000001"/>
    <x v="0"/>
  </r>
  <r>
    <d v="2021-07-19T00:00:00"/>
    <x v="1"/>
    <n v="30"/>
    <s v="LUNES"/>
    <x v="9"/>
    <x v="9"/>
    <n v="540"/>
    <n v="90"/>
    <n v="91.800000000000011"/>
    <x v="0"/>
  </r>
  <r>
    <d v="2021-07-19T00:00:00"/>
    <x v="1"/>
    <n v="30"/>
    <s v="LUNES"/>
    <x v="10"/>
    <x v="10"/>
    <n v="3000"/>
    <n v="120"/>
    <n v="510.00000000000006"/>
    <x v="0"/>
  </r>
  <r>
    <d v="2021-07-19T00:00:00"/>
    <x v="1"/>
    <n v="30"/>
    <s v="LUNES"/>
    <x v="26"/>
    <x v="26"/>
    <n v="90"/>
    <n v="90"/>
    <n v="15.3"/>
    <x v="0"/>
  </r>
  <r>
    <d v="2021-07-19T00:00:00"/>
    <x v="1"/>
    <n v="30"/>
    <s v="LUNES"/>
    <x v="23"/>
    <x v="23"/>
    <n v="360"/>
    <n v="90"/>
    <n v="61.2"/>
    <x v="0"/>
  </r>
  <r>
    <d v="2021-07-19T00:00:00"/>
    <x v="1"/>
    <n v="30"/>
    <s v="LUNES"/>
    <x v="11"/>
    <x v="11"/>
    <n v="1710"/>
    <n v="90"/>
    <n v="290.70000000000005"/>
    <x v="0"/>
  </r>
  <r>
    <d v="2021-07-19T00:00:00"/>
    <x v="1"/>
    <n v="30"/>
    <s v="LUNES"/>
    <x v="25"/>
    <x v="25"/>
    <n v="675"/>
    <n v="225"/>
    <n v="283.5"/>
    <x v="0"/>
  </r>
  <r>
    <d v="2021-07-19T00:00:00"/>
    <x v="1"/>
    <n v="30"/>
    <s v="LUNES"/>
    <x v="12"/>
    <x v="12"/>
    <n v="225"/>
    <n v="225"/>
    <n v="90"/>
    <x v="0"/>
  </r>
  <r>
    <d v="2021-07-19T00:00:00"/>
    <x v="1"/>
    <n v="30"/>
    <s v="LUNES"/>
    <x v="19"/>
    <x v="19"/>
    <n v="225"/>
    <n v="225"/>
    <n v="90"/>
    <x v="0"/>
  </r>
  <r>
    <d v="2021-07-19T00:00:00"/>
    <x v="1"/>
    <n v="30"/>
    <s v="LUNES"/>
    <x v="20"/>
    <x v="20"/>
    <n v="90"/>
    <n v="90"/>
    <n v="15.3"/>
    <x v="0"/>
  </r>
  <r>
    <d v="2021-07-20T00:00:00"/>
    <x v="1"/>
    <n v="30"/>
    <s v="MARTES"/>
    <x v="24"/>
    <x v="24"/>
    <n v="420"/>
    <n v="420"/>
    <n v="176.4"/>
    <x v="0"/>
  </r>
  <r>
    <d v="2021-07-20T00:00:00"/>
    <x v="1"/>
    <n v="30"/>
    <s v="MARTES"/>
    <x v="13"/>
    <x v="13"/>
    <n v="90"/>
    <n v="30"/>
    <n v="36"/>
    <x v="0"/>
  </r>
  <r>
    <d v="2021-07-20T00:00:00"/>
    <x v="1"/>
    <n v="30"/>
    <s v="MARTES"/>
    <x v="25"/>
    <x v="25"/>
    <n v="450"/>
    <n v="225"/>
    <n v="189"/>
    <x v="0"/>
  </r>
  <r>
    <d v="2021-07-20T00:00:00"/>
    <x v="1"/>
    <n v="30"/>
    <s v="MARTES"/>
    <x v="12"/>
    <x v="12"/>
    <n v="225"/>
    <n v="225"/>
    <n v="90"/>
    <x v="0"/>
  </r>
  <r>
    <d v="2021-07-20T00:00:00"/>
    <x v="1"/>
    <n v="30"/>
    <s v="MARTES"/>
    <x v="16"/>
    <x v="16"/>
    <n v="180"/>
    <n v="180"/>
    <n v="75.599999999999994"/>
    <x v="0"/>
  </r>
  <r>
    <d v="2021-07-20T00:00:00"/>
    <x v="1"/>
    <n v="30"/>
    <s v="MARTES"/>
    <x v="0"/>
    <x v="0"/>
    <n v="624"/>
    <n v="48"/>
    <n v="249.60000000000002"/>
    <x v="0"/>
  </r>
  <r>
    <d v="2021-07-20T00:00:00"/>
    <x v="1"/>
    <n v="30"/>
    <s v="MARTES"/>
    <x v="7"/>
    <x v="7"/>
    <n v="1584"/>
    <n v="198"/>
    <n v="269.28000000000003"/>
    <x v="0"/>
  </r>
  <r>
    <d v="2021-07-20T00:00:00"/>
    <x v="1"/>
    <n v="30"/>
    <s v="MARTES"/>
    <x v="1"/>
    <x v="1"/>
    <n v="2574"/>
    <n v="198"/>
    <n v="437.58000000000004"/>
    <x v="0"/>
  </r>
  <r>
    <d v="2021-07-20T00:00:00"/>
    <x v="1"/>
    <n v="30"/>
    <s v="MARTES"/>
    <x v="5"/>
    <x v="5"/>
    <n v="810"/>
    <n v="162"/>
    <n v="137.70000000000002"/>
    <x v="0"/>
  </r>
  <r>
    <d v="2021-07-20T00:00:00"/>
    <x v="1"/>
    <n v="30"/>
    <s v="MARTES"/>
    <x v="11"/>
    <x v="11"/>
    <n v="900"/>
    <n v="90"/>
    <n v="153"/>
    <x v="0"/>
  </r>
  <r>
    <d v="2021-07-20T00:00:00"/>
    <x v="1"/>
    <n v="30"/>
    <s v="MARTES"/>
    <x v="6"/>
    <x v="6"/>
    <n v="600"/>
    <n v="120"/>
    <n v="102.00000000000001"/>
    <x v="0"/>
  </r>
  <r>
    <d v="2021-07-20T00:00:00"/>
    <x v="1"/>
    <n v="30"/>
    <s v="MARTES"/>
    <x v="10"/>
    <x v="10"/>
    <n v="1440"/>
    <n v="120"/>
    <n v="244.8"/>
    <x v="0"/>
  </r>
  <r>
    <d v="2021-07-20T00:00:00"/>
    <x v="1"/>
    <n v="30"/>
    <s v="MARTES"/>
    <x v="28"/>
    <x v="28"/>
    <n v="60"/>
    <n v="30"/>
    <n v="13.8"/>
    <x v="0"/>
  </r>
  <r>
    <d v="2021-07-20T00:00:00"/>
    <x v="1"/>
    <n v="30"/>
    <s v="MARTES"/>
    <x v="14"/>
    <x v="14"/>
    <n v="40"/>
    <n v="40"/>
    <n v="9.2000000000000011"/>
    <x v="0"/>
  </r>
  <r>
    <d v="2021-07-20T00:00:00"/>
    <x v="1"/>
    <n v="30"/>
    <s v="MARTES"/>
    <x v="15"/>
    <x v="15"/>
    <n v="50"/>
    <n v="50"/>
    <n v="20"/>
    <x v="0"/>
  </r>
  <r>
    <d v="2021-07-20T00:00:00"/>
    <x v="1"/>
    <n v="30"/>
    <s v="MARTES"/>
    <x v="8"/>
    <x v="8"/>
    <n v="594"/>
    <n v="198"/>
    <n v="100.98"/>
    <x v="0"/>
  </r>
  <r>
    <d v="2021-07-20T00:00:00"/>
    <x v="1"/>
    <n v="30"/>
    <s v="MARTES"/>
    <x v="17"/>
    <x v="17"/>
    <n v="600"/>
    <n v="120"/>
    <n v="102.00000000000001"/>
    <x v="0"/>
  </r>
  <r>
    <d v="2021-07-20T00:00:00"/>
    <x v="1"/>
    <n v="30"/>
    <s v="MARTES"/>
    <x v="23"/>
    <x v="23"/>
    <n v="360"/>
    <n v="90"/>
    <n v="61.2"/>
    <x v="0"/>
  </r>
  <r>
    <d v="2021-07-20T00:00:00"/>
    <x v="1"/>
    <n v="30"/>
    <s v="MARTES"/>
    <x v="9"/>
    <x v="9"/>
    <n v="540"/>
    <n v="90"/>
    <n v="91.800000000000011"/>
    <x v="0"/>
  </r>
  <r>
    <d v="2021-07-20T00:00:00"/>
    <x v="1"/>
    <n v="30"/>
    <s v="MARTES"/>
    <x v="4"/>
    <x v="4"/>
    <n v="486"/>
    <n v="162"/>
    <n v="82.62"/>
    <x v="0"/>
  </r>
  <r>
    <d v="2021-07-20T00:00:00"/>
    <x v="1"/>
    <n v="30"/>
    <s v="MARTES"/>
    <x v="38"/>
    <x v="38"/>
    <n v="224"/>
    <n v="112"/>
    <n v="89.600000000000009"/>
    <x v="0"/>
  </r>
  <r>
    <d v="2021-07-21T00:00:00"/>
    <x v="1"/>
    <n v="30"/>
    <s v="MIÉRCOLES"/>
    <x v="1"/>
    <x v="1"/>
    <n v="1782"/>
    <n v="198"/>
    <n v="302.94"/>
    <x v="0"/>
  </r>
  <r>
    <d v="2021-07-21T00:00:00"/>
    <x v="1"/>
    <n v="30"/>
    <s v="MIÉRCOLES"/>
    <x v="5"/>
    <x v="5"/>
    <n v="648"/>
    <n v="162"/>
    <n v="110.16000000000001"/>
    <x v="0"/>
  </r>
  <r>
    <d v="2021-07-21T00:00:00"/>
    <x v="1"/>
    <n v="30"/>
    <s v="MIÉRCOLES"/>
    <x v="6"/>
    <x v="6"/>
    <n v="1320"/>
    <n v="120"/>
    <n v="224.4"/>
    <x v="0"/>
  </r>
  <r>
    <d v="2021-07-21T00:00:00"/>
    <x v="1"/>
    <n v="30"/>
    <s v="MIÉRCOLES"/>
    <x v="2"/>
    <x v="2"/>
    <n v="2970"/>
    <n v="198"/>
    <n v="504.90000000000003"/>
    <x v="0"/>
  </r>
  <r>
    <d v="2021-07-21T00:00:00"/>
    <x v="1"/>
    <n v="30"/>
    <s v="MIÉRCOLES"/>
    <x v="20"/>
    <x v="20"/>
    <n v="90"/>
    <n v="90"/>
    <n v="15.3"/>
    <x v="0"/>
  </r>
  <r>
    <d v="2021-07-21T00:00:00"/>
    <x v="1"/>
    <n v="30"/>
    <s v="MIÉRCOLES"/>
    <x v="3"/>
    <x v="3"/>
    <n v="792"/>
    <n v="198"/>
    <n v="134.64000000000001"/>
    <x v="0"/>
  </r>
  <r>
    <d v="2021-07-21T00:00:00"/>
    <x v="1"/>
    <n v="30"/>
    <s v="MIÉRCOLES"/>
    <x v="9"/>
    <x v="9"/>
    <n v="1440"/>
    <n v="90"/>
    <n v="244.8"/>
    <x v="0"/>
  </r>
  <r>
    <d v="2021-07-21T00:00:00"/>
    <x v="1"/>
    <n v="30"/>
    <s v="MIÉRCOLES"/>
    <x v="4"/>
    <x v="4"/>
    <n v="486"/>
    <n v="162"/>
    <n v="82.62"/>
    <x v="0"/>
  </r>
  <r>
    <d v="2021-07-21T00:00:00"/>
    <x v="1"/>
    <n v="30"/>
    <s v="MIÉRCOLES"/>
    <x v="26"/>
    <x v="26"/>
    <n v="450"/>
    <n v="90"/>
    <n v="76.5"/>
    <x v="0"/>
  </r>
  <r>
    <d v="2021-07-21T00:00:00"/>
    <x v="1"/>
    <n v="30"/>
    <s v="MIÉRCOLES"/>
    <x v="10"/>
    <x v="10"/>
    <n v="1440"/>
    <n v="120"/>
    <n v="244.8"/>
    <x v="0"/>
  </r>
  <r>
    <d v="2021-07-21T00:00:00"/>
    <x v="1"/>
    <n v="30"/>
    <s v="MIÉRCOLES"/>
    <x v="23"/>
    <x v="23"/>
    <n v="630"/>
    <n v="90"/>
    <n v="107.10000000000001"/>
    <x v="0"/>
  </r>
  <r>
    <d v="2021-07-21T00:00:00"/>
    <x v="1"/>
    <n v="30"/>
    <s v="MIÉRCOLES"/>
    <x v="17"/>
    <x v="17"/>
    <n v="960"/>
    <n v="120"/>
    <n v="163.20000000000002"/>
    <x v="0"/>
  </r>
  <r>
    <d v="2021-07-21T00:00:00"/>
    <x v="1"/>
    <n v="30"/>
    <s v="MIÉRCOLES"/>
    <x v="11"/>
    <x v="11"/>
    <n v="1440"/>
    <n v="90"/>
    <n v="244.8"/>
    <x v="0"/>
  </r>
  <r>
    <d v="2021-07-21T00:00:00"/>
    <x v="1"/>
    <n v="30"/>
    <s v="MIÉRCOLES"/>
    <x v="7"/>
    <x v="7"/>
    <n v="990"/>
    <n v="198"/>
    <n v="168.3"/>
    <x v="0"/>
  </r>
  <r>
    <d v="2021-07-21T00:00:00"/>
    <x v="1"/>
    <n v="30"/>
    <s v="MIÉRCOLES"/>
    <x v="8"/>
    <x v="8"/>
    <n v="792"/>
    <n v="198"/>
    <n v="134.64000000000001"/>
    <x v="0"/>
  </r>
  <r>
    <d v="2021-07-22T00:00:00"/>
    <x v="1"/>
    <n v="30"/>
    <s v="JUEVES"/>
    <x v="7"/>
    <x v="7"/>
    <n v="2178"/>
    <n v="198"/>
    <n v="370.26000000000005"/>
    <x v="0"/>
  </r>
  <r>
    <d v="2021-07-22T00:00:00"/>
    <x v="1"/>
    <n v="30"/>
    <s v="JUEVES"/>
    <x v="2"/>
    <x v="2"/>
    <n v="1980"/>
    <n v="198"/>
    <n v="336.6"/>
    <x v="0"/>
  </r>
  <r>
    <d v="2021-07-22T00:00:00"/>
    <x v="1"/>
    <n v="30"/>
    <s v="JUEVES"/>
    <x v="1"/>
    <x v="1"/>
    <n v="2376"/>
    <n v="198"/>
    <n v="403.92"/>
    <x v="0"/>
  </r>
  <r>
    <d v="2021-07-22T00:00:00"/>
    <x v="1"/>
    <n v="30"/>
    <s v="JUEVES"/>
    <x v="11"/>
    <x v="11"/>
    <n v="4320"/>
    <n v="90"/>
    <n v="734.40000000000009"/>
    <x v="0"/>
  </r>
  <r>
    <d v="2021-07-22T00:00:00"/>
    <x v="1"/>
    <n v="30"/>
    <s v="JUEVES"/>
    <x v="0"/>
    <x v="0"/>
    <n v="576"/>
    <n v="48"/>
    <n v="230.4"/>
    <x v="0"/>
  </r>
  <r>
    <d v="2021-07-22T00:00:00"/>
    <x v="1"/>
    <n v="30"/>
    <s v="JUEVES"/>
    <x v="13"/>
    <x v="13"/>
    <n v="60"/>
    <n v="30"/>
    <n v="24"/>
    <x v="0"/>
  </r>
  <r>
    <d v="2021-07-22T00:00:00"/>
    <x v="1"/>
    <n v="30"/>
    <s v="JUEVES"/>
    <x v="12"/>
    <x v="12"/>
    <n v="900"/>
    <n v="225"/>
    <n v="360"/>
    <x v="0"/>
  </r>
  <r>
    <d v="2021-07-22T00:00:00"/>
    <x v="1"/>
    <n v="30"/>
    <s v="JUEVES"/>
    <x v="19"/>
    <x v="19"/>
    <n v="225"/>
    <n v="225"/>
    <n v="90"/>
    <x v="0"/>
  </r>
  <r>
    <d v="2021-07-22T00:00:00"/>
    <x v="1"/>
    <n v="30"/>
    <s v="JUEVES"/>
    <x v="6"/>
    <x v="6"/>
    <n v="120"/>
    <n v="120"/>
    <n v="20.400000000000002"/>
    <x v="0"/>
  </r>
  <r>
    <d v="2021-07-22T00:00:00"/>
    <x v="1"/>
    <n v="30"/>
    <s v="JUEVES"/>
    <x v="32"/>
    <x v="32"/>
    <n v="2520"/>
    <n v="420"/>
    <n v="1058.3999999999999"/>
    <x v="0"/>
  </r>
  <r>
    <d v="2021-07-22T00:00:00"/>
    <x v="1"/>
    <n v="30"/>
    <s v="JUEVES"/>
    <x v="24"/>
    <x v="24"/>
    <n v="840"/>
    <n v="420"/>
    <n v="352.8"/>
    <x v="0"/>
  </r>
  <r>
    <d v="2021-07-22T00:00:00"/>
    <x v="1"/>
    <n v="30"/>
    <s v="JUEVES"/>
    <x v="25"/>
    <x v="25"/>
    <n v="1800"/>
    <n v="225"/>
    <n v="756"/>
    <x v="0"/>
  </r>
  <r>
    <d v="2021-07-22T00:00:00"/>
    <x v="1"/>
    <n v="30"/>
    <s v="JUEVES"/>
    <x v="8"/>
    <x v="8"/>
    <n v="594"/>
    <n v="198"/>
    <n v="100.98"/>
    <x v="0"/>
  </r>
  <r>
    <d v="2021-07-22T00:00:00"/>
    <x v="1"/>
    <n v="30"/>
    <s v="JUEVES"/>
    <x v="14"/>
    <x v="14"/>
    <n v="40"/>
    <n v="40"/>
    <n v="9.2000000000000011"/>
    <x v="0"/>
  </r>
  <r>
    <d v="2021-07-22T00:00:00"/>
    <x v="1"/>
    <n v="30"/>
    <s v="JUEVES"/>
    <x v="10"/>
    <x v="10"/>
    <n v="720"/>
    <n v="120"/>
    <n v="122.4"/>
    <x v="0"/>
  </r>
  <r>
    <d v="2021-07-22T00:00:00"/>
    <x v="1"/>
    <n v="30"/>
    <s v="JUEVES"/>
    <x v="9"/>
    <x v="9"/>
    <n v="180"/>
    <n v="90"/>
    <n v="30.6"/>
    <x v="0"/>
  </r>
  <r>
    <d v="2021-07-23T00:00:00"/>
    <x v="1"/>
    <n v="30"/>
    <s v="VIERNES"/>
    <x v="28"/>
    <x v="28"/>
    <n v="30"/>
    <n v="30"/>
    <n v="6.9"/>
    <x v="0"/>
  </r>
  <r>
    <d v="2021-07-23T00:00:00"/>
    <x v="1"/>
    <n v="30"/>
    <s v="VIERNES"/>
    <x v="33"/>
    <x v="33"/>
    <n v="40"/>
    <n v="40"/>
    <n v="9.2000000000000011"/>
    <x v="0"/>
  </r>
  <r>
    <d v="2021-07-23T00:00:00"/>
    <x v="1"/>
    <n v="30"/>
    <s v="VIERNES"/>
    <x v="15"/>
    <x v="15"/>
    <n v="200"/>
    <n v="50"/>
    <n v="80"/>
    <x v="0"/>
  </r>
  <r>
    <d v="2021-07-23T00:00:00"/>
    <x v="1"/>
    <n v="30"/>
    <s v="VIERNES"/>
    <x v="0"/>
    <x v="0"/>
    <n v="96"/>
    <n v="48"/>
    <n v="38.400000000000006"/>
    <x v="0"/>
  </r>
  <r>
    <d v="2021-07-23T00:00:00"/>
    <x v="1"/>
    <n v="30"/>
    <s v="VIERNES"/>
    <x v="38"/>
    <x v="38"/>
    <n v="112"/>
    <n v="112"/>
    <n v="44.800000000000004"/>
    <x v="0"/>
  </r>
  <r>
    <d v="2021-07-23T00:00:00"/>
    <x v="1"/>
    <n v="30"/>
    <s v="VIERNES"/>
    <x v="1"/>
    <x v="1"/>
    <n v="1386"/>
    <n v="198"/>
    <n v="235.62"/>
    <x v="0"/>
  </r>
  <r>
    <d v="2021-07-23T00:00:00"/>
    <x v="1"/>
    <n v="30"/>
    <s v="VIERNES"/>
    <x v="2"/>
    <x v="2"/>
    <n v="990"/>
    <n v="198"/>
    <n v="168.3"/>
    <x v="0"/>
  </r>
  <r>
    <d v="2021-07-23T00:00:00"/>
    <x v="1"/>
    <n v="30"/>
    <s v="VIERNES"/>
    <x v="22"/>
    <x v="22"/>
    <n v="1980"/>
    <n v="198"/>
    <n v="336.6"/>
    <x v="0"/>
  </r>
  <r>
    <d v="2021-07-23T00:00:00"/>
    <x v="1"/>
    <n v="30"/>
    <s v="VIERNES"/>
    <x v="4"/>
    <x v="4"/>
    <n v="162"/>
    <n v="162"/>
    <n v="27.540000000000003"/>
    <x v="0"/>
  </r>
  <r>
    <d v="2021-07-23T00:00:00"/>
    <x v="1"/>
    <n v="30"/>
    <s v="VIERNES"/>
    <x v="6"/>
    <x v="6"/>
    <n v="2040"/>
    <n v="120"/>
    <n v="346.8"/>
    <x v="0"/>
  </r>
  <r>
    <d v="2021-07-23T00:00:00"/>
    <x v="1"/>
    <n v="30"/>
    <s v="VIERNES"/>
    <x v="8"/>
    <x v="8"/>
    <n v="3564"/>
    <n v="198"/>
    <n v="605.88"/>
    <x v="0"/>
  </r>
  <r>
    <d v="2021-07-23T00:00:00"/>
    <x v="1"/>
    <n v="30"/>
    <s v="VIERNES"/>
    <x v="9"/>
    <x v="9"/>
    <n v="1440"/>
    <n v="90"/>
    <n v="244.8"/>
    <x v="0"/>
  </r>
  <r>
    <d v="2021-07-23T00:00:00"/>
    <x v="1"/>
    <n v="30"/>
    <s v="VIERNES"/>
    <x v="10"/>
    <x v="10"/>
    <n v="1200"/>
    <n v="120"/>
    <n v="204.00000000000003"/>
    <x v="0"/>
  </r>
  <r>
    <d v="2021-07-23T00:00:00"/>
    <x v="1"/>
    <n v="30"/>
    <s v="VIERNES"/>
    <x v="23"/>
    <x v="23"/>
    <n v="360"/>
    <n v="90"/>
    <n v="61.2"/>
    <x v="0"/>
  </r>
  <r>
    <d v="2021-07-23T00:00:00"/>
    <x v="1"/>
    <n v="30"/>
    <s v="VIERNES"/>
    <x v="11"/>
    <x v="11"/>
    <n v="360"/>
    <n v="90"/>
    <n v="61.2"/>
    <x v="0"/>
  </r>
  <r>
    <d v="2021-07-23T00:00:00"/>
    <x v="1"/>
    <n v="30"/>
    <s v="VIERNES"/>
    <x v="5"/>
    <x v="5"/>
    <n v="162"/>
    <n v="162"/>
    <n v="27.540000000000003"/>
    <x v="0"/>
  </r>
  <r>
    <d v="2021-07-23T00:00:00"/>
    <x v="1"/>
    <n v="30"/>
    <s v="VIERNES"/>
    <x v="26"/>
    <x v="26"/>
    <n v="540"/>
    <n v="90"/>
    <n v="91.800000000000011"/>
    <x v="0"/>
  </r>
  <r>
    <d v="2021-07-23T00:00:00"/>
    <x v="1"/>
    <n v="30"/>
    <s v="VIERNES"/>
    <x v="20"/>
    <x v="20"/>
    <n v="720"/>
    <n v="90"/>
    <n v="122.4"/>
    <x v="0"/>
  </r>
  <r>
    <d v="2021-07-23T00:00:00"/>
    <x v="1"/>
    <n v="30"/>
    <s v="VIERNES"/>
    <x v="16"/>
    <x v="16"/>
    <n v="360"/>
    <n v="180"/>
    <n v="151.19999999999999"/>
    <x v="0"/>
  </r>
  <r>
    <d v="2021-07-23T00:00:00"/>
    <x v="1"/>
    <n v="30"/>
    <s v="VIERNES"/>
    <x v="25"/>
    <x v="25"/>
    <n v="4500"/>
    <n v="225"/>
    <n v="1890"/>
    <x v="0"/>
  </r>
  <r>
    <d v="2021-07-24T00:00:00"/>
    <x v="1"/>
    <n v="31"/>
    <s v="SÁBADO"/>
    <x v="26"/>
    <x v="26"/>
    <n v="180"/>
    <n v="90"/>
    <n v="30.6"/>
    <x v="0"/>
  </r>
  <r>
    <d v="2021-07-24T00:00:00"/>
    <x v="1"/>
    <n v="31"/>
    <s v="SÁBADO"/>
    <x v="23"/>
    <x v="23"/>
    <n v="270"/>
    <n v="90"/>
    <n v="45.900000000000006"/>
    <x v="0"/>
  </r>
  <r>
    <d v="2021-07-24T00:00:00"/>
    <x v="1"/>
    <n v="31"/>
    <s v="SÁBADO"/>
    <x v="11"/>
    <x v="11"/>
    <n v="3150"/>
    <n v="90"/>
    <n v="535.5"/>
    <x v="0"/>
  </r>
  <r>
    <d v="2021-07-24T00:00:00"/>
    <x v="1"/>
    <n v="31"/>
    <s v="SÁBADO"/>
    <x v="24"/>
    <x v="24"/>
    <n v="473"/>
    <n v="420"/>
    <n v="198.66"/>
    <x v="0"/>
  </r>
  <r>
    <d v="2021-07-26T00:00:00"/>
    <x v="1"/>
    <n v="31"/>
    <s v="LUNES"/>
    <x v="13"/>
    <x v="13"/>
    <n v="30"/>
    <n v="30"/>
    <n v="12"/>
    <x v="0"/>
  </r>
  <r>
    <d v="2021-07-26T00:00:00"/>
    <x v="1"/>
    <n v="31"/>
    <s v="LUNES"/>
    <x v="17"/>
    <x v="17"/>
    <n v="360"/>
    <n v="120"/>
    <n v="61.2"/>
    <x v="0"/>
  </r>
  <r>
    <d v="2021-07-26T00:00:00"/>
    <x v="1"/>
    <n v="31"/>
    <s v="LUNES"/>
    <x v="6"/>
    <x v="6"/>
    <n v="240"/>
    <n v="120"/>
    <n v="40.800000000000004"/>
    <x v="0"/>
  </r>
  <r>
    <d v="2021-07-26T00:00:00"/>
    <x v="1"/>
    <n v="31"/>
    <s v="LUNES"/>
    <x v="8"/>
    <x v="8"/>
    <n v="1584"/>
    <n v="198"/>
    <n v="269.28000000000003"/>
    <x v="0"/>
  </r>
  <r>
    <d v="2021-07-26T00:00:00"/>
    <x v="1"/>
    <n v="31"/>
    <s v="LUNES"/>
    <x v="0"/>
    <x v="0"/>
    <n v="672"/>
    <n v="48"/>
    <n v="268.8"/>
    <x v="0"/>
  </r>
  <r>
    <d v="2021-07-26T00:00:00"/>
    <x v="1"/>
    <n v="31"/>
    <s v="LUNES"/>
    <x v="15"/>
    <x v="15"/>
    <n v="100"/>
    <n v="50"/>
    <n v="40"/>
    <x v="0"/>
  </r>
  <r>
    <d v="2021-07-26T00:00:00"/>
    <x v="1"/>
    <n v="31"/>
    <s v="LUNES"/>
    <x v="10"/>
    <x v="10"/>
    <n v="1440"/>
    <n v="120"/>
    <n v="244.8"/>
    <x v="0"/>
  </r>
  <r>
    <d v="2021-07-26T00:00:00"/>
    <x v="1"/>
    <n v="31"/>
    <s v="LUNES"/>
    <x v="22"/>
    <x v="22"/>
    <n v="396"/>
    <n v="198"/>
    <n v="67.320000000000007"/>
    <x v="0"/>
  </r>
  <r>
    <d v="2021-07-26T00:00:00"/>
    <x v="1"/>
    <n v="31"/>
    <s v="LUNES"/>
    <x v="26"/>
    <x v="26"/>
    <n v="630"/>
    <n v="90"/>
    <n v="107.10000000000001"/>
    <x v="0"/>
  </r>
  <r>
    <d v="2021-07-26T00:00:00"/>
    <x v="1"/>
    <n v="31"/>
    <s v="LUNES"/>
    <x v="24"/>
    <x v="24"/>
    <n v="1260"/>
    <n v="420"/>
    <n v="529.19999999999993"/>
    <x v="0"/>
  </r>
  <r>
    <d v="2021-07-26T00:00:00"/>
    <x v="1"/>
    <n v="31"/>
    <s v="LUNES"/>
    <x v="23"/>
    <x v="23"/>
    <n v="900"/>
    <n v="90"/>
    <n v="153"/>
    <x v="0"/>
  </r>
  <r>
    <d v="2021-07-26T00:00:00"/>
    <x v="1"/>
    <n v="31"/>
    <s v="LUNES"/>
    <x v="2"/>
    <x v="2"/>
    <n v="1782"/>
    <n v="198"/>
    <n v="302.94"/>
    <x v="0"/>
  </r>
  <r>
    <d v="2021-07-26T00:00:00"/>
    <x v="1"/>
    <n v="31"/>
    <s v="LUNES"/>
    <x v="1"/>
    <x v="1"/>
    <n v="2178"/>
    <n v="198"/>
    <n v="370.26000000000005"/>
    <x v="0"/>
  </r>
  <r>
    <d v="2021-07-26T00:00:00"/>
    <x v="1"/>
    <n v="31"/>
    <s v="LUNES"/>
    <x v="7"/>
    <x v="7"/>
    <n v="3168"/>
    <n v="198"/>
    <n v="538.56000000000006"/>
    <x v="0"/>
  </r>
  <r>
    <d v="2021-07-26T00:00:00"/>
    <x v="1"/>
    <n v="31"/>
    <s v="LUNES"/>
    <x v="9"/>
    <x v="9"/>
    <n v="720"/>
    <n v="90"/>
    <n v="122.4"/>
    <x v="0"/>
  </r>
  <r>
    <d v="2021-07-26T00:00:00"/>
    <x v="1"/>
    <n v="31"/>
    <s v="LUNES"/>
    <x v="16"/>
    <x v="16"/>
    <n v="900"/>
    <n v="180"/>
    <n v="378"/>
    <x v="0"/>
  </r>
  <r>
    <d v="2021-07-26T00:00:00"/>
    <x v="1"/>
    <n v="31"/>
    <s v="LUNES"/>
    <x v="12"/>
    <x v="12"/>
    <n v="675"/>
    <n v="225"/>
    <n v="270"/>
    <x v="0"/>
  </r>
  <r>
    <d v="2021-07-26T00:00:00"/>
    <x v="1"/>
    <n v="31"/>
    <s v="LUNES"/>
    <x v="33"/>
    <x v="33"/>
    <n v="40"/>
    <n v="40"/>
    <n v="9.2000000000000011"/>
    <x v="0"/>
  </r>
  <r>
    <d v="2021-07-26T00:00:00"/>
    <x v="1"/>
    <n v="31"/>
    <s v="LUNES"/>
    <x v="14"/>
    <x v="14"/>
    <n v="40"/>
    <n v="40"/>
    <n v="9.2000000000000011"/>
    <x v="0"/>
  </r>
  <r>
    <d v="2021-07-26T00:00:00"/>
    <x v="1"/>
    <n v="31"/>
    <s v="LUNES"/>
    <x v="19"/>
    <x v="19"/>
    <n v="225"/>
    <n v="225"/>
    <n v="90"/>
    <x v="0"/>
  </r>
  <r>
    <d v="2021-07-26T00:00:00"/>
    <x v="1"/>
    <n v="31"/>
    <s v="LUNES"/>
    <x v="28"/>
    <x v="28"/>
    <n v="60"/>
    <n v="30"/>
    <n v="13.8"/>
    <x v="0"/>
  </r>
  <r>
    <d v="2021-07-27T00:00:00"/>
    <x v="1"/>
    <n v="31"/>
    <s v="MARTES"/>
    <x v="19"/>
    <x v="19"/>
    <n v="225"/>
    <n v="225"/>
    <n v="90"/>
    <x v="0"/>
  </r>
  <r>
    <d v="2021-07-27T00:00:00"/>
    <x v="1"/>
    <n v="31"/>
    <s v="MARTES"/>
    <x v="38"/>
    <x v="38"/>
    <n v="224"/>
    <n v="112"/>
    <n v="89.600000000000009"/>
    <x v="0"/>
  </r>
  <r>
    <d v="2021-07-27T00:00:00"/>
    <x v="1"/>
    <n v="31"/>
    <s v="MARTES"/>
    <x v="25"/>
    <x v="25"/>
    <n v="2925"/>
    <n v="225"/>
    <n v="1228.5"/>
    <x v="0"/>
  </r>
  <r>
    <d v="2021-07-27T00:00:00"/>
    <x v="1"/>
    <n v="31"/>
    <s v="MARTES"/>
    <x v="3"/>
    <x v="3"/>
    <n v="792"/>
    <n v="198"/>
    <n v="134.64000000000001"/>
    <x v="0"/>
  </r>
  <r>
    <d v="2021-07-27T00:00:00"/>
    <x v="1"/>
    <n v="31"/>
    <s v="MARTES"/>
    <x v="1"/>
    <x v="1"/>
    <n v="1584"/>
    <n v="198"/>
    <n v="269.28000000000003"/>
    <x v="0"/>
  </r>
  <r>
    <d v="2021-07-27T00:00:00"/>
    <x v="1"/>
    <n v="31"/>
    <s v="MARTES"/>
    <x v="22"/>
    <x v="22"/>
    <n v="396"/>
    <n v="198"/>
    <n v="67.320000000000007"/>
    <x v="0"/>
  </r>
  <r>
    <d v="2021-07-27T00:00:00"/>
    <x v="1"/>
    <n v="31"/>
    <s v="MARTES"/>
    <x v="5"/>
    <x v="5"/>
    <n v="972"/>
    <n v="162"/>
    <n v="165.24"/>
    <x v="0"/>
  </r>
  <r>
    <d v="2021-07-27T00:00:00"/>
    <x v="1"/>
    <n v="31"/>
    <s v="MARTES"/>
    <x v="17"/>
    <x v="17"/>
    <n v="600"/>
    <n v="120"/>
    <n v="102.00000000000001"/>
    <x v="0"/>
  </r>
  <r>
    <d v="2021-07-27T00:00:00"/>
    <x v="1"/>
    <n v="31"/>
    <s v="MARTES"/>
    <x v="4"/>
    <x v="4"/>
    <n v="648"/>
    <n v="162"/>
    <n v="110.16000000000001"/>
    <x v="0"/>
  </r>
  <r>
    <d v="2021-07-27T00:00:00"/>
    <x v="1"/>
    <n v="31"/>
    <s v="MARTES"/>
    <x v="6"/>
    <x v="6"/>
    <n v="1800"/>
    <n v="120"/>
    <n v="306"/>
    <x v="0"/>
  </r>
  <r>
    <d v="2021-07-27T00:00:00"/>
    <x v="1"/>
    <n v="31"/>
    <s v="MARTES"/>
    <x v="8"/>
    <x v="8"/>
    <n v="792"/>
    <n v="198"/>
    <n v="134.64000000000001"/>
    <x v="0"/>
  </r>
  <r>
    <d v="2021-07-27T00:00:00"/>
    <x v="1"/>
    <n v="31"/>
    <s v="MARTES"/>
    <x v="10"/>
    <x v="10"/>
    <n v="4560"/>
    <n v="120"/>
    <n v="775.2"/>
    <x v="0"/>
  </r>
  <r>
    <d v="2021-07-27T00:00:00"/>
    <x v="1"/>
    <n v="31"/>
    <s v="MARTES"/>
    <x v="28"/>
    <x v="28"/>
    <n v="120"/>
    <n v="30"/>
    <n v="27.6"/>
    <x v="0"/>
  </r>
  <r>
    <d v="2021-07-27T00:00:00"/>
    <x v="1"/>
    <n v="31"/>
    <s v="MARTES"/>
    <x v="13"/>
    <x v="13"/>
    <n v="60"/>
    <n v="30"/>
    <n v="24"/>
    <x v="0"/>
  </r>
  <r>
    <d v="2021-07-27T00:00:00"/>
    <x v="1"/>
    <n v="31"/>
    <s v="MARTES"/>
    <x v="15"/>
    <x v="15"/>
    <n v="100"/>
    <n v="50"/>
    <n v="40"/>
    <x v="0"/>
  </r>
  <r>
    <d v="2021-07-27T00:00:00"/>
    <x v="1"/>
    <n v="31"/>
    <s v="MARTES"/>
    <x v="17"/>
    <x v="17"/>
    <n v="720"/>
    <n v="120"/>
    <n v="122.4"/>
    <x v="0"/>
  </r>
  <r>
    <d v="2021-07-27T00:00:00"/>
    <x v="1"/>
    <n v="31"/>
    <s v="MARTES"/>
    <x v="9"/>
    <x v="9"/>
    <n v="720"/>
    <n v="90"/>
    <n v="122.4"/>
    <x v="0"/>
  </r>
  <r>
    <d v="2021-07-27T00:00:00"/>
    <x v="1"/>
    <n v="31"/>
    <s v="MARTES"/>
    <x v="23"/>
    <x v="23"/>
    <n v="720"/>
    <n v="90"/>
    <n v="122.4"/>
    <x v="0"/>
  </r>
  <r>
    <d v="2021-07-27T00:00:00"/>
    <x v="1"/>
    <n v="31"/>
    <s v="MARTES"/>
    <x v="16"/>
    <x v="16"/>
    <n v="360"/>
    <n v="180"/>
    <n v="151.19999999999999"/>
    <x v="0"/>
  </r>
  <r>
    <d v="2021-07-27T00:00:00"/>
    <x v="1"/>
    <n v="31"/>
    <s v="MARTES"/>
    <x v="0"/>
    <x v="0"/>
    <n v="672"/>
    <n v="48"/>
    <n v="268.8"/>
    <x v="0"/>
  </r>
  <r>
    <d v="2021-07-27T00:00:00"/>
    <x v="1"/>
    <n v="31"/>
    <s v="MARTES"/>
    <x v="12"/>
    <x v="12"/>
    <n v="672"/>
    <n v="225"/>
    <n v="268.8"/>
    <x v="0"/>
  </r>
  <r>
    <d v="2021-07-30T00:00:00"/>
    <x v="1"/>
    <n v="31"/>
    <s v="VIERNES"/>
    <x v="4"/>
    <x v="4"/>
    <n v="1296"/>
    <n v="162"/>
    <n v="220.32000000000002"/>
    <x v="0"/>
  </r>
  <r>
    <d v="2021-07-30T00:00:00"/>
    <x v="1"/>
    <n v="31"/>
    <s v="VIERNES"/>
    <x v="21"/>
    <x v="21"/>
    <n v="1782"/>
    <n v="0"/>
    <n v="0"/>
    <x v="0"/>
  </r>
  <r>
    <d v="2021-07-30T00:00:00"/>
    <x v="1"/>
    <n v="31"/>
    <s v="VIERNES"/>
    <x v="2"/>
    <x v="2"/>
    <n v="2178"/>
    <n v="198"/>
    <n v="370.26000000000005"/>
    <x v="0"/>
  </r>
  <r>
    <d v="2021-07-30T00:00:00"/>
    <x v="1"/>
    <n v="31"/>
    <s v="VIERNES"/>
    <x v="22"/>
    <x v="22"/>
    <n v="792"/>
    <n v="198"/>
    <n v="134.64000000000001"/>
    <x v="0"/>
  </r>
  <r>
    <d v="2021-07-30T00:00:00"/>
    <x v="1"/>
    <n v="31"/>
    <s v="VIERNES"/>
    <x v="8"/>
    <x v="8"/>
    <n v="2574"/>
    <n v="198"/>
    <n v="437.58000000000004"/>
    <x v="0"/>
  </r>
  <r>
    <d v="2021-07-30T00:00:00"/>
    <x v="1"/>
    <n v="31"/>
    <s v="VIERNES"/>
    <x v="5"/>
    <x v="5"/>
    <n v="1296"/>
    <n v="162"/>
    <n v="220.32000000000002"/>
    <x v="0"/>
  </r>
  <r>
    <d v="2021-07-30T00:00:00"/>
    <x v="1"/>
    <n v="31"/>
    <s v="VIERNES"/>
    <x v="7"/>
    <x v="7"/>
    <n v="1584"/>
    <n v="198"/>
    <n v="269.28000000000003"/>
    <x v="0"/>
  </r>
  <r>
    <d v="2021-07-30T00:00:00"/>
    <x v="1"/>
    <n v="31"/>
    <s v="VIERNES"/>
    <x v="11"/>
    <x v="11"/>
    <n v="2160"/>
    <n v="90"/>
    <n v="367.20000000000005"/>
    <x v="0"/>
  </r>
  <r>
    <d v="2021-07-30T00:00:00"/>
    <x v="1"/>
    <n v="31"/>
    <s v="VIERNES"/>
    <x v="24"/>
    <x v="24"/>
    <n v="1419"/>
    <n v="420"/>
    <n v="595.98"/>
    <x v="0"/>
  </r>
  <r>
    <d v="2021-07-30T00:00:00"/>
    <x v="1"/>
    <n v="31"/>
    <s v="VIERNES"/>
    <x v="3"/>
    <x v="3"/>
    <n v="396"/>
    <n v="198"/>
    <n v="67.320000000000007"/>
    <x v="0"/>
  </r>
  <r>
    <d v="2021-07-30T00:00:00"/>
    <x v="1"/>
    <n v="31"/>
    <s v="VIERNES"/>
    <x v="0"/>
    <x v="0"/>
    <n v="720"/>
    <n v="48"/>
    <n v="288"/>
    <x v="0"/>
  </r>
  <r>
    <d v="2021-07-30T00:00:00"/>
    <x v="1"/>
    <n v="31"/>
    <s v="VIERNES"/>
    <x v="15"/>
    <x v="15"/>
    <n v="300"/>
    <n v="50"/>
    <n v="120"/>
    <x v="0"/>
  </r>
  <r>
    <d v="2021-07-30T00:00:00"/>
    <x v="1"/>
    <n v="31"/>
    <s v="VIERNES"/>
    <x v="10"/>
    <x v="10"/>
    <n v="720"/>
    <n v="120"/>
    <n v="122.4"/>
    <x v="0"/>
  </r>
  <r>
    <d v="2021-07-30T00:00:00"/>
    <x v="1"/>
    <n v="31"/>
    <s v="VIERNES"/>
    <x v="17"/>
    <x v="17"/>
    <n v="480"/>
    <n v="120"/>
    <n v="81.600000000000009"/>
    <x v="0"/>
  </r>
  <r>
    <d v="2021-07-30T00:00:00"/>
    <x v="1"/>
    <n v="31"/>
    <s v="VIERNES"/>
    <x v="12"/>
    <x v="12"/>
    <n v="225"/>
    <n v="225"/>
    <n v="90"/>
    <x v="0"/>
  </r>
  <r>
    <d v="2021-07-30T00:00:00"/>
    <x v="1"/>
    <n v="31"/>
    <s v="VIERNES"/>
    <x v="25"/>
    <x v="25"/>
    <n v="1575"/>
    <n v="225"/>
    <n v="661.5"/>
    <x v="0"/>
  </r>
  <r>
    <d v="2021-07-30T00:00:00"/>
    <x v="1"/>
    <n v="31"/>
    <s v="VIERNES"/>
    <x v="28"/>
    <x v="28"/>
    <n v="120"/>
    <n v="30"/>
    <n v="27.6"/>
    <x v="0"/>
  </r>
  <r>
    <d v="2021-07-30T00:00:00"/>
    <x v="1"/>
    <n v="31"/>
    <s v="VIERNES"/>
    <x v="13"/>
    <x v="13"/>
    <n v="180"/>
    <n v="30"/>
    <n v="72"/>
    <x v="0"/>
  </r>
  <r>
    <d v="2021-07-31T00:00:00"/>
    <x v="1"/>
    <n v="32"/>
    <s v="SÁBADO"/>
    <x v="9"/>
    <x v="9"/>
    <n v="1440"/>
    <n v="90"/>
    <n v="244.8"/>
    <x v="0"/>
  </r>
  <r>
    <d v="2021-07-31T00:00:00"/>
    <x v="1"/>
    <n v="32"/>
    <s v="SÁBADO"/>
    <x v="10"/>
    <x v="10"/>
    <n v="1440"/>
    <n v="120"/>
    <n v="244.8"/>
    <x v="0"/>
  </r>
  <r>
    <d v="2021-07-31T00:00:00"/>
    <x v="1"/>
    <n v="32"/>
    <s v="SÁBADO"/>
    <x v="26"/>
    <x v="26"/>
    <n v="900"/>
    <n v="90"/>
    <n v="153"/>
    <x v="0"/>
  </r>
  <r>
    <d v="2021-07-31T00:00:00"/>
    <x v="1"/>
    <n v="32"/>
    <s v="SÁBADO"/>
    <x v="23"/>
    <x v="23"/>
    <n v="2160"/>
    <n v="90"/>
    <n v="367.20000000000005"/>
    <x v="0"/>
  </r>
  <r>
    <d v="2021-07-31T00:00:00"/>
    <x v="1"/>
    <n v="32"/>
    <s v="SÁBADO"/>
    <x v="20"/>
    <x v="20"/>
    <n v="450"/>
    <n v="90"/>
    <n v="76.5"/>
    <x v="0"/>
  </r>
  <r>
    <d v="2021-07-31T00:00:00"/>
    <x v="1"/>
    <n v="32"/>
    <s v="SÁBADO"/>
    <x v="24"/>
    <x v="24"/>
    <n v="2100"/>
    <n v="420"/>
    <n v="882"/>
    <x v="0"/>
  </r>
  <r>
    <d v="2021-07-31T00:00:00"/>
    <x v="1"/>
    <n v="32"/>
    <s v="SÁBADO"/>
    <x v="14"/>
    <x v="14"/>
    <n v="40"/>
    <n v="40"/>
    <n v="9.2000000000000011"/>
    <x v="0"/>
  </r>
  <r>
    <d v="2021-07-31T00:00:00"/>
    <x v="1"/>
    <n v="32"/>
    <s v="SÁBADO"/>
    <x v="38"/>
    <x v="38"/>
    <n v="560"/>
    <n v="112"/>
    <n v="224"/>
    <x v="0"/>
  </r>
  <r>
    <d v="2021-07-31T00:00:00"/>
    <x v="1"/>
    <n v="32"/>
    <s v="SÁBADO"/>
    <x v="15"/>
    <x v="15"/>
    <n v="50"/>
    <n v="50"/>
    <n v="20"/>
    <x v="0"/>
  </r>
  <r>
    <d v="2021-07-31T00:00:00"/>
    <x v="1"/>
    <n v="32"/>
    <s v="SÁBADO"/>
    <x v="28"/>
    <x v="28"/>
    <n v="30"/>
    <n v="30"/>
    <n v="6.9"/>
    <x v="0"/>
  </r>
  <r>
    <d v="2021-07-31T00:00:00"/>
    <x v="1"/>
    <n v="32"/>
    <s v="SÁBADO"/>
    <x v="13"/>
    <x v="13"/>
    <n v="30"/>
    <n v="30"/>
    <n v="12"/>
    <x v="0"/>
  </r>
  <r>
    <d v="2021-07-31T00:00:00"/>
    <x v="1"/>
    <n v="32"/>
    <s v="SÁBADO"/>
    <x v="0"/>
    <x v="0"/>
    <n v="576"/>
    <n v="48"/>
    <n v="230.4"/>
    <x v="0"/>
  </r>
  <r>
    <d v="2021-07-31T00:00:00"/>
    <x v="1"/>
    <n v="32"/>
    <s v="SÁBADO"/>
    <x v="12"/>
    <x v="12"/>
    <n v="675"/>
    <n v="225"/>
    <n v="270"/>
    <x v="0"/>
  </r>
  <r>
    <d v="2021-07-31T00:00:00"/>
    <x v="1"/>
    <n v="32"/>
    <s v="SÁBADO"/>
    <x v="19"/>
    <x v="19"/>
    <n v="675"/>
    <n v="225"/>
    <n v="270"/>
    <x v="0"/>
  </r>
  <r>
    <d v="2021-07-31T00:00:00"/>
    <x v="1"/>
    <n v="32"/>
    <s v="SÁBADO"/>
    <x v="33"/>
    <x v="33"/>
    <n v="80"/>
    <n v="40"/>
    <n v="18.400000000000002"/>
    <x v="0"/>
  </r>
  <r>
    <d v="2021-08-01T00:00:00"/>
    <x v="2"/>
    <n v="32"/>
    <s v="DOMINGO"/>
    <x v="10"/>
    <x v="10"/>
    <n v="1440"/>
    <n v="120"/>
    <n v="244.8"/>
    <x v="0"/>
  </r>
  <r>
    <d v="2021-08-01T00:00:00"/>
    <x v="2"/>
    <n v="32"/>
    <s v="DOMINGO"/>
    <x v="9"/>
    <x v="9"/>
    <n v="720"/>
    <n v="90"/>
    <n v="122.4"/>
    <x v="0"/>
  </r>
  <r>
    <d v="2021-08-01T00:00:00"/>
    <x v="2"/>
    <n v="32"/>
    <s v="DOMINGO"/>
    <x v="11"/>
    <x v="11"/>
    <n v="720"/>
    <n v="90"/>
    <n v="122.4"/>
    <x v="0"/>
  </r>
  <r>
    <d v="2021-08-02T00:00:00"/>
    <x v="2"/>
    <n v="32"/>
    <s v="LUNES"/>
    <x v="1"/>
    <x v="1"/>
    <n v="990"/>
    <n v="198"/>
    <n v="168.3"/>
    <x v="0"/>
  </r>
  <r>
    <d v="2021-08-02T00:00:00"/>
    <x v="2"/>
    <n v="32"/>
    <s v="LUNES"/>
    <x v="6"/>
    <x v="6"/>
    <n v="480"/>
    <n v="120"/>
    <n v="81.600000000000009"/>
    <x v="0"/>
  </r>
  <r>
    <d v="2021-08-02T00:00:00"/>
    <x v="2"/>
    <n v="32"/>
    <s v="LUNES"/>
    <x v="2"/>
    <x v="2"/>
    <n v="1188"/>
    <n v="198"/>
    <n v="201.96"/>
    <x v="0"/>
  </r>
  <r>
    <d v="2021-08-02T00:00:00"/>
    <x v="2"/>
    <n v="32"/>
    <s v="LUNES"/>
    <x v="22"/>
    <x v="22"/>
    <n v="396"/>
    <n v="198"/>
    <n v="67.320000000000007"/>
    <x v="0"/>
  </r>
  <r>
    <d v="2021-08-02T00:00:00"/>
    <x v="2"/>
    <n v="32"/>
    <s v="LUNES"/>
    <x v="3"/>
    <x v="3"/>
    <n v="1188"/>
    <n v="198"/>
    <n v="201.96"/>
    <x v="0"/>
  </r>
  <r>
    <d v="2021-08-02T00:00:00"/>
    <x v="2"/>
    <n v="32"/>
    <s v="LUNES"/>
    <x v="23"/>
    <x v="23"/>
    <n v="450"/>
    <n v="90"/>
    <n v="76.5"/>
    <x v="0"/>
  </r>
  <r>
    <d v="2021-08-02T00:00:00"/>
    <x v="2"/>
    <n v="32"/>
    <s v="LUNES"/>
    <x v="11"/>
    <x v="11"/>
    <n v="1170"/>
    <n v="90"/>
    <n v="198.9"/>
    <x v="0"/>
  </r>
  <r>
    <d v="2021-08-02T00:00:00"/>
    <x v="2"/>
    <n v="32"/>
    <s v="LUNES"/>
    <x v="7"/>
    <x v="7"/>
    <n v="792"/>
    <n v="198"/>
    <n v="134.64000000000001"/>
    <x v="0"/>
  </r>
  <r>
    <d v="2021-08-02T00:00:00"/>
    <x v="2"/>
    <n v="32"/>
    <s v="LUNES"/>
    <x v="8"/>
    <x v="8"/>
    <n v="594"/>
    <n v="198"/>
    <n v="100.98"/>
    <x v="0"/>
  </r>
  <r>
    <d v="2021-08-02T00:00:00"/>
    <x v="2"/>
    <n v="32"/>
    <s v="LUNES"/>
    <x v="25"/>
    <x v="25"/>
    <n v="2025"/>
    <n v="225"/>
    <n v="850.5"/>
    <x v="0"/>
  </r>
  <r>
    <d v="2021-08-02T00:00:00"/>
    <x v="2"/>
    <n v="32"/>
    <s v="LUNES"/>
    <x v="36"/>
    <x v="36"/>
    <n v="720"/>
    <n v="90"/>
    <n v="288"/>
    <x v="0"/>
  </r>
  <r>
    <d v="2021-08-02T00:00:00"/>
    <x v="2"/>
    <n v="32"/>
    <s v="LUNES"/>
    <x v="19"/>
    <x v="19"/>
    <n v="1800"/>
    <n v="225"/>
    <n v="720"/>
    <x v="0"/>
  </r>
  <r>
    <d v="2021-08-02T00:00:00"/>
    <x v="2"/>
    <n v="32"/>
    <s v="LUNES"/>
    <x v="12"/>
    <x v="12"/>
    <n v="2250"/>
    <n v="225"/>
    <n v="900"/>
    <x v="0"/>
  </r>
  <r>
    <d v="2021-08-02T00:00:00"/>
    <x v="2"/>
    <n v="32"/>
    <s v="LUNES"/>
    <x v="13"/>
    <x v="13"/>
    <n v="30"/>
    <n v="30"/>
    <n v="12"/>
    <x v="0"/>
  </r>
  <r>
    <d v="2021-08-03T00:00:00"/>
    <x v="2"/>
    <n v="32"/>
    <s v="MARTES"/>
    <x v="25"/>
    <x v="25"/>
    <n v="1350"/>
    <n v="225"/>
    <n v="567"/>
    <x v="0"/>
  </r>
  <r>
    <d v="2021-08-03T00:00:00"/>
    <x v="2"/>
    <n v="32"/>
    <s v="MARTES"/>
    <x v="1"/>
    <x v="1"/>
    <n v="396"/>
    <n v="198"/>
    <n v="67.320000000000007"/>
    <x v="0"/>
  </r>
  <r>
    <d v="2021-08-03T00:00:00"/>
    <x v="2"/>
    <n v="32"/>
    <s v="MARTES"/>
    <x v="6"/>
    <x v="6"/>
    <n v="480"/>
    <n v="120"/>
    <n v="81.600000000000009"/>
    <x v="0"/>
  </r>
  <r>
    <d v="2021-08-03T00:00:00"/>
    <x v="2"/>
    <n v="32"/>
    <s v="MARTES"/>
    <x v="2"/>
    <x v="2"/>
    <n v="1188"/>
    <n v="198"/>
    <n v="201.96"/>
    <x v="0"/>
  </r>
  <r>
    <d v="2021-08-03T00:00:00"/>
    <x v="2"/>
    <n v="32"/>
    <s v="MARTES"/>
    <x v="20"/>
    <x v="20"/>
    <n v="180"/>
    <n v="90"/>
    <n v="30.6"/>
    <x v="0"/>
  </r>
  <r>
    <d v="2021-08-03T00:00:00"/>
    <x v="2"/>
    <n v="32"/>
    <s v="MARTES"/>
    <x v="3"/>
    <x v="3"/>
    <n v="594"/>
    <n v="198"/>
    <n v="100.98"/>
    <x v="0"/>
  </r>
  <r>
    <d v="2021-08-03T00:00:00"/>
    <x v="2"/>
    <n v="32"/>
    <s v="MARTES"/>
    <x v="9"/>
    <x v="9"/>
    <n v="1440"/>
    <n v="90"/>
    <n v="244.8"/>
    <x v="0"/>
  </r>
  <r>
    <d v="2021-08-03T00:00:00"/>
    <x v="2"/>
    <n v="32"/>
    <s v="MARTES"/>
    <x v="4"/>
    <x v="4"/>
    <n v="810"/>
    <n v="162"/>
    <n v="137.70000000000002"/>
    <x v="0"/>
  </r>
  <r>
    <d v="2021-08-03T00:00:00"/>
    <x v="2"/>
    <n v="32"/>
    <s v="MARTES"/>
    <x v="26"/>
    <x v="26"/>
    <n v="90"/>
    <n v="90"/>
    <n v="15.3"/>
    <x v="0"/>
  </r>
  <r>
    <d v="2021-08-03T00:00:00"/>
    <x v="2"/>
    <n v="32"/>
    <s v="MARTES"/>
    <x v="10"/>
    <x v="10"/>
    <n v="1200"/>
    <n v="120"/>
    <n v="204.00000000000003"/>
    <x v="0"/>
  </r>
  <r>
    <d v="2021-08-03T00:00:00"/>
    <x v="2"/>
    <n v="32"/>
    <s v="MARTES"/>
    <x v="23"/>
    <x v="23"/>
    <n v="720"/>
    <n v="90"/>
    <n v="122.4"/>
    <x v="0"/>
  </r>
  <r>
    <d v="2021-08-03T00:00:00"/>
    <x v="2"/>
    <n v="32"/>
    <s v="MARTES"/>
    <x v="17"/>
    <x v="17"/>
    <n v="480"/>
    <n v="120"/>
    <n v="81.600000000000009"/>
    <x v="0"/>
  </r>
  <r>
    <d v="2021-08-03T00:00:00"/>
    <x v="2"/>
    <n v="32"/>
    <s v="MARTES"/>
    <x v="11"/>
    <x v="11"/>
    <n v="2880"/>
    <n v="90"/>
    <n v="489.6"/>
    <x v="0"/>
  </r>
  <r>
    <d v="2021-08-03T00:00:00"/>
    <x v="2"/>
    <n v="32"/>
    <s v="MARTES"/>
    <x v="8"/>
    <x v="8"/>
    <n v="1584"/>
    <n v="198"/>
    <n v="269.28000000000003"/>
    <x v="0"/>
  </r>
  <r>
    <d v="2021-08-03T00:00:00"/>
    <x v="2"/>
    <n v="32"/>
    <s v="MARTES"/>
    <x v="16"/>
    <x v="16"/>
    <n v="540"/>
    <n v="180"/>
    <n v="226.79999999999998"/>
    <x v="0"/>
  </r>
  <r>
    <d v="2021-08-03T00:00:00"/>
    <x v="2"/>
    <n v="32"/>
    <s v="MARTES"/>
    <x v="24"/>
    <x v="24"/>
    <n v="1260"/>
    <n v="420"/>
    <n v="529.19999999999993"/>
    <x v="0"/>
  </r>
  <r>
    <d v="2021-08-04T00:00:00"/>
    <x v="2"/>
    <n v="32"/>
    <s v="MIÉRCOLES"/>
    <x v="6"/>
    <x v="6"/>
    <n v="1920"/>
    <n v="120"/>
    <n v="326.40000000000003"/>
    <x v="0"/>
  </r>
  <r>
    <d v="2021-08-04T00:00:00"/>
    <x v="2"/>
    <n v="32"/>
    <s v="MIÉRCOLES"/>
    <x v="3"/>
    <x v="3"/>
    <n v="1188"/>
    <n v="198"/>
    <n v="201.96"/>
    <x v="0"/>
  </r>
  <r>
    <d v="2021-08-04T00:00:00"/>
    <x v="2"/>
    <n v="32"/>
    <s v="MIÉRCOLES"/>
    <x v="1"/>
    <x v="1"/>
    <n v="1980"/>
    <n v="198"/>
    <n v="336.6"/>
    <x v="0"/>
  </r>
  <r>
    <d v="2021-08-04T00:00:00"/>
    <x v="2"/>
    <n v="32"/>
    <s v="MIÉRCOLES"/>
    <x v="7"/>
    <x v="7"/>
    <n v="1584"/>
    <n v="198"/>
    <n v="269.28000000000003"/>
    <x v="0"/>
  </r>
  <r>
    <d v="2021-08-04T00:00:00"/>
    <x v="2"/>
    <n v="32"/>
    <s v="MIÉRCOLES"/>
    <x v="10"/>
    <x v="10"/>
    <n v="1920"/>
    <n v="120"/>
    <n v="326.40000000000003"/>
    <x v="0"/>
  </r>
  <r>
    <d v="2021-08-04T00:00:00"/>
    <x v="2"/>
    <n v="32"/>
    <s v="MIÉRCOLES"/>
    <x v="28"/>
    <x v="28"/>
    <n v="120"/>
    <n v="30"/>
    <n v="27.6"/>
    <x v="0"/>
  </r>
  <r>
    <d v="2021-08-04T00:00:00"/>
    <x v="2"/>
    <n v="32"/>
    <s v="MIÉRCOLES"/>
    <x v="13"/>
    <x v="13"/>
    <n v="180"/>
    <n v="30"/>
    <n v="72"/>
    <x v="0"/>
  </r>
  <r>
    <d v="2021-08-04T00:00:00"/>
    <x v="2"/>
    <n v="32"/>
    <s v="MIÉRCOLES"/>
    <x v="0"/>
    <x v="0"/>
    <n v="672"/>
    <n v="48"/>
    <n v="268.8"/>
    <x v="0"/>
  </r>
  <r>
    <d v="2021-08-04T00:00:00"/>
    <x v="2"/>
    <n v="32"/>
    <s v="MIÉRCOLES"/>
    <x v="26"/>
    <x v="26"/>
    <n v="1440"/>
    <n v="90"/>
    <n v="244.8"/>
    <x v="0"/>
  </r>
  <r>
    <d v="2021-08-04T00:00:00"/>
    <x v="2"/>
    <n v="32"/>
    <s v="MIÉRCOLES"/>
    <x v="33"/>
    <x v="33"/>
    <n v="40"/>
    <n v="40"/>
    <n v="9.2000000000000011"/>
    <x v="0"/>
  </r>
  <r>
    <d v="2021-08-04T00:00:00"/>
    <x v="2"/>
    <n v="32"/>
    <s v="MIÉRCOLES"/>
    <x v="14"/>
    <x v="14"/>
    <n v="40"/>
    <n v="40"/>
    <n v="9.2000000000000011"/>
    <x v="0"/>
  </r>
  <r>
    <d v="2021-08-04T00:00:00"/>
    <x v="2"/>
    <n v="32"/>
    <s v="MIÉRCOLES"/>
    <x v="15"/>
    <x v="15"/>
    <n v="200"/>
    <n v="50"/>
    <n v="80"/>
    <x v="0"/>
  </r>
  <r>
    <d v="2021-08-04T00:00:00"/>
    <x v="2"/>
    <n v="32"/>
    <s v="MIÉRCOLES"/>
    <x v="23"/>
    <x v="23"/>
    <n v="2160"/>
    <n v="90"/>
    <n v="367.20000000000005"/>
    <x v="0"/>
  </r>
  <r>
    <d v="2021-08-04T00:00:00"/>
    <x v="2"/>
    <n v="32"/>
    <s v="MIÉRCOLES"/>
    <x v="36"/>
    <x v="36"/>
    <n v="360"/>
    <n v="90"/>
    <n v="144"/>
    <x v="0"/>
  </r>
  <r>
    <d v="2021-08-04T00:00:00"/>
    <x v="2"/>
    <n v="32"/>
    <s v="MIÉRCOLES"/>
    <x v="20"/>
    <x v="20"/>
    <n v="720"/>
    <n v="90"/>
    <n v="122.4"/>
    <x v="0"/>
  </r>
  <r>
    <d v="2021-08-05T00:00:00"/>
    <x v="2"/>
    <n v="32"/>
    <s v="JUEVES"/>
    <x v="4"/>
    <x v="4"/>
    <n v="324"/>
    <n v="162"/>
    <n v="55.080000000000005"/>
    <x v="0"/>
  </r>
  <r>
    <d v="2021-08-05T00:00:00"/>
    <x v="2"/>
    <n v="32"/>
    <s v="JUEVES"/>
    <x v="6"/>
    <x v="6"/>
    <n v="1080"/>
    <n v="120"/>
    <n v="183.60000000000002"/>
    <x v="0"/>
  </r>
  <r>
    <d v="2021-08-05T00:00:00"/>
    <x v="2"/>
    <n v="32"/>
    <s v="JUEVES"/>
    <x v="7"/>
    <x v="7"/>
    <n v="1386"/>
    <n v="198"/>
    <n v="235.62"/>
    <x v="0"/>
  </r>
  <r>
    <d v="2021-08-05T00:00:00"/>
    <x v="2"/>
    <n v="32"/>
    <s v="JUEVES"/>
    <x v="16"/>
    <x v="16"/>
    <n v="720"/>
    <n v="180"/>
    <n v="302.39999999999998"/>
    <x v="0"/>
  </r>
  <r>
    <d v="2021-08-05T00:00:00"/>
    <x v="2"/>
    <n v="32"/>
    <s v="JUEVES"/>
    <x v="1"/>
    <x v="1"/>
    <n v="792"/>
    <n v="198"/>
    <n v="134.64000000000001"/>
    <x v="0"/>
  </r>
  <r>
    <d v="2021-08-05T00:00:00"/>
    <x v="2"/>
    <n v="32"/>
    <s v="JUEVES"/>
    <x v="26"/>
    <x v="26"/>
    <n v="450"/>
    <n v="90"/>
    <n v="76.5"/>
    <x v="0"/>
  </r>
  <r>
    <d v="2021-08-05T00:00:00"/>
    <x v="2"/>
    <n v="32"/>
    <s v="JUEVES"/>
    <x v="17"/>
    <x v="17"/>
    <n v="1200"/>
    <n v="120"/>
    <n v="204.00000000000003"/>
    <x v="0"/>
  </r>
  <r>
    <d v="2021-08-05T00:00:00"/>
    <x v="2"/>
    <n v="32"/>
    <s v="JUEVES"/>
    <x v="3"/>
    <x v="3"/>
    <n v="396"/>
    <n v="198"/>
    <n v="67.320000000000007"/>
    <x v="0"/>
  </r>
  <r>
    <d v="2021-08-05T00:00:00"/>
    <x v="2"/>
    <n v="32"/>
    <s v="JUEVES"/>
    <x v="34"/>
    <x v="34"/>
    <n v="396"/>
    <n v="198"/>
    <n v="67.320000000000007"/>
    <x v="0"/>
  </r>
  <r>
    <d v="2021-08-05T00:00:00"/>
    <x v="2"/>
    <n v="32"/>
    <s v="JUEVES"/>
    <x v="25"/>
    <x v="25"/>
    <n v="450"/>
    <n v="225"/>
    <n v="189"/>
    <x v="0"/>
  </r>
  <r>
    <d v="2021-08-05T00:00:00"/>
    <x v="2"/>
    <n v="32"/>
    <s v="JUEVES"/>
    <x v="29"/>
    <x v="29"/>
    <n v="198"/>
    <n v="198"/>
    <n v="33.660000000000004"/>
    <x v="0"/>
  </r>
  <r>
    <d v="2021-08-05T00:00:00"/>
    <x v="2"/>
    <n v="32"/>
    <s v="JUEVES"/>
    <x v="22"/>
    <x v="22"/>
    <n v="198"/>
    <n v="198"/>
    <n v="33.660000000000004"/>
    <x v="0"/>
  </r>
  <r>
    <d v="2021-08-05T00:00:00"/>
    <x v="2"/>
    <n v="32"/>
    <s v="JUEVES"/>
    <x v="8"/>
    <x v="8"/>
    <n v="396"/>
    <n v="198"/>
    <n v="67.320000000000007"/>
    <x v="0"/>
  </r>
  <r>
    <d v="2021-08-05T00:00:00"/>
    <x v="2"/>
    <n v="32"/>
    <s v="JUEVES"/>
    <x v="11"/>
    <x v="11"/>
    <n v="810"/>
    <n v="90"/>
    <n v="137.70000000000002"/>
    <x v="0"/>
  </r>
  <r>
    <d v="2021-08-05T00:00:00"/>
    <x v="2"/>
    <n v="32"/>
    <s v="JUEVES"/>
    <x v="10"/>
    <x v="10"/>
    <n v="480"/>
    <n v="120"/>
    <n v="81.600000000000009"/>
    <x v="0"/>
  </r>
  <r>
    <d v="2021-08-06T00:00:00"/>
    <x v="2"/>
    <n v="32"/>
    <s v="VIERNES"/>
    <x v="24"/>
    <x v="24"/>
    <n v="1680"/>
    <n v="420"/>
    <n v="705.6"/>
    <x v="0"/>
  </r>
  <r>
    <d v="2021-08-06T00:00:00"/>
    <x v="2"/>
    <n v="32"/>
    <s v="VIERNES"/>
    <x v="33"/>
    <x v="33"/>
    <n v="80"/>
    <n v="40"/>
    <n v="18.400000000000002"/>
    <x v="0"/>
  </r>
  <r>
    <d v="2021-08-06T00:00:00"/>
    <x v="2"/>
    <n v="32"/>
    <s v="VIERNES"/>
    <x v="28"/>
    <x v="28"/>
    <n v="300"/>
    <n v="30"/>
    <n v="69"/>
    <x v="0"/>
  </r>
  <r>
    <d v="2021-08-06T00:00:00"/>
    <x v="2"/>
    <n v="32"/>
    <s v="VIERNES"/>
    <x v="0"/>
    <x v="0"/>
    <n v="480"/>
    <n v="48"/>
    <n v="192"/>
    <x v="0"/>
  </r>
  <r>
    <d v="2021-08-06T00:00:00"/>
    <x v="2"/>
    <n v="32"/>
    <s v="VIERNES"/>
    <x v="7"/>
    <x v="7"/>
    <n v="594"/>
    <n v="198"/>
    <n v="100.98"/>
    <x v="0"/>
  </r>
  <r>
    <d v="2021-08-06T00:00:00"/>
    <x v="2"/>
    <n v="32"/>
    <s v="VIERNES"/>
    <x v="6"/>
    <x v="6"/>
    <n v="720"/>
    <n v="120"/>
    <n v="122.4"/>
    <x v="0"/>
  </r>
  <r>
    <d v="2021-08-06T00:00:00"/>
    <x v="2"/>
    <n v="32"/>
    <s v="VIERNES"/>
    <x v="5"/>
    <x v="5"/>
    <n v="324"/>
    <n v="162"/>
    <n v="55.080000000000005"/>
    <x v="0"/>
  </r>
  <r>
    <d v="2021-08-06T00:00:00"/>
    <x v="2"/>
    <n v="32"/>
    <s v="VIERNES"/>
    <x v="20"/>
    <x v="20"/>
    <n v="270"/>
    <n v="90"/>
    <n v="45.900000000000006"/>
    <x v="0"/>
  </r>
  <r>
    <d v="2021-08-06T00:00:00"/>
    <x v="2"/>
    <n v="32"/>
    <s v="VIERNES"/>
    <x v="38"/>
    <x v="38"/>
    <n v="224"/>
    <n v="112"/>
    <n v="89.600000000000009"/>
    <x v="0"/>
  </r>
  <r>
    <d v="2021-08-06T00:00:00"/>
    <x v="2"/>
    <n v="32"/>
    <s v="VIERNES"/>
    <x v="19"/>
    <x v="19"/>
    <n v="225"/>
    <n v="225"/>
    <n v="90"/>
    <x v="0"/>
  </r>
  <r>
    <d v="2021-08-06T00:00:00"/>
    <x v="2"/>
    <n v="32"/>
    <s v="VIERNES"/>
    <x v="25"/>
    <x v="25"/>
    <n v="450"/>
    <n v="225"/>
    <n v="189"/>
    <x v="0"/>
  </r>
  <r>
    <d v="2021-08-06T00:00:00"/>
    <x v="2"/>
    <n v="32"/>
    <s v="VIERNES"/>
    <x v="11"/>
    <x v="11"/>
    <n v="1530"/>
    <n v="90"/>
    <n v="260.10000000000002"/>
    <x v="0"/>
  </r>
  <r>
    <d v="2021-08-06T00:00:00"/>
    <x v="2"/>
    <n v="32"/>
    <s v="VIERNES"/>
    <x v="3"/>
    <x v="3"/>
    <n v="594"/>
    <n v="198"/>
    <n v="100.98"/>
    <x v="0"/>
  </r>
  <r>
    <d v="2021-08-06T00:00:00"/>
    <x v="2"/>
    <n v="32"/>
    <s v="VIERNES"/>
    <x v="8"/>
    <x v="8"/>
    <n v="792"/>
    <n v="198"/>
    <n v="134.64000000000001"/>
    <x v="0"/>
  </r>
  <r>
    <d v="2021-08-06T00:00:00"/>
    <x v="2"/>
    <n v="32"/>
    <s v="VIERNES"/>
    <x v="2"/>
    <x v="2"/>
    <n v="1782"/>
    <n v="198"/>
    <n v="302.94"/>
    <x v="0"/>
  </r>
  <r>
    <d v="2021-08-06T00:00:00"/>
    <x v="2"/>
    <n v="32"/>
    <s v="VIERNES"/>
    <x v="15"/>
    <x v="15"/>
    <n v="500"/>
    <n v="50"/>
    <n v="200"/>
    <x v="0"/>
  </r>
  <r>
    <d v="2021-08-06T00:00:00"/>
    <x v="2"/>
    <n v="32"/>
    <s v="VIERNES"/>
    <x v="13"/>
    <x v="13"/>
    <n v="240"/>
    <n v="30"/>
    <n v="96"/>
    <x v="0"/>
  </r>
  <r>
    <d v="2021-08-06T00:00:00"/>
    <x v="2"/>
    <n v="32"/>
    <s v="VIERNES"/>
    <x v="14"/>
    <x v="14"/>
    <n v="200"/>
    <n v="40"/>
    <n v="46"/>
    <x v="0"/>
  </r>
  <r>
    <d v="2021-08-06T00:00:00"/>
    <x v="2"/>
    <n v="32"/>
    <s v="VIERNES"/>
    <x v="23"/>
    <x v="23"/>
    <n v="540"/>
    <n v="90"/>
    <n v="91.800000000000011"/>
    <x v="0"/>
  </r>
  <r>
    <d v="2021-08-06T00:00:00"/>
    <x v="2"/>
    <n v="32"/>
    <s v="VIERNES"/>
    <x v="17"/>
    <x v="17"/>
    <n v="720"/>
    <n v="120"/>
    <n v="122.4"/>
    <x v="0"/>
  </r>
  <r>
    <d v="2021-08-06T00:00:00"/>
    <x v="2"/>
    <n v="32"/>
    <s v="VIERNES"/>
    <x v="1"/>
    <x v="1"/>
    <n v="2574"/>
    <n v="198"/>
    <n v="437.58000000000004"/>
    <x v="0"/>
  </r>
  <r>
    <d v="2021-08-06T00:00:00"/>
    <x v="2"/>
    <n v="32"/>
    <s v="VIERNES"/>
    <x v="10"/>
    <x v="10"/>
    <n v="1680"/>
    <n v="120"/>
    <n v="285.60000000000002"/>
    <x v="0"/>
  </r>
  <r>
    <d v="2021-08-06T00:00:00"/>
    <x v="2"/>
    <n v="32"/>
    <s v="VIERNES"/>
    <x v="26"/>
    <x v="26"/>
    <n v="450"/>
    <n v="90"/>
    <n v="76.5"/>
    <x v="0"/>
  </r>
  <r>
    <d v="2021-08-07T00:00:00"/>
    <x v="2"/>
    <n v="33"/>
    <s v="SÁBADO"/>
    <x v="13"/>
    <x v="13"/>
    <n v="90"/>
    <n v="30"/>
    <n v="36"/>
    <x v="0"/>
  </r>
  <r>
    <d v="2021-08-07T00:00:00"/>
    <x v="2"/>
    <n v="33"/>
    <s v="SÁBADO"/>
    <x v="28"/>
    <x v="28"/>
    <n v="60"/>
    <n v="30"/>
    <n v="13.8"/>
    <x v="0"/>
  </r>
  <r>
    <d v="2021-08-07T00:00:00"/>
    <x v="2"/>
    <n v="33"/>
    <s v="SÁBADO"/>
    <x v="14"/>
    <x v="14"/>
    <n v="80"/>
    <n v="40"/>
    <n v="18.400000000000002"/>
    <x v="0"/>
  </r>
  <r>
    <d v="2021-08-07T00:00:00"/>
    <x v="2"/>
    <n v="33"/>
    <s v="SÁBADO"/>
    <x v="23"/>
    <x v="23"/>
    <n v="360"/>
    <n v="90"/>
    <n v="61.2"/>
    <x v="0"/>
  </r>
  <r>
    <d v="2021-08-07T00:00:00"/>
    <x v="2"/>
    <n v="33"/>
    <s v="SÁBADO"/>
    <x v="33"/>
    <x v="33"/>
    <n v="80"/>
    <n v="40"/>
    <n v="18.400000000000002"/>
    <x v="0"/>
  </r>
  <r>
    <d v="2021-08-07T00:00:00"/>
    <x v="2"/>
    <n v="33"/>
    <s v="SÁBADO"/>
    <x v="10"/>
    <x v="10"/>
    <n v="1440"/>
    <n v="120"/>
    <n v="244.8"/>
    <x v="0"/>
  </r>
  <r>
    <d v="2021-08-07T00:00:00"/>
    <x v="2"/>
    <n v="33"/>
    <s v="SÁBADO"/>
    <x v="8"/>
    <x v="8"/>
    <n v="1386"/>
    <n v="198"/>
    <n v="235.62"/>
    <x v="0"/>
  </r>
  <r>
    <d v="2021-08-07T00:00:00"/>
    <x v="2"/>
    <n v="33"/>
    <s v="SÁBADO"/>
    <x v="3"/>
    <x v="3"/>
    <n v="198"/>
    <n v="198"/>
    <n v="33.660000000000004"/>
    <x v="0"/>
  </r>
  <r>
    <d v="2021-08-07T00:00:00"/>
    <x v="2"/>
    <n v="33"/>
    <s v="SÁBADO"/>
    <x v="2"/>
    <x v="2"/>
    <n v="990"/>
    <n v="198"/>
    <n v="168.3"/>
    <x v="0"/>
  </r>
  <r>
    <d v="2021-08-07T00:00:00"/>
    <x v="2"/>
    <n v="33"/>
    <s v="SÁBADO"/>
    <x v="7"/>
    <x v="7"/>
    <n v="990"/>
    <n v="198"/>
    <n v="168.3"/>
    <x v="0"/>
  </r>
  <r>
    <d v="2021-08-07T00:00:00"/>
    <x v="2"/>
    <n v="33"/>
    <s v="SÁBADO"/>
    <x v="20"/>
    <x v="20"/>
    <n v="180"/>
    <n v="90"/>
    <n v="30.6"/>
    <x v="0"/>
  </r>
  <r>
    <d v="2021-08-07T00:00:00"/>
    <x v="2"/>
    <n v="33"/>
    <s v="SÁBADO"/>
    <x v="0"/>
    <x v="0"/>
    <n v="480"/>
    <n v="48"/>
    <n v="192"/>
    <x v="0"/>
  </r>
  <r>
    <d v="2021-08-07T00:00:00"/>
    <x v="2"/>
    <n v="33"/>
    <s v="SÁBADO"/>
    <x v="23"/>
    <x v="23"/>
    <n v="180"/>
    <n v="90"/>
    <n v="30.6"/>
    <x v="0"/>
  </r>
  <r>
    <d v="2021-08-07T00:00:00"/>
    <x v="2"/>
    <n v="33"/>
    <s v="SÁBADO"/>
    <x v="9"/>
    <x v="9"/>
    <n v="2610"/>
    <n v="90"/>
    <n v="443.70000000000005"/>
    <x v="0"/>
  </r>
  <r>
    <d v="2021-08-07T00:00:00"/>
    <x v="2"/>
    <n v="33"/>
    <s v="SÁBADO"/>
    <x v="24"/>
    <x v="24"/>
    <n v="840"/>
    <n v="420"/>
    <n v="352.8"/>
    <x v="0"/>
  </r>
  <r>
    <d v="2021-08-07T00:00:00"/>
    <x v="2"/>
    <n v="33"/>
    <s v="SÁBADO"/>
    <x v="38"/>
    <x v="38"/>
    <n v="336"/>
    <n v="112"/>
    <n v="134.4"/>
    <x v="0"/>
  </r>
  <r>
    <d v="2021-08-07T00:00:00"/>
    <x v="2"/>
    <n v="33"/>
    <s v="SÁBADO"/>
    <x v="11"/>
    <x v="11"/>
    <n v="2610"/>
    <n v="90"/>
    <n v="443.70000000000005"/>
    <x v="0"/>
  </r>
  <r>
    <d v="2021-08-07T00:00:00"/>
    <x v="2"/>
    <n v="33"/>
    <s v="SÁBADO"/>
    <x v="39"/>
    <x v="39"/>
    <n v="1680"/>
    <n v="420"/>
    <n v="705.6"/>
    <x v="0"/>
  </r>
  <r>
    <d v="2021-08-07T00:00:00"/>
    <x v="2"/>
    <n v="33"/>
    <s v="SÁBADO"/>
    <x v="17"/>
    <x v="17"/>
    <n v="480"/>
    <n v="120"/>
    <n v="81.600000000000009"/>
    <x v="0"/>
  </r>
  <r>
    <d v="2021-08-07T00:00:00"/>
    <x v="2"/>
    <n v="33"/>
    <s v="SÁBADO"/>
    <x v="6"/>
    <x v="6"/>
    <n v="720"/>
    <n v="120"/>
    <n v="122.4"/>
    <x v="0"/>
  </r>
  <r>
    <d v="2021-08-07T00:00:00"/>
    <x v="2"/>
    <n v="33"/>
    <s v="SÁBADO"/>
    <x v="16"/>
    <x v="16"/>
    <n v="540"/>
    <n v="180"/>
    <n v="226.79999999999998"/>
    <x v="0"/>
  </r>
  <r>
    <d v="2021-08-08T00:00:00"/>
    <x v="2"/>
    <n v="33"/>
    <s v="DOMINGO"/>
    <x v="7"/>
    <x v="7"/>
    <n v="2808"/>
    <n v="198"/>
    <n v="477.36"/>
    <x v="0"/>
  </r>
  <r>
    <d v="2021-08-08T00:00:00"/>
    <x v="2"/>
    <n v="33"/>
    <s v="DOMINGO"/>
    <x v="2"/>
    <x v="2"/>
    <n v="1188"/>
    <n v="198"/>
    <n v="201.96"/>
    <x v="0"/>
  </r>
  <r>
    <d v="2021-08-08T00:00:00"/>
    <x v="2"/>
    <n v="33"/>
    <s v="DOMINGO"/>
    <x v="8"/>
    <x v="8"/>
    <n v="1188"/>
    <n v="198"/>
    <n v="201.96"/>
    <x v="0"/>
  </r>
  <r>
    <d v="2021-08-08T00:00:00"/>
    <x v="2"/>
    <n v="33"/>
    <s v="DOMINGO"/>
    <x v="10"/>
    <x v="10"/>
    <n v="240"/>
    <n v="120"/>
    <n v="40.800000000000004"/>
    <x v="0"/>
  </r>
  <r>
    <d v="2021-08-08T00:00:00"/>
    <x v="2"/>
    <n v="33"/>
    <s v="DOMINGO"/>
    <x v="1"/>
    <x v="1"/>
    <n v="1188"/>
    <n v="198"/>
    <n v="201.96"/>
    <x v="0"/>
  </r>
  <r>
    <d v="2021-08-08T00:00:00"/>
    <x v="2"/>
    <n v="33"/>
    <s v="DOMINGO"/>
    <x v="4"/>
    <x v="4"/>
    <n v="324"/>
    <n v="162"/>
    <n v="55.080000000000005"/>
    <x v="0"/>
  </r>
  <r>
    <d v="2021-08-08T00:00:00"/>
    <x v="2"/>
    <n v="33"/>
    <s v="DOMINGO"/>
    <x v="23"/>
    <x v="23"/>
    <n v="180"/>
    <n v="90"/>
    <n v="30.6"/>
    <x v="0"/>
  </r>
  <r>
    <d v="2021-08-08T00:00:00"/>
    <x v="2"/>
    <n v="33"/>
    <s v="DOMINGO"/>
    <x v="26"/>
    <x v="26"/>
    <n v="90"/>
    <n v="90"/>
    <n v="15.3"/>
    <x v="0"/>
  </r>
  <r>
    <d v="2021-08-09T00:00:00"/>
    <x v="2"/>
    <n v="33"/>
    <s v="LUNES"/>
    <x v="33"/>
    <x v="33"/>
    <n v="40"/>
    <n v="40"/>
    <n v="9.2000000000000011"/>
    <x v="0"/>
  </r>
  <r>
    <d v="2021-08-09T00:00:00"/>
    <x v="2"/>
    <n v="33"/>
    <s v="LUNES"/>
    <x v="12"/>
    <x v="12"/>
    <n v="225"/>
    <n v="225"/>
    <n v="90"/>
    <x v="0"/>
  </r>
  <r>
    <d v="2021-08-09T00:00:00"/>
    <x v="2"/>
    <n v="33"/>
    <s v="LUNES"/>
    <x v="28"/>
    <x v="28"/>
    <n v="90"/>
    <n v="30"/>
    <n v="20.7"/>
    <x v="0"/>
  </r>
  <r>
    <d v="2021-08-09T00:00:00"/>
    <x v="2"/>
    <n v="33"/>
    <s v="LUNES"/>
    <x v="5"/>
    <x v="5"/>
    <n v="324"/>
    <n v="162"/>
    <n v="55.080000000000005"/>
    <x v="0"/>
  </r>
  <r>
    <d v="2021-08-09T00:00:00"/>
    <x v="2"/>
    <n v="33"/>
    <s v="LUNES"/>
    <x v="10"/>
    <x v="10"/>
    <n v="120"/>
    <n v="120"/>
    <n v="20.400000000000002"/>
    <x v="0"/>
  </r>
  <r>
    <d v="2021-08-09T00:00:00"/>
    <x v="2"/>
    <n v="33"/>
    <s v="LUNES"/>
    <x v="23"/>
    <x v="23"/>
    <n v="450"/>
    <n v="90"/>
    <n v="76.5"/>
    <x v="0"/>
  </r>
  <r>
    <d v="2021-08-09T00:00:00"/>
    <x v="2"/>
    <n v="33"/>
    <s v="LUNES"/>
    <x v="9"/>
    <x v="9"/>
    <n v="270"/>
    <n v="90"/>
    <n v="45.900000000000006"/>
    <x v="0"/>
  </r>
  <r>
    <d v="2021-08-09T00:00:00"/>
    <x v="2"/>
    <n v="33"/>
    <s v="LUNES"/>
    <x v="11"/>
    <x v="11"/>
    <n v="1170"/>
    <n v="90"/>
    <n v="198.9"/>
    <x v="0"/>
  </r>
  <r>
    <d v="2021-08-09T00:00:00"/>
    <x v="2"/>
    <n v="33"/>
    <s v="LUNES"/>
    <x v="26"/>
    <x v="26"/>
    <n v="2880"/>
    <n v="90"/>
    <n v="489.6"/>
    <x v="0"/>
  </r>
  <r>
    <d v="2021-08-09T00:00:00"/>
    <x v="2"/>
    <n v="33"/>
    <s v="LUNES"/>
    <x v="16"/>
    <x v="16"/>
    <n v="360"/>
    <n v="180"/>
    <n v="151.19999999999999"/>
    <x v="0"/>
  </r>
  <r>
    <d v="2021-08-09T00:00:00"/>
    <x v="2"/>
    <n v="33"/>
    <s v="LUNES"/>
    <x v="39"/>
    <x v="39"/>
    <n v="2100"/>
    <n v="420"/>
    <n v="882"/>
    <x v="0"/>
  </r>
  <r>
    <d v="2021-08-09T00:00:00"/>
    <x v="2"/>
    <n v="33"/>
    <s v="LUNES"/>
    <x v="0"/>
    <x v="0"/>
    <n v="576"/>
    <n v="48"/>
    <n v="230.4"/>
    <x v="0"/>
  </r>
  <r>
    <d v="2021-08-09T00:00:00"/>
    <x v="2"/>
    <n v="33"/>
    <s v="LUNES"/>
    <x v="1"/>
    <x v="1"/>
    <n v="1584"/>
    <n v="198"/>
    <n v="269.28000000000003"/>
    <x v="0"/>
  </r>
  <r>
    <d v="2021-08-09T00:00:00"/>
    <x v="2"/>
    <n v="33"/>
    <s v="LUNES"/>
    <x v="22"/>
    <x v="22"/>
    <n v="1584"/>
    <n v="198"/>
    <n v="269.28000000000003"/>
    <x v="0"/>
  </r>
  <r>
    <d v="2021-08-09T00:00:00"/>
    <x v="2"/>
    <n v="33"/>
    <s v="LUNES"/>
    <x v="2"/>
    <x v="2"/>
    <n v="1188"/>
    <n v="198"/>
    <n v="201.96"/>
    <x v="0"/>
  </r>
  <r>
    <d v="2021-08-09T00:00:00"/>
    <x v="2"/>
    <n v="33"/>
    <s v="LUNES"/>
    <x v="24"/>
    <x v="24"/>
    <n v="420"/>
    <n v="420"/>
    <n v="176.4"/>
    <x v="0"/>
  </r>
  <r>
    <d v="2021-08-09T00:00:00"/>
    <x v="2"/>
    <n v="33"/>
    <s v="LUNES"/>
    <x v="36"/>
    <x v="36"/>
    <n v="360"/>
    <n v="90"/>
    <n v="144"/>
    <x v="0"/>
  </r>
  <r>
    <d v="2021-08-09T00:00:00"/>
    <x v="2"/>
    <n v="33"/>
    <s v="LUNES"/>
    <x v="1"/>
    <x v="1"/>
    <n v="432"/>
    <n v="198"/>
    <n v="73.440000000000012"/>
    <x v="0"/>
  </r>
  <r>
    <d v="2021-08-09T00:00:00"/>
    <x v="2"/>
    <n v="33"/>
    <s v="LUNES"/>
    <x v="29"/>
    <x v="29"/>
    <n v="198"/>
    <n v="198"/>
    <n v="33.660000000000004"/>
    <x v="0"/>
  </r>
  <r>
    <d v="2021-08-09T00:00:00"/>
    <x v="2"/>
    <n v="33"/>
    <s v="LUNES"/>
    <x v="34"/>
    <x v="34"/>
    <n v="198"/>
    <n v="198"/>
    <n v="33.660000000000004"/>
    <x v="0"/>
  </r>
  <r>
    <d v="2021-08-09T00:00:00"/>
    <x v="2"/>
    <n v="33"/>
    <s v="LUNES"/>
    <x v="22"/>
    <x v="22"/>
    <n v="396"/>
    <n v="198"/>
    <n v="67.320000000000007"/>
    <x v="0"/>
  </r>
  <r>
    <d v="2021-08-09T00:00:00"/>
    <x v="2"/>
    <n v="33"/>
    <s v="LUNES"/>
    <x v="4"/>
    <x v="4"/>
    <n v="162"/>
    <n v="162"/>
    <n v="27.540000000000003"/>
    <x v="0"/>
  </r>
  <r>
    <d v="2021-08-09T00:00:00"/>
    <x v="2"/>
    <n v="33"/>
    <s v="LUNES"/>
    <x v="9"/>
    <x v="9"/>
    <n v="180"/>
    <n v="90"/>
    <n v="30.6"/>
    <x v="0"/>
  </r>
  <r>
    <d v="2021-08-09T00:00:00"/>
    <x v="2"/>
    <n v="33"/>
    <s v="LUNES"/>
    <x v="23"/>
    <x v="23"/>
    <n v="180"/>
    <n v="90"/>
    <n v="30.6"/>
    <x v="0"/>
  </r>
  <r>
    <d v="2021-08-10T00:00:00"/>
    <x v="2"/>
    <n v="33"/>
    <s v="MARTES"/>
    <x v="34"/>
    <x v="34"/>
    <n v="396"/>
    <n v="198"/>
    <n v="67.320000000000007"/>
    <x v="0"/>
  </r>
  <r>
    <d v="2021-08-10T00:00:00"/>
    <x v="2"/>
    <n v="33"/>
    <s v="MARTES"/>
    <x v="15"/>
    <x v="15"/>
    <n v="250"/>
    <n v="50"/>
    <n v="100"/>
    <x v="0"/>
  </r>
  <r>
    <d v="2021-08-10T00:00:00"/>
    <x v="2"/>
    <n v="33"/>
    <s v="MARTES"/>
    <x v="29"/>
    <x v="29"/>
    <n v="216"/>
    <n v="198"/>
    <n v="36.720000000000006"/>
    <x v="0"/>
  </r>
  <r>
    <d v="2021-08-10T00:00:00"/>
    <x v="2"/>
    <n v="33"/>
    <s v="MARTES"/>
    <x v="22"/>
    <x v="22"/>
    <n v="792"/>
    <n v="198"/>
    <n v="134.64000000000001"/>
    <x v="0"/>
  </r>
  <r>
    <d v="2021-08-10T00:00:00"/>
    <x v="2"/>
    <n v="33"/>
    <s v="MARTES"/>
    <x v="2"/>
    <x v="2"/>
    <n v="216"/>
    <n v="198"/>
    <n v="36.720000000000006"/>
    <x v="0"/>
  </r>
  <r>
    <d v="2021-08-10T00:00:00"/>
    <x v="2"/>
    <n v="33"/>
    <s v="MARTES"/>
    <x v="3"/>
    <x v="3"/>
    <n v="792"/>
    <n v="198"/>
    <n v="134.64000000000001"/>
    <x v="0"/>
  </r>
  <r>
    <d v="2021-08-10T00:00:00"/>
    <x v="2"/>
    <n v="33"/>
    <s v="MARTES"/>
    <x v="17"/>
    <x v="17"/>
    <n v="960"/>
    <n v="120"/>
    <n v="163.20000000000002"/>
    <x v="0"/>
  </r>
  <r>
    <d v="2021-08-10T00:00:00"/>
    <x v="2"/>
    <n v="33"/>
    <s v="MARTES"/>
    <x v="10"/>
    <x v="10"/>
    <n v="2640"/>
    <n v="120"/>
    <n v="448.8"/>
    <x v="0"/>
  </r>
  <r>
    <d v="2021-08-10T00:00:00"/>
    <x v="2"/>
    <n v="33"/>
    <s v="MARTES"/>
    <x v="9"/>
    <x v="9"/>
    <n v="1440"/>
    <n v="90"/>
    <n v="244.8"/>
    <x v="0"/>
  </r>
  <r>
    <d v="2021-08-10T00:00:00"/>
    <x v="2"/>
    <n v="33"/>
    <s v="MARTES"/>
    <x v="0"/>
    <x v="0"/>
    <n v="192"/>
    <n v="48"/>
    <n v="76.800000000000011"/>
    <x v="0"/>
  </r>
  <r>
    <d v="2021-08-10T00:00:00"/>
    <x v="2"/>
    <n v="33"/>
    <s v="MARTES"/>
    <x v="4"/>
    <x v="4"/>
    <n v="162"/>
    <n v="162"/>
    <n v="27.540000000000003"/>
    <x v="0"/>
  </r>
  <r>
    <d v="2021-08-10T00:00:00"/>
    <x v="2"/>
    <n v="33"/>
    <s v="MARTES"/>
    <x v="6"/>
    <x v="6"/>
    <n v="1080"/>
    <n v="120"/>
    <n v="183.60000000000002"/>
    <x v="0"/>
  </r>
  <r>
    <d v="2021-08-10T00:00:00"/>
    <x v="2"/>
    <n v="33"/>
    <s v="MARTES"/>
    <x v="11"/>
    <x v="11"/>
    <n v="1080"/>
    <n v="90"/>
    <n v="183.60000000000002"/>
    <x v="0"/>
  </r>
  <r>
    <d v="2021-08-10T00:00:00"/>
    <x v="2"/>
    <n v="33"/>
    <s v="MARTES"/>
    <x v="23"/>
    <x v="23"/>
    <n v="810"/>
    <n v="90"/>
    <n v="137.70000000000002"/>
    <x v="0"/>
  </r>
  <r>
    <d v="2021-08-10T00:00:00"/>
    <x v="2"/>
    <n v="33"/>
    <s v="MARTES"/>
    <x v="36"/>
    <x v="36"/>
    <n v="360"/>
    <n v="90"/>
    <n v="144"/>
    <x v="0"/>
  </r>
  <r>
    <d v="2021-08-10T00:00:00"/>
    <x v="2"/>
    <n v="33"/>
    <s v="MARTES"/>
    <x v="16"/>
    <x v="16"/>
    <n v="540"/>
    <n v="180"/>
    <n v="226.79999999999998"/>
    <x v="0"/>
  </r>
  <r>
    <d v="2021-08-10T00:00:00"/>
    <x v="2"/>
    <n v="33"/>
    <s v="MARTES"/>
    <x v="25"/>
    <x v="25"/>
    <n v="900"/>
    <n v="225"/>
    <n v="378"/>
    <x v="0"/>
  </r>
  <r>
    <d v="2021-08-10T00:00:00"/>
    <x v="2"/>
    <n v="33"/>
    <s v="MARTES"/>
    <x v="28"/>
    <x v="28"/>
    <n v="30"/>
    <n v="30"/>
    <n v="6.9"/>
    <x v="0"/>
  </r>
  <r>
    <d v="2021-08-10T00:00:00"/>
    <x v="2"/>
    <n v="33"/>
    <s v="MARTES"/>
    <x v="26"/>
    <x v="26"/>
    <n v="720"/>
    <n v="90"/>
    <n v="122.4"/>
    <x v="0"/>
  </r>
  <r>
    <d v="2021-08-10T00:00:00"/>
    <x v="2"/>
    <n v="33"/>
    <s v="MARTES"/>
    <x v="39"/>
    <x v="39"/>
    <n v="2100"/>
    <n v="420"/>
    <n v="882"/>
    <x v="0"/>
  </r>
  <r>
    <d v="2021-08-10T00:00:00"/>
    <x v="2"/>
    <n v="33"/>
    <s v="MARTES"/>
    <x v="14"/>
    <x v="14"/>
    <n v="120"/>
    <n v="40"/>
    <n v="27.6"/>
    <x v="0"/>
  </r>
  <r>
    <d v="2021-08-11T00:00:00"/>
    <x v="2"/>
    <n v="33"/>
    <s v="MIÉRCOLES"/>
    <x v="39"/>
    <x v="39"/>
    <n v="1260"/>
    <n v="420"/>
    <n v="529.19999999999993"/>
    <x v="0"/>
  </r>
  <r>
    <d v="2021-08-11T00:00:00"/>
    <x v="2"/>
    <n v="33"/>
    <s v="MIÉRCOLES"/>
    <x v="0"/>
    <x v="0"/>
    <n v="240"/>
    <n v="48"/>
    <n v="96"/>
    <x v="0"/>
  </r>
  <r>
    <d v="2021-08-11T00:00:00"/>
    <x v="2"/>
    <n v="33"/>
    <s v="MIÉRCOLES"/>
    <x v="5"/>
    <x v="5"/>
    <n v="162"/>
    <n v="162"/>
    <n v="27.540000000000003"/>
    <x v="0"/>
  </r>
  <r>
    <d v="2021-08-11T00:00:00"/>
    <x v="2"/>
    <n v="33"/>
    <s v="MIÉRCOLES"/>
    <x v="24"/>
    <x v="24"/>
    <n v="3360"/>
    <n v="420"/>
    <n v="1411.2"/>
    <x v="0"/>
  </r>
  <r>
    <d v="2021-08-11T00:00:00"/>
    <x v="2"/>
    <n v="33"/>
    <s v="MIÉRCOLES"/>
    <x v="16"/>
    <x v="16"/>
    <n v="540"/>
    <n v="180"/>
    <n v="226.79999999999998"/>
    <x v="0"/>
  </r>
  <r>
    <d v="2021-08-11T00:00:00"/>
    <x v="2"/>
    <n v="33"/>
    <s v="MIÉRCOLES"/>
    <x v="2"/>
    <x v="2"/>
    <n v="1080"/>
    <n v="198"/>
    <n v="183.60000000000002"/>
    <x v="0"/>
  </r>
  <r>
    <d v="2021-08-11T00:00:00"/>
    <x v="2"/>
    <n v="33"/>
    <s v="MIÉRCOLES"/>
    <x v="13"/>
    <x v="13"/>
    <n v="90"/>
    <n v="30"/>
    <n v="36"/>
    <x v="0"/>
  </r>
  <r>
    <d v="2021-08-11T00:00:00"/>
    <x v="2"/>
    <n v="33"/>
    <s v="MIÉRCOLES"/>
    <x v="22"/>
    <x v="22"/>
    <n v="594"/>
    <n v="198"/>
    <n v="100.98"/>
    <x v="0"/>
  </r>
  <r>
    <d v="2021-08-11T00:00:00"/>
    <x v="2"/>
    <n v="33"/>
    <s v="MIÉRCOLES"/>
    <x v="9"/>
    <x v="9"/>
    <n v="720"/>
    <n v="90"/>
    <n v="122.4"/>
    <x v="0"/>
  </r>
  <r>
    <d v="2021-08-11T00:00:00"/>
    <x v="2"/>
    <n v="33"/>
    <s v="MIÉRCOLES"/>
    <x v="4"/>
    <x v="4"/>
    <n v="324"/>
    <n v="162"/>
    <n v="55.080000000000005"/>
    <x v="0"/>
  </r>
  <r>
    <d v="2021-08-11T00:00:00"/>
    <x v="2"/>
    <n v="33"/>
    <s v="MIÉRCOLES"/>
    <x v="19"/>
    <x v="19"/>
    <n v="225"/>
    <n v="225"/>
    <n v="90"/>
    <x v="0"/>
  </r>
  <r>
    <d v="2021-08-11T00:00:00"/>
    <x v="2"/>
    <n v="33"/>
    <s v="MIÉRCOLES"/>
    <x v="26"/>
    <x v="26"/>
    <n v="990"/>
    <n v="90"/>
    <n v="168.3"/>
    <x v="0"/>
  </r>
  <r>
    <d v="2021-08-11T00:00:00"/>
    <x v="2"/>
    <n v="33"/>
    <s v="MIÉRCOLES"/>
    <x v="23"/>
    <x v="23"/>
    <n v="450"/>
    <n v="90"/>
    <n v="76.5"/>
    <x v="0"/>
  </r>
  <r>
    <d v="2021-08-11T00:00:00"/>
    <x v="2"/>
    <n v="33"/>
    <s v="MIÉRCOLES"/>
    <x v="33"/>
    <x v="33"/>
    <n v="80"/>
    <n v="40"/>
    <n v="18.400000000000002"/>
    <x v="0"/>
  </r>
  <r>
    <d v="2021-08-11T00:00:00"/>
    <x v="2"/>
    <n v="33"/>
    <s v="MIÉRCOLES"/>
    <x v="11"/>
    <x v="11"/>
    <n v="1440"/>
    <n v="90"/>
    <n v="244.8"/>
    <x v="0"/>
  </r>
  <r>
    <d v="2021-08-11T00:00:00"/>
    <x v="2"/>
    <n v="33"/>
    <s v="MIÉRCOLES"/>
    <x v="15"/>
    <x v="15"/>
    <n v="100"/>
    <n v="50"/>
    <n v="40"/>
    <x v="0"/>
  </r>
  <r>
    <d v="2021-08-11T00:00:00"/>
    <x v="2"/>
    <n v="33"/>
    <s v="MIÉRCOLES"/>
    <x v="25"/>
    <x v="25"/>
    <n v="450"/>
    <n v="225"/>
    <n v="189"/>
    <x v="0"/>
  </r>
  <r>
    <d v="2021-08-11T00:00:00"/>
    <x v="2"/>
    <n v="33"/>
    <s v="MIÉRCOLES"/>
    <x v="14"/>
    <x v="14"/>
    <n v="40"/>
    <n v="40"/>
    <n v="9.2000000000000011"/>
    <x v="0"/>
  </r>
  <r>
    <d v="2021-08-11T00:00:00"/>
    <x v="2"/>
    <n v="33"/>
    <s v="MIÉRCOLES"/>
    <x v="10"/>
    <x v="10"/>
    <n v="1920"/>
    <n v="120"/>
    <n v="326.40000000000003"/>
    <x v="0"/>
  </r>
  <r>
    <d v="2021-08-11T00:00:00"/>
    <x v="2"/>
    <n v="33"/>
    <s v="MIÉRCOLES"/>
    <x v="20"/>
    <x v="20"/>
    <n v="450"/>
    <n v="90"/>
    <n v="76.5"/>
    <x v="0"/>
  </r>
  <r>
    <d v="2021-08-11T00:00:00"/>
    <x v="2"/>
    <n v="33"/>
    <s v="MIÉRCOLES"/>
    <x v="6"/>
    <x v="6"/>
    <n v="1320"/>
    <n v="120"/>
    <n v="224.4"/>
    <x v="0"/>
  </r>
  <r>
    <d v="2021-08-11T00:00:00"/>
    <x v="2"/>
    <n v="33"/>
    <s v="MIÉRCOLES"/>
    <x v="1"/>
    <x v="1"/>
    <n v="2160"/>
    <n v="198"/>
    <n v="367.20000000000005"/>
    <x v="0"/>
  </r>
  <r>
    <d v="2021-08-11T00:00:00"/>
    <x v="2"/>
    <n v="33"/>
    <s v="MIÉRCOLES"/>
    <x v="17"/>
    <x v="17"/>
    <n v="840"/>
    <n v="120"/>
    <n v="142.80000000000001"/>
    <x v="0"/>
  </r>
  <r>
    <d v="2021-08-12T00:00:00"/>
    <x v="2"/>
    <n v="33"/>
    <s v="JUEVES"/>
    <x v="16"/>
    <x v="16"/>
    <n v="360"/>
    <n v="180"/>
    <n v="151.19999999999999"/>
    <x v="0"/>
  </r>
  <r>
    <d v="2021-08-12T00:00:00"/>
    <x v="2"/>
    <n v="33"/>
    <s v="JUEVES"/>
    <x v="36"/>
    <x v="36"/>
    <n v="810"/>
    <n v="90"/>
    <n v="324"/>
    <x v="0"/>
  </r>
  <r>
    <d v="2021-08-12T00:00:00"/>
    <x v="2"/>
    <n v="33"/>
    <s v="JUEVES"/>
    <x v="11"/>
    <x v="11"/>
    <n v="540"/>
    <n v="90"/>
    <n v="91.800000000000011"/>
    <x v="0"/>
  </r>
  <r>
    <d v="2021-08-12T00:00:00"/>
    <x v="2"/>
    <n v="33"/>
    <s v="JUEVES"/>
    <x v="23"/>
    <x v="23"/>
    <n v="360"/>
    <n v="90"/>
    <n v="61.2"/>
    <x v="0"/>
  </r>
  <r>
    <d v="2021-08-12T00:00:00"/>
    <x v="2"/>
    <n v="33"/>
    <s v="JUEVES"/>
    <x v="3"/>
    <x v="3"/>
    <n v="1188"/>
    <n v="198"/>
    <n v="201.96"/>
    <x v="0"/>
  </r>
  <r>
    <d v="2021-08-12T00:00:00"/>
    <x v="2"/>
    <n v="33"/>
    <s v="JUEVES"/>
    <x v="33"/>
    <x v="33"/>
    <n v="40"/>
    <n v="40"/>
    <n v="9.2000000000000011"/>
    <x v="0"/>
  </r>
  <r>
    <d v="2021-08-12T00:00:00"/>
    <x v="2"/>
    <n v="33"/>
    <s v="JUEVES"/>
    <x v="17"/>
    <x v="17"/>
    <n v="480"/>
    <n v="120"/>
    <n v="81.600000000000009"/>
    <x v="0"/>
  </r>
  <r>
    <d v="2021-08-12T00:00:00"/>
    <x v="2"/>
    <n v="33"/>
    <s v="JUEVES"/>
    <x v="4"/>
    <x v="4"/>
    <n v="648"/>
    <n v="162"/>
    <n v="110.16000000000001"/>
    <x v="0"/>
  </r>
  <r>
    <d v="2021-08-12T00:00:00"/>
    <x v="2"/>
    <n v="33"/>
    <s v="JUEVES"/>
    <x v="5"/>
    <x v="5"/>
    <n v="486"/>
    <n v="162"/>
    <n v="82.62"/>
    <x v="0"/>
  </r>
  <r>
    <d v="2021-08-12T00:00:00"/>
    <x v="2"/>
    <n v="33"/>
    <s v="JUEVES"/>
    <x v="2"/>
    <x v="2"/>
    <n v="2376"/>
    <n v="198"/>
    <n v="403.92"/>
    <x v="0"/>
  </r>
  <r>
    <d v="2021-08-12T00:00:00"/>
    <x v="2"/>
    <n v="33"/>
    <s v="JUEVES"/>
    <x v="7"/>
    <x v="7"/>
    <n v="2160"/>
    <n v="198"/>
    <n v="367.20000000000005"/>
    <x v="0"/>
  </r>
  <r>
    <d v="2021-08-12T00:00:00"/>
    <x v="2"/>
    <n v="33"/>
    <s v="JUEVES"/>
    <x v="1"/>
    <x v="1"/>
    <n v="3672"/>
    <n v="198"/>
    <n v="624.24"/>
    <x v="0"/>
  </r>
  <r>
    <d v="2021-08-12T00:00:00"/>
    <x v="2"/>
    <n v="33"/>
    <s v="JUEVES"/>
    <x v="8"/>
    <x v="8"/>
    <n v="1836"/>
    <n v="198"/>
    <n v="312.12"/>
    <x v="0"/>
  </r>
  <r>
    <d v="2021-08-12T00:00:00"/>
    <x v="2"/>
    <n v="33"/>
    <s v="JUEVES"/>
    <x v="10"/>
    <x v="10"/>
    <n v="2160"/>
    <n v="120"/>
    <n v="367.20000000000005"/>
    <x v="0"/>
  </r>
  <r>
    <d v="2021-08-12T00:00:00"/>
    <x v="2"/>
    <n v="33"/>
    <s v="JUEVES"/>
    <x v="22"/>
    <x v="22"/>
    <n v="792"/>
    <n v="198"/>
    <n v="134.64000000000001"/>
    <x v="0"/>
  </r>
  <r>
    <d v="2021-08-12T00:00:00"/>
    <x v="2"/>
    <n v="33"/>
    <s v="JUEVES"/>
    <x v="9"/>
    <x v="9"/>
    <n v="450"/>
    <n v="90"/>
    <n v="76.5"/>
    <x v="0"/>
  </r>
  <r>
    <d v="2021-08-12T00:00:00"/>
    <x v="2"/>
    <n v="33"/>
    <s v="JUEVES"/>
    <x v="0"/>
    <x v="0"/>
    <n v="384"/>
    <n v="48"/>
    <n v="153.60000000000002"/>
    <x v="0"/>
  </r>
  <r>
    <d v="2021-08-12T00:00:00"/>
    <x v="2"/>
    <n v="33"/>
    <s v="JUEVES"/>
    <x v="12"/>
    <x v="12"/>
    <n v="225"/>
    <n v="225"/>
    <n v="90"/>
    <x v="0"/>
  </r>
  <r>
    <d v="2021-08-12T00:00:00"/>
    <x v="2"/>
    <n v="33"/>
    <s v="JUEVES"/>
    <x v="38"/>
    <x v="38"/>
    <n v="112"/>
    <n v="112"/>
    <n v="44.800000000000004"/>
    <x v="0"/>
  </r>
  <r>
    <d v="2021-08-12T00:00:00"/>
    <x v="2"/>
    <n v="33"/>
    <s v="JUEVES"/>
    <x v="39"/>
    <x v="39"/>
    <n v="2520"/>
    <n v="420"/>
    <n v="1058.3999999999999"/>
    <x v="0"/>
  </r>
  <r>
    <d v="2021-08-12T00:00:00"/>
    <x v="2"/>
    <n v="33"/>
    <s v="JUEVES"/>
    <x v="24"/>
    <x v="24"/>
    <n v="840"/>
    <n v="420"/>
    <n v="352.8"/>
    <x v="0"/>
  </r>
  <r>
    <d v="2021-08-13T00:00:00"/>
    <x v="2"/>
    <n v="33"/>
    <s v="VIERNES"/>
    <x v="13"/>
    <x v="13"/>
    <n v="120"/>
    <n v="30"/>
    <n v="48"/>
    <x v="0"/>
  </r>
  <r>
    <d v="2021-08-13T00:00:00"/>
    <x v="2"/>
    <n v="33"/>
    <s v="VIERNES"/>
    <x v="1"/>
    <x v="1"/>
    <n v="432"/>
    <n v="198"/>
    <n v="73.440000000000012"/>
    <x v="0"/>
  </r>
  <r>
    <d v="2021-08-13T00:00:00"/>
    <x v="2"/>
    <n v="33"/>
    <s v="VIERNES"/>
    <x v="33"/>
    <x v="33"/>
    <n v="80"/>
    <n v="40"/>
    <n v="18.400000000000002"/>
    <x v="0"/>
  </r>
  <r>
    <d v="2021-08-13T00:00:00"/>
    <x v="2"/>
    <n v="33"/>
    <s v="VIERNES"/>
    <x v="14"/>
    <x v="14"/>
    <n v="40"/>
    <n v="40"/>
    <n v="9.2000000000000011"/>
    <x v="0"/>
  </r>
  <r>
    <d v="2021-08-13T00:00:00"/>
    <x v="2"/>
    <n v="33"/>
    <s v="VIERNES"/>
    <x v="36"/>
    <x v="36"/>
    <n v="990"/>
    <n v="90"/>
    <n v="396"/>
    <x v="0"/>
  </r>
  <r>
    <d v="2021-08-13T00:00:00"/>
    <x v="2"/>
    <n v="33"/>
    <s v="VIERNES"/>
    <x v="38"/>
    <x v="38"/>
    <n v="448"/>
    <n v="112"/>
    <n v="179.20000000000002"/>
    <x v="0"/>
  </r>
  <r>
    <d v="2021-08-13T00:00:00"/>
    <x v="2"/>
    <n v="33"/>
    <s v="VIERNES"/>
    <x v="24"/>
    <x v="24"/>
    <n v="1680"/>
    <n v="420"/>
    <n v="705.6"/>
    <x v="0"/>
  </r>
  <r>
    <d v="2021-08-13T00:00:00"/>
    <x v="2"/>
    <n v="33"/>
    <s v="VIERNES"/>
    <x v="25"/>
    <x v="25"/>
    <n v="450"/>
    <n v="225"/>
    <n v="189"/>
    <x v="0"/>
  </r>
  <r>
    <d v="2021-08-13T00:00:00"/>
    <x v="2"/>
    <n v="33"/>
    <s v="VIERNES"/>
    <x v="6"/>
    <x v="6"/>
    <n v="120"/>
    <n v="120"/>
    <n v="20.400000000000002"/>
    <x v="0"/>
  </r>
  <r>
    <d v="2021-08-13T00:00:00"/>
    <x v="2"/>
    <n v="33"/>
    <s v="VIERNES"/>
    <x v="10"/>
    <x v="10"/>
    <n v="1200"/>
    <n v="120"/>
    <n v="204.00000000000003"/>
    <x v="0"/>
  </r>
  <r>
    <d v="2021-08-13T00:00:00"/>
    <x v="2"/>
    <n v="33"/>
    <s v="VIERNES"/>
    <x v="9"/>
    <x v="9"/>
    <n v="2070"/>
    <n v="90"/>
    <n v="351.90000000000003"/>
    <x v="0"/>
  </r>
  <r>
    <d v="2021-08-13T00:00:00"/>
    <x v="2"/>
    <n v="33"/>
    <s v="VIERNES"/>
    <x v="5"/>
    <x v="5"/>
    <n v="648"/>
    <n v="162"/>
    <n v="110.16000000000001"/>
    <x v="0"/>
  </r>
  <r>
    <d v="2021-08-13T00:00:00"/>
    <x v="2"/>
    <n v="33"/>
    <s v="VIERNES"/>
    <x v="4"/>
    <x v="4"/>
    <n v="324"/>
    <n v="162"/>
    <n v="55.080000000000005"/>
    <x v="0"/>
  </r>
  <r>
    <d v="2021-08-13T00:00:00"/>
    <x v="2"/>
    <n v="33"/>
    <s v="VIERNES"/>
    <x v="7"/>
    <x v="7"/>
    <n v="1296"/>
    <n v="198"/>
    <n v="220.32000000000002"/>
    <x v="0"/>
  </r>
  <r>
    <d v="2021-08-13T00:00:00"/>
    <x v="2"/>
    <n v="33"/>
    <s v="VIERNES"/>
    <x v="2"/>
    <x v="2"/>
    <n v="1728"/>
    <n v="198"/>
    <n v="293.76000000000005"/>
    <x v="0"/>
  </r>
  <r>
    <d v="2021-08-13T00:00:00"/>
    <x v="2"/>
    <n v="33"/>
    <s v="VIERNES"/>
    <x v="28"/>
    <x v="28"/>
    <n v="120"/>
    <n v="30"/>
    <n v="27.6"/>
    <x v="0"/>
  </r>
  <r>
    <d v="2021-08-13T00:00:00"/>
    <x v="2"/>
    <n v="33"/>
    <s v="VIERNES"/>
    <x v="15"/>
    <x v="15"/>
    <n v="150"/>
    <n v="50"/>
    <n v="60"/>
    <x v="0"/>
  </r>
  <r>
    <d v="2021-08-13T00:00:00"/>
    <x v="2"/>
    <n v="33"/>
    <s v="VIERNES"/>
    <x v="0"/>
    <x v="0"/>
    <n v="672"/>
    <n v="48"/>
    <n v="268.8"/>
    <x v="0"/>
  </r>
  <r>
    <d v="2021-08-13T00:00:00"/>
    <x v="2"/>
    <n v="33"/>
    <s v="VIERNES"/>
    <x v="20"/>
    <x v="20"/>
    <n v="180"/>
    <n v="90"/>
    <n v="30.6"/>
    <x v="0"/>
  </r>
  <r>
    <d v="2021-08-13T00:00:00"/>
    <x v="2"/>
    <n v="33"/>
    <s v="VIERNES"/>
    <x v="26"/>
    <x v="26"/>
    <n v="540"/>
    <n v="90"/>
    <n v="91.800000000000011"/>
    <x v="0"/>
  </r>
  <r>
    <d v="2021-08-13T00:00:00"/>
    <x v="2"/>
    <n v="33"/>
    <s v="VIERNES"/>
    <x v="23"/>
    <x v="23"/>
    <n v="2160"/>
    <n v="90"/>
    <n v="367.20000000000005"/>
    <x v="0"/>
  </r>
  <r>
    <d v="2021-08-13T00:00:00"/>
    <x v="2"/>
    <n v="33"/>
    <s v="VIERNES"/>
    <x v="22"/>
    <x v="22"/>
    <n v="792"/>
    <n v="198"/>
    <n v="134.64000000000001"/>
    <x v="0"/>
  </r>
  <r>
    <d v="2021-08-13T00:00:00"/>
    <x v="2"/>
    <n v="33"/>
    <s v="VIERNES"/>
    <x v="3"/>
    <x v="3"/>
    <n v="396"/>
    <n v="198"/>
    <n v="67.320000000000007"/>
    <x v="0"/>
  </r>
  <r>
    <d v="2021-08-14T00:00:00"/>
    <x v="2"/>
    <n v="34"/>
    <s v="SÁBADO"/>
    <x v="26"/>
    <x v="26"/>
    <n v="630"/>
    <n v="90"/>
    <n v="107.10000000000001"/>
    <x v="0"/>
  </r>
  <r>
    <d v="2021-08-14T00:00:00"/>
    <x v="2"/>
    <n v="34"/>
    <s v="SÁBADO"/>
    <x v="23"/>
    <x v="23"/>
    <n v="540"/>
    <n v="90"/>
    <n v="91.800000000000011"/>
    <x v="0"/>
  </r>
  <r>
    <d v="2021-08-14T00:00:00"/>
    <x v="2"/>
    <n v="34"/>
    <s v="SÁBADO"/>
    <x v="11"/>
    <x v="11"/>
    <n v="3600"/>
    <n v="90"/>
    <n v="612"/>
    <x v="0"/>
  </r>
  <r>
    <d v="2021-08-14T00:00:00"/>
    <x v="2"/>
    <n v="34"/>
    <s v="SÁBADO"/>
    <x v="20"/>
    <x v="20"/>
    <n v="720"/>
    <n v="90"/>
    <n v="122.4"/>
    <x v="0"/>
  </r>
  <r>
    <d v="2021-08-14T00:00:00"/>
    <x v="2"/>
    <n v="34"/>
    <s v="SÁBADO"/>
    <x v="29"/>
    <x v="29"/>
    <n v="432"/>
    <n v="198"/>
    <n v="73.440000000000012"/>
    <x v="0"/>
  </r>
  <r>
    <d v="2021-08-14T00:00:00"/>
    <x v="2"/>
    <n v="34"/>
    <s v="SÁBADO"/>
    <x v="16"/>
    <x v="16"/>
    <n v="720"/>
    <n v="180"/>
    <n v="302.39999999999998"/>
    <x v="0"/>
  </r>
  <r>
    <d v="2021-08-14T00:00:00"/>
    <x v="2"/>
    <n v="34"/>
    <s v="SÁBADO"/>
    <x v="36"/>
    <x v="36"/>
    <n v="1890"/>
    <n v="90"/>
    <n v="756"/>
    <x v="0"/>
  </r>
  <r>
    <d v="2021-08-14T00:00:00"/>
    <x v="2"/>
    <n v="34"/>
    <s v="SÁBADO"/>
    <x v="38"/>
    <x v="38"/>
    <n v="1568"/>
    <n v="112"/>
    <n v="627.20000000000005"/>
    <x v="0"/>
  </r>
  <r>
    <d v="2021-08-14T00:00:00"/>
    <x v="2"/>
    <n v="34"/>
    <s v="SÁBADO"/>
    <x v="0"/>
    <x v="0"/>
    <n v="144"/>
    <n v="48"/>
    <n v="57.6"/>
    <x v="0"/>
  </r>
  <r>
    <d v="2021-08-14T00:00:00"/>
    <x v="2"/>
    <n v="34"/>
    <s v="SÁBADO"/>
    <x v="24"/>
    <x v="24"/>
    <n v="1260"/>
    <n v="420"/>
    <n v="529.19999999999993"/>
    <x v="0"/>
  </r>
  <r>
    <d v="2021-08-14T00:00:00"/>
    <x v="2"/>
    <n v="34"/>
    <s v="SÁBADO"/>
    <x v="39"/>
    <x v="39"/>
    <n v="2520"/>
    <n v="420"/>
    <n v="1058.3999999999999"/>
    <x v="0"/>
  </r>
  <r>
    <d v="2021-08-14T00:00:00"/>
    <x v="2"/>
    <n v="34"/>
    <s v="SÁBADO"/>
    <x v="1"/>
    <x v="1"/>
    <n v="1296"/>
    <n v="198"/>
    <n v="220.32000000000002"/>
    <x v="0"/>
  </r>
  <r>
    <d v="2021-08-14T00:00:00"/>
    <x v="2"/>
    <n v="34"/>
    <s v="SÁBADO"/>
    <x v="2"/>
    <x v="2"/>
    <n v="648"/>
    <n v="198"/>
    <n v="110.16000000000001"/>
    <x v="0"/>
  </r>
  <r>
    <d v="2021-08-14T00:00:00"/>
    <x v="2"/>
    <n v="34"/>
    <s v="SÁBADO"/>
    <x v="22"/>
    <x v="22"/>
    <n v="198"/>
    <n v="198"/>
    <n v="33.660000000000004"/>
    <x v="0"/>
  </r>
  <r>
    <d v="2021-08-14T00:00:00"/>
    <x v="2"/>
    <n v="34"/>
    <s v="SÁBADO"/>
    <x v="4"/>
    <x v="4"/>
    <n v="2430"/>
    <n v="162"/>
    <n v="413.1"/>
    <x v="0"/>
  </r>
  <r>
    <d v="2021-08-14T00:00:00"/>
    <x v="2"/>
    <n v="34"/>
    <s v="SÁBADO"/>
    <x v="6"/>
    <x v="6"/>
    <n v="960"/>
    <n v="120"/>
    <n v="163.20000000000002"/>
    <x v="0"/>
  </r>
  <r>
    <d v="2021-08-14T00:00:00"/>
    <x v="2"/>
    <n v="34"/>
    <s v="SÁBADO"/>
    <x v="17"/>
    <x v="17"/>
    <n v="864"/>
    <n v="120"/>
    <n v="146.88000000000002"/>
    <x v="0"/>
  </r>
  <r>
    <d v="2021-08-14T00:00:00"/>
    <x v="2"/>
    <n v="34"/>
    <s v="SÁBADO"/>
    <x v="7"/>
    <x v="7"/>
    <n v="864"/>
    <n v="198"/>
    <n v="146.88000000000002"/>
    <x v="0"/>
  </r>
  <r>
    <d v="2021-08-14T00:00:00"/>
    <x v="2"/>
    <n v="34"/>
    <s v="SÁBADO"/>
    <x v="8"/>
    <x v="8"/>
    <n v="198"/>
    <n v="198"/>
    <n v="33.660000000000004"/>
    <x v="0"/>
  </r>
  <r>
    <d v="2021-08-14T00:00:00"/>
    <x v="2"/>
    <n v="34"/>
    <s v="SÁBADO"/>
    <x v="9"/>
    <x v="9"/>
    <n v="1440"/>
    <n v="90"/>
    <n v="244.8"/>
    <x v="0"/>
  </r>
  <r>
    <d v="2021-08-16T00:00:00"/>
    <x v="2"/>
    <n v="34"/>
    <s v="LUNES"/>
    <x v="6"/>
    <x v="6"/>
    <n v="600"/>
    <n v="120"/>
    <n v="102.00000000000001"/>
    <x v="0"/>
  </r>
  <r>
    <d v="2021-08-16T00:00:00"/>
    <x v="2"/>
    <n v="34"/>
    <s v="LUNES"/>
    <x v="10"/>
    <x v="10"/>
    <n v="1200"/>
    <n v="120"/>
    <n v="204.00000000000003"/>
    <x v="0"/>
  </r>
  <r>
    <d v="2021-08-16T00:00:00"/>
    <x v="2"/>
    <n v="34"/>
    <s v="LUNES"/>
    <x v="36"/>
    <x v="36"/>
    <n v="270"/>
    <n v="90"/>
    <n v="108"/>
    <x v="0"/>
  </r>
  <r>
    <d v="2021-08-16T00:00:00"/>
    <x v="2"/>
    <n v="34"/>
    <s v="LUNES"/>
    <x v="4"/>
    <x v="4"/>
    <n v="648"/>
    <n v="162"/>
    <n v="110.16000000000001"/>
    <x v="0"/>
  </r>
  <r>
    <d v="2021-08-16T00:00:00"/>
    <x v="2"/>
    <n v="34"/>
    <s v="LUNES"/>
    <x v="23"/>
    <x v="23"/>
    <n v="450"/>
    <n v="90"/>
    <n v="76.5"/>
    <x v="0"/>
  </r>
  <r>
    <d v="2021-08-16T00:00:00"/>
    <x v="2"/>
    <n v="34"/>
    <s v="LUNES"/>
    <x v="11"/>
    <x v="11"/>
    <n v="180"/>
    <n v="90"/>
    <n v="30.6"/>
    <x v="0"/>
  </r>
  <r>
    <d v="2021-08-16T00:00:00"/>
    <x v="2"/>
    <n v="34"/>
    <s v="LUNES"/>
    <x v="26"/>
    <x v="26"/>
    <n v="270"/>
    <n v="90"/>
    <n v="45.900000000000006"/>
    <x v="0"/>
  </r>
  <r>
    <d v="2021-08-16T00:00:00"/>
    <x v="2"/>
    <n v="34"/>
    <s v="LUNES"/>
    <x v="5"/>
    <x v="5"/>
    <n v="162"/>
    <n v="162"/>
    <n v="27.540000000000003"/>
    <x v="0"/>
  </r>
  <r>
    <d v="2021-08-16T00:00:00"/>
    <x v="2"/>
    <n v="34"/>
    <s v="LUNES"/>
    <x v="8"/>
    <x v="8"/>
    <n v="6912"/>
    <n v="198"/>
    <n v="1175.0400000000002"/>
    <x v="0"/>
  </r>
  <r>
    <d v="2021-08-16T00:00:00"/>
    <x v="2"/>
    <n v="34"/>
    <s v="LUNES"/>
    <x v="1"/>
    <x v="1"/>
    <n v="5184"/>
    <n v="198"/>
    <n v="881.28000000000009"/>
    <x v="0"/>
  </r>
  <r>
    <d v="2021-08-16T00:00:00"/>
    <x v="2"/>
    <n v="34"/>
    <s v="LUNES"/>
    <x v="2"/>
    <x v="2"/>
    <n v="2808"/>
    <n v="198"/>
    <n v="477.36"/>
    <x v="0"/>
  </r>
  <r>
    <d v="2021-08-16T00:00:00"/>
    <x v="2"/>
    <n v="34"/>
    <s v="LUNES"/>
    <x v="7"/>
    <x v="7"/>
    <n v="7128"/>
    <n v="198"/>
    <n v="1211.76"/>
    <x v="0"/>
  </r>
  <r>
    <d v="2021-08-16T00:00:00"/>
    <x v="2"/>
    <n v="34"/>
    <s v="LUNES"/>
    <x v="39"/>
    <x v="39"/>
    <n v="2100"/>
    <n v="420"/>
    <n v="882"/>
    <x v="0"/>
  </r>
  <r>
    <d v="2021-08-16T00:00:00"/>
    <x v="2"/>
    <n v="34"/>
    <s v="LUNES"/>
    <x v="24"/>
    <x v="24"/>
    <n v="2100"/>
    <n v="420"/>
    <n v="882"/>
    <x v="0"/>
  </r>
  <r>
    <d v="2021-08-16T00:00:00"/>
    <x v="2"/>
    <n v="34"/>
    <s v="LUNES"/>
    <x v="14"/>
    <x v="14"/>
    <n v="80"/>
    <n v="40"/>
    <n v="18.400000000000002"/>
    <x v="0"/>
  </r>
  <r>
    <d v="2021-08-16T00:00:00"/>
    <x v="2"/>
    <n v="34"/>
    <s v="LUNES"/>
    <x v="33"/>
    <x v="33"/>
    <n v="120"/>
    <n v="40"/>
    <n v="27.6"/>
    <x v="0"/>
  </r>
  <r>
    <d v="2021-08-16T00:00:00"/>
    <x v="2"/>
    <n v="34"/>
    <s v="LUNES"/>
    <x v="15"/>
    <x v="15"/>
    <n v="750"/>
    <n v="50"/>
    <n v="300"/>
    <x v="0"/>
  </r>
  <r>
    <d v="2021-08-16T00:00:00"/>
    <x v="2"/>
    <n v="34"/>
    <s v="LUNES"/>
    <x v="28"/>
    <x v="28"/>
    <n v="150"/>
    <n v="30"/>
    <n v="34.5"/>
    <x v="0"/>
  </r>
  <r>
    <d v="2021-08-16T00:00:00"/>
    <x v="2"/>
    <n v="34"/>
    <s v="LUNES"/>
    <x v="22"/>
    <x v="22"/>
    <n v="792"/>
    <n v="198"/>
    <n v="134.64000000000001"/>
    <x v="0"/>
  </r>
  <r>
    <d v="2021-08-16T00:00:00"/>
    <x v="2"/>
    <n v="34"/>
    <s v="LUNES"/>
    <x v="3"/>
    <x v="3"/>
    <n v="396"/>
    <n v="198"/>
    <n v="67.320000000000007"/>
    <x v="0"/>
  </r>
  <r>
    <d v="2021-08-16T00:00:00"/>
    <x v="2"/>
    <n v="34"/>
    <s v="LUNES"/>
    <x v="0"/>
    <x v="0"/>
    <n v="96"/>
    <n v="48"/>
    <n v="38.400000000000006"/>
    <x v="0"/>
  </r>
  <r>
    <d v="2021-08-16T00:00:00"/>
    <x v="2"/>
    <n v="34"/>
    <s v="LUNES"/>
    <x v="17"/>
    <x v="17"/>
    <n v="600"/>
    <n v="120"/>
    <n v="102.00000000000001"/>
    <x v="0"/>
  </r>
  <r>
    <d v="2021-08-16T00:00:00"/>
    <x v="2"/>
    <n v="34"/>
    <s v="LUNES"/>
    <x v="13"/>
    <x v="13"/>
    <n v="90"/>
    <n v="30"/>
    <n v="36"/>
    <x v="0"/>
  </r>
  <r>
    <d v="2021-08-17T00:00:00"/>
    <x v="2"/>
    <n v="34"/>
    <s v="MARTES"/>
    <x v="5"/>
    <x v="5"/>
    <n v="324"/>
    <n v="162"/>
    <n v="55.080000000000005"/>
    <x v="0"/>
  </r>
  <r>
    <d v="2021-08-17T00:00:00"/>
    <x v="2"/>
    <n v="34"/>
    <s v="MARTES"/>
    <x v="3"/>
    <x v="3"/>
    <n v="792"/>
    <n v="198"/>
    <n v="134.64000000000001"/>
    <x v="0"/>
  </r>
  <r>
    <d v="2021-08-17T00:00:00"/>
    <x v="2"/>
    <n v="34"/>
    <s v="MARTES"/>
    <x v="23"/>
    <x v="23"/>
    <n v="720"/>
    <n v="90"/>
    <n v="122.4"/>
    <x v="0"/>
  </r>
  <r>
    <d v="2021-08-17T00:00:00"/>
    <x v="2"/>
    <n v="34"/>
    <s v="MARTES"/>
    <x v="25"/>
    <x v="25"/>
    <n v="225"/>
    <n v="225"/>
    <n v="94.5"/>
    <x v="0"/>
  </r>
  <r>
    <d v="2021-08-17T00:00:00"/>
    <x v="2"/>
    <n v="34"/>
    <s v="MARTES"/>
    <x v="40"/>
    <x v="40"/>
    <n v="448"/>
    <n v="240"/>
    <n v="179.20000000000002"/>
    <x v="0"/>
  </r>
  <r>
    <d v="2021-08-17T00:00:00"/>
    <x v="2"/>
    <n v="34"/>
    <s v="MARTES"/>
    <x v="11"/>
    <x v="11"/>
    <n v="1260"/>
    <n v="90"/>
    <n v="214.20000000000002"/>
    <x v="0"/>
  </r>
  <r>
    <d v="2021-08-17T00:00:00"/>
    <x v="2"/>
    <n v="34"/>
    <s v="MARTES"/>
    <x v="1"/>
    <x v="1"/>
    <n v="1728"/>
    <n v="198"/>
    <n v="293.76000000000005"/>
    <x v="0"/>
  </r>
  <r>
    <d v="2021-08-17T00:00:00"/>
    <x v="2"/>
    <n v="34"/>
    <s v="MARTES"/>
    <x v="26"/>
    <x v="26"/>
    <n v="180"/>
    <n v="90"/>
    <n v="30.6"/>
    <x v="0"/>
  </r>
  <r>
    <d v="2021-08-17T00:00:00"/>
    <x v="2"/>
    <n v="34"/>
    <s v="MARTES"/>
    <x v="9"/>
    <x v="9"/>
    <n v="1170"/>
    <n v="90"/>
    <n v="198.9"/>
    <x v="0"/>
  </r>
  <r>
    <d v="2021-08-17T00:00:00"/>
    <x v="2"/>
    <n v="34"/>
    <s v="MARTES"/>
    <x v="24"/>
    <x v="24"/>
    <n v="4620"/>
    <n v="420"/>
    <n v="1940.3999999999999"/>
    <x v="0"/>
  </r>
  <r>
    <d v="2021-08-17T00:00:00"/>
    <x v="2"/>
    <n v="34"/>
    <s v="MARTES"/>
    <x v="10"/>
    <x v="10"/>
    <n v="1920"/>
    <n v="120"/>
    <n v="326.40000000000003"/>
    <x v="0"/>
  </r>
  <r>
    <d v="2021-08-17T00:00:00"/>
    <x v="2"/>
    <n v="34"/>
    <s v="MARTES"/>
    <x v="13"/>
    <x v="13"/>
    <n v="120"/>
    <n v="30"/>
    <n v="48"/>
    <x v="0"/>
  </r>
  <r>
    <d v="2021-08-17T00:00:00"/>
    <x v="2"/>
    <n v="34"/>
    <s v="MARTES"/>
    <x v="28"/>
    <x v="28"/>
    <n v="60"/>
    <n v="30"/>
    <n v="13.8"/>
    <x v="0"/>
  </r>
  <r>
    <d v="2021-08-17T00:00:00"/>
    <x v="2"/>
    <n v="34"/>
    <s v="MARTES"/>
    <x v="0"/>
    <x v="0"/>
    <n v="240"/>
    <n v="48"/>
    <n v="96"/>
    <x v="0"/>
  </r>
  <r>
    <d v="2021-08-17T00:00:00"/>
    <x v="2"/>
    <n v="34"/>
    <s v="MARTES"/>
    <x v="14"/>
    <x v="14"/>
    <n v="40"/>
    <n v="40"/>
    <n v="9.2000000000000011"/>
    <x v="0"/>
  </r>
  <r>
    <d v="2021-08-17T00:00:00"/>
    <x v="2"/>
    <n v="34"/>
    <s v="MARTES"/>
    <x v="6"/>
    <x v="6"/>
    <n v="1200"/>
    <n v="120"/>
    <n v="204.00000000000003"/>
    <x v="0"/>
  </r>
  <r>
    <d v="2021-08-17T00:00:00"/>
    <x v="2"/>
    <n v="34"/>
    <s v="MARTES"/>
    <x v="23"/>
    <x v="23"/>
    <n v="120"/>
    <n v="90"/>
    <n v="20.400000000000002"/>
    <x v="0"/>
  </r>
  <r>
    <d v="2021-08-17T00:00:00"/>
    <x v="2"/>
    <n v="34"/>
    <s v="MARTES"/>
    <x v="4"/>
    <x v="4"/>
    <n v="162"/>
    <n v="162"/>
    <n v="27.540000000000003"/>
    <x v="0"/>
  </r>
  <r>
    <d v="2021-08-17T00:00:00"/>
    <x v="2"/>
    <n v="34"/>
    <s v="MARTES"/>
    <x v="22"/>
    <x v="22"/>
    <n v="198"/>
    <n v="198"/>
    <n v="33.660000000000004"/>
    <x v="0"/>
  </r>
  <r>
    <d v="2021-08-17T00:00:00"/>
    <x v="2"/>
    <n v="34"/>
    <s v="MARTES"/>
    <x v="2"/>
    <x v="2"/>
    <n v="216"/>
    <n v="198"/>
    <n v="36.720000000000006"/>
    <x v="0"/>
  </r>
  <r>
    <d v="2021-08-18T00:00:00"/>
    <x v="2"/>
    <n v="34"/>
    <s v="MIÉRCOLES"/>
    <x v="39"/>
    <x v="39"/>
    <n v="2100"/>
    <n v="420"/>
    <n v="882"/>
    <x v="0"/>
  </r>
  <r>
    <d v="2021-08-18T00:00:00"/>
    <x v="2"/>
    <n v="34"/>
    <s v="MIÉRCOLES"/>
    <x v="4"/>
    <x v="4"/>
    <n v="162"/>
    <n v="162"/>
    <n v="27.540000000000003"/>
    <x v="0"/>
  </r>
  <r>
    <d v="2021-08-18T00:00:00"/>
    <x v="2"/>
    <n v="34"/>
    <s v="MIÉRCOLES"/>
    <x v="3"/>
    <x v="3"/>
    <n v="594"/>
    <n v="198"/>
    <n v="100.98"/>
    <x v="0"/>
  </r>
  <r>
    <d v="2021-08-18T00:00:00"/>
    <x v="2"/>
    <n v="34"/>
    <s v="MIÉRCOLES"/>
    <x v="22"/>
    <x v="22"/>
    <n v="594"/>
    <n v="198"/>
    <n v="100.98"/>
    <x v="0"/>
  </r>
  <r>
    <d v="2021-08-18T00:00:00"/>
    <x v="2"/>
    <n v="34"/>
    <s v="MIÉRCOLES"/>
    <x v="5"/>
    <x v="5"/>
    <n v="486"/>
    <n v="162"/>
    <n v="82.62"/>
    <x v="0"/>
  </r>
  <r>
    <d v="2021-08-18T00:00:00"/>
    <x v="2"/>
    <n v="34"/>
    <s v="MIÉRCOLES"/>
    <x v="40"/>
    <x v="40"/>
    <n v="112"/>
    <n v="240"/>
    <n v="44.800000000000004"/>
    <x v="0"/>
  </r>
  <r>
    <d v="2021-08-18T00:00:00"/>
    <x v="2"/>
    <n v="34"/>
    <s v="MIÉRCOLES"/>
    <x v="9"/>
    <x v="9"/>
    <n v="180"/>
    <n v="90"/>
    <n v="30.6"/>
    <x v="0"/>
  </r>
  <r>
    <d v="2021-08-18T00:00:00"/>
    <x v="2"/>
    <n v="34"/>
    <s v="MIÉRCOLES"/>
    <x v="2"/>
    <x v="2"/>
    <n v="1728"/>
    <n v="198"/>
    <n v="293.76000000000005"/>
    <x v="0"/>
  </r>
  <r>
    <d v="2021-08-18T00:00:00"/>
    <x v="2"/>
    <n v="34"/>
    <s v="MIÉRCOLES"/>
    <x v="26"/>
    <x v="26"/>
    <n v="720"/>
    <n v="90"/>
    <n v="122.4"/>
    <x v="0"/>
  </r>
  <r>
    <d v="2021-08-18T00:00:00"/>
    <x v="2"/>
    <n v="34"/>
    <s v="MIÉRCOLES"/>
    <x v="23"/>
    <x v="23"/>
    <n v="720"/>
    <n v="90"/>
    <n v="122.4"/>
    <x v="0"/>
  </r>
  <r>
    <d v="2021-08-18T00:00:00"/>
    <x v="2"/>
    <n v="34"/>
    <s v="MIÉRCOLES"/>
    <x v="17"/>
    <x v="17"/>
    <n v="1800"/>
    <n v="120"/>
    <n v="306"/>
    <x v="0"/>
  </r>
  <r>
    <d v="2021-08-18T00:00:00"/>
    <x v="2"/>
    <n v="34"/>
    <s v="MIÉRCOLES"/>
    <x v="11"/>
    <x v="11"/>
    <n v="1800"/>
    <n v="90"/>
    <n v="306"/>
    <x v="0"/>
  </r>
  <r>
    <d v="2021-08-18T00:00:00"/>
    <x v="2"/>
    <n v="34"/>
    <s v="MIÉRCOLES"/>
    <x v="20"/>
    <x v="20"/>
    <n v="720"/>
    <n v="90"/>
    <n v="122.4"/>
    <x v="0"/>
  </r>
  <r>
    <d v="2021-08-18T00:00:00"/>
    <x v="2"/>
    <n v="34"/>
    <s v="MIÉRCOLES"/>
    <x v="16"/>
    <x v="16"/>
    <n v="540"/>
    <n v="180"/>
    <n v="226.79999999999998"/>
    <x v="0"/>
  </r>
  <r>
    <d v="2021-08-18T00:00:00"/>
    <x v="2"/>
    <n v="34"/>
    <s v="MIÉRCOLES"/>
    <x v="24"/>
    <x v="24"/>
    <n v="1260"/>
    <n v="420"/>
    <n v="529.19999999999993"/>
    <x v="0"/>
  </r>
  <r>
    <d v="2021-08-18T00:00:00"/>
    <x v="2"/>
    <n v="34"/>
    <s v="MIÉRCOLES"/>
    <x v="28"/>
    <x v="28"/>
    <n v="90"/>
    <n v="30"/>
    <n v="20.7"/>
    <x v="0"/>
  </r>
  <r>
    <d v="2021-08-18T00:00:00"/>
    <x v="2"/>
    <n v="34"/>
    <s v="MIÉRCOLES"/>
    <x v="13"/>
    <x v="13"/>
    <n v="60"/>
    <n v="30"/>
    <n v="24"/>
    <x v="0"/>
  </r>
  <r>
    <d v="2021-08-18T00:00:00"/>
    <x v="2"/>
    <n v="34"/>
    <s v="MIÉRCOLES"/>
    <x v="33"/>
    <x v="33"/>
    <n v="40"/>
    <n v="40"/>
    <n v="9.2000000000000011"/>
    <x v="0"/>
  </r>
  <r>
    <d v="2021-08-18T00:00:00"/>
    <x v="2"/>
    <n v="34"/>
    <s v="MIÉRCOLES"/>
    <x v="19"/>
    <x v="19"/>
    <n v="225"/>
    <n v="225"/>
    <n v="90"/>
    <x v="0"/>
  </r>
  <r>
    <d v="2021-08-18T00:00:00"/>
    <x v="2"/>
    <n v="34"/>
    <s v="MIÉRCOLES"/>
    <x v="0"/>
    <x v="0"/>
    <n v="672"/>
    <n v="48"/>
    <n v="268.8"/>
    <x v="0"/>
  </r>
  <r>
    <d v="2021-08-18T00:00:00"/>
    <x v="2"/>
    <n v="34"/>
    <s v="MIÉRCOLES"/>
    <x v="1"/>
    <x v="1"/>
    <n v="1728"/>
    <n v="198"/>
    <n v="293.76000000000005"/>
    <x v="0"/>
  </r>
  <r>
    <d v="2021-08-18T00:00:00"/>
    <x v="2"/>
    <n v="34"/>
    <s v="MIÉRCOLES"/>
    <x v="6"/>
    <x v="6"/>
    <n v="1080"/>
    <n v="120"/>
    <n v="183.60000000000002"/>
    <x v="0"/>
  </r>
  <r>
    <d v="2021-08-18T00:00:00"/>
    <x v="2"/>
    <n v="34"/>
    <s v="MIÉRCOLES"/>
    <x v="10"/>
    <x v="10"/>
    <n v="1440"/>
    <n v="120"/>
    <n v="244.8"/>
    <x v="0"/>
  </r>
  <r>
    <d v="2021-08-19T00:00:00"/>
    <x v="2"/>
    <n v="34"/>
    <s v="JUEVES"/>
    <x v="7"/>
    <x v="7"/>
    <n v="1512"/>
    <n v="198"/>
    <n v="257.04000000000002"/>
    <x v="0"/>
  </r>
  <r>
    <d v="2021-08-19T00:00:00"/>
    <x v="2"/>
    <n v="34"/>
    <s v="JUEVES"/>
    <x v="8"/>
    <x v="8"/>
    <n v="1080"/>
    <n v="198"/>
    <n v="183.60000000000002"/>
    <x v="0"/>
  </r>
  <r>
    <d v="2021-08-19T00:00:00"/>
    <x v="2"/>
    <n v="34"/>
    <s v="JUEVES"/>
    <x v="9"/>
    <x v="9"/>
    <n v="810"/>
    <n v="90"/>
    <n v="137.70000000000002"/>
    <x v="0"/>
  </r>
  <r>
    <d v="2021-08-19T00:00:00"/>
    <x v="2"/>
    <n v="34"/>
    <s v="JUEVES"/>
    <x v="10"/>
    <x v="10"/>
    <n v="1200"/>
    <n v="120"/>
    <n v="204.00000000000003"/>
    <x v="0"/>
  </r>
  <r>
    <d v="2021-08-19T00:00:00"/>
    <x v="2"/>
    <n v="34"/>
    <s v="JUEVES"/>
    <x v="11"/>
    <x v="11"/>
    <n v="2610"/>
    <n v="90"/>
    <n v="443.70000000000005"/>
    <x v="0"/>
  </r>
  <r>
    <d v="2021-08-19T00:00:00"/>
    <x v="2"/>
    <n v="34"/>
    <s v="JUEVES"/>
    <x v="13"/>
    <x v="13"/>
    <n v="60"/>
    <n v="30"/>
    <n v="24"/>
    <x v="0"/>
  </r>
  <r>
    <d v="2021-08-19T00:00:00"/>
    <x v="2"/>
    <n v="34"/>
    <s v="JUEVES"/>
    <x v="14"/>
    <x v="14"/>
    <n v="80"/>
    <n v="40"/>
    <n v="18.400000000000002"/>
    <x v="0"/>
  </r>
  <r>
    <d v="2021-08-19T00:00:00"/>
    <x v="2"/>
    <n v="34"/>
    <s v="JUEVES"/>
    <x v="40"/>
    <x v="40"/>
    <n v="224"/>
    <n v="240"/>
    <n v="89.600000000000009"/>
    <x v="0"/>
  </r>
  <r>
    <d v="2021-08-19T00:00:00"/>
    <x v="2"/>
    <n v="34"/>
    <s v="JUEVES"/>
    <x v="38"/>
    <x v="38"/>
    <n v="224"/>
    <n v="112"/>
    <n v="89.600000000000009"/>
    <x v="0"/>
  </r>
  <r>
    <d v="2021-08-19T00:00:00"/>
    <x v="2"/>
    <n v="34"/>
    <s v="JUEVES"/>
    <x v="0"/>
    <x v="0"/>
    <n v="480"/>
    <n v="48"/>
    <n v="192"/>
    <x v="0"/>
  </r>
  <r>
    <d v="2021-08-19T00:00:00"/>
    <x v="2"/>
    <n v="34"/>
    <s v="JUEVES"/>
    <x v="24"/>
    <x v="24"/>
    <n v="3360"/>
    <n v="420"/>
    <n v="1411.2"/>
    <x v="0"/>
  </r>
  <r>
    <d v="2021-08-19T00:00:00"/>
    <x v="2"/>
    <n v="34"/>
    <s v="JUEVES"/>
    <x v="39"/>
    <x v="39"/>
    <n v="1260"/>
    <n v="420"/>
    <n v="529.19999999999993"/>
    <x v="0"/>
  </r>
  <r>
    <d v="2021-08-19T00:00:00"/>
    <x v="2"/>
    <n v="34"/>
    <s v="JUEVES"/>
    <x v="16"/>
    <x v="16"/>
    <n v="540"/>
    <n v="180"/>
    <n v="226.79999999999998"/>
    <x v="0"/>
  </r>
  <r>
    <d v="2021-08-19T00:00:00"/>
    <x v="2"/>
    <n v="34"/>
    <s v="JUEVES"/>
    <x v="1"/>
    <x v="1"/>
    <n v="3456"/>
    <n v="198"/>
    <n v="587.5200000000001"/>
    <x v="0"/>
  </r>
  <r>
    <d v="2021-08-19T00:00:00"/>
    <x v="2"/>
    <n v="34"/>
    <s v="JUEVES"/>
    <x v="2"/>
    <x v="2"/>
    <n v="1944"/>
    <n v="198"/>
    <n v="330.48"/>
    <x v="0"/>
  </r>
  <r>
    <d v="2021-08-19T00:00:00"/>
    <x v="2"/>
    <n v="34"/>
    <s v="JUEVES"/>
    <x v="22"/>
    <x v="22"/>
    <n v="792"/>
    <n v="198"/>
    <n v="134.64000000000001"/>
    <x v="0"/>
  </r>
  <r>
    <d v="2021-08-19T00:00:00"/>
    <x v="2"/>
    <n v="34"/>
    <s v="JUEVES"/>
    <x v="3"/>
    <x v="3"/>
    <n v="198"/>
    <n v="198"/>
    <n v="33.660000000000004"/>
    <x v="0"/>
  </r>
  <r>
    <d v="2021-08-19T00:00:00"/>
    <x v="2"/>
    <n v="34"/>
    <s v="JUEVES"/>
    <x v="4"/>
    <x v="4"/>
    <n v="810"/>
    <n v="162"/>
    <n v="137.70000000000002"/>
    <x v="0"/>
  </r>
  <r>
    <d v="2021-08-19T00:00:00"/>
    <x v="2"/>
    <n v="34"/>
    <s v="JUEVES"/>
    <x v="5"/>
    <x v="5"/>
    <n v="486"/>
    <n v="162"/>
    <n v="82.62"/>
    <x v="0"/>
  </r>
  <r>
    <d v="2021-08-19T00:00:00"/>
    <x v="2"/>
    <n v="34"/>
    <s v="JUEVES"/>
    <x v="6"/>
    <x v="6"/>
    <n v="480"/>
    <n v="120"/>
    <n v="81.600000000000009"/>
    <x v="0"/>
  </r>
  <r>
    <d v="2021-08-20T00:00:00"/>
    <x v="2"/>
    <n v="34"/>
    <s v="VIERNES"/>
    <x v="14"/>
    <x v="14"/>
    <n v="120"/>
    <n v="40"/>
    <n v="27.6"/>
    <x v="0"/>
  </r>
  <r>
    <d v="2021-08-20T00:00:00"/>
    <x v="2"/>
    <n v="34"/>
    <s v="VIERNES"/>
    <x v="2"/>
    <x v="2"/>
    <n v="864"/>
    <n v="198"/>
    <n v="146.88000000000002"/>
    <x v="0"/>
  </r>
  <r>
    <d v="2021-08-20T00:00:00"/>
    <x v="2"/>
    <n v="34"/>
    <s v="VIERNES"/>
    <x v="40"/>
    <x v="40"/>
    <n v="366"/>
    <n v="240"/>
    <n v="146.4"/>
    <x v="0"/>
  </r>
  <r>
    <d v="2021-08-20T00:00:00"/>
    <x v="2"/>
    <n v="34"/>
    <s v="VIERNES"/>
    <x v="38"/>
    <x v="38"/>
    <n v="448"/>
    <n v="112"/>
    <n v="179.20000000000002"/>
    <x v="0"/>
  </r>
  <r>
    <d v="2021-08-20T00:00:00"/>
    <x v="2"/>
    <n v="34"/>
    <s v="VIERNES"/>
    <x v="23"/>
    <x v="23"/>
    <n v="90"/>
    <n v="90"/>
    <n v="15.3"/>
    <x v="0"/>
  </r>
  <r>
    <d v="2021-08-20T00:00:00"/>
    <x v="2"/>
    <n v="34"/>
    <s v="VIERNES"/>
    <x v="9"/>
    <x v="9"/>
    <n v="540"/>
    <n v="90"/>
    <n v="91.800000000000011"/>
    <x v="0"/>
  </r>
  <r>
    <d v="2021-08-20T00:00:00"/>
    <x v="2"/>
    <n v="34"/>
    <s v="VIERNES"/>
    <x v="39"/>
    <x v="39"/>
    <n v="3360"/>
    <n v="420"/>
    <n v="1411.2"/>
    <x v="0"/>
  </r>
  <r>
    <d v="2021-08-20T00:00:00"/>
    <x v="2"/>
    <n v="34"/>
    <s v="VIERNES"/>
    <x v="24"/>
    <x v="24"/>
    <n v="4200"/>
    <n v="420"/>
    <n v="1764"/>
    <x v="0"/>
  </r>
  <r>
    <d v="2021-08-20T00:00:00"/>
    <x v="2"/>
    <n v="34"/>
    <s v="VIERNES"/>
    <x v="32"/>
    <x v="32"/>
    <n v="1680"/>
    <n v="420"/>
    <n v="705.6"/>
    <x v="0"/>
  </r>
  <r>
    <d v="2021-08-20T00:00:00"/>
    <x v="2"/>
    <n v="34"/>
    <s v="VIERNES"/>
    <x v="1"/>
    <x v="1"/>
    <n v="1728"/>
    <n v="198"/>
    <n v="293.76000000000005"/>
    <x v="0"/>
  </r>
  <r>
    <d v="2021-08-20T00:00:00"/>
    <x v="2"/>
    <n v="34"/>
    <s v="VIERNES"/>
    <x v="11"/>
    <x v="11"/>
    <n v="1170"/>
    <n v="90"/>
    <n v="198.9"/>
    <x v="0"/>
  </r>
  <r>
    <d v="2021-08-20T00:00:00"/>
    <x v="2"/>
    <n v="34"/>
    <s v="VIERNES"/>
    <x v="10"/>
    <x v="10"/>
    <n v="1440"/>
    <n v="120"/>
    <n v="244.8"/>
    <x v="0"/>
  </r>
  <r>
    <d v="2021-08-20T00:00:00"/>
    <x v="2"/>
    <n v="34"/>
    <s v="VIERNES"/>
    <x v="7"/>
    <x v="7"/>
    <n v="1080"/>
    <n v="198"/>
    <n v="183.60000000000002"/>
    <x v="0"/>
  </r>
  <r>
    <d v="2021-08-20T00:00:00"/>
    <x v="2"/>
    <n v="34"/>
    <s v="VIERNES"/>
    <x v="28"/>
    <x v="28"/>
    <n v="120"/>
    <n v="30"/>
    <n v="27.6"/>
    <x v="0"/>
  </r>
  <r>
    <d v="2021-08-20T00:00:00"/>
    <x v="2"/>
    <n v="34"/>
    <s v="VIERNES"/>
    <x v="8"/>
    <x v="8"/>
    <n v="1080"/>
    <n v="198"/>
    <n v="183.60000000000002"/>
    <x v="0"/>
  </r>
  <r>
    <d v="2021-08-20T00:00:00"/>
    <x v="2"/>
    <n v="34"/>
    <s v="VIERNES"/>
    <x v="6"/>
    <x v="6"/>
    <n v="720"/>
    <n v="120"/>
    <n v="122.4"/>
    <x v="0"/>
  </r>
  <r>
    <d v="2021-08-20T00:00:00"/>
    <x v="2"/>
    <n v="34"/>
    <s v="VIERNES"/>
    <x v="3"/>
    <x v="3"/>
    <n v="990"/>
    <n v="198"/>
    <n v="168.3"/>
    <x v="0"/>
  </r>
  <r>
    <d v="2021-08-20T00:00:00"/>
    <x v="2"/>
    <n v="34"/>
    <s v="VIERNES"/>
    <x v="22"/>
    <x v="22"/>
    <n v="792"/>
    <n v="198"/>
    <n v="134.64000000000001"/>
    <x v="0"/>
  </r>
  <r>
    <d v="2021-08-20T00:00:00"/>
    <x v="2"/>
    <n v="34"/>
    <s v="VIERNES"/>
    <x v="33"/>
    <x v="33"/>
    <n v="160"/>
    <n v="40"/>
    <n v="36.800000000000004"/>
    <x v="0"/>
  </r>
  <r>
    <d v="2021-08-20T00:00:00"/>
    <x v="2"/>
    <n v="34"/>
    <s v="VIERNES"/>
    <x v="16"/>
    <x v="16"/>
    <n v="360"/>
    <n v="180"/>
    <n v="151.19999999999999"/>
    <x v="0"/>
  </r>
  <r>
    <d v="2021-08-20T00:00:00"/>
    <x v="2"/>
    <n v="34"/>
    <s v="VIERNES"/>
    <x v="13"/>
    <x v="13"/>
    <n v="150"/>
    <n v="30"/>
    <n v="60"/>
    <x v="0"/>
  </r>
  <r>
    <d v="2021-08-20T00:00:00"/>
    <x v="2"/>
    <n v="34"/>
    <s v="VIERNES"/>
    <x v="4"/>
    <x v="4"/>
    <n v="162"/>
    <n v="162"/>
    <n v="27.540000000000003"/>
    <x v="0"/>
  </r>
  <r>
    <d v="2021-08-20T00:00:00"/>
    <x v="2"/>
    <n v="34"/>
    <s v="VIERNES"/>
    <x v="15"/>
    <x v="15"/>
    <n v="250"/>
    <n v="50"/>
    <n v="100"/>
    <x v="0"/>
  </r>
  <r>
    <d v="2021-08-20T00:00:00"/>
    <x v="2"/>
    <n v="34"/>
    <s v="VIERNES"/>
    <x v="34"/>
    <x v="34"/>
    <n v="216"/>
    <n v="198"/>
    <n v="36.720000000000006"/>
    <x v="0"/>
  </r>
  <r>
    <d v="2021-08-21T00:00:00"/>
    <x v="2"/>
    <n v="35"/>
    <s v="SÁBADO"/>
    <x v="28"/>
    <x v="28"/>
    <n v="90"/>
    <n v="30"/>
    <n v="20.7"/>
    <x v="0"/>
  </r>
  <r>
    <d v="2021-08-21T00:00:00"/>
    <x v="2"/>
    <n v="35"/>
    <s v="SÁBADO"/>
    <x v="15"/>
    <x v="15"/>
    <n v="50"/>
    <n v="50"/>
    <n v="20"/>
    <x v="0"/>
  </r>
  <r>
    <d v="2021-08-21T00:00:00"/>
    <x v="2"/>
    <n v="35"/>
    <s v="SÁBADO"/>
    <x v="24"/>
    <x v="24"/>
    <n v="2940"/>
    <n v="420"/>
    <n v="1234.8"/>
    <x v="0"/>
  </r>
  <r>
    <d v="2021-08-21T00:00:00"/>
    <x v="2"/>
    <n v="35"/>
    <s v="SÁBADO"/>
    <x v="32"/>
    <x v="32"/>
    <n v="1680"/>
    <n v="420"/>
    <n v="705.6"/>
    <x v="0"/>
  </r>
  <r>
    <d v="2021-08-21T00:00:00"/>
    <x v="2"/>
    <n v="35"/>
    <s v="SÁBADO"/>
    <x v="39"/>
    <x v="39"/>
    <n v="2100"/>
    <n v="420"/>
    <n v="882"/>
    <x v="0"/>
  </r>
  <r>
    <d v="2021-08-21T00:00:00"/>
    <x v="2"/>
    <n v="35"/>
    <s v="SÁBADO"/>
    <x v="16"/>
    <x v="16"/>
    <n v="180"/>
    <n v="180"/>
    <n v="75.599999999999994"/>
    <x v="0"/>
  </r>
  <r>
    <d v="2021-08-21T00:00:00"/>
    <x v="2"/>
    <n v="35"/>
    <s v="SÁBADO"/>
    <x v="2"/>
    <x v="2"/>
    <n v="1296"/>
    <n v="198"/>
    <n v="220.32000000000002"/>
    <x v="0"/>
  </r>
  <r>
    <d v="2021-08-21T00:00:00"/>
    <x v="2"/>
    <n v="35"/>
    <s v="SÁBADO"/>
    <x v="4"/>
    <x v="4"/>
    <n v="324"/>
    <n v="162"/>
    <n v="55.080000000000005"/>
    <x v="0"/>
  </r>
  <r>
    <d v="2021-08-21T00:00:00"/>
    <x v="2"/>
    <n v="35"/>
    <s v="SÁBADO"/>
    <x v="6"/>
    <x v="6"/>
    <n v="1080"/>
    <n v="120"/>
    <n v="183.60000000000002"/>
    <x v="0"/>
  </r>
  <r>
    <d v="2021-08-21T00:00:00"/>
    <x v="2"/>
    <n v="35"/>
    <s v="SÁBADO"/>
    <x v="17"/>
    <x v="17"/>
    <n v="360"/>
    <n v="120"/>
    <n v="61.2"/>
    <x v="0"/>
  </r>
  <r>
    <d v="2021-08-21T00:00:00"/>
    <x v="2"/>
    <n v="35"/>
    <s v="SÁBADO"/>
    <x v="9"/>
    <x v="9"/>
    <n v="900"/>
    <n v="90"/>
    <n v="153"/>
    <x v="0"/>
  </r>
  <r>
    <d v="2021-08-21T00:00:00"/>
    <x v="2"/>
    <n v="35"/>
    <s v="SÁBADO"/>
    <x v="10"/>
    <x v="10"/>
    <n v="2400"/>
    <n v="120"/>
    <n v="408.00000000000006"/>
    <x v="0"/>
  </r>
  <r>
    <d v="2021-08-21T00:00:00"/>
    <x v="2"/>
    <n v="35"/>
    <s v="SÁBADO"/>
    <x v="23"/>
    <x v="23"/>
    <n v="720"/>
    <n v="90"/>
    <n v="122.4"/>
    <x v="0"/>
  </r>
  <r>
    <d v="2021-08-21T00:00:00"/>
    <x v="2"/>
    <n v="35"/>
    <s v="SÁBADO"/>
    <x v="11"/>
    <x v="11"/>
    <n v="2610"/>
    <n v="90"/>
    <n v="443.70000000000005"/>
    <x v="0"/>
  </r>
  <r>
    <d v="2021-08-21T00:00:00"/>
    <x v="2"/>
    <n v="35"/>
    <s v="SÁBADO"/>
    <x v="25"/>
    <x v="25"/>
    <n v="225"/>
    <n v="225"/>
    <n v="94.5"/>
    <x v="0"/>
  </r>
  <r>
    <d v="2021-08-21T00:00:00"/>
    <x v="2"/>
    <n v="35"/>
    <s v="SÁBADO"/>
    <x v="1"/>
    <x v="1"/>
    <n v="1296"/>
    <n v="198"/>
    <n v="220.32000000000002"/>
    <x v="0"/>
  </r>
  <r>
    <d v="2021-08-21T00:00:00"/>
    <x v="2"/>
    <n v="35"/>
    <s v="SÁBADO"/>
    <x v="13"/>
    <x v="13"/>
    <n v="90"/>
    <n v="30"/>
    <n v="36"/>
    <x v="0"/>
  </r>
  <r>
    <d v="2021-08-21T00:00:00"/>
    <x v="2"/>
    <n v="35"/>
    <s v="SÁBADO"/>
    <x v="38"/>
    <x v="38"/>
    <n v="224"/>
    <n v="112"/>
    <n v="89.600000000000009"/>
    <x v="0"/>
  </r>
  <r>
    <d v="2021-08-21T00:00:00"/>
    <x v="2"/>
    <n v="35"/>
    <s v="SÁBADO"/>
    <x v="40"/>
    <x v="40"/>
    <n v="224"/>
    <n v="240"/>
    <n v="89.600000000000009"/>
    <x v="0"/>
  </r>
  <r>
    <d v="2021-08-23T00:00:00"/>
    <x v="2"/>
    <n v="35"/>
    <s v="LUNES"/>
    <x v="8"/>
    <x v="8"/>
    <n v="648"/>
    <n v="198"/>
    <n v="110.16000000000001"/>
    <x v="0"/>
  </r>
  <r>
    <d v="2021-08-23T00:00:00"/>
    <x v="2"/>
    <n v="35"/>
    <s v="LUNES"/>
    <x v="20"/>
    <x v="20"/>
    <n v="360"/>
    <n v="90"/>
    <n v="61.2"/>
    <x v="0"/>
  </r>
  <r>
    <d v="2021-08-23T00:00:00"/>
    <x v="2"/>
    <n v="35"/>
    <s v="LUNES"/>
    <x v="25"/>
    <x v="25"/>
    <n v="1575"/>
    <n v="225"/>
    <n v="661.5"/>
    <x v="0"/>
  </r>
  <r>
    <d v="2021-08-23T00:00:00"/>
    <x v="2"/>
    <n v="35"/>
    <s v="LUNES"/>
    <x v="12"/>
    <x v="12"/>
    <n v="1350"/>
    <n v="225"/>
    <n v="540"/>
    <x v="0"/>
  </r>
  <r>
    <d v="2021-08-23T00:00:00"/>
    <x v="2"/>
    <n v="35"/>
    <s v="LUNES"/>
    <x v="19"/>
    <x v="19"/>
    <n v="1125"/>
    <n v="225"/>
    <n v="450"/>
    <x v="0"/>
  </r>
  <r>
    <d v="2021-08-23T00:00:00"/>
    <x v="2"/>
    <n v="35"/>
    <s v="LUNES"/>
    <x v="37"/>
    <x v="37"/>
    <n v="1250"/>
    <n v="225"/>
    <n v="525"/>
    <x v="0"/>
  </r>
  <r>
    <d v="2021-08-23T00:00:00"/>
    <x v="2"/>
    <n v="35"/>
    <s v="LUNES"/>
    <x v="0"/>
    <x v="0"/>
    <n v="1680"/>
    <n v="48"/>
    <n v="672"/>
    <x v="0"/>
  </r>
  <r>
    <d v="2021-08-23T00:00:00"/>
    <x v="2"/>
    <n v="35"/>
    <s v="LUNES"/>
    <x v="10"/>
    <x v="10"/>
    <n v="960"/>
    <n v="120"/>
    <n v="163.20000000000002"/>
    <x v="0"/>
  </r>
  <r>
    <d v="2021-08-23T00:00:00"/>
    <x v="2"/>
    <n v="35"/>
    <s v="LUNES"/>
    <x v="2"/>
    <x v="2"/>
    <n v="864"/>
    <n v="198"/>
    <n v="146.88000000000002"/>
    <x v="0"/>
  </r>
  <r>
    <d v="2021-08-23T00:00:00"/>
    <x v="2"/>
    <n v="35"/>
    <s v="LUNES"/>
    <x v="11"/>
    <x v="11"/>
    <n v="1350"/>
    <n v="90"/>
    <n v="229.50000000000003"/>
    <x v="0"/>
  </r>
  <r>
    <d v="2021-08-23T00:00:00"/>
    <x v="2"/>
    <n v="35"/>
    <s v="LUNES"/>
    <x v="9"/>
    <x v="9"/>
    <n v="720"/>
    <n v="90"/>
    <n v="122.4"/>
    <x v="0"/>
  </r>
  <r>
    <d v="2021-08-23T00:00:00"/>
    <x v="2"/>
    <n v="35"/>
    <s v="LUNES"/>
    <x v="6"/>
    <x v="6"/>
    <n v="720"/>
    <n v="120"/>
    <n v="122.4"/>
    <x v="0"/>
  </r>
  <r>
    <d v="2021-08-23T00:00:00"/>
    <x v="2"/>
    <n v="35"/>
    <s v="LUNES"/>
    <x v="23"/>
    <x v="23"/>
    <n v="180"/>
    <n v="90"/>
    <n v="30.6"/>
    <x v="0"/>
  </r>
  <r>
    <d v="2021-08-23T00:00:00"/>
    <x v="2"/>
    <n v="35"/>
    <s v="LUNES"/>
    <x v="28"/>
    <x v="28"/>
    <n v="90"/>
    <n v="30"/>
    <n v="20.7"/>
    <x v="0"/>
  </r>
  <r>
    <d v="2021-08-23T00:00:00"/>
    <x v="2"/>
    <n v="35"/>
    <s v="LUNES"/>
    <x v="14"/>
    <x v="14"/>
    <n v="80"/>
    <n v="40"/>
    <n v="18.400000000000002"/>
    <x v="0"/>
  </r>
  <r>
    <d v="2021-08-23T00:00:00"/>
    <x v="2"/>
    <n v="35"/>
    <s v="LUNES"/>
    <x v="15"/>
    <x v="15"/>
    <n v="100"/>
    <n v="50"/>
    <n v="40"/>
    <x v="0"/>
  </r>
  <r>
    <d v="2021-08-23T00:00:00"/>
    <x v="2"/>
    <n v="35"/>
    <s v="LUNES"/>
    <x v="39"/>
    <x v="39"/>
    <n v="1680"/>
    <n v="420"/>
    <n v="705.6"/>
    <x v="0"/>
  </r>
  <r>
    <d v="2021-08-23T00:00:00"/>
    <x v="2"/>
    <n v="35"/>
    <s v="LUNES"/>
    <x v="3"/>
    <x v="3"/>
    <n v="594"/>
    <n v="198"/>
    <n v="100.98"/>
    <x v="0"/>
  </r>
  <r>
    <d v="2021-08-23T00:00:00"/>
    <x v="2"/>
    <n v="35"/>
    <s v="LUNES"/>
    <x v="4"/>
    <x v="4"/>
    <n v="648"/>
    <n v="162"/>
    <n v="110.16000000000001"/>
    <x v="0"/>
  </r>
  <r>
    <d v="2021-08-23T00:00:00"/>
    <x v="2"/>
    <n v="35"/>
    <s v="LUNES"/>
    <x v="41"/>
    <x v="41"/>
    <n v="720"/>
    <n v="120"/>
    <n v="122.4"/>
    <x v="0"/>
  </r>
  <r>
    <d v="2021-08-23T00:00:00"/>
    <x v="2"/>
    <n v="35"/>
    <s v="LUNES"/>
    <x v="7"/>
    <x v="7"/>
    <n v="1944"/>
    <n v="198"/>
    <n v="330.48"/>
    <x v="0"/>
  </r>
  <r>
    <d v="2021-08-24T00:00:00"/>
    <x v="2"/>
    <n v="35"/>
    <s v="MARTES"/>
    <x v="24"/>
    <x v="24"/>
    <n v="2100"/>
    <n v="420"/>
    <n v="882"/>
    <x v="0"/>
  </r>
  <r>
    <d v="2021-08-24T00:00:00"/>
    <x v="2"/>
    <n v="35"/>
    <s v="MARTES"/>
    <x v="2"/>
    <x v="2"/>
    <n v="2160"/>
    <n v="198"/>
    <n v="367.20000000000005"/>
    <x v="0"/>
  </r>
  <r>
    <d v="2021-08-24T00:00:00"/>
    <x v="2"/>
    <n v="35"/>
    <s v="MARTES"/>
    <x v="7"/>
    <x v="7"/>
    <n v="3888"/>
    <n v="198"/>
    <n v="660.96"/>
    <x v="0"/>
  </r>
  <r>
    <d v="2021-08-24T00:00:00"/>
    <x v="2"/>
    <n v="35"/>
    <s v="MARTES"/>
    <x v="4"/>
    <x v="4"/>
    <n v="658"/>
    <n v="162"/>
    <n v="111.86000000000001"/>
    <x v="0"/>
  </r>
  <r>
    <d v="2021-08-24T00:00:00"/>
    <x v="2"/>
    <n v="35"/>
    <s v="MARTES"/>
    <x v="9"/>
    <x v="9"/>
    <n v="1350"/>
    <n v="90"/>
    <n v="229.50000000000003"/>
    <x v="0"/>
  </r>
  <r>
    <d v="2021-08-24T00:00:00"/>
    <x v="2"/>
    <n v="35"/>
    <s v="MARTES"/>
    <x v="11"/>
    <x v="11"/>
    <n v="720"/>
    <n v="90"/>
    <n v="122.4"/>
    <x v="0"/>
  </r>
  <r>
    <d v="2021-08-24T00:00:00"/>
    <x v="2"/>
    <n v="35"/>
    <s v="MARTES"/>
    <x v="6"/>
    <x v="6"/>
    <n v="480"/>
    <n v="120"/>
    <n v="81.600000000000009"/>
    <x v="0"/>
  </r>
  <r>
    <d v="2021-08-24T00:00:00"/>
    <x v="2"/>
    <n v="35"/>
    <s v="MARTES"/>
    <x v="17"/>
    <x v="17"/>
    <n v="240"/>
    <n v="120"/>
    <n v="40.800000000000004"/>
    <x v="0"/>
  </r>
  <r>
    <d v="2021-08-24T00:00:00"/>
    <x v="2"/>
    <n v="35"/>
    <s v="MARTES"/>
    <x v="10"/>
    <x v="10"/>
    <n v="2040"/>
    <n v="120"/>
    <n v="346.8"/>
    <x v="0"/>
  </r>
  <r>
    <d v="2021-08-24T00:00:00"/>
    <x v="2"/>
    <n v="35"/>
    <s v="MARTES"/>
    <x v="0"/>
    <x v="0"/>
    <n v="912"/>
    <n v="48"/>
    <n v="364.8"/>
    <x v="0"/>
  </r>
  <r>
    <d v="2021-08-24T00:00:00"/>
    <x v="2"/>
    <n v="35"/>
    <s v="MARTES"/>
    <x v="3"/>
    <x v="3"/>
    <n v="396"/>
    <n v="198"/>
    <n v="67.320000000000007"/>
    <x v="0"/>
  </r>
  <r>
    <d v="2021-08-24T00:00:00"/>
    <x v="2"/>
    <n v="35"/>
    <s v="MARTES"/>
    <x v="16"/>
    <x v="16"/>
    <n v="540"/>
    <n v="180"/>
    <n v="226.79999999999998"/>
    <x v="0"/>
  </r>
  <r>
    <d v="2021-08-24T00:00:00"/>
    <x v="2"/>
    <n v="35"/>
    <s v="MARTES"/>
    <x v="1"/>
    <x v="1"/>
    <n v="4104"/>
    <n v="198"/>
    <n v="697.68000000000006"/>
    <x v="0"/>
  </r>
  <r>
    <d v="2021-08-24T00:00:00"/>
    <x v="2"/>
    <n v="35"/>
    <s v="MARTES"/>
    <x v="23"/>
    <x v="23"/>
    <n v="180"/>
    <n v="90"/>
    <n v="30.6"/>
    <x v="0"/>
  </r>
  <r>
    <d v="2021-08-24T00:00:00"/>
    <x v="2"/>
    <n v="35"/>
    <s v="MARTES"/>
    <x v="12"/>
    <x v="12"/>
    <n v="225"/>
    <n v="225"/>
    <n v="90"/>
    <x v="0"/>
  </r>
  <r>
    <d v="2021-08-24T00:00:00"/>
    <x v="2"/>
    <n v="35"/>
    <s v="MARTES"/>
    <x v="37"/>
    <x v="37"/>
    <n v="1000"/>
    <n v="225"/>
    <n v="420"/>
    <x v="0"/>
  </r>
  <r>
    <d v="2021-08-24T00:00:00"/>
    <x v="2"/>
    <n v="35"/>
    <s v="MARTES"/>
    <x v="25"/>
    <x v="25"/>
    <n v="450"/>
    <n v="225"/>
    <n v="189"/>
    <x v="0"/>
  </r>
  <r>
    <d v="2021-08-24T00:00:00"/>
    <x v="2"/>
    <n v="35"/>
    <s v="MARTES"/>
    <x v="13"/>
    <x v="13"/>
    <n v="30"/>
    <n v="30"/>
    <n v="12"/>
    <x v="0"/>
  </r>
  <r>
    <d v="2021-08-24T00:00:00"/>
    <x v="2"/>
    <n v="35"/>
    <s v="MARTES"/>
    <x v="15"/>
    <x v="15"/>
    <n v="150"/>
    <n v="50"/>
    <n v="60"/>
    <x v="0"/>
  </r>
  <r>
    <d v="2021-08-24T00:00:00"/>
    <x v="2"/>
    <n v="35"/>
    <s v="MARTES"/>
    <x v="5"/>
    <x v="5"/>
    <n v="324"/>
    <n v="162"/>
    <n v="55.080000000000005"/>
    <x v="0"/>
  </r>
  <r>
    <d v="2021-08-24T00:00:00"/>
    <x v="2"/>
    <n v="35"/>
    <s v="MARTES"/>
    <x v="8"/>
    <x v="8"/>
    <n v="2592"/>
    <n v="198"/>
    <n v="440.64000000000004"/>
    <x v="0"/>
  </r>
  <r>
    <d v="2021-08-24T00:00:00"/>
    <x v="2"/>
    <n v="35"/>
    <s v="MARTES"/>
    <x v="34"/>
    <x v="34"/>
    <n v="216"/>
    <n v="198"/>
    <n v="36.720000000000006"/>
    <x v="0"/>
  </r>
  <r>
    <d v="2021-08-24T00:00:00"/>
    <x v="2"/>
    <n v="35"/>
    <s v="MARTES"/>
    <x v="39"/>
    <x v="39"/>
    <n v="420"/>
    <n v="420"/>
    <n v="176.4"/>
    <x v="0"/>
  </r>
  <r>
    <d v="2021-08-25T00:00:00"/>
    <x v="2"/>
    <n v="35"/>
    <s v="MIÉRCOLES"/>
    <x v="0"/>
    <x v="0"/>
    <n v="1008"/>
    <n v="48"/>
    <n v="403.20000000000005"/>
    <x v="0"/>
  </r>
  <r>
    <d v="2021-08-25T00:00:00"/>
    <x v="2"/>
    <n v="35"/>
    <s v="MIÉRCOLES"/>
    <x v="28"/>
    <x v="28"/>
    <n v="120"/>
    <n v="30"/>
    <n v="27.6"/>
    <x v="0"/>
  </r>
  <r>
    <d v="2021-08-25T00:00:00"/>
    <x v="2"/>
    <n v="35"/>
    <s v="MIÉRCOLES"/>
    <x v="19"/>
    <x v="19"/>
    <n v="900"/>
    <n v="225"/>
    <n v="360"/>
    <x v="0"/>
  </r>
  <r>
    <d v="2021-08-25T00:00:00"/>
    <x v="2"/>
    <n v="35"/>
    <s v="MIÉRCOLES"/>
    <x v="15"/>
    <x v="15"/>
    <n v="250"/>
    <n v="50"/>
    <n v="100"/>
    <x v="0"/>
  </r>
  <r>
    <d v="2021-08-25T00:00:00"/>
    <x v="2"/>
    <n v="35"/>
    <s v="MIÉRCOLES"/>
    <x v="2"/>
    <x v="2"/>
    <n v="1512"/>
    <n v="198"/>
    <n v="257.04000000000002"/>
    <x v="0"/>
  </r>
  <r>
    <d v="2021-08-25T00:00:00"/>
    <x v="2"/>
    <n v="35"/>
    <s v="MIÉRCOLES"/>
    <x v="11"/>
    <x v="11"/>
    <n v="900"/>
    <n v="90"/>
    <n v="153"/>
    <x v="0"/>
  </r>
  <r>
    <d v="2021-08-25T00:00:00"/>
    <x v="2"/>
    <n v="35"/>
    <s v="MIÉRCOLES"/>
    <x v="32"/>
    <x v="32"/>
    <n v="2100"/>
    <n v="420"/>
    <n v="882"/>
    <x v="0"/>
  </r>
  <r>
    <d v="2021-08-25T00:00:00"/>
    <x v="2"/>
    <n v="35"/>
    <s v="MIÉRCOLES"/>
    <x v="39"/>
    <x v="39"/>
    <n v="1260"/>
    <n v="420"/>
    <n v="529.19999999999993"/>
    <x v="0"/>
  </r>
  <r>
    <d v="2021-08-25T00:00:00"/>
    <x v="2"/>
    <n v="35"/>
    <s v="MIÉRCOLES"/>
    <x v="24"/>
    <x v="24"/>
    <n v="2100"/>
    <n v="420"/>
    <n v="882"/>
    <x v="0"/>
  </r>
  <r>
    <d v="2021-08-25T00:00:00"/>
    <x v="2"/>
    <n v="35"/>
    <s v="MIÉRCOLES"/>
    <x v="8"/>
    <x v="8"/>
    <n v="1944"/>
    <n v="198"/>
    <n v="330.48"/>
    <x v="0"/>
  </r>
  <r>
    <d v="2021-08-25T00:00:00"/>
    <x v="2"/>
    <n v="35"/>
    <s v="MIÉRCOLES"/>
    <x v="1"/>
    <x v="1"/>
    <n v="1080"/>
    <n v="198"/>
    <n v="183.60000000000002"/>
    <x v="0"/>
  </r>
  <r>
    <d v="2021-08-25T00:00:00"/>
    <x v="2"/>
    <n v="35"/>
    <s v="MIÉRCOLES"/>
    <x v="7"/>
    <x v="7"/>
    <n v="1728"/>
    <n v="198"/>
    <n v="293.76000000000005"/>
    <x v="0"/>
  </r>
  <r>
    <d v="2021-08-25T00:00:00"/>
    <x v="2"/>
    <n v="35"/>
    <s v="MIÉRCOLES"/>
    <x v="17"/>
    <x v="17"/>
    <n v="840"/>
    <n v="120"/>
    <n v="142.80000000000001"/>
    <x v="0"/>
  </r>
  <r>
    <d v="2021-08-25T00:00:00"/>
    <x v="2"/>
    <n v="35"/>
    <s v="MIÉRCOLES"/>
    <x v="9"/>
    <x v="9"/>
    <n v="1080"/>
    <n v="90"/>
    <n v="183.60000000000002"/>
    <x v="0"/>
  </r>
  <r>
    <d v="2021-08-25T00:00:00"/>
    <x v="2"/>
    <n v="35"/>
    <s v="MIÉRCOLES"/>
    <x v="10"/>
    <x v="10"/>
    <n v="1440"/>
    <n v="120"/>
    <n v="244.8"/>
    <x v="0"/>
  </r>
  <r>
    <d v="2021-08-25T00:00:00"/>
    <x v="2"/>
    <n v="35"/>
    <s v="MIÉRCOLES"/>
    <x v="6"/>
    <x v="6"/>
    <n v="720"/>
    <n v="120"/>
    <n v="122.4"/>
    <x v="0"/>
  </r>
  <r>
    <d v="2021-08-25T00:00:00"/>
    <x v="2"/>
    <n v="35"/>
    <s v="MIÉRCOLES"/>
    <x v="12"/>
    <x v="12"/>
    <n v="1125"/>
    <n v="225"/>
    <n v="450"/>
    <x v="0"/>
  </r>
  <r>
    <d v="2021-08-25T00:00:00"/>
    <x v="2"/>
    <n v="35"/>
    <s v="MIÉRCOLES"/>
    <x v="27"/>
    <x v="27"/>
    <n v="350"/>
    <n v="350"/>
    <n v="80.5"/>
    <x v="0"/>
  </r>
  <r>
    <d v="2021-08-25T00:00:00"/>
    <x v="2"/>
    <n v="35"/>
    <s v="MIÉRCOLES"/>
    <x v="5"/>
    <x v="5"/>
    <n v="486"/>
    <n v="162"/>
    <n v="82.62"/>
    <x v="0"/>
  </r>
  <r>
    <d v="2021-08-25T00:00:00"/>
    <x v="2"/>
    <n v="35"/>
    <s v="MIÉRCOLES"/>
    <x v="25"/>
    <x v="25"/>
    <n v="900"/>
    <n v="225"/>
    <n v="378"/>
    <x v="0"/>
  </r>
  <r>
    <d v="2021-08-25T00:00:00"/>
    <x v="2"/>
    <n v="35"/>
    <s v="MIÉRCOLES"/>
    <x v="38"/>
    <x v="38"/>
    <n v="336"/>
    <n v="112"/>
    <n v="134.4"/>
    <x v="0"/>
  </r>
  <r>
    <d v="2021-08-25T00:00:00"/>
    <x v="2"/>
    <n v="35"/>
    <s v="MIÉRCOLES"/>
    <x v="16"/>
    <x v="16"/>
    <n v="360"/>
    <n v="180"/>
    <n v="151.19999999999999"/>
    <x v="0"/>
  </r>
  <r>
    <d v="2021-08-25T00:00:00"/>
    <x v="2"/>
    <n v="35"/>
    <s v="MIÉRCOLES"/>
    <x v="13"/>
    <x v="13"/>
    <n v="90"/>
    <n v="30"/>
    <n v="36"/>
    <x v="0"/>
  </r>
  <r>
    <d v="2021-08-25T00:00:00"/>
    <x v="2"/>
    <n v="35"/>
    <s v="MIÉRCOLES"/>
    <x v="14"/>
    <x v="14"/>
    <n v="40"/>
    <n v="40"/>
    <n v="9.2000000000000011"/>
    <x v="0"/>
  </r>
  <r>
    <d v="2021-08-25T00:00:00"/>
    <x v="2"/>
    <n v="35"/>
    <s v="MIÉRCOLES"/>
    <x v="20"/>
    <x v="20"/>
    <n v="270"/>
    <n v="90"/>
    <n v="45.900000000000006"/>
    <x v="0"/>
  </r>
  <r>
    <d v="2021-08-25T00:00:00"/>
    <x v="2"/>
    <n v="35"/>
    <s v="MIÉRCOLES"/>
    <x v="23"/>
    <x v="23"/>
    <n v="180"/>
    <n v="90"/>
    <n v="30.6"/>
    <x v="0"/>
  </r>
  <r>
    <d v="2021-08-25T00:00:00"/>
    <x v="2"/>
    <n v="35"/>
    <s v="MIÉRCOLES"/>
    <x v="42"/>
    <x v="42"/>
    <n v="250"/>
    <n v="420"/>
    <n v="105"/>
    <x v="0"/>
  </r>
  <r>
    <d v="2021-08-25T00:00:00"/>
    <x v="2"/>
    <n v="35"/>
    <s v="MIÉRCOLES"/>
    <x v="43"/>
    <x v="43"/>
    <n v="500"/>
    <n v="420"/>
    <n v="210"/>
    <x v="0"/>
  </r>
  <r>
    <d v="2021-08-26T00:00:00"/>
    <x v="2"/>
    <n v="35"/>
    <s v="JUEVES"/>
    <x v="0"/>
    <x v="0"/>
    <n v="768"/>
    <n v="48"/>
    <n v="307.20000000000005"/>
    <x v="0"/>
  </r>
  <r>
    <d v="2021-08-26T00:00:00"/>
    <x v="2"/>
    <n v="35"/>
    <s v="JUEVES"/>
    <x v="39"/>
    <x v="39"/>
    <n v="1680"/>
    <n v="420"/>
    <n v="705.6"/>
    <x v="0"/>
  </r>
  <r>
    <d v="2021-08-26T00:00:00"/>
    <x v="2"/>
    <n v="35"/>
    <s v="JUEVES"/>
    <x v="32"/>
    <x v="32"/>
    <n v="1680"/>
    <n v="420"/>
    <n v="705.6"/>
    <x v="0"/>
  </r>
  <r>
    <d v="2021-08-26T00:00:00"/>
    <x v="2"/>
    <n v="35"/>
    <s v="JUEVES"/>
    <x v="25"/>
    <x v="25"/>
    <n v="900"/>
    <n v="225"/>
    <n v="378"/>
    <x v="0"/>
  </r>
  <r>
    <d v="2021-08-26T00:00:00"/>
    <x v="2"/>
    <n v="35"/>
    <s v="JUEVES"/>
    <x v="19"/>
    <x v="19"/>
    <n v="675"/>
    <n v="225"/>
    <n v="270"/>
    <x v="0"/>
  </r>
  <r>
    <d v="2021-08-26T00:00:00"/>
    <x v="2"/>
    <n v="35"/>
    <s v="JUEVES"/>
    <x v="12"/>
    <x v="12"/>
    <n v="900"/>
    <n v="225"/>
    <n v="360"/>
    <x v="0"/>
  </r>
  <r>
    <d v="2021-08-26T00:00:00"/>
    <x v="2"/>
    <n v="35"/>
    <s v="JUEVES"/>
    <x v="28"/>
    <x v="28"/>
    <n v="120"/>
    <n v="30"/>
    <n v="27.6"/>
    <x v="0"/>
  </r>
  <r>
    <d v="2021-08-26T00:00:00"/>
    <x v="2"/>
    <n v="35"/>
    <s v="JUEVES"/>
    <x v="15"/>
    <x v="15"/>
    <n v="200"/>
    <n v="50"/>
    <n v="80"/>
    <x v="0"/>
  </r>
  <r>
    <d v="2021-08-26T00:00:00"/>
    <x v="2"/>
    <n v="35"/>
    <s v="JUEVES"/>
    <x v="1"/>
    <x v="1"/>
    <n v="3456"/>
    <n v="198"/>
    <n v="587.5200000000001"/>
    <x v="0"/>
  </r>
  <r>
    <d v="2021-08-26T00:00:00"/>
    <x v="2"/>
    <n v="35"/>
    <s v="JUEVES"/>
    <x v="6"/>
    <x v="6"/>
    <n v="720"/>
    <n v="120"/>
    <n v="122.4"/>
    <x v="0"/>
  </r>
  <r>
    <d v="2021-08-26T00:00:00"/>
    <x v="2"/>
    <n v="35"/>
    <s v="JUEVES"/>
    <x v="2"/>
    <x v="2"/>
    <n v="1296"/>
    <n v="198"/>
    <n v="220.32000000000002"/>
    <x v="0"/>
  </r>
  <r>
    <d v="2021-08-26T00:00:00"/>
    <x v="2"/>
    <n v="35"/>
    <s v="JUEVES"/>
    <x v="9"/>
    <x v="9"/>
    <n v="1530"/>
    <n v="90"/>
    <n v="260.10000000000002"/>
    <x v="0"/>
  </r>
  <r>
    <d v="2021-08-26T00:00:00"/>
    <x v="2"/>
    <n v="35"/>
    <s v="JUEVES"/>
    <x v="10"/>
    <x v="10"/>
    <n v="1920"/>
    <n v="120"/>
    <n v="326.40000000000003"/>
    <x v="0"/>
  </r>
  <r>
    <d v="2021-08-26T00:00:00"/>
    <x v="2"/>
    <n v="35"/>
    <s v="JUEVES"/>
    <x v="23"/>
    <x v="23"/>
    <n v="900"/>
    <n v="90"/>
    <n v="153"/>
    <x v="0"/>
  </r>
  <r>
    <d v="2021-08-26T00:00:00"/>
    <x v="2"/>
    <n v="35"/>
    <s v="JUEVES"/>
    <x v="17"/>
    <x v="17"/>
    <n v="720"/>
    <n v="120"/>
    <n v="122.4"/>
    <x v="0"/>
  </r>
  <r>
    <d v="2021-08-26T00:00:00"/>
    <x v="2"/>
    <n v="35"/>
    <s v="JUEVES"/>
    <x v="11"/>
    <x v="11"/>
    <n v="2070"/>
    <n v="90"/>
    <n v="351.90000000000003"/>
    <x v="0"/>
  </r>
  <r>
    <d v="2021-08-26T00:00:00"/>
    <x v="2"/>
    <n v="35"/>
    <s v="JUEVES"/>
    <x v="8"/>
    <x v="8"/>
    <n v="1296"/>
    <n v="198"/>
    <n v="220.32000000000002"/>
    <x v="0"/>
  </r>
  <r>
    <d v="2021-08-26T00:00:00"/>
    <x v="2"/>
    <n v="35"/>
    <s v="JUEVES"/>
    <x v="7"/>
    <x v="7"/>
    <n v="2592"/>
    <n v="198"/>
    <n v="440.64000000000004"/>
    <x v="0"/>
  </r>
  <r>
    <d v="2021-08-26T00:00:00"/>
    <x v="2"/>
    <n v="35"/>
    <s v="JUEVES"/>
    <x v="16"/>
    <x v="16"/>
    <n v="360"/>
    <n v="180"/>
    <n v="151.19999999999999"/>
    <x v="0"/>
  </r>
  <r>
    <d v="2021-08-26T00:00:00"/>
    <x v="2"/>
    <n v="35"/>
    <s v="JUEVES"/>
    <x v="14"/>
    <x v="14"/>
    <n v="80"/>
    <n v="40"/>
    <n v="18.400000000000002"/>
    <x v="0"/>
  </r>
  <r>
    <d v="2021-08-26T00:00:00"/>
    <x v="2"/>
    <n v="35"/>
    <s v="JUEVES"/>
    <x v="13"/>
    <x v="13"/>
    <n v="60"/>
    <n v="30"/>
    <n v="24"/>
    <x v="0"/>
  </r>
  <r>
    <d v="2021-08-26T00:00:00"/>
    <x v="2"/>
    <n v="35"/>
    <s v="JUEVES"/>
    <x v="33"/>
    <x v="33"/>
    <n v="80"/>
    <n v="40"/>
    <n v="18.400000000000002"/>
    <x v="0"/>
  </r>
  <r>
    <d v="2021-08-26T00:00:00"/>
    <x v="2"/>
    <n v="35"/>
    <s v="JUEVES"/>
    <x v="5"/>
    <x v="5"/>
    <n v="162"/>
    <n v="162"/>
    <n v="27.540000000000003"/>
    <x v="0"/>
  </r>
  <r>
    <d v="2021-08-26T00:00:00"/>
    <x v="2"/>
    <n v="35"/>
    <s v="JUEVES"/>
    <x v="3"/>
    <x v="3"/>
    <n v="792"/>
    <n v="198"/>
    <n v="134.64000000000001"/>
    <x v="0"/>
  </r>
  <r>
    <d v="2021-08-26T00:00:00"/>
    <x v="2"/>
    <n v="35"/>
    <s v="JUEVES"/>
    <x v="20"/>
    <x v="20"/>
    <n v="180"/>
    <n v="90"/>
    <n v="30.6"/>
    <x v="0"/>
  </r>
  <r>
    <d v="2021-08-26T00:00:00"/>
    <x v="2"/>
    <n v="35"/>
    <s v="JUEVES"/>
    <x v="24"/>
    <x v="24"/>
    <n v="2940"/>
    <n v="420"/>
    <n v="1234.8"/>
    <x v="0"/>
  </r>
  <r>
    <d v="2021-08-26T00:00:00"/>
    <x v="2"/>
    <n v="35"/>
    <s v="JUEVES"/>
    <x v="34"/>
    <x v="34"/>
    <n v="216"/>
    <n v="198"/>
    <n v="36.720000000000006"/>
    <x v="0"/>
  </r>
  <r>
    <d v="2021-08-27T00:00:00"/>
    <x v="2"/>
    <n v="35"/>
    <s v="VIERNES"/>
    <x v="29"/>
    <x v="29"/>
    <n v="216"/>
    <n v="198"/>
    <n v="36.720000000000006"/>
    <x v="0"/>
  </r>
  <r>
    <d v="2021-08-27T00:00:00"/>
    <x v="2"/>
    <n v="35"/>
    <s v="VIERNES"/>
    <x v="24"/>
    <x v="24"/>
    <n v="420"/>
    <n v="420"/>
    <n v="176.4"/>
    <x v="0"/>
  </r>
  <r>
    <d v="2021-08-27T00:00:00"/>
    <x v="2"/>
    <n v="35"/>
    <s v="VIERNES"/>
    <x v="39"/>
    <x v="39"/>
    <n v="420"/>
    <n v="420"/>
    <n v="176.4"/>
    <x v="0"/>
  </r>
  <r>
    <d v="2021-08-27T00:00:00"/>
    <x v="2"/>
    <n v="35"/>
    <s v="VIERNES"/>
    <x v="19"/>
    <x v="19"/>
    <n v="900"/>
    <n v="225"/>
    <n v="360"/>
    <x v="0"/>
  </r>
  <r>
    <d v="2021-08-27T00:00:00"/>
    <x v="2"/>
    <n v="35"/>
    <s v="VIERNES"/>
    <x v="28"/>
    <x v="28"/>
    <n v="120"/>
    <n v="30"/>
    <n v="27.6"/>
    <x v="0"/>
  </r>
  <r>
    <d v="2021-08-27T00:00:00"/>
    <x v="2"/>
    <n v="35"/>
    <s v="VIERNES"/>
    <x v="0"/>
    <x v="0"/>
    <n v="768"/>
    <n v="48"/>
    <n v="307.20000000000005"/>
    <x v="0"/>
  </r>
  <r>
    <d v="2021-08-27T00:00:00"/>
    <x v="2"/>
    <n v="35"/>
    <s v="VIERNES"/>
    <x v="12"/>
    <x v="12"/>
    <n v="900"/>
    <n v="225"/>
    <n v="360"/>
    <x v="0"/>
  </r>
  <r>
    <d v="2021-08-27T00:00:00"/>
    <x v="2"/>
    <n v="35"/>
    <s v="VIERNES"/>
    <x v="13"/>
    <x v="13"/>
    <n v="120"/>
    <n v="30"/>
    <n v="48"/>
    <x v="0"/>
  </r>
  <r>
    <d v="2021-08-27T00:00:00"/>
    <x v="2"/>
    <n v="35"/>
    <s v="VIERNES"/>
    <x v="6"/>
    <x v="6"/>
    <n v="960"/>
    <n v="120"/>
    <n v="163.20000000000002"/>
    <x v="0"/>
  </r>
  <r>
    <d v="2021-08-27T00:00:00"/>
    <x v="2"/>
    <n v="35"/>
    <s v="VIERNES"/>
    <x v="5"/>
    <x v="5"/>
    <n v="648"/>
    <n v="162"/>
    <n v="110.16000000000001"/>
    <x v="0"/>
  </r>
  <r>
    <d v="2021-08-27T00:00:00"/>
    <x v="2"/>
    <n v="35"/>
    <s v="VIERNES"/>
    <x v="7"/>
    <x v="7"/>
    <n v="2592"/>
    <n v="198"/>
    <n v="440.64000000000004"/>
    <x v="0"/>
  </r>
  <r>
    <d v="2021-08-27T00:00:00"/>
    <x v="2"/>
    <n v="35"/>
    <s v="VIERNES"/>
    <x v="8"/>
    <x v="8"/>
    <n v="1944"/>
    <n v="198"/>
    <n v="330.48"/>
    <x v="0"/>
  </r>
  <r>
    <d v="2021-08-27T00:00:00"/>
    <x v="2"/>
    <n v="35"/>
    <s v="VIERNES"/>
    <x v="1"/>
    <x v="1"/>
    <n v="3240"/>
    <n v="198"/>
    <n v="550.80000000000007"/>
    <x v="0"/>
  </r>
  <r>
    <d v="2021-08-27T00:00:00"/>
    <x v="2"/>
    <n v="35"/>
    <s v="VIERNES"/>
    <x v="15"/>
    <x v="15"/>
    <n v="350"/>
    <n v="50"/>
    <n v="140"/>
    <x v="0"/>
  </r>
  <r>
    <d v="2021-08-27T00:00:00"/>
    <x v="2"/>
    <n v="35"/>
    <s v="VIERNES"/>
    <x v="38"/>
    <x v="38"/>
    <n v="224"/>
    <n v="112"/>
    <n v="89.600000000000009"/>
    <x v="0"/>
  </r>
  <r>
    <d v="2021-08-27T00:00:00"/>
    <x v="2"/>
    <n v="35"/>
    <s v="VIERNES"/>
    <x v="2"/>
    <x v="2"/>
    <n v="1512"/>
    <n v="198"/>
    <n v="257.04000000000002"/>
    <x v="0"/>
  </r>
  <r>
    <d v="2021-08-27T00:00:00"/>
    <x v="2"/>
    <n v="35"/>
    <s v="VIERNES"/>
    <x v="9"/>
    <x v="9"/>
    <n v="1170"/>
    <n v="90"/>
    <n v="198.9"/>
    <x v="0"/>
  </r>
  <r>
    <d v="2021-08-27T00:00:00"/>
    <x v="2"/>
    <n v="35"/>
    <s v="VIERNES"/>
    <x v="10"/>
    <x v="10"/>
    <n v="2880"/>
    <n v="120"/>
    <n v="489.6"/>
    <x v="0"/>
  </r>
  <r>
    <d v="2021-08-27T00:00:00"/>
    <x v="2"/>
    <n v="35"/>
    <s v="VIERNES"/>
    <x v="23"/>
    <x v="23"/>
    <n v="720"/>
    <n v="90"/>
    <n v="122.4"/>
    <x v="0"/>
  </r>
  <r>
    <d v="2021-08-27T00:00:00"/>
    <x v="2"/>
    <n v="35"/>
    <s v="VIERNES"/>
    <x v="17"/>
    <x v="17"/>
    <n v="1320"/>
    <n v="120"/>
    <n v="224.4"/>
    <x v="0"/>
  </r>
  <r>
    <d v="2021-08-27T00:00:00"/>
    <x v="2"/>
    <n v="35"/>
    <s v="VIERNES"/>
    <x v="11"/>
    <x v="11"/>
    <n v="720"/>
    <n v="90"/>
    <n v="122.4"/>
    <x v="0"/>
  </r>
  <r>
    <d v="2021-08-27T00:00:00"/>
    <x v="2"/>
    <n v="35"/>
    <s v="VIERNES"/>
    <x v="16"/>
    <x v="16"/>
    <n v="360"/>
    <n v="180"/>
    <n v="151.19999999999999"/>
    <x v="0"/>
  </r>
  <r>
    <d v="2021-08-27T00:00:00"/>
    <x v="2"/>
    <n v="35"/>
    <s v="VIERNES"/>
    <x v="32"/>
    <x v="32"/>
    <n v="420"/>
    <n v="420"/>
    <n v="176.4"/>
    <x v="0"/>
  </r>
  <r>
    <d v="2021-08-27T00:00:00"/>
    <x v="2"/>
    <n v="35"/>
    <s v="VIERNES"/>
    <x v="25"/>
    <x v="25"/>
    <n v="900"/>
    <n v="225"/>
    <n v="378"/>
    <x v="0"/>
  </r>
  <r>
    <d v="2021-08-27T00:00:00"/>
    <x v="2"/>
    <n v="35"/>
    <s v="VIERNES"/>
    <x v="33"/>
    <x v="33"/>
    <n v="120"/>
    <n v="40"/>
    <n v="27.6"/>
    <x v="0"/>
  </r>
  <r>
    <d v="2021-08-27T00:00:00"/>
    <x v="2"/>
    <n v="35"/>
    <s v="VIERNES"/>
    <x v="3"/>
    <x v="3"/>
    <n v="792"/>
    <n v="198"/>
    <n v="134.64000000000001"/>
    <x v="0"/>
  </r>
  <r>
    <d v="2021-08-27T00:00:00"/>
    <x v="2"/>
    <n v="35"/>
    <s v="VIERNES"/>
    <x v="14"/>
    <x v="14"/>
    <n v="160"/>
    <n v="40"/>
    <n v="36.800000000000004"/>
    <x v="0"/>
  </r>
  <r>
    <d v="2021-08-27T00:00:00"/>
    <x v="2"/>
    <n v="35"/>
    <s v="VIERNES"/>
    <x v="42"/>
    <x v="42"/>
    <n v="1250"/>
    <n v="420"/>
    <n v="525"/>
    <x v="0"/>
  </r>
  <r>
    <d v="2021-08-27T00:00:00"/>
    <x v="2"/>
    <n v="35"/>
    <s v="VIERNES"/>
    <x v="43"/>
    <x v="43"/>
    <n v="500"/>
    <n v="420"/>
    <n v="210"/>
    <x v="0"/>
  </r>
  <r>
    <d v="2021-08-27T00:00:00"/>
    <x v="2"/>
    <n v="35"/>
    <s v="VIERNES"/>
    <x v="26"/>
    <x v="26"/>
    <n v="180"/>
    <n v="90"/>
    <n v="30.6"/>
    <x v="0"/>
  </r>
  <r>
    <d v="2021-08-27T00:00:00"/>
    <x v="2"/>
    <n v="35"/>
    <s v="VIERNES"/>
    <x v="34"/>
    <x v="34"/>
    <n v="216"/>
    <n v="198"/>
    <n v="36.720000000000006"/>
    <x v="0"/>
  </r>
  <r>
    <d v="2021-08-28T00:00:00"/>
    <x v="2"/>
    <n v="36"/>
    <s v="SÁBADO"/>
    <x v="1"/>
    <x v="1"/>
    <n v="2160"/>
    <n v="198"/>
    <n v="367.20000000000005"/>
    <x v="0"/>
  </r>
  <r>
    <d v="2021-08-28T00:00:00"/>
    <x v="2"/>
    <n v="36"/>
    <s v="SÁBADO"/>
    <x v="42"/>
    <x v="42"/>
    <n v="500"/>
    <n v="420"/>
    <n v="210"/>
    <x v="0"/>
  </r>
  <r>
    <d v="2021-08-28T00:00:00"/>
    <x v="2"/>
    <n v="36"/>
    <s v="SÁBADO"/>
    <x v="40"/>
    <x v="40"/>
    <n v="112"/>
    <n v="240"/>
    <n v="44.800000000000004"/>
    <x v="0"/>
  </r>
  <r>
    <d v="2021-08-28T00:00:00"/>
    <x v="2"/>
    <n v="36"/>
    <s v="SÁBADO"/>
    <x v="16"/>
    <x v="16"/>
    <n v="1440"/>
    <n v="180"/>
    <n v="604.79999999999995"/>
    <x v="0"/>
  </r>
  <r>
    <d v="2021-08-28T00:00:00"/>
    <x v="2"/>
    <n v="36"/>
    <s v="SÁBADO"/>
    <x v="5"/>
    <x v="5"/>
    <n v="324"/>
    <n v="162"/>
    <n v="55.080000000000005"/>
    <x v="0"/>
  </r>
  <r>
    <d v="2021-08-28T00:00:00"/>
    <x v="2"/>
    <n v="36"/>
    <s v="SÁBADO"/>
    <x v="25"/>
    <x v="25"/>
    <n v="3600"/>
    <n v="225"/>
    <n v="1512"/>
    <x v="0"/>
  </r>
  <r>
    <d v="2021-08-28T00:00:00"/>
    <x v="2"/>
    <n v="36"/>
    <s v="SÁBADO"/>
    <x v="12"/>
    <x v="12"/>
    <n v="675"/>
    <n v="225"/>
    <n v="270"/>
    <x v="0"/>
  </r>
  <r>
    <d v="2021-08-28T00:00:00"/>
    <x v="2"/>
    <n v="36"/>
    <s v="SÁBADO"/>
    <x v="26"/>
    <x v="26"/>
    <n v="180"/>
    <n v="90"/>
    <n v="30.6"/>
    <x v="0"/>
  </r>
  <r>
    <d v="2021-08-28T00:00:00"/>
    <x v="2"/>
    <n v="36"/>
    <s v="SÁBADO"/>
    <x v="20"/>
    <x v="20"/>
    <n v="450"/>
    <n v="90"/>
    <n v="76.5"/>
    <x v="0"/>
  </r>
  <r>
    <d v="2021-08-28T00:00:00"/>
    <x v="2"/>
    <n v="36"/>
    <s v="SÁBADO"/>
    <x v="4"/>
    <x v="4"/>
    <n v="810"/>
    <n v="162"/>
    <n v="137.70000000000002"/>
    <x v="0"/>
  </r>
  <r>
    <d v="2021-08-28T00:00:00"/>
    <x v="2"/>
    <n v="36"/>
    <s v="SÁBADO"/>
    <x v="38"/>
    <x v="38"/>
    <n v="112"/>
    <n v="112"/>
    <n v="44.800000000000004"/>
    <x v="0"/>
  </r>
  <r>
    <d v="2021-08-28T00:00:00"/>
    <x v="2"/>
    <n v="36"/>
    <s v="SÁBADO"/>
    <x v="28"/>
    <x v="28"/>
    <n v="60"/>
    <n v="30"/>
    <n v="13.8"/>
    <x v="0"/>
  </r>
  <r>
    <d v="2021-08-28T00:00:00"/>
    <x v="2"/>
    <n v="36"/>
    <s v="SÁBADO"/>
    <x v="33"/>
    <x v="33"/>
    <n v="40"/>
    <n v="40"/>
    <n v="9.2000000000000011"/>
    <x v="0"/>
  </r>
  <r>
    <d v="2021-08-28T00:00:00"/>
    <x v="2"/>
    <n v="36"/>
    <s v="SÁBADO"/>
    <x v="13"/>
    <x v="13"/>
    <n v="60"/>
    <n v="30"/>
    <n v="24"/>
    <x v="0"/>
  </r>
  <r>
    <d v="2021-08-28T00:00:00"/>
    <x v="2"/>
    <n v="36"/>
    <s v="SÁBADO"/>
    <x v="14"/>
    <x v="14"/>
    <n v="80"/>
    <n v="40"/>
    <n v="18.400000000000002"/>
    <x v="0"/>
  </r>
  <r>
    <d v="2021-08-28T00:00:00"/>
    <x v="2"/>
    <n v="36"/>
    <s v="SÁBADO"/>
    <x v="15"/>
    <x v="15"/>
    <n v="150"/>
    <n v="50"/>
    <n v="60"/>
    <x v="0"/>
  </r>
  <r>
    <d v="2021-08-28T00:00:00"/>
    <x v="2"/>
    <n v="36"/>
    <s v="SÁBADO"/>
    <x v="0"/>
    <x v="0"/>
    <n v="288"/>
    <n v="48"/>
    <n v="115.2"/>
    <x v="0"/>
  </r>
  <r>
    <d v="2021-08-28T00:00:00"/>
    <x v="2"/>
    <n v="36"/>
    <s v="SÁBADO"/>
    <x v="8"/>
    <x v="8"/>
    <n v="1296"/>
    <n v="198"/>
    <n v="220.32000000000002"/>
    <x v="0"/>
  </r>
  <r>
    <d v="2021-08-28T00:00:00"/>
    <x v="2"/>
    <n v="36"/>
    <s v="SÁBADO"/>
    <x v="7"/>
    <x v="7"/>
    <n v="432"/>
    <n v="198"/>
    <n v="73.440000000000012"/>
    <x v="0"/>
  </r>
  <r>
    <d v="2021-08-28T00:00:00"/>
    <x v="2"/>
    <n v="36"/>
    <s v="SÁBADO"/>
    <x v="11"/>
    <x v="11"/>
    <n v="1890"/>
    <n v="90"/>
    <n v="321.3"/>
    <x v="0"/>
  </r>
  <r>
    <d v="2021-08-28T00:00:00"/>
    <x v="2"/>
    <n v="36"/>
    <s v="SÁBADO"/>
    <x v="17"/>
    <x v="17"/>
    <n v="360"/>
    <n v="120"/>
    <n v="61.2"/>
    <x v="0"/>
  </r>
  <r>
    <d v="2021-08-28T00:00:00"/>
    <x v="2"/>
    <n v="36"/>
    <s v="SÁBADO"/>
    <x v="23"/>
    <x v="23"/>
    <n v="720"/>
    <n v="90"/>
    <n v="122.4"/>
    <x v="0"/>
  </r>
  <r>
    <d v="2021-08-28T00:00:00"/>
    <x v="2"/>
    <n v="36"/>
    <s v="SÁBADO"/>
    <x v="10"/>
    <x v="10"/>
    <n v="720"/>
    <n v="120"/>
    <n v="122.4"/>
    <x v="0"/>
  </r>
  <r>
    <d v="2021-08-28T00:00:00"/>
    <x v="2"/>
    <n v="36"/>
    <s v="SÁBADO"/>
    <x v="3"/>
    <x v="3"/>
    <n v="396"/>
    <n v="198"/>
    <n v="67.320000000000007"/>
    <x v="0"/>
  </r>
  <r>
    <d v="2021-08-28T00:00:00"/>
    <x v="2"/>
    <n v="36"/>
    <s v="SÁBADO"/>
    <x v="2"/>
    <x v="2"/>
    <n v="2160"/>
    <n v="198"/>
    <n v="367.20000000000005"/>
    <x v="0"/>
  </r>
  <r>
    <d v="2021-08-28T00:00:00"/>
    <x v="2"/>
    <n v="36"/>
    <s v="SÁBADO"/>
    <x v="6"/>
    <x v="6"/>
    <n v="240"/>
    <n v="120"/>
    <n v="40.800000000000004"/>
    <x v="0"/>
  </r>
  <r>
    <d v="2021-08-31T00:00:00"/>
    <x v="2"/>
    <n v="36"/>
    <s v="MARTES"/>
    <x v="23"/>
    <x v="23"/>
    <n v="450"/>
    <n v="90"/>
    <n v="76.5"/>
    <x v="0"/>
  </r>
  <r>
    <d v="2021-08-31T00:00:00"/>
    <x v="2"/>
    <n v="36"/>
    <s v="MARTES"/>
    <x v="11"/>
    <x v="11"/>
    <n v="1440"/>
    <n v="90"/>
    <n v="244.8"/>
    <x v="0"/>
  </r>
  <r>
    <d v="2021-08-31T00:00:00"/>
    <x v="2"/>
    <n v="36"/>
    <s v="MARTES"/>
    <x v="25"/>
    <x v="25"/>
    <n v="900"/>
    <n v="225"/>
    <n v="378"/>
    <x v="0"/>
  </r>
  <r>
    <d v="2021-08-31T00:00:00"/>
    <x v="2"/>
    <n v="36"/>
    <s v="MARTES"/>
    <x v="24"/>
    <x v="24"/>
    <n v="840"/>
    <n v="420"/>
    <n v="352.8"/>
    <x v="0"/>
  </r>
  <r>
    <d v="2021-08-31T00:00:00"/>
    <x v="2"/>
    <n v="36"/>
    <s v="MARTES"/>
    <x v="39"/>
    <x v="39"/>
    <n v="840"/>
    <n v="420"/>
    <n v="352.8"/>
    <x v="0"/>
  </r>
  <r>
    <d v="2021-08-31T00:00:00"/>
    <x v="2"/>
    <n v="36"/>
    <s v="MARTES"/>
    <x v="32"/>
    <x v="32"/>
    <n v="2100"/>
    <n v="420"/>
    <n v="882"/>
    <x v="0"/>
  </r>
  <r>
    <d v="2021-08-31T00:00:00"/>
    <x v="2"/>
    <n v="36"/>
    <s v="MARTES"/>
    <x v="33"/>
    <x v="33"/>
    <n v="40"/>
    <n v="40"/>
    <n v="9.2000000000000011"/>
    <x v="0"/>
  </r>
  <r>
    <d v="2021-08-31T00:00:00"/>
    <x v="2"/>
    <n v="36"/>
    <s v="MARTES"/>
    <x v="15"/>
    <x v="15"/>
    <n v="250"/>
    <n v="50"/>
    <n v="100"/>
    <x v="0"/>
  </r>
  <r>
    <d v="2021-08-31T00:00:00"/>
    <x v="2"/>
    <n v="36"/>
    <s v="MARTES"/>
    <x v="38"/>
    <x v="38"/>
    <n v="225"/>
    <n v="112"/>
    <n v="90"/>
    <x v="0"/>
  </r>
  <r>
    <d v="2021-08-31T00:00:00"/>
    <x v="2"/>
    <n v="36"/>
    <s v="MARTES"/>
    <x v="0"/>
    <x v="0"/>
    <n v="480"/>
    <n v="48"/>
    <n v="192"/>
    <x v="0"/>
  </r>
  <r>
    <d v="2021-08-31T00:00:00"/>
    <x v="2"/>
    <n v="36"/>
    <s v="MARTES"/>
    <x v="16"/>
    <x v="16"/>
    <n v="720"/>
    <n v="180"/>
    <n v="302.39999999999998"/>
    <x v="0"/>
  </r>
  <r>
    <d v="2021-08-31T00:00:00"/>
    <x v="2"/>
    <n v="36"/>
    <s v="MARTES"/>
    <x v="1"/>
    <x v="1"/>
    <n v="1728"/>
    <n v="198"/>
    <n v="293.76000000000005"/>
    <x v="0"/>
  </r>
  <r>
    <d v="2021-08-31T00:00:00"/>
    <x v="2"/>
    <n v="36"/>
    <s v="MARTES"/>
    <x v="2"/>
    <x v="2"/>
    <n v="432"/>
    <n v="198"/>
    <n v="73.440000000000012"/>
    <x v="0"/>
  </r>
  <r>
    <d v="2021-08-31T00:00:00"/>
    <x v="2"/>
    <n v="36"/>
    <s v="MARTES"/>
    <x v="3"/>
    <x v="3"/>
    <n v="792"/>
    <n v="198"/>
    <n v="134.64000000000001"/>
    <x v="0"/>
  </r>
  <r>
    <d v="2021-08-31T00:00:00"/>
    <x v="2"/>
    <n v="36"/>
    <s v="MARTES"/>
    <x v="5"/>
    <x v="5"/>
    <n v="324"/>
    <n v="162"/>
    <n v="55.080000000000005"/>
    <x v="0"/>
  </r>
  <r>
    <d v="2021-08-31T00:00:00"/>
    <x v="2"/>
    <n v="36"/>
    <s v="MARTES"/>
    <x v="6"/>
    <x v="6"/>
    <n v="240"/>
    <n v="120"/>
    <n v="40.800000000000004"/>
    <x v="0"/>
  </r>
  <r>
    <d v="2021-08-31T00:00:00"/>
    <x v="2"/>
    <n v="36"/>
    <s v="MARTES"/>
    <x v="17"/>
    <x v="17"/>
    <n v="480"/>
    <n v="120"/>
    <n v="81.600000000000009"/>
    <x v="0"/>
  </r>
  <r>
    <d v="2021-08-31T00:00:00"/>
    <x v="2"/>
    <n v="36"/>
    <s v="MARTES"/>
    <x v="7"/>
    <x v="7"/>
    <n v="1080"/>
    <n v="198"/>
    <n v="183.60000000000002"/>
    <x v="0"/>
  </r>
  <r>
    <d v="2021-08-31T00:00:00"/>
    <x v="2"/>
    <n v="36"/>
    <s v="MARTES"/>
    <x v="8"/>
    <x v="8"/>
    <n v="1080"/>
    <n v="198"/>
    <n v="183.60000000000002"/>
    <x v="0"/>
  </r>
  <r>
    <d v="2021-08-31T00:00:00"/>
    <x v="2"/>
    <n v="36"/>
    <s v="MARTES"/>
    <x v="9"/>
    <x v="9"/>
    <n v="1170"/>
    <n v="90"/>
    <n v="198.9"/>
    <x v="0"/>
  </r>
  <r>
    <d v="2021-08-31T00:00:00"/>
    <x v="2"/>
    <n v="36"/>
    <s v="MARTES"/>
    <x v="10"/>
    <x v="10"/>
    <n v="720"/>
    <n v="120"/>
    <n v="122.4"/>
    <x v="0"/>
  </r>
  <r>
    <d v="2021-09-01T00:00:00"/>
    <x v="3"/>
    <n v="36"/>
    <s v="MIÉRCOLES"/>
    <x v="8"/>
    <x v="8"/>
    <n v="1080"/>
    <n v="198"/>
    <n v="183.60000000000002"/>
    <x v="0"/>
  </r>
  <r>
    <d v="2021-09-01T00:00:00"/>
    <x v="3"/>
    <n v="36"/>
    <s v="MIÉRCOLES"/>
    <x v="11"/>
    <x v="11"/>
    <n v="2160"/>
    <n v="90"/>
    <n v="367.20000000000005"/>
    <x v="0"/>
  </r>
  <r>
    <d v="2021-09-01T00:00:00"/>
    <x v="3"/>
    <n v="36"/>
    <s v="MIÉRCOLES"/>
    <x v="23"/>
    <x v="23"/>
    <n v="450"/>
    <n v="90"/>
    <n v="76.5"/>
    <x v="0"/>
  </r>
  <r>
    <d v="2021-09-01T00:00:00"/>
    <x v="3"/>
    <n v="36"/>
    <s v="MIÉRCOLES"/>
    <x v="10"/>
    <x v="10"/>
    <n v="4080"/>
    <n v="120"/>
    <n v="693.6"/>
    <x v="0"/>
  </r>
  <r>
    <d v="2021-09-01T00:00:00"/>
    <x v="3"/>
    <n v="36"/>
    <s v="MIÉRCOLES"/>
    <x v="9"/>
    <x v="9"/>
    <n v="900"/>
    <n v="90"/>
    <n v="153"/>
    <x v="0"/>
  </r>
  <r>
    <d v="2021-09-01T00:00:00"/>
    <x v="3"/>
    <n v="36"/>
    <s v="MIÉRCOLES"/>
    <x v="3"/>
    <x v="3"/>
    <n v="396"/>
    <n v="198"/>
    <n v="67.320000000000007"/>
    <x v="0"/>
  </r>
  <r>
    <d v="2021-09-01T00:00:00"/>
    <x v="3"/>
    <n v="36"/>
    <s v="MIÉRCOLES"/>
    <x v="20"/>
    <x v="20"/>
    <n v="720"/>
    <n v="90"/>
    <n v="122.4"/>
    <x v="0"/>
  </r>
  <r>
    <d v="2021-09-01T00:00:00"/>
    <x v="3"/>
    <n v="36"/>
    <s v="MIÉRCOLES"/>
    <x v="20"/>
    <x v="20"/>
    <n v="270"/>
    <n v="90"/>
    <n v="45.900000000000006"/>
    <x v="0"/>
  </r>
  <r>
    <d v="2021-09-01T00:00:00"/>
    <x v="3"/>
    <n v="36"/>
    <s v="MIÉRCOLES"/>
    <x v="2"/>
    <x v="2"/>
    <n v="1296"/>
    <n v="198"/>
    <n v="220.32000000000002"/>
    <x v="0"/>
  </r>
  <r>
    <d v="2021-09-01T00:00:00"/>
    <x v="3"/>
    <n v="36"/>
    <s v="MIÉRCOLES"/>
    <x v="1"/>
    <x v="1"/>
    <n v="1728"/>
    <n v="198"/>
    <n v="293.76000000000005"/>
    <x v="0"/>
  </r>
  <r>
    <d v="2021-09-01T00:00:00"/>
    <x v="3"/>
    <n v="36"/>
    <s v="MIÉRCOLES"/>
    <x v="32"/>
    <x v="32"/>
    <n v="420"/>
    <n v="420"/>
    <n v="176.4"/>
    <x v="0"/>
  </r>
  <r>
    <d v="2021-09-01T00:00:00"/>
    <x v="3"/>
    <n v="36"/>
    <s v="MIÉRCOLES"/>
    <x v="32"/>
    <x v="32"/>
    <n v="420"/>
    <n v="420"/>
    <n v="176.4"/>
    <x v="0"/>
  </r>
  <r>
    <d v="2021-09-01T00:00:00"/>
    <x v="3"/>
    <n v="36"/>
    <s v="MIÉRCOLES"/>
    <x v="32"/>
    <x v="32"/>
    <n v="840"/>
    <n v="420"/>
    <n v="352.8"/>
    <x v="0"/>
  </r>
  <r>
    <d v="2021-09-01T00:00:00"/>
    <x v="3"/>
    <n v="36"/>
    <s v="MIÉRCOLES"/>
    <x v="0"/>
    <x v="0"/>
    <n v="96"/>
    <n v="48"/>
    <n v="38.400000000000006"/>
    <x v="0"/>
  </r>
  <r>
    <d v="2021-09-01T00:00:00"/>
    <x v="3"/>
    <n v="36"/>
    <s v="MIÉRCOLES"/>
    <x v="0"/>
    <x v="0"/>
    <n v="192"/>
    <n v="48"/>
    <n v="76.800000000000011"/>
    <x v="0"/>
  </r>
  <r>
    <d v="2021-09-01T00:00:00"/>
    <x v="3"/>
    <n v="36"/>
    <s v="MIÉRCOLES"/>
    <x v="7"/>
    <x v="7"/>
    <n v="432"/>
    <n v="198"/>
    <n v="73.440000000000012"/>
    <x v="0"/>
  </r>
  <r>
    <d v="2021-09-01T00:00:00"/>
    <x v="3"/>
    <n v="36"/>
    <s v="MIÉRCOLES"/>
    <x v="15"/>
    <x v="15"/>
    <n v="200"/>
    <n v="50"/>
    <n v="80"/>
    <x v="0"/>
  </r>
  <r>
    <d v="2021-09-01T00:00:00"/>
    <x v="3"/>
    <n v="36"/>
    <s v="MIÉRCOLES"/>
    <x v="26"/>
    <x v="26"/>
    <n v="450"/>
    <n v="90"/>
    <n v="76.5"/>
    <x v="0"/>
  </r>
  <r>
    <d v="2021-09-01T00:00:00"/>
    <x v="3"/>
    <n v="36"/>
    <s v="MIÉRCOLES"/>
    <x v="17"/>
    <x v="17"/>
    <n v="360"/>
    <n v="120"/>
    <n v="61.2"/>
    <x v="0"/>
  </r>
  <r>
    <d v="2021-09-01T00:00:00"/>
    <x v="3"/>
    <n v="36"/>
    <s v="MIÉRCOLES"/>
    <x v="5"/>
    <x v="5"/>
    <n v="162"/>
    <n v="162"/>
    <n v="27.540000000000003"/>
    <x v="0"/>
  </r>
  <r>
    <d v="2021-09-01T00:00:00"/>
    <x v="3"/>
    <n v="36"/>
    <s v="MIÉRCOLES"/>
    <x v="6"/>
    <x v="6"/>
    <n v="1080"/>
    <n v="120"/>
    <n v="183.60000000000002"/>
    <x v="0"/>
  </r>
  <r>
    <d v="2021-09-01T00:00:00"/>
    <x v="3"/>
    <n v="36"/>
    <s v="MIÉRCOLES"/>
    <x v="25"/>
    <x v="25"/>
    <n v="450"/>
    <n v="225"/>
    <n v="189"/>
    <x v="0"/>
  </r>
  <r>
    <d v="2021-09-01T00:00:00"/>
    <x v="3"/>
    <n v="36"/>
    <s v="MIÉRCOLES"/>
    <x v="4"/>
    <x v="4"/>
    <n v="486"/>
    <n v="162"/>
    <n v="82.62"/>
    <x v="0"/>
  </r>
  <r>
    <d v="2021-09-01T00:00:00"/>
    <x v="3"/>
    <n v="36"/>
    <s v="MIÉRCOLES"/>
    <x v="35"/>
    <x v="35"/>
    <n v="360"/>
    <n v="180"/>
    <n v="151.19999999999999"/>
    <x v="0"/>
  </r>
  <r>
    <d v="2021-09-01T00:00:00"/>
    <x v="3"/>
    <n v="36"/>
    <s v="MIÉRCOLES"/>
    <x v="38"/>
    <x v="38"/>
    <n v="112"/>
    <n v="112"/>
    <n v="44.800000000000004"/>
    <x v="0"/>
  </r>
  <r>
    <d v="2021-09-01T00:00:00"/>
    <x v="3"/>
    <n v="36"/>
    <s v="MIÉRCOLES"/>
    <x v="24"/>
    <x v="24"/>
    <n v="420"/>
    <n v="420"/>
    <n v="176.4"/>
    <x v="0"/>
  </r>
  <r>
    <d v="2021-09-01T00:00:00"/>
    <x v="3"/>
    <n v="36"/>
    <s v="MIÉRCOLES"/>
    <x v="12"/>
    <x v="12"/>
    <n v="450"/>
    <n v="225"/>
    <n v="180"/>
    <x v="0"/>
  </r>
  <r>
    <d v="2021-09-02T00:00:00"/>
    <x v="3"/>
    <n v="36"/>
    <s v="JUEVES"/>
    <x v="28"/>
    <x v="28"/>
    <n v="60"/>
    <n v="30"/>
    <n v="13.8"/>
    <x v="0"/>
  </r>
  <r>
    <d v="2021-09-02T00:00:00"/>
    <x v="3"/>
    <n v="36"/>
    <s v="JUEVES"/>
    <x v="40"/>
    <x v="40"/>
    <n v="112"/>
    <n v="240"/>
    <n v="44.800000000000004"/>
    <x v="0"/>
  </r>
  <r>
    <d v="2021-09-02T00:00:00"/>
    <x v="3"/>
    <n v="36"/>
    <s v="JUEVES"/>
    <x v="38"/>
    <x v="38"/>
    <n v="224"/>
    <n v="112"/>
    <n v="89.600000000000009"/>
    <x v="0"/>
  </r>
  <r>
    <d v="2021-09-02T00:00:00"/>
    <x v="3"/>
    <n v="36"/>
    <s v="JUEVES"/>
    <x v="17"/>
    <x v="17"/>
    <n v="480"/>
    <n v="120"/>
    <n v="81.600000000000009"/>
    <x v="0"/>
  </r>
  <r>
    <d v="2021-09-02T00:00:00"/>
    <x v="3"/>
    <n v="36"/>
    <s v="JUEVES"/>
    <x v="25"/>
    <x v="25"/>
    <n v="450"/>
    <n v="225"/>
    <n v="189"/>
    <x v="0"/>
  </r>
  <r>
    <d v="2021-09-02T00:00:00"/>
    <x v="3"/>
    <n v="36"/>
    <s v="JUEVES"/>
    <x v="35"/>
    <x v="35"/>
    <n v="180"/>
    <n v="180"/>
    <n v="75.599999999999994"/>
    <x v="0"/>
  </r>
  <r>
    <d v="2021-09-02T00:00:00"/>
    <x v="3"/>
    <n v="36"/>
    <s v="JUEVES"/>
    <x v="26"/>
    <x v="26"/>
    <n v="450"/>
    <n v="90"/>
    <n v="76.5"/>
    <x v="0"/>
  </r>
  <r>
    <d v="2021-09-02T00:00:00"/>
    <x v="3"/>
    <n v="36"/>
    <s v="JUEVES"/>
    <x v="10"/>
    <x v="10"/>
    <n v="1440"/>
    <n v="120"/>
    <n v="244.8"/>
    <x v="0"/>
  </r>
  <r>
    <d v="2021-09-02T00:00:00"/>
    <x v="3"/>
    <n v="36"/>
    <s v="JUEVES"/>
    <x v="22"/>
    <x v="22"/>
    <n v="2772"/>
    <n v="198"/>
    <n v="471.24"/>
    <x v="0"/>
  </r>
  <r>
    <d v="2021-09-02T00:00:00"/>
    <x v="3"/>
    <n v="36"/>
    <s v="JUEVES"/>
    <x v="4"/>
    <x v="4"/>
    <n v="648"/>
    <n v="162"/>
    <n v="110.16000000000001"/>
    <x v="0"/>
  </r>
  <r>
    <d v="2021-09-02T00:00:00"/>
    <x v="3"/>
    <n v="36"/>
    <s v="JUEVES"/>
    <x v="6"/>
    <x v="6"/>
    <n v="960"/>
    <n v="120"/>
    <n v="163.20000000000002"/>
    <x v="0"/>
  </r>
  <r>
    <d v="2021-09-02T00:00:00"/>
    <x v="3"/>
    <n v="36"/>
    <s v="JUEVES"/>
    <x v="1"/>
    <x v="1"/>
    <n v="2160"/>
    <n v="198"/>
    <n v="367.20000000000005"/>
    <x v="0"/>
  </r>
  <r>
    <d v="2021-09-02T00:00:00"/>
    <x v="3"/>
    <n v="36"/>
    <s v="JUEVES"/>
    <x v="7"/>
    <x v="7"/>
    <n v="2160"/>
    <n v="198"/>
    <n v="367.20000000000005"/>
    <x v="0"/>
  </r>
  <r>
    <d v="2021-09-02T00:00:00"/>
    <x v="3"/>
    <n v="36"/>
    <s v="JUEVES"/>
    <x v="13"/>
    <x v="13"/>
    <n v="60"/>
    <n v="30"/>
    <n v="24"/>
    <x v="0"/>
  </r>
  <r>
    <d v="2021-09-02T00:00:00"/>
    <x v="3"/>
    <n v="36"/>
    <s v="JUEVES"/>
    <x v="42"/>
    <x v="42"/>
    <n v="500"/>
    <n v="420"/>
    <n v="210"/>
    <x v="0"/>
  </r>
  <r>
    <d v="2021-09-02T00:00:00"/>
    <x v="3"/>
    <n v="36"/>
    <s v="JUEVES"/>
    <x v="39"/>
    <x v="39"/>
    <n v="840"/>
    <n v="420"/>
    <n v="352.8"/>
    <x v="0"/>
  </r>
  <r>
    <d v="2021-09-02T00:00:00"/>
    <x v="3"/>
    <n v="36"/>
    <s v="JUEVES"/>
    <x v="22"/>
    <x v="22"/>
    <n v="792"/>
    <n v="198"/>
    <n v="134.64000000000001"/>
    <x v="0"/>
  </r>
  <r>
    <d v="2021-09-03T00:00:00"/>
    <x v="3"/>
    <n v="36"/>
    <s v="VIERNES"/>
    <x v="10"/>
    <x v="10"/>
    <n v="720"/>
    <n v="120"/>
    <n v="122.4"/>
    <x v="0"/>
  </r>
  <r>
    <d v="2021-09-03T00:00:00"/>
    <x v="3"/>
    <n v="36"/>
    <s v="VIERNES"/>
    <x v="7"/>
    <x v="7"/>
    <n v="864"/>
    <n v="198"/>
    <n v="146.88000000000002"/>
    <x v="0"/>
  </r>
  <r>
    <d v="2021-09-03T00:00:00"/>
    <x v="3"/>
    <n v="36"/>
    <s v="VIERNES"/>
    <x v="15"/>
    <x v="15"/>
    <n v="300"/>
    <n v="50"/>
    <n v="120"/>
    <x v="0"/>
  </r>
  <r>
    <d v="2021-09-03T00:00:00"/>
    <x v="3"/>
    <n v="36"/>
    <s v="VIERNES"/>
    <x v="38"/>
    <x v="38"/>
    <n v="336"/>
    <n v="112"/>
    <n v="134.4"/>
    <x v="0"/>
  </r>
  <r>
    <d v="2021-09-03T00:00:00"/>
    <x v="3"/>
    <n v="36"/>
    <s v="VIERNES"/>
    <x v="32"/>
    <x v="32"/>
    <n v="840"/>
    <n v="420"/>
    <n v="352.8"/>
    <x v="0"/>
  </r>
  <r>
    <d v="2021-09-03T00:00:00"/>
    <x v="3"/>
    <n v="36"/>
    <s v="VIERNES"/>
    <x v="17"/>
    <x v="17"/>
    <n v="240"/>
    <n v="120"/>
    <n v="40.800000000000004"/>
    <x v="0"/>
  </r>
  <r>
    <d v="2021-09-03T00:00:00"/>
    <x v="3"/>
    <n v="36"/>
    <s v="VIERNES"/>
    <x v="1"/>
    <x v="1"/>
    <n v="2160"/>
    <n v="198"/>
    <n v="367.20000000000005"/>
    <x v="0"/>
  </r>
  <r>
    <d v="2021-09-03T00:00:00"/>
    <x v="3"/>
    <n v="36"/>
    <s v="VIERNES"/>
    <x v="22"/>
    <x v="22"/>
    <n v="1188"/>
    <n v="198"/>
    <n v="201.96"/>
    <x v="0"/>
  </r>
  <r>
    <d v="2021-09-03T00:00:00"/>
    <x v="3"/>
    <n v="36"/>
    <s v="VIERNES"/>
    <x v="4"/>
    <x v="4"/>
    <n v="972"/>
    <n v="162"/>
    <n v="165.24"/>
    <x v="0"/>
  </r>
  <r>
    <d v="2021-09-03T00:00:00"/>
    <x v="3"/>
    <n v="36"/>
    <s v="VIERNES"/>
    <x v="26"/>
    <x v="26"/>
    <n v="180"/>
    <n v="90"/>
    <n v="30.6"/>
    <x v="0"/>
  </r>
  <r>
    <d v="2021-09-03T00:00:00"/>
    <x v="3"/>
    <n v="36"/>
    <s v="VIERNES"/>
    <x v="6"/>
    <x v="6"/>
    <n v="360"/>
    <n v="120"/>
    <n v="61.2"/>
    <x v="0"/>
  </r>
  <r>
    <d v="2021-09-03T00:00:00"/>
    <x v="3"/>
    <n v="36"/>
    <s v="VIERNES"/>
    <x v="11"/>
    <x v="11"/>
    <n v="720"/>
    <n v="90"/>
    <n v="122.4"/>
    <x v="0"/>
  </r>
  <r>
    <d v="2021-09-03T00:00:00"/>
    <x v="3"/>
    <n v="36"/>
    <s v="VIERNES"/>
    <x v="25"/>
    <x v="25"/>
    <n v="900"/>
    <n v="225"/>
    <n v="378"/>
    <x v="0"/>
  </r>
  <r>
    <d v="2021-09-03T00:00:00"/>
    <x v="3"/>
    <n v="36"/>
    <s v="VIERNES"/>
    <x v="12"/>
    <x v="12"/>
    <n v="450"/>
    <n v="225"/>
    <n v="180"/>
    <x v="0"/>
  </r>
  <r>
    <d v="2021-09-03T00:00:00"/>
    <x v="3"/>
    <n v="36"/>
    <s v="VIERNES"/>
    <x v="13"/>
    <x v="13"/>
    <n v="90"/>
    <n v="30"/>
    <n v="36"/>
    <x v="0"/>
  </r>
  <r>
    <d v="2021-09-03T00:00:00"/>
    <x v="3"/>
    <n v="36"/>
    <s v="VIERNES"/>
    <x v="14"/>
    <x v="14"/>
    <n v="80"/>
    <n v="40"/>
    <n v="18.400000000000002"/>
    <x v="0"/>
  </r>
  <r>
    <d v="2021-09-03T00:00:00"/>
    <x v="3"/>
    <n v="36"/>
    <s v="VIERNES"/>
    <x v="40"/>
    <x v="40"/>
    <n v="112"/>
    <n v="240"/>
    <n v="44.800000000000004"/>
    <x v="0"/>
  </r>
  <r>
    <d v="2021-09-03T00:00:00"/>
    <x v="3"/>
    <n v="36"/>
    <s v="VIERNES"/>
    <x v="28"/>
    <x v="28"/>
    <n v="90"/>
    <n v="30"/>
    <n v="20.7"/>
    <x v="0"/>
  </r>
  <r>
    <d v="2021-09-03T00:00:00"/>
    <x v="3"/>
    <n v="36"/>
    <s v="VIERNES"/>
    <x v="16"/>
    <x v="16"/>
    <n v="180"/>
    <n v="180"/>
    <n v="75.599999999999994"/>
    <x v="0"/>
  </r>
  <r>
    <d v="2021-09-03T00:00:00"/>
    <x v="3"/>
    <n v="36"/>
    <s v="VIERNES"/>
    <x v="16"/>
    <x v="16"/>
    <n v="180"/>
    <n v="180"/>
    <n v="75.599999999999994"/>
    <x v="0"/>
  </r>
  <r>
    <d v="2021-09-03T00:00:00"/>
    <x v="3"/>
    <n v="36"/>
    <s v="VIERNES"/>
    <x v="33"/>
    <x v="33"/>
    <n v="120"/>
    <n v="40"/>
    <n v="27.6"/>
    <x v="0"/>
  </r>
  <r>
    <d v="2021-09-04T00:00:00"/>
    <x v="3"/>
    <n v="37"/>
    <s v="SÁBADO"/>
    <x v="22"/>
    <x v="22"/>
    <n v="792"/>
    <n v="198"/>
    <n v="134.64000000000001"/>
    <x v="0"/>
  </r>
  <r>
    <d v="2021-09-04T00:00:00"/>
    <x v="3"/>
    <n v="37"/>
    <s v="SÁBADO"/>
    <x v="7"/>
    <x v="7"/>
    <n v="864"/>
    <n v="198"/>
    <n v="146.88000000000002"/>
    <x v="0"/>
  </r>
  <r>
    <d v="2021-09-04T00:00:00"/>
    <x v="3"/>
    <n v="37"/>
    <s v="SÁBADO"/>
    <x v="2"/>
    <x v="2"/>
    <n v="4320"/>
    <n v="198"/>
    <n v="734.40000000000009"/>
    <x v="0"/>
  </r>
  <r>
    <d v="2021-09-04T00:00:00"/>
    <x v="3"/>
    <n v="37"/>
    <s v="SÁBADO"/>
    <x v="1"/>
    <x v="1"/>
    <n v="1296"/>
    <n v="198"/>
    <n v="220.32000000000002"/>
    <x v="0"/>
  </r>
  <r>
    <d v="2021-09-04T00:00:00"/>
    <x v="3"/>
    <n v="37"/>
    <s v="SÁBADO"/>
    <x v="10"/>
    <x v="10"/>
    <n v="720"/>
    <n v="120"/>
    <n v="122.4"/>
    <x v="0"/>
  </r>
  <r>
    <d v="2021-09-04T00:00:00"/>
    <x v="3"/>
    <n v="37"/>
    <s v="SÁBADO"/>
    <x v="11"/>
    <x v="11"/>
    <n v="2160"/>
    <n v="90"/>
    <n v="367.20000000000005"/>
    <x v="0"/>
  </r>
  <r>
    <d v="2021-09-04T00:00:00"/>
    <x v="3"/>
    <n v="37"/>
    <s v="SÁBADO"/>
    <x v="6"/>
    <x v="6"/>
    <n v="360"/>
    <n v="120"/>
    <n v="61.2"/>
    <x v="0"/>
  </r>
  <r>
    <d v="2021-09-04T00:00:00"/>
    <x v="3"/>
    <n v="37"/>
    <s v="SÁBADO"/>
    <x v="3"/>
    <x v="3"/>
    <n v="1188"/>
    <n v="198"/>
    <n v="201.96"/>
    <x v="0"/>
  </r>
  <r>
    <d v="2021-09-04T00:00:00"/>
    <x v="3"/>
    <n v="37"/>
    <s v="SÁBADO"/>
    <x v="25"/>
    <x v="25"/>
    <n v="900"/>
    <n v="225"/>
    <n v="378"/>
    <x v="0"/>
  </r>
  <r>
    <d v="2021-09-04T00:00:00"/>
    <x v="3"/>
    <n v="37"/>
    <s v="SÁBADO"/>
    <x v="38"/>
    <x v="38"/>
    <n v="224"/>
    <n v="112"/>
    <n v="89.600000000000009"/>
    <x v="0"/>
  </r>
  <r>
    <d v="2021-09-04T00:00:00"/>
    <x v="3"/>
    <n v="37"/>
    <s v="SÁBADO"/>
    <x v="15"/>
    <x v="15"/>
    <n v="150"/>
    <n v="50"/>
    <n v="60"/>
    <x v="0"/>
  </r>
  <r>
    <d v="2021-09-04T00:00:00"/>
    <x v="3"/>
    <n v="37"/>
    <s v="SÁBADO"/>
    <x v="5"/>
    <x v="5"/>
    <n v="324"/>
    <n v="162"/>
    <n v="55.080000000000005"/>
    <x v="0"/>
  </r>
  <r>
    <d v="2021-09-04T00:00:00"/>
    <x v="3"/>
    <n v="37"/>
    <s v="SÁBADO"/>
    <x v="33"/>
    <x v="33"/>
    <n v="80"/>
    <n v="40"/>
    <n v="18.400000000000002"/>
    <x v="0"/>
  </r>
  <r>
    <d v="2021-09-04T00:00:00"/>
    <x v="3"/>
    <n v="37"/>
    <s v="SÁBADO"/>
    <x v="13"/>
    <x v="13"/>
    <n v="90"/>
    <n v="30"/>
    <n v="36"/>
    <x v="0"/>
  </r>
  <r>
    <d v="2021-09-04T00:00:00"/>
    <x v="3"/>
    <n v="37"/>
    <s v="SÁBADO"/>
    <x v="14"/>
    <x v="14"/>
    <n v="80"/>
    <n v="40"/>
    <n v="18.400000000000002"/>
    <x v="0"/>
  </r>
  <r>
    <d v="2021-09-04T00:00:00"/>
    <x v="3"/>
    <n v="37"/>
    <s v="SÁBADO"/>
    <x v="39"/>
    <x v="39"/>
    <n v="420"/>
    <n v="420"/>
    <n v="176.4"/>
    <x v="0"/>
  </r>
  <r>
    <d v="2021-09-06T00:00:00"/>
    <x v="3"/>
    <n v="37"/>
    <s v="LUNES"/>
    <x v="8"/>
    <x v="8"/>
    <n v="216"/>
    <n v="198"/>
    <n v="36.720000000000006"/>
    <x v="0"/>
  </r>
  <r>
    <d v="2021-09-06T00:00:00"/>
    <x v="3"/>
    <n v="37"/>
    <s v="LUNES"/>
    <x v="17"/>
    <x v="17"/>
    <n v="240"/>
    <n v="120"/>
    <n v="40.800000000000004"/>
    <x v="0"/>
  </r>
  <r>
    <d v="2021-09-06T00:00:00"/>
    <x v="3"/>
    <n v="37"/>
    <s v="LUNES"/>
    <x v="6"/>
    <x v="6"/>
    <n v="480"/>
    <n v="120"/>
    <n v="81.600000000000009"/>
    <x v="0"/>
  </r>
  <r>
    <d v="2021-09-06T00:00:00"/>
    <x v="3"/>
    <n v="37"/>
    <s v="LUNES"/>
    <x v="1"/>
    <x v="1"/>
    <n v="864"/>
    <n v="198"/>
    <n v="146.88000000000002"/>
    <x v="0"/>
  </r>
  <r>
    <d v="2021-09-06T00:00:00"/>
    <x v="3"/>
    <n v="37"/>
    <s v="LUNES"/>
    <x v="26"/>
    <x v="26"/>
    <n v="450"/>
    <n v="90"/>
    <n v="76.5"/>
    <x v="0"/>
  </r>
  <r>
    <d v="2021-09-06T00:00:00"/>
    <x v="3"/>
    <n v="37"/>
    <s v="LUNES"/>
    <x v="11"/>
    <x v="11"/>
    <n v="1260"/>
    <n v="90"/>
    <n v="214.20000000000002"/>
    <x v="0"/>
  </r>
  <r>
    <d v="2021-09-06T00:00:00"/>
    <x v="3"/>
    <n v="37"/>
    <s v="LUNES"/>
    <x v="20"/>
    <x v="20"/>
    <n v="180"/>
    <n v="90"/>
    <n v="30.6"/>
    <x v="0"/>
  </r>
  <r>
    <d v="2021-09-06T00:00:00"/>
    <x v="3"/>
    <n v="37"/>
    <s v="LUNES"/>
    <x v="10"/>
    <x v="10"/>
    <n v="720"/>
    <n v="120"/>
    <n v="122.4"/>
    <x v="0"/>
  </r>
  <r>
    <d v="2021-09-06T00:00:00"/>
    <x v="3"/>
    <n v="37"/>
    <s v="LUNES"/>
    <x v="3"/>
    <x v="3"/>
    <n v="1188"/>
    <n v="198"/>
    <n v="201.96"/>
    <x v="0"/>
  </r>
  <r>
    <d v="2021-09-06T00:00:00"/>
    <x v="3"/>
    <n v="37"/>
    <s v="LUNES"/>
    <x v="4"/>
    <x v="4"/>
    <n v="648"/>
    <n v="162"/>
    <n v="110.16000000000001"/>
    <x v="0"/>
  </r>
  <r>
    <d v="2021-09-06T00:00:00"/>
    <x v="3"/>
    <n v="37"/>
    <s v="LUNES"/>
    <x v="16"/>
    <x v="16"/>
    <n v="180"/>
    <n v="180"/>
    <n v="75.599999999999994"/>
    <x v="0"/>
  </r>
  <r>
    <d v="2021-09-06T00:00:00"/>
    <x v="3"/>
    <n v="37"/>
    <s v="LUNES"/>
    <x v="0"/>
    <x v="0"/>
    <n v="144"/>
    <n v="48"/>
    <n v="57.6"/>
    <x v="0"/>
  </r>
  <r>
    <d v="2021-09-06T00:00:00"/>
    <x v="3"/>
    <n v="37"/>
    <s v="LUNES"/>
    <x v="39"/>
    <x v="39"/>
    <n v="420"/>
    <n v="420"/>
    <n v="176.4"/>
    <x v="0"/>
  </r>
  <r>
    <d v="2021-09-06T00:00:00"/>
    <x v="3"/>
    <n v="37"/>
    <s v="LUNES"/>
    <x v="19"/>
    <x v="19"/>
    <n v="225"/>
    <n v="225"/>
    <n v="90"/>
    <x v="0"/>
  </r>
  <r>
    <d v="2021-09-06T00:00:00"/>
    <x v="3"/>
    <n v="37"/>
    <s v="LUNES"/>
    <x v="13"/>
    <x v="13"/>
    <n v="30"/>
    <n v="30"/>
    <n v="12"/>
    <x v="0"/>
  </r>
  <r>
    <d v="2021-09-06T00:00:00"/>
    <x v="3"/>
    <n v="37"/>
    <s v="LUNES"/>
    <x v="28"/>
    <x v="28"/>
    <n v="60"/>
    <n v="30"/>
    <n v="13.8"/>
    <x v="0"/>
  </r>
  <r>
    <d v="2021-09-06T00:00:00"/>
    <x v="3"/>
    <n v="37"/>
    <s v="LUNES"/>
    <x v="2"/>
    <x v="2"/>
    <n v="1296"/>
    <n v="198"/>
    <n v="220.32000000000002"/>
    <x v="0"/>
  </r>
  <r>
    <d v="2021-09-06T00:00:00"/>
    <x v="3"/>
    <n v="37"/>
    <s v="LUNES"/>
    <x v="7"/>
    <x v="7"/>
    <n v="864"/>
    <n v="198"/>
    <n v="146.88000000000002"/>
    <x v="0"/>
  </r>
  <r>
    <d v="2021-09-06T00:00:00"/>
    <x v="3"/>
    <n v="37"/>
    <s v="LUNES"/>
    <x v="22"/>
    <x v="22"/>
    <n v="792"/>
    <n v="198"/>
    <n v="134.64000000000001"/>
    <x v="0"/>
  </r>
  <r>
    <d v="2021-09-06T00:00:00"/>
    <x v="3"/>
    <n v="37"/>
    <s v="LUNES"/>
    <x v="44"/>
    <x v="44"/>
    <n v="250"/>
    <n v="420"/>
    <n v="105"/>
    <x v="0"/>
  </r>
  <r>
    <d v="2021-09-07T00:00:00"/>
    <x v="3"/>
    <n v="37"/>
    <s v="MARTES"/>
    <x v="26"/>
    <x v="26"/>
    <n v="450"/>
    <n v="90"/>
    <n v="76.5"/>
    <x v="0"/>
  </r>
  <r>
    <d v="2021-09-07T00:00:00"/>
    <x v="3"/>
    <n v="37"/>
    <s v="MARTES"/>
    <x v="11"/>
    <x v="11"/>
    <n v="720"/>
    <n v="90"/>
    <n v="122.4"/>
    <x v="0"/>
  </r>
  <r>
    <d v="2021-09-07T00:00:00"/>
    <x v="3"/>
    <n v="37"/>
    <s v="MARTES"/>
    <x v="10"/>
    <x v="10"/>
    <n v="720"/>
    <n v="120"/>
    <n v="122.4"/>
    <x v="0"/>
  </r>
  <r>
    <d v="2021-09-07T00:00:00"/>
    <x v="3"/>
    <n v="37"/>
    <s v="MARTES"/>
    <x v="17"/>
    <x v="17"/>
    <n v="240"/>
    <n v="120"/>
    <n v="40.800000000000004"/>
    <x v="0"/>
  </r>
  <r>
    <d v="2021-09-07T00:00:00"/>
    <x v="3"/>
    <n v="37"/>
    <s v="MARTES"/>
    <x v="2"/>
    <x v="2"/>
    <n v="864"/>
    <n v="198"/>
    <n v="146.88000000000002"/>
    <x v="0"/>
  </r>
  <r>
    <d v="2021-09-07T00:00:00"/>
    <x v="3"/>
    <n v="37"/>
    <s v="MARTES"/>
    <x v="6"/>
    <x v="6"/>
    <n v="480"/>
    <n v="120"/>
    <n v="81.600000000000009"/>
    <x v="0"/>
  </r>
  <r>
    <d v="2021-09-07T00:00:00"/>
    <x v="3"/>
    <n v="37"/>
    <s v="MARTES"/>
    <x v="22"/>
    <x v="22"/>
    <n v="1188"/>
    <n v="198"/>
    <n v="201.96"/>
    <x v="0"/>
  </r>
  <r>
    <d v="2021-09-07T00:00:00"/>
    <x v="3"/>
    <n v="37"/>
    <s v="MARTES"/>
    <x v="3"/>
    <x v="3"/>
    <n v="792"/>
    <n v="198"/>
    <n v="134.64000000000001"/>
    <x v="0"/>
  </r>
  <r>
    <d v="2021-09-07T00:00:00"/>
    <x v="3"/>
    <n v="37"/>
    <s v="MARTES"/>
    <x v="7"/>
    <x v="7"/>
    <n v="864"/>
    <n v="198"/>
    <n v="146.88000000000002"/>
    <x v="0"/>
  </r>
  <r>
    <d v="2021-09-07T00:00:00"/>
    <x v="3"/>
    <n v="37"/>
    <s v="MARTES"/>
    <x v="8"/>
    <x v="8"/>
    <n v="864"/>
    <n v="198"/>
    <n v="146.88000000000002"/>
    <x v="0"/>
  </r>
  <r>
    <d v="2021-09-07T00:00:00"/>
    <x v="3"/>
    <n v="37"/>
    <s v="MARTES"/>
    <x v="0"/>
    <x v="0"/>
    <n v="624"/>
    <n v="48"/>
    <n v="249.60000000000002"/>
    <x v="0"/>
  </r>
  <r>
    <d v="2021-09-07T00:00:00"/>
    <x v="3"/>
    <n v="37"/>
    <s v="MARTES"/>
    <x v="0"/>
    <x v="0"/>
    <n v="48"/>
    <n v="48"/>
    <n v="19.200000000000003"/>
    <x v="0"/>
  </r>
  <r>
    <d v="2021-09-07T00:00:00"/>
    <x v="3"/>
    <n v="37"/>
    <s v="MARTES"/>
    <x v="14"/>
    <x v="14"/>
    <n v="40"/>
    <n v="40"/>
    <n v="9.2000000000000011"/>
    <x v="0"/>
  </r>
  <r>
    <d v="2021-09-07T00:00:00"/>
    <x v="3"/>
    <n v="37"/>
    <s v="MARTES"/>
    <x v="13"/>
    <x v="13"/>
    <n v="60"/>
    <n v="30"/>
    <n v="24"/>
    <x v="0"/>
  </r>
  <r>
    <d v="2021-09-07T00:00:00"/>
    <x v="3"/>
    <n v="37"/>
    <s v="MARTES"/>
    <x v="33"/>
    <x v="33"/>
    <n v="40"/>
    <n v="40"/>
    <n v="9.2000000000000011"/>
    <x v="0"/>
  </r>
  <r>
    <d v="2021-09-07T00:00:00"/>
    <x v="3"/>
    <n v="37"/>
    <s v="MARTES"/>
    <x v="28"/>
    <x v="28"/>
    <n v="60"/>
    <n v="30"/>
    <n v="13.8"/>
    <x v="0"/>
  </r>
  <r>
    <d v="2021-09-07T00:00:00"/>
    <x v="3"/>
    <n v="37"/>
    <s v="MARTES"/>
    <x v="23"/>
    <x v="23"/>
    <n v="180"/>
    <n v="90"/>
    <n v="30.6"/>
    <x v="0"/>
  </r>
  <r>
    <d v="2021-09-07T00:00:00"/>
    <x v="3"/>
    <n v="37"/>
    <s v="MARTES"/>
    <x v="5"/>
    <x v="5"/>
    <n v="324"/>
    <n v="162"/>
    <n v="55.080000000000005"/>
    <x v="0"/>
  </r>
  <r>
    <d v="2021-09-07T00:00:00"/>
    <x v="3"/>
    <n v="37"/>
    <s v="MARTES"/>
    <x v="25"/>
    <x v="25"/>
    <n v="900"/>
    <n v="225"/>
    <n v="378"/>
    <x v="0"/>
  </r>
  <r>
    <d v="2021-09-07T00:00:00"/>
    <x v="3"/>
    <n v="37"/>
    <s v="MARTES"/>
    <x v="44"/>
    <x v="44"/>
    <n v="875"/>
    <n v="420"/>
    <n v="367.5"/>
    <x v="0"/>
  </r>
  <r>
    <d v="2021-09-07T00:00:00"/>
    <x v="3"/>
    <n v="37"/>
    <s v="MARTES"/>
    <x v="12"/>
    <x v="12"/>
    <n v="450"/>
    <n v="225"/>
    <n v="180"/>
    <x v="0"/>
  </r>
  <r>
    <d v="2021-09-07T00:00:00"/>
    <x v="3"/>
    <n v="37"/>
    <s v="MARTES"/>
    <x v="34"/>
    <x v="34"/>
    <n v="216"/>
    <n v="198"/>
    <n v="36.720000000000006"/>
    <x v="0"/>
  </r>
  <r>
    <d v="2021-09-08T00:00:00"/>
    <x v="3"/>
    <n v="37"/>
    <s v="MIÉRCOLES"/>
    <x v="7"/>
    <x v="7"/>
    <n v="864"/>
    <n v="198"/>
    <n v="146.88000000000002"/>
    <x v="0"/>
  </r>
  <r>
    <d v="2021-09-08T00:00:00"/>
    <x v="3"/>
    <n v="37"/>
    <s v="MIÉRCOLES"/>
    <x v="26"/>
    <x v="26"/>
    <n v="720"/>
    <n v="90"/>
    <n v="122.4"/>
    <x v="0"/>
  </r>
  <r>
    <d v="2021-09-08T00:00:00"/>
    <x v="3"/>
    <n v="37"/>
    <s v="MIÉRCOLES"/>
    <x v="5"/>
    <x v="5"/>
    <n v="648"/>
    <n v="162"/>
    <n v="110.16000000000001"/>
    <x v="0"/>
  </r>
  <r>
    <d v="2021-09-08T00:00:00"/>
    <x v="3"/>
    <n v="37"/>
    <s v="MIÉRCOLES"/>
    <x v="6"/>
    <x v="6"/>
    <n v="480"/>
    <n v="120"/>
    <n v="81.600000000000009"/>
    <x v="0"/>
  </r>
  <r>
    <d v="2021-09-08T00:00:00"/>
    <x v="3"/>
    <n v="37"/>
    <s v="MIÉRCOLES"/>
    <x v="6"/>
    <x v="6"/>
    <n v="1080"/>
    <n v="120"/>
    <n v="183.60000000000002"/>
    <x v="0"/>
  </r>
  <r>
    <d v="2021-09-08T00:00:00"/>
    <x v="3"/>
    <n v="37"/>
    <s v="MIÉRCOLES"/>
    <x v="8"/>
    <x v="8"/>
    <n v="432"/>
    <n v="198"/>
    <n v="73.440000000000012"/>
    <x v="0"/>
  </r>
  <r>
    <d v="2021-09-08T00:00:00"/>
    <x v="3"/>
    <n v="37"/>
    <s v="MIÉRCOLES"/>
    <x v="3"/>
    <x v="3"/>
    <n v="792"/>
    <n v="198"/>
    <n v="134.64000000000001"/>
    <x v="0"/>
  </r>
  <r>
    <d v="2021-09-08T00:00:00"/>
    <x v="3"/>
    <n v="37"/>
    <s v="MIÉRCOLES"/>
    <x v="22"/>
    <x v="22"/>
    <n v="792"/>
    <n v="198"/>
    <n v="134.64000000000001"/>
    <x v="0"/>
  </r>
  <r>
    <d v="2021-09-08T00:00:00"/>
    <x v="3"/>
    <n v="37"/>
    <s v="MIÉRCOLES"/>
    <x v="17"/>
    <x v="17"/>
    <n v="720"/>
    <n v="120"/>
    <n v="122.4"/>
    <x v="0"/>
  </r>
  <r>
    <d v="2021-09-08T00:00:00"/>
    <x v="3"/>
    <n v="37"/>
    <s v="MIÉRCOLES"/>
    <x v="11"/>
    <x v="11"/>
    <n v="1080"/>
    <n v="90"/>
    <n v="183.60000000000002"/>
    <x v="0"/>
  </r>
  <r>
    <d v="2021-09-08T00:00:00"/>
    <x v="3"/>
    <n v="37"/>
    <s v="MIÉRCOLES"/>
    <x v="28"/>
    <x v="28"/>
    <n v="60"/>
    <n v="30"/>
    <n v="13.8"/>
    <x v="0"/>
  </r>
  <r>
    <d v="2021-09-08T00:00:00"/>
    <x v="3"/>
    <n v="37"/>
    <s v="MIÉRCOLES"/>
    <x v="12"/>
    <x v="12"/>
    <n v="225"/>
    <n v="225"/>
    <n v="90"/>
    <x v="0"/>
  </r>
  <r>
    <d v="2021-09-08T00:00:00"/>
    <x v="3"/>
    <n v="37"/>
    <s v="MIÉRCOLES"/>
    <x v="40"/>
    <x v="40"/>
    <n v="112"/>
    <n v="240"/>
    <n v="44.800000000000004"/>
    <x v="0"/>
  </r>
  <r>
    <d v="2021-09-08T00:00:00"/>
    <x v="3"/>
    <n v="37"/>
    <s v="MIÉRCOLES"/>
    <x v="0"/>
    <x v="0"/>
    <n v="336"/>
    <n v="48"/>
    <n v="134.4"/>
    <x v="0"/>
  </r>
  <r>
    <d v="2021-09-08T00:00:00"/>
    <x v="3"/>
    <n v="37"/>
    <s v="MIÉRCOLES"/>
    <x v="13"/>
    <x v="13"/>
    <n v="120"/>
    <n v="30"/>
    <n v="48"/>
    <x v="0"/>
  </r>
  <r>
    <d v="2021-09-08T00:00:00"/>
    <x v="3"/>
    <n v="37"/>
    <s v="MIÉRCOLES"/>
    <x v="15"/>
    <x v="15"/>
    <n v="100"/>
    <n v="50"/>
    <n v="40"/>
    <x v="0"/>
  </r>
  <r>
    <d v="2021-09-08T00:00:00"/>
    <x v="3"/>
    <n v="37"/>
    <s v="MIÉRCOLES"/>
    <x v="9"/>
    <x v="9"/>
    <n v="720"/>
    <n v="90"/>
    <n v="122.4"/>
    <x v="0"/>
  </r>
  <r>
    <d v="2021-09-08T00:00:00"/>
    <x v="3"/>
    <n v="37"/>
    <s v="MIÉRCOLES"/>
    <x v="10"/>
    <x v="10"/>
    <n v="1200"/>
    <n v="120"/>
    <n v="204.00000000000003"/>
    <x v="0"/>
  </r>
  <r>
    <d v="2021-09-08T00:00:00"/>
    <x v="3"/>
    <n v="37"/>
    <s v="MIÉRCOLES"/>
    <x v="43"/>
    <x v="43"/>
    <n v="1500"/>
    <n v="420"/>
    <n v="630"/>
    <x v="0"/>
  </r>
  <r>
    <d v="2021-09-08T00:00:00"/>
    <x v="3"/>
    <n v="37"/>
    <s v="MIÉRCOLES"/>
    <x v="23"/>
    <x v="23"/>
    <n v="180"/>
    <n v="90"/>
    <n v="30.6"/>
    <x v="0"/>
  </r>
  <r>
    <d v="2021-09-08T00:00:00"/>
    <x v="3"/>
    <n v="37"/>
    <s v="MIÉRCOLES"/>
    <x v="25"/>
    <x v="25"/>
    <n v="2250"/>
    <n v="225"/>
    <n v="945"/>
    <x v="0"/>
  </r>
  <r>
    <d v="2021-09-08T00:00:00"/>
    <x v="3"/>
    <n v="37"/>
    <s v="MIÉRCOLES"/>
    <x v="42"/>
    <x v="42"/>
    <n v="500"/>
    <n v="420"/>
    <n v="210"/>
    <x v="0"/>
  </r>
  <r>
    <d v="2021-09-08T00:00:00"/>
    <x v="3"/>
    <n v="37"/>
    <s v="MIÉRCOLES"/>
    <x v="44"/>
    <x v="44"/>
    <n v="750"/>
    <n v="420"/>
    <n v="315"/>
    <x v="0"/>
  </r>
  <r>
    <d v="2021-09-08T00:00:00"/>
    <x v="3"/>
    <n v="37"/>
    <s v="MIÉRCOLES"/>
    <x v="33"/>
    <x v="33"/>
    <n v="40"/>
    <n v="40"/>
    <n v="9.2000000000000011"/>
    <x v="0"/>
  </r>
  <r>
    <d v="2021-09-09T00:00:00"/>
    <x v="3"/>
    <n v="37"/>
    <s v="JUEVES"/>
    <x v="16"/>
    <x v="16"/>
    <n v="720"/>
    <n v="180"/>
    <n v="302.39999999999998"/>
    <x v="0"/>
  </r>
  <r>
    <d v="2021-09-09T00:00:00"/>
    <x v="3"/>
    <n v="37"/>
    <s v="JUEVES"/>
    <x v="23"/>
    <x v="23"/>
    <n v="720"/>
    <n v="90"/>
    <n v="122.4"/>
    <x v="0"/>
  </r>
  <r>
    <d v="2021-09-09T00:00:00"/>
    <x v="3"/>
    <n v="37"/>
    <s v="JUEVES"/>
    <x v="6"/>
    <x v="6"/>
    <n v="960"/>
    <n v="120"/>
    <n v="163.20000000000002"/>
    <x v="0"/>
  </r>
  <r>
    <d v="2021-09-09T00:00:00"/>
    <x v="3"/>
    <n v="37"/>
    <s v="JUEVES"/>
    <x v="7"/>
    <x v="7"/>
    <n v="864"/>
    <n v="198"/>
    <n v="146.88000000000002"/>
    <x v="0"/>
  </r>
  <r>
    <d v="2021-09-09T00:00:00"/>
    <x v="3"/>
    <n v="37"/>
    <s v="JUEVES"/>
    <x v="7"/>
    <x v="7"/>
    <n v="432"/>
    <n v="198"/>
    <n v="73.440000000000012"/>
    <x v="0"/>
  </r>
  <r>
    <d v="2021-09-09T00:00:00"/>
    <x v="3"/>
    <n v="37"/>
    <s v="JUEVES"/>
    <x v="8"/>
    <x v="8"/>
    <n v="1296"/>
    <n v="198"/>
    <n v="220.32000000000002"/>
    <x v="0"/>
  </r>
  <r>
    <d v="2021-09-09T00:00:00"/>
    <x v="3"/>
    <n v="37"/>
    <s v="JUEVES"/>
    <x v="17"/>
    <x v="17"/>
    <n v="240"/>
    <n v="120"/>
    <n v="40.800000000000004"/>
    <x v="0"/>
  </r>
  <r>
    <d v="2021-09-09T00:00:00"/>
    <x v="3"/>
    <n v="37"/>
    <s v="JUEVES"/>
    <x v="11"/>
    <x v="11"/>
    <n v="3060"/>
    <n v="90"/>
    <n v="520.20000000000005"/>
    <x v="0"/>
  </r>
  <r>
    <d v="2021-09-09T00:00:00"/>
    <x v="3"/>
    <n v="37"/>
    <s v="JUEVES"/>
    <x v="0"/>
    <x v="0"/>
    <n v="1104"/>
    <n v="48"/>
    <n v="441.6"/>
    <x v="0"/>
  </r>
  <r>
    <d v="2021-09-09T00:00:00"/>
    <x v="3"/>
    <n v="37"/>
    <s v="JUEVES"/>
    <x v="0"/>
    <x v="0"/>
    <n v="480"/>
    <n v="48"/>
    <n v="192"/>
    <x v="0"/>
  </r>
  <r>
    <d v="2021-09-09T00:00:00"/>
    <x v="3"/>
    <n v="37"/>
    <s v="JUEVES"/>
    <x v="1"/>
    <x v="1"/>
    <n v="1296"/>
    <n v="198"/>
    <n v="220.32000000000002"/>
    <x v="0"/>
  </r>
  <r>
    <d v="2021-09-09T00:00:00"/>
    <x v="3"/>
    <n v="37"/>
    <s v="JUEVES"/>
    <x v="10"/>
    <x v="10"/>
    <n v="1680"/>
    <n v="120"/>
    <n v="285.60000000000002"/>
    <x v="0"/>
  </r>
  <r>
    <d v="2021-09-09T00:00:00"/>
    <x v="3"/>
    <n v="37"/>
    <s v="JUEVES"/>
    <x v="33"/>
    <x v="33"/>
    <n v="80"/>
    <n v="40"/>
    <n v="18.400000000000002"/>
    <x v="0"/>
  </r>
  <r>
    <d v="2021-09-09T00:00:00"/>
    <x v="3"/>
    <n v="37"/>
    <s v="JUEVES"/>
    <x v="13"/>
    <x v="13"/>
    <n v="30"/>
    <n v="30"/>
    <n v="12"/>
    <x v="0"/>
  </r>
  <r>
    <d v="2021-09-09T00:00:00"/>
    <x v="3"/>
    <n v="37"/>
    <s v="JUEVES"/>
    <x v="28"/>
    <x v="28"/>
    <n v="30"/>
    <n v="30"/>
    <n v="6.9"/>
    <x v="0"/>
  </r>
  <r>
    <d v="2021-09-09T00:00:00"/>
    <x v="3"/>
    <n v="37"/>
    <s v="JUEVES"/>
    <x v="15"/>
    <x v="15"/>
    <n v="50"/>
    <n v="50"/>
    <n v="20"/>
    <x v="0"/>
  </r>
  <r>
    <d v="2021-09-09T00:00:00"/>
    <x v="3"/>
    <n v="37"/>
    <s v="JUEVES"/>
    <x v="44"/>
    <x v="44"/>
    <n v="750"/>
    <n v="420"/>
    <n v="315"/>
    <x v="0"/>
  </r>
  <r>
    <d v="2021-09-09T00:00:00"/>
    <x v="3"/>
    <n v="37"/>
    <s v="JUEVES"/>
    <x v="20"/>
    <x v="20"/>
    <n v="810"/>
    <n v="90"/>
    <n v="137.70000000000002"/>
    <x v="0"/>
  </r>
  <r>
    <d v="2021-09-09T00:00:00"/>
    <x v="3"/>
    <n v="37"/>
    <s v="JUEVES"/>
    <x v="9"/>
    <x v="9"/>
    <n v="270"/>
    <n v="90"/>
    <n v="45.900000000000006"/>
    <x v="0"/>
  </r>
  <r>
    <d v="2021-09-09T00:00:00"/>
    <x v="3"/>
    <n v="37"/>
    <s v="JUEVES"/>
    <x v="9"/>
    <x v="9"/>
    <n v="900"/>
    <n v="90"/>
    <n v="153"/>
    <x v="0"/>
  </r>
  <r>
    <d v="2021-09-09T00:00:00"/>
    <x v="3"/>
    <n v="37"/>
    <s v="JUEVES"/>
    <x v="42"/>
    <x v="42"/>
    <n v="1000"/>
    <n v="420"/>
    <n v="420"/>
    <x v="0"/>
  </r>
  <r>
    <d v="2021-09-09T00:00:00"/>
    <x v="3"/>
    <n v="37"/>
    <s v="JUEVES"/>
    <x v="43"/>
    <x v="43"/>
    <n v="1000"/>
    <n v="420"/>
    <n v="420"/>
    <x v="0"/>
  </r>
  <r>
    <d v="2021-09-10T00:00:00"/>
    <x v="3"/>
    <n v="37"/>
    <s v="VIERNES"/>
    <x v="44"/>
    <x v="44"/>
    <n v="1000"/>
    <n v="420"/>
    <n v="420"/>
    <x v="0"/>
  </r>
  <r>
    <d v="2021-09-10T00:00:00"/>
    <x v="3"/>
    <n v="37"/>
    <s v="VIERNES"/>
    <x v="8"/>
    <x v="8"/>
    <n v="216"/>
    <n v="198"/>
    <n v="36.720000000000006"/>
    <x v="0"/>
  </r>
  <r>
    <d v="2021-09-10T00:00:00"/>
    <x v="3"/>
    <n v="37"/>
    <s v="VIERNES"/>
    <x v="8"/>
    <x v="8"/>
    <n v="648"/>
    <n v="198"/>
    <n v="110.16000000000001"/>
    <x v="0"/>
  </r>
  <r>
    <d v="2021-09-10T00:00:00"/>
    <x v="3"/>
    <n v="37"/>
    <s v="VIERNES"/>
    <x v="20"/>
    <x v="20"/>
    <n v="180"/>
    <n v="90"/>
    <n v="30.6"/>
    <x v="0"/>
  </r>
  <r>
    <d v="2021-09-10T00:00:00"/>
    <x v="3"/>
    <n v="37"/>
    <s v="VIERNES"/>
    <x v="0"/>
    <x v="0"/>
    <n v="336"/>
    <n v="48"/>
    <n v="134.4"/>
    <x v="0"/>
  </r>
  <r>
    <d v="2021-09-10T00:00:00"/>
    <x v="3"/>
    <n v="37"/>
    <s v="VIERNES"/>
    <x v="6"/>
    <x v="6"/>
    <n v="720"/>
    <n v="120"/>
    <n v="122.4"/>
    <x v="0"/>
  </r>
  <r>
    <d v="2021-09-10T00:00:00"/>
    <x v="3"/>
    <n v="37"/>
    <s v="VIERNES"/>
    <x v="1"/>
    <x v="1"/>
    <n v="1296"/>
    <n v="198"/>
    <n v="220.32000000000002"/>
    <x v="0"/>
  </r>
  <r>
    <d v="2021-09-10T00:00:00"/>
    <x v="3"/>
    <n v="37"/>
    <s v="VIERNES"/>
    <x v="10"/>
    <x v="10"/>
    <n v="2160"/>
    <n v="120"/>
    <n v="367.20000000000005"/>
    <x v="0"/>
  </r>
  <r>
    <d v="2021-09-10T00:00:00"/>
    <x v="3"/>
    <n v="37"/>
    <s v="VIERNES"/>
    <x v="2"/>
    <x v="2"/>
    <n v="216"/>
    <n v="198"/>
    <n v="36.720000000000006"/>
    <x v="0"/>
  </r>
  <r>
    <d v="2021-09-10T00:00:00"/>
    <x v="3"/>
    <n v="37"/>
    <s v="VIERNES"/>
    <x v="9"/>
    <x v="9"/>
    <n v="810"/>
    <n v="90"/>
    <n v="137.70000000000002"/>
    <x v="0"/>
  </r>
  <r>
    <d v="2021-09-10T00:00:00"/>
    <x v="3"/>
    <n v="37"/>
    <s v="VIERNES"/>
    <x v="11"/>
    <x v="11"/>
    <n v="990"/>
    <n v="90"/>
    <n v="168.3"/>
    <x v="0"/>
  </r>
  <r>
    <d v="2021-09-10T00:00:00"/>
    <x v="3"/>
    <n v="37"/>
    <s v="VIERNES"/>
    <x v="28"/>
    <x v="28"/>
    <n v="30"/>
    <n v="30"/>
    <n v="6.9"/>
    <x v="0"/>
  </r>
  <r>
    <d v="2021-09-10T00:00:00"/>
    <x v="3"/>
    <n v="37"/>
    <s v="VIERNES"/>
    <x v="33"/>
    <x v="33"/>
    <n v="40"/>
    <n v="40"/>
    <n v="9.2000000000000011"/>
    <x v="0"/>
  </r>
  <r>
    <d v="2021-09-10T00:00:00"/>
    <x v="3"/>
    <n v="37"/>
    <s v="VIERNES"/>
    <x v="13"/>
    <x v="13"/>
    <n v="90"/>
    <n v="30"/>
    <n v="36"/>
    <x v="0"/>
  </r>
  <r>
    <d v="2021-09-10T00:00:00"/>
    <x v="3"/>
    <n v="37"/>
    <s v="VIERNES"/>
    <x v="14"/>
    <x v="14"/>
    <n v="40"/>
    <n v="40"/>
    <n v="9.2000000000000011"/>
    <x v="0"/>
  </r>
  <r>
    <d v="2021-09-10T00:00:00"/>
    <x v="3"/>
    <n v="37"/>
    <s v="VIERNES"/>
    <x v="15"/>
    <x v="15"/>
    <n v="150"/>
    <n v="50"/>
    <n v="60"/>
    <x v="0"/>
  </r>
  <r>
    <d v="2021-09-10T00:00:00"/>
    <x v="3"/>
    <n v="37"/>
    <s v="VIERNES"/>
    <x v="25"/>
    <x v="25"/>
    <n v="225"/>
    <n v="225"/>
    <n v="94.5"/>
    <x v="0"/>
  </r>
  <r>
    <d v="2021-09-10T00:00:00"/>
    <x v="3"/>
    <n v="37"/>
    <s v="VIERNES"/>
    <x v="42"/>
    <x v="42"/>
    <n v="1250"/>
    <n v="420"/>
    <n v="525"/>
    <x v="0"/>
  </r>
  <r>
    <d v="2021-09-10T00:00:00"/>
    <x v="3"/>
    <n v="37"/>
    <s v="VIERNES"/>
    <x v="23"/>
    <x v="23"/>
    <n v="90"/>
    <n v="90"/>
    <n v="15.3"/>
    <x v="0"/>
  </r>
  <r>
    <d v="2021-09-10T00:00:00"/>
    <x v="3"/>
    <n v="37"/>
    <s v="VIERNES"/>
    <x v="7"/>
    <x v="7"/>
    <n v="648"/>
    <n v="198"/>
    <n v="110.16000000000001"/>
    <x v="0"/>
  </r>
  <r>
    <d v="2021-09-11T00:00:00"/>
    <x v="3"/>
    <n v="38"/>
    <s v="SÁBADO"/>
    <x v="20"/>
    <x v="20"/>
    <n v="90"/>
    <n v="90"/>
    <n v="15.3"/>
    <x v="0"/>
  </r>
  <r>
    <d v="2021-09-11T00:00:00"/>
    <x v="3"/>
    <n v="38"/>
    <s v="SÁBADO"/>
    <x v="10"/>
    <x v="10"/>
    <n v="2280"/>
    <n v="120"/>
    <n v="387.6"/>
    <x v="0"/>
  </r>
  <r>
    <d v="2021-09-11T00:00:00"/>
    <x v="3"/>
    <n v="38"/>
    <s v="SÁBADO"/>
    <x v="10"/>
    <x v="10"/>
    <n v="600"/>
    <n v="120"/>
    <n v="102.00000000000001"/>
    <x v="0"/>
  </r>
  <r>
    <d v="2021-09-11T00:00:00"/>
    <x v="3"/>
    <n v="38"/>
    <s v="SÁBADO"/>
    <x v="11"/>
    <x v="11"/>
    <n v="1710"/>
    <n v="90"/>
    <n v="290.70000000000005"/>
    <x v="0"/>
  </r>
  <r>
    <d v="2021-09-11T00:00:00"/>
    <x v="3"/>
    <n v="38"/>
    <s v="SÁBADO"/>
    <x v="23"/>
    <x v="23"/>
    <n v="810"/>
    <n v="90"/>
    <n v="137.70000000000002"/>
    <x v="0"/>
  </r>
  <r>
    <d v="2021-09-11T00:00:00"/>
    <x v="3"/>
    <n v="38"/>
    <s v="SÁBADO"/>
    <x v="9"/>
    <x v="9"/>
    <n v="450"/>
    <n v="90"/>
    <n v="76.5"/>
    <x v="0"/>
  </r>
  <r>
    <d v="2021-09-11T00:00:00"/>
    <x v="3"/>
    <n v="38"/>
    <s v="SÁBADO"/>
    <x v="12"/>
    <x v="12"/>
    <n v="225"/>
    <n v="225"/>
    <n v="90"/>
    <x v="0"/>
  </r>
  <r>
    <d v="2021-09-11T00:00:00"/>
    <x v="3"/>
    <n v="38"/>
    <s v="SÁBADO"/>
    <x v="33"/>
    <x v="33"/>
    <n v="40"/>
    <n v="40"/>
    <n v="9.2000000000000011"/>
    <x v="0"/>
  </r>
  <r>
    <d v="2021-09-11T00:00:00"/>
    <x v="3"/>
    <n v="38"/>
    <s v="SÁBADO"/>
    <x v="15"/>
    <x v="15"/>
    <n v="250"/>
    <n v="50"/>
    <n v="100"/>
    <x v="0"/>
  </r>
  <r>
    <d v="2021-09-11T00:00:00"/>
    <x v="3"/>
    <n v="38"/>
    <s v="SÁBADO"/>
    <x v="0"/>
    <x v="0"/>
    <n v="576"/>
    <n v="48"/>
    <n v="230.4"/>
    <x v="0"/>
  </r>
  <r>
    <d v="2021-09-11T00:00:00"/>
    <x v="3"/>
    <n v="38"/>
    <s v="SÁBADO"/>
    <x v="42"/>
    <x v="42"/>
    <n v="500"/>
    <n v="420"/>
    <n v="210"/>
    <x v="0"/>
  </r>
  <r>
    <d v="2021-09-11T00:00:00"/>
    <x v="3"/>
    <n v="38"/>
    <s v="SÁBADO"/>
    <x v="8"/>
    <x v="8"/>
    <n v="432"/>
    <n v="198"/>
    <n v="73.440000000000012"/>
    <x v="0"/>
  </r>
  <r>
    <d v="2021-09-11T00:00:00"/>
    <x v="3"/>
    <n v="38"/>
    <s v="SÁBADO"/>
    <x v="2"/>
    <x v="2"/>
    <n v="1080"/>
    <n v="198"/>
    <n v="183.60000000000002"/>
    <x v="0"/>
  </r>
  <r>
    <d v="2021-09-11T00:00:00"/>
    <x v="3"/>
    <n v="38"/>
    <s v="SÁBADO"/>
    <x v="5"/>
    <x v="5"/>
    <n v="162"/>
    <n v="162"/>
    <n v="27.540000000000003"/>
    <x v="0"/>
  </r>
  <r>
    <d v="2021-09-11T00:00:00"/>
    <x v="3"/>
    <n v="38"/>
    <s v="SÁBADO"/>
    <x v="1"/>
    <x v="1"/>
    <n v="1080"/>
    <n v="198"/>
    <n v="183.60000000000002"/>
    <x v="0"/>
  </r>
  <r>
    <d v="2021-09-11T00:00:00"/>
    <x v="3"/>
    <n v="38"/>
    <s v="SÁBADO"/>
    <x v="6"/>
    <x v="6"/>
    <n v="960"/>
    <n v="120"/>
    <n v="163.20000000000002"/>
    <x v="0"/>
  </r>
  <r>
    <d v="2021-09-11T00:00:00"/>
    <x v="3"/>
    <n v="38"/>
    <s v="SÁBADO"/>
    <x v="7"/>
    <x v="7"/>
    <n v="1512"/>
    <n v="198"/>
    <n v="257.04000000000002"/>
    <x v="0"/>
  </r>
  <r>
    <d v="2021-09-11T00:00:00"/>
    <x v="3"/>
    <n v="38"/>
    <s v="SÁBADO"/>
    <x v="17"/>
    <x v="17"/>
    <n v="360"/>
    <n v="120"/>
    <n v="61.2"/>
    <x v="0"/>
  </r>
  <r>
    <d v="2021-09-11T00:00:00"/>
    <x v="3"/>
    <n v="38"/>
    <s v="SÁBADO"/>
    <x v="44"/>
    <x v="44"/>
    <n v="2625"/>
    <n v="420"/>
    <n v="1102.5"/>
    <x v="0"/>
  </r>
  <r>
    <d v="2021-09-11T00:00:00"/>
    <x v="3"/>
    <n v="38"/>
    <s v="SÁBADO"/>
    <x v="44"/>
    <x v="44"/>
    <n v="125"/>
    <n v="420"/>
    <n v="52.5"/>
    <x v="0"/>
  </r>
  <r>
    <d v="2021-09-11T00:00:00"/>
    <x v="3"/>
    <n v="38"/>
    <s v="SÁBADO"/>
    <x v="25"/>
    <x v="25"/>
    <n v="225"/>
    <n v="225"/>
    <n v="94.5"/>
    <x v="0"/>
  </r>
  <r>
    <d v="2021-09-12T00:00:00"/>
    <x v="3"/>
    <n v="38"/>
    <s v="DOMINGO"/>
    <x v="43"/>
    <x v="43"/>
    <n v="1000"/>
    <n v="420"/>
    <n v="420"/>
    <x v="0"/>
  </r>
  <r>
    <d v="2021-09-12T00:00:00"/>
    <x v="3"/>
    <n v="38"/>
    <s v="DOMINGO"/>
    <x v="25"/>
    <x v="25"/>
    <n v="1125"/>
    <n v="225"/>
    <n v="472.5"/>
    <x v="0"/>
  </r>
  <r>
    <d v="2021-09-12T00:00:00"/>
    <x v="3"/>
    <n v="38"/>
    <s v="DOMINGO"/>
    <x v="16"/>
    <x v="16"/>
    <n v="360"/>
    <n v="180"/>
    <n v="151.19999999999999"/>
    <x v="0"/>
  </r>
  <r>
    <d v="2021-09-12T00:00:00"/>
    <x v="3"/>
    <n v="38"/>
    <s v="DOMINGO"/>
    <x v="42"/>
    <x v="42"/>
    <n v="500"/>
    <n v="420"/>
    <n v="210"/>
    <x v="0"/>
  </r>
  <r>
    <d v="2021-09-13T00:00:00"/>
    <x v="3"/>
    <n v="38"/>
    <s v="LUNES"/>
    <x v="44"/>
    <x v="44"/>
    <n v="1375"/>
    <n v="420"/>
    <n v="577.5"/>
    <x v="0"/>
  </r>
  <r>
    <d v="2021-09-13T00:00:00"/>
    <x v="3"/>
    <n v="38"/>
    <s v="LUNES"/>
    <x v="28"/>
    <x v="28"/>
    <n v="60"/>
    <n v="30"/>
    <n v="13.8"/>
    <x v="0"/>
  </r>
  <r>
    <d v="2021-09-13T00:00:00"/>
    <x v="3"/>
    <n v="38"/>
    <s v="LUNES"/>
    <x v="33"/>
    <x v="33"/>
    <n v="80"/>
    <n v="40"/>
    <n v="18.400000000000002"/>
    <x v="0"/>
  </r>
  <r>
    <d v="2021-09-13T00:00:00"/>
    <x v="3"/>
    <n v="38"/>
    <s v="LUNES"/>
    <x v="13"/>
    <x v="13"/>
    <n v="60"/>
    <n v="30"/>
    <n v="24"/>
    <x v="0"/>
  </r>
  <r>
    <d v="2021-09-13T00:00:00"/>
    <x v="3"/>
    <n v="38"/>
    <s v="LUNES"/>
    <x v="15"/>
    <x v="15"/>
    <n v="100"/>
    <n v="50"/>
    <n v="40"/>
    <x v="0"/>
  </r>
  <r>
    <d v="2021-09-13T00:00:00"/>
    <x v="3"/>
    <n v="38"/>
    <s v="LUNES"/>
    <x v="0"/>
    <x v="0"/>
    <n v="576"/>
    <n v="48"/>
    <n v="230.4"/>
    <x v="0"/>
  </r>
  <r>
    <d v="2021-09-13T00:00:00"/>
    <x v="3"/>
    <n v="38"/>
    <s v="LUNES"/>
    <x v="10"/>
    <x v="10"/>
    <n v="1440"/>
    <n v="120"/>
    <n v="244.8"/>
    <x v="0"/>
  </r>
  <r>
    <d v="2021-09-13T00:00:00"/>
    <x v="3"/>
    <n v="38"/>
    <s v="LUNES"/>
    <x v="17"/>
    <x v="17"/>
    <n v="480"/>
    <n v="120"/>
    <n v="81.600000000000009"/>
    <x v="0"/>
  </r>
  <r>
    <d v="2021-09-13T00:00:00"/>
    <x v="3"/>
    <n v="38"/>
    <s v="LUNES"/>
    <x v="8"/>
    <x v="8"/>
    <n v="864"/>
    <n v="198"/>
    <n v="146.88000000000002"/>
    <x v="0"/>
  </r>
  <r>
    <d v="2021-09-13T00:00:00"/>
    <x v="3"/>
    <n v="38"/>
    <s v="LUNES"/>
    <x v="7"/>
    <x v="7"/>
    <n v="648"/>
    <n v="198"/>
    <n v="110.16000000000001"/>
    <x v="0"/>
  </r>
  <r>
    <d v="2021-09-13T00:00:00"/>
    <x v="3"/>
    <n v="38"/>
    <s v="LUNES"/>
    <x v="9"/>
    <x v="9"/>
    <n v="720"/>
    <n v="90"/>
    <n v="122.4"/>
    <x v="0"/>
  </r>
  <r>
    <d v="2021-09-13T00:00:00"/>
    <x v="3"/>
    <n v="38"/>
    <s v="LUNES"/>
    <x v="6"/>
    <x v="6"/>
    <n v="720"/>
    <n v="120"/>
    <n v="122.4"/>
    <x v="0"/>
  </r>
  <r>
    <d v="2021-09-13T00:00:00"/>
    <x v="3"/>
    <n v="38"/>
    <s v="LUNES"/>
    <x v="11"/>
    <x v="11"/>
    <n v="720"/>
    <n v="90"/>
    <n v="122.4"/>
    <x v="0"/>
  </r>
  <r>
    <d v="2021-09-13T00:00:00"/>
    <x v="3"/>
    <n v="38"/>
    <s v="LUNES"/>
    <x v="1"/>
    <x v="1"/>
    <n v="216"/>
    <n v="198"/>
    <n v="36.720000000000006"/>
    <x v="0"/>
  </r>
  <r>
    <d v="2021-09-13T00:00:00"/>
    <x v="3"/>
    <n v="38"/>
    <s v="LUNES"/>
    <x v="2"/>
    <x v="2"/>
    <n v="1296"/>
    <n v="198"/>
    <n v="220.32000000000002"/>
    <x v="0"/>
  </r>
  <r>
    <d v="2021-09-13T00:00:00"/>
    <x v="3"/>
    <n v="38"/>
    <s v="LUNES"/>
    <x v="4"/>
    <x v="4"/>
    <n v="324"/>
    <n v="162"/>
    <n v="55.080000000000005"/>
    <x v="0"/>
  </r>
  <r>
    <d v="2021-09-13T00:00:00"/>
    <x v="3"/>
    <n v="38"/>
    <s v="LUNES"/>
    <x v="40"/>
    <x v="40"/>
    <n v="224"/>
    <n v="240"/>
    <n v="89.600000000000009"/>
    <x v="0"/>
  </r>
  <r>
    <d v="2021-09-13T00:00:00"/>
    <x v="3"/>
    <n v="38"/>
    <s v="LUNES"/>
    <x v="38"/>
    <x v="38"/>
    <n v="448"/>
    <n v="112"/>
    <n v="179.20000000000002"/>
    <x v="0"/>
  </r>
  <r>
    <d v="2021-09-13T00:00:00"/>
    <x v="3"/>
    <n v="38"/>
    <s v="LUNES"/>
    <x v="16"/>
    <x v="16"/>
    <n v="540"/>
    <n v="180"/>
    <n v="226.79999999999998"/>
    <x v="0"/>
  </r>
  <r>
    <d v="2021-09-13T00:00:00"/>
    <x v="3"/>
    <n v="38"/>
    <s v="LUNES"/>
    <x v="20"/>
    <x v="20"/>
    <n v="720"/>
    <n v="90"/>
    <n v="122.4"/>
    <x v="0"/>
  </r>
  <r>
    <d v="2021-09-13T00:00:00"/>
    <x v="3"/>
    <n v="38"/>
    <s v="LUNES"/>
    <x v="42"/>
    <x v="42"/>
    <n v="1000"/>
    <n v="420"/>
    <n v="420"/>
    <x v="0"/>
  </r>
  <r>
    <d v="2021-09-13T00:00:00"/>
    <x v="3"/>
    <n v="38"/>
    <s v="LUNES"/>
    <x v="25"/>
    <x v="25"/>
    <n v="1350"/>
    <n v="225"/>
    <n v="567"/>
    <x v="0"/>
  </r>
  <r>
    <d v="2021-09-13T00:00:00"/>
    <x v="3"/>
    <n v="38"/>
    <s v="LUNES"/>
    <x v="12"/>
    <x v="12"/>
    <n v="675"/>
    <n v="225"/>
    <n v="270"/>
    <x v="0"/>
  </r>
  <r>
    <d v="2021-09-13T00:00:00"/>
    <x v="3"/>
    <n v="38"/>
    <s v="LUNES"/>
    <x v="23"/>
    <x v="23"/>
    <n v="720"/>
    <n v="90"/>
    <n v="122.4"/>
    <x v="0"/>
  </r>
  <r>
    <d v="2021-09-13T00:00:00"/>
    <x v="3"/>
    <n v="38"/>
    <s v="LUNES"/>
    <x v="7"/>
    <x v="7"/>
    <n v="648"/>
    <n v="198"/>
    <n v="110.16000000000001"/>
    <x v="0"/>
  </r>
  <r>
    <d v="2021-09-13T00:00:00"/>
    <x v="3"/>
    <n v="38"/>
    <s v="LUNES"/>
    <x v="11"/>
    <x v="11"/>
    <n v="540"/>
    <n v="90"/>
    <n v="91.800000000000011"/>
    <x v="0"/>
  </r>
  <r>
    <d v="2021-09-13T00:00:00"/>
    <x v="3"/>
    <n v="38"/>
    <s v="LUNES"/>
    <x v="11"/>
    <x v="11"/>
    <n v="270"/>
    <n v="90"/>
    <n v="45.900000000000006"/>
    <x v="0"/>
  </r>
  <r>
    <d v="2021-09-13T00:00:00"/>
    <x v="3"/>
    <n v="38"/>
    <s v="LUNES"/>
    <x v="1"/>
    <x v="1"/>
    <n v="1512"/>
    <n v="198"/>
    <n v="257.04000000000002"/>
    <x v="0"/>
  </r>
  <r>
    <d v="2021-09-13T00:00:00"/>
    <x v="3"/>
    <n v="38"/>
    <s v="LUNES"/>
    <x v="15"/>
    <x v="15"/>
    <n v="100"/>
    <n v="50"/>
    <n v="40"/>
    <x v="0"/>
  </r>
  <r>
    <d v="2021-09-14T00:00:00"/>
    <x v="3"/>
    <n v="38"/>
    <s v="MARTES"/>
    <x v="23"/>
    <x v="23"/>
    <n v="720"/>
    <n v="90"/>
    <n v="122.4"/>
    <x v="0"/>
  </r>
  <r>
    <d v="2021-09-14T00:00:00"/>
    <x v="3"/>
    <n v="38"/>
    <s v="MARTES"/>
    <x v="20"/>
    <x v="20"/>
    <n v="720"/>
    <n v="90"/>
    <n v="122.4"/>
    <x v="0"/>
  </r>
  <r>
    <d v="2021-09-14T00:00:00"/>
    <x v="3"/>
    <n v="38"/>
    <s v="MARTES"/>
    <x v="13"/>
    <x v="13"/>
    <n v="30"/>
    <n v="30"/>
    <n v="12"/>
    <x v="0"/>
  </r>
  <r>
    <d v="2021-09-14T00:00:00"/>
    <x v="3"/>
    <n v="38"/>
    <s v="MARTES"/>
    <x v="14"/>
    <x v="14"/>
    <n v="40"/>
    <n v="40"/>
    <n v="9.2000000000000011"/>
    <x v="0"/>
  </r>
  <r>
    <d v="2021-09-14T00:00:00"/>
    <x v="3"/>
    <n v="38"/>
    <s v="MARTES"/>
    <x v="15"/>
    <x v="15"/>
    <n v="100"/>
    <n v="50"/>
    <n v="40"/>
    <x v="0"/>
  </r>
  <r>
    <d v="2021-09-14T00:00:00"/>
    <x v="3"/>
    <n v="38"/>
    <s v="MARTES"/>
    <x v="27"/>
    <x v="27"/>
    <n v="350"/>
    <n v="350"/>
    <n v="80.5"/>
    <x v="0"/>
  </r>
  <r>
    <d v="2021-09-14T00:00:00"/>
    <x v="3"/>
    <n v="38"/>
    <s v="MARTES"/>
    <x v="40"/>
    <x v="40"/>
    <n v="112"/>
    <n v="240"/>
    <n v="44.800000000000004"/>
    <x v="0"/>
  </r>
  <r>
    <d v="2021-09-14T00:00:00"/>
    <x v="3"/>
    <n v="38"/>
    <s v="MARTES"/>
    <x v="38"/>
    <x v="38"/>
    <n v="112"/>
    <n v="112"/>
    <n v="44.800000000000004"/>
    <x v="0"/>
  </r>
  <r>
    <d v="2021-09-14T00:00:00"/>
    <x v="3"/>
    <n v="38"/>
    <s v="MARTES"/>
    <x v="1"/>
    <x v="1"/>
    <n v="1296"/>
    <n v="198"/>
    <n v="220.32000000000002"/>
    <x v="0"/>
  </r>
  <r>
    <d v="2021-09-14T00:00:00"/>
    <x v="3"/>
    <n v="38"/>
    <s v="MARTES"/>
    <x v="2"/>
    <x v="2"/>
    <n v="1080"/>
    <n v="198"/>
    <n v="183.60000000000002"/>
    <x v="0"/>
  </r>
  <r>
    <d v="2021-09-14T00:00:00"/>
    <x v="3"/>
    <n v="38"/>
    <s v="MARTES"/>
    <x v="5"/>
    <x v="5"/>
    <n v="162"/>
    <n v="162"/>
    <n v="27.540000000000003"/>
    <x v="0"/>
  </r>
  <r>
    <d v="2021-09-14T00:00:00"/>
    <x v="3"/>
    <n v="38"/>
    <s v="MARTES"/>
    <x v="17"/>
    <x v="17"/>
    <n v="360"/>
    <n v="120"/>
    <n v="61.2"/>
    <x v="0"/>
  </r>
  <r>
    <d v="2021-09-14T00:00:00"/>
    <x v="3"/>
    <n v="38"/>
    <s v="MARTES"/>
    <x v="7"/>
    <x v="7"/>
    <n v="1080"/>
    <n v="198"/>
    <n v="183.60000000000002"/>
    <x v="0"/>
  </r>
  <r>
    <d v="2021-09-14T00:00:00"/>
    <x v="3"/>
    <n v="38"/>
    <s v="MARTES"/>
    <x v="8"/>
    <x v="8"/>
    <n v="864"/>
    <n v="198"/>
    <n v="146.88000000000002"/>
    <x v="0"/>
  </r>
  <r>
    <d v="2021-09-14T00:00:00"/>
    <x v="3"/>
    <n v="38"/>
    <s v="MARTES"/>
    <x v="9"/>
    <x v="9"/>
    <n v="720"/>
    <n v="90"/>
    <n v="122.4"/>
    <x v="0"/>
  </r>
  <r>
    <d v="2021-09-14T00:00:00"/>
    <x v="3"/>
    <n v="38"/>
    <s v="MARTES"/>
    <x v="10"/>
    <x v="10"/>
    <n v="1920"/>
    <n v="120"/>
    <n v="326.40000000000003"/>
    <x v="0"/>
  </r>
  <r>
    <d v="2021-09-14T00:00:00"/>
    <x v="3"/>
    <n v="38"/>
    <s v="MARTES"/>
    <x v="11"/>
    <x v="11"/>
    <n v="1440"/>
    <n v="90"/>
    <n v="244.8"/>
    <x v="0"/>
  </r>
  <r>
    <d v="2021-09-14T00:00:00"/>
    <x v="3"/>
    <n v="38"/>
    <s v="MARTES"/>
    <x v="25"/>
    <x v="25"/>
    <n v="2025"/>
    <n v="225"/>
    <n v="850.5"/>
    <x v="0"/>
  </r>
  <r>
    <d v="2021-09-14T00:00:00"/>
    <x v="3"/>
    <n v="38"/>
    <s v="MARTES"/>
    <x v="42"/>
    <x v="42"/>
    <n v="250"/>
    <n v="420"/>
    <n v="105"/>
    <x v="0"/>
  </r>
  <r>
    <d v="2021-09-14T00:00:00"/>
    <x v="3"/>
    <n v="38"/>
    <s v="MARTES"/>
    <x v="43"/>
    <x v="43"/>
    <n v="1000"/>
    <n v="420"/>
    <n v="420"/>
    <x v="0"/>
  </r>
  <r>
    <d v="2021-09-14T00:00:00"/>
    <x v="3"/>
    <n v="38"/>
    <s v="MARTES"/>
    <x v="44"/>
    <x v="44"/>
    <n v="1375"/>
    <n v="420"/>
    <n v="577.5"/>
    <x v="0"/>
  </r>
  <r>
    <d v="2021-09-14T00:00:00"/>
    <x v="3"/>
    <n v="38"/>
    <s v="MARTES"/>
    <x v="0"/>
    <x v="0"/>
    <n v="384"/>
    <n v="48"/>
    <n v="153.60000000000002"/>
    <x v="0"/>
  </r>
  <r>
    <d v="2021-09-14T00:00:00"/>
    <x v="3"/>
    <n v="38"/>
    <s v="MARTES"/>
    <x v="12"/>
    <x v="12"/>
    <n v="450"/>
    <n v="225"/>
    <n v="180"/>
    <x v="0"/>
  </r>
  <r>
    <d v="2021-09-14T00:00:00"/>
    <x v="3"/>
    <n v="38"/>
    <s v="MARTES"/>
    <x v="6"/>
    <x v="6"/>
    <n v="480"/>
    <n v="120"/>
    <n v="81.600000000000009"/>
    <x v="0"/>
  </r>
  <r>
    <d v="2021-09-15T00:00:00"/>
    <x v="3"/>
    <n v="38"/>
    <s v="MIÉRCOLES"/>
    <x v="10"/>
    <x v="10"/>
    <n v="3840"/>
    <n v="120"/>
    <n v="652.80000000000007"/>
    <x v="0"/>
  </r>
  <r>
    <d v="2021-09-15T00:00:00"/>
    <x v="3"/>
    <n v="38"/>
    <s v="MIÉRCOLES"/>
    <x v="8"/>
    <x v="8"/>
    <n v="1296"/>
    <n v="198"/>
    <n v="220.32000000000002"/>
    <x v="0"/>
  </r>
  <r>
    <d v="2021-09-15T00:00:00"/>
    <x v="3"/>
    <n v="38"/>
    <s v="MIÉRCOLES"/>
    <x v="17"/>
    <x v="17"/>
    <n v="1320"/>
    <n v="120"/>
    <n v="224.4"/>
    <x v="0"/>
  </r>
  <r>
    <d v="2021-09-15T00:00:00"/>
    <x v="3"/>
    <n v="38"/>
    <s v="MIÉRCOLES"/>
    <x v="6"/>
    <x v="6"/>
    <n v="1080"/>
    <n v="120"/>
    <n v="183.60000000000002"/>
    <x v="0"/>
  </r>
  <r>
    <d v="2021-09-15T00:00:00"/>
    <x v="3"/>
    <n v="38"/>
    <s v="MIÉRCOLES"/>
    <x v="2"/>
    <x v="2"/>
    <n v="1296"/>
    <n v="198"/>
    <n v="220.32000000000002"/>
    <x v="0"/>
  </r>
  <r>
    <d v="2021-09-15T00:00:00"/>
    <x v="3"/>
    <n v="38"/>
    <s v="MIÉRCOLES"/>
    <x v="1"/>
    <x v="1"/>
    <n v="1728"/>
    <n v="198"/>
    <n v="293.76000000000005"/>
    <x v="0"/>
  </r>
  <r>
    <d v="2021-09-15T00:00:00"/>
    <x v="3"/>
    <n v="38"/>
    <s v="MIÉRCOLES"/>
    <x v="7"/>
    <x v="7"/>
    <n v="2160"/>
    <n v="198"/>
    <n v="367.20000000000005"/>
    <x v="0"/>
  </r>
  <r>
    <d v="2021-09-15T00:00:00"/>
    <x v="3"/>
    <n v="38"/>
    <s v="MIÉRCOLES"/>
    <x v="0"/>
    <x v="0"/>
    <n v="576"/>
    <n v="48"/>
    <n v="230.4"/>
    <x v="0"/>
  </r>
  <r>
    <d v="2021-09-15T00:00:00"/>
    <x v="3"/>
    <n v="38"/>
    <s v="MIÉRCOLES"/>
    <x v="15"/>
    <x v="15"/>
    <n v="150"/>
    <n v="50"/>
    <n v="60"/>
    <x v="0"/>
  </r>
  <r>
    <d v="2021-09-15T00:00:00"/>
    <x v="3"/>
    <n v="38"/>
    <s v="MIÉRCOLES"/>
    <x v="33"/>
    <x v="33"/>
    <n v="80"/>
    <n v="40"/>
    <n v="18.400000000000002"/>
    <x v="0"/>
  </r>
  <r>
    <d v="2021-09-15T00:00:00"/>
    <x v="3"/>
    <n v="38"/>
    <s v="MIÉRCOLES"/>
    <x v="13"/>
    <x v="13"/>
    <n v="90"/>
    <n v="30"/>
    <n v="36"/>
    <x v="0"/>
  </r>
  <r>
    <d v="2021-09-15T00:00:00"/>
    <x v="3"/>
    <n v="38"/>
    <s v="MIÉRCOLES"/>
    <x v="12"/>
    <x v="12"/>
    <n v="675"/>
    <n v="225"/>
    <n v="270"/>
    <x v="0"/>
  </r>
  <r>
    <d v="2021-09-15T00:00:00"/>
    <x v="3"/>
    <n v="38"/>
    <s v="MIÉRCOLES"/>
    <x v="9"/>
    <x v="9"/>
    <n v="720"/>
    <n v="90"/>
    <n v="122.4"/>
    <x v="0"/>
  </r>
  <r>
    <d v="2021-09-15T00:00:00"/>
    <x v="3"/>
    <n v="38"/>
    <s v="MIÉRCOLES"/>
    <x v="11"/>
    <x v="11"/>
    <n v="1440"/>
    <n v="90"/>
    <n v="244.8"/>
    <x v="0"/>
  </r>
  <r>
    <d v="2021-09-15T00:00:00"/>
    <x v="3"/>
    <n v="38"/>
    <s v="MIÉRCOLES"/>
    <x v="16"/>
    <x v="16"/>
    <n v="540"/>
    <n v="180"/>
    <n v="226.79999999999998"/>
    <x v="0"/>
  </r>
  <r>
    <d v="2021-09-15T00:00:00"/>
    <x v="3"/>
    <n v="38"/>
    <s v="MIÉRCOLES"/>
    <x v="20"/>
    <x v="20"/>
    <n v="720"/>
    <n v="90"/>
    <n v="122.4"/>
    <x v="0"/>
  </r>
  <r>
    <d v="2021-09-15T00:00:00"/>
    <x v="3"/>
    <n v="38"/>
    <s v="MIÉRCOLES"/>
    <x v="25"/>
    <x v="25"/>
    <n v="900"/>
    <n v="225"/>
    <n v="378"/>
    <x v="0"/>
  </r>
  <r>
    <d v="2021-09-15T00:00:00"/>
    <x v="3"/>
    <n v="38"/>
    <s v="MIÉRCOLES"/>
    <x v="23"/>
    <x v="23"/>
    <n v="720"/>
    <n v="90"/>
    <n v="122.4"/>
    <x v="0"/>
  </r>
  <r>
    <d v="2021-09-15T00:00:00"/>
    <x v="3"/>
    <n v="38"/>
    <s v="MIÉRCOLES"/>
    <x v="38"/>
    <x v="38"/>
    <n v="336"/>
    <n v="112"/>
    <n v="134.4"/>
    <x v="0"/>
  </r>
  <r>
    <d v="2021-09-15T00:00:00"/>
    <x v="3"/>
    <n v="38"/>
    <s v="MIÉRCOLES"/>
    <x v="40"/>
    <x v="40"/>
    <n v="224"/>
    <n v="240"/>
    <n v="89.600000000000009"/>
    <x v="0"/>
  </r>
  <r>
    <d v="2021-09-15T00:00:00"/>
    <x v="3"/>
    <n v="38"/>
    <s v="MIÉRCOLES"/>
    <x v="43"/>
    <x v="43"/>
    <n v="250"/>
    <n v="420"/>
    <n v="105"/>
    <x v="0"/>
  </r>
  <r>
    <d v="2021-09-15T00:00:00"/>
    <x v="3"/>
    <n v="38"/>
    <s v="MIÉRCOLES"/>
    <x v="44"/>
    <x v="44"/>
    <n v="1625"/>
    <n v="420"/>
    <n v="682.5"/>
    <x v="0"/>
  </r>
  <r>
    <d v="2021-09-15T00:00:00"/>
    <x v="3"/>
    <n v="38"/>
    <s v="MIÉRCOLES"/>
    <x v="4"/>
    <x v="4"/>
    <n v="810"/>
    <n v="162"/>
    <n v="137.70000000000002"/>
    <x v="0"/>
  </r>
  <r>
    <d v="2021-09-15T00:00:00"/>
    <x v="3"/>
    <n v="38"/>
    <s v="MIÉRCOLES"/>
    <x v="27"/>
    <x v="27"/>
    <n v="350"/>
    <n v="350"/>
    <n v="80.5"/>
    <x v="0"/>
  </r>
  <r>
    <d v="2021-09-15T00:00:00"/>
    <x v="3"/>
    <n v="38"/>
    <s v="MIÉRCOLES"/>
    <x v="24"/>
    <x v="24"/>
    <n v="3360"/>
    <n v="420"/>
    <n v="1411.2"/>
    <x v="0"/>
  </r>
  <r>
    <d v="2021-09-16T00:00:00"/>
    <x v="3"/>
    <n v="38"/>
    <s v="JUEVES"/>
    <x v="1"/>
    <x v="1"/>
    <n v="1296"/>
    <n v="198"/>
    <n v="220.32000000000002"/>
    <x v="0"/>
  </r>
  <r>
    <d v="2021-09-16T00:00:00"/>
    <x v="3"/>
    <n v="38"/>
    <s v="JUEVES"/>
    <x v="5"/>
    <x v="5"/>
    <n v="810"/>
    <n v="162"/>
    <n v="137.70000000000002"/>
    <x v="0"/>
  </r>
  <r>
    <d v="2021-09-16T00:00:00"/>
    <x v="3"/>
    <n v="38"/>
    <s v="JUEVES"/>
    <x v="6"/>
    <x v="6"/>
    <n v="1080"/>
    <n v="120"/>
    <n v="183.60000000000002"/>
    <x v="0"/>
  </r>
  <r>
    <d v="2021-09-16T00:00:00"/>
    <x v="3"/>
    <n v="38"/>
    <s v="JUEVES"/>
    <x v="3"/>
    <x v="3"/>
    <n v="594"/>
    <n v="198"/>
    <n v="100.98"/>
    <x v="0"/>
  </r>
  <r>
    <d v="2021-09-16T00:00:00"/>
    <x v="3"/>
    <n v="38"/>
    <s v="JUEVES"/>
    <x v="9"/>
    <x v="9"/>
    <n v="720"/>
    <n v="90"/>
    <n v="122.4"/>
    <x v="0"/>
  </r>
  <r>
    <d v="2021-09-16T00:00:00"/>
    <x v="3"/>
    <n v="38"/>
    <s v="JUEVES"/>
    <x v="4"/>
    <x v="4"/>
    <n v="324"/>
    <n v="162"/>
    <n v="55.080000000000005"/>
    <x v="0"/>
  </r>
  <r>
    <d v="2021-09-16T00:00:00"/>
    <x v="3"/>
    <n v="38"/>
    <s v="JUEVES"/>
    <x v="10"/>
    <x v="10"/>
    <n v="840"/>
    <n v="120"/>
    <n v="142.80000000000001"/>
    <x v="0"/>
  </r>
  <r>
    <d v="2021-09-16T00:00:00"/>
    <x v="3"/>
    <n v="38"/>
    <s v="JUEVES"/>
    <x v="10"/>
    <x v="10"/>
    <n v="1080"/>
    <n v="120"/>
    <n v="183.60000000000002"/>
    <x v="0"/>
  </r>
  <r>
    <d v="2021-09-16T00:00:00"/>
    <x v="3"/>
    <n v="38"/>
    <s v="JUEVES"/>
    <x v="17"/>
    <x v="17"/>
    <n v="720"/>
    <n v="120"/>
    <n v="122.4"/>
    <x v="0"/>
  </r>
  <r>
    <d v="2021-09-16T00:00:00"/>
    <x v="3"/>
    <n v="38"/>
    <s v="JUEVES"/>
    <x v="11"/>
    <x v="11"/>
    <n v="1620"/>
    <n v="90"/>
    <n v="275.40000000000003"/>
    <x v="0"/>
  </r>
  <r>
    <d v="2021-09-16T00:00:00"/>
    <x v="3"/>
    <n v="38"/>
    <s v="JUEVES"/>
    <x v="7"/>
    <x v="7"/>
    <n v="1296"/>
    <n v="198"/>
    <n v="220.32000000000002"/>
    <x v="0"/>
  </r>
  <r>
    <d v="2021-09-16T00:00:00"/>
    <x v="3"/>
    <n v="38"/>
    <s v="JUEVES"/>
    <x v="8"/>
    <x v="8"/>
    <n v="1296"/>
    <n v="198"/>
    <n v="220.32000000000002"/>
    <x v="0"/>
  </r>
  <r>
    <d v="2021-09-16T00:00:00"/>
    <x v="3"/>
    <n v="38"/>
    <s v="JUEVES"/>
    <x v="23"/>
    <x v="23"/>
    <n v="450"/>
    <n v="90"/>
    <n v="76.5"/>
    <x v="0"/>
  </r>
  <r>
    <d v="2021-09-16T00:00:00"/>
    <x v="3"/>
    <n v="38"/>
    <s v="JUEVES"/>
    <x v="23"/>
    <x v="23"/>
    <n v="270"/>
    <n v="90"/>
    <n v="45.900000000000006"/>
    <x v="0"/>
  </r>
  <r>
    <d v="2021-09-16T00:00:00"/>
    <x v="3"/>
    <n v="38"/>
    <s v="JUEVES"/>
    <x v="2"/>
    <x v="2"/>
    <n v="432"/>
    <n v="198"/>
    <n v="73.440000000000012"/>
    <x v="0"/>
  </r>
  <r>
    <d v="2021-09-16T00:00:00"/>
    <x v="3"/>
    <n v="38"/>
    <s v="JUEVES"/>
    <x v="44"/>
    <x v="44"/>
    <n v="2500"/>
    <n v="420"/>
    <n v="1050"/>
    <x v="0"/>
  </r>
  <r>
    <d v="2021-09-16T00:00:00"/>
    <x v="3"/>
    <n v="38"/>
    <s v="JUEVES"/>
    <x v="43"/>
    <x v="43"/>
    <n v="250"/>
    <n v="420"/>
    <n v="105"/>
    <x v="0"/>
  </r>
  <r>
    <d v="2021-09-16T00:00:00"/>
    <x v="3"/>
    <n v="38"/>
    <s v="JUEVES"/>
    <x v="16"/>
    <x v="16"/>
    <n v="180"/>
    <n v="180"/>
    <n v="75.599999999999994"/>
    <x v="0"/>
  </r>
  <r>
    <d v="2021-09-16T00:00:00"/>
    <x v="3"/>
    <n v="38"/>
    <s v="JUEVES"/>
    <x v="27"/>
    <x v="27"/>
    <n v="700"/>
    <n v="350"/>
    <n v="161"/>
    <x v="0"/>
  </r>
  <r>
    <d v="2021-09-16T00:00:00"/>
    <x v="3"/>
    <n v="38"/>
    <s v="JUEVES"/>
    <x v="38"/>
    <x v="38"/>
    <n v="560"/>
    <n v="112"/>
    <n v="224"/>
    <x v="0"/>
  </r>
  <r>
    <d v="2021-09-16T00:00:00"/>
    <x v="3"/>
    <n v="38"/>
    <s v="JUEVES"/>
    <x v="24"/>
    <x v="24"/>
    <n v="2100"/>
    <n v="420"/>
    <n v="882"/>
    <x v="0"/>
  </r>
  <r>
    <d v="2021-09-16T00:00:00"/>
    <x v="3"/>
    <n v="38"/>
    <s v="JUEVES"/>
    <x v="43"/>
    <x v="43"/>
    <n v="750"/>
    <n v="420"/>
    <n v="315"/>
    <x v="0"/>
  </r>
  <r>
    <d v="2021-09-17T00:00:00"/>
    <x v="3"/>
    <n v="38"/>
    <s v="VIERNES"/>
    <x v="14"/>
    <x v="14"/>
    <n v="40"/>
    <n v="40"/>
    <n v="9.2000000000000011"/>
    <x v="0"/>
  </r>
  <r>
    <d v="2021-09-17T00:00:00"/>
    <x v="3"/>
    <n v="38"/>
    <s v="VIERNES"/>
    <x v="15"/>
    <x v="15"/>
    <n v="650"/>
    <n v="50"/>
    <n v="260"/>
    <x v="0"/>
  </r>
  <r>
    <d v="2021-09-17T00:00:00"/>
    <x v="3"/>
    <n v="38"/>
    <s v="VIERNES"/>
    <x v="45"/>
    <x v="45"/>
    <n v="1300"/>
    <n v="420"/>
    <n v="1560"/>
    <x v="0"/>
  </r>
  <r>
    <d v="2021-09-17T00:00:00"/>
    <x v="3"/>
    <n v="38"/>
    <s v="VIERNES"/>
    <x v="10"/>
    <x v="10"/>
    <n v="1200"/>
    <n v="120"/>
    <n v="204.00000000000003"/>
    <x v="0"/>
  </r>
  <r>
    <d v="2021-09-17T00:00:00"/>
    <x v="3"/>
    <n v="38"/>
    <s v="VIERNES"/>
    <x v="17"/>
    <x v="17"/>
    <n v="1200"/>
    <n v="120"/>
    <n v="204.00000000000003"/>
    <x v="0"/>
  </r>
  <r>
    <d v="2021-09-17T00:00:00"/>
    <x v="3"/>
    <n v="38"/>
    <s v="VIERNES"/>
    <x v="6"/>
    <x v="6"/>
    <n v="960"/>
    <n v="120"/>
    <n v="163.20000000000002"/>
    <x v="0"/>
  </r>
  <r>
    <d v="2021-09-17T00:00:00"/>
    <x v="3"/>
    <n v="38"/>
    <s v="VIERNES"/>
    <x v="0"/>
    <x v="0"/>
    <n v="96"/>
    <n v="48"/>
    <n v="38.400000000000006"/>
    <x v="0"/>
  </r>
  <r>
    <d v="2021-09-17T00:00:00"/>
    <x v="3"/>
    <n v="38"/>
    <s v="VIERNES"/>
    <x v="44"/>
    <x v="44"/>
    <n v="625"/>
    <n v="420"/>
    <n v="262.5"/>
    <x v="0"/>
  </r>
  <r>
    <d v="2021-09-17T00:00:00"/>
    <x v="3"/>
    <n v="38"/>
    <s v="VIERNES"/>
    <x v="9"/>
    <x v="9"/>
    <n v="720"/>
    <n v="90"/>
    <n v="122.4"/>
    <x v="0"/>
  </r>
  <r>
    <d v="2021-09-17T00:00:00"/>
    <x v="3"/>
    <n v="38"/>
    <s v="VIERNES"/>
    <x v="24"/>
    <x v="24"/>
    <n v="2100"/>
    <n v="420"/>
    <n v="882"/>
    <x v="0"/>
  </r>
  <r>
    <d v="2021-09-17T00:00:00"/>
    <x v="3"/>
    <n v="38"/>
    <s v="VIERNES"/>
    <x v="1"/>
    <x v="1"/>
    <n v="648"/>
    <n v="198"/>
    <n v="110.16000000000001"/>
    <x v="0"/>
  </r>
  <r>
    <d v="2021-09-17T00:00:00"/>
    <x v="3"/>
    <n v="38"/>
    <s v="VIERNES"/>
    <x v="11"/>
    <x v="11"/>
    <n v="720"/>
    <n v="90"/>
    <n v="122.4"/>
    <x v="0"/>
  </r>
  <r>
    <d v="2021-09-17T00:00:00"/>
    <x v="3"/>
    <n v="38"/>
    <s v="VIERNES"/>
    <x v="8"/>
    <x v="8"/>
    <n v="432"/>
    <n v="198"/>
    <n v="73.440000000000012"/>
    <x v="0"/>
  </r>
  <r>
    <d v="2021-09-17T00:00:00"/>
    <x v="3"/>
    <n v="38"/>
    <s v="VIERNES"/>
    <x v="16"/>
    <x v="16"/>
    <n v="180"/>
    <n v="180"/>
    <n v="75.599999999999994"/>
    <x v="0"/>
  </r>
  <r>
    <d v="2021-09-17T00:00:00"/>
    <x v="3"/>
    <n v="38"/>
    <s v="VIERNES"/>
    <x v="40"/>
    <x v="40"/>
    <n v="112"/>
    <n v="240"/>
    <n v="44.800000000000004"/>
    <x v="0"/>
  </r>
  <r>
    <d v="2021-09-17T00:00:00"/>
    <x v="3"/>
    <n v="38"/>
    <s v="VIERNES"/>
    <x v="28"/>
    <x v="28"/>
    <n v="90"/>
    <n v="30"/>
    <n v="20.7"/>
    <x v="0"/>
  </r>
  <r>
    <d v="2021-09-17T00:00:00"/>
    <x v="3"/>
    <n v="38"/>
    <s v="VIERNES"/>
    <x v="25"/>
    <x v="25"/>
    <n v="900"/>
    <n v="225"/>
    <n v="378"/>
    <x v="0"/>
  </r>
  <r>
    <d v="2021-09-17T00:00:00"/>
    <x v="3"/>
    <n v="38"/>
    <s v="VIERNES"/>
    <x v="25"/>
    <x v="25"/>
    <n v="450"/>
    <n v="225"/>
    <n v="189"/>
    <x v="0"/>
  </r>
  <r>
    <d v="2021-09-17T00:00:00"/>
    <x v="3"/>
    <n v="38"/>
    <s v="VIERNES"/>
    <x v="44"/>
    <x v="44"/>
    <n v="500"/>
    <n v="420"/>
    <n v="210"/>
    <x v="0"/>
  </r>
  <r>
    <d v="2021-09-17T00:00:00"/>
    <x v="3"/>
    <n v="38"/>
    <s v="VIERNES"/>
    <x v="44"/>
    <x v="44"/>
    <n v="500"/>
    <n v="420"/>
    <n v="210"/>
    <x v="0"/>
  </r>
  <r>
    <d v="2021-09-17T00:00:00"/>
    <x v="3"/>
    <n v="38"/>
    <s v="VIERNES"/>
    <x v="43"/>
    <x v="43"/>
    <n v="500"/>
    <n v="420"/>
    <n v="210"/>
    <x v="0"/>
  </r>
  <r>
    <d v="2021-09-17T00:00:00"/>
    <x v="3"/>
    <n v="38"/>
    <s v="VIERNES"/>
    <x v="45"/>
    <x v="45"/>
    <n v="260"/>
    <n v="420"/>
    <n v="312"/>
    <x v="0"/>
  </r>
  <r>
    <d v="2021-09-18T00:00:00"/>
    <x v="3"/>
    <n v="39"/>
    <s v="SÁBADO"/>
    <x v="45"/>
    <x v="45"/>
    <n v="1430"/>
    <n v="420"/>
    <n v="1716"/>
    <x v="0"/>
  </r>
  <r>
    <d v="2021-09-18T00:00:00"/>
    <x v="3"/>
    <n v="39"/>
    <s v="SÁBADO"/>
    <x v="28"/>
    <x v="28"/>
    <n v="90"/>
    <n v="30"/>
    <n v="20.7"/>
    <x v="0"/>
  </r>
  <r>
    <d v="2021-09-18T00:00:00"/>
    <x v="3"/>
    <n v="39"/>
    <s v="SÁBADO"/>
    <x v="14"/>
    <x v="14"/>
    <n v="40"/>
    <n v="40"/>
    <n v="9.2000000000000011"/>
    <x v="0"/>
  </r>
  <r>
    <d v="2021-09-18T00:00:00"/>
    <x v="3"/>
    <n v="39"/>
    <s v="SÁBADO"/>
    <x v="0"/>
    <x v="0"/>
    <n v="816"/>
    <n v="48"/>
    <n v="326.40000000000003"/>
    <x v="0"/>
  </r>
  <r>
    <d v="2021-09-18T00:00:00"/>
    <x v="3"/>
    <n v="39"/>
    <s v="SÁBADO"/>
    <x v="24"/>
    <x v="24"/>
    <n v="1260"/>
    <n v="420"/>
    <n v="529.19999999999993"/>
    <x v="0"/>
  </r>
  <r>
    <d v="2021-09-18T00:00:00"/>
    <x v="3"/>
    <n v="39"/>
    <s v="SÁBADO"/>
    <x v="16"/>
    <x v="16"/>
    <n v="900"/>
    <n v="180"/>
    <n v="378"/>
    <x v="0"/>
  </r>
  <r>
    <d v="2021-09-18T00:00:00"/>
    <x v="3"/>
    <n v="39"/>
    <s v="SÁBADO"/>
    <x v="1"/>
    <x v="1"/>
    <n v="1080"/>
    <n v="198"/>
    <n v="183.60000000000002"/>
    <x v="0"/>
  </r>
  <r>
    <d v="2021-09-18T00:00:00"/>
    <x v="3"/>
    <n v="39"/>
    <s v="SÁBADO"/>
    <x v="2"/>
    <x v="2"/>
    <n v="1080"/>
    <n v="198"/>
    <n v="183.60000000000002"/>
    <x v="0"/>
  </r>
  <r>
    <d v="2021-09-18T00:00:00"/>
    <x v="3"/>
    <n v="39"/>
    <s v="SÁBADO"/>
    <x v="3"/>
    <x v="3"/>
    <n v="198"/>
    <n v="198"/>
    <n v="33.660000000000004"/>
    <x v="0"/>
  </r>
  <r>
    <d v="2021-09-18T00:00:00"/>
    <x v="3"/>
    <n v="39"/>
    <s v="SÁBADO"/>
    <x v="4"/>
    <x v="4"/>
    <n v="324"/>
    <n v="162"/>
    <n v="55.080000000000005"/>
    <x v="0"/>
  </r>
  <r>
    <d v="2021-09-18T00:00:00"/>
    <x v="3"/>
    <n v="39"/>
    <s v="SÁBADO"/>
    <x v="5"/>
    <x v="5"/>
    <n v="162"/>
    <n v="162"/>
    <n v="27.540000000000003"/>
    <x v="0"/>
  </r>
  <r>
    <d v="2021-09-18T00:00:00"/>
    <x v="3"/>
    <n v="39"/>
    <s v="SÁBADO"/>
    <x v="6"/>
    <x v="6"/>
    <n v="960"/>
    <n v="120"/>
    <n v="163.20000000000002"/>
    <x v="0"/>
  </r>
  <r>
    <d v="2021-09-18T00:00:00"/>
    <x v="3"/>
    <n v="39"/>
    <s v="SÁBADO"/>
    <x v="9"/>
    <x v="9"/>
    <n v="90"/>
    <n v="90"/>
    <n v="15.3"/>
    <x v="0"/>
  </r>
  <r>
    <d v="2021-09-18T00:00:00"/>
    <x v="3"/>
    <n v="39"/>
    <s v="SÁBADO"/>
    <x v="10"/>
    <x v="10"/>
    <n v="1200"/>
    <n v="120"/>
    <n v="204.00000000000003"/>
    <x v="0"/>
  </r>
  <r>
    <d v="2021-09-18T00:00:00"/>
    <x v="3"/>
    <n v="39"/>
    <s v="SÁBADO"/>
    <x v="11"/>
    <x v="11"/>
    <n v="2160"/>
    <n v="90"/>
    <n v="367.20000000000005"/>
    <x v="0"/>
  </r>
  <r>
    <d v="2021-09-18T00:00:00"/>
    <x v="3"/>
    <n v="39"/>
    <s v="SÁBADO"/>
    <x v="25"/>
    <x v="25"/>
    <n v="1350"/>
    <n v="225"/>
    <n v="567"/>
    <x v="0"/>
  </r>
  <r>
    <d v="2021-09-18T00:00:00"/>
    <x v="3"/>
    <n v="39"/>
    <s v="SÁBADO"/>
    <x v="19"/>
    <x v="19"/>
    <n v="225"/>
    <n v="225"/>
    <n v="90"/>
    <x v="0"/>
  </r>
  <r>
    <d v="2021-09-18T00:00:00"/>
    <x v="3"/>
    <n v="39"/>
    <s v="SÁBADO"/>
    <x v="17"/>
    <x v="17"/>
    <n v="240"/>
    <n v="120"/>
    <n v="40.800000000000004"/>
    <x v="0"/>
  </r>
  <r>
    <d v="2021-09-18T00:00:00"/>
    <x v="3"/>
    <n v="39"/>
    <s v="SÁBADO"/>
    <x v="42"/>
    <x v="42"/>
    <n v="250"/>
    <n v="420"/>
    <n v="105"/>
    <x v="0"/>
  </r>
  <r>
    <d v="2021-09-20T00:00:00"/>
    <x v="3"/>
    <n v="39"/>
    <s v="LUNES"/>
    <x v="4"/>
    <x v="4"/>
    <n v="648"/>
    <n v="162"/>
    <n v="110.16000000000001"/>
    <x v="0"/>
  </r>
  <r>
    <d v="2021-09-20T00:00:00"/>
    <x v="3"/>
    <n v="39"/>
    <s v="LUNES"/>
    <x v="17"/>
    <x v="17"/>
    <n v="960"/>
    <n v="120"/>
    <n v="163.20000000000002"/>
    <x v="0"/>
  </r>
  <r>
    <d v="2021-09-20T00:00:00"/>
    <x v="3"/>
    <n v="39"/>
    <s v="LUNES"/>
    <x v="6"/>
    <x v="6"/>
    <n v="1200"/>
    <n v="120"/>
    <n v="204.00000000000003"/>
    <x v="0"/>
  </r>
  <r>
    <d v="2021-09-20T00:00:00"/>
    <x v="3"/>
    <n v="39"/>
    <s v="LUNES"/>
    <x v="46"/>
    <x v="46"/>
    <n v="1750"/>
    <n v="250"/>
    <n v="735"/>
    <x v="0"/>
  </r>
  <r>
    <d v="2021-09-19T00:00:00"/>
    <x v="3"/>
    <n v="39"/>
    <s v="DOMINGO"/>
    <x v="45"/>
    <x v="45"/>
    <n v="1170"/>
    <n v="420"/>
    <n v="1404"/>
    <x v="0"/>
  </r>
  <r>
    <d v="2021-09-20T00:00:00"/>
    <x v="3"/>
    <n v="39"/>
    <s v="LUNES"/>
    <x v="2"/>
    <x v="2"/>
    <n v="1080"/>
    <n v="198"/>
    <n v="183.60000000000002"/>
    <x v="0"/>
  </r>
  <r>
    <d v="2021-09-20T00:00:00"/>
    <x v="3"/>
    <n v="39"/>
    <s v="LUNES"/>
    <x v="2"/>
    <x v="2"/>
    <n v="216"/>
    <n v="198"/>
    <n v="36.720000000000006"/>
    <x v="0"/>
  </r>
  <r>
    <d v="2021-09-20T00:00:00"/>
    <x v="3"/>
    <n v="39"/>
    <s v="LUNES"/>
    <x v="7"/>
    <x v="7"/>
    <n v="1296"/>
    <n v="198"/>
    <n v="220.32000000000002"/>
    <x v="0"/>
  </r>
  <r>
    <d v="2021-09-20T00:00:00"/>
    <x v="3"/>
    <n v="39"/>
    <s v="LUNES"/>
    <x v="1"/>
    <x v="1"/>
    <n v="1296"/>
    <n v="198"/>
    <n v="220.32000000000002"/>
    <x v="0"/>
  </r>
  <r>
    <d v="2021-09-20T00:00:00"/>
    <x v="3"/>
    <n v="39"/>
    <s v="LUNES"/>
    <x v="32"/>
    <x v="32"/>
    <n v="1680"/>
    <n v="420"/>
    <n v="705.6"/>
    <x v="0"/>
  </r>
  <r>
    <d v="2021-09-20T00:00:00"/>
    <x v="3"/>
    <n v="39"/>
    <s v="LUNES"/>
    <x v="24"/>
    <x v="24"/>
    <n v="420"/>
    <n v="420"/>
    <n v="176.4"/>
    <x v="0"/>
  </r>
  <r>
    <d v="2021-09-20T00:00:00"/>
    <x v="3"/>
    <n v="39"/>
    <s v="LUNES"/>
    <x v="10"/>
    <x v="10"/>
    <n v="1680"/>
    <n v="120"/>
    <n v="285.60000000000002"/>
    <x v="0"/>
  </r>
  <r>
    <d v="2021-09-20T00:00:00"/>
    <x v="3"/>
    <n v="39"/>
    <s v="LUNES"/>
    <x v="9"/>
    <x v="9"/>
    <n v="720"/>
    <n v="90"/>
    <n v="122.4"/>
    <x v="0"/>
  </r>
  <r>
    <d v="2021-09-20T00:00:00"/>
    <x v="3"/>
    <n v="39"/>
    <s v="LUNES"/>
    <x v="11"/>
    <x v="11"/>
    <n v="1710"/>
    <n v="90"/>
    <n v="290.70000000000005"/>
    <x v="0"/>
  </r>
  <r>
    <d v="2021-09-20T00:00:00"/>
    <x v="3"/>
    <n v="39"/>
    <s v="LUNES"/>
    <x v="26"/>
    <x v="26"/>
    <n v="180"/>
    <n v="90"/>
    <n v="30.6"/>
    <x v="0"/>
  </r>
  <r>
    <d v="2021-09-20T00:00:00"/>
    <x v="3"/>
    <n v="39"/>
    <s v="LUNES"/>
    <x v="16"/>
    <x v="16"/>
    <n v="180"/>
    <n v="180"/>
    <n v="75.599999999999994"/>
    <x v="0"/>
  </r>
  <r>
    <d v="2021-09-20T00:00:00"/>
    <x v="3"/>
    <n v="39"/>
    <s v="LUNES"/>
    <x v="19"/>
    <x v="19"/>
    <n v="225"/>
    <n v="225"/>
    <n v="90"/>
    <x v="0"/>
  </r>
  <r>
    <d v="2021-09-20T00:00:00"/>
    <x v="3"/>
    <n v="39"/>
    <s v="LUNES"/>
    <x v="0"/>
    <x v="0"/>
    <n v="96"/>
    <n v="48"/>
    <n v="38.400000000000006"/>
    <x v="0"/>
  </r>
  <r>
    <d v="2021-09-20T00:00:00"/>
    <x v="3"/>
    <n v="39"/>
    <s v="LUNES"/>
    <x v="25"/>
    <x v="25"/>
    <n v="450"/>
    <n v="225"/>
    <n v="189"/>
    <x v="0"/>
  </r>
  <r>
    <d v="2021-09-20T00:00:00"/>
    <x v="3"/>
    <n v="39"/>
    <s v="LUNES"/>
    <x v="45"/>
    <x v="45"/>
    <n v="3250"/>
    <n v="420"/>
    <n v="3900"/>
    <x v="0"/>
  </r>
  <r>
    <d v="2021-09-20T00:00:00"/>
    <x v="3"/>
    <n v="39"/>
    <s v="LUNES"/>
    <x v="45"/>
    <x v="45"/>
    <n v="390"/>
    <n v="420"/>
    <n v="468"/>
    <x v="0"/>
  </r>
  <r>
    <d v="2021-09-21T00:00:00"/>
    <x v="3"/>
    <n v="39"/>
    <s v="MARTES"/>
    <x v="0"/>
    <x v="0"/>
    <n v="384"/>
    <n v="48"/>
    <n v="153.60000000000002"/>
    <x v="0"/>
  </r>
  <r>
    <d v="2021-09-21T00:00:00"/>
    <x v="3"/>
    <n v="39"/>
    <s v="MARTES"/>
    <x v="14"/>
    <x v="14"/>
    <n v="40"/>
    <n v="40"/>
    <n v="9.2000000000000011"/>
    <x v="0"/>
  </r>
  <r>
    <d v="2021-09-21T00:00:00"/>
    <x v="3"/>
    <n v="39"/>
    <s v="MARTES"/>
    <x v="42"/>
    <x v="42"/>
    <n v="250"/>
    <n v="420"/>
    <n v="105"/>
    <x v="0"/>
  </r>
  <r>
    <d v="2021-09-21T00:00:00"/>
    <x v="3"/>
    <n v="39"/>
    <s v="MARTES"/>
    <x v="2"/>
    <x v="2"/>
    <n v="432"/>
    <n v="198"/>
    <n v="73.440000000000012"/>
    <x v="0"/>
  </r>
  <r>
    <d v="2021-09-21T00:00:00"/>
    <x v="3"/>
    <n v="39"/>
    <s v="MARTES"/>
    <x v="3"/>
    <x v="3"/>
    <n v="396"/>
    <n v="198"/>
    <n v="67.320000000000007"/>
    <x v="0"/>
  </r>
  <r>
    <d v="2021-09-21T00:00:00"/>
    <x v="3"/>
    <n v="39"/>
    <s v="MARTES"/>
    <x v="1"/>
    <x v="1"/>
    <n v="1512"/>
    <n v="198"/>
    <n v="257.04000000000002"/>
    <x v="0"/>
  </r>
  <r>
    <d v="2021-09-21T00:00:00"/>
    <x v="3"/>
    <n v="39"/>
    <s v="MARTES"/>
    <x v="6"/>
    <x v="6"/>
    <n v="240"/>
    <n v="120"/>
    <n v="40.800000000000004"/>
    <x v="0"/>
  </r>
  <r>
    <d v="2021-09-21T00:00:00"/>
    <x v="3"/>
    <n v="39"/>
    <s v="MARTES"/>
    <x v="20"/>
    <x v="20"/>
    <n v="450"/>
    <n v="90"/>
    <n v="76.5"/>
    <x v="0"/>
  </r>
  <r>
    <d v="2021-09-21T00:00:00"/>
    <x v="3"/>
    <n v="39"/>
    <s v="MARTES"/>
    <x v="4"/>
    <x v="4"/>
    <n v="162"/>
    <n v="162"/>
    <n v="27.540000000000003"/>
    <x v="0"/>
  </r>
  <r>
    <d v="2021-09-21T00:00:00"/>
    <x v="3"/>
    <n v="39"/>
    <s v="MARTES"/>
    <x v="11"/>
    <x v="11"/>
    <n v="1440"/>
    <n v="90"/>
    <n v="244.8"/>
    <x v="0"/>
  </r>
  <r>
    <d v="2021-09-21T00:00:00"/>
    <x v="3"/>
    <n v="39"/>
    <s v="MARTES"/>
    <x v="37"/>
    <x v="37"/>
    <n v="500"/>
    <n v="225"/>
    <n v="210"/>
    <x v="0"/>
  </r>
  <r>
    <d v="2021-09-21T00:00:00"/>
    <x v="3"/>
    <n v="39"/>
    <s v="MARTES"/>
    <x v="15"/>
    <x v="15"/>
    <n v="200"/>
    <n v="50"/>
    <n v="80"/>
    <x v="0"/>
  </r>
  <r>
    <d v="2021-09-21T00:00:00"/>
    <x v="3"/>
    <n v="39"/>
    <s v="MARTES"/>
    <x v="26"/>
    <x v="26"/>
    <n v="270"/>
    <n v="90"/>
    <n v="45.900000000000006"/>
    <x v="0"/>
  </r>
  <r>
    <d v="2021-09-21T00:00:00"/>
    <x v="3"/>
    <n v="39"/>
    <s v="MARTES"/>
    <x v="36"/>
    <x v="36"/>
    <n v="270"/>
    <n v="90"/>
    <n v="108"/>
    <x v="0"/>
  </r>
  <r>
    <d v="2021-09-21T00:00:00"/>
    <x v="3"/>
    <n v="39"/>
    <s v="MARTES"/>
    <x v="5"/>
    <x v="5"/>
    <n v="324"/>
    <n v="162"/>
    <n v="55.080000000000005"/>
    <x v="0"/>
  </r>
  <r>
    <d v="2021-09-21T00:00:00"/>
    <x v="3"/>
    <n v="39"/>
    <s v="MARTES"/>
    <x v="16"/>
    <x v="16"/>
    <n v="540"/>
    <n v="180"/>
    <n v="226.79999999999998"/>
    <x v="0"/>
  </r>
  <r>
    <d v="2021-09-21T00:00:00"/>
    <x v="3"/>
    <n v="39"/>
    <s v="MARTES"/>
    <x v="46"/>
    <x v="46"/>
    <n v="500"/>
    <n v="250"/>
    <n v="210"/>
    <x v="0"/>
  </r>
  <r>
    <d v="2021-09-21T00:00:00"/>
    <x v="3"/>
    <n v="39"/>
    <s v="MARTES"/>
    <x v="32"/>
    <x v="32"/>
    <n v="3360"/>
    <n v="420"/>
    <n v="1411.2"/>
    <x v="0"/>
  </r>
  <r>
    <d v="2021-09-21T00:00:00"/>
    <x v="3"/>
    <n v="39"/>
    <s v="MARTES"/>
    <x v="12"/>
    <x v="12"/>
    <n v="225"/>
    <n v="225"/>
    <n v="90"/>
    <x v="0"/>
  </r>
  <r>
    <d v="2021-09-21T00:00:00"/>
    <x v="3"/>
    <n v="39"/>
    <s v="MARTES"/>
    <x v="19"/>
    <x v="19"/>
    <n v="450"/>
    <n v="225"/>
    <n v="180"/>
    <x v="0"/>
  </r>
  <r>
    <d v="2021-09-21T00:00:00"/>
    <x v="3"/>
    <n v="39"/>
    <s v="MARTES"/>
    <x v="10"/>
    <x v="10"/>
    <n v="1680"/>
    <n v="120"/>
    <n v="285.60000000000002"/>
    <x v="0"/>
  </r>
  <r>
    <d v="2021-09-21T00:00:00"/>
    <x v="3"/>
    <n v="39"/>
    <s v="MARTES"/>
    <x v="35"/>
    <x v="35"/>
    <n v="180"/>
    <n v="180"/>
    <n v="75.599999999999994"/>
    <x v="0"/>
  </r>
  <r>
    <d v="2021-09-21T00:00:00"/>
    <x v="3"/>
    <n v="39"/>
    <s v="MARTES"/>
    <x v="45"/>
    <x v="45"/>
    <n v="5200"/>
    <n v="420"/>
    <n v="6240"/>
    <x v="0"/>
  </r>
  <r>
    <d v="2021-09-22T00:00:00"/>
    <x v="3"/>
    <n v="39"/>
    <s v="MIÉRCOLES"/>
    <x v="34"/>
    <x v="34"/>
    <n v="216"/>
    <n v="198"/>
    <n v="36.720000000000006"/>
    <x v="0"/>
  </r>
  <r>
    <d v="2021-09-22T00:00:00"/>
    <x v="3"/>
    <n v="39"/>
    <s v="MIÉRCOLES"/>
    <x v="0"/>
    <x v="0"/>
    <n v="528"/>
    <n v="48"/>
    <n v="211.20000000000002"/>
    <x v="0"/>
  </r>
  <r>
    <d v="2021-09-22T00:00:00"/>
    <x v="3"/>
    <n v="39"/>
    <s v="MIÉRCOLES"/>
    <x v="15"/>
    <x v="15"/>
    <n v="350"/>
    <n v="50"/>
    <n v="140"/>
    <x v="0"/>
  </r>
  <r>
    <d v="2021-09-22T00:00:00"/>
    <x v="3"/>
    <n v="39"/>
    <s v="MIÉRCOLES"/>
    <x v="14"/>
    <x v="14"/>
    <n v="200"/>
    <n v="40"/>
    <n v="46"/>
    <x v="0"/>
  </r>
  <r>
    <d v="2021-09-22T00:00:00"/>
    <x v="3"/>
    <n v="39"/>
    <s v="MIÉRCOLES"/>
    <x v="13"/>
    <x v="13"/>
    <n v="60"/>
    <n v="30"/>
    <n v="24"/>
    <x v="0"/>
  </r>
  <r>
    <d v="2021-09-22T00:00:00"/>
    <x v="3"/>
    <n v="39"/>
    <s v="MIÉRCOLES"/>
    <x v="28"/>
    <x v="28"/>
    <n v="60"/>
    <n v="30"/>
    <n v="13.8"/>
    <x v="0"/>
  </r>
  <r>
    <d v="2021-09-22T00:00:00"/>
    <x v="3"/>
    <n v="39"/>
    <s v="MIÉRCOLES"/>
    <x v="8"/>
    <x v="8"/>
    <n v="864"/>
    <n v="198"/>
    <n v="146.88000000000002"/>
    <x v="0"/>
  </r>
  <r>
    <d v="2021-09-22T00:00:00"/>
    <x v="3"/>
    <n v="39"/>
    <s v="MIÉRCOLES"/>
    <x v="26"/>
    <x v="26"/>
    <n v="1440"/>
    <n v="90"/>
    <n v="244.8"/>
    <x v="0"/>
  </r>
  <r>
    <d v="2021-09-22T00:00:00"/>
    <x v="3"/>
    <n v="39"/>
    <s v="MIÉRCOLES"/>
    <x v="25"/>
    <x v="25"/>
    <n v="450"/>
    <n v="225"/>
    <n v="189"/>
    <x v="0"/>
  </r>
  <r>
    <d v="2021-09-22T00:00:00"/>
    <x v="3"/>
    <n v="39"/>
    <s v="MIÉRCOLES"/>
    <x v="12"/>
    <x v="12"/>
    <n v="2250"/>
    <n v="225"/>
    <n v="900"/>
    <x v="0"/>
  </r>
  <r>
    <d v="2021-09-22T00:00:00"/>
    <x v="3"/>
    <n v="39"/>
    <s v="MIÉRCOLES"/>
    <x v="19"/>
    <x v="19"/>
    <n v="1575"/>
    <n v="225"/>
    <n v="630"/>
    <x v="0"/>
  </r>
  <r>
    <d v="2021-09-22T00:00:00"/>
    <x v="3"/>
    <n v="39"/>
    <s v="MIÉRCOLES"/>
    <x v="42"/>
    <x v="42"/>
    <n v="1000"/>
    <n v="420"/>
    <n v="420"/>
    <x v="0"/>
  </r>
  <r>
    <d v="2021-09-22T00:00:00"/>
    <x v="3"/>
    <n v="39"/>
    <s v="MIÉRCOLES"/>
    <x v="5"/>
    <x v="5"/>
    <n v="1134"/>
    <n v="162"/>
    <n v="192.78"/>
    <x v="0"/>
  </r>
  <r>
    <d v="2021-09-22T00:00:00"/>
    <x v="3"/>
    <n v="39"/>
    <s v="MIÉRCOLES"/>
    <x v="4"/>
    <x v="4"/>
    <n v="648"/>
    <n v="162"/>
    <n v="110.16000000000001"/>
    <x v="0"/>
  </r>
  <r>
    <d v="2021-09-22T00:00:00"/>
    <x v="3"/>
    <n v="39"/>
    <s v="MIÉRCOLES"/>
    <x v="3"/>
    <x v="3"/>
    <n v="1584"/>
    <n v="198"/>
    <n v="269.28000000000003"/>
    <x v="0"/>
  </r>
  <r>
    <d v="2021-09-22T00:00:00"/>
    <x v="3"/>
    <n v="39"/>
    <s v="MIÉRCOLES"/>
    <x v="29"/>
    <x v="29"/>
    <n v="864"/>
    <n v="198"/>
    <n v="146.88000000000002"/>
    <x v="0"/>
  </r>
  <r>
    <d v="2021-09-22T00:00:00"/>
    <x v="3"/>
    <n v="39"/>
    <s v="MIÉRCOLES"/>
    <x v="2"/>
    <x v="2"/>
    <n v="1728"/>
    <n v="198"/>
    <n v="293.76000000000005"/>
    <x v="0"/>
  </r>
  <r>
    <d v="2021-09-22T00:00:00"/>
    <x v="3"/>
    <n v="39"/>
    <s v="MIÉRCOLES"/>
    <x v="1"/>
    <x v="1"/>
    <n v="1728"/>
    <n v="198"/>
    <n v="293.76000000000005"/>
    <x v="0"/>
  </r>
  <r>
    <d v="2021-09-22T00:00:00"/>
    <x v="3"/>
    <n v="39"/>
    <s v="MIÉRCOLES"/>
    <x v="16"/>
    <x v="16"/>
    <n v="360"/>
    <n v="180"/>
    <n v="151.19999999999999"/>
    <x v="0"/>
  </r>
  <r>
    <d v="2021-09-22T00:00:00"/>
    <x v="3"/>
    <n v="39"/>
    <s v="MIÉRCOLES"/>
    <x v="16"/>
    <x v="16"/>
    <n v="540"/>
    <n v="180"/>
    <n v="226.79999999999998"/>
    <x v="0"/>
  </r>
  <r>
    <d v="2021-09-22T00:00:00"/>
    <x v="3"/>
    <n v="39"/>
    <s v="MIÉRCOLES"/>
    <x v="32"/>
    <x v="32"/>
    <n v="1680"/>
    <n v="420"/>
    <n v="705.6"/>
    <x v="0"/>
  </r>
  <r>
    <d v="2021-09-22T00:00:00"/>
    <x v="3"/>
    <n v="39"/>
    <s v="MIÉRCOLES"/>
    <x v="24"/>
    <x v="24"/>
    <n v="840"/>
    <n v="420"/>
    <n v="352.8"/>
    <x v="0"/>
  </r>
  <r>
    <d v="2021-09-22T00:00:00"/>
    <x v="3"/>
    <n v="39"/>
    <s v="MIÉRCOLES"/>
    <x v="45"/>
    <x v="45"/>
    <n v="3900"/>
    <n v="420"/>
    <n v="4680"/>
    <x v="0"/>
  </r>
  <r>
    <d v="2021-09-22T00:00:00"/>
    <x v="3"/>
    <n v="39"/>
    <s v="MIÉRCOLES"/>
    <x v="32"/>
    <x v="32"/>
    <n v="420"/>
    <n v="420"/>
    <n v="176.4"/>
    <x v="0"/>
  </r>
  <r>
    <d v="2021-09-22T00:00:00"/>
    <x v="3"/>
    <n v="39"/>
    <s v="MIÉRCOLES"/>
    <x v="35"/>
    <x v="35"/>
    <n v="180"/>
    <n v="180"/>
    <n v="75.599999999999994"/>
    <x v="0"/>
  </r>
  <r>
    <d v="2021-09-22T00:00:00"/>
    <x v="3"/>
    <n v="39"/>
    <s v="MIÉRCOLES"/>
    <x v="45"/>
    <x v="45"/>
    <n v="650"/>
    <n v="420"/>
    <n v="780"/>
    <x v="0"/>
  </r>
  <r>
    <d v="2021-09-23T00:00:00"/>
    <x v="3"/>
    <n v="39"/>
    <s v="JUEVES"/>
    <x v="0"/>
    <x v="0"/>
    <n v="336"/>
    <n v="48"/>
    <n v="134.4"/>
    <x v="0"/>
  </r>
  <r>
    <d v="2021-09-23T00:00:00"/>
    <x v="3"/>
    <n v="39"/>
    <s v="JUEVES"/>
    <x v="0"/>
    <x v="0"/>
    <n v="48"/>
    <n v="48"/>
    <n v="19.200000000000003"/>
    <x v="0"/>
  </r>
  <r>
    <d v="2021-09-23T00:00:00"/>
    <x v="3"/>
    <n v="39"/>
    <s v="JUEVES"/>
    <x v="6"/>
    <x v="6"/>
    <n v="1440"/>
    <n v="120"/>
    <n v="244.8"/>
    <x v="0"/>
  </r>
  <r>
    <d v="2021-09-23T00:00:00"/>
    <x v="3"/>
    <n v="39"/>
    <s v="JUEVES"/>
    <x v="8"/>
    <x v="8"/>
    <n v="864"/>
    <n v="198"/>
    <n v="146.88000000000002"/>
    <x v="0"/>
  </r>
  <r>
    <d v="2021-09-23T00:00:00"/>
    <x v="3"/>
    <n v="39"/>
    <s v="JUEVES"/>
    <x v="17"/>
    <x v="17"/>
    <n v="720"/>
    <n v="120"/>
    <n v="122.4"/>
    <x v="0"/>
  </r>
  <r>
    <d v="2021-09-23T00:00:00"/>
    <x v="3"/>
    <n v="39"/>
    <s v="JUEVES"/>
    <x v="23"/>
    <x v="23"/>
    <n v="720"/>
    <n v="90"/>
    <n v="122.4"/>
    <x v="0"/>
  </r>
  <r>
    <d v="2021-09-23T00:00:00"/>
    <x v="3"/>
    <n v="39"/>
    <s v="JUEVES"/>
    <x v="14"/>
    <x v="14"/>
    <n v="320"/>
    <n v="40"/>
    <n v="73.600000000000009"/>
    <x v="0"/>
  </r>
  <r>
    <d v="2021-09-23T00:00:00"/>
    <x v="3"/>
    <n v="39"/>
    <s v="JUEVES"/>
    <x v="1"/>
    <x v="1"/>
    <n v="648"/>
    <n v="198"/>
    <n v="110.16000000000001"/>
    <x v="0"/>
  </r>
  <r>
    <d v="2021-09-23T00:00:00"/>
    <x v="3"/>
    <n v="39"/>
    <s v="JUEVES"/>
    <x v="16"/>
    <x v="16"/>
    <n v="540"/>
    <n v="180"/>
    <n v="226.79999999999998"/>
    <x v="0"/>
  </r>
  <r>
    <d v="2021-09-23T00:00:00"/>
    <x v="3"/>
    <n v="39"/>
    <s v="JUEVES"/>
    <x v="38"/>
    <x v="38"/>
    <n v="560"/>
    <n v="112"/>
    <n v="224"/>
    <x v="0"/>
  </r>
  <r>
    <d v="2021-09-23T00:00:00"/>
    <x v="3"/>
    <n v="39"/>
    <s v="JUEVES"/>
    <x v="2"/>
    <x v="2"/>
    <n v="1080"/>
    <n v="198"/>
    <n v="183.60000000000002"/>
    <x v="0"/>
  </r>
  <r>
    <d v="2021-09-23T00:00:00"/>
    <x v="3"/>
    <n v="39"/>
    <s v="JUEVES"/>
    <x v="3"/>
    <x v="3"/>
    <n v="990"/>
    <n v="198"/>
    <n v="168.3"/>
    <x v="0"/>
  </r>
  <r>
    <d v="2021-09-23T00:00:00"/>
    <x v="3"/>
    <n v="39"/>
    <s v="JUEVES"/>
    <x v="40"/>
    <x v="40"/>
    <n v="448"/>
    <n v="240"/>
    <n v="179.20000000000002"/>
    <x v="0"/>
  </r>
  <r>
    <d v="2021-09-23T00:00:00"/>
    <x v="3"/>
    <n v="39"/>
    <s v="JUEVES"/>
    <x v="4"/>
    <x v="4"/>
    <n v="972"/>
    <n v="162"/>
    <n v="165.24"/>
    <x v="0"/>
  </r>
  <r>
    <d v="2021-09-23T00:00:00"/>
    <x v="3"/>
    <n v="39"/>
    <s v="JUEVES"/>
    <x v="5"/>
    <x v="5"/>
    <n v="324"/>
    <n v="162"/>
    <n v="55.080000000000005"/>
    <x v="0"/>
  </r>
  <r>
    <d v="2021-09-23T00:00:00"/>
    <x v="3"/>
    <n v="39"/>
    <s v="JUEVES"/>
    <x v="5"/>
    <x v="5"/>
    <n v="486"/>
    <n v="162"/>
    <n v="82.62"/>
    <x v="0"/>
  </r>
  <r>
    <d v="2021-09-23T00:00:00"/>
    <x v="3"/>
    <n v="39"/>
    <s v="JUEVES"/>
    <x v="19"/>
    <x v="19"/>
    <n v="450"/>
    <n v="225"/>
    <n v="180"/>
    <x v="0"/>
  </r>
  <r>
    <d v="2021-09-23T00:00:00"/>
    <x v="3"/>
    <n v="39"/>
    <s v="JUEVES"/>
    <x v="13"/>
    <x v="13"/>
    <n v="210"/>
    <n v="30"/>
    <n v="84"/>
    <x v="0"/>
  </r>
  <r>
    <d v="2021-09-23T00:00:00"/>
    <x v="3"/>
    <n v="39"/>
    <s v="JUEVES"/>
    <x v="28"/>
    <x v="28"/>
    <n v="240"/>
    <n v="30"/>
    <n v="55.2"/>
    <x v="0"/>
  </r>
  <r>
    <d v="2021-09-23T00:00:00"/>
    <x v="3"/>
    <n v="39"/>
    <s v="JUEVES"/>
    <x v="28"/>
    <x v="28"/>
    <n v="30"/>
    <n v="30"/>
    <n v="6.9"/>
    <x v="0"/>
  </r>
  <r>
    <d v="2021-09-23T00:00:00"/>
    <x v="3"/>
    <n v="39"/>
    <s v="JUEVES"/>
    <x v="34"/>
    <x v="34"/>
    <n v="1080"/>
    <n v="198"/>
    <n v="183.60000000000002"/>
    <x v="0"/>
  </r>
  <r>
    <d v="2021-09-23T00:00:00"/>
    <x v="3"/>
    <n v="39"/>
    <s v="JUEVES"/>
    <x v="42"/>
    <x v="42"/>
    <n v="1000"/>
    <n v="420"/>
    <n v="420"/>
    <x v="0"/>
  </r>
  <r>
    <d v="2021-09-23T00:00:00"/>
    <x v="3"/>
    <n v="39"/>
    <s v="JUEVES"/>
    <x v="29"/>
    <x v="29"/>
    <n v="1080"/>
    <n v="198"/>
    <n v="183.60000000000002"/>
    <x v="0"/>
  </r>
  <r>
    <d v="2021-09-23T00:00:00"/>
    <x v="3"/>
    <n v="39"/>
    <s v="JUEVES"/>
    <x v="32"/>
    <x v="32"/>
    <n v="840"/>
    <n v="420"/>
    <n v="352.8"/>
    <x v="0"/>
  </r>
  <r>
    <d v="2021-09-23T00:00:00"/>
    <x v="3"/>
    <n v="39"/>
    <s v="JUEVES"/>
    <x v="24"/>
    <x v="24"/>
    <n v="2100"/>
    <n v="420"/>
    <n v="882"/>
    <x v="0"/>
  </r>
  <r>
    <d v="2021-09-23T00:00:00"/>
    <x v="3"/>
    <n v="39"/>
    <s v="JUEVES"/>
    <x v="26"/>
    <x v="26"/>
    <n v="2160"/>
    <n v="90"/>
    <n v="367.20000000000005"/>
    <x v="0"/>
  </r>
  <r>
    <d v="2021-09-23T00:00:00"/>
    <x v="3"/>
    <n v="39"/>
    <s v="JUEVES"/>
    <x v="12"/>
    <x v="12"/>
    <n v="1125"/>
    <n v="225"/>
    <n v="450"/>
    <x v="0"/>
  </r>
  <r>
    <d v="2021-09-23T00:00:00"/>
    <x v="3"/>
    <n v="39"/>
    <s v="JUEVES"/>
    <x v="25"/>
    <x v="25"/>
    <n v="1350"/>
    <n v="225"/>
    <n v="567"/>
    <x v="0"/>
  </r>
  <r>
    <d v="2021-09-23T00:00:00"/>
    <x v="3"/>
    <n v="39"/>
    <s v="JUEVES"/>
    <x v="11"/>
    <x v="11"/>
    <n v="1440"/>
    <n v="90"/>
    <n v="244.8"/>
    <x v="0"/>
  </r>
  <r>
    <d v="2021-09-23T00:00:00"/>
    <x v="3"/>
    <n v="39"/>
    <s v="JUEVES"/>
    <x v="15"/>
    <x v="15"/>
    <n v="250"/>
    <n v="50"/>
    <n v="100"/>
    <x v="0"/>
  </r>
  <r>
    <d v="2021-09-23T00:00:00"/>
    <x v="3"/>
    <n v="39"/>
    <s v="JUEVES"/>
    <x v="33"/>
    <x v="33"/>
    <n v="40"/>
    <n v="40"/>
    <n v="9.2000000000000011"/>
    <x v="0"/>
  </r>
  <r>
    <d v="2021-09-23T00:00:00"/>
    <x v="3"/>
    <n v="39"/>
    <s v="JUEVES"/>
    <x v="45"/>
    <x v="45"/>
    <n v="260"/>
    <n v="420"/>
    <n v="312"/>
    <x v="0"/>
  </r>
  <r>
    <d v="2021-09-24T00:00:00"/>
    <x v="3"/>
    <n v="39"/>
    <s v="VIERNES"/>
    <x v="43"/>
    <x v="43"/>
    <n v="500"/>
    <n v="420"/>
    <n v="210"/>
    <x v="0"/>
  </r>
  <r>
    <d v="2021-09-23T00:00:00"/>
    <x v="3"/>
    <n v="39"/>
    <s v="JUEVES"/>
    <x v="32"/>
    <x v="32"/>
    <n v="1260"/>
    <n v="420"/>
    <n v="529.19999999999993"/>
    <x v="0"/>
  </r>
  <r>
    <d v="2021-09-24T00:00:00"/>
    <x v="3"/>
    <n v="39"/>
    <s v="VIERNES"/>
    <x v="25"/>
    <x v="25"/>
    <n v="675"/>
    <n v="225"/>
    <n v="283.5"/>
    <x v="0"/>
  </r>
  <r>
    <d v="2021-09-24T00:00:00"/>
    <x v="3"/>
    <n v="39"/>
    <s v="VIERNES"/>
    <x v="43"/>
    <x v="43"/>
    <n v="250"/>
    <n v="420"/>
    <n v="105"/>
    <x v="0"/>
  </r>
  <r>
    <d v="2021-09-24T00:00:00"/>
    <x v="3"/>
    <n v="39"/>
    <s v="VIERNES"/>
    <x v="42"/>
    <x v="42"/>
    <n v="250"/>
    <n v="420"/>
    <n v="105"/>
    <x v="0"/>
  </r>
  <r>
    <d v="2021-09-24T00:00:00"/>
    <x v="3"/>
    <n v="39"/>
    <s v="VIERNES"/>
    <x v="12"/>
    <x v="12"/>
    <n v="450"/>
    <n v="225"/>
    <n v="180"/>
    <x v="0"/>
  </r>
  <r>
    <d v="2021-09-24T00:00:00"/>
    <x v="3"/>
    <n v="39"/>
    <s v="VIERNES"/>
    <x v="28"/>
    <x v="28"/>
    <n v="90"/>
    <n v="30"/>
    <n v="20.7"/>
    <x v="0"/>
  </r>
  <r>
    <d v="2021-09-24T00:00:00"/>
    <x v="3"/>
    <n v="39"/>
    <s v="VIERNES"/>
    <x v="15"/>
    <x v="15"/>
    <n v="100"/>
    <n v="50"/>
    <n v="40"/>
    <x v="0"/>
  </r>
  <r>
    <d v="2021-09-24T00:00:00"/>
    <x v="3"/>
    <n v="39"/>
    <s v="VIERNES"/>
    <x v="38"/>
    <x v="38"/>
    <n v="224"/>
    <n v="112"/>
    <n v="89.600000000000009"/>
    <x v="0"/>
  </r>
  <r>
    <d v="2021-09-24T00:00:00"/>
    <x v="3"/>
    <n v="39"/>
    <s v="VIERNES"/>
    <x v="24"/>
    <x v="24"/>
    <n v="2520"/>
    <n v="420"/>
    <n v="1058.3999999999999"/>
    <x v="0"/>
  </r>
  <r>
    <d v="2021-09-24T00:00:00"/>
    <x v="3"/>
    <n v="39"/>
    <s v="VIERNES"/>
    <x v="32"/>
    <x v="32"/>
    <n v="840"/>
    <n v="420"/>
    <n v="352.8"/>
    <x v="0"/>
  </r>
  <r>
    <d v="2021-09-24T00:00:00"/>
    <x v="3"/>
    <n v="39"/>
    <s v="VIERNES"/>
    <x v="32"/>
    <x v="32"/>
    <n v="840"/>
    <n v="420"/>
    <n v="352.8"/>
    <x v="0"/>
  </r>
  <r>
    <d v="2021-09-24T00:00:00"/>
    <x v="3"/>
    <n v="39"/>
    <s v="VIERNES"/>
    <x v="16"/>
    <x v="16"/>
    <n v="360"/>
    <n v="180"/>
    <n v="151.19999999999999"/>
    <x v="0"/>
  </r>
  <r>
    <d v="2021-09-24T00:00:00"/>
    <x v="3"/>
    <n v="39"/>
    <s v="VIERNES"/>
    <x v="1"/>
    <x v="1"/>
    <n v="432"/>
    <n v="198"/>
    <n v="73.440000000000012"/>
    <x v="0"/>
  </r>
  <r>
    <d v="2021-09-24T00:00:00"/>
    <x v="3"/>
    <n v="39"/>
    <s v="VIERNES"/>
    <x v="3"/>
    <x v="3"/>
    <n v="594"/>
    <n v="198"/>
    <n v="100.98"/>
    <x v="0"/>
  </r>
  <r>
    <d v="2021-09-24T00:00:00"/>
    <x v="3"/>
    <n v="39"/>
    <s v="VIERNES"/>
    <x v="4"/>
    <x v="4"/>
    <n v="324"/>
    <n v="162"/>
    <n v="55.080000000000005"/>
    <x v="0"/>
  </r>
  <r>
    <d v="2021-09-24T00:00:00"/>
    <x v="3"/>
    <n v="39"/>
    <s v="VIERNES"/>
    <x v="5"/>
    <x v="5"/>
    <n v="324"/>
    <n v="162"/>
    <n v="55.080000000000005"/>
    <x v="0"/>
  </r>
  <r>
    <d v="2021-09-24T00:00:00"/>
    <x v="3"/>
    <n v="39"/>
    <s v="VIERNES"/>
    <x v="10"/>
    <x v="10"/>
    <n v="4800"/>
    <n v="120"/>
    <n v="816.00000000000011"/>
    <x v="0"/>
  </r>
  <r>
    <d v="2021-09-24T00:00:00"/>
    <x v="3"/>
    <n v="39"/>
    <s v="VIERNES"/>
    <x v="9"/>
    <x v="9"/>
    <n v="2430"/>
    <n v="90"/>
    <n v="413.1"/>
    <x v="0"/>
  </r>
  <r>
    <d v="2021-09-24T00:00:00"/>
    <x v="3"/>
    <n v="39"/>
    <s v="VIERNES"/>
    <x v="9"/>
    <x v="9"/>
    <n v="450"/>
    <n v="90"/>
    <n v="76.5"/>
    <x v="0"/>
  </r>
  <r>
    <d v="2021-09-24T00:00:00"/>
    <x v="3"/>
    <n v="39"/>
    <s v="VIERNES"/>
    <x v="11"/>
    <x v="11"/>
    <n v="3060"/>
    <n v="90"/>
    <n v="520.20000000000005"/>
    <x v="0"/>
  </r>
  <r>
    <d v="2021-09-24T00:00:00"/>
    <x v="3"/>
    <n v="39"/>
    <s v="VIERNES"/>
    <x v="25"/>
    <x v="25"/>
    <n v="675"/>
    <n v="225"/>
    <n v="283.5"/>
    <x v="0"/>
  </r>
  <r>
    <d v="2021-09-24T00:00:00"/>
    <x v="3"/>
    <n v="39"/>
    <s v="VIERNES"/>
    <x v="6"/>
    <x v="6"/>
    <n v="960"/>
    <n v="120"/>
    <n v="163.20000000000002"/>
    <x v="0"/>
  </r>
  <r>
    <d v="2021-09-24T00:00:00"/>
    <x v="3"/>
    <n v="39"/>
    <s v="VIERNES"/>
    <x v="26"/>
    <x v="26"/>
    <n v="1080"/>
    <n v="90"/>
    <n v="183.60000000000002"/>
    <x v="0"/>
  </r>
  <r>
    <d v="2021-09-24T00:00:00"/>
    <x v="3"/>
    <n v="39"/>
    <s v="VIERNES"/>
    <x v="23"/>
    <x v="23"/>
    <n v="1080"/>
    <n v="90"/>
    <n v="183.60000000000002"/>
    <x v="0"/>
  </r>
  <r>
    <d v="2021-09-24T00:00:00"/>
    <x v="3"/>
    <n v="39"/>
    <s v="VIERNES"/>
    <x v="7"/>
    <x v="7"/>
    <n v="648"/>
    <n v="198"/>
    <n v="110.16000000000001"/>
    <x v="0"/>
  </r>
  <r>
    <d v="2021-09-24T00:00:00"/>
    <x v="3"/>
    <n v="39"/>
    <s v="VIERNES"/>
    <x v="22"/>
    <x v="22"/>
    <n v="396"/>
    <n v="198"/>
    <n v="67.320000000000007"/>
    <x v="0"/>
  </r>
  <r>
    <d v="2021-09-25T00:00:00"/>
    <x v="3"/>
    <n v="40"/>
    <s v="SÁBADO"/>
    <x v="0"/>
    <x v="0"/>
    <n v="576"/>
    <n v="48"/>
    <n v="230.4"/>
    <x v="0"/>
  </r>
  <r>
    <d v="2021-09-25T00:00:00"/>
    <x v="3"/>
    <n v="40"/>
    <s v="SÁBADO"/>
    <x v="33"/>
    <x v="33"/>
    <n v="160"/>
    <n v="40"/>
    <n v="36.800000000000004"/>
    <x v="0"/>
  </r>
  <r>
    <d v="2021-09-25T00:00:00"/>
    <x v="3"/>
    <n v="40"/>
    <s v="SÁBADO"/>
    <x v="14"/>
    <x v="14"/>
    <n v="160"/>
    <n v="40"/>
    <n v="36.800000000000004"/>
    <x v="0"/>
  </r>
  <r>
    <d v="2021-09-25T00:00:00"/>
    <x v="3"/>
    <n v="40"/>
    <s v="SÁBADO"/>
    <x v="15"/>
    <x v="15"/>
    <n v="550"/>
    <n v="50"/>
    <n v="220"/>
    <x v="0"/>
  </r>
  <r>
    <d v="2021-09-25T00:00:00"/>
    <x v="3"/>
    <n v="40"/>
    <s v="SÁBADO"/>
    <x v="24"/>
    <x v="24"/>
    <n v="1680"/>
    <n v="420"/>
    <n v="705.6"/>
    <x v="0"/>
  </r>
  <r>
    <d v="2021-09-25T00:00:00"/>
    <x v="3"/>
    <n v="40"/>
    <s v="SÁBADO"/>
    <x v="16"/>
    <x v="16"/>
    <n v="1080"/>
    <n v="180"/>
    <n v="453.59999999999997"/>
    <x v="0"/>
  </r>
  <r>
    <d v="2021-09-25T00:00:00"/>
    <x v="3"/>
    <n v="40"/>
    <s v="SÁBADO"/>
    <x v="11"/>
    <x v="11"/>
    <n v="1980"/>
    <n v="90"/>
    <n v="336.6"/>
    <x v="0"/>
  </r>
  <r>
    <d v="2021-09-25T00:00:00"/>
    <x v="3"/>
    <n v="40"/>
    <s v="SÁBADO"/>
    <x v="11"/>
    <x v="11"/>
    <n v="180"/>
    <n v="90"/>
    <n v="30.6"/>
    <x v="0"/>
  </r>
  <r>
    <d v="2021-09-25T00:00:00"/>
    <x v="3"/>
    <n v="40"/>
    <s v="SÁBADO"/>
    <x v="10"/>
    <x v="10"/>
    <n v="360"/>
    <n v="120"/>
    <n v="61.2"/>
    <x v="0"/>
  </r>
  <r>
    <d v="2021-09-25T00:00:00"/>
    <x v="3"/>
    <n v="40"/>
    <s v="SÁBADO"/>
    <x v="10"/>
    <x v="10"/>
    <n v="5160"/>
    <n v="120"/>
    <n v="877.2"/>
    <x v="0"/>
  </r>
  <r>
    <d v="2021-09-25T00:00:00"/>
    <x v="3"/>
    <n v="40"/>
    <s v="SÁBADO"/>
    <x v="9"/>
    <x v="9"/>
    <n v="2880"/>
    <n v="90"/>
    <n v="489.6"/>
    <x v="0"/>
  </r>
  <r>
    <d v="2021-09-25T00:00:00"/>
    <x v="3"/>
    <n v="40"/>
    <s v="SÁBADO"/>
    <x v="22"/>
    <x v="22"/>
    <n v="594"/>
    <n v="198"/>
    <n v="100.98"/>
    <x v="0"/>
  </r>
  <r>
    <d v="2021-09-25T00:00:00"/>
    <x v="3"/>
    <n v="40"/>
    <s v="SÁBADO"/>
    <x v="5"/>
    <x v="5"/>
    <n v="162"/>
    <n v="162"/>
    <n v="27.540000000000003"/>
    <x v="0"/>
  </r>
  <r>
    <d v="2021-09-25T00:00:00"/>
    <x v="3"/>
    <n v="40"/>
    <s v="SÁBADO"/>
    <x v="6"/>
    <x v="6"/>
    <n v="120"/>
    <n v="120"/>
    <n v="20.400000000000002"/>
    <x v="0"/>
  </r>
  <r>
    <d v="2021-09-25T00:00:00"/>
    <x v="3"/>
    <n v="40"/>
    <s v="SÁBADO"/>
    <x v="2"/>
    <x v="2"/>
    <n v="1296"/>
    <n v="198"/>
    <n v="220.32000000000002"/>
    <x v="0"/>
  </r>
  <r>
    <d v="2021-09-25T00:00:00"/>
    <x v="3"/>
    <n v="40"/>
    <s v="SÁBADO"/>
    <x v="1"/>
    <x v="1"/>
    <n v="1080"/>
    <n v="198"/>
    <n v="183.60000000000002"/>
    <x v="0"/>
  </r>
  <r>
    <d v="2021-09-25T00:00:00"/>
    <x v="3"/>
    <n v="40"/>
    <s v="SÁBADO"/>
    <x v="28"/>
    <x v="28"/>
    <n v="210"/>
    <n v="30"/>
    <n v="48.300000000000004"/>
    <x v="0"/>
  </r>
  <r>
    <d v="2021-09-25T00:00:00"/>
    <x v="3"/>
    <n v="40"/>
    <s v="SÁBADO"/>
    <x v="13"/>
    <x v="13"/>
    <n v="120"/>
    <n v="30"/>
    <n v="48"/>
    <x v="0"/>
  </r>
  <r>
    <d v="2021-09-25T00:00:00"/>
    <x v="3"/>
    <n v="40"/>
    <s v="SÁBADO"/>
    <x v="32"/>
    <x v="32"/>
    <n v="1260"/>
    <n v="420"/>
    <n v="529.19999999999993"/>
    <x v="0"/>
  </r>
  <r>
    <d v="2021-09-25T00:00:00"/>
    <x v="3"/>
    <n v="40"/>
    <s v="SÁBADO"/>
    <x v="7"/>
    <x v="7"/>
    <n v="1728"/>
    <n v="198"/>
    <n v="293.76000000000005"/>
    <x v="0"/>
  </r>
  <r>
    <d v="2021-09-25T00:00:00"/>
    <x v="3"/>
    <n v="40"/>
    <s v="SÁBADO"/>
    <x v="3"/>
    <x v="3"/>
    <n v="396"/>
    <n v="198"/>
    <n v="67.320000000000007"/>
    <x v="0"/>
  </r>
  <r>
    <d v="2021-09-26T00:00:00"/>
    <x v="3"/>
    <n v="40"/>
    <s v="DOMINGO"/>
    <x v="25"/>
    <x v="25"/>
    <n v="1125"/>
    <n v="225"/>
    <n v="472.5"/>
    <x v="0"/>
  </r>
  <r>
    <d v="2021-09-26T00:00:00"/>
    <x v="3"/>
    <n v="40"/>
    <s v="DOMINGO"/>
    <x v="32"/>
    <x v="32"/>
    <n v="2100"/>
    <n v="420"/>
    <n v="882"/>
    <x v="0"/>
  </r>
  <r>
    <d v="2021-09-26T00:00:00"/>
    <x v="3"/>
    <n v="40"/>
    <s v="DOMINGO"/>
    <x v="24"/>
    <x v="24"/>
    <n v="2520"/>
    <n v="420"/>
    <n v="1058.3999999999999"/>
    <x v="0"/>
  </r>
  <r>
    <d v="2021-09-26T00:00:00"/>
    <x v="3"/>
    <n v="40"/>
    <s v="DOMINGO"/>
    <x v="25"/>
    <x v="25"/>
    <n v="1125"/>
    <n v="225"/>
    <n v="472.5"/>
    <x v="0"/>
  </r>
  <r>
    <d v="2021-09-26T00:00:00"/>
    <x v="3"/>
    <n v="40"/>
    <s v="DOMINGO"/>
    <x v="7"/>
    <x v="7"/>
    <n v="1944"/>
    <n v="198"/>
    <n v="330.48"/>
    <x v="0"/>
  </r>
  <r>
    <d v="2021-09-26T00:00:00"/>
    <x v="3"/>
    <n v="40"/>
    <s v="DOMINGO"/>
    <x v="8"/>
    <x v="8"/>
    <n v="1296"/>
    <n v="198"/>
    <n v="220.32000000000002"/>
    <x v="0"/>
  </r>
  <r>
    <d v="2021-09-26T00:00:00"/>
    <x v="3"/>
    <n v="40"/>
    <s v="DOMINGO"/>
    <x v="11"/>
    <x v="11"/>
    <n v="720"/>
    <n v="90"/>
    <n v="122.4"/>
    <x v="0"/>
  </r>
  <r>
    <d v="2021-09-26T00:00:00"/>
    <x v="3"/>
    <n v="40"/>
    <s v="DOMINGO"/>
    <x v="4"/>
    <x v="4"/>
    <n v="324"/>
    <n v="162"/>
    <n v="55.080000000000005"/>
    <x v="0"/>
  </r>
  <r>
    <d v="2021-09-26T00:00:00"/>
    <x v="3"/>
    <n v="40"/>
    <s v="DOMINGO"/>
    <x v="2"/>
    <x v="2"/>
    <n v="2160"/>
    <n v="198"/>
    <n v="367.20000000000005"/>
    <x v="0"/>
  </r>
  <r>
    <d v="2021-09-26T00:00:00"/>
    <x v="3"/>
    <n v="40"/>
    <s v="DOMINGO"/>
    <x v="6"/>
    <x v="6"/>
    <n v="2640"/>
    <n v="120"/>
    <n v="448.8"/>
    <x v="0"/>
  </r>
  <r>
    <d v="2021-09-26T00:00:00"/>
    <x v="3"/>
    <n v="40"/>
    <s v="DOMINGO"/>
    <x v="17"/>
    <x v="17"/>
    <n v="360"/>
    <n v="120"/>
    <n v="61.2"/>
    <x v="0"/>
  </r>
  <r>
    <d v="2021-09-26T00:00:00"/>
    <x v="3"/>
    <n v="40"/>
    <s v="DOMINGO"/>
    <x v="10"/>
    <x v="10"/>
    <n v="2640"/>
    <n v="120"/>
    <n v="448.8"/>
    <x v="0"/>
  </r>
  <r>
    <d v="2021-09-26T00:00:00"/>
    <x v="3"/>
    <n v="40"/>
    <s v="DOMINGO"/>
    <x v="0"/>
    <x v="0"/>
    <n v="336"/>
    <n v="48"/>
    <n v="134.4"/>
    <x v="0"/>
  </r>
  <r>
    <d v="2021-09-26T00:00:00"/>
    <x v="3"/>
    <n v="40"/>
    <s v="DOMINGO"/>
    <x v="43"/>
    <x v="43"/>
    <n v="1000"/>
    <n v="420"/>
    <n v="420"/>
    <x v="0"/>
  </r>
  <r>
    <d v="2021-09-26T00:00:00"/>
    <x v="3"/>
    <n v="40"/>
    <s v="DOMINGO"/>
    <x v="1"/>
    <x v="1"/>
    <n v="1296"/>
    <n v="198"/>
    <n v="220.32000000000002"/>
    <x v="0"/>
  </r>
  <r>
    <d v="2021-09-27T00:00:00"/>
    <x v="3"/>
    <n v="40"/>
    <s v="LUNES"/>
    <x v="11"/>
    <x v="11"/>
    <n v="540"/>
    <n v="90"/>
    <n v="91.800000000000011"/>
    <x v="0"/>
  </r>
  <r>
    <d v="2021-09-27T00:00:00"/>
    <x v="3"/>
    <n v="40"/>
    <s v="LUNES"/>
    <x v="10"/>
    <x v="10"/>
    <n v="240"/>
    <n v="120"/>
    <n v="40.800000000000004"/>
    <x v="0"/>
  </r>
  <r>
    <d v="2021-09-27T00:00:00"/>
    <x v="3"/>
    <n v="40"/>
    <s v="LUNES"/>
    <x v="22"/>
    <x v="22"/>
    <n v="396"/>
    <n v="198"/>
    <n v="67.320000000000007"/>
    <x v="0"/>
  </r>
  <r>
    <d v="2021-09-27T00:00:00"/>
    <x v="3"/>
    <n v="40"/>
    <s v="LUNES"/>
    <x v="8"/>
    <x v="8"/>
    <n v="432"/>
    <n v="198"/>
    <n v="73.440000000000012"/>
    <x v="0"/>
  </r>
  <r>
    <d v="2021-09-27T00:00:00"/>
    <x v="3"/>
    <n v="40"/>
    <s v="LUNES"/>
    <x v="2"/>
    <x v="2"/>
    <n v="648"/>
    <n v="198"/>
    <n v="110.16000000000001"/>
    <x v="0"/>
  </r>
  <r>
    <d v="2021-09-27T00:00:00"/>
    <x v="3"/>
    <n v="40"/>
    <s v="LUNES"/>
    <x v="7"/>
    <x v="7"/>
    <n v="432"/>
    <n v="198"/>
    <n v="73.440000000000012"/>
    <x v="0"/>
  </r>
  <r>
    <d v="2021-09-27T00:00:00"/>
    <x v="3"/>
    <n v="40"/>
    <s v="LUNES"/>
    <x v="17"/>
    <x v="17"/>
    <n v="720"/>
    <n v="120"/>
    <n v="122.4"/>
    <x v="0"/>
  </r>
  <r>
    <d v="2021-09-28T00:00:00"/>
    <x v="3"/>
    <n v="40"/>
    <s v="MARTES"/>
    <x v="1"/>
    <x v="1"/>
    <n v="6048"/>
    <n v="198"/>
    <n v="1028.1600000000001"/>
    <x v="0"/>
  </r>
  <r>
    <d v="2021-09-28T00:00:00"/>
    <x v="3"/>
    <n v="40"/>
    <s v="MARTES"/>
    <x v="13"/>
    <x v="13"/>
    <n v="30"/>
    <n v="30"/>
    <n v="12"/>
    <x v="0"/>
  </r>
  <r>
    <d v="2021-09-28T00:00:00"/>
    <x v="3"/>
    <n v="40"/>
    <s v="MARTES"/>
    <x v="15"/>
    <x v="15"/>
    <n v="50"/>
    <n v="50"/>
    <n v="20"/>
    <x v="0"/>
  </r>
  <r>
    <d v="2021-09-28T00:00:00"/>
    <x v="3"/>
    <n v="40"/>
    <s v="MARTES"/>
    <x v="0"/>
    <x v="0"/>
    <n v="576"/>
    <n v="48"/>
    <n v="230.4"/>
    <x v="0"/>
  </r>
  <r>
    <d v="2021-09-28T00:00:00"/>
    <x v="3"/>
    <n v="40"/>
    <s v="MARTES"/>
    <x v="24"/>
    <x v="24"/>
    <n v="3360"/>
    <n v="420"/>
    <n v="1411.2"/>
    <x v="0"/>
  </r>
  <r>
    <d v="2021-09-28T00:00:00"/>
    <x v="3"/>
    <n v="40"/>
    <s v="MARTES"/>
    <x v="2"/>
    <x v="2"/>
    <n v="2808"/>
    <n v="198"/>
    <n v="477.36"/>
    <x v="0"/>
  </r>
  <r>
    <d v="2021-09-28T00:00:00"/>
    <x v="3"/>
    <n v="40"/>
    <s v="MARTES"/>
    <x v="22"/>
    <x v="22"/>
    <n v="990"/>
    <n v="198"/>
    <n v="168.3"/>
    <x v="0"/>
  </r>
  <r>
    <d v="2021-09-28T00:00:00"/>
    <x v="3"/>
    <n v="40"/>
    <s v="MARTES"/>
    <x v="3"/>
    <x v="3"/>
    <n v="594"/>
    <n v="198"/>
    <n v="100.98"/>
    <x v="0"/>
  </r>
  <r>
    <d v="2021-09-28T00:00:00"/>
    <x v="3"/>
    <n v="40"/>
    <s v="MARTES"/>
    <x v="6"/>
    <x v="6"/>
    <n v="1200"/>
    <n v="120"/>
    <n v="204.00000000000003"/>
    <x v="0"/>
  </r>
  <r>
    <d v="2021-09-28T00:00:00"/>
    <x v="3"/>
    <n v="40"/>
    <s v="MARTES"/>
    <x v="7"/>
    <x v="7"/>
    <n v="5400"/>
    <n v="198"/>
    <n v="918.00000000000011"/>
    <x v="0"/>
  </r>
  <r>
    <d v="2021-09-28T00:00:00"/>
    <x v="3"/>
    <n v="40"/>
    <s v="MARTES"/>
    <x v="8"/>
    <x v="8"/>
    <n v="4752"/>
    <n v="198"/>
    <n v="807.84"/>
    <x v="0"/>
  </r>
  <r>
    <d v="2021-09-28T00:00:00"/>
    <x v="3"/>
    <n v="40"/>
    <s v="MARTES"/>
    <x v="11"/>
    <x v="11"/>
    <n v="3240"/>
    <n v="90"/>
    <n v="550.80000000000007"/>
    <x v="0"/>
  </r>
  <r>
    <d v="2021-09-28T00:00:00"/>
    <x v="3"/>
    <n v="40"/>
    <s v="MARTES"/>
    <x v="25"/>
    <x v="25"/>
    <n v="450"/>
    <n v="225"/>
    <n v="189"/>
    <x v="0"/>
  </r>
  <r>
    <d v="2021-09-28T00:00:00"/>
    <x v="3"/>
    <n v="40"/>
    <s v="MARTES"/>
    <x v="38"/>
    <x v="38"/>
    <n v="112"/>
    <n v="112"/>
    <n v="44.800000000000004"/>
    <x v="0"/>
  </r>
  <r>
    <d v="2021-09-28T00:00:00"/>
    <x v="3"/>
    <n v="40"/>
    <s v="MARTES"/>
    <x v="1"/>
    <x v="1"/>
    <n v="432"/>
    <n v="198"/>
    <n v="73.440000000000012"/>
    <x v="0"/>
  </r>
  <r>
    <d v="2021-09-28T00:00:00"/>
    <x v="3"/>
    <n v="40"/>
    <s v="MARTES"/>
    <x v="17"/>
    <x v="17"/>
    <n v="1200"/>
    <n v="120"/>
    <n v="204.00000000000003"/>
    <x v="0"/>
  </r>
  <r>
    <d v="2021-09-28T00:00:00"/>
    <x v="3"/>
    <n v="40"/>
    <s v="MARTES"/>
    <x v="24"/>
    <x v="24"/>
    <n v="1680"/>
    <n v="420"/>
    <n v="705.6"/>
    <x v="0"/>
  </r>
  <r>
    <d v="2021-09-29T00:00:00"/>
    <x v="3"/>
    <n v="40"/>
    <s v="MIÉRCOLES"/>
    <x v="7"/>
    <x v="7"/>
    <n v="1728"/>
    <n v="198"/>
    <n v="293.76000000000005"/>
    <x v="0"/>
  </r>
  <r>
    <d v="2021-09-29T00:00:00"/>
    <x v="3"/>
    <n v="40"/>
    <s v="MIÉRCOLES"/>
    <x v="8"/>
    <x v="8"/>
    <n v="864"/>
    <n v="198"/>
    <n v="146.88000000000002"/>
    <x v="0"/>
  </r>
  <r>
    <d v="2021-09-29T00:00:00"/>
    <x v="3"/>
    <n v="40"/>
    <s v="MIÉRCOLES"/>
    <x v="10"/>
    <x v="10"/>
    <n v="600"/>
    <n v="120"/>
    <n v="102.00000000000001"/>
    <x v="0"/>
  </r>
  <r>
    <d v="2021-09-29T00:00:00"/>
    <x v="3"/>
    <n v="40"/>
    <s v="MIÉRCOLES"/>
    <x v="28"/>
    <x v="28"/>
    <n v="60"/>
    <n v="30"/>
    <n v="13.8"/>
    <x v="0"/>
  </r>
  <r>
    <d v="2021-09-29T00:00:00"/>
    <x v="3"/>
    <n v="40"/>
    <s v="MIÉRCOLES"/>
    <x v="15"/>
    <x v="15"/>
    <n v="150"/>
    <n v="50"/>
    <n v="60"/>
    <x v="0"/>
  </r>
  <r>
    <d v="2021-09-29T00:00:00"/>
    <x v="3"/>
    <n v="40"/>
    <s v="MIÉRCOLES"/>
    <x v="0"/>
    <x v="0"/>
    <n v="336"/>
    <n v="48"/>
    <n v="134.4"/>
    <x v="0"/>
  </r>
  <r>
    <d v="2021-09-29T00:00:00"/>
    <x v="3"/>
    <n v="40"/>
    <s v="MIÉRCOLES"/>
    <x v="2"/>
    <x v="2"/>
    <n v="1512"/>
    <n v="198"/>
    <n v="257.04000000000002"/>
    <x v="0"/>
  </r>
  <r>
    <d v="2021-09-29T00:00:00"/>
    <x v="3"/>
    <n v="40"/>
    <s v="MIÉRCOLES"/>
    <x v="11"/>
    <x v="11"/>
    <n v="1440"/>
    <n v="90"/>
    <n v="244.8"/>
    <x v="0"/>
  </r>
  <r>
    <d v="2021-09-29T00:00:00"/>
    <x v="3"/>
    <n v="40"/>
    <s v="MIÉRCOLES"/>
    <x v="25"/>
    <x v="25"/>
    <n v="675"/>
    <n v="225"/>
    <n v="283.5"/>
    <x v="0"/>
  </r>
  <r>
    <d v="2021-09-29T00:00:00"/>
    <x v="3"/>
    <n v="40"/>
    <s v="MIÉRCOLES"/>
    <x v="22"/>
    <x v="22"/>
    <n v="396"/>
    <n v="198"/>
    <n v="67.320000000000007"/>
    <x v="0"/>
  </r>
  <r>
    <d v="2021-09-29T00:00:00"/>
    <x v="3"/>
    <n v="40"/>
    <s v="MIÉRCOLES"/>
    <x v="3"/>
    <x v="3"/>
    <n v="198"/>
    <n v="198"/>
    <n v="33.660000000000004"/>
    <x v="0"/>
  </r>
  <r>
    <d v="2021-09-29T00:00:00"/>
    <x v="3"/>
    <n v="40"/>
    <s v="MIÉRCOLES"/>
    <x v="6"/>
    <x v="6"/>
    <n v="1200"/>
    <n v="120"/>
    <n v="204.00000000000003"/>
    <x v="0"/>
  </r>
  <r>
    <d v="2021-09-29T00:00:00"/>
    <x v="3"/>
    <n v="40"/>
    <s v="MIÉRCOLES"/>
    <x v="4"/>
    <x v="4"/>
    <n v="486"/>
    <n v="162"/>
    <n v="82.62"/>
    <x v="0"/>
  </r>
  <r>
    <d v="2021-09-29T00:00:00"/>
    <x v="3"/>
    <n v="40"/>
    <s v="MIÉRCOLES"/>
    <x v="17"/>
    <x v="17"/>
    <n v="1200"/>
    <n v="120"/>
    <n v="204.00000000000003"/>
    <x v="0"/>
  </r>
  <r>
    <d v="2021-09-29T00:00:00"/>
    <x v="3"/>
    <n v="40"/>
    <s v="MIÉRCOLES"/>
    <x v="20"/>
    <x v="20"/>
    <n v="180"/>
    <n v="90"/>
    <n v="30.6"/>
    <x v="0"/>
  </r>
  <r>
    <d v="2021-09-29T00:00:00"/>
    <x v="3"/>
    <n v="40"/>
    <s v="MIÉRCOLES"/>
    <x v="24"/>
    <x v="24"/>
    <n v="840"/>
    <n v="420"/>
    <n v="352.8"/>
    <x v="0"/>
  </r>
  <r>
    <d v="2021-09-29T00:00:00"/>
    <x v="3"/>
    <n v="40"/>
    <s v="MIÉRCOLES"/>
    <x v="45"/>
    <x v="45"/>
    <n v="650"/>
    <n v="420"/>
    <n v="780"/>
    <x v="0"/>
  </r>
  <r>
    <d v="2021-09-29T00:00:00"/>
    <x v="3"/>
    <n v="40"/>
    <s v="MIÉRCOLES"/>
    <x v="6"/>
    <x v="6"/>
    <n v="480"/>
    <n v="120"/>
    <n v="81.600000000000009"/>
    <x v="0"/>
  </r>
  <r>
    <d v="2021-09-29T00:00:00"/>
    <x v="3"/>
    <n v="40"/>
    <s v="MIÉRCOLES"/>
    <x v="10"/>
    <x v="10"/>
    <n v="3960"/>
    <n v="120"/>
    <n v="673.2"/>
    <x v="0"/>
  </r>
  <r>
    <d v="2021-09-29T00:00:00"/>
    <x v="3"/>
    <n v="40"/>
    <s v="MIÉRCOLES"/>
    <x v="25"/>
    <x v="25"/>
    <n v="450"/>
    <n v="225"/>
    <n v="189"/>
    <x v="0"/>
  </r>
  <r>
    <d v="2021-09-29T00:00:00"/>
    <x v="3"/>
    <n v="40"/>
    <s v="MIÉRCOLES"/>
    <x v="45"/>
    <x v="45"/>
    <n v="650"/>
    <n v="420"/>
    <n v="780"/>
    <x v="0"/>
  </r>
  <r>
    <d v="2021-09-30T00:00:00"/>
    <x v="3"/>
    <n v="40"/>
    <s v="JUEVES"/>
    <x v="40"/>
    <x v="40"/>
    <n v="224"/>
    <n v="240"/>
    <n v="89.600000000000009"/>
    <x v="0"/>
  </r>
  <r>
    <d v="2021-09-30T00:00:00"/>
    <x v="3"/>
    <n v="40"/>
    <s v="JUEVES"/>
    <x v="38"/>
    <x v="38"/>
    <n v="448"/>
    <n v="112"/>
    <n v="179.20000000000002"/>
    <x v="0"/>
  </r>
  <r>
    <d v="2021-09-30T00:00:00"/>
    <x v="3"/>
    <n v="40"/>
    <s v="JUEVES"/>
    <x v="25"/>
    <x v="25"/>
    <n v="2925"/>
    <n v="225"/>
    <n v="1228.5"/>
    <x v="0"/>
  </r>
  <r>
    <d v="2021-09-30T00:00:00"/>
    <x v="3"/>
    <n v="40"/>
    <s v="JUEVES"/>
    <x v="22"/>
    <x v="22"/>
    <n v="792"/>
    <n v="198"/>
    <n v="134.64000000000001"/>
    <x v="0"/>
  </r>
  <r>
    <d v="2021-09-30T00:00:00"/>
    <x v="3"/>
    <n v="40"/>
    <s v="JUEVES"/>
    <x v="3"/>
    <x v="3"/>
    <n v="198"/>
    <n v="198"/>
    <n v="33.660000000000004"/>
    <x v="0"/>
  </r>
  <r>
    <d v="2021-09-30T00:00:00"/>
    <x v="3"/>
    <n v="40"/>
    <s v="JUEVES"/>
    <x v="8"/>
    <x v="8"/>
    <n v="216"/>
    <n v="198"/>
    <n v="36.720000000000006"/>
    <x v="0"/>
  </r>
  <r>
    <d v="2021-09-30T00:00:00"/>
    <x v="3"/>
    <n v="40"/>
    <s v="JUEVES"/>
    <x v="5"/>
    <x v="5"/>
    <n v="162"/>
    <n v="162"/>
    <n v="27.540000000000003"/>
    <x v="0"/>
  </r>
  <r>
    <d v="2021-09-30T00:00:00"/>
    <x v="3"/>
    <n v="40"/>
    <s v="JUEVES"/>
    <x v="4"/>
    <x v="4"/>
    <n v="162"/>
    <n v="162"/>
    <n v="27.540000000000003"/>
    <x v="0"/>
  </r>
  <r>
    <d v="2021-09-30T00:00:00"/>
    <x v="3"/>
    <n v="40"/>
    <s v="JUEVES"/>
    <x v="42"/>
    <x v="42"/>
    <n v="750"/>
    <n v="420"/>
    <n v="315"/>
    <x v="0"/>
  </r>
  <r>
    <d v="2021-09-30T00:00:00"/>
    <x v="3"/>
    <n v="40"/>
    <s v="JUEVES"/>
    <x v="0"/>
    <x v="0"/>
    <n v="144"/>
    <n v="48"/>
    <n v="57.6"/>
    <x v="0"/>
  </r>
  <r>
    <d v="2021-09-30T00:00:00"/>
    <x v="3"/>
    <n v="40"/>
    <s v="JUEVES"/>
    <x v="7"/>
    <x v="7"/>
    <n v="648"/>
    <n v="198"/>
    <n v="110.16000000000001"/>
    <x v="0"/>
  </r>
  <r>
    <d v="2021-09-30T00:00:00"/>
    <x v="3"/>
    <n v="40"/>
    <s v="JUEVES"/>
    <x v="17"/>
    <x v="17"/>
    <n v="1200"/>
    <n v="120"/>
    <n v="204.00000000000003"/>
    <x v="0"/>
  </r>
  <r>
    <d v="2021-09-30T00:00:00"/>
    <x v="3"/>
    <n v="40"/>
    <s v="JUEVES"/>
    <x v="10"/>
    <x v="10"/>
    <n v="2160"/>
    <n v="120"/>
    <n v="367.20000000000005"/>
    <x v="0"/>
  </r>
  <r>
    <d v="2021-09-30T00:00:00"/>
    <x v="3"/>
    <n v="40"/>
    <s v="JUEVES"/>
    <x v="26"/>
    <x v="26"/>
    <n v="180"/>
    <n v="90"/>
    <n v="30.6"/>
    <x v="0"/>
  </r>
  <r>
    <d v="2021-09-30T00:00:00"/>
    <x v="3"/>
    <n v="40"/>
    <s v="JUEVES"/>
    <x v="11"/>
    <x v="11"/>
    <n v="2160"/>
    <n v="90"/>
    <n v="367.20000000000005"/>
    <x v="0"/>
  </r>
  <r>
    <d v="2021-09-30T00:00:00"/>
    <x v="3"/>
    <n v="40"/>
    <s v="JUEVES"/>
    <x v="9"/>
    <x v="9"/>
    <n v="360"/>
    <n v="90"/>
    <n v="61.2"/>
    <x v="0"/>
  </r>
  <r>
    <d v="2021-09-30T00:00:00"/>
    <x v="3"/>
    <n v="40"/>
    <s v="JUEVES"/>
    <x v="23"/>
    <x v="23"/>
    <n v="360"/>
    <n v="90"/>
    <n v="61.2"/>
    <x v="0"/>
  </r>
  <r>
    <d v="2021-09-30T00:00:00"/>
    <x v="3"/>
    <n v="40"/>
    <s v="JUEVES"/>
    <x v="24"/>
    <x v="24"/>
    <n v="2100"/>
    <n v="420"/>
    <n v="882"/>
    <x v="0"/>
  </r>
  <r>
    <d v="2021-09-30T00:00:00"/>
    <x v="3"/>
    <n v="40"/>
    <s v="JUEVES"/>
    <x v="1"/>
    <x v="1"/>
    <n v="864"/>
    <n v="198"/>
    <n v="146.88000000000002"/>
    <x v="0"/>
  </r>
  <r>
    <d v="2021-09-30T00:00:00"/>
    <x v="3"/>
    <n v="40"/>
    <s v="JUEVES"/>
    <x v="2"/>
    <x v="2"/>
    <n v="1512"/>
    <n v="198"/>
    <n v="257.04000000000002"/>
    <x v="0"/>
  </r>
  <r>
    <d v="2021-09-30T00:00:00"/>
    <x v="3"/>
    <n v="40"/>
    <s v="JUEVES"/>
    <x v="6"/>
    <x v="6"/>
    <n v="840"/>
    <n v="120"/>
    <n v="142.80000000000001"/>
    <x v="0"/>
  </r>
  <r>
    <d v="2021-09-30T00:00:00"/>
    <x v="3"/>
    <n v="40"/>
    <s v="JUEVES"/>
    <x v="13"/>
    <x v="13"/>
    <n v="120"/>
    <n v="30"/>
    <n v="48"/>
    <x v="0"/>
  </r>
  <r>
    <d v="2021-09-30T00:00:00"/>
    <x v="3"/>
    <n v="40"/>
    <s v="JUEVES"/>
    <x v="19"/>
    <x v="19"/>
    <n v="225"/>
    <n v="225"/>
    <n v="90"/>
    <x v="0"/>
  </r>
  <r>
    <d v="2021-09-30T00:00:00"/>
    <x v="3"/>
    <n v="40"/>
    <s v="JUEVES"/>
    <x v="12"/>
    <x v="12"/>
    <n v="900"/>
    <n v="225"/>
    <n v="360"/>
    <x v="0"/>
  </r>
  <r>
    <d v="2021-09-30T00:00:00"/>
    <x v="3"/>
    <n v="40"/>
    <s v="JUEVES"/>
    <x v="0"/>
    <x v="0"/>
    <n v="480"/>
    <n v="48"/>
    <n v="192"/>
    <x v="0"/>
  </r>
  <r>
    <d v="2021-09-30T00:00:00"/>
    <x v="3"/>
    <n v="40"/>
    <s v="JUEVES"/>
    <x v="7"/>
    <x v="7"/>
    <n v="1080"/>
    <n v="198"/>
    <n v="183.60000000000002"/>
    <x v="0"/>
  </r>
  <r>
    <d v="2021-09-30T00:00:00"/>
    <x v="3"/>
    <n v="40"/>
    <s v="JUEVES"/>
    <x v="7"/>
    <x v="7"/>
    <n v="864"/>
    <n v="198"/>
    <n v="146.88000000000002"/>
    <x v="0"/>
  </r>
  <r>
    <d v="2021-09-30T00:00:00"/>
    <x v="3"/>
    <n v="40"/>
    <s v="JUEVES"/>
    <x v="3"/>
    <x v="3"/>
    <n v="396"/>
    <n v="198"/>
    <n v="67.320000000000007"/>
    <x v="0"/>
  </r>
  <r>
    <d v="2021-09-30T00:00:00"/>
    <x v="3"/>
    <n v="40"/>
    <s v="JUEVES"/>
    <x v="22"/>
    <x v="22"/>
    <n v="396"/>
    <n v="198"/>
    <n v="67.320000000000007"/>
    <x v="0"/>
  </r>
  <r>
    <d v="2021-09-30T00:00:00"/>
    <x v="3"/>
    <n v="40"/>
    <s v="JUEVES"/>
    <x v="2"/>
    <x v="2"/>
    <n v="432"/>
    <n v="198"/>
    <n v="73.440000000000012"/>
    <x v="0"/>
  </r>
  <r>
    <d v="2021-09-30T00:00:00"/>
    <x v="3"/>
    <n v="40"/>
    <s v="JUEVES"/>
    <x v="4"/>
    <x v="4"/>
    <n v="486"/>
    <n v="162"/>
    <n v="82.62"/>
    <x v="0"/>
  </r>
  <r>
    <d v="2021-10-01T00:00:00"/>
    <x v="4"/>
    <n v="40"/>
    <s v="VIERNES"/>
    <x v="47"/>
    <x v="21"/>
    <n v="137"/>
    <n v="0"/>
    <n v="0"/>
    <x v="0"/>
  </r>
  <r>
    <d v="2021-10-01T00:00:00"/>
    <x v="4"/>
    <n v="40"/>
    <s v="VIERNES"/>
    <x v="48"/>
    <x v="21"/>
    <n v="29"/>
    <n v="0"/>
    <n v="0"/>
    <x v="0"/>
  </r>
  <r>
    <d v="2021-10-01T00:00:00"/>
    <x v="4"/>
    <n v="40"/>
    <s v="VIERNES"/>
    <x v="49"/>
    <x v="21"/>
    <n v="66"/>
    <n v="0"/>
    <n v="0"/>
    <x v="0"/>
  </r>
  <r>
    <d v="2021-10-01T00:00:00"/>
    <x v="4"/>
    <n v="40"/>
    <s v="VIERNES"/>
    <x v="7"/>
    <x v="7"/>
    <n v="864"/>
    <n v="198"/>
    <n v="146.88000000000002"/>
    <x v="0"/>
  </r>
  <r>
    <d v="2021-10-01T00:00:00"/>
    <x v="4"/>
    <n v="40"/>
    <s v="VIERNES"/>
    <x v="10"/>
    <x v="10"/>
    <n v="1680"/>
    <n v="120"/>
    <n v="285.60000000000002"/>
    <x v="0"/>
  </r>
  <r>
    <d v="2021-10-01T00:00:00"/>
    <x v="4"/>
    <n v="40"/>
    <s v="VIERNES"/>
    <x v="17"/>
    <x v="17"/>
    <n v="960"/>
    <n v="120"/>
    <n v="163.20000000000002"/>
    <x v="0"/>
  </r>
  <r>
    <d v="2021-10-01T00:00:00"/>
    <x v="4"/>
    <n v="40"/>
    <s v="VIERNES"/>
    <x v="1"/>
    <x v="1"/>
    <n v="1944"/>
    <n v="198"/>
    <n v="330.48"/>
    <x v="0"/>
  </r>
  <r>
    <d v="2021-10-01T00:00:00"/>
    <x v="4"/>
    <n v="40"/>
    <s v="VIERNES"/>
    <x v="0"/>
    <x v="0"/>
    <n v="288"/>
    <n v="48"/>
    <n v="115.2"/>
    <x v="0"/>
  </r>
  <r>
    <d v="2021-10-01T00:00:00"/>
    <x v="4"/>
    <n v="40"/>
    <s v="VIERNES"/>
    <x v="6"/>
    <x v="6"/>
    <n v="1560"/>
    <n v="120"/>
    <n v="265.20000000000005"/>
    <x v="0"/>
  </r>
  <r>
    <d v="2021-10-01T00:00:00"/>
    <x v="4"/>
    <n v="40"/>
    <s v="VIERNES"/>
    <x v="28"/>
    <x v="28"/>
    <n v="60"/>
    <n v="30"/>
    <n v="13.8"/>
    <x v="0"/>
  </r>
  <r>
    <d v="2021-10-01T00:00:00"/>
    <x v="4"/>
    <n v="40"/>
    <s v="VIERNES"/>
    <x v="13"/>
    <x v="13"/>
    <n v="60"/>
    <n v="30"/>
    <n v="24"/>
    <x v="0"/>
  </r>
  <r>
    <d v="2021-10-01T00:00:00"/>
    <x v="4"/>
    <n v="40"/>
    <s v="VIERNES"/>
    <x v="15"/>
    <x v="15"/>
    <n v="100"/>
    <n v="50"/>
    <n v="40"/>
    <x v="0"/>
  </r>
  <r>
    <d v="2021-10-01T00:00:00"/>
    <x v="4"/>
    <n v="40"/>
    <s v="VIERNES"/>
    <x v="9"/>
    <x v="9"/>
    <n v="180"/>
    <n v="90"/>
    <n v="30.6"/>
    <x v="0"/>
  </r>
  <r>
    <d v="2021-10-01T00:00:00"/>
    <x v="4"/>
    <n v="40"/>
    <s v="VIERNES"/>
    <x v="19"/>
    <x v="19"/>
    <n v="450"/>
    <n v="225"/>
    <n v="180"/>
    <x v="0"/>
  </r>
  <r>
    <d v="2021-10-01T00:00:00"/>
    <x v="4"/>
    <n v="40"/>
    <s v="VIERNES"/>
    <x v="11"/>
    <x v="11"/>
    <n v="270"/>
    <n v="90"/>
    <n v="45.900000000000006"/>
    <x v="0"/>
  </r>
  <r>
    <d v="2021-10-01T00:00:00"/>
    <x v="4"/>
    <n v="40"/>
    <s v="VIERNES"/>
    <x v="12"/>
    <x v="12"/>
    <n v="675"/>
    <n v="225"/>
    <n v="270"/>
    <x v="0"/>
  </r>
  <r>
    <d v="2021-10-01T00:00:00"/>
    <x v="4"/>
    <n v="40"/>
    <s v="VIERNES"/>
    <x v="22"/>
    <x v="22"/>
    <n v="792"/>
    <n v="198"/>
    <n v="134.64000000000001"/>
    <x v="0"/>
  </r>
  <r>
    <d v="2021-10-01T00:00:00"/>
    <x v="4"/>
    <n v="40"/>
    <s v="VIERNES"/>
    <x v="3"/>
    <x v="3"/>
    <n v="792"/>
    <n v="198"/>
    <n v="134.64000000000001"/>
    <x v="0"/>
  </r>
  <r>
    <d v="2021-10-01T00:00:00"/>
    <x v="4"/>
    <n v="40"/>
    <s v="VIERNES"/>
    <x v="8"/>
    <x v="8"/>
    <n v="2376"/>
    <n v="198"/>
    <n v="403.92"/>
    <x v="0"/>
  </r>
  <r>
    <d v="2021-10-01T00:00:00"/>
    <x v="4"/>
    <n v="40"/>
    <s v="VIERNES"/>
    <x v="38"/>
    <x v="38"/>
    <n v="112"/>
    <n v="112"/>
    <n v="44.800000000000004"/>
    <x v="0"/>
  </r>
  <r>
    <d v="2021-10-01T00:00:00"/>
    <x v="4"/>
    <n v="40"/>
    <s v="VIERNES"/>
    <x v="42"/>
    <x v="42"/>
    <n v="250"/>
    <n v="420"/>
    <n v="105"/>
    <x v="0"/>
  </r>
  <r>
    <d v="2021-10-01T00:00:00"/>
    <x v="4"/>
    <n v="40"/>
    <s v="VIERNES"/>
    <x v="16"/>
    <x v="16"/>
    <n v="360"/>
    <n v="180"/>
    <n v="151.19999999999999"/>
    <x v="0"/>
  </r>
  <r>
    <d v="2021-10-01T00:00:00"/>
    <x v="4"/>
    <n v="40"/>
    <s v="VIERNES"/>
    <x v="20"/>
    <x v="20"/>
    <n v="90"/>
    <n v="90"/>
    <n v="15.3"/>
    <x v="0"/>
  </r>
  <r>
    <d v="2021-10-01T00:00:00"/>
    <x v="4"/>
    <n v="40"/>
    <s v="VIERNES"/>
    <x v="25"/>
    <x v="25"/>
    <n v="4950"/>
    <n v="225"/>
    <n v="2079"/>
    <x v="0"/>
  </r>
  <r>
    <d v="2021-10-01T00:00:00"/>
    <x v="4"/>
    <n v="40"/>
    <s v="VIERNES"/>
    <x v="43"/>
    <x v="43"/>
    <n v="1250"/>
    <n v="420"/>
    <n v="525"/>
    <x v="0"/>
  </r>
  <r>
    <d v="2021-10-01T00:00:00"/>
    <x v="4"/>
    <n v="40"/>
    <s v="VIERNES"/>
    <x v="6"/>
    <x v="6"/>
    <n v="360"/>
    <n v="120"/>
    <n v="61.2"/>
    <x v="0"/>
  </r>
  <r>
    <d v="2021-10-02T00:00:00"/>
    <x v="4"/>
    <n v="41"/>
    <s v="SÁBADO"/>
    <x v="7"/>
    <x v="7"/>
    <n v="1728"/>
    <n v="198"/>
    <n v="293.76000000000005"/>
    <x v="0"/>
  </r>
  <r>
    <d v="2021-10-02T00:00:00"/>
    <x v="4"/>
    <n v="41"/>
    <s v="SÁBADO"/>
    <x v="8"/>
    <x v="8"/>
    <n v="864"/>
    <n v="198"/>
    <n v="146.88000000000002"/>
    <x v="0"/>
  </r>
  <r>
    <d v="2021-10-02T00:00:00"/>
    <x v="4"/>
    <n v="41"/>
    <s v="SÁBADO"/>
    <x v="17"/>
    <x v="17"/>
    <n v="720"/>
    <n v="120"/>
    <n v="122.4"/>
    <x v="0"/>
  </r>
  <r>
    <d v="2021-10-02T00:00:00"/>
    <x v="4"/>
    <n v="41"/>
    <s v="SÁBADO"/>
    <x v="10"/>
    <x v="10"/>
    <n v="2160"/>
    <n v="120"/>
    <n v="367.20000000000005"/>
    <x v="0"/>
  </r>
  <r>
    <d v="2021-10-02T00:00:00"/>
    <x v="4"/>
    <n v="41"/>
    <s v="SÁBADO"/>
    <x v="42"/>
    <x v="42"/>
    <n v="750"/>
    <n v="420"/>
    <n v="315"/>
    <x v="0"/>
  </r>
  <r>
    <d v="2021-10-02T00:00:00"/>
    <x v="4"/>
    <n v="41"/>
    <s v="SÁBADO"/>
    <x v="0"/>
    <x v="0"/>
    <n v="288"/>
    <n v="48"/>
    <n v="115.2"/>
    <x v="0"/>
  </r>
  <r>
    <d v="2021-10-02T00:00:00"/>
    <x v="4"/>
    <n v="41"/>
    <s v="SÁBADO"/>
    <x v="38"/>
    <x v="38"/>
    <n v="224"/>
    <n v="112"/>
    <n v="89.600000000000009"/>
    <x v="0"/>
  </r>
  <r>
    <d v="2021-10-02T00:00:00"/>
    <x v="4"/>
    <n v="41"/>
    <s v="SÁBADO"/>
    <x v="16"/>
    <x v="16"/>
    <n v="360"/>
    <n v="180"/>
    <n v="151.19999999999999"/>
    <x v="0"/>
  </r>
  <r>
    <d v="2021-10-02T00:00:00"/>
    <x v="4"/>
    <n v="41"/>
    <s v="SÁBADO"/>
    <x v="6"/>
    <x v="6"/>
    <n v="840"/>
    <n v="120"/>
    <n v="142.80000000000001"/>
    <x v="0"/>
  </r>
  <r>
    <d v="2021-10-02T00:00:00"/>
    <x v="4"/>
    <n v="41"/>
    <s v="SÁBADO"/>
    <x v="9"/>
    <x v="9"/>
    <n v="720"/>
    <n v="90"/>
    <n v="122.4"/>
    <x v="0"/>
  </r>
  <r>
    <d v="2021-10-02T00:00:00"/>
    <x v="4"/>
    <n v="41"/>
    <s v="SÁBADO"/>
    <x v="15"/>
    <x v="15"/>
    <n v="50"/>
    <n v="50"/>
    <n v="20"/>
    <x v="0"/>
  </r>
  <r>
    <d v="2021-10-02T00:00:00"/>
    <x v="4"/>
    <n v="41"/>
    <s v="SÁBADO"/>
    <x v="11"/>
    <x v="11"/>
    <n v="1710"/>
    <n v="90"/>
    <n v="290.70000000000005"/>
    <x v="0"/>
  </r>
  <r>
    <d v="2021-10-02T00:00:00"/>
    <x v="4"/>
    <n v="41"/>
    <s v="SÁBADO"/>
    <x v="23"/>
    <x v="23"/>
    <n v="180"/>
    <n v="90"/>
    <n v="30.6"/>
    <x v="0"/>
  </r>
  <r>
    <d v="2021-10-02T00:00:00"/>
    <x v="4"/>
    <n v="41"/>
    <s v="SÁBADO"/>
    <x v="2"/>
    <x v="2"/>
    <n v="1728"/>
    <n v="198"/>
    <n v="293.76000000000005"/>
    <x v="0"/>
  </r>
  <r>
    <d v="2021-10-02T00:00:00"/>
    <x v="4"/>
    <n v="41"/>
    <s v="SÁBADO"/>
    <x v="3"/>
    <x v="3"/>
    <n v="396"/>
    <n v="198"/>
    <n v="67.320000000000007"/>
    <x v="0"/>
  </r>
  <r>
    <d v="2021-10-02T00:00:00"/>
    <x v="4"/>
    <n v="41"/>
    <s v="SÁBADO"/>
    <x v="4"/>
    <x v="4"/>
    <n v="162"/>
    <n v="162"/>
    <n v="27.540000000000003"/>
    <x v="0"/>
  </r>
  <r>
    <d v="2021-10-02T00:00:00"/>
    <x v="4"/>
    <n v="41"/>
    <s v="SÁBADO"/>
    <x v="1"/>
    <x v="1"/>
    <n v="2160"/>
    <n v="198"/>
    <n v="367.20000000000005"/>
    <x v="0"/>
  </r>
  <r>
    <d v="2021-10-02T00:00:00"/>
    <x v="4"/>
    <n v="41"/>
    <s v="SÁBADO"/>
    <x v="33"/>
    <x v="33"/>
    <n v="160"/>
    <n v="40"/>
    <n v="36.800000000000004"/>
    <x v="0"/>
  </r>
  <r>
    <d v="2021-10-02T00:00:00"/>
    <x v="4"/>
    <n v="41"/>
    <s v="SÁBADO"/>
    <x v="28"/>
    <x v="28"/>
    <n v="60"/>
    <n v="30"/>
    <n v="13.8"/>
    <x v="0"/>
  </r>
  <r>
    <d v="2021-10-02T00:00:00"/>
    <x v="4"/>
    <n v="41"/>
    <s v="SÁBADO"/>
    <x v="19"/>
    <x v="19"/>
    <n v="450"/>
    <n v="225"/>
    <n v="180"/>
    <x v="0"/>
  </r>
  <r>
    <d v="2021-10-02T00:00:00"/>
    <x v="4"/>
    <n v="41"/>
    <s v="SÁBADO"/>
    <x v="12"/>
    <x v="12"/>
    <n v="450"/>
    <n v="225"/>
    <n v="180"/>
    <x v="0"/>
  </r>
  <r>
    <d v="2021-10-04T00:00:00"/>
    <x v="4"/>
    <n v="41"/>
    <s v="LUNES"/>
    <x v="6"/>
    <x v="6"/>
    <n v="1200"/>
    <n v="120"/>
    <n v="204.00000000000003"/>
    <x v="0"/>
  </r>
  <r>
    <d v="2021-10-04T00:00:00"/>
    <x v="4"/>
    <n v="41"/>
    <s v="LUNES"/>
    <x v="1"/>
    <x v="1"/>
    <n v="1296"/>
    <n v="198"/>
    <n v="220.32000000000002"/>
    <x v="0"/>
  </r>
  <r>
    <d v="2021-10-04T00:00:00"/>
    <x v="4"/>
    <n v="41"/>
    <s v="LUNES"/>
    <x v="17"/>
    <x v="17"/>
    <n v="960"/>
    <n v="120"/>
    <n v="163.20000000000002"/>
    <x v="0"/>
  </r>
  <r>
    <d v="2021-10-04T00:00:00"/>
    <x v="4"/>
    <n v="41"/>
    <s v="LUNES"/>
    <x v="7"/>
    <x v="7"/>
    <n v="1296"/>
    <n v="198"/>
    <n v="220.32000000000002"/>
    <x v="0"/>
  </r>
  <r>
    <d v="2021-10-04T00:00:00"/>
    <x v="4"/>
    <n v="41"/>
    <s v="LUNES"/>
    <x v="38"/>
    <x v="38"/>
    <n v="448"/>
    <n v="112"/>
    <n v="179.20000000000002"/>
    <x v="0"/>
  </r>
  <r>
    <d v="2021-10-04T00:00:00"/>
    <x v="4"/>
    <n v="41"/>
    <s v="LUNES"/>
    <x v="13"/>
    <x v="13"/>
    <n v="150"/>
    <n v="30"/>
    <n v="60"/>
    <x v="0"/>
  </r>
  <r>
    <d v="2021-10-04T00:00:00"/>
    <x v="4"/>
    <n v="41"/>
    <s v="LUNES"/>
    <x v="15"/>
    <x v="15"/>
    <n v="150"/>
    <n v="50"/>
    <n v="60"/>
    <x v="0"/>
  </r>
  <r>
    <d v="2021-10-04T00:00:00"/>
    <x v="4"/>
    <n v="41"/>
    <s v="LUNES"/>
    <x v="42"/>
    <x v="42"/>
    <n v="500"/>
    <n v="420"/>
    <n v="210"/>
    <x v="0"/>
  </r>
  <r>
    <d v="2021-10-04T00:00:00"/>
    <x v="4"/>
    <n v="41"/>
    <s v="LUNES"/>
    <x v="43"/>
    <x v="43"/>
    <n v="250"/>
    <n v="420"/>
    <n v="105"/>
    <x v="0"/>
  </r>
  <r>
    <d v="2021-10-04T00:00:00"/>
    <x v="4"/>
    <n v="41"/>
    <s v="LUNES"/>
    <x v="16"/>
    <x v="16"/>
    <n v="360"/>
    <n v="180"/>
    <n v="151.19999999999999"/>
    <x v="0"/>
  </r>
  <r>
    <d v="2021-10-04T00:00:00"/>
    <x v="4"/>
    <n v="41"/>
    <s v="LUNES"/>
    <x v="11"/>
    <x v="11"/>
    <n v="1440"/>
    <n v="90"/>
    <n v="244.8"/>
    <x v="0"/>
  </r>
  <r>
    <d v="2021-10-04T00:00:00"/>
    <x v="4"/>
    <n v="41"/>
    <s v="LUNES"/>
    <x v="10"/>
    <x v="10"/>
    <n v="1680"/>
    <n v="120"/>
    <n v="285.60000000000002"/>
    <x v="0"/>
  </r>
  <r>
    <d v="2021-10-04T00:00:00"/>
    <x v="4"/>
    <n v="41"/>
    <s v="LUNES"/>
    <x v="4"/>
    <x v="4"/>
    <n v="648"/>
    <n v="162"/>
    <n v="110.16000000000001"/>
    <x v="0"/>
  </r>
  <r>
    <d v="2021-10-04T00:00:00"/>
    <x v="4"/>
    <n v="41"/>
    <s v="LUNES"/>
    <x v="9"/>
    <x v="9"/>
    <n v="720"/>
    <n v="90"/>
    <n v="122.4"/>
    <x v="0"/>
  </r>
  <r>
    <d v="2021-10-04T00:00:00"/>
    <x v="4"/>
    <n v="41"/>
    <s v="LUNES"/>
    <x v="2"/>
    <x v="2"/>
    <n v="1296"/>
    <n v="198"/>
    <n v="220.32000000000002"/>
    <x v="0"/>
  </r>
  <r>
    <d v="2021-10-04T00:00:00"/>
    <x v="4"/>
    <n v="41"/>
    <s v="LUNES"/>
    <x v="5"/>
    <x v="5"/>
    <n v="648"/>
    <n v="162"/>
    <n v="110.16000000000001"/>
    <x v="0"/>
  </r>
  <r>
    <d v="2021-10-04T00:00:00"/>
    <x v="4"/>
    <n v="41"/>
    <s v="LUNES"/>
    <x v="20"/>
    <x v="20"/>
    <n v="180"/>
    <n v="90"/>
    <n v="30.6"/>
    <x v="0"/>
  </r>
  <r>
    <d v="2021-10-04T00:00:00"/>
    <x v="4"/>
    <n v="41"/>
    <s v="LUNES"/>
    <x v="3"/>
    <x v="3"/>
    <n v="594"/>
    <n v="198"/>
    <n v="100.98"/>
    <x v="0"/>
  </r>
  <r>
    <d v="2021-10-04T00:00:00"/>
    <x v="4"/>
    <n v="41"/>
    <s v="LUNES"/>
    <x v="40"/>
    <x v="40"/>
    <n v="112"/>
    <n v="240"/>
    <n v="44.800000000000004"/>
    <x v="0"/>
  </r>
  <r>
    <d v="2021-10-04T00:00:00"/>
    <x v="4"/>
    <n v="41"/>
    <s v="LUNES"/>
    <x v="35"/>
    <x v="35"/>
    <n v="180"/>
    <n v="180"/>
    <n v="75.599999999999994"/>
    <x v="0"/>
  </r>
  <r>
    <d v="2021-10-04T00:00:00"/>
    <x v="4"/>
    <n v="41"/>
    <s v="LUNES"/>
    <x v="50"/>
    <x v="21"/>
    <n v="10"/>
    <n v="0"/>
    <n v="0"/>
    <x v="0"/>
  </r>
  <r>
    <d v="2021-10-04T00:00:00"/>
    <x v="4"/>
    <n v="41"/>
    <s v="LUNES"/>
    <x v="48"/>
    <x v="21"/>
    <n v="4"/>
    <n v="0"/>
    <n v="0"/>
    <x v="0"/>
  </r>
  <r>
    <d v="2021-10-04T00:00:00"/>
    <x v="4"/>
    <n v="41"/>
    <s v="LUNES"/>
    <x v="51"/>
    <x v="21"/>
    <n v="3"/>
    <n v="0"/>
    <n v="0"/>
    <x v="0"/>
  </r>
  <r>
    <d v="2021-10-04T00:00:00"/>
    <x v="4"/>
    <n v="41"/>
    <s v="LUNES"/>
    <x v="52"/>
    <x v="21"/>
    <n v="17"/>
    <n v="0"/>
    <n v="0"/>
    <x v="0"/>
  </r>
  <r>
    <d v="2021-10-04T00:00:00"/>
    <x v="4"/>
    <n v="41"/>
    <s v="LUNES"/>
    <x v="53"/>
    <x v="21"/>
    <n v="4"/>
    <n v="0"/>
    <n v="0"/>
    <x v="0"/>
  </r>
  <r>
    <d v="2021-10-04T00:00:00"/>
    <x v="4"/>
    <n v="41"/>
    <s v="LUNES"/>
    <x v="54"/>
    <x v="21"/>
    <n v="12"/>
    <n v="0"/>
    <n v="0"/>
    <x v="0"/>
  </r>
  <r>
    <d v="2021-10-04T00:00:00"/>
    <x v="4"/>
    <n v="41"/>
    <s v="LUNES"/>
    <x v="55"/>
    <x v="21"/>
    <n v="4"/>
    <n v="0"/>
    <n v="0"/>
    <x v="0"/>
  </r>
  <r>
    <d v="2021-10-04T00:00:00"/>
    <x v="4"/>
    <n v="41"/>
    <s v="LUNES"/>
    <x v="56"/>
    <x v="21"/>
    <n v="3"/>
    <n v="0"/>
    <n v="0"/>
    <x v="0"/>
  </r>
  <r>
    <d v="2021-10-04T00:00:00"/>
    <x v="4"/>
    <n v="41"/>
    <s v="LUNES"/>
    <x v="57"/>
    <x v="21"/>
    <n v="2"/>
    <n v="0"/>
    <n v="0"/>
    <x v="0"/>
  </r>
  <r>
    <d v="2021-10-04T00:00:00"/>
    <x v="4"/>
    <n v="41"/>
    <s v="LUNES"/>
    <x v="58"/>
    <x v="21"/>
    <n v="16"/>
    <n v="0"/>
    <n v="0"/>
    <x v="0"/>
  </r>
  <r>
    <d v="2021-10-04T00:00:00"/>
    <x v="4"/>
    <n v="41"/>
    <s v="LUNES"/>
    <x v="59"/>
    <x v="21"/>
    <n v="4"/>
    <n v="0"/>
    <n v="0"/>
    <x v="0"/>
  </r>
  <r>
    <d v="2021-10-05T00:00:00"/>
    <x v="4"/>
    <n v="41"/>
    <s v="MARTES"/>
    <x v="1"/>
    <x v="1"/>
    <n v="1296"/>
    <n v="198"/>
    <n v="220.32000000000002"/>
    <x v="0"/>
  </r>
  <r>
    <d v="2021-10-05T00:00:00"/>
    <x v="4"/>
    <n v="41"/>
    <s v="MARTES"/>
    <x v="10"/>
    <x v="10"/>
    <n v="2400"/>
    <n v="120"/>
    <n v="408.00000000000006"/>
    <x v="0"/>
  </r>
  <r>
    <d v="2021-10-05T00:00:00"/>
    <x v="4"/>
    <n v="41"/>
    <s v="MARTES"/>
    <x v="6"/>
    <x v="6"/>
    <n v="1320"/>
    <n v="120"/>
    <n v="224.4"/>
    <x v="0"/>
  </r>
  <r>
    <d v="2021-10-05T00:00:00"/>
    <x v="4"/>
    <n v="41"/>
    <s v="MARTES"/>
    <x v="7"/>
    <x v="7"/>
    <n v="1296"/>
    <n v="198"/>
    <n v="220.32000000000002"/>
    <x v="0"/>
  </r>
  <r>
    <d v="2021-10-05T00:00:00"/>
    <x v="4"/>
    <n v="41"/>
    <s v="MARTES"/>
    <x v="8"/>
    <x v="8"/>
    <n v="864"/>
    <n v="198"/>
    <n v="146.88000000000002"/>
    <x v="0"/>
  </r>
  <r>
    <d v="2021-10-05T00:00:00"/>
    <x v="4"/>
    <n v="41"/>
    <s v="MARTES"/>
    <x v="17"/>
    <x v="17"/>
    <n v="960"/>
    <n v="120"/>
    <n v="163.20000000000002"/>
    <x v="0"/>
  </r>
  <r>
    <d v="2021-10-05T00:00:00"/>
    <x v="4"/>
    <n v="41"/>
    <s v="MARTES"/>
    <x v="40"/>
    <x v="40"/>
    <n v="224"/>
    <n v="240"/>
    <n v="89.600000000000009"/>
    <x v="0"/>
  </r>
  <r>
    <d v="2021-10-05T00:00:00"/>
    <x v="4"/>
    <n v="41"/>
    <s v="MARTES"/>
    <x v="2"/>
    <x v="2"/>
    <n v="1296"/>
    <n v="198"/>
    <n v="220.32000000000002"/>
    <x v="0"/>
  </r>
  <r>
    <d v="2021-10-05T00:00:00"/>
    <x v="4"/>
    <n v="41"/>
    <s v="MARTES"/>
    <x v="0"/>
    <x v="0"/>
    <n v="816"/>
    <n v="48"/>
    <n v="326.40000000000003"/>
    <x v="0"/>
  </r>
  <r>
    <d v="2021-10-05T00:00:00"/>
    <x v="4"/>
    <n v="41"/>
    <s v="MARTES"/>
    <x v="9"/>
    <x v="9"/>
    <n v="990"/>
    <n v="90"/>
    <n v="168.3"/>
    <x v="0"/>
  </r>
  <r>
    <d v="2021-10-05T00:00:00"/>
    <x v="4"/>
    <n v="41"/>
    <s v="MARTES"/>
    <x v="11"/>
    <x v="11"/>
    <n v="2880"/>
    <n v="90"/>
    <n v="489.6"/>
    <x v="0"/>
  </r>
  <r>
    <d v="2021-10-05T00:00:00"/>
    <x v="4"/>
    <n v="41"/>
    <s v="MARTES"/>
    <x v="9"/>
    <x v="9"/>
    <n v="180"/>
    <n v="90"/>
    <n v="30.6"/>
    <x v="0"/>
  </r>
  <r>
    <d v="2021-10-05T00:00:00"/>
    <x v="4"/>
    <n v="41"/>
    <s v="MARTES"/>
    <x v="23"/>
    <x v="23"/>
    <n v="450"/>
    <n v="90"/>
    <n v="76.5"/>
    <x v="0"/>
  </r>
  <r>
    <d v="2021-10-05T00:00:00"/>
    <x v="4"/>
    <n v="41"/>
    <s v="MARTES"/>
    <x v="42"/>
    <x v="42"/>
    <n v="500"/>
    <n v="420"/>
    <n v="210"/>
    <x v="0"/>
  </r>
  <r>
    <d v="2021-10-05T00:00:00"/>
    <x v="4"/>
    <n v="41"/>
    <s v="MARTES"/>
    <x v="16"/>
    <x v="16"/>
    <n v="360"/>
    <n v="180"/>
    <n v="151.19999999999999"/>
    <x v="0"/>
  </r>
  <r>
    <d v="2021-10-05T00:00:00"/>
    <x v="4"/>
    <n v="41"/>
    <s v="MARTES"/>
    <x v="38"/>
    <x v="38"/>
    <n v="112"/>
    <n v="112"/>
    <n v="44.800000000000004"/>
    <x v="0"/>
  </r>
  <r>
    <d v="2021-10-05T00:00:00"/>
    <x v="4"/>
    <n v="41"/>
    <s v="MARTES"/>
    <x v="43"/>
    <x v="43"/>
    <n v="250"/>
    <n v="420"/>
    <n v="105"/>
    <x v="0"/>
  </r>
  <r>
    <d v="2021-10-05T00:00:00"/>
    <x v="4"/>
    <n v="41"/>
    <s v="MARTES"/>
    <x v="15"/>
    <x v="15"/>
    <n v="50"/>
    <n v="50"/>
    <n v="20"/>
    <x v="0"/>
  </r>
  <r>
    <d v="2021-10-05T00:00:00"/>
    <x v="4"/>
    <n v="41"/>
    <s v="MARTES"/>
    <x v="13"/>
    <x v="13"/>
    <n v="30"/>
    <n v="30"/>
    <n v="12"/>
    <x v="0"/>
  </r>
  <r>
    <d v="2021-10-05T00:00:00"/>
    <x v="4"/>
    <n v="41"/>
    <s v="MARTES"/>
    <x v="4"/>
    <x v="4"/>
    <n v="324"/>
    <n v="162"/>
    <n v="55.080000000000005"/>
    <x v="0"/>
  </r>
  <r>
    <d v="2021-10-05T00:00:00"/>
    <x v="4"/>
    <n v="41"/>
    <s v="MARTES"/>
    <x v="3"/>
    <x v="3"/>
    <n v="198"/>
    <n v="198"/>
    <n v="33.660000000000004"/>
    <x v="0"/>
  </r>
  <r>
    <d v="2021-10-05T00:00:00"/>
    <x v="4"/>
    <n v="41"/>
    <s v="MARTES"/>
    <x v="22"/>
    <x v="22"/>
    <n v="396"/>
    <n v="198"/>
    <n v="67.320000000000007"/>
    <x v="0"/>
  </r>
  <r>
    <d v="2021-10-05T00:00:00"/>
    <x v="4"/>
    <n v="41"/>
    <s v="MARTES"/>
    <x v="5"/>
    <x v="5"/>
    <n v="162"/>
    <n v="162"/>
    <n v="27.540000000000003"/>
    <x v="0"/>
  </r>
  <r>
    <d v="2021-10-05T00:00:00"/>
    <x v="4"/>
    <n v="41"/>
    <s v="MARTES"/>
    <x v="25"/>
    <x v="25"/>
    <n v="900"/>
    <n v="225"/>
    <n v="378"/>
    <x v="0"/>
  </r>
  <r>
    <d v="2021-10-05T00:00:00"/>
    <x v="4"/>
    <n v="41"/>
    <s v="MARTES"/>
    <x v="12"/>
    <x v="12"/>
    <n v="225"/>
    <n v="225"/>
    <n v="90"/>
    <x v="0"/>
  </r>
  <r>
    <d v="2021-10-06T00:00:00"/>
    <x v="4"/>
    <n v="41"/>
    <s v="MIÉRCOLES"/>
    <x v="1"/>
    <x v="1"/>
    <n v="864"/>
    <n v="198"/>
    <n v="146.88000000000002"/>
    <x v="0"/>
  </r>
  <r>
    <d v="2021-10-06T00:00:00"/>
    <x v="4"/>
    <n v="41"/>
    <s v="MIÉRCOLES"/>
    <x v="16"/>
    <x v="16"/>
    <n v="720"/>
    <n v="180"/>
    <n v="302.39999999999998"/>
    <x v="0"/>
  </r>
  <r>
    <d v="2021-10-06T00:00:00"/>
    <x v="4"/>
    <n v="41"/>
    <s v="MIÉRCOLES"/>
    <x v="12"/>
    <x v="12"/>
    <n v="900"/>
    <n v="225"/>
    <n v="360"/>
    <x v="0"/>
  </r>
  <r>
    <d v="2021-10-06T00:00:00"/>
    <x v="4"/>
    <n v="41"/>
    <s v="MIÉRCOLES"/>
    <x v="6"/>
    <x v="6"/>
    <n v="1680"/>
    <n v="120"/>
    <n v="285.60000000000002"/>
    <x v="0"/>
  </r>
  <r>
    <d v="2021-10-06T00:00:00"/>
    <x v="4"/>
    <n v="41"/>
    <s v="MIÉRCOLES"/>
    <x v="10"/>
    <x v="10"/>
    <n v="1920"/>
    <n v="120"/>
    <n v="326.40000000000003"/>
    <x v="0"/>
  </r>
  <r>
    <d v="2021-10-06T00:00:00"/>
    <x v="4"/>
    <n v="41"/>
    <s v="MIÉRCOLES"/>
    <x v="9"/>
    <x v="9"/>
    <n v="900"/>
    <n v="90"/>
    <n v="153"/>
    <x v="0"/>
  </r>
  <r>
    <d v="2021-10-06T00:00:00"/>
    <x v="4"/>
    <n v="41"/>
    <s v="MIÉRCOLES"/>
    <x v="11"/>
    <x v="11"/>
    <n v="3330"/>
    <n v="90"/>
    <n v="566.1"/>
    <x v="0"/>
  </r>
  <r>
    <d v="2021-10-06T00:00:00"/>
    <x v="4"/>
    <n v="41"/>
    <s v="MIÉRCOLES"/>
    <x v="23"/>
    <x v="23"/>
    <n v="450"/>
    <n v="90"/>
    <n v="76.5"/>
    <x v="0"/>
  </r>
  <r>
    <d v="2021-10-06T00:00:00"/>
    <x v="4"/>
    <n v="41"/>
    <s v="MIÉRCOLES"/>
    <x v="0"/>
    <x v="0"/>
    <n v="672"/>
    <n v="48"/>
    <n v="268.8"/>
    <x v="0"/>
  </r>
  <r>
    <d v="2021-10-06T00:00:00"/>
    <x v="4"/>
    <n v="41"/>
    <s v="MIÉRCOLES"/>
    <x v="13"/>
    <x v="13"/>
    <n v="60"/>
    <n v="30"/>
    <n v="24"/>
    <x v="0"/>
  </r>
  <r>
    <d v="2021-10-06T00:00:00"/>
    <x v="4"/>
    <n v="41"/>
    <s v="MIÉRCOLES"/>
    <x v="15"/>
    <x v="15"/>
    <n v="100"/>
    <n v="50"/>
    <n v="40"/>
    <x v="0"/>
  </r>
  <r>
    <d v="2021-10-06T00:00:00"/>
    <x v="4"/>
    <n v="41"/>
    <s v="MIÉRCOLES"/>
    <x v="40"/>
    <x v="40"/>
    <n v="224"/>
    <n v="240"/>
    <n v="89.600000000000009"/>
    <x v="0"/>
  </r>
  <r>
    <d v="2021-10-06T00:00:00"/>
    <x v="4"/>
    <n v="41"/>
    <s v="MIÉRCOLES"/>
    <x v="2"/>
    <x v="2"/>
    <n v="1728"/>
    <n v="198"/>
    <n v="293.76000000000005"/>
    <x v="0"/>
  </r>
  <r>
    <d v="2021-10-06T00:00:00"/>
    <x v="4"/>
    <n v="41"/>
    <s v="MIÉRCOLES"/>
    <x v="22"/>
    <x v="22"/>
    <n v="198"/>
    <n v="198"/>
    <n v="33.660000000000004"/>
    <x v="0"/>
  </r>
  <r>
    <d v="2021-10-06T00:00:00"/>
    <x v="4"/>
    <n v="41"/>
    <s v="MIÉRCOLES"/>
    <x v="28"/>
    <x v="28"/>
    <n v="30"/>
    <n v="30"/>
    <n v="6.9"/>
    <x v="0"/>
  </r>
  <r>
    <d v="2021-10-06T00:00:00"/>
    <x v="4"/>
    <n v="41"/>
    <s v="MIÉRCOLES"/>
    <x v="33"/>
    <x v="33"/>
    <n v="40"/>
    <n v="40"/>
    <n v="9.2000000000000011"/>
    <x v="0"/>
  </r>
  <r>
    <d v="2021-10-06T00:00:00"/>
    <x v="4"/>
    <n v="41"/>
    <s v="MIÉRCOLES"/>
    <x v="4"/>
    <x v="4"/>
    <n v="162"/>
    <n v="162"/>
    <n v="27.540000000000003"/>
    <x v="0"/>
  </r>
  <r>
    <d v="2021-10-06T00:00:00"/>
    <x v="4"/>
    <n v="41"/>
    <s v="MIÉRCOLES"/>
    <x v="5"/>
    <x v="5"/>
    <n v="648"/>
    <n v="162"/>
    <n v="110.16000000000001"/>
    <x v="0"/>
  </r>
  <r>
    <d v="2021-10-06T00:00:00"/>
    <x v="4"/>
    <n v="41"/>
    <s v="MIÉRCOLES"/>
    <x v="8"/>
    <x v="8"/>
    <n v="648"/>
    <n v="198"/>
    <n v="110.16000000000001"/>
    <x v="0"/>
  </r>
  <r>
    <d v="2021-10-06T00:00:00"/>
    <x v="4"/>
    <n v="41"/>
    <s v="MIÉRCOLES"/>
    <x v="4"/>
    <x v="4"/>
    <n v="486"/>
    <n v="162"/>
    <n v="82.62"/>
    <x v="0"/>
  </r>
  <r>
    <d v="2021-10-07T00:00:00"/>
    <x v="4"/>
    <n v="41"/>
    <s v="JUEVES"/>
    <x v="6"/>
    <x v="6"/>
    <n v="1680"/>
    <n v="120"/>
    <n v="285.60000000000002"/>
    <x v="0"/>
  </r>
  <r>
    <d v="2021-10-07T00:00:00"/>
    <x v="4"/>
    <n v="41"/>
    <s v="JUEVES"/>
    <x v="9"/>
    <x v="9"/>
    <n v="720"/>
    <n v="90"/>
    <n v="122.4"/>
    <x v="0"/>
  </r>
  <r>
    <d v="2021-10-07T00:00:00"/>
    <x v="4"/>
    <n v="41"/>
    <s v="JUEVES"/>
    <x v="10"/>
    <x v="10"/>
    <n v="1920"/>
    <n v="120"/>
    <n v="326.40000000000003"/>
    <x v="0"/>
  </r>
  <r>
    <d v="2021-10-07T00:00:00"/>
    <x v="4"/>
    <n v="41"/>
    <s v="JUEVES"/>
    <x v="11"/>
    <x v="11"/>
    <n v="2160"/>
    <n v="90"/>
    <n v="367.20000000000005"/>
    <x v="0"/>
  </r>
  <r>
    <d v="2021-10-07T00:00:00"/>
    <x v="4"/>
    <n v="41"/>
    <s v="JUEVES"/>
    <x v="23"/>
    <x v="23"/>
    <n v="720"/>
    <n v="90"/>
    <n v="122.4"/>
    <x v="0"/>
  </r>
  <r>
    <d v="2021-10-07T00:00:00"/>
    <x v="4"/>
    <n v="41"/>
    <s v="JUEVES"/>
    <x v="0"/>
    <x v="0"/>
    <n v="672"/>
    <n v="48"/>
    <n v="268.8"/>
    <x v="0"/>
  </r>
  <r>
    <d v="2021-10-07T00:00:00"/>
    <x v="4"/>
    <n v="41"/>
    <s v="JUEVES"/>
    <x v="15"/>
    <x v="15"/>
    <n v="100"/>
    <n v="50"/>
    <n v="40"/>
    <x v="0"/>
  </r>
  <r>
    <d v="2021-10-07T00:00:00"/>
    <x v="4"/>
    <n v="41"/>
    <s v="JUEVES"/>
    <x v="40"/>
    <x v="40"/>
    <n v="224"/>
    <n v="240"/>
    <n v="89.600000000000009"/>
    <x v="0"/>
  </r>
  <r>
    <d v="2021-10-07T00:00:00"/>
    <x v="4"/>
    <n v="41"/>
    <s v="JUEVES"/>
    <x v="13"/>
    <x v="13"/>
    <n v="60"/>
    <n v="30"/>
    <n v="24"/>
    <x v="0"/>
  </r>
  <r>
    <d v="2021-10-07T00:00:00"/>
    <x v="4"/>
    <n v="41"/>
    <s v="JUEVES"/>
    <x v="12"/>
    <x v="12"/>
    <n v="900"/>
    <n v="225"/>
    <n v="360"/>
    <x v="0"/>
  </r>
  <r>
    <d v="2021-10-07T00:00:00"/>
    <x v="4"/>
    <n v="41"/>
    <s v="JUEVES"/>
    <x v="1"/>
    <x v="1"/>
    <n v="3024"/>
    <n v="198"/>
    <n v="514.08000000000004"/>
    <x v="0"/>
  </r>
  <r>
    <d v="2021-10-07T00:00:00"/>
    <x v="4"/>
    <n v="41"/>
    <s v="JUEVES"/>
    <x v="5"/>
    <x v="5"/>
    <n v="648"/>
    <n v="162"/>
    <n v="110.16000000000001"/>
    <x v="0"/>
  </r>
  <r>
    <d v="2021-10-07T00:00:00"/>
    <x v="4"/>
    <n v="41"/>
    <s v="JUEVES"/>
    <x v="7"/>
    <x v="7"/>
    <n v="864"/>
    <n v="198"/>
    <n v="146.88000000000002"/>
    <x v="0"/>
  </r>
  <r>
    <d v="2021-10-07T00:00:00"/>
    <x v="4"/>
    <n v="41"/>
    <s v="JUEVES"/>
    <x v="38"/>
    <x v="38"/>
    <n v="224"/>
    <n v="112"/>
    <n v="89.600000000000009"/>
    <x v="0"/>
  </r>
  <r>
    <d v="2021-10-07T00:00:00"/>
    <x v="4"/>
    <n v="41"/>
    <s v="JUEVES"/>
    <x v="16"/>
    <x v="16"/>
    <n v="360"/>
    <n v="180"/>
    <n v="151.19999999999999"/>
    <x v="0"/>
  </r>
  <r>
    <d v="2021-10-07T00:00:00"/>
    <x v="4"/>
    <n v="41"/>
    <s v="JUEVES"/>
    <x v="17"/>
    <x v="17"/>
    <n v="240"/>
    <n v="120"/>
    <n v="40.800000000000004"/>
    <x v="0"/>
  </r>
  <r>
    <d v="2021-10-07T00:00:00"/>
    <x v="4"/>
    <n v="41"/>
    <s v="JUEVES"/>
    <x v="4"/>
    <x v="4"/>
    <n v="324"/>
    <n v="162"/>
    <n v="55.080000000000005"/>
    <x v="0"/>
  </r>
  <r>
    <d v="2021-10-07T00:00:00"/>
    <x v="4"/>
    <n v="41"/>
    <s v="JUEVES"/>
    <x v="2"/>
    <x v="2"/>
    <n v="1728"/>
    <n v="198"/>
    <n v="293.76000000000005"/>
    <x v="0"/>
  </r>
  <r>
    <d v="2021-10-07T00:00:00"/>
    <x v="4"/>
    <n v="41"/>
    <s v="JUEVES"/>
    <x v="8"/>
    <x v="8"/>
    <n v="1728"/>
    <n v="198"/>
    <n v="293.76000000000005"/>
    <x v="0"/>
  </r>
  <r>
    <d v="2021-10-07T00:00:00"/>
    <x v="4"/>
    <n v="41"/>
    <s v="JUEVES"/>
    <x v="42"/>
    <x v="42"/>
    <n v="250"/>
    <n v="420"/>
    <n v="105"/>
    <x v="0"/>
  </r>
  <r>
    <d v="2021-10-07T00:00:00"/>
    <x v="4"/>
    <n v="41"/>
    <s v="JUEVES"/>
    <x v="35"/>
    <x v="35"/>
    <n v="180"/>
    <n v="180"/>
    <n v="75.599999999999994"/>
    <x v="0"/>
  </r>
  <r>
    <d v="2021-10-07T00:00:00"/>
    <x v="4"/>
    <n v="41"/>
    <s v="JUEVES"/>
    <x v="28"/>
    <x v="28"/>
    <n v="120"/>
    <n v="30"/>
    <n v="27.6"/>
    <x v="0"/>
  </r>
  <r>
    <d v="2021-10-08T00:00:00"/>
    <x v="4"/>
    <n v="41"/>
    <s v="VIERNES"/>
    <x v="60"/>
    <x v="21"/>
    <n v="89"/>
    <n v="0"/>
    <n v="0"/>
    <x v="0"/>
  </r>
  <r>
    <d v="2021-10-08T00:00:00"/>
    <x v="4"/>
    <n v="41"/>
    <s v="VIERNES"/>
    <x v="61"/>
    <x v="21"/>
    <n v="45"/>
    <n v="0"/>
    <n v="0"/>
    <x v="0"/>
  </r>
  <r>
    <d v="2021-10-08T00:00:00"/>
    <x v="4"/>
    <n v="41"/>
    <s v="VIERNES"/>
    <x v="40"/>
    <x v="40"/>
    <n v="112"/>
    <n v="240"/>
    <n v="44.800000000000004"/>
    <x v="0"/>
  </r>
  <r>
    <d v="2021-10-08T00:00:00"/>
    <x v="4"/>
    <n v="41"/>
    <s v="VIERNES"/>
    <x v="16"/>
    <x v="16"/>
    <n v="180"/>
    <n v="180"/>
    <n v="75.599999999999994"/>
    <x v="0"/>
  </r>
  <r>
    <d v="2021-10-08T00:00:00"/>
    <x v="4"/>
    <n v="41"/>
    <s v="VIERNES"/>
    <x v="0"/>
    <x v="0"/>
    <n v="48"/>
    <n v="48"/>
    <n v="19.200000000000003"/>
    <x v="0"/>
  </r>
  <r>
    <d v="2021-10-08T00:00:00"/>
    <x v="4"/>
    <n v="41"/>
    <s v="VIERNES"/>
    <x v="28"/>
    <x v="28"/>
    <n v="30"/>
    <n v="30"/>
    <n v="6.9"/>
    <x v="0"/>
  </r>
  <r>
    <d v="2021-10-08T00:00:00"/>
    <x v="4"/>
    <n v="41"/>
    <s v="VIERNES"/>
    <x v="11"/>
    <x v="11"/>
    <n v="900"/>
    <n v="90"/>
    <n v="153"/>
    <x v="0"/>
  </r>
  <r>
    <d v="2021-10-08T00:00:00"/>
    <x v="4"/>
    <n v="41"/>
    <s v="VIERNES"/>
    <x v="3"/>
    <x v="3"/>
    <n v="792"/>
    <n v="198"/>
    <n v="134.64000000000001"/>
    <x v="0"/>
  </r>
  <r>
    <d v="2021-10-08T00:00:00"/>
    <x v="4"/>
    <n v="41"/>
    <s v="VIERNES"/>
    <x v="10"/>
    <x v="10"/>
    <n v="1080"/>
    <n v="120"/>
    <n v="183.60000000000002"/>
    <x v="0"/>
  </r>
  <r>
    <d v="2021-10-08T00:00:00"/>
    <x v="4"/>
    <n v="41"/>
    <s v="VIERNES"/>
    <x v="8"/>
    <x v="8"/>
    <n v="864"/>
    <n v="198"/>
    <n v="146.88000000000002"/>
    <x v="0"/>
  </r>
  <r>
    <d v="2021-10-08T00:00:00"/>
    <x v="4"/>
    <n v="41"/>
    <s v="VIERNES"/>
    <x v="4"/>
    <x v="4"/>
    <n v="486"/>
    <n v="162"/>
    <n v="82.62"/>
    <x v="0"/>
  </r>
  <r>
    <d v="2021-10-08T00:00:00"/>
    <x v="4"/>
    <n v="41"/>
    <s v="VIERNES"/>
    <x v="9"/>
    <x v="9"/>
    <n v="270"/>
    <n v="90"/>
    <n v="45.900000000000006"/>
    <x v="0"/>
  </r>
  <r>
    <d v="2021-10-08T00:00:00"/>
    <x v="4"/>
    <n v="41"/>
    <s v="VIERNES"/>
    <x v="5"/>
    <x v="5"/>
    <n v="486"/>
    <n v="162"/>
    <n v="82.62"/>
    <x v="0"/>
  </r>
  <r>
    <d v="2021-10-08T00:00:00"/>
    <x v="4"/>
    <n v="41"/>
    <s v="VIERNES"/>
    <x v="6"/>
    <x v="6"/>
    <n v="840"/>
    <n v="120"/>
    <n v="142.80000000000001"/>
    <x v="0"/>
  </r>
  <r>
    <d v="2021-10-08T00:00:00"/>
    <x v="4"/>
    <n v="41"/>
    <s v="VIERNES"/>
    <x v="2"/>
    <x v="2"/>
    <n v="648"/>
    <n v="198"/>
    <n v="110.16000000000001"/>
    <x v="0"/>
  </r>
  <r>
    <d v="2021-10-08T00:00:00"/>
    <x v="4"/>
    <n v="41"/>
    <s v="VIERNES"/>
    <x v="1"/>
    <x v="1"/>
    <n v="1728"/>
    <n v="198"/>
    <n v="293.76000000000005"/>
    <x v="0"/>
  </r>
  <r>
    <d v="2021-10-09T00:00:00"/>
    <x v="4"/>
    <n v="42"/>
    <s v="SÁBADO"/>
    <x v="29"/>
    <x v="29"/>
    <n v="216"/>
    <n v="198"/>
    <n v="36.720000000000006"/>
    <x v="0"/>
  </r>
  <r>
    <d v="2021-10-09T00:00:00"/>
    <x v="4"/>
    <n v="42"/>
    <s v="SÁBADO"/>
    <x v="6"/>
    <x v="6"/>
    <n v="1440"/>
    <n v="120"/>
    <n v="244.8"/>
    <x v="0"/>
  </r>
  <r>
    <d v="2021-10-09T00:00:00"/>
    <x v="4"/>
    <n v="42"/>
    <s v="SÁBADO"/>
    <x v="3"/>
    <x v="3"/>
    <n v="1188"/>
    <n v="198"/>
    <n v="201.96"/>
    <x v="0"/>
  </r>
  <r>
    <d v="2021-10-09T00:00:00"/>
    <x v="4"/>
    <n v="42"/>
    <s v="SÁBADO"/>
    <x v="4"/>
    <x v="4"/>
    <n v="648"/>
    <n v="162"/>
    <n v="110.16000000000001"/>
    <x v="0"/>
  </r>
  <r>
    <d v="2021-10-09T00:00:00"/>
    <x v="4"/>
    <n v="42"/>
    <s v="SÁBADO"/>
    <x v="22"/>
    <x v="22"/>
    <n v="1188"/>
    <n v="198"/>
    <n v="201.96"/>
    <x v="0"/>
  </r>
  <r>
    <d v="2021-10-09T00:00:00"/>
    <x v="4"/>
    <n v="42"/>
    <s v="SÁBADO"/>
    <x v="8"/>
    <x v="8"/>
    <n v="1296"/>
    <n v="198"/>
    <n v="220.32000000000002"/>
    <x v="0"/>
  </r>
  <r>
    <d v="2021-10-09T00:00:00"/>
    <x v="4"/>
    <n v="42"/>
    <s v="SÁBADO"/>
    <x v="11"/>
    <x v="11"/>
    <n v="900"/>
    <n v="90"/>
    <n v="153"/>
    <x v="0"/>
  </r>
  <r>
    <d v="2021-10-09T00:00:00"/>
    <x v="4"/>
    <n v="42"/>
    <s v="SÁBADO"/>
    <x v="5"/>
    <x v="5"/>
    <n v="648"/>
    <n v="162"/>
    <n v="110.16000000000001"/>
    <x v="0"/>
  </r>
  <r>
    <d v="2021-10-09T00:00:00"/>
    <x v="4"/>
    <n v="42"/>
    <s v="SÁBADO"/>
    <x v="1"/>
    <x v="1"/>
    <n v="3024"/>
    <n v="198"/>
    <n v="514.08000000000004"/>
    <x v="0"/>
  </r>
  <r>
    <d v="2021-10-09T00:00:00"/>
    <x v="4"/>
    <n v="42"/>
    <s v="SÁBADO"/>
    <x v="2"/>
    <x v="2"/>
    <n v="864"/>
    <n v="198"/>
    <n v="146.88000000000002"/>
    <x v="0"/>
  </r>
  <r>
    <d v="2021-10-09T00:00:00"/>
    <x v="4"/>
    <n v="42"/>
    <s v="SÁBADO"/>
    <x v="9"/>
    <x v="9"/>
    <n v="450"/>
    <n v="90"/>
    <n v="76.5"/>
    <x v="0"/>
  </r>
  <r>
    <d v="2021-10-09T00:00:00"/>
    <x v="4"/>
    <n v="42"/>
    <s v="SÁBADO"/>
    <x v="10"/>
    <x v="10"/>
    <n v="1440"/>
    <n v="120"/>
    <n v="244.8"/>
    <x v="0"/>
  </r>
  <r>
    <d v="2021-10-09T00:00:00"/>
    <x v="4"/>
    <n v="42"/>
    <s v="SÁBADO"/>
    <x v="35"/>
    <x v="35"/>
    <n v="1260"/>
    <n v="180"/>
    <n v="529.19999999999993"/>
    <x v="0"/>
  </r>
  <r>
    <d v="2021-10-09T00:00:00"/>
    <x v="4"/>
    <n v="42"/>
    <s v="SÁBADO"/>
    <x v="16"/>
    <x v="16"/>
    <n v="360"/>
    <n v="180"/>
    <n v="151.19999999999999"/>
    <x v="0"/>
  </r>
  <r>
    <d v="2021-10-09T00:00:00"/>
    <x v="4"/>
    <n v="42"/>
    <s v="SÁBADO"/>
    <x v="28"/>
    <x v="28"/>
    <n v="90"/>
    <n v="30"/>
    <n v="20.7"/>
    <x v="0"/>
  </r>
  <r>
    <d v="2021-10-09T00:00:00"/>
    <x v="4"/>
    <n v="42"/>
    <s v="SÁBADO"/>
    <x v="13"/>
    <x v="13"/>
    <n v="210"/>
    <n v="30"/>
    <n v="84"/>
    <x v="0"/>
  </r>
  <r>
    <d v="2021-10-09T00:00:00"/>
    <x v="4"/>
    <n v="42"/>
    <s v="SÁBADO"/>
    <x v="43"/>
    <x v="43"/>
    <n v="250"/>
    <n v="420"/>
    <n v="105"/>
    <x v="0"/>
  </r>
  <r>
    <d v="2021-10-09T00:00:00"/>
    <x v="4"/>
    <n v="42"/>
    <s v="SÁBADO"/>
    <x v="19"/>
    <x v="19"/>
    <n v="765"/>
    <n v="225"/>
    <n v="306"/>
    <x v="0"/>
  </r>
  <r>
    <d v="2021-10-09T00:00:00"/>
    <x v="4"/>
    <n v="42"/>
    <s v="SÁBADO"/>
    <x v="0"/>
    <x v="0"/>
    <n v="240"/>
    <n v="48"/>
    <n v="96"/>
    <x v="0"/>
  </r>
  <r>
    <d v="2021-10-09T00:00:00"/>
    <x v="4"/>
    <n v="42"/>
    <s v="SÁBADO"/>
    <x v="7"/>
    <x v="7"/>
    <n v="1296"/>
    <n v="198"/>
    <n v="220.32000000000002"/>
    <x v="0"/>
  </r>
  <r>
    <d v="2021-10-09T00:00:00"/>
    <x v="4"/>
    <n v="42"/>
    <s v="SÁBADO"/>
    <x v="17"/>
    <x v="17"/>
    <n v="480"/>
    <n v="120"/>
    <n v="81.600000000000009"/>
    <x v="0"/>
  </r>
  <r>
    <d v="2021-10-09T00:00:00"/>
    <x v="4"/>
    <n v="42"/>
    <s v="SÁBADO"/>
    <x v="25"/>
    <x v="25"/>
    <n v="1350"/>
    <n v="225"/>
    <n v="567"/>
    <x v="0"/>
  </r>
  <r>
    <d v="2021-10-09T00:00:00"/>
    <x v="4"/>
    <n v="42"/>
    <s v="SÁBADO"/>
    <x v="38"/>
    <x v="38"/>
    <n v="224"/>
    <n v="112"/>
    <n v="89.600000000000009"/>
    <x v="0"/>
  </r>
  <r>
    <d v="2021-10-09T00:00:00"/>
    <x v="4"/>
    <n v="42"/>
    <s v="SÁBADO"/>
    <x v="36"/>
    <x v="36"/>
    <n v="180"/>
    <n v="90"/>
    <n v="72"/>
    <x v="0"/>
  </r>
  <r>
    <d v="2021-10-10T00:00:00"/>
    <x v="4"/>
    <n v="42"/>
    <s v="DOMINGO"/>
    <x v="36"/>
    <x v="36"/>
    <n v="1170"/>
    <n v="90"/>
    <n v="468"/>
    <x v="0"/>
  </r>
  <r>
    <d v="2021-10-10T00:00:00"/>
    <x v="4"/>
    <n v="42"/>
    <s v="DOMINGO"/>
    <x v="35"/>
    <x v="35"/>
    <n v="2160"/>
    <n v="180"/>
    <n v="907.19999999999993"/>
    <x v="0"/>
  </r>
  <r>
    <d v="2021-10-11T00:00:00"/>
    <x v="4"/>
    <n v="42"/>
    <s v="LUNES"/>
    <x v="2"/>
    <x v="2"/>
    <n v="648"/>
    <n v="198"/>
    <n v="110.16000000000001"/>
    <x v="0"/>
  </r>
  <r>
    <d v="2021-10-11T00:00:00"/>
    <x v="4"/>
    <n v="42"/>
    <s v="LUNES"/>
    <x v="1"/>
    <x v="1"/>
    <n v="1728"/>
    <n v="198"/>
    <n v="293.76000000000005"/>
    <x v="0"/>
  </r>
  <r>
    <d v="2021-10-11T00:00:00"/>
    <x v="4"/>
    <n v="42"/>
    <s v="LUNES"/>
    <x v="6"/>
    <x v="6"/>
    <n v="840"/>
    <n v="120"/>
    <n v="142.80000000000001"/>
    <x v="0"/>
  </r>
  <r>
    <d v="2021-10-11T00:00:00"/>
    <x v="4"/>
    <n v="42"/>
    <s v="LUNES"/>
    <x v="10"/>
    <x v="10"/>
    <n v="2640"/>
    <n v="120"/>
    <n v="448.8"/>
    <x v="0"/>
  </r>
  <r>
    <d v="2021-10-11T00:00:00"/>
    <x v="4"/>
    <n v="42"/>
    <s v="LUNES"/>
    <x v="11"/>
    <x v="11"/>
    <n v="3780"/>
    <n v="90"/>
    <n v="642.6"/>
    <x v="0"/>
  </r>
  <r>
    <d v="2021-10-11T00:00:00"/>
    <x v="4"/>
    <n v="42"/>
    <s v="LUNES"/>
    <x v="8"/>
    <x v="8"/>
    <n v="864"/>
    <n v="198"/>
    <n v="146.88000000000002"/>
    <x v="0"/>
  </r>
  <r>
    <d v="2021-10-11T00:00:00"/>
    <x v="4"/>
    <n v="42"/>
    <s v="LUNES"/>
    <x v="5"/>
    <x v="5"/>
    <n v="486"/>
    <n v="162"/>
    <n v="82.62"/>
    <x v="0"/>
  </r>
  <r>
    <d v="2021-10-11T00:00:00"/>
    <x v="4"/>
    <n v="42"/>
    <s v="LUNES"/>
    <x v="9"/>
    <x v="9"/>
    <n v="450"/>
    <n v="90"/>
    <n v="76.5"/>
    <x v="0"/>
  </r>
  <r>
    <d v="2021-10-11T00:00:00"/>
    <x v="4"/>
    <n v="42"/>
    <s v="LUNES"/>
    <x v="3"/>
    <x v="3"/>
    <n v="1188"/>
    <n v="198"/>
    <n v="201.96"/>
    <x v="0"/>
  </r>
  <r>
    <d v="2021-10-11T00:00:00"/>
    <x v="4"/>
    <n v="42"/>
    <s v="LUNES"/>
    <x v="35"/>
    <x v="35"/>
    <n v="1980"/>
    <n v="180"/>
    <n v="831.6"/>
    <x v="0"/>
  </r>
  <r>
    <d v="2021-10-11T00:00:00"/>
    <x v="4"/>
    <n v="42"/>
    <s v="LUNES"/>
    <x v="0"/>
    <x v="0"/>
    <n v="528"/>
    <n v="48"/>
    <n v="211.20000000000002"/>
    <x v="0"/>
  </r>
  <r>
    <d v="2021-10-11T00:00:00"/>
    <x v="4"/>
    <n v="42"/>
    <s v="LUNES"/>
    <x v="7"/>
    <x v="7"/>
    <n v="648"/>
    <n v="198"/>
    <n v="110.16000000000001"/>
    <x v="0"/>
  </r>
  <r>
    <d v="2021-10-11T00:00:00"/>
    <x v="4"/>
    <n v="42"/>
    <s v="LUNES"/>
    <x v="17"/>
    <x v="17"/>
    <n v="840"/>
    <n v="120"/>
    <n v="142.80000000000001"/>
    <x v="0"/>
  </r>
  <r>
    <d v="2021-10-11T00:00:00"/>
    <x v="4"/>
    <n v="42"/>
    <s v="LUNES"/>
    <x v="33"/>
    <x v="33"/>
    <n v="40"/>
    <n v="40"/>
    <n v="9.2000000000000011"/>
    <x v="0"/>
  </r>
  <r>
    <d v="2021-10-11T00:00:00"/>
    <x v="4"/>
    <n v="42"/>
    <s v="LUNES"/>
    <x v="28"/>
    <x v="28"/>
    <n v="30"/>
    <n v="30"/>
    <n v="6.9"/>
    <x v="0"/>
  </r>
  <r>
    <d v="2021-10-11T00:00:00"/>
    <x v="4"/>
    <n v="42"/>
    <s v="LUNES"/>
    <x v="12"/>
    <x v="12"/>
    <n v="225"/>
    <n v="225"/>
    <n v="90"/>
    <x v="0"/>
  </r>
  <r>
    <d v="2021-10-11T00:00:00"/>
    <x v="4"/>
    <n v="42"/>
    <s v="LUNES"/>
    <x v="19"/>
    <x v="19"/>
    <n v="225"/>
    <n v="225"/>
    <n v="90"/>
    <x v="0"/>
  </r>
  <r>
    <d v="2021-10-11T00:00:00"/>
    <x v="4"/>
    <n v="42"/>
    <s v="LUNES"/>
    <x v="20"/>
    <x v="20"/>
    <n v="90"/>
    <n v="90"/>
    <n v="15.3"/>
    <x v="0"/>
  </r>
  <r>
    <d v="2021-10-11T00:00:00"/>
    <x v="4"/>
    <n v="42"/>
    <s v="LUNES"/>
    <x v="24"/>
    <x v="24"/>
    <n v="2940"/>
    <n v="420"/>
    <n v="1234.8"/>
    <x v="0"/>
  </r>
  <r>
    <d v="2021-10-12T00:00:00"/>
    <x v="4"/>
    <n v="42"/>
    <s v="MARTES"/>
    <x v="38"/>
    <x v="38"/>
    <n v="112"/>
    <n v="112"/>
    <n v="44.800000000000004"/>
    <x v="0"/>
  </r>
  <r>
    <d v="2021-10-12T00:00:00"/>
    <x v="4"/>
    <n v="42"/>
    <s v="MARTES"/>
    <x v="33"/>
    <x v="33"/>
    <n v="40"/>
    <n v="40"/>
    <n v="9.2000000000000011"/>
    <x v="0"/>
  </r>
  <r>
    <d v="2021-10-12T00:00:00"/>
    <x v="4"/>
    <n v="42"/>
    <s v="MARTES"/>
    <x v="15"/>
    <x v="15"/>
    <n v="150"/>
    <n v="50"/>
    <n v="60"/>
    <x v="0"/>
  </r>
  <r>
    <d v="2021-10-12T00:00:00"/>
    <x v="4"/>
    <n v="42"/>
    <s v="MARTES"/>
    <x v="0"/>
    <x v="0"/>
    <n v="672"/>
    <n v="48"/>
    <n v="268.8"/>
    <x v="0"/>
  </r>
  <r>
    <d v="2021-10-12T00:00:00"/>
    <x v="4"/>
    <n v="42"/>
    <s v="MARTES"/>
    <x v="24"/>
    <x v="24"/>
    <n v="3780"/>
    <n v="420"/>
    <n v="1587.6"/>
    <x v="0"/>
  </r>
  <r>
    <d v="2021-10-12T00:00:00"/>
    <x v="4"/>
    <n v="42"/>
    <s v="MARTES"/>
    <x v="17"/>
    <x v="17"/>
    <n v="720"/>
    <n v="120"/>
    <n v="122.4"/>
    <x v="0"/>
  </r>
  <r>
    <d v="2021-10-12T00:00:00"/>
    <x v="4"/>
    <n v="42"/>
    <s v="MARTES"/>
    <x v="8"/>
    <x v="8"/>
    <n v="432"/>
    <n v="198"/>
    <n v="73.440000000000012"/>
    <x v="0"/>
  </r>
  <r>
    <d v="2021-10-12T00:00:00"/>
    <x v="4"/>
    <n v="42"/>
    <s v="MARTES"/>
    <x v="7"/>
    <x v="7"/>
    <n v="2160"/>
    <n v="198"/>
    <n v="367.20000000000005"/>
    <x v="0"/>
  </r>
  <r>
    <d v="2021-10-12T00:00:00"/>
    <x v="4"/>
    <n v="42"/>
    <s v="MARTES"/>
    <x v="3"/>
    <x v="3"/>
    <n v="396"/>
    <n v="198"/>
    <n v="67.320000000000007"/>
    <x v="0"/>
  </r>
  <r>
    <d v="2021-10-12T00:00:00"/>
    <x v="4"/>
    <n v="42"/>
    <s v="MARTES"/>
    <x v="22"/>
    <x v="22"/>
    <n v="1386"/>
    <n v="198"/>
    <n v="235.62"/>
    <x v="0"/>
  </r>
  <r>
    <d v="2021-10-12T00:00:00"/>
    <x v="4"/>
    <n v="42"/>
    <s v="MARTES"/>
    <x v="2"/>
    <x v="2"/>
    <n v="1512"/>
    <n v="198"/>
    <n v="257.04000000000002"/>
    <x v="0"/>
  </r>
  <r>
    <d v="2021-10-12T00:00:00"/>
    <x v="4"/>
    <n v="42"/>
    <s v="MARTES"/>
    <x v="20"/>
    <x v="20"/>
    <n v="180"/>
    <n v="90"/>
    <n v="30.6"/>
    <x v="0"/>
  </r>
  <r>
    <d v="2021-10-12T00:00:00"/>
    <x v="4"/>
    <n v="42"/>
    <s v="MARTES"/>
    <x v="16"/>
    <x v="16"/>
    <n v="360"/>
    <n v="180"/>
    <n v="151.19999999999999"/>
    <x v="0"/>
  </r>
  <r>
    <d v="2021-10-12T00:00:00"/>
    <x v="4"/>
    <n v="42"/>
    <s v="MARTES"/>
    <x v="25"/>
    <x v="25"/>
    <n v="900"/>
    <n v="225"/>
    <n v="378"/>
    <x v="0"/>
  </r>
  <r>
    <d v="2021-10-12T00:00:00"/>
    <x v="4"/>
    <n v="42"/>
    <s v="MARTES"/>
    <x v="42"/>
    <x v="42"/>
    <n v="250"/>
    <n v="420"/>
    <n v="105"/>
    <x v="0"/>
  </r>
  <r>
    <d v="2021-10-12T00:00:00"/>
    <x v="4"/>
    <n v="42"/>
    <s v="MARTES"/>
    <x v="43"/>
    <x v="43"/>
    <n v="250"/>
    <n v="420"/>
    <n v="105"/>
    <x v="0"/>
  </r>
  <r>
    <d v="2021-10-12T00:00:00"/>
    <x v="4"/>
    <n v="42"/>
    <s v="MARTES"/>
    <x v="11"/>
    <x v="11"/>
    <n v="450"/>
    <n v="90"/>
    <n v="76.5"/>
    <x v="0"/>
  </r>
  <r>
    <d v="2021-10-12T00:00:00"/>
    <x v="4"/>
    <n v="42"/>
    <s v="MARTES"/>
    <x v="23"/>
    <x v="23"/>
    <n v="270"/>
    <n v="90"/>
    <n v="45.900000000000006"/>
    <x v="0"/>
  </r>
  <r>
    <d v="2021-10-12T00:00:00"/>
    <x v="4"/>
    <n v="42"/>
    <s v="MARTES"/>
    <x v="10"/>
    <x v="10"/>
    <n v="2400"/>
    <n v="120"/>
    <n v="408.00000000000006"/>
    <x v="0"/>
  </r>
  <r>
    <d v="2021-10-12T00:00:00"/>
    <x v="4"/>
    <n v="42"/>
    <s v="MARTES"/>
    <x v="62"/>
    <x v="21"/>
    <n v="11"/>
    <n v="0"/>
    <n v="0"/>
    <x v="0"/>
  </r>
  <r>
    <d v="2021-10-13T00:00:00"/>
    <x v="4"/>
    <n v="42"/>
    <s v="MIÉRCOLES"/>
    <x v="13"/>
    <x v="13"/>
    <n v="60"/>
    <n v="30"/>
    <n v="24"/>
    <x v="0"/>
  </r>
  <r>
    <d v="2021-10-13T00:00:00"/>
    <x v="4"/>
    <n v="42"/>
    <s v="MIÉRCOLES"/>
    <x v="6"/>
    <x v="6"/>
    <n v="3840"/>
    <n v="120"/>
    <n v="652.80000000000007"/>
    <x v="0"/>
  </r>
  <r>
    <d v="2021-10-13T00:00:00"/>
    <x v="4"/>
    <n v="42"/>
    <s v="MIÉRCOLES"/>
    <x v="15"/>
    <x v="15"/>
    <n v="200"/>
    <n v="50"/>
    <n v="80"/>
    <x v="0"/>
  </r>
  <r>
    <d v="2021-10-13T00:00:00"/>
    <x v="4"/>
    <n v="42"/>
    <s v="MIÉRCOLES"/>
    <x v="0"/>
    <x v="0"/>
    <n v="912"/>
    <n v="48"/>
    <n v="364.8"/>
    <x v="0"/>
  </r>
  <r>
    <d v="2021-10-13T00:00:00"/>
    <x v="4"/>
    <n v="42"/>
    <s v="MIÉRCOLES"/>
    <x v="11"/>
    <x v="11"/>
    <n v="2160"/>
    <n v="90"/>
    <n v="367.20000000000005"/>
    <x v="0"/>
  </r>
  <r>
    <d v="2021-10-13T00:00:00"/>
    <x v="4"/>
    <n v="42"/>
    <s v="MIÉRCOLES"/>
    <x v="10"/>
    <x v="10"/>
    <n v="4560"/>
    <n v="120"/>
    <n v="775.2"/>
    <x v="0"/>
  </r>
  <r>
    <d v="2021-10-13T00:00:00"/>
    <x v="4"/>
    <n v="42"/>
    <s v="MIÉRCOLES"/>
    <x v="17"/>
    <x v="17"/>
    <n v="720"/>
    <n v="120"/>
    <n v="122.4"/>
    <x v="0"/>
  </r>
  <r>
    <d v="2021-10-13T00:00:00"/>
    <x v="4"/>
    <n v="42"/>
    <s v="MIÉRCOLES"/>
    <x v="8"/>
    <x v="8"/>
    <n v="864"/>
    <n v="198"/>
    <n v="146.88000000000002"/>
    <x v="0"/>
  </r>
  <r>
    <d v="2021-10-13T00:00:00"/>
    <x v="4"/>
    <n v="42"/>
    <s v="MIÉRCOLES"/>
    <x v="7"/>
    <x v="7"/>
    <n v="2160"/>
    <n v="198"/>
    <n v="367.20000000000005"/>
    <x v="0"/>
  </r>
  <r>
    <d v="2021-10-13T00:00:00"/>
    <x v="4"/>
    <n v="42"/>
    <s v="MIÉRCOLES"/>
    <x v="3"/>
    <x v="3"/>
    <n v="990"/>
    <n v="198"/>
    <n v="168.3"/>
    <x v="0"/>
  </r>
  <r>
    <d v="2021-10-13T00:00:00"/>
    <x v="4"/>
    <n v="42"/>
    <s v="MIÉRCOLES"/>
    <x v="22"/>
    <x v="22"/>
    <n v="1980"/>
    <n v="198"/>
    <n v="336.6"/>
    <x v="0"/>
  </r>
  <r>
    <d v="2021-10-13T00:00:00"/>
    <x v="4"/>
    <n v="42"/>
    <s v="MIÉRCOLES"/>
    <x v="2"/>
    <x v="2"/>
    <n v="1512"/>
    <n v="198"/>
    <n v="257.04000000000002"/>
    <x v="0"/>
  </r>
  <r>
    <d v="2021-10-13T00:00:00"/>
    <x v="4"/>
    <n v="42"/>
    <s v="MIÉRCOLES"/>
    <x v="25"/>
    <x v="25"/>
    <n v="900"/>
    <n v="225"/>
    <n v="378"/>
    <x v="0"/>
  </r>
  <r>
    <d v="2021-10-13T00:00:00"/>
    <x v="4"/>
    <n v="42"/>
    <s v="MIÉRCOLES"/>
    <x v="38"/>
    <x v="38"/>
    <n v="224"/>
    <n v="112"/>
    <n v="89.600000000000009"/>
    <x v="0"/>
  </r>
  <r>
    <d v="2021-10-13T00:00:00"/>
    <x v="4"/>
    <n v="42"/>
    <s v="MIÉRCOLES"/>
    <x v="35"/>
    <x v="35"/>
    <n v="360"/>
    <n v="180"/>
    <n v="151.19999999999999"/>
    <x v="0"/>
  </r>
  <r>
    <d v="2021-10-13T00:00:00"/>
    <x v="4"/>
    <n v="42"/>
    <s v="MIÉRCOLES"/>
    <x v="43"/>
    <x v="43"/>
    <n v="500"/>
    <n v="420"/>
    <n v="210"/>
    <x v="0"/>
  </r>
  <r>
    <d v="2021-10-13T00:00:00"/>
    <x v="4"/>
    <n v="42"/>
    <s v="MIÉRCOLES"/>
    <x v="33"/>
    <x v="33"/>
    <n v="40"/>
    <n v="40"/>
    <n v="9.2000000000000011"/>
    <x v="0"/>
  </r>
  <r>
    <d v="2021-10-13T00:00:00"/>
    <x v="4"/>
    <n v="42"/>
    <s v="MIÉRCOLES"/>
    <x v="24"/>
    <x v="24"/>
    <n v="1680"/>
    <n v="420"/>
    <n v="705.6"/>
    <x v="0"/>
  </r>
  <r>
    <d v="2021-10-13T00:00:00"/>
    <x v="4"/>
    <n v="42"/>
    <s v="MIÉRCOLES"/>
    <x v="23"/>
    <x v="23"/>
    <n v="270"/>
    <n v="90"/>
    <n v="45.900000000000006"/>
    <x v="0"/>
  </r>
  <r>
    <d v="2021-10-13T00:00:00"/>
    <x v="4"/>
    <n v="42"/>
    <s v="MIÉRCOLES"/>
    <x v="42"/>
    <x v="42"/>
    <n v="250"/>
    <n v="420"/>
    <n v="105"/>
    <x v="0"/>
  </r>
  <r>
    <d v="2021-10-13T00:00:00"/>
    <x v="4"/>
    <n v="42"/>
    <s v="MIÉRCOLES"/>
    <x v="20"/>
    <x v="20"/>
    <n v="180"/>
    <n v="90"/>
    <n v="30.6"/>
    <x v="0"/>
  </r>
  <r>
    <d v="2021-10-14T00:00:00"/>
    <x v="4"/>
    <n v="42"/>
    <s v="JUEVES"/>
    <x v="17"/>
    <x v="17"/>
    <n v="1440"/>
    <n v="120"/>
    <n v="244.8"/>
    <x v="0"/>
  </r>
  <r>
    <d v="2021-10-14T00:00:00"/>
    <x v="4"/>
    <n v="42"/>
    <s v="JUEVES"/>
    <x v="11"/>
    <x v="11"/>
    <n v="2880"/>
    <n v="90"/>
    <n v="489.6"/>
    <x v="0"/>
  </r>
  <r>
    <d v="2021-10-14T00:00:00"/>
    <x v="4"/>
    <n v="42"/>
    <s v="JUEVES"/>
    <x v="9"/>
    <x v="9"/>
    <n v="720"/>
    <n v="90"/>
    <n v="122.4"/>
    <x v="0"/>
  </r>
  <r>
    <d v="2021-10-14T00:00:00"/>
    <x v="4"/>
    <n v="42"/>
    <s v="JUEVES"/>
    <x v="1"/>
    <x v="1"/>
    <n v="1296"/>
    <n v="198"/>
    <n v="220.32000000000002"/>
    <x v="0"/>
  </r>
  <r>
    <d v="2021-10-14T00:00:00"/>
    <x v="4"/>
    <n v="42"/>
    <s v="JUEVES"/>
    <x v="10"/>
    <x v="10"/>
    <n v="3360"/>
    <n v="120"/>
    <n v="571.20000000000005"/>
    <x v="0"/>
  </r>
  <r>
    <d v="2021-10-14T00:00:00"/>
    <x v="4"/>
    <n v="42"/>
    <s v="JUEVES"/>
    <x v="20"/>
    <x v="20"/>
    <n v="450"/>
    <n v="90"/>
    <n v="76.5"/>
    <x v="0"/>
  </r>
  <r>
    <d v="2021-10-14T00:00:00"/>
    <x v="4"/>
    <n v="42"/>
    <s v="JUEVES"/>
    <x v="7"/>
    <x v="7"/>
    <n v="1296"/>
    <n v="198"/>
    <n v="220.32000000000002"/>
    <x v="0"/>
  </r>
  <r>
    <d v="2021-10-14T00:00:00"/>
    <x v="4"/>
    <n v="42"/>
    <s v="JUEVES"/>
    <x v="2"/>
    <x v="2"/>
    <n v="864"/>
    <n v="198"/>
    <n v="146.88000000000002"/>
    <x v="0"/>
  </r>
  <r>
    <d v="2021-10-14T00:00:00"/>
    <x v="4"/>
    <n v="42"/>
    <s v="JUEVES"/>
    <x v="0"/>
    <x v="0"/>
    <n v="384"/>
    <n v="48"/>
    <n v="153.60000000000002"/>
    <x v="0"/>
  </r>
  <r>
    <d v="2021-10-14T00:00:00"/>
    <x v="4"/>
    <n v="42"/>
    <s v="JUEVES"/>
    <x v="6"/>
    <x v="6"/>
    <n v="1680"/>
    <n v="120"/>
    <n v="285.60000000000002"/>
    <x v="0"/>
  </r>
  <r>
    <d v="2021-10-14T00:00:00"/>
    <x v="4"/>
    <n v="42"/>
    <s v="JUEVES"/>
    <x v="23"/>
    <x v="23"/>
    <n v="720"/>
    <n v="90"/>
    <n v="122.4"/>
    <x v="0"/>
  </r>
  <r>
    <d v="2021-10-14T00:00:00"/>
    <x v="4"/>
    <n v="42"/>
    <s v="JUEVES"/>
    <x v="24"/>
    <x v="24"/>
    <n v="840"/>
    <n v="420"/>
    <n v="352.8"/>
    <x v="0"/>
  </r>
  <r>
    <d v="2021-10-14T00:00:00"/>
    <x v="4"/>
    <n v="42"/>
    <s v="JUEVES"/>
    <x v="13"/>
    <x v="13"/>
    <n v="180"/>
    <n v="30"/>
    <n v="72"/>
    <x v="0"/>
  </r>
  <r>
    <d v="2021-10-14T00:00:00"/>
    <x v="4"/>
    <n v="42"/>
    <s v="JUEVES"/>
    <x v="42"/>
    <x v="42"/>
    <n v="1000"/>
    <n v="420"/>
    <n v="420"/>
    <x v="0"/>
  </r>
  <r>
    <d v="2021-10-14T00:00:00"/>
    <x v="4"/>
    <n v="42"/>
    <s v="JUEVES"/>
    <x v="35"/>
    <x v="35"/>
    <n v="180"/>
    <n v="180"/>
    <n v="75.599999999999994"/>
    <x v="0"/>
  </r>
  <r>
    <d v="2021-10-14T00:00:00"/>
    <x v="4"/>
    <n v="42"/>
    <s v="JUEVES"/>
    <x v="28"/>
    <x v="28"/>
    <n v="210"/>
    <n v="30"/>
    <n v="48.300000000000004"/>
    <x v="0"/>
  </r>
  <r>
    <d v="2021-10-14T00:00:00"/>
    <x v="4"/>
    <n v="42"/>
    <s v="JUEVES"/>
    <x v="8"/>
    <x v="8"/>
    <n v="864"/>
    <n v="198"/>
    <n v="146.88000000000002"/>
    <x v="0"/>
  </r>
  <r>
    <d v="2021-10-15T00:00:00"/>
    <x v="4"/>
    <n v="42"/>
    <s v="VIERNES"/>
    <x v="6"/>
    <x v="6"/>
    <n v="960"/>
    <n v="120"/>
    <n v="163.20000000000002"/>
    <x v="0"/>
  </r>
  <r>
    <d v="2021-10-15T00:00:00"/>
    <x v="4"/>
    <n v="42"/>
    <s v="VIERNES"/>
    <x v="1"/>
    <x v="1"/>
    <n v="1296"/>
    <n v="198"/>
    <n v="220.32000000000002"/>
    <x v="0"/>
  </r>
  <r>
    <d v="2021-10-15T00:00:00"/>
    <x v="4"/>
    <n v="42"/>
    <s v="VIERNES"/>
    <x v="3"/>
    <x v="3"/>
    <n v="792"/>
    <n v="198"/>
    <n v="134.64000000000001"/>
    <x v="0"/>
  </r>
  <r>
    <d v="2021-10-15T00:00:00"/>
    <x v="4"/>
    <n v="42"/>
    <s v="VIERNES"/>
    <x v="22"/>
    <x v="22"/>
    <n v="1188"/>
    <n v="198"/>
    <n v="201.96"/>
    <x v="0"/>
  </r>
  <r>
    <d v="2021-10-15T00:00:00"/>
    <x v="4"/>
    <n v="42"/>
    <s v="VIERNES"/>
    <x v="7"/>
    <x v="7"/>
    <n v="2592"/>
    <n v="198"/>
    <n v="440.64000000000004"/>
    <x v="0"/>
  </r>
  <r>
    <d v="2021-10-15T00:00:00"/>
    <x v="4"/>
    <n v="42"/>
    <s v="VIERNES"/>
    <x v="8"/>
    <x v="8"/>
    <n v="864"/>
    <n v="198"/>
    <n v="146.88000000000002"/>
    <x v="0"/>
  </r>
  <r>
    <d v="2021-10-15T00:00:00"/>
    <x v="4"/>
    <n v="42"/>
    <s v="VIERNES"/>
    <x v="10"/>
    <x v="10"/>
    <n v="4080"/>
    <n v="120"/>
    <n v="693.6"/>
    <x v="0"/>
  </r>
  <r>
    <d v="2021-10-15T00:00:00"/>
    <x v="4"/>
    <n v="42"/>
    <s v="VIERNES"/>
    <x v="17"/>
    <x v="17"/>
    <n v="960"/>
    <n v="120"/>
    <n v="163.20000000000002"/>
    <x v="0"/>
  </r>
  <r>
    <d v="2021-10-15T00:00:00"/>
    <x v="4"/>
    <n v="42"/>
    <s v="VIERNES"/>
    <x v="16"/>
    <x v="16"/>
    <n v="360"/>
    <n v="180"/>
    <n v="151.19999999999999"/>
    <x v="0"/>
  </r>
  <r>
    <d v="2021-10-15T00:00:00"/>
    <x v="4"/>
    <n v="42"/>
    <s v="VIERNES"/>
    <x v="11"/>
    <x v="11"/>
    <n v="1440"/>
    <n v="90"/>
    <n v="244.8"/>
    <x v="0"/>
  </r>
  <r>
    <d v="2021-10-15T00:00:00"/>
    <x v="4"/>
    <n v="42"/>
    <s v="VIERNES"/>
    <x v="42"/>
    <x v="42"/>
    <n v="500"/>
    <n v="420"/>
    <n v="210"/>
    <x v="0"/>
  </r>
  <r>
    <d v="2021-10-15T00:00:00"/>
    <x v="4"/>
    <n v="42"/>
    <s v="VIERNES"/>
    <x v="25"/>
    <x v="25"/>
    <n v="1350"/>
    <n v="225"/>
    <n v="567"/>
    <x v="0"/>
  </r>
  <r>
    <d v="2021-10-15T00:00:00"/>
    <x v="4"/>
    <n v="42"/>
    <s v="VIERNES"/>
    <x v="15"/>
    <x v="15"/>
    <n v="200"/>
    <n v="50"/>
    <n v="80"/>
    <x v="0"/>
  </r>
  <r>
    <d v="2021-10-15T00:00:00"/>
    <x v="4"/>
    <n v="42"/>
    <s v="VIERNES"/>
    <x v="43"/>
    <x v="43"/>
    <n v="500"/>
    <n v="420"/>
    <n v="210"/>
    <x v="0"/>
  </r>
  <r>
    <d v="2021-10-15T00:00:00"/>
    <x v="4"/>
    <n v="42"/>
    <s v="VIERNES"/>
    <x v="0"/>
    <x v="0"/>
    <n v="576"/>
    <n v="48"/>
    <n v="230.4"/>
    <x v="0"/>
  </r>
  <r>
    <d v="2021-10-15T00:00:00"/>
    <x v="4"/>
    <n v="42"/>
    <s v="VIERNES"/>
    <x v="16"/>
    <x v="16"/>
    <n v="360"/>
    <n v="180"/>
    <n v="151.19999999999999"/>
    <x v="0"/>
  </r>
  <r>
    <d v="2021-10-15T00:00:00"/>
    <x v="4"/>
    <n v="42"/>
    <s v="VIERNES"/>
    <x v="35"/>
    <x v="35"/>
    <n v="540"/>
    <n v="180"/>
    <n v="226.79999999999998"/>
    <x v="0"/>
  </r>
  <r>
    <d v="2021-10-15T00:00:00"/>
    <x v="4"/>
    <n v="42"/>
    <s v="VIERNES"/>
    <x v="34"/>
    <x v="34"/>
    <n v="648"/>
    <n v="198"/>
    <n v="110.16000000000001"/>
    <x v="0"/>
  </r>
  <r>
    <d v="2021-10-15T00:00:00"/>
    <x v="4"/>
    <n v="42"/>
    <s v="VIERNES"/>
    <x v="14"/>
    <x v="14"/>
    <n v="120"/>
    <n v="40"/>
    <n v="27.6"/>
    <x v="0"/>
  </r>
  <r>
    <d v="2021-10-15T00:00:00"/>
    <x v="4"/>
    <n v="42"/>
    <s v="VIERNES"/>
    <x v="20"/>
    <x v="20"/>
    <n v="270"/>
    <n v="90"/>
    <n v="45.900000000000006"/>
    <x v="0"/>
  </r>
  <r>
    <d v="2021-10-15T00:00:00"/>
    <x v="4"/>
    <n v="42"/>
    <s v="VIERNES"/>
    <x v="9"/>
    <x v="9"/>
    <n v="450"/>
    <n v="90"/>
    <n v="76.5"/>
    <x v="0"/>
  </r>
  <r>
    <d v="2021-10-15T00:00:00"/>
    <x v="4"/>
    <n v="42"/>
    <s v="VIERNES"/>
    <x v="2"/>
    <x v="2"/>
    <n v="1080"/>
    <n v="198"/>
    <n v="183.60000000000002"/>
    <x v="0"/>
  </r>
  <r>
    <d v="2021-10-15T00:00:00"/>
    <x v="4"/>
    <n v="42"/>
    <s v="VIERNES"/>
    <x v="12"/>
    <x v="12"/>
    <n v="450"/>
    <n v="225"/>
    <n v="180"/>
    <x v="0"/>
  </r>
  <r>
    <d v="2021-10-15T00:00:00"/>
    <x v="4"/>
    <n v="42"/>
    <s v="VIERNES"/>
    <x v="4"/>
    <x v="4"/>
    <n v="324"/>
    <n v="162"/>
    <n v="55.080000000000005"/>
    <x v="0"/>
  </r>
  <r>
    <d v="2021-10-15T00:00:00"/>
    <x v="4"/>
    <n v="42"/>
    <s v="VIERNES"/>
    <x v="28"/>
    <x v="28"/>
    <n v="60"/>
    <n v="30"/>
    <n v="13.8"/>
    <x v="0"/>
  </r>
  <r>
    <d v="2021-10-15T00:00:00"/>
    <x v="4"/>
    <n v="42"/>
    <s v="VIERNES"/>
    <x v="13"/>
    <x v="13"/>
    <n v="30"/>
    <n v="30"/>
    <n v="12"/>
    <x v="0"/>
  </r>
  <r>
    <d v="2021-10-15T00:00:00"/>
    <x v="4"/>
    <n v="42"/>
    <s v="VIERNES"/>
    <x v="24"/>
    <x v="24"/>
    <n v="2940"/>
    <n v="420"/>
    <n v="1234.8"/>
    <x v="0"/>
  </r>
  <r>
    <d v="2021-10-15T00:00:00"/>
    <x v="4"/>
    <n v="42"/>
    <s v="VIERNES"/>
    <x v="38"/>
    <x v="38"/>
    <n v="112"/>
    <n v="112"/>
    <n v="44.800000000000004"/>
    <x v="0"/>
  </r>
  <r>
    <d v="2021-10-16T00:00:00"/>
    <x v="4"/>
    <n v="43"/>
    <s v="SÁBADO"/>
    <x v="1"/>
    <x v="1"/>
    <n v="2160"/>
    <n v="198"/>
    <n v="367.20000000000005"/>
    <x v="0"/>
  </r>
  <r>
    <d v="2021-10-16T00:00:00"/>
    <x v="4"/>
    <n v="43"/>
    <s v="SÁBADO"/>
    <x v="6"/>
    <x v="6"/>
    <n v="720"/>
    <n v="120"/>
    <n v="122.4"/>
    <x v="0"/>
  </r>
  <r>
    <d v="2021-10-16T00:00:00"/>
    <x v="4"/>
    <n v="43"/>
    <s v="SÁBADO"/>
    <x v="22"/>
    <x v="22"/>
    <n v="792"/>
    <n v="198"/>
    <n v="134.64000000000001"/>
    <x v="0"/>
  </r>
  <r>
    <d v="2021-10-16T00:00:00"/>
    <x v="4"/>
    <n v="43"/>
    <s v="SÁBADO"/>
    <x v="3"/>
    <x v="3"/>
    <n v="792"/>
    <n v="198"/>
    <n v="134.64000000000001"/>
    <x v="0"/>
  </r>
  <r>
    <d v="2021-10-16T00:00:00"/>
    <x v="4"/>
    <n v="43"/>
    <s v="SÁBADO"/>
    <x v="7"/>
    <x v="7"/>
    <n v="1728"/>
    <n v="198"/>
    <n v="293.76000000000005"/>
    <x v="0"/>
  </r>
  <r>
    <d v="2021-10-16T00:00:00"/>
    <x v="4"/>
    <n v="43"/>
    <s v="SÁBADO"/>
    <x v="8"/>
    <x v="8"/>
    <n v="1296"/>
    <n v="198"/>
    <n v="220.32000000000002"/>
    <x v="0"/>
  </r>
  <r>
    <d v="2021-10-16T00:00:00"/>
    <x v="4"/>
    <n v="43"/>
    <s v="SÁBADO"/>
    <x v="17"/>
    <x v="17"/>
    <n v="720"/>
    <n v="120"/>
    <n v="122.4"/>
    <x v="0"/>
  </r>
  <r>
    <d v="2021-10-16T00:00:00"/>
    <x v="4"/>
    <n v="43"/>
    <s v="SÁBADO"/>
    <x v="10"/>
    <x v="10"/>
    <n v="3120"/>
    <n v="120"/>
    <n v="530.40000000000009"/>
    <x v="0"/>
  </r>
  <r>
    <d v="2021-10-16T00:00:00"/>
    <x v="4"/>
    <n v="43"/>
    <s v="SÁBADO"/>
    <x v="11"/>
    <x v="11"/>
    <n v="2160"/>
    <n v="90"/>
    <n v="367.20000000000005"/>
    <x v="0"/>
  </r>
  <r>
    <d v="2021-10-16T00:00:00"/>
    <x v="4"/>
    <n v="43"/>
    <s v="SÁBADO"/>
    <x v="16"/>
    <x v="16"/>
    <n v="360"/>
    <n v="180"/>
    <n v="151.19999999999999"/>
    <x v="0"/>
  </r>
  <r>
    <d v="2021-10-16T00:00:00"/>
    <x v="4"/>
    <n v="43"/>
    <s v="SÁBADO"/>
    <x v="42"/>
    <x v="42"/>
    <n v="500"/>
    <n v="420"/>
    <n v="210"/>
    <x v="0"/>
  </r>
  <r>
    <d v="2021-10-16T00:00:00"/>
    <x v="4"/>
    <n v="43"/>
    <s v="SÁBADO"/>
    <x v="43"/>
    <x v="43"/>
    <n v="500"/>
    <n v="420"/>
    <n v="210"/>
    <x v="0"/>
  </r>
  <r>
    <d v="2021-10-16T00:00:00"/>
    <x v="4"/>
    <n v="43"/>
    <s v="SÁBADO"/>
    <x v="25"/>
    <x v="25"/>
    <n v="450"/>
    <n v="225"/>
    <n v="189"/>
    <x v="0"/>
  </r>
  <r>
    <d v="2021-10-16T00:00:00"/>
    <x v="4"/>
    <n v="43"/>
    <s v="SÁBADO"/>
    <x v="15"/>
    <x v="15"/>
    <n v="200"/>
    <n v="50"/>
    <n v="80"/>
    <x v="0"/>
  </r>
  <r>
    <d v="2021-10-16T00:00:00"/>
    <x v="4"/>
    <n v="43"/>
    <s v="SÁBADO"/>
    <x v="0"/>
    <x v="0"/>
    <n v="384"/>
    <n v="48"/>
    <n v="153.60000000000002"/>
    <x v="0"/>
  </r>
  <r>
    <d v="2021-10-16T00:00:00"/>
    <x v="4"/>
    <n v="43"/>
    <s v="SÁBADO"/>
    <x v="2"/>
    <x v="2"/>
    <n v="1728"/>
    <n v="198"/>
    <n v="293.76000000000005"/>
    <x v="0"/>
  </r>
  <r>
    <d v="2021-10-16T00:00:00"/>
    <x v="4"/>
    <n v="43"/>
    <s v="SÁBADO"/>
    <x v="9"/>
    <x v="9"/>
    <n v="720"/>
    <n v="90"/>
    <n v="122.4"/>
    <x v="0"/>
  </r>
  <r>
    <d v="2021-10-16T00:00:00"/>
    <x v="4"/>
    <n v="43"/>
    <s v="SÁBADO"/>
    <x v="20"/>
    <x v="20"/>
    <n v="720"/>
    <n v="90"/>
    <n v="122.4"/>
    <x v="0"/>
  </r>
  <r>
    <d v="2021-10-16T00:00:00"/>
    <x v="4"/>
    <n v="43"/>
    <s v="SÁBADO"/>
    <x v="13"/>
    <x v="13"/>
    <n v="210"/>
    <n v="30"/>
    <n v="84"/>
    <x v="0"/>
  </r>
  <r>
    <d v="2021-10-16T00:00:00"/>
    <x v="4"/>
    <n v="43"/>
    <s v="SÁBADO"/>
    <x v="28"/>
    <x v="28"/>
    <n v="150"/>
    <n v="30"/>
    <n v="34.5"/>
    <x v="0"/>
  </r>
  <r>
    <d v="2021-10-16T00:00:00"/>
    <x v="4"/>
    <n v="43"/>
    <s v="SÁBADO"/>
    <x v="14"/>
    <x v="14"/>
    <n v="160"/>
    <n v="40"/>
    <n v="36.800000000000004"/>
    <x v="0"/>
  </r>
  <r>
    <d v="2021-10-16T00:00:00"/>
    <x v="4"/>
    <n v="43"/>
    <s v="SÁBADO"/>
    <x v="35"/>
    <x v="35"/>
    <n v="180"/>
    <n v="180"/>
    <n v="75.599999999999994"/>
    <x v="0"/>
  </r>
  <r>
    <d v="2021-10-16T00:00:00"/>
    <x v="4"/>
    <n v="43"/>
    <s v="SÁBADO"/>
    <x v="24"/>
    <x v="24"/>
    <n v="2100"/>
    <n v="420"/>
    <n v="882"/>
    <x v="0"/>
  </r>
  <r>
    <d v="2021-10-16T00:00:00"/>
    <x v="4"/>
    <n v="43"/>
    <s v="SÁBADO"/>
    <x v="25"/>
    <x v="25"/>
    <n v="450"/>
    <n v="225"/>
    <n v="189"/>
    <x v="0"/>
  </r>
  <r>
    <d v="2021-10-18T00:00:00"/>
    <x v="4"/>
    <n v="43"/>
    <s v="LUNES"/>
    <x v="3"/>
    <x v="3"/>
    <n v="792"/>
    <n v="198"/>
    <n v="134.64000000000001"/>
    <x v="0"/>
  </r>
  <r>
    <d v="2021-10-18T00:00:00"/>
    <x v="4"/>
    <n v="43"/>
    <s v="LUNES"/>
    <x v="6"/>
    <x v="6"/>
    <n v="960"/>
    <n v="120"/>
    <n v="163.20000000000002"/>
    <x v="0"/>
  </r>
  <r>
    <d v="2021-10-18T00:00:00"/>
    <x v="4"/>
    <n v="43"/>
    <s v="LUNES"/>
    <x v="17"/>
    <x v="17"/>
    <n v="960"/>
    <n v="120"/>
    <n v="163.20000000000002"/>
    <x v="0"/>
  </r>
  <r>
    <d v="2021-10-18T00:00:00"/>
    <x v="4"/>
    <n v="43"/>
    <s v="LUNES"/>
    <x v="8"/>
    <x v="8"/>
    <n v="864"/>
    <n v="198"/>
    <n v="146.88000000000002"/>
    <x v="0"/>
  </r>
  <r>
    <d v="2021-10-18T00:00:00"/>
    <x v="4"/>
    <n v="43"/>
    <s v="LUNES"/>
    <x v="10"/>
    <x v="10"/>
    <n v="1920"/>
    <n v="120"/>
    <n v="326.40000000000003"/>
    <x v="0"/>
  </r>
  <r>
    <d v="2021-10-18T00:00:00"/>
    <x v="4"/>
    <n v="43"/>
    <s v="LUNES"/>
    <x v="7"/>
    <x v="7"/>
    <n v="2592"/>
    <n v="198"/>
    <n v="440.64000000000004"/>
    <x v="0"/>
  </r>
  <r>
    <d v="2021-10-18T00:00:00"/>
    <x v="4"/>
    <n v="43"/>
    <s v="LUNES"/>
    <x v="1"/>
    <x v="1"/>
    <n v="2808"/>
    <n v="198"/>
    <n v="477.36"/>
    <x v="0"/>
  </r>
  <r>
    <d v="2021-10-18T00:00:00"/>
    <x v="4"/>
    <n v="43"/>
    <s v="LUNES"/>
    <x v="11"/>
    <x v="11"/>
    <n v="1440"/>
    <n v="90"/>
    <n v="244.8"/>
    <x v="0"/>
  </r>
  <r>
    <d v="2021-10-18T00:00:00"/>
    <x v="4"/>
    <n v="43"/>
    <s v="LUNES"/>
    <x v="16"/>
    <x v="16"/>
    <n v="720"/>
    <n v="180"/>
    <n v="302.39999999999998"/>
    <x v="0"/>
  </r>
  <r>
    <d v="2021-10-18T00:00:00"/>
    <x v="4"/>
    <n v="43"/>
    <s v="LUNES"/>
    <x v="0"/>
    <x v="0"/>
    <n v="576"/>
    <n v="48"/>
    <n v="230.4"/>
    <x v="0"/>
  </r>
  <r>
    <d v="2021-10-18T00:00:00"/>
    <x v="4"/>
    <n v="43"/>
    <s v="LUNES"/>
    <x v="15"/>
    <x v="15"/>
    <n v="720"/>
    <n v="50"/>
    <n v="288"/>
    <x v="0"/>
  </r>
  <r>
    <d v="2021-10-18T00:00:00"/>
    <x v="4"/>
    <n v="43"/>
    <s v="LUNES"/>
    <x v="28"/>
    <x v="28"/>
    <n v="270"/>
    <n v="30"/>
    <n v="62.1"/>
    <x v="0"/>
  </r>
  <r>
    <d v="2021-10-18T00:00:00"/>
    <x v="4"/>
    <n v="43"/>
    <s v="LUNES"/>
    <x v="33"/>
    <x v="33"/>
    <n v="80"/>
    <n v="40"/>
    <n v="18.400000000000002"/>
    <x v="0"/>
  </r>
  <r>
    <d v="2021-10-18T00:00:00"/>
    <x v="4"/>
    <n v="43"/>
    <s v="LUNES"/>
    <x v="38"/>
    <x v="38"/>
    <n v="448"/>
    <n v="112"/>
    <n v="179.20000000000002"/>
    <x v="0"/>
  </r>
  <r>
    <d v="2021-10-18T00:00:00"/>
    <x v="4"/>
    <n v="43"/>
    <s v="LUNES"/>
    <x v="13"/>
    <x v="13"/>
    <n v="700"/>
    <n v="30"/>
    <n v="280"/>
    <x v="0"/>
  </r>
  <r>
    <d v="2021-10-18T00:00:00"/>
    <x v="4"/>
    <n v="43"/>
    <s v="LUNES"/>
    <x v="24"/>
    <x v="24"/>
    <n v="840"/>
    <n v="420"/>
    <n v="352.8"/>
    <x v="0"/>
  </r>
  <r>
    <d v="2021-10-18T00:00:00"/>
    <x v="4"/>
    <n v="43"/>
    <s v="LUNES"/>
    <x v="4"/>
    <x v="4"/>
    <n v="972"/>
    <n v="162"/>
    <n v="165.24"/>
    <x v="0"/>
  </r>
  <r>
    <d v="2021-10-18T00:00:00"/>
    <x v="4"/>
    <n v="43"/>
    <s v="LUNES"/>
    <x v="5"/>
    <x v="5"/>
    <n v="162"/>
    <n v="162"/>
    <n v="27.540000000000003"/>
    <x v="0"/>
  </r>
  <r>
    <d v="2021-10-18T00:00:00"/>
    <x v="4"/>
    <n v="43"/>
    <s v="LUNES"/>
    <x v="12"/>
    <x v="12"/>
    <n v="225"/>
    <n v="225"/>
    <n v="90"/>
    <x v="0"/>
  </r>
  <r>
    <d v="2021-10-18T00:00:00"/>
    <x v="4"/>
    <n v="43"/>
    <s v="LUNES"/>
    <x v="19"/>
    <x v="19"/>
    <n v="900"/>
    <n v="225"/>
    <n v="360"/>
    <x v="0"/>
  </r>
  <r>
    <d v="2021-10-18T00:00:00"/>
    <x v="4"/>
    <n v="43"/>
    <s v="LUNES"/>
    <x v="2"/>
    <x v="2"/>
    <n v="2592"/>
    <n v="198"/>
    <n v="440.64000000000004"/>
    <x v="0"/>
  </r>
  <r>
    <d v="2021-10-18T00:00:00"/>
    <x v="4"/>
    <n v="43"/>
    <s v="LUNES"/>
    <x v="14"/>
    <x v="14"/>
    <n v="120"/>
    <n v="40"/>
    <n v="27.6"/>
    <x v="0"/>
  </r>
  <r>
    <d v="2021-10-18T00:00:00"/>
    <x v="4"/>
    <n v="43"/>
    <s v="LUNES"/>
    <x v="9"/>
    <x v="9"/>
    <n v="720"/>
    <n v="90"/>
    <n v="122.4"/>
    <x v="0"/>
  </r>
  <r>
    <d v="2021-10-19T00:00:00"/>
    <x v="4"/>
    <n v="43"/>
    <s v="MARTES"/>
    <x v="2"/>
    <x v="2"/>
    <n v="3888"/>
    <n v="198"/>
    <n v="660.96"/>
    <x v="0"/>
  </r>
  <r>
    <d v="2021-10-19T00:00:00"/>
    <x v="4"/>
    <n v="43"/>
    <s v="MARTES"/>
    <x v="11"/>
    <x v="11"/>
    <n v="2340"/>
    <n v="90"/>
    <n v="397.8"/>
    <x v="0"/>
  </r>
  <r>
    <d v="2021-10-19T00:00:00"/>
    <x v="4"/>
    <n v="43"/>
    <s v="MARTES"/>
    <x v="3"/>
    <x v="3"/>
    <n v="792"/>
    <n v="198"/>
    <n v="134.64000000000001"/>
    <x v="0"/>
  </r>
  <r>
    <d v="2021-10-19T00:00:00"/>
    <x v="4"/>
    <n v="43"/>
    <s v="MARTES"/>
    <x v="1"/>
    <x v="1"/>
    <n v="4104"/>
    <n v="198"/>
    <n v="697.68000000000006"/>
    <x v="0"/>
  </r>
  <r>
    <d v="2021-10-19T00:00:00"/>
    <x v="4"/>
    <n v="43"/>
    <s v="MARTES"/>
    <x v="8"/>
    <x v="8"/>
    <n v="1728"/>
    <n v="198"/>
    <n v="293.76000000000005"/>
    <x v="0"/>
  </r>
  <r>
    <d v="2021-10-19T00:00:00"/>
    <x v="4"/>
    <n v="43"/>
    <s v="MARTES"/>
    <x v="6"/>
    <x v="6"/>
    <n v="2040"/>
    <n v="120"/>
    <n v="346.8"/>
    <x v="0"/>
  </r>
  <r>
    <d v="2021-10-19T00:00:00"/>
    <x v="4"/>
    <n v="43"/>
    <s v="MARTES"/>
    <x v="0"/>
    <x v="0"/>
    <n v="912"/>
    <n v="48"/>
    <n v="364.8"/>
    <x v="0"/>
  </r>
  <r>
    <d v="2021-10-19T00:00:00"/>
    <x v="4"/>
    <n v="43"/>
    <s v="MARTES"/>
    <x v="28"/>
    <x v="28"/>
    <n v="180"/>
    <n v="30"/>
    <n v="41.4"/>
    <x v="0"/>
  </r>
  <r>
    <d v="2021-10-19T00:00:00"/>
    <x v="4"/>
    <n v="43"/>
    <s v="MARTES"/>
    <x v="15"/>
    <x v="15"/>
    <n v="400"/>
    <n v="50"/>
    <n v="160"/>
    <x v="0"/>
  </r>
  <r>
    <d v="2021-10-19T00:00:00"/>
    <x v="4"/>
    <n v="43"/>
    <s v="MARTES"/>
    <x v="24"/>
    <x v="24"/>
    <n v="1680"/>
    <n v="420"/>
    <n v="705.6"/>
    <x v="0"/>
  </r>
  <r>
    <d v="2021-10-19T00:00:00"/>
    <x v="4"/>
    <n v="43"/>
    <s v="MARTES"/>
    <x v="25"/>
    <x v="25"/>
    <n v="2250"/>
    <n v="225"/>
    <n v="945"/>
    <x v="0"/>
  </r>
  <r>
    <d v="2021-10-19T00:00:00"/>
    <x v="4"/>
    <n v="43"/>
    <s v="MARTES"/>
    <x v="38"/>
    <x v="38"/>
    <n v="896"/>
    <n v="112"/>
    <n v="358.40000000000003"/>
    <x v="0"/>
  </r>
  <r>
    <d v="2021-10-19T00:00:00"/>
    <x v="4"/>
    <n v="43"/>
    <s v="MARTES"/>
    <x v="14"/>
    <x v="14"/>
    <n v="160"/>
    <n v="40"/>
    <n v="36.800000000000004"/>
    <x v="0"/>
  </r>
  <r>
    <d v="2021-10-19T00:00:00"/>
    <x v="4"/>
    <n v="43"/>
    <s v="MARTES"/>
    <x v="23"/>
    <x v="23"/>
    <n v="360"/>
    <n v="90"/>
    <n v="61.2"/>
    <x v="0"/>
  </r>
  <r>
    <d v="2021-10-19T00:00:00"/>
    <x v="4"/>
    <n v="43"/>
    <s v="MARTES"/>
    <x v="33"/>
    <x v="33"/>
    <n v="200"/>
    <n v="40"/>
    <n v="46"/>
    <x v="0"/>
  </r>
  <r>
    <d v="2021-10-19T00:00:00"/>
    <x v="4"/>
    <n v="43"/>
    <s v="MARTES"/>
    <x v="13"/>
    <x v="13"/>
    <n v="350"/>
    <n v="30"/>
    <n v="140"/>
    <x v="0"/>
  </r>
  <r>
    <d v="2021-10-19T00:00:00"/>
    <x v="4"/>
    <n v="43"/>
    <s v="MARTES"/>
    <x v="40"/>
    <x v="40"/>
    <n v="112"/>
    <n v="240"/>
    <n v="44.800000000000004"/>
    <x v="0"/>
  </r>
  <r>
    <d v="2021-10-19T00:00:00"/>
    <x v="4"/>
    <n v="43"/>
    <s v="MARTES"/>
    <x v="16"/>
    <x v="16"/>
    <n v="180"/>
    <n v="180"/>
    <n v="75.599999999999994"/>
    <x v="0"/>
  </r>
  <r>
    <d v="2021-10-19T00:00:00"/>
    <x v="4"/>
    <n v="43"/>
    <s v="MARTES"/>
    <x v="4"/>
    <x v="4"/>
    <n v="1458"/>
    <n v="162"/>
    <n v="247.86"/>
    <x v="0"/>
  </r>
  <r>
    <d v="2021-10-19T00:00:00"/>
    <x v="4"/>
    <n v="43"/>
    <s v="MARTES"/>
    <x v="5"/>
    <x v="5"/>
    <n v="162"/>
    <n v="162"/>
    <n v="27.540000000000003"/>
    <x v="0"/>
  </r>
  <r>
    <d v="2021-10-19T00:00:00"/>
    <x v="4"/>
    <n v="43"/>
    <s v="MARTES"/>
    <x v="17"/>
    <x v="17"/>
    <n v="240"/>
    <n v="120"/>
    <n v="40.800000000000004"/>
    <x v="0"/>
  </r>
  <r>
    <d v="2021-10-19T00:00:00"/>
    <x v="4"/>
    <n v="43"/>
    <s v="MARTES"/>
    <x v="7"/>
    <x v="7"/>
    <n v="1296"/>
    <n v="198"/>
    <n v="220.32000000000002"/>
    <x v="0"/>
  </r>
  <r>
    <d v="2021-10-19T00:00:00"/>
    <x v="4"/>
    <n v="43"/>
    <s v="MARTES"/>
    <x v="9"/>
    <x v="9"/>
    <n v="360"/>
    <n v="90"/>
    <n v="61.2"/>
    <x v="0"/>
  </r>
  <r>
    <d v="2021-10-19T00:00:00"/>
    <x v="4"/>
    <n v="43"/>
    <s v="MARTES"/>
    <x v="10"/>
    <x v="10"/>
    <n v="4560"/>
    <n v="120"/>
    <n v="775.2"/>
    <x v="0"/>
  </r>
  <r>
    <d v="2021-10-19T00:00:00"/>
    <x v="4"/>
    <n v="43"/>
    <s v="MARTES"/>
    <x v="20"/>
    <x v="20"/>
    <n v="180"/>
    <n v="90"/>
    <n v="30.6"/>
    <x v="0"/>
  </r>
  <r>
    <d v="2021-10-19T00:00:00"/>
    <x v="4"/>
    <n v="43"/>
    <s v="MARTES"/>
    <x v="12"/>
    <x v="12"/>
    <n v="900"/>
    <n v="225"/>
    <n v="360"/>
    <x v="0"/>
  </r>
  <r>
    <d v="2021-10-19T00:00:00"/>
    <x v="4"/>
    <n v="43"/>
    <s v="MARTES"/>
    <x v="19"/>
    <x v="19"/>
    <n v="900"/>
    <n v="225"/>
    <n v="360"/>
    <x v="0"/>
  </r>
  <r>
    <d v="2021-10-20T00:00:00"/>
    <x v="4"/>
    <n v="43"/>
    <s v="MIÉRCOLES"/>
    <x v="0"/>
    <x v="0"/>
    <n v="336"/>
    <n v="48"/>
    <n v="134.4"/>
    <x v="0"/>
  </r>
  <r>
    <d v="2021-10-20T00:00:00"/>
    <x v="4"/>
    <n v="43"/>
    <s v="MIÉRCOLES"/>
    <x v="25"/>
    <x v="25"/>
    <n v="450"/>
    <n v="225"/>
    <n v="189"/>
    <x v="0"/>
  </r>
  <r>
    <d v="2021-10-20T00:00:00"/>
    <x v="4"/>
    <n v="43"/>
    <s v="MIÉRCOLES"/>
    <x v="23"/>
    <x v="23"/>
    <n v="900"/>
    <n v="90"/>
    <n v="153"/>
    <x v="0"/>
  </r>
  <r>
    <d v="2021-10-20T00:00:00"/>
    <x v="4"/>
    <n v="43"/>
    <s v="MIÉRCOLES"/>
    <x v="11"/>
    <x v="11"/>
    <n v="720"/>
    <n v="90"/>
    <n v="122.4"/>
    <x v="0"/>
  </r>
  <r>
    <d v="2021-10-20T00:00:00"/>
    <x v="4"/>
    <n v="43"/>
    <s v="MIÉRCOLES"/>
    <x v="17"/>
    <x v="17"/>
    <n v="600"/>
    <n v="120"/>
    <n v="102.00000000000001"/>
    <x v="0"/>
  </r>
  <r>
    <d v="2021-10-20T00:00:00"/>
    <x v="4"/>
    <n v="43"/>
    <s v="MIÉRCOLES"/>
    <x v="8"/>
    <x v="8"/>
    <n v="864"/>
    <n v="198"/>
    <n v="146.88000000000002"/>
    <x v="0"/>
  </r>
  <r>
    <d v="2021-10-20T00:00:00"/>
    <x v="4"/>
    <n v="43"/>
    <s v="MIÉRCOLES"/>
    <x v="10"/>
    <x v="10"/>
    <n v="1200"/>
    <n v="120"/>
    <n v="204.00000000000003"/>
    <x v="0"/>
  </r>
  <r>
    <d v="2021-10-20T00:00:00"/>
    <x v="4"/>
    <n v="43"/>
    <s v="MIÉRCOLES"/>
    <x v="3"/>
    <x v="3"/>
    <n v="792"/>
    <n v="198"/>
    <n v="134.64000000000001"/>
    <x v="0"/>
  </r>
  <r>
    <d v="2021-10-20T00:00:00"/>
    <x v="4"/>
    <n v="43"/>
    <s v="MIÉRCOLES"/>
    <x v="6"/>
    <x v="6"/>
    <n v="600"/>
    <n v="120"/>
    <n v="102.00000000000001"/>
    <x v="0"/>
  </r>
  <r>
    <d v="2021-10-20T00:00:00"/>
    <x v="4"/>
    <n v="43"/>
    <s v="MIÉRCOLES"/>
    <x v="22"/>
    <x v="22"/>
    <n v="792"/>
    <n v="198"/>
    <n v="134.64000000000001"/>
    <x v="0"/>
  </r>
  <r>
    <d v="2021-10-20T00:00:00"/>
    <x v="4"/>
    <n v="43"/>
    <s v="MIÉRCOLES"/>
    <x v="1"/>
    <x v="1"/>
    <n v="864"/>
    <n v="198"/>
    <n v="146.88000000000002"/>
    <x v="0"/>
  </r>
  <r>
    <d v="2021-10-20T00:00:00"/>
    <x v="4"/>
    <n v="43"/>
    <s v="MIÉRCOLES"/>
    <x v="7"/>
    <x v="7"/>
    <n v="1728"/>
    <n v="198"/>
    <n v="293.76000000000005"/>
    <x v="0"/>
  </r>
  <r>
    <d v="2021-10-20T00:00:00"/>
    <x v="4"/>
    <n v="43"/>
    <s v="MIÉRCOLES"/>
    <x v="28"/>
    <x v="28"/>
    <n v="270"/>
    <n v="30"/>
    <n v="62.1"/>
    <x v="0"/>
  </r>
  <r>
    <d v="2021-10-20T00:00:00"/>
    <x v="4"/>
    <n v="43"/>
    <s v="MIÉRCOLES"/>
    <x v="33"/>
    <x v="33"/>
    <n v="240"/>
    <n v="40"/>
    <n v="55.2"/>
    <x v="0"/>
  </r>
  <r>
    <d v="2021-10-20T00:00:00"/>
    <x v="4"/>
    <n v="43"/>
    <s v="MIÉRCOLES"/>
    <x v="13"/>
    <x v="13"/>
    <n v="180"/>
    <n v="30"/>
    <n v="72"/>
    <x v="0"/>
  </r>
  <r>
    <d v="2021-10-20T00:00:00"/>
    <x v="4"/>
    <n v="43"/>
    <s v="MIÉRCOLES"/>
    <x v="14"/>
    <x v="14"/>
    <n v="160"/>
    <n v="40"/>
    <n v="36.800000000000004"/>
    <x v="0"/>
  </r>
  <r>
    <d v="2021-10-20T00:00:00"/>
    <x v="4"/>
    <n v="43"/>
    <s v="MIÉRCOLES"/>
    <x v="38"/>
    <x v="38"/>
    <n v="448"/>
    <n v="112"/>
    <n v="179.20000000000002"/>
    <x v="0"/>
  </r>
  <r>
    <d v="2021-10-20T00:00:00"/>
    <x v="4"/>
    <n v="43"/>
    <s v="MIÉRCOLES"/>
    <x v="24"/>
    <x v="24"/>
    <n v="2520"/>
    <n v="420"/>
    <n v="1058.3999999999999"/>
    <x v="0"/>
  </r>
  <r>
    <d v="2021-10-20T00:00:00"/>
    <x v="4"/>
    <n v="43"/>
    <s v="MIÉRCOLES"/>
    <x v="2"/>
    <x v="2"/>
    <n v="1080"/>
    <n v="198"/>
    <n v="183.60000000000002"/>
    <x v="0"/>
  </r>
  <r>
    <d v="2021-10-20T00:00:00"/>
    <x v="4"/>
    <n v="43"/>
    <s v="MIÉRCOLES"/>
    <x v="4"/>
    <x v="4"/>
    <n v="486"/>
    <n v="162"/>
    <n v="82.62"/>
    <x v="0"/>
  </r>
  <r>
    <d v="2021-10-20T00:00:00"/>
    <x v="4"/>
    <n v="43"/>
    <s v="MIÉRCOLES"/>
    <x v="12"/>
    <x v="12"/>
    <n v="450"/>
    <n v="225"/>
    <n v="180"/>
    <x v="0"/>
  </r>
  <r>
    <d v="2021-10-20T00:00:00"/>
    <x v="4"/>
    <n v="43"/>
    <s v="MIÉRCOLES"/>
    <x v="35"/>
    <x v="35"/>
    <n v="540"/>
    <n v="180"/>
    <n v="226.79999999999998"/>
    <x v="0"/>
  </r>
  <r>
    <d v="2021-10-20T00:00:00"/>
    <x v="4"/>
    <n v="43"/>
    <s v="MIÉRCOLES"/>
    <x v="19"/>
    <x v="19"/>
    <n v="900"/>
    <n v="225"/>
    <n v="360"/>
    <x v="0"/>
  </r>
  <r>
    <d v="2021-10-20T00:00:00"/>
    <x v="4"/>
    <n v="43"/>
    <s v="MIÉRCOLES"/>
    <x v="26"/>
    <x v="26"/>
    <n v="900"/>
    <n v="90"/>
    <n v="153"/>
    <x v="0"/>
  </r>
  <r>
    <d v="2021-10-20T00:00:00"/>
    <x v="4"/>
    <n v="43"/>
    <s v="MIÉRCOLES"/>
    <x v="15"/>
    <x v="15"/>
    <n v="400"/>
    <n v="50"/>
    <n v="160"/>
    <x v="0"/>
  </r>
  <r>
    <d v="2021-10-20T00:00:00"/>
    <x v="4"/>
    <n v="43"/>
    <s v="MIÉRCOLES"/>
    <x v="40"/>
    <x v="40"/>
    <n v="224"/>
    <n v="240"/>
    <n v="89.600000000000009"/>
    <x v="0"/>
  </r>
  <r>
    <d v="2021-10-21T00:00:00"/>
    <x v="4"/>
    <n v="43"/>
    <s v="JUEVES"/>
    <x v="23"/>
    <x v="23"/>
    <n v="1440"/>
    <n v="90"/>
    <n v="244.8"/>
    <x v="0"/>
  </r>
  <r>
    <d v="2021-10-21T00:00:00"/>
    <x v="4"/>
    <n v="43"/>
    <s v="JUEVES"/>
    <x v="12"/>
    <x v="12"/>
    <n v="900"/>
    <n v="225"/>
    <n v="360"/>
    <x v="0"/>
  </r>
  <r>
    <d v="2021-10-21T00:00:00"/>
    <x v="4"/>
    <n v="43"/>
    <s v="JUEVES"/>
    <x v="19"/>
    <x v="19"/>
    <n v="675"/>
    <n v="225"/>
    <n v="270"/>
    <x v="0"/>
  </r>
  <r>
    <d v="2021-10-21T00:00:00"/>
    <x v="4"/>
    <n v="43"/>
    <s v="JUEVES"/>
    <x v="38"/>
    <x v="38"/>
    <n v="112"/>
    <n v="112"/>
    <n v="44.800000000000004"/>
    <x v="0"/>
  </r>
  <r>
    <d v="2021-10-21T00:00:00"/>
    <x v="4"/>
    <n v="43"/>
    <s v="JUEVES"/>
    <x v="35"/>
    <x v="35"/>
    <n v="180"/>
    <n v="180"/>
    <n v="75.599999999999994"/>
    <x v="0"/>
  </r>
  <r>
    <d v="2021-10-21T00:00:00"/>
    <x v="4"/>
    <n v="43"/>
    <s v="JUEVES"/>
    <x v="25"/>
    <x v="25"/>
    <n v="1800"/>
    <n v="225"/>
    <n v="756"/>
    <x v="0"/>
  </r>
  <r>
    <d v="2021-10-21T00:00:00"/>
    <x v="4"/>
    <n v="43"/>
    <s v="JUEVES"/>
    <x v="33"/>
    <x v="33"/>
    <n v="40"/>
    <n v="40"/>
    <n v="9.2000000000000011"/>
    <x v="0"/>
  </r>
  <r>
    <d v="2021-10-21T00:00:00"/>
    <x v="4"/>
    <n v="43"/>
    <s v="JUEVES"/>
    <x v="17"/>
    <x v="17"/>
    <n v="200"/>
    <n v="120"/>
    <n v="34"/>
    <x v="0"/>
  </r>
  <r>
    <d v="2021-10-21T00:00:00"/>
    <x v="4"/>
    <n v="43"/>
    <s v="JUEVES"/>
    <x v="6"/>
    <x v="6"/>
    <n v="600"/>
    <n v="120"/>
    <n v="102.00000000000001"/>
    <x v="0"/>
  </r>
  <r>
    <d v="2021-10-21T00:00:00"/>
    <x v="4"/>
    <n v="43"/>
    <s v="JUEVES"/>
    <x v="22"/>
    <x v="22"/>
    <n v="792"/>
    <n v="198"/>
    <n v="134.64000000000001"/>
    <x v="0"/>
  </r>
  <r>
    <d v="2021-10-21T00:00:00"/>
    <x v="4"/>
    <n v="43"/>
    <s v="JUEVES"/>
    <x v="3"/>
    <x v="3"/>
    <n v="792"/>
    <n v="198"/>
    <n v="134.64000000000001"/>
    <x v="0"/>
  </r>
  <r>
    <d v="2021-10-21T00:00:00"/>
    <x v="4"/>
    <n v="43"/>
    <s v="JUEVES"/>
    <x v="7"/>
    <x v="7"/>
    <n v="1512"/>
    <n v="198"/>
    <n v="257.04000000000002"/>
    <x v="0"/>
  </r>
  <r>
    <d v="2021-10-21T00:00:00"/>
    <x v="4"/>
    <n v="43"/>
    <s v="JUEVES"/>
    <x v="1"/>
    <x v="1"/>
    <n v="864"/>
    <n v="198"/>
    <n v="146.88000000000002"/>
    <x v="0"/>
  </r>
  <r>
    <d v="2021-10-21T00:00:00"/>
    <x v="4"/>
    <n v="43"/>
    <s v="JUEVES"/>
    <x v="10"/>
    <x v="10"/>
    <n v="4320"/>
    <n v="120"/>
    <n v="734.40000000000009"/>
    <x v="0"/>
  </r>
  <r>
    <d v="2021-10-21T00:00:00"/>
    <x v="4"/>
    <n v="43"/>
    <s v="JUEVES"/>
    <x v="8"/>
    <x v="8"/>
    <n v="864"/>
    <n v="198"/>
    <n v="146.88000000000002"/>
    <x v="0"/>
  </r>
  <r>
    <d v="2021-10-21T00:00:00"/>
    <x v="4"/>
    <n v="43"/>
    <s v="JUEVES"/>
    <x v="11"/>
    <x v="11"/>
    <n v="1170"/>
    <n v="90"/>
    <n v="198.9"/>
    <x v="0"/>
  </r>
  <r>
    <d v="2021-10-21T00:00:00"/>
    <x v="4"/>
    <n v="43"/>
    <s v="JUEVES"/>
    <x v="15"/>
    <x v="15"/>
    <n v="150"/>
    <n v="50"/>
    <n v="60"/>
    <x v="0"/>
  </r>
  <r>
    <d v="2021-10-21T00:00:00"/>
    <x v="4"/>
    <n v="43"/>
    <s v="JUEVES"/>
    <x v="0"/>
    <x v="0"/>
    <n v="336"/>
    <n v="48"/>
    <n v="134.4"/>
    <x v="0"/>
  </r>
  <r>
    <d v="2021-10-21T00:00:00"/>
    <x v="4"/>
    <n v="43"/>
    <s v="JUEVES"/>
    <x v="26"/>
    <x v="26"/>
    <n v="1440"/>
    <n v="90"/>
    <n v="244.8"/>
    <x v="0"/>
  </r>
  <r>
    <d v="2021-10-21T00:00:00"/>
    <x v="4"/>
    <n v="43"/>
    <s v="JUEVES"/>
    <x v="9"/>
    <x v="9"/>
    <n v="720"/>
    <n v="90"/>
    <n v="122.4"/>
    <x v="0"/>
  </r>
  <r>
    <d v="2021-10-21T00:00:00"/>
    <x v="4"/>
    <n v="43"/>
    <s v="JUEVES"/>
    <x v="5"/>
    <x v="5"/>
    <n v="486"/>
    <n v="162"/>
    <n v="82.62"/>
    <x v="0"/>
  </r>
  <r>
    <d v="2021-10-21T00:00:00"/>
    <x v="4"/>
    <n v="43"/>
    <s v="JUEVES"/>
    <x v="9"/>
    <x v="9"/>
    <n v="1170"/>
    <n v="90"/>
    <n v="198.9"/>
    <x v="0"/>
  </r>
  <r>
    <d v="2021-10-21T00:00:00"/>
    <x v="4"/>
    <n v="43"/>
    <s v="JUEVES"/>
    <x v="20"/>
    <x v="20"/>
    <n v="270"/>
    <n v="90"/>
    <n v="45.900000000000006"/>
    <x v="0"/>
  </r>
  <r>
    <d v="2021-10-21T00:00:00"/>
    <x v="4"/>
    <n v="43"/>
    <s v="JUEVES"/>
    <x v="16"/>
    <x v="16"/>
    <n v="360"/>
    <n v="180"/>
    <n v="151.19999999999999"/>
    <x v="0"/>
  </r>
  <r>
    <d v="2021-10-21T00:00:00"/>
    <x v="4"/>
    <n v="43"/>
    <s v="JUEVES"/>
    <x v="34"/>
    <x v="34"/>
    <n v="216"/>
    <n v="198"/>
    <n v="36.720000000000006"/>
    <x v="0"/>
  </r>
  <r>
    <d v="2021-10-22T00:00:00"/>
    <x v="4"/>
    <n v="43"/>
    <s v="VIERNES"/>
    <x v="25"/>
    <x v="25"/>
    <n v="900"/>
    <n v="225"/>
    <n v="378"/>
    <x v="0"/>
  </r>
  <r>
    <d v="2021-10-22T00:00:00"/>
    <x v="4"/>
    <n v="43"/>
    <s v="VIERNES"/>
    <x v="28"/>
    <x v="28"/>
    <n v="90"/>
    <n v="30"/>
    <n v="20.7"/>
    <x v="0"/>
  </r>
  <r>
    <d v="2021-10-22T00:00:00"/>
    <x v="4"/>
    <n v="43"/>
    <s v="VIERNES"/>
    <x v="4"/>
    <x v="4"/>
    <n v="648"/>
    <n v="162"/>
    <n v="110.16000000000001"/>
    <x v="0"/>
  </r>
  <r>
    <d v="2021-10-22T00:00:00"/>
    <x v="4"/>
    <n v="43"/>
    <s v="VIERNES"/>
    <x v="26"/>
    <x v="26"/>
    <n v="2160"/>
    <n v="90"/>
    <n v="367.20000000000005"/>
    <x v="0"/>
  </r>
  <r>
    <d v="2021-10-22T00:00:00"/>
    <x v="4"/>
    <n v="43"/>
    <s v="VIERNES"/>
    <x v="5"/>
    <x v="5"/>
    <n v="972"/>
    <n v="162"/>
    <n v="165.24"/>
    <x v="0"/>
  </r>
  <r>
    <d v="2021-10-22T00:00:00"/>
    <x v="4"/>
    <n v="43"/>
    <s v="VIERNES"/>
    <x v="9"/>
    <x v="9"/>
    <n v="900"/>
    <n v="90"/>
    <n v="153"/>
    <x v="0"/>
  </r>
  <r>
    <d v="2021-10-22T00:00:00"/>
    <x v="4"/>
    <n v="43"/>
    <s v="VIERNES"/>
    <x v="8"/>
    <x v="8"/>
    <n v="864"/>
    <n v="198"/>
    <n v="146.88000000000002"/>
    <x v="0"/>
  </r>
  <r>
    <d v="2021-10-22T00:00:00"/>
    <x v="4"/>
    <n v="43"/>
    <s v="VIERNES"/>
    <x v="6"/>
    <x v="6"/>
    <n v="480"/>
    <n v="120"/>
    <n v="81.600000000000009"/>
    <x v="0"/>
  </r>
  <r>
    <d v="2021-10-22T00:00:00"/>
    <x v="4"/>
    <n v="43"/>
    <s v="VIERNES"/>
    <x v="23"/>
    <x v="23"/>
    <n v="720"/>
    <n v="90"/>
    <n v="122.4"/>
    <x v="0"/>
  </r>
  <r>
    <d v="2021-10-22T00:00:00"/>
    <x v="4"/>
    <n v="43"/>
    <s v="VIERNES"/>
    <x v="2"/>
    <x v="2"/>
    <n v="1296"/>
    <n v="198"/>
    <n v="220.32000000000002"/>
    <x v="0"/>
  </r>
  <r>
    <d v="2021-10-22T00:00:00"/>
    <x v="4"/>
    <n v="43"/>
    <s v="VIERNES"/>
    <x v="11"/>
    <x v="11"/>
    <n v="1440"/>
    <n v="90"/>
    <n v="244.8"/>
    <x v="0"/>
  </r>
  <r>
    <d v="2021-10-22T00:00:00"/>
    <x v="4"/>
    <n v="43"/>
    <s v="VIERNES"/>
    <x v="1"/>
    <x v="1"/>
    <n v="1296"/>
    <n v="198"/>
    <n v="220.32000000000002"/>
    <x v="0"/>
  </r>
  <r>
    <d v="2021-10-22T00:00:00"/>
    <x v="4"/>
    <n v="43"/>
    <s v="VIERNES"/>
    <x v="16"/>
    <x v="16"/>
    <n v="720"/>
    <n v="180"/>
    <n v="302.39999999999998"/>
    <x v="0"/>
  </r>
  <r>
    <d v="2021-10-22T00:00:00"/>
    <x v="4"/>
    <n v="43"/>
    <s v="VIERNES"/>
    <x v="20"/>
    <x v="20"/>
    <n v="540"/>
    <n v="90"/>
    <n v="91.800000000000011"/>
    <x v="0"/>
  </r>
  <r>
    <d v="2021-10-22T00:00:00"/>
    <x v="4"/>
    <n v="43"/>
    <s v="VIERNES"/>
    <x v="42"/>
    <x v="42"/>
    <n v="2000"/>
    <n v="420"/>
    <n v="840"/>
    <x v="0"/>
  </r>
  <r>
    <d v="2021-10-22T00:00:00"/>
    <x v="4"/>
    <n v="43"/>
    <s v="VIERNES"/>
    <x v="40"/>
    <x v="40"/>
    <n v="112"/>
    <n v="240"/>
    <n v="44.800000000000004"/>
    <x v="0"/>
  </r>
  <r>
    <d v="2021-10-22T00:00:00"/>
    <x v="4"/>
    <n v="43"/>
    <s v="VIERNES"/>
    <x v="10"/>
    <x v="10"/>
    <n v="4320"/>
    <n v="120"/>
    <n v="734.40000000000009"/>
    <x v="0"/>
  </r>
  <r>
    <d v="2021-10-22T00:00:00"/>
    <x v="4"/>
    <n v="43"/>
    <s v="VIERNES"/>
    <x v="19"/>
    <x v="19"/>
    <n v="225"/>
    <n v="225"/>
    <n v="90"/>
    <x v="0"/>
  </r>
  <r>
    <d v="2021-10-22T00:00:00"/>
    <x v="4"/>
    <n v="43"/>
    <s v="VIERNES"/>
    <x v="12"/>
    <x v="12"/>
    <n v="225"/>
    <n v="225"/>
    <n v="90"/>
    <x v="0"/>
  </r>
  <r>
    <d v="2021-10-22T00:00:00"/>
    <x v="4"/>
    <n v="43"/>
    <s v="VIERNES"/>
    <x v="35"/>
    <x v="35"/>
    <n v="180"/>
    <n v="180"/>
    <n v="75.599999999999994"/>
    <x v="0"/>
  </r>
  <r>
    <d v="2021-10-23T00:00:00"/>
    <x v="4"/>
    <n v="44"/>
    <s v="SÁBADO"/>
    <x v="0"/>
    <x v="0"/>
    <n v="96"/>
    <n v="48"/>
    <n v="38.400000000000006"/>
    <x v="0"/>
  </r>
  <r>
    <d v="2021-10-23T00:00:00"/>
    <x v="4"/>
    <n v="44"/>
    <s v="SÁBADO"/>
    <x v="5"/>
    <x v="5"/>
    <n v="162"/>
    <n v="162"/>
    <n v="27.540000000000003"/>
    <x v="0"/>
  </r>
  <r>
    <d v="2021-10-23T00:00:00"/>
    <x v="4"/>
    <n v="44"/>
    <s v="SÁBADO"/>
    <x v="9"/>
    <x v="9"/>
    <n v="180"/>
    <n v="90"/>
    <n v="30.6"/>
    <x v="0"/>
  </r>
  <r>
    <d v="2021-10-23T00:00:00"/>
    <x v="4"/>
    <n v="44"/>
    <s v="SÁBADO"/>
    <x v="19"/>
    <x v="19"/>
    <n v="450"/>
    <n v="225"/>
    <n v="180"/>
    <x v="0"/>
  </r>
  <r>
    <d v="2021-10-23T00:00:00"/>
    <x v="4"/>
    <n v="44"/>
    <s v="SÁBADO"/>
    <x v="12"/>
    <x v="12"/>
    <n v="225"/>
    <n v="225"/>
    <n v="90"/>
    <x v="0"/>
  </r>
  <r>
    <d v="2021-10-23T00:00:00"/>
    <x v="4"/>
    <n v="44"/>
    <s v="SÁBADO"/>
    <x v="43"/>
    <x v="43"/>
    <n v="500"/>
    <n v="420"/>
    <n v="210"/>
    <x v="0"/>
  </r>
  <r>
    <d v="2021-10-23T00:00:00"/>
    <x v="4"/>
    <n v="44"/>
    <s v="SÁBADO"/>
    <x v="20"/>
    <x v="20"/>
    <n v="180"/>
    <n v="90"/>
    <n v="30.6"/>
    <x v="0"/>
  </r>
  <r>
    <d v="2021-10-23T00:00:00"/>
    <x v="4"/>
    <n v="44"/>
    <s v="SÁBADO"/>
    <x v="35"/>
    <x v="35"/>
    <n v="180"/>
    <n v="180"/>
    <n v="75.599999999999994"/>
    <x v="0"/>
  </r>
  <r>
    <d v="2021-10-23T00:00:00"/>
    <x v="4"/>
    <n v="44"/>
    <s v="SÁBADO"/>
    <x v="36"/>
    <x v="36"/>
    <n v="90"/>
    <n v="90"/>
    <n v="36"/>
    <x v="0"/>
  </r>
  <r>
    <d v="2021-10-23T00:00:00"/>
    <x v="4"/>
    <n v="44"/>
    <s v="SÁBADO"/>
    <x v="25"/>
    <x v="25"/>
    <n v="900"/>
    <n v="225"/>
    <n v="378"/>
    <x v="0"/>
  </r>
  <r>
    <d v="2021-10-23T00:00:00"/>
    <x v="4"/>
    <n v="44"/>
    <s v="SÁBADO"/>
    <x v="10"/>
    <x v="10"/>
    <n v="4320"/>
    <n v="120"/>
    <n v="734.40000000000009"/>
    <x v="0"/>
  </r>
  <r>
    <d v="2021-10-23T00:00:00"/>
    <x v="4"/>
    <n v="44"/>
    <s v="SÁBADO"/>
    <x v="1"/>
    <x v="1"/>
    <n v="1296"/>
    <n v="198"/>
    <n v="220.32000000000002"/>
    <x v="0"/>
  </r>
  <r>
    <d v="2021-10-23T00:00:00"/>
    <x v="4"/>
    <n v="44"/>
    <s v="SÁBADO"/>
    <x v="2"/>
    <x v="2"/>
    <n v="1296"/>
    <n v="198"/>
    <n v="220.32000000000002"/>
    <x v="0"/>
  </r>
  <r>
    <d v="2021-10-23T00:00:00"/>
    <x v="4"/>
    <n v="44"/>
    <s v="SÁBADO"/>
    <x v="26"/>
    <x v="26"/>
    <n v="900"/>
    <n v="90"/>
    <n v="153"/>
    <x v="0"/>
  </r>
  <r>
    <d v="2021-10-23T00:00:00"/>
    <x v="4"/>
    <n v="44"/>
    <s v="SÁBADO"/>
    <x v="7"/>
    <x v="7"/>
    <n v="1260"/>
    <n v="198"/>
    <n v="214.20000000000002"/>
    <x v="0"/>
  </r>
  <r>
    <d v="2021-10-23T00:00:00"/>
    <x v="4"/>
    <n v="44"/>
    <s v="SÁBADO"/>
    <x v="11"/>
    <x v="11"/>
    <n v="1620"/>
    <n v="90"/>
    <n v="275.40000000000003"/>
    <x v="0"/>
  </r>
  <r>
    <d v="2021-10-23T00:00:00"/>
    <x v="4"/>
    <n v="44"/>
    <s v="SÁBADO"/>
    <x v="14"/>
    <x v="14"/>
    <n v="160"/>
    <n v="40"/>
    <n v="36.800000000000004"/>
    <x v="0"/>
  </r>
  <r>
    <d v="2021-10-23T00:00:00"/>
    <x v="4"/>
    <n v="44"/>
    <s v="SÁBADO"/>
    <x v="13"/>
    <x v="13"/>
    <n v="240"/>
    <n v="30"/>
    <n v="96"/>
    <x v="0"/>
  </r>
  <r>
    <d v="2021-10-23T00:00:00"/>
    <x v="4"/>
    <n v="44"/>
    <s v="SÁBADO"/>
    <x v="28"/>
    <x v="28"/>
    <n v="120"/>
    <n v="30"/>
    <n v="27.6"/>
    <x v="0"/>
  </r>
  <r>
    <d v="2021-10-23T00:00:00"/>
    <x v="4"/>
    <n v="44"/>
    <s v="SÁBADO"/>
    <x v="15"/>
    <x v="15"/>
    <n v="200"/>
    <n v="50"/>
    <n v="80"/>
    <x v="0"/>
  </r>
  <r>
    <d v="2021-10-23T00:00:00"/>
    <x v="4"/>
    <n v="44"/>
    <s v="SÁBADO"/>
    <x v="8"/>
    <x v="8"/>
    <n v="864"/>
    <n v="198"/>
    <n v="146.88000000000002"/>
    <x v="0"/>
  </r>
  <r>
    <d v="2021-10-23T00:00:00"/>
    <x v="4"/>
    <n v="44"/>
    <s v="SÁBADO"/>
    <x v="6"/>
    <x v="6"/>
    <n v="480"/>
    <n v="120"/>
    <n v="81.600000000000009"/>
    <x v="0"/>
  </r>
  <r>
    <d v="2021-10-23T00:00:00"/>
    <x v="4"/>
    <n v="44"/>
    <s v="SÁBADO"/>
    <x v="4"/>
    <x v="4"/>
    <n v="324"/>
    <n v="162"/>
    <n v="55.080000000000005"/>
    <x v="0"/>
  </r>
  <r>
    <d v="2021-10-23T00:00:00"/>
    <x v="4"/>
    <n v="44"/>
    <s v="SÁBADO"/>
    <x v="38"/>
    <x v="38"/>
    <n v="224"/>
    <n v="112"/>
    <n v="89.600000000000009"/>
    <x v="0"/>
  </r>
  <r>
    <d v="2021-10-25T00:00:00"/>
    <x v="4"/>
    <n v="44"/>
    <s v="LUNES"/>
    <x v="23"/>
    <x v="23"/>
    <n v="900"/>
    <n v="90"/>
    <n v="153"/>
    <x v="0"/>
  </r>
  <r>
    <d v="2021-10-25T00:00:00"/>
    <x v="4"/>
    <n v="44"/>
    <s v="LUNES"/>
    <x v="17"/>
    <x v="17"/>
    <n v="720"/>
    <n v="120"/>
    <n v="122.4"/>
    <x v="0"/>
  </r>
  <r>
    <d v="2021-10-25T00:00:00"/>
    <x v="4"/>
    <n v="44"/>
    <s v="LUNES"/>
    <x v="16"/>
    <x v="16"/>
    <n v="720"/>
    <n v="180"/>
    <n v="302.39999999999998"/>
    <x v="0"/>
  </r>
  <r>
    <d v="2021-10-25T00:00:00"/>
    <x v="4"/>
    <n v="44"/>
    <s v="LUNES"/>
    <x v="26"/>
    <x v="26"/>
    <n v="180"/>
    <n v="90"/>
    <n v="30.6"/>
    <x v="0"/>
  </r>
  <r>
    <d v="2021-10-25T00:00:00"/>
    <x v="4"/>
    <n v="44"/>
    <s v="LUNES"/>
    <x v="1"/>
    <x v="1"/>
    <n v="1296"/>
    <n v="198"/>
    <n v="220.32000000000002"/>
    <x v="0"/>
  </r>
  <r>
    <d v="2021-10-25T00:00:00"/>
    <x v="4"/>
    <n v="44"/>
    <s v="LUNES"/>
    <x v="6"/>
    <x v="6"/>
    <n v="720"/>
    <n v="120"/>
    <n v="122.4"/>
    <x v="0"/>
  </r>
  <r>
    <d v="2021-10-25T00:00:00"/>
    <x v="4"/>
    <n v="44"/>
    <s v="LUNES"/>
    <x v="10"/>
    <x v="10"/>
    <n v="4320"/>
    <n v="120"/>
    <n v="734.40000000000009"/>
    <x v="0"/>
  </r>
  <r>
    <d v="2021-10-25T00:00:00"/>
    <x v="4"/>
    <n v="44"/>
    <s v="LUNES"/>
    <x v="2"/>
    <x v="2"/>
    <n v="1296"/>
    <n v="198"/>
    <n v="220.32000000000002"/>
    <x v="0"/>
  </r>
  <r>
    <d v="2021-10-25T00:00:00"/>
    <x v="4"/>
    <n v="44"/>
    <s v="LUNES"/>
    <x v="23"/>
    <x v="23"/>
    <n v="720"/>
    <n v="90"/>
    <n v="122.4"/>
    <x v="0"/>
  </r>
  <r>
    <d v="2021-10-25T00:00:00"/>
    <x v="4"/>
    <n v="44"/>
    <s v="LUNES"/>
    <x v="26"/>
    <x v="26"/>
    <n v="1170"/>
    <n v="90"/>
    <n v="198.9"/>
    <x v="0"/>
  </r>
  <r>
    <d v="2021-10-25T00:00:00"/>
    <x v="4"/>
    <n v="44"/>
    <s v="LUNES"/>
    <x v="11"/>
    <x v="11"/>
    <n v="1620"/>
    <n v="90"/>
    <n v="275.40000000000003"/>
    <x v="0"/>
  </r>
  <r>
    <d v="2021-10-25T00:00:00"/>
    <x v="4"/>
    <n v="44"/>
    <s v="LUNES"/>
    <x v="8"/>
    <x v="8"/>
    <n v="864"/>
    <n v="198"/>
    <n v="146.88000000000002"/>
    <x v="0"/>
  </r>
  <r>
    <d v="2021-10-25T00:00:00"/>
    <x v="4"/>
    <n v="44"/>
    <s v="LUNES"/>
    <x v="9"/>
    <x v="9"/>
    <n v="720"/>
    <n v="90"/>
    <n v="122.4"/>
    <x v="0"/>
  </r>
  <r>
    <d v="2021-10-25T00:00:00"/>
    <x v="4"/>
    <n v="44"/>
    <s v="LUNES"/>
    <x v="0"/>
    <x v="0"/>
    <n v="384"/>
    <n v="48"/>
    <n v="153.60000000000002"/>
    <x v="0"/>
  </r>
  <r>
    <d v="2021-10-25T00:00:00"/>
    <x v="4"/>
    <n v="44"/>
    <s v="LUNES"/>
    <x v="12"/>
    <x v="12"/>
    <n v="225"/>
    <n v="225"/>
    <n v="90"/>
    <x v="0"/>
  </r>
  <r>
    <d v="2021-10-25T00:00:00"/>
    <x v="4"/>
    <n v="44"/>
    <s v="LUNES"/>
    <x v="19"/>
    <x v="19"/>
    <n v="450"/>
    <n v="225"/>
    <n v="180"/>
    <x v="0"/>
  </r>
  <r>
    <d v="2021-10-25T00:00:00"/>
    <x v="4"/>
    <n v="44"/>
    <s v="LUNES"/>
    <x v="42"/>
    <x v="42"/>
    <n v="500"/>
    <n v="420"/>
    <n v="210"/>
    <x v="0"/>
  </r>
  <r>
    <d v="2021-10-25T00:00:00"/>
    <x v="4"/>
    <n v="44"/>
    <s v="LUNES"/>
    <x v="5"/>
    <x v="5"/>
    <n v="324"/>
    <n v="162"/>
    <n v="55.080000000000005"/>
    <x v="0"/>
  </r>
  <r>
    <d v="2021-10-25T00:00:00"/>
    <x v="4"/>
    <n v="44"/>
    <s v="LUNES"/>
    <x v="35"/>
    <x v="35"/>
    <n v="1800"/>
    <n v="180"/>
    <n v="756"/>
    <x v="0"/>
  </r>
  <r>
    <d v="2021-10-26T00:00:00"/>
    <x v="4"/>
    <n v="44"/>
    <s v="MARTES"/>
    <x v="23"/>
    <x v="23"/>
    <n v="720"/>
    <n v="90"/>
    <n v="122.4"/>
    <x v="0"/>
  </r>
  <r>
    <d v="2021-10-26T00:00:00"/>
    <x v="4"/>
    <n v="44"/>
    <s v="MARTES"/>
    <x v="10"/>
    <x v="10"/>
    <n v="2400"/>
    <n v="120"/>
    <n v="408.00000000000006"/>
    <x v="0"/>
  </r>
  <r>
    <d v="2021-10-26T00:00:00"/>
    <x v="4"/>
    <n v="44"/>
    <s v="MARTES"/>
    <x v="9"/>
    <x v="9"/>
    <n v="720"/>
    <n v="90"/>
    <n v="122.4"/>
    <x v="0"/>
  </r>
  <r>
    <d v="2021-10-26T00:00:00"/>
    <x v="4"/>
    <n v="44"/>
    <s v="MARTES"/>
    <x v="2"/>
    <x v="2"/>
    <n v="864"/>
    <n v="198"/>
    <n v="146.88000000000002"/>
    <x v="0"/>
  </r>
  <r>
    <d v="2021-10-26T00:00:00"/>
    <x v="4"/>
    <n v="44"/>
    <s v="MARTES"/>
    <x v="8"/>
    <x v="8"/>
    <n v="648"/>
    <n v="198"/>
    <n v="110.16000000000001"/>
    <x v="0"/>
  </r>
  <r>
    <d v="2021-10-26T00:00:00"/>
    <x v="4"/>
    <n v="44"/>
    <s v="MARTES"/>
    <x v="11"/>
    <x v="11"/>
    <n v="3960"/>
    <n v="90"/>
    <n v="673.2"/>
    <x v="0"/>
  </r>
  <r>
    <d v="2021-10-26T00:00:00"/>
    <x v="4"/>
    <n v="44"/>
    <s v="MARTES"/>
    <x v="26"/>
    <x v="26"/>
    <n v="720"/>
    <n v="90"/>
    <n v="122.4"/>
    <x v="0"/>
  </r>
  <r>
    <d v="2021-10-26T00:00:00"/>
    <x v="4"/>
    <n v="44"/>
    <s v="MARTES"/>
    <x v="1"/>
    <x v="1"/>
    <n v="864"/>
    <n v="198"/>
    <n v="146.88000000000002"/>
    <x v="0"/>
  </r>
  <r>
    <d v="2021-10-26T00:00:00"/>
    <x v="4"/>
    <n v="44"/>
    <s v="MARTES"/>
    <x v="16"/>
    <x v="16"/>
    <n v="900"/>
    <n v="180"/>
    <n v="378"/>
    <x v="0"/>
  </r>
  <r>
    <d v="2021-10-26T00:00:00"/>
    <x v="4"/>
    <n v="44"/>
    <s v="MARTES"/>
    <x v="6"/>
    <x v="6"/>
    <n v="1800"/>
    <n v="120"/>
    <n v="306"/>
    <x v="0"/>
  </r>
  <r>
    <d v="2021-10-26T00:00:00"/>
    <x v="4"/>
    <n v="44"/>
    <s v="MARTES"/>
    <x v="35"/>
    <x v="35"/>
    <n v="900"/>
    <n v="180"/>
    <n v="378"/>
    <x v="0"/>
  </r>
  <r>
    <d v="2021-10-26T00:00:00"/>
    <x v="4"/>
    <n v="44"/>
    <s v="MARTES"/>
    <x v="0"/>
    <x v="0"/>
    <n v="192"/>
    <n v="48"/>
    <n v="76.800000000000011"/>
    <x v="0"/>
  </r>
  <r>
    <d v="2021-10-26T00:00:00"/>
    <x v="4"/>
    <n v="44"/>
    <s v="MARTES"/>
    <x v="24"/>
    <x v="24"/>
    <n v="840"/>
    <n v="420"/>
    <n v="352.8"/>
    <x v="0"/>
  </r>
  <r>
    <d v="2021-10-26T00:00:00"/>
    <x v="4"/>
    <n v="44"/>
    <s v="MARTES"/>
    <x v="17"/>
    <x v="17"/>
    <n v="960"/>
    <n v="120"/>
    <n v="163.20000000000002"/>
    <x v="0"/>
  </r>
  <r>
    <d v="2021-10-26T00:00:00"/>
    <x v="4"/>
    <n v="44"/>
    <s v="MARTES"/>
    <x v="20"/>
    <x v="20"/>
    <n v="180"/>
    <n v="90"/>
    <n v="30.6"/>
    <x v="0"/>
  </r>
  <r>
    <d v="2021-10-26T00:00:00"/>
    <x v="4"/>
    <n v="44"/>
    <s v="MARTES"/>
    <x v="42"/>
    <x v="42"/>
    <n v="250"/>
    <n v="420"/>
    <n v="105"/>
    <x v="0"/>
  </r>
  <r>
    <d v="2021-10-26T00:00:00"/>
    <x v="4"/>
    <n v="44"/>
    <s v="MARTES"/>
    <x v="7"/>
    <x v="7"/>
    <n v="216"/>
    <n v="198"/>
    <n v="36.720000000000006"/>
    <x v="0"/>
  </r>
  <r>
    <d v="2021-10-26T00:00:00"/>
    <x v="4"/>
    <n v="44"/>
    <s v="MARTES"/>
    <x v="43"/>
    <x v="43"/>
    <n v="1000"/>
    <n v="420"/>
    <n v="420"/>
    <x v="0"/>
  </r>
  <r>
    <d v="2021-10-26T00:00:00"/>
    <x v="4"/>
    <n v="44"/>
    <s v="MARTES"/>
    <x v="35"/>
    <x v="35"/>
    <n v="540"/>
    <n v="180"/>
    <n v="226.79999999999998"/>
    <x v="0"/>
  </r>
  <r>
    <d v="1899-12-31T00:00:00"/>
    <x v="5"/>
    <n v="1"/>
    <s v="DOMINGO"/>
    <x v="11"/>
    <x v="11"/>
    <n v="1440"/>
    <n v="90"/>
    <n v="244.8"/>
    <x v="1"/>
  </r>
  <r>
    <d v="2021-10-27T00:00:00"/>
    <x v="4"/>
    <n v="44"/>
    <s v="MIÉRCOLES"/>
    <x v="1"/>
    <x v="1"/>
    <n v="1296"/>
    <n v="198"/>
    <n v="220.32000000000002"/>
    <x v="0"/>
  </r>
  <r>
    <d v="2021-10-27T00:00:00"/>
    <x v="4"/>
    <n v="44"/>
    <s v="MIÉRCOLES"/>
    <x v="7"/>
    <x v="7"/>
    <n v="2592"/>
    <n v="198"/>
    <n v="440.64000000000004"/>
    <x v="0"/>
  </r>
  <r>
    <d v="2021-10-27T00:00:00"/>
    <x v="4"/>
    <n v="44"/>
    <s v="MIÉRCOLES"/>
    <x v="17"/>
    <x v="17"/>
    <n v="1080"/>
    <n v="120"/>
    <n v="183.60000000000002"/>
    <x v="0"/>
  </r>
  <r>
    <d v="2021-10-27T00:00:00"/>
    <x v="4"/>
    <n v="44"/>
    <s v="MIÉRCOLES"/>
    <x v="10"/>
    <x v="10"/>
    <n v="1920"/>
    <n v="120"/>
    <n v="326.40000000000003"/>
    <x v="0"/>
  </r>
  <r>
    <d v="2021-10-27T00:00:00"/>
    <x v="4"/>
    <n v="44"/>
    <s v="MIÉRCOLES"/>
    <x v="6"/>
    <x v="6"/>
    <n v="1560"/>
    <n v="120"/>
    <n v="265.20000000000005"/>
    <x v="0"/>
  </r>
  <r>
    <d v="2021-10-27T00:00:00"/>
    <x v="4"/>
    <n v="44"/>
    <s v="MIÉRCOLES"/>
    <x v="3"/>
    <x v="3"/>
    <n v="1782"/>
    <n v="198"/>
    <n v="302.94"/>
    <x v="0"/>
  </r>
  <r>
    <d v="2021-10-27T00:00:00"/>
    <x v="4"/>
    <n v="44"/>
    <s v="MIÉRCOLES"/>
    <x v="8"/>
    <x v="8"/>
    <n v="864"/>
    <n v="198"/>
    <n v="146.88000000000002"/>
    <x v="0"/>
  </r>
  <r>
    <d v="2021-10-27T00:00:00"/>
    <x v="4"/>
    <n v="44"/>
    <s v="MIÉRCOLES"/>
    <x v="35"/>
    <x v="35"/>
    <n v="360"/>
    <n v="180"/>
    <n v="151.19999999999999"/>
    <x v="0"/>
  </r>
  <r>
    <d v="2021-10-27T00:00:00"/>
    <x v="4"/>
    <n v="44"/>
    <s v="MIÉRCOLES"/>
    <x v="34"/>
    <x v="34"/>
    <n v="648"/>
    <n v="198"/>
    <n v="110.16000000000001"/>
    <x v="0"/>
  </r>
  <r>
    <d v="2021-10-27T00:00:00"/>
    <x v="4"/>
    <n v="44"/>
    <s v="MIÉRCOLES"/>
    <x v="5"/>
    <x v="5"/>
    <n v="324"/>
    <n v="162"/>
    <n v="55.080000000000005"/>
    <x v="0"/>
  </r>
  <r>
    <d v="2021-10-27T00:00:00"/>
    <x v="4"/>
    <n v="44"/>
    <s v="MIÉRCOLES"/>
    <x v="9"/>
    <x v="9"/>
    <n v="900"/>
    <n v="90"/>
    <n v="153"/>
    <x v="0"/>
  </r>
  <r>
    <d v="2021-10-27T00:00:00"/>
    <x v="4"/>
    <n v="44"/>
    <s v="MIÉRCOLES"/>
    <x v="25"/>
    <x v="25"/>
    <n v="2250"/>
    <n v="225"/>
    <n v="945"/>
    <x v="0"/>
  </r>
  <r>
    <d v="2021-10-27T00:00:00"/>
    <x v="4"/>
    <n v="44"/>
    <s v="MIÉRCOLES"/>
    <x v="12"/>
    <x v="12"/>
    <n v="225"/>
    <n v="225"/>
    <n v="90"/>
    <x v="0"/>
  </r>
  <r>
    <d v="2021-10-27T00:00:00"/>
    <x v="4"/>
    <n v="44"/>
    <s v="MIÉRCOLES"/>
    <x v="19"/>
    <x v="19"/>
    <n v="225"/>
    <n v="225"/>
    <n v="90"/>
    <x v="0"/>
  </r>
  <r>
    <d v="2021-10-27T00:00:00"/>
    <x v="4"/>
    <n v="44"/>
    <s v="MIÉRCOLES"/>
    <x v="42"/>
    <x v="42"/>
    <n v="1000"/>
    <n v="420"/>
    <n v="420"/>
    <x v="0"/>
  </r>
  <r>
    <d v="2021-10-27T00:00:00"/>
    <x v="4"/>
    <n v="44"/>
    <s v="MIÉRCOLES"/>
    <x v="43"/>
    <x v="43"/>
    <n v="1000"/>
    <n v="420"/>
    <n v="420"/>
    <x v="0"/>
  </r>
  <r>
    <d v="2021-10-27T00:00:00"/>
    <x v="4"/>
    <n v="44"/>
    <s v="MIÉRCOLES"/>
    <x v="40"/>
    <x v="40"/>
    <n v="112"/>
    <n v="240"/>
    <n v="44.800000000000004"/>
    <x v="0"/>
  </r>
  <r>
    <d v="2021-10-27T00:00:00"/>
    <x v="4"/>
    <n v="44"/>
    <s v="MIÉRCOLES"/>
    <x v="0"/>
    <x v="0"/>
    <n v="816"/>
    <n v="48"/>
    <n v="326.40000000000003"/>
    <x v="0"/>
  </r>
  <r>
    <d v="2021-10-27T00:00:00"/>
    <x v="4"/>
    <n v="44"/>
    <s v="MIÉRCOLES"/>
    <x v="16"/>
    <x v="16"/>
    <n v="1080"/>
    <n v="180"/>
    <n v="453.59999999999997"/>
    <x v="0"/>
  </r>
  <r>
    <d v="2021-10-27T00:00:00"/>
    <x v="4"/>
    <n v="44"/>
    <s v="MIÉRCOLES"/>
    <x v="2"/>
    <x v="2"/>
    <n v="864"/>
    <n v="198"/>
    <n v="146.88000000000002"/>
    <x v="0"/>
  </r>
  <r>
    <d v="2021-10-27T00:00:00"/>
    <x v="4"/>
    <n v="44"/>
    <s v="MIÉRCOLES"/>
    <x v="38"/>
    <x v="38"/>
    <n v="112"/>
    <n v="112"/>
    <n v="44.800000000000004"/>
    <x v="0"/>
  </r>
  <r>
    <d v="2021-10-28T00:00:00"/>
    <x v="4"/>
    <n v="44"/>
    <s v="JUEVES"/>
    <x v="38"/>
    <x v="38"/>
    <n v="224"/>
    <n v="112"/>
    <n v="89.600000000000009"/>
    <x v="0"/>
  </r>
  <r>
    <d v="2021-10-28T00:00:00"/>
    <x v="4"/>
    <n v="44"/>
    <s v="JUEVES"/>
    <x v="0"/>
    <x v="0"/>
    <n v="912"/>
    <n v="48"/>
    <n v="364.8"/>
    <x v="0"/>
  </r>
  <r>
    <d v="2021-10-28T00:00:00"/>
    <x v="4"/>
    <n v="44"/>
    <s v="JUEVES"/>
    <x v="1"/>
    <x v="1"/>
    <n v="1944"/>
    <n v="198"/>
    <n v="330.48"/>
    <x v="0"/>
  </r>
  <r>
    <d v="2021-10-28T00:00:00"/>
    <x v="4"/>
    <n v="44"/>
    <s v="JUEVES"/>
    <x v="2"/>
    <x v="2"/>
    <n v="2592"/>
    <n v="198"/>
    <n v="440.64000000000004"/>
    <x v="0"/>
  </r>
  <r>
    <d v="2021-10-28T00:00:00"/>
    <x v="4"/>
    <n v="44"/>
    <s v="JUEVES"/>
    <x v="22"/>
    <x v="22"/>
    <n v="396"/>
    <n v="198"/>
    <n v="67.320000000000007"/>
    <x v="0"/>
  </r>
  <r>
    <d v="2021-10-28T00:00:00"/>
    <x v="4"/>
    <n v="44"/>
    <s v="JUEVES"/>
    <x v="3"/>
    <x v="3"/>
    <n v="990"/>
    <n v="198"/>
    <n v="168.3"/>
    <x v="0"/>
  </r>
  <r>
    <d v="2021-10-28T00:00:00"/>
    <x v="4"/>
    <n v="44"/>
    <s v="JUEVES"/>
    <x v="4"/>
    <x v="4"/>
    <n v="648"/>
    <n v="162"/>
    <n v="110.16000000000001"/>
    <x v="0"/>
  </r>
  <r>
    <d v="2021-10-28T00:00:00"/>
    <x v="4"/>
    <n v="44"/>
    <s v="JUEVES"/>
    <x v="5"/>
    <x v="5"/>
    <n v="972"/>
    <n v="162"/>
    <n v="165.24"/>
    <x v="0"/>
  </r>
  <r>
    <d v="2021-10-28T00:00:00"/>
    <x v="4"/>
    <n v="44"/>
    <s v="JUEVES"/>
    <x v="6"/>
    <x v="6"/>
    <n v="1560"/>
    <n v="120"/>
    <n v="265.20000000000005"/>
    <x v="0"/>
  </r>
  <r>
    <d v="2021-10-28T00:00:00"/>
    <x v="4"/>
    <n v="44"/>
    <s v="JUEVES"/>
    <x v="17"/>
    <x v="17"/>
    <n v="360"/>
    <n v="120"/>
    <n v="61.2"/>
    <x v="0"/>
  </r>
  <r>
    <d v="2021-10-28T00:00:00"/>
    <x v="4"/>
    <n v="44"/>
    <s v="JUEVES"/>
    <x v="7"/>
    <x v="7"/>
    <n v="864"/>
    <n v="198"/>
    <n v="146.88000000000002"/>
    <x v="0"/>
  </r>
  <r>
    <d v="2021-10-28T00:00:00"/>
    <x v="4"/>
    <n v="44"/>
    <s v="JUEVES"/>
    <x v="8"/>
    <x v="8"/>
    <n v="1728"/>
    <n v="198"/>
    <n v="293.76000000000005"/>
    <x v="0"/>
  </r>
  <r>
    <d v="2021-10-28T00:00:00"/>
    <x v="4"/>
    <n v="44"/>
    <s v="JUEVES"/>
    <x v="9"/>
    <x v="9"/>
    <n v="720"/>
    <n v="90"/>
    <n v="122.4"/>
    <x v="0"/>
  </r>
  <r>
    <d v="2021-10-28T00:00:00"/>
    <x v="4"/>
    <n v="44"/>
    <s v="JUEVES"/>
    <x v="10"/>
    <x v="10"/>
    <n v="720"/>
    <n v="120"/>
    <n v="122.4"/>
    <x v="0"/>
  </r>
  <r>
    <d v="2021-10-28T00:00:00"/>
    <x v="4"/>
    <n v="44"/>
    <s v="JUEVES"/>
    <x v="20"/>
    <x v="20"/>
    <n v="450"/>
    <n v="90"/>
    <n v="76.5"/>
    <x v="0"/>
  </r>
  <r>
    <d v="2021-10-28T00:00:00"/>
    <x v="4"/>
    <n v="44"/>
    <s v="JUEVES"/>
    <x v="19"/>
    <x v="19"/>
    <n v="675"/>
    <n v="225"/>
    <n v="270"/>
    <x v="0"/>
  </r>
  <r>
    <d v="2021-10-28T00:00:00"/>
    <x v="4"/>
    <n v="44"/>
    <s v="JUEVES"/>
    <x v="12"/>
    <x v="12"/>
    <n v="450"/>
    <n v="225"/>
    <n v="180"/>
    <x v="0"/>
  </r>
  <r>
    <d v="2021-10-28T00:00:00"/>
    <x v="4"/>
    <n v="44"/>
    <s v="JUEVES"/>
    <x v="25"/>
    <x v="25"/>
    <n v="900"/>
    <n v="225"/>
    <n v="378"/>
    <x v="0"/>
  </r>
  <r>
    <d v="2021-10-28T00:00:00"/>
    <x v="4"/>
    <n v="44"/>
    <s v="JUEVES"/>
    <x v="1"/>
    <x v="1"/>
    <n v="1728"/>
    <n v="198"/>
    <n v="293.76000000000005"/>
    <x v="0"/>
  </r>
  <r>
    <d v="2021-10-28T00:00:00"/>
    <x v="4"/>
    <n v="44"/>
    <s v="JUEVES"/>
    <x v="7"/>
    <x v="7"/>
    <n v="864"/>
    <n v="198"/>
    <n v="146.88000000000002"/>
    <x v="0"/>
  </r>
  <r>
    <d v="2021-10-28T00:00:00"/>
    <x v="4"/>
    <n v="44"/>
    <s v="JUEVES"/>
    <x v="22"/>
    <x v="22"/>
    <n v="792"/>
    <n v="198"/>
    <n v="134.64000000000001"/>
    <x v="0"/>
  </r>
  <r>
    <d v="2021-10-28T00:00:00"/>
    <x v="4"/>
    <n v="44"/>
    <s v="JUEVES"/>
    <x v="17"/>
    <x v="17"/>
    <n v="600"/>
    <n v="120"/>
    <n v="102.00000000000001"/>
    <x v="0"/>
  </r>
  <r>
    <d v="2021-10-29T00:00:00"/>
    <x v="4"/>
    <n v="44"/>
    <s v="VIERNES"/>
    <x v="7"/>
    <x v="7"/>
    <n v="1296"/>
    <n v="198"/>
    <n v="220.32000000000002"/>
    <x v="0"/>
  </r>
  <r>
    <d v="2021-10-29T00:00:00"/>
    <x v="4"/>
    <n v="44"/>
    <s v="VIERNES"/>
    <x v="8"/>
    <x v="8"/>
    <n v="432"/>
    <n v="198"/>
    <n v="73.440000000000012"/>
    <x v="0"/>
  </r>
  <r>
    <d v="2021-10-29T00:00:00"/>
    <x v="4"/>
    <n v="44"/>
    <s v="VIERNES"/>
    <x v="10"/>
    <x v="10"/>
    <n v="1680"/>
    <n v="120"/>
    <n v="285.60000000000002"/>
    <x v="0"/>
  </r>
  <r>
    <d v="2021-10-29T00:00:00"/>
    <x v="4"/>
    <n v="44"/>
    <s v="VIERNES"/>
    <x v="20"/>
    <x v="20"/>
    <n v="450"/>
    <n v="90"/>
    <n v="76.5"/>
    <x v="0"/>
  </r>
  <r>
    <d v="2021-10-29T00:00:00"/>
    <x v="4"/>
    <n v="44"/>
    <s v="VIERNES"/>
    <x v="25"/>
    <x v="25"/>
    <n v="450"/>
    <n v="225"/>
    <n v="189"/>
    <x v="0"/>
  </r>
  <r>
    <d v="2021-10-29T00:00:00"/>
    <x v="4"/>
    <n v="44"/>
    <s v="VIERNES"/>
    <x v="12"/>
    <x v="12"/>
    <n v="900"/>
    <n v="225"/>
    <n v="360"/>
    <x v="0"/>
  </r>
  <r>
    <d v="2021-10-29T00:00:00"/>
    <x v="4"/>
    <n v="44"/>
    <s v="VIERNES"/>
    <x v="19"/>
    <x v="19"/>
    <n v="675"/>
    <n v="225"/>
    <n v="270"/>
    <x v="0"/>
  </r>
  <r>
    <d v="2021-10-29T00:00:00"/>
    <x v="4"/>
    <n v="44"/>
    <s v="VIERNES"/>
    <x v="28"/>
    <x v="28"/>
    <n v="60"/>
    <n v="30"/>
    <n v="13.8"/>
    <x v="0"/>
  </r>
  <r>
    <d v="2021-10-29T00:00:00"/>
    <x v="4"/>
    <n v="44"/>
    <s v="VIERNES"/>
    <x v="33"/>
    <x v="33"/>
    <n v="80"/>
    <n v="40"/>
    <n v="18.400000000000002"/>
    <x v="0"/>
  </r>
  <r>
    <d v="2021-10-29T00:00:00"/>
    <x v="4"/>
    <n v="44"/>
    <s v="VIERNES"/>
    <x v="13"/>
    <x v="13"/>
    <n v="270"/>
    <n v="30"/>
    <n v="108"/>
    <x v="0"/>
  </r>
  <r>
    <d v="2021-10-29T00:00:00"/>
    <x v="4"/>
    <n v="44"/>
    <s v="VIERNES"/>
    <x v="15"/>
    <x v="15"/>
    <n v="500"/>
    <n v="50"/>
    <n v="200"/>
    <x v="0"/>
  </r>
  <r>
    <d v="2021-10-29T00:00:00"/>
    <x v="4"/>
    <n v="44"/>
    <s v="VIERNES"/>
    <x v="38"/>
    <x v="38"/>
    <n v="112"/>
    <n v="112"/>
    <n v="44.800000000000004"/>
    <x v="0"/>
  </r>
  <r>
    <d v="2021-10-29T00:00:00"/>
    <x v="4"/>
    <n v="44"/>
    <s v="VIERNES"/>
    <x v="0"/>
    <x v="0"/>
    <n v="288"/>
    <n v="48"/>
    <n v="115.2"/>
    <x v="0"/>
  </r>
  <r>
    <d v="2021-10-29T00:00:00"/>
    <x v="4"/>
    <n v="44"/>
    <s v="VIERNES"/>
    <x v="24"/>
    <x v="24"/>
    <n v="3360"/>
    <n v="420"/>
    <n v="1411.2"/>
    <x v="0"/>
  </r>
  <r>
    <d v="2021-10-29T00:00:00"/>
    <x v="4"/>
    <n v="44"/>
    <s v="VIERNES"/>
    <x v="1"/>
    <x v="1"/>
    <n v="1512"/>
    <n v="198"/>
    <n v="257.04000000000002"/>
    <x v="0"/>
  </r>
  <r>
    <d v="2021-10-29T00:00:00"/>
    <x v="4"/>
    <n v="44"/>
    <s v="VIERNES"/>
    <x v="2"/>
    <x v="2"/>
    <n v="1728"/>
    <n v="198"/>
    <n v="293.76000000000005"/>
    <x v="0"/>
  </r>
  <r>
    <d v="2021-10-29T00:00:00"/>
    <x v="4"/>
    <n v="44"/>
    <s v="VIERNES"/>
    <x v="22"/>
    <x v="22"/>
    <n v="594"/>
    <n v="198"/>
    <n v="100.98"/>
    <x v="0"/>
  </r>
  <r>
    <d v="2021-10-29T00:00:00"/>
    <x v="4"/>
    <n v="44"/>
    <s v="VIERNES"/>
    <x v="3"/>
    <x v="3"/>
    <n v="198"/>
    <n v="198"/>
    <n v="33.660000000000004"/>
    <x v="0"/>
  </r>
  <r>
    <d v="2021-10-29T00:00:00"/>
    <x v="4"/>
    <n v="44"/>
    <s v="VIERNES"/>
    <x v="4"/>
    <x v="4"/>
    <n v="324"/>
    <n v="162"/>
    <n v="55.080000000000005"/>
    <x v="0"/>
  </r>
  <r>
    <d v="2021-10-29T00:00:00"/>
    <x v="4"/>
    <n v="44"/>
    <s v="VIERNES"/>
    <x v="5"/>
    <x v="5"/>
    <n v="162"/>
    <n v="162"/>
    <n v="27.540000000000003"/>
    <x v="0"/>
  </r>
  <r>
    <d v="2021-10-29T00:00:00"/>
    <x v="4"/>
    <n v="44"/>
    <s v="VIERNES"/>
    <x v="6"/>
    <x v="6"/>
    <n v="3480"/>
    <n v="120"/>
    <n v="591.6"/>
    <x v="0"/>
  </r>
  <r>
    <d v="2021-10-29T00:00:00"/>
    <x v="4"/>
    <n v="44"/>
    <s v="VIERNES"/>
    <x v="17"/>
    <x v="17"/>
    <n v="720"/>
    <n v="120"/>
    <n v="122.4"/>
    <x v="0"/>
  </r>
  <r>
    <d v="2021-10-30T00:00:00"/>
    <x v="4"/>
    <n v="45"/>
    <s v="SÁBADO"/>
    <x v="10"/>
    <x v="10"/>
    <n v="2880"/>
    <n v="120"/>
    <n v="489.6"/>
    <x v="0"/>
  </r>
  <r>
    <d v="2021-10-30T00:00:00"/>
    <x v="4"/>
    <n v="45"/>
    <s v="SÁBADO"/>
    <x v="17"/>
    <x v="17"/>
    <n v="1560"/>
    <n v="120"/>
    <n v="265.20000000000005"/>
    <x v="0"/>
  </r>
  <r>
    <d v="2021-10-30T00:00:00"/>
    <x v="4"/>
    <n v="45"/>
    <s v="SÁBADO"/>
    <x v="6"/>
    <x v="6"/>
    <n v="1440"/>
    <n v="120"/>
    <n v="244.8"/>
    <x v="0"/>
  </r>
  <r>
    <d v="2021-10-30T00:00:00"/>
    <x v="4"/>
    <n v="45"/>
    <s v="SÁBADO"/>
    <x v="5"/>
    <x v="5"/>
    <n v="648"/>
    <n v="162"/>
    <n v="110.16000000000001"/>
    <x v="0"/>
  </r>
  <r>
    <d v="2021-10-30T00:00:00"/>
    <x v="4"/>
    <n v="45"/>
    <s v="SÁBADO"/>
    <x v="3"/>
    <x v="3"/>
    <n v="1188"/>
    <n v="198"/>
    <n v="201.96"/>
    <x v="0"/>
  </r>
  <r>
    <d v="2021-10-30T00:00:00"/>
    <x v="4"/>
    <n v="45"/>
    <s v="SÁBADO"/>
    <x v="22"/>
    <x v="22"/>
    <n v="1188"/>
    <n v="198"/>
    <n v="201.96"/>
    <x v="0"/>
  </r>
  <r>
    <d v="2021-10-30T00:00:00"/>
    <x v="4"/>
    <n v="45"/>
    <s v="SÁBADO"/>
    <x v="11"/>
    <x v="11"/>
    <n v="3240"/>
    <n v="90"/>
    <n v="550.80000000000007"/>
    <x v="0"/>
  </r>
  <r>
    <d v="2021-10-30T00:00:00"/>
    <x v="4"/>
    <n v="45"/>
    <s v="SÁBADO"/>
    <x v="8"/>
    <x v="8"/>
    <n v="1944"/>
    <n v="198"/>
    <n v="330.48"/>
    <x v="0"/>
  </r>
  <r>
    <d v="2021-10-30T00:00:00"/>
    <x v="4"/>
    <n v="45"/>
    <s v="SÁBADO"/>
    <x v="9"/>
    <x v="9"/>
    <n v="1080"/>
    <n v="90"/>
    <n v="183.60000000000002"/>
    <x v="0"/>
  </r>
  <r>
    <d v="2021-10-30T00:00:00"/>
    <x v="4"/>
    <n v="45"/>
    <s v="SÁBADO"/>
    <x v="7"/>
    <x v="7"/>
    <n v="2160"/>
    <n v="198"/>
    <n v="367.20000000000005"/>
    <x v="0"/>
  </r>
  <r>
    <d v="2021-10-30T00:00:00"/>
    <x v="4"/>
    <n v="45"/>
    <s v="SÁBADO"/>
    <x v="0"/>
    <x v="0"/>
    <n v="720"/>
    <n v="48"/>
    <n v="288"/>
    <x v="0"/>
  </r>
  <r>
    <d v="2021-10-30T00:00:00"/>
    <x v="4"/>
    <n v="45"/>
    <s v="SÁBADO"/>
    <x v="15"/>
    <x v="15"/>
    <n v="200"/>
    <n v="50"/>
    <n v="80"/>
    <x v="0"/>
  </r>
  <r>
    <d v="2021-10-30T00:00:00"/>
    <x v="4"/>
    <n v="45"/>
    <s v="SÁBADO"/>
    <x v="33"/>
    <x v="33"/>
    <n v="160"/>
    <n v="40"/>
    <n v="36.800000000000004"/>
    <x v="0"/>
  </r>
  <r>
    <d v="2021-10-30T00:00:00"/>
    <x v="4"/>
    <n v="45"/>
    <s v="SÁBADO"/>
    <x v="20"/>
    <x v="20"/>
    <n v="720"/>
    <n v="90"/>
    <n v="122.4"/>
    <x v="0"/>
  </r>
  <r>
    <d v="2021-10-30T00:00:00"/>
    <x v="4"/>
    <n v="45"/>
    <s v="SÁBADO"/>
    <x v="13"/>
    <x v="13"/>
    <n v="150"/>
    <n v="30"/>
    <n v="60"/>
    <x v="0"/>
  </r>
  <r>
    <d v="2021-10-30T00:00:00"/>
    <x v="4"/>
    <n v="45"/>
    <s v="SÁBADO"/>
    <x v="38"/>
    <x v="38"/>
    <n v="336"/>
    <n v="112"/>
    <n v="134.4"/>
    <x v="0"/>
  </r>
  <r>
    <d v="2021-10-30T00:00:00"/>
    <x v="4"/>
    <n v="45"/>
    <s v="SÁBADO"/>
    <x v="1"/>
    <x v="1"/>
    <n v="1080"/>
    <n v="198"/>
    <n v="183.60000000000002"/>
    <x v="0"/>
  </r>
  <r>
    <d v="2021-10-30T00:00:00"/>
    <x v="4"/>
    <n v="45"/>
    <s v="SÁBADO"/>
    <x v="2"/>
    <x v="2"/>
    <n v="1728"/>
    <n v="198"/>
    <n v="293.76000000000005"/>
    <x v="0"/>
  </r>
  <r>
    <d v="2021-10-30T00:00:00"/>
    <x v="4"/>
    <n v="45"/>
    <s v="SÁBADO"/>
    <x v="4"/>
    <x v="4"/>
    <n v="810"/>
    <n v="162"/>
    <n v="137.70000000000002"/>
    <x v="0"/>
  </r>
  <r>
    <d v="2021-10-30T00:00:00"/>
    <x v="4"/>
    <n v="45"/>
    <s v="SÁBADO"/>
    <x v="25"/>
    <x v="25"/>
    <n v="900"/>
    <n v="225"/>
    <n v="378"/>
    <x v="0"/>
  </r>
  <r>
    <d v="2021-10-30T00:00:00"/>
    <x v="4"/>
    <n v="45"/>
    <s v="SÁBADO"/>
    <x v="12"/>
    <x v="12"/>
    <n v="225"/>
    <n v="225"/>
    <n v="90"/>
    <x v="0"/>
  </r>
  <r>
    <d v="2021-10-30T00:00:00"/>
    <x v="4"/>
    <n v="45"/>
    <s v="SÁBADO"/>
    <x v="19"/>
    <x v="19"/>
    <n v="225"/>
    <n v="225"/>
    <n v="90"/>
    <x v="0"/>
  </r>
  <r>
    <d v="2021-10-30T00:00:00"/>
    <x v="4"/>
    <n v="45"/>
    <s v="SÁBADO"/>
    <x v="35"/>
    <x v="35"/>
    <n v="180"/>
    <n v="180"/>
    <n v="75.599999999999994"/>
    <x v="0"/>
  </r>
  <r>
    <d v="2021-10-30T00:00:00"/>
    <x v="4"/>
    <n v="45"/>
    <s v="SÁBADO"/>
    <x v="42"/>
    <x v="42"/>
    <n v="500"/>
    <n v="420"/>
    <n v="210"/>
    <x v="0"/>
  </r>
  <r>
    <d v="2021-10-30T00:00:00"/>
    <x v="4"/>
    <n v="45"/>
    <s v="SÁBADO"/>
    <x v="40"/>
    <x v="40"/>
    <n v="112"/>
    <n v="240"/>
    <n v="44.800000000000004"/>
    <x v="0"/>
  </r>
  <r>
    <d v="2021-11-02T00:00:00"/>
    <x v="6"/>
    <n v="45"/>
    <s v="MARTES"/>
    <x v="26"/>
    <x v="26"/>
    <n v="3060"/>
    <n v="90"/>
    <n v="520.20000000000005"/>
    <x v="0"/>
  </r>
  <r>
    <d v="2021-11-02T00:00:00"/>
    <x v="6"/>
    <n v="45"/>
    <s v="MARTES"/>
    <x v="22"/>
    <x v="22"/>
    <n v="792"/>
    <n v="198"/>
    <n v="134.64000000000001"/>
    <x v="0"/>
  </r>
  <r>
    <d v="2021-11-02T00:00:00"/>
    <x v="6"/>
    <n v="45"/>
    <s v="MARTES"/>
    <x v="3"/>
    <x v="3"/>
    <n v="792"/>
    <n v="198"/>
    <n v="134.64000000000001"/>
    <x v="0"/>
  </r>
  <r>
    <d v="2021-11-02T00:00:00"/>
    <x v="6"/>
    <n v="45"/>
    <s v="MARTES"/>
    <x v="15"/>
    <x v="15"/>
    <n v="350"/>
    <n v="50"/>
    <n v="140"/>
    <x v="0"/>
  </r>
  <r>
    <d v="2021-11-02T00:00:00"/>
    <x v="6"/>
    <n v="45"/>
    <s v="MARTES"/>
    <x v="6"/>
    <x v="6"/>
    <n v="1200"/>
    <n v="120"/>
    <n v="204.00000000000003"/>
    <x v="0"/>
  </r>
  <r>
    <d v="2021-11-02T00:00:00"/>
    <x v="6"/>
    <n v="45"/>
    <s v="MARTES"/>
    <x v="1"/>
    <x v="1"/>
    <n v="216"/>
    <n v="198"/>
    <n v="36.720000000000006"/>
    <x v="0"/>
  </r>
  <r>
    <d v="2021-11-02T00:00:00"/>
    <x v="6"/>
    <n v="45"/>
    <s v="MARTES"/>
    <x v="7"/>
    <x v="7"/>
    <n v="1296"/>
    <n v="198"/>
    <n v="220.32000000000002"/>
    <x v="0"/>
  </r>
  <r>
    <d v="2021-11-02T00:00:00"/>
    <x v="6"/>
    <n v="45"/>
    <s v="MARTES"/>
    <x v="4"/>
    <x v="4"/>
    <n v="1134"/>
    <n v="162"/>
    <n v="192.78"/>
    <x v="0"/>
  </r>
  <r>
    <d v="2021-11-02T00:00:00"/>
    <x v="6"/>
    <n v="45"/>
    <s v="MARTES"/>
    <x v="23"/>
    <x v="23"/>
    <n v="180"/>
    <n v="90"/>
    <n v="30.6"/>
    <x v="0"/>
  </r>
  <r>
    <d v="2021-11-02T00:00:00"/>
    <x v="6"/>
    <n v="45"/>
    <s v="MARTES"/>
    <x v="42"/>
    <x v="42"/>
    <n v="1500"/>
    <n v="420"/>
    <n v="630"/>
    <x v="0"/>
  </r>
  <r>
    <d v="2021-11-02T00:00:00"/>
    <x v="6"/>
    <n v="45"/>
    <s v="MARTES"/>
    <x v="10"/>
    <x v="10"/>
    <n v="3180"/>
    <n v="120"/>
    <n v="540.6"/>
    <x v="0"/>
  </r>
  <r>
    <d v="2021-11-02T00:00:00"/>
    <x v="6"/>
    <n v="45"/>
    <s v="MARTES"/>
    <x v="17"/>
    <x v="17"/>
    <n v="2160"/>
    <n v="120"/>
    <n v="367.20000000000005"/>
    <x v="0"/>
  </r>
  <r>
    <d v="2021-11-02T00:00:00"/>
    <x v="6"/>
    <n v="45"/>
    <s v="MARTES"/>
    <x v="9"/>
    <x v="9"/>
    <n v="1440"/>
    <n v="90"/>
    <n v="244.8"/>
    <x v="0"/>
  </r>
  <r>
    <d v="2021-11-02T00:00:00"/>
    <x v="6"/>
    <n v="45"/>
    <s v="MARTES"/>
    <x v="20"/>
    <x v="20"/>
    <n v="180"/>
    <n v="90"/>
    <n v="30.6"/>
    <x v="0"/>
  </r>
  <r>
    <d v="2021-11-02T00:00:00"/>
    <x v="6"/>
    <n v="45"/>
    <s v="MARTES"/>
    <x v="34"/>
    <x v="34"/>
    <n v="216"/>
    <n v="198"/>
    <n v="36.720000000000006"/>
    <x v="0"/>
  </r>
  <r>
    <d v="2021-11-02T00:00:00"/>
    <x v="6"/>
    <n v="45"/>
    <s v="MARTES"/>
    <x v="8"/>
    <x v="8"/>
    <n v="648"/>
    <n v="198"/>
    <n v="110.16000000000001"/>
    <x v="0"/>
  </r>
  <r>
    <d v="2021-11-02T00:00:00"/>
    <x v="6"/>
    <n v="45"/>
    <s v="MARTES"/>
    <x v="11"/>
    <x v="11"/>
    <n v="540"/>
    <n v="90"/>
    <n v="91.800000000000011"/>
    <x v="0"/>
  </r>
  <r>
    <d v="2021-11-02T00:00:00"/>
    <x v="6"/>
    <n v="45"/>
    <s v="MARTES"/>
    <x v="12"/>
    <x v="12"/>
    <n v="675"/>
    <n v="225"/>
    <n v="270"/>
    <x v="0"/>
  </r>
  <r>
    <d v="2021-11-02T00:00:00"/>
    <x v="6"/>
    <n v="45"/>
    <s v="MARTES"/>
    <x v="43"/>
    <x v="43"/>
    <n v="1500"/>
    <n v="420"/>
    <n v="630"/>
    <x v="0"/>
  </r>
  <r>
    <d v="2021-11-02T00:00:00"/>
    <x v="6"/>
    <n v="45"/>
    <s v="MARTES"/>
    <x v="38"/>
    <x v="38"/>
    <n v="224"/>
    <n v="112"/>
    <n v="89.600000000000009"/>
    <x v="0"/>
  </r>
  <r>
    <d v="2021-11-02T00:00:00"/>
    <x v="6"/>
    <n v="45"/>
    <s v="MARTES"/>
    <x v="24"/>
    <x v="24"/>
    <n v="420"/>
    <n v="420"/>
    <n v="176.4"/>
    <x v="0"/>
  </r>
  <r>
    <d v="2021-11-02T00:00:00"/>
    <x v="6"/>
    <n v="45"/>
    <s v="MARTES"/>
    <x v="16"/>
    <x v="16"/>
    <n v="180"/>
    <n v="180"/>
    <n v="75.599999999999994"/>
    <x v="0"/>
  </r>
  <r>
    <d v="2021-11-02T00:00:00"/>
    <x v="6"/>
    <n v="45"/>
    <s v="MARTES"/>
    <x v="20"/>
    <x v="20"/>
    <n v="180"/>
    <n v="90"/>
    <n v="30.6"/>
    <x v="0"/>
  </r>
  <r>
    <d v="2021-11-03T00:00:00"/>
    <x v="6"/>
    <n v="45"/>
    <s v="MIÉRCOLES"/>
    <x v="26"/>
    <x v="26"/>
    <n v="540"/>
    <n v="90"/>
    <n v="91.800000000000011"/>
    <x v="0"/>
  </r>
  <r>
    <d v="2021-11-03T00:00:00"/>
    <x v="6"/>
    <n v="45"/>
    <s v="MIÉRCOLES"/>
    <x v="11"/>
    <x v="11"/>
    <n v="450"/>
    <n v="90"/>
    <n v="76.5"/>
    <x v="0"/>
  </r>
  <r>
    <d v="2021-11-03T00:00:00"/>
    <x v="6"/>
    <n v="45"/>
    <s v="MIÉRCOLES"/>
    <x v="10"/>
    <x v="10"/>
    <n v="240"/>
    <n v="120"/>
    <n v="40.800000000000004"/>
    <x v="0"/>
  </r>
  <r>
    <d v="2021-11-03T00:00:00"/>
    <x v="6"/>
    <n v="45"/>
    <s v="MIÉRCOLES"/>
    <x v="25"/>
    <x v="25"/>
    <n v="1125"/>
    <n v="225"/>
    <n v="472.5"/>
    <x v="0"/>
  </r>
  <r>
    <d v="2021-11-03T00:00:00"/>
    <x v="6"/>
    <n v="45"/>
    <s v="MIÉRCOLES"/>
    <x v="19"/>
    <x v="19"/>
    <n v="900"/>
    <n v="225"/>
    <n v="360"/>
    <x v="0"/>
  </r>
  <r>
    <d v="2021-11-03T00:00:00"/>
    <x v="6"/>
    <n v="45"/>
    <s v="MIÉRCOLES"/>
    <x v="0"/>
    <x v="0"/>
    <n v="288"/>
    <n v="48"/>
    <n v="115.2"/>
    <x v="0"/>
  </r>
  <r>
    <d v="2021-11-03T00:00:00"/>
    <x v="6"/>
    <n v="45"/>
    <s v="MIÉRCOLES"/>
    <x v="28"/>
    <x v="28"/>
    <n v="120"/>
    <n v="30"/>
    <n v="27.6"/>
    <x v="0"/>
  </r>
  <r>
    <d v="2021-11-03T00:00:00"/>
    <x v="6"/>
    <n v="45"/>
    <s v="MIÉRCOLES"/>
    <x v="14"/>
    <x v="14"/>
    <n v="200"/>
    <n v="40"/>
    <n v="46"/>
    <x v="0"/>
  </r>
  <r>
    <d v="2021-11-03T00:00:00"/>
    <x v="6"/>
    <n v="45"/>
    <s v="MIÉRCOLES"/>
    <x v="33"/>
    <x v="33"/>
    <n v="80"/>
    <n v="40"/>
    <n v="18.400000000000002"/>
    <x v="0"/>
  </r>
  <r>
    <d v="2021-11-03T00:00:00"/>
    <x v="6"/>
    <n v="45"/>
    <s v="MIÉRCOLES"/>
    <x v="28"/>
    <x v="28"/>
    <n v="90"/>
    <n v="30"/>
    <n v="20.7"/>
    <x v="0"/>
  </r>
  <r>
    <d v="2021-11-03T00:00:00"/>
    <x v="6"/>
    <n v="45"/>
    <s v="MIÉRCOLES"/>
    <x v="33"/>
    <x v="33"/>
    <n v="200"/>
    <n v="40"/>
    <n v="46"/>
    <x v="0"/>
  </r>
  <r>
    <d v="2021-11-03T00:00:00"/>
    <x v="6"/>
    <n v="45"/>
    <s v="MIÉRCOLES"/>
    <x v="14"/>
    <x v="14"/>
    <n v="240"/>
    <n v="40"/>
    <n v="55.2"/>
    <x v="0"/>
  </r>
  <r>
    <d v="2021-11-03T00:00:00"/>
    <x v="6"/>
    <n v="45"/>
    <s v="MIÉRCOLES"/>
    <x v="15"/>
    <x v="15"/>
    <n v="100"/>
    <n v="50"/>
    <n v="40"/>
    <x v="0"/>
  </r>
  <r>
    <d v="2021-11-03T00:00:00"/>
    <x v="6"/>
    <n v="45"/>
    <s v="MIÉRCOLES"/>
    <x v="38"/>
    <x v="38"/>
    <n v="112"/>
    <n v="112"/>
    <n v="44.800000000000004"/>
    <x v="0"/>
  </r>
  <r>
    <d v="2021-11-03T00:00:00"/>
    <x v="6"/>
    <n v="45"/>
    <s v="MIÉRCOLES"/>
    <x v="0"/>
    <x v="0"/>
    <n v="384"/>
    <n v="48"/>
    <n v="153.60000000000002"/>
    <x v="0"/>
  </r>
  <r>
    <d v="2021-11-03T00:00:00"/>
    <x v="6"/>
    <n v="45"/>
    <s v="MIÉRCOLES"/>
    <x v="16"/>
    <x v="16"/>
    <n v="720"/>
    <n v="180"/>
    <n v="302.39999999999998"/>
    <x v="0"/>
  </r>
  <r>
    <d v="2021-11-03T00:00:00"/>
    <x v="6"/>
    <n v="45"/>
    <s v="MIÉRCOLES"/>
    <x v="1"/>
    <x v="1"/>
    <n v="1512"/>
    <n v="198"/>
    <n v="257.04000000000002"/>
    <x v="0"/>
  </r>
  <r>
    <d v="2021-11-03T00:00:00"/>
    <x v="6"/>
    <n v="45"/>
    <s v="MIÉRCOLES"/>
    <x v="34"/>
    <x v="34"/>
    <n v="216"/>
    <n v="198"/>
    <n v="36.720000000000006"/>
    <x v="0"/>
  </r>
  <r>
    <d v="2021-11-03T00:00:00"/>
    <x v="6"/>
    <n v="45"/>
    <s v="MIÉRCOLES"/>
    <x v="22"/>
    <x v="22"/>
    <n v="1386"/>
    <n v="198"/>
    <n v="235.62"/>
    <x v="0"/>
  </r>
  <r>
    <d v="2021-11-03T00:00:00"/>
    <x v="6"/>
    <n v="45"/>
    <s v="MIÉRCOLES"/>
    <x v="3"/>
    <x v="3"/>
    <n v="990"/>
    <n v="198"/>
    <n v="168.3"/>
    <x v="0"/>
  </r>
  <r>
    <d v="2021-11-03T00:00:00"/>
    <x v="6"/>
    <n v="45"/>
    <s v="MIÉRCOLES"/>
    <x v="4"/>
    <x v="4"/>
    <n v="324"/>
    <n v="162"/>
    <n v="55.080000000000005"/>
    <x v="0"/>
  </r>
  <r>
    <d v="2021-11-03T00:00:00"/>
    <x v="6"/>
    <n v="45"/>
    <s v="MIÉRCOLES"/>
    <x v="6"/>
    <x v="6"/>
    <n v="3600"/>
    <n v="120"/>
    <n v="612"/>
    <x v="0"/>
  </r>
  <r>
    <d v="2021-11-03T00:00:00"/>
    <x v="6"/>
    <n v="45"/>
    <s v="MIÉRCOLES"/>
    <x v="7"/>
    <x v="7"/>
    <n v="1512"/>
    <n v="198"/>
    <n v="257.04000000000002"/>
    <x v="0"/>
  </r>
  <r>
    <d v="2021-11-03T00:00:00"/>
    <x v="6"/>
    <n v="45"/>
    <s v="MIÉRCOLES"/>
    <x v="8"/>
    <x v="8"/>
    <n v="648"/>
    <n v="198"/>
    <n v="110.16000000000001"/>
    <x v="0"/>
  </r>
  <r>
    <d v="2021-11-03T00:00:00"/>
    <x v="6"/>
    <n v="45"/>
    <s v="MIÉRCOLES"/>
    <x v="9"/>
    <x v="9"/>
    <n v="1440"/>
    <n v="90"/>
    <n v="244.8"/>
    <x v="0"/>
  </r>
  <r>
    <d v="2021-11-03T00:00:00"/>
    <x v="6"/>
    <n v="45"/>
    <s v="MIÉRCOLES"/>
    <x v="10"/>
    <x v="10"/>
    <n v="720"/>
    <n v="120"/>
    <n v="122.4"/>
    <x v="0"/>
  </r>
  <r>
    <d v="2021-11-03T00:00:00"/>
    <x v="6"/>
    <n v="45"/>
    <s v="MIÉRCOLES"/>
    <x v="11"/>
    <x v="11"/>
    <n v="1440"/>
    <n v="90"/>
    <n v="244.8"/>
    <x v="0"/>
  </r>
  <r>
    <d v="2021-11-03T00:00:00"/>
    <x v="6"/>
    <n v="45"/>
    <s v="MIÉRCOLES"/>
    <x v="25"/>
    <x v="25"/>
    <n v="2925"/>
    <n v="225"/>
    <n v="1228.5"/>
    <x v="0"/>
  </r>
  <r>
    <d v="2021-11-03T00:00:00"/>
    <x v="6"/>
    <n v="45"/>
    <s v="MIÉRCOLES"/>
    <x v="12"/>
    <x v="12"/>
    <n v="1125"/>
    <n v="225"/>
    <n v="450"/>
    <x v="0"/>
  </r>
  <r>
    <d v="2021-11-03T00:00:00"/>
    <x v="6"/>
    <n v="45"/>
    <s v="MIÉRCOLES"/>
    <x v="19"/>
    <x v="19"/>
    <n v="1350"/>
    <n v="225"/>
    <n v="540"/>
    <x v="0"/>
  </r>
  <r>
    <d v="2021-11-03T00:00:00"/>
    <x v="6"/>
    <n v="45"/>
    <s v="MIÉRCOLES"/>
    <x v="42"/>
    <x v="42"/>
    <n v="1250"/>
    <n v="420"/>
    <n v="525"/>
    <x v="0"/>
  </r>
  <r>
    <d v="2021-11-03T00:00:00"/>
    <x v="6"/>
    <n v="45"/>
    <s v="MIÉRCOLES"/>
    <x v="43"/>
    <x v="43"/>
    <n v="1250"/>
    <n v="420"/>
    <n v="525"/>
    <x v="0"/>
  </r>
  <r>
    <d v="2021-11-03T00:00:00"/>
    <x v="6"/>
    <n v="45"/>
    <s v="MIÉRCOLES"/>
    <x v="40"/>
    <x v="40"/>
    <n v="448"/>
    <n v="240"/>
    <n v="179.20000000000002"/>
    <x v="0"/>
  </r>
  <r>
    <d v="2021-11-04T00:00:00"/>
    <x v="6"/>
    <n v="45"/>
    <s v="JUEVES"/>
    <x v="5"/>
    <x v="5"/>
    <n v="486"/>
    <n v="162"/>
    <n v="82.62"/>
    <x v="0"/>
  </r>
  <r>
    <d v="2021-11-04T00:00:00"/>
    <x v="6"/>
    <n v="45"/>
    <s v="JUEVES"/>
    <x v="25"/>
    <x v="25"/>
    <n v="1575"/>
    <n v="225"/>
    <n v="661.5"/>
    <x v="0"/>
  </r>
  <r>
    <d v="2021-11-04T00:00:00"/>
    <x v="6"/>
    <n v="45"/>
    <s v="JUEVES"/>
    <x v="35"/>
    <x v="35"/>
    <n v="540"/>
    <n v="180"/>
    <n v="226.79999999999998"/>
    <x v="0"/>
  </r>
  <r>
    <d v="2021-11-04T00:00:00"/>
    <x v="6"/>
    <n v="45"/>
    <s v="JUEVES"/>
    <x v="22"/>
    <x v="22"/>
    <n v="1386"/>
    <n v="198"/>
    <n v="235.62"/>
    <x v="0"/>
  </r>
  <r>
    <d v="2021-11-04T00:00:00"/>
    <x v="6"/>
    <n v="45"/>
    <s v="JUEVES"/>
    <x v="3"/>
    <x v="3"/>
    <n v="990"/>
    <n v="198"/>
    <n v="168.3"/>
    <x v="0"/>
  </r>
  <r>
    <d v="2021-11-04T00:00:00"/>
    <x v="6"/>
    <n v="45"/>
    <s v="JUEVES"/>
    <x v="10"/>
    <x v="10"/>
    <n v="3360"/>
    <n v="120"/>
    <n v="571.20000000000005"/>
    <x v="0"/>
  </r>
  <r>
    <d v="2021-11-04T00:00:00"/>
    <x v="6"/>
    <n v="45"/>
    <s v="JUEVES"/>
    <x v="11"/>
    <x v="11"/>
    <n v="2250"/>
    <n v="90"/>
    <n v="382.5"/>
    <x v="0"/>
  </r>
  <r>
    <d v="2021-11-04T00:00:00"/>
    <x v="6"/>
    <n v="45"/>
    <s v="JUEVES"/>
    <x v="28"/>
    <x v="28"/>
    <n v="90"/>
    <n v="30"/>
    <n v="20.7"/>
    <x v="0"/>
  </r>
  <r>
    <d v="2021-11-04T00:00:00"/>
    <x v="6"/>
    <n v="45"/>
    <s v="JUEVES"/>
    <x v="33"/>
    <x v="33"/>
    <n v="200"/>
    <n v="40"/>
    <n v="46"/>
    <x v="0"/>
  </r>
  <r>
    <d v="2021-11-04T00:00:00"/>
    <x v="6"/>
    <n v="45"/>
    <s v="JUEVES"/>
    <x v="14"/>
    <x v="14"/>
    <n v="240"/>
    <n v="40"/>
    <n v="55.2"/>
    <x v="0"/>
  </r>
  <r>
    <d v="2021-11-04T00:00:00"/>
    <x v="6"/>
    <n v="45"/>
    <s v="JUEVES"/>
    <x v="15"/>
    <x v="15"/>
    <n v="100"/>
    <n v="50"/>
    <n v="40"/>
    <x v="0"/>
  </r>
  <r>
    <d v="2021-11-04T00:00:00"/>
    <x v="6"/>
    <n v="45"/>
    <s v="JUEVES"/>
    <x v="38"/>
    <x v="38"/>
    <n v="112"/>
    <n v="112"/>
    <n v="44.800000000000004"/>
    <x v="0"/>
  </r>
  <r>
    <d v="2021-11-04T00:00:00"/>
    <x v="6"/>
    <n v="45"/>
    <s v="JUEVES"/>
    <x v="0"/>
    <x v="0"/>
    <n v="384"/>
    <n v="48"/>
    <n v="153.60000000000002"/>
    <x v="0"/>
  </r>
  <r>
    <d v="2021-11-04T00:00:00"/>
    <x v="6"/>
    <n v="45"/>
    <s v="JUEVES"/>
    <x v="16"/>
    <x v="16"/>
    <n v="360"/>
    <n v="180"/>
    <n v="151.19999999999999"/>
    <x v="0"/>
  </r>
  <r>
    <d v="2021-11-04T00:00:00"/>
    <x v="6"/>
    <n v="45"/>
    <s v="JUEVES"/>
    <x v="1"/>
    <x v="1"/>
    <n v="1512"/>
    <n v="198"/>
    <n v="257.04000000000002"/>
    <x v="0"/>
  </r>
  <r>
    <d v="2021-11-04T00:00:00"/>
    <x v="6"/>
    <n v="45"/>
    <s v="JUEVES"/>
    <x v="4"/>
    <x v="4"/>
    <n v="324"/>
    <n v="162"/>
    <n v="55.080000000000005"/>
    <x v="0"/>
  </r>
  <r>
    <d v="2021-11-04T00:00:00"/>
    <x v="6"/>
    <n v="45"/>
    <s v="JUEVES"/>
    <x v="5"/>
    <x v="5"/>
    <n v="486"/>
    <n v="162"/>
    <n v="82.62"/>
    <x v="0"/>
  </r>
  <r>
    <d v="2021-11-04T00:00:00"/>
    <x v="6"/>
    <n v="45"/>
    <s v="JUEVES"/>
    <x v="6"/>
    <x v="6"/>
    <n v="600"/>
    <n v="120"/>
    <n v="102.00000000000001"/>
    <x v="0"/>
  </r>
  <r>
    <d v="2021-11-04T00:00:00"/>
    <x v="6"/>
    <n v="45"/>
    <s v="JUEVES"/>
    <x v="7"/>
    <x v="7"/>
    <n v="1512"/>
    <n v="198"/>
    <n v="257.04000000000002"/>
    <x v="0"/>
  </r>
  <r>
    <d v="2021-11-04T00:00:00"/>
    <x v="6"/>
    <n v="45"/>
    <s v="JUEVES"/>
    <x v="8"/>
    <x v="8"/>
    <n v="648"/>
    <n v="198"/>
    <n v="110.16000000000001"/>
    <x v="0"/>
  </r>
  <r>
    <d v="2021-11-04T00:00:00"/>
    <x v="6"/>
    <n v="45"/>
    <s v="JUEVES"/>
    <x v="9"/>
    <x v="9"/>
    <n v="1170"/>
    <n v="90"/>
    <n v="198.9"/>
    <x v="0"/>
  </r>
  <r>
    <d v="2021-11-04T00:00:00"/>
    <x v="6"/>
    <n v="45"/>
    <s v="JUEVES"/>
    <x v="26"/>
    <x v="26"/>
    <n v="1440"/>
    <n v="90"/>
    <n v="244.8"/>
    <x v="0"/>
  </r>
  <r>
    <d v="2021-11-04T00:00:00"/>
    <x v="6"/>
    <n v="45"/>
    <s v="JUEVES"/>
    <x v="23"/>
    <x v="23"/>
    <n v="900"/>
    <n v="90"/>
    <n v="153"/>
    <x v="0"/>
  </r>
  <r>
    <d v="2021-11-04T00:00:00"/>
    <x v="6"/>
    <n v="45"/>
    <s v="JUEVES"/>
    <x v="20"/>
    <x v="20"/>
    <n v="450"/>
    <n v="90"/>
    <n v="76.5"/>
    <x v="0"/>
  </r>
  <r>
    <d v="2021-11-04T00:00:00"/>
    <x v="6"/>
    <n v="45"/>
    <s v="JUEVES"/>
    <x v="35"/>
    <x v="35"/>
    <n v="540"/>
    <n v="180"/>
    <n v="226.79999999999998"/>
    <x v="0"/>
  </r>
  <r>
    <d v="2021-11-04T00:00:00"/>
    <x v="6"/>
    <n v="45"/>
    <s v="JUEVES"/>
    <x v="42"/>
    <x v="42"/>
    <n v="1250"/>
    <n v="420"/>
    <n v="525"/>
    <x v="0"/>
  </r>
  <r>
    <d v="2021-11-04T00:00:00"/>
    <x v="6"/>
    <n v="45"/>
    <s v="JUEVES"/>
    <x v="43"/>
    <x v="43"/>
    <n v="1250"/>
    <n v="420"/>
    <n v="525"/>
    <x v="0"/>
  </r>
  <r>
    <d v="2021-11-04T00:00:00"/>
    <x v="6"/>
    <n v="45"/>
    <s v="JUEVES"/>
    <x v="34"/>
    <x v="34"/>
    <n v="216"/>
    <n v="198"/>
    <n v="36.720000000000006"/>
    <x v="0"/>
  </r>
  <r>
    <d v="2021-11-04T00:00:00"/>
    <x v="6"/>
    <n v="45"/>
    <s v="JUEVES"/>
    <x v="36"/>
    <x v="36"/>
    <n v="180"/>
    <n v="90"/>
    <n v="72"/>
    <x v="0"/>
  </r>
  <r>
    <d v="2021-11-05T00:00:00"/>
    <x v="6"/>
    <n v="45"/>
    <s v="VIERNES"/>
    <x v="1"/>
    <x v="1"/>
    <n v="3240"/>
    <n v="198"/>
    <n v="550.80000000000007"/>
    <x v="0"/>
  </r>
  <r>
    <d v="2021-11-05T00:00:00"/>
    <x v="6"/>
    <n v="45"/>
    <s v="VIERNES"/>
    <x v="2"/>
    <x v="2"/>
    <n v="2592"/>
    <n v="198"/>
    <n v="440.64000000000004"/>
    <x v="0"/>
  </r>
  <r>
    <d v="2021-11-05T00:00:00"/>
    <x v="6"/>
    <n v="45"/>
    <s v="VIERNES"/>
    <x v="11"/>
    <x v="11"/>
    <n v="2880"/>
    <n v="90"/>
    <n v="489.6"/>
    <x v="0"/>
  </r>
  <r>
    <d v="2021-11-05T00:00:00"/>
    <x v="6"/>
    <n v="45"/>
    <s v="VIERNES"/>
    <x v="23"/>
    <x v="23"/>
    <n v="900"/>
    <n v="90"/>
    <n v="153"/>
    <x v="0"/>
  </r>
  <r>
    <d v="2021-11-05T00:00:00"/>
    <x v="6"/>
    <n v="45"/>
    <s v="VIERNES"/>
    <x v="9"/>
    <x v="9"/>
    <n v="900"/>
    <n v="90"/>
    <n v="153"/>
    <x v="0"/>
  </r>
  <r>
    <d v="2021-11-05T00:00:00"/>
    <x v="6"/>
    <n v="45"/>
    <s v="VIERNES"/>
    <x v="20"/>
    <x v="20"/>
    <n v="450"/>
    <n v="90"/>
    <n v="76.5"/>
    <x v="0"/>
  </r>
  <r>
    <d v="2021-11-05T00:00:00"/>
    <x v="6"/>
    <n v="45"/>
    <s v="VIERNES"/>
    <x v="6"/>
    <x v="6"/>
    <n v="1920"/>
    <n v="120"/>
    <n v="326.40000000000003"/>
    <x v="0"/>
  </r>
  <r>
    <d v="2021-11-05T00:00:00"/>
    <x v="6"/>
    <n v="45"/>
    <s v="VIERNES"/>
    <x v="4"/>
    <x v="4"/>
    <n v="810"/>
    <n v="162"/>
    <n v="137.70000000000002"/>
    <x v="0"/>
  </r>
  <r>
    <d v="2021-11-05T00:00:00"/>
    <x v="6"/>
    <n v="45"/>
    <s v="VIERNES"/>
    <x v="3"/>
    <x v="3"/>
    <n v="594"/>
    <n v="198"/>
    <n v="100.98"/>
    <x v="0"/>
  </r>
  <r>
    <d v="2021-11-05T00:00:00"/>
    <x v="6"/>
    <n v="45"/>
    <s v="VIERNES"/>
    <x v="8"/>
    <x v="8"/>
    <n v="1080"/>
    <n v="198"/>
    <n v="183.60000000000002"/>
    <x v="0"/>
  </r>
  <r>
    <d v="2021-11-05T00:00:00"/>
    <x v="6"/>
    <n v="45"/>
    <s v="VIERNES"/>
    <x v="34"/>
    <x v="34"/>
    <n v="1080"/>
    <n v="198"/>
    <n v="183.60000000000002"/>
    <x v="0"/>
  </r>
  <r>
    <d v="2021-11-05T00:00:00"/>
    <x v="6"/>
    <n v="45"/>
    <s v="VIERNES"/>
    <x v="0"/>
    <x v="0"/>
    <n v="240"/>
    <n v="48"/>
    <n v="96"/>
    <x v="0"/>
  </r>
  <r>
    <d v="2021-11-05T00:00:00"/>
    <x v="6"/>
    <n v="45"/>
    <s v="VIERNES"/>
    <x v="28"/>
    <x v="28"/>
    <n v="150"/>
    <n v="30"/>
    <n v="34.5"/>
    <x v="0"/>
  </r>
  <r>
    <d v="2021-11-05T00:00:00"/>
    <x v="6"/>
    <n v="45"/>
    <s v="VIERNES"/>
    <x v="33"/>
    <x v="33"/>
    <n v="200"/>
    <n v="40"/>
    <n v="46"/>
    <x v="0"/>
  </r>
  <r>
    <d v="2021-11-05T00:00:00"/>
    <x v="6"/>
    <n v="45"/>
    <s v="VIERNES"/>
    <x v="5"/>
    <x v="5"/>
    <n v="972"/>
    <n v="162"/>
    <n v="165.24"/>
    <x v="0"/>
  </r>
  <r>
    <d v="2021-11-05T00:00:00"/>
    <x v="6"/>
    <n v="45"/>
    <s v="VIERNES"/>
    <x v="38"/>
    <x v="38"/>
    <n v="336"/>
    <n v="112"/>
    <n v="134.4"/>
    <x v="0"/>
  </r>
  <r>
    <d v="2021-11-05T00:00:00"/>
    <x v="6"/>
    <n v="45"/>
    <s v="VIERNES"/>
    <x v="25"/>
    <x v="25"/>
    <n v="1350"/>
    <n v="225"/>
    <n v="567"/>
    <x v="0"/>
  </r>
  <r>
    <d v="2021-11-05T00:00:00"/>
    <x v="6"/>
    <n v="45"/>
    <s v="VIERNES"/>
    <x v="29"/>
    <x v="29"/>
    <n v="1080"/>
    <n v="198"/>
    <n v="183.60000000000002"/>
    <x v="0"/>
  </r>
  <r>
    <d v="2021-11-05T00:00:00"/>
    <x v="6"/>
    <n v="45"/>
    <s v="VIERNES"/>
    <x v="40"/>
    <x v="40"/>
    <n v="560"/>
    <n v="240"/>
    <n v="224"/>
    <x v="0"/>
  </r>
  <r>
    <d v="2021-11-05T00:00:00"/>
    <x v="6"/>
    <n v="45"/>
    <s v="VIERNES"/>
    <x v="36"/>
    <x v="36"/>
    <n v="540"/>
    <n v="90"/>
    <n v="216"/>
    <x v="0"/>
  </r>
  <r>
    <d v="2021-11-05T00:00:00"/>
    <x v="6"/>
    <n v="45"/>
    <s v="VIERNES"/>
    <x v="16"/>
    <x v="16"/>
    <n v="1080"/>
    <n v="180"/>
    <n v="453.59999999999997"/>
    <x v="0"/>
  </r>
  <r>
    <d v="2021-11-05T00:00:00"/>
    <x v="6"/>
    <n v="45"/>
    <s v="VIERNES"/>
    <x v="38"/>
    <x v="38"/>
    <n v="112"/>
    <n v="112"/>
    <n v="44.800000000000004"/>
    <x v="0"/>
  </r>
  <r>
    <d v="2021-11-05T00:00:00"/>
    <x v="6"/>
    <n v="45"/>
    <s v="VIERNES"/>
    <x v="35"/>
    <x v="35"/>
    <n v="1080"/>
    <n v="180"/>
    <n v="453.59999999999997"/>
    <x v="0"/>
  </r>
  <r>
    <d v="2021-11-05T00:00:00"/>
    <x v="6"/>
    <n v="45"/>
    <s v="VIERNES"/>
    <x v="25"/>
    <x v="25"/>
    <n v="2250"/>
    <n v="225"/>
    <n v="945"/>
    <x v="0"/>
  </r>
  <r>
    <d v="2021-11-06T00:00:00"/>
    <x v="6"/>
    <n v="46"/>
    <s v="SÁBADO"/>
    <x v="0"/>
    <x v="0"/>
    <n v="480"/>
    <n v="48"/>
    <n v="192"/>
    <x v="0"/>
  </r>
  <r>
    <d v="2021-11-06T00:00:00"/>
    <x v="6"/>
    <n v="46"/>
    <s v="SÁBADO"/>
    <x v="13"/>
    <x v="13"/>
    <n v="180"/>
    <n v="30"/>
    <n v="72"/>
    <x v="0"/>
  </r>
  <r>
    <d v="2021-11-06T00:00:00"/>
    <x v="6"/>
    <n v="46"/>
    <s v="SÁBADO"/>
    <x v="28"/>
    <x v="28"/>
    <n v="210"/>
    <n v="30"/>
    <n v="48.300000000000004"/>
    <x v="0"/>
  </r>
  <r>
    <d v="2021-11-06T00:00:00"/>
    <x v="6"/>
    <n v="46"/>
    <s v="SÁBADO"/>
    <x v="14"/>
    <x v="14"/>
    <n v="200"/>
    <n v="40"/>
    <n v="46"/>
    <x v="0"/>
  </r>
  <r>
    <d v="2021-11-06T00:00:00"/>
    <x v="6"/>
    <n v="46"/>
    <s v="SÁBADO"/>
    <x v="15"/>
    <x v="15"/>
    <n v="200"/>
    <n v="50"/>
    <n v="80"/>
    <x v="0"/>
  </r>
  <r>
    <d v="2021-11-06T00:00:00"/>
    <x v="6"/>
    <n v="46"/>
    <s v="SÁBADO"/>
    <x v="19"/>
    <x v="19"/>
    <n v="1125"/>
    <n v="225"/>
    <n v="450"/>
    <x v="0"/>
  </r>
  <r>
    <d v="2021-11-06T00:00:00"/>
    <x v="6"/>
    <n v="46"/>
    <s v="SÁBADO"/>
    <x v="12"/>
    <x v="12"/>
    <n v="1125"/>
    <n v="225"/>
    <n v="450"/>
    <x v="0"/>
  </r>
  <r>
    <d v="2021-11-06T00:00:00"/>
    <x v="6"/>
    <n v="46"/>
    <s v="SÁBADO"/>
    <x v="5"/>
    <x v="5"/>
    <n v="810"/>
    <n v="162"/>
    <n v="137.70000000000002"/>
    <x v="0"/>
  </r>
  <r>
    <d v="2021-11-06T00:00:00"/>
    <x v="6"/>
    <n v="46"/>
    <s v="SÁBADO"/>
    <x v="10"/>
    <x v="10"/>
    <n v="3120"/>
    <n v="120"/>
    <n v="530.40000000000009"/>
    <x v="0"/>
  </r>
  <r>
    <d v="2021-11-06T00:00:00"/>
    <x v="6"/>
    <n v="46"/>
    <s v="SÁBADO"/>
    <x v="17"/>
    <x v="17"/>
    <n v="1320"/>
    <n v="120"/>
    <n v="224.4"/>
    <x v="0"/>
  </r>
  <r>
    <d v="2021-11-06T00:00:00"/>
    <x v="6"/>
    <n v="46"/>
    <s v="SÁBADO"/>
    <x v="6"/>
    <x v="6"/>
    <n v="360"/>
    <n v="120"/>
    <n v="61.2"/>
    <x v="0"/>
  </r>
  <r>
    <d v="2021-11-06T00:00:00"/>
    <x v="6"/>
    <n v="46"/>
    <s v="SÁBADO"/>
    <x v="20"/>
    <x v="20"/>
    <n v="270"/>
    <n v="90"/>
    <n v="45.900000000000006"/>
    <x v="0"/>
  </r>
  <r>
    <d v="2021-11-06T00:00:00"/>
    <x v="6"/>
    <n v="46"/>
    <s v="SÁBADO"/>
    <x v="26"/>
    <x v="26"/>
    <n v="1170"/>
    <n v="90"/>
    <n v="198.9"/>
    <x v="0"/>
  </r>
  <r>
    <d v="2021-11-06T00:00:00"/>
    <x v="6"/>
    <n v="46"/>
    <s v="SÁBADO"/>
    <x v="9"/>
    <x v="9"/>
    <n v="900"/>
    <n v="90"/>
    <n v="153"/>
    <x v="0"/>
  </r>
  <r>
    <d v="2021-11-06T00:00:00"/>
    <x v="6"/>
    <n v="46"/>
    <s v="SÁBADO"/>
    <x v="11"/>
    <x v="11"/>
    <n v="1800"/>
    <n v="90"/>
    <n v="306"/>
    <x v="0"/>
  </r>
  <r>
    <d v="2021-11-06T00:00:00"/>
    <x v="6"/>
    <n v="46"/>
    <s v="SÁBADO"/>
    <x v="4"/>
    <x v="4"/>
    <n v="972"/>
    <n v="162"/>
    <n v="165.24"/>
    <x v="0"/>
  </r>
  <r>
    <d v="2021-11-06T00:00:00"/>
    <x v="6"/>
    <n v="46"/>
    <s v="SÁBADO"/>
    <x v="7"/>
    <x v="7"/>
    <n v="216"/>
    <n v="198"/>
    <n v="36.720000000000006"/>
    <x v="0"/>
  </r>
  <r>
    <d v="2021-11-06T00:00:00"/>
    <x v="6"/>
    <n v="46"/>
    <s v="SÁBADO"/>
    <x v="22"/>
    <x v="22"/>
    <n v="990"/>
    <n v="198"/>
    <n v="168.3"/>
    <x v="0"/>
  </r>
  <r>
    <d v="2021-11-06T00:00:00"/>
    <x v="6"/>
    <n v="46"/>
    <s v="SÁBADO"/>
    <x v="16"/>
    <x v="16"/>
    <n v="900"/>
    <n v="180"/>
    <n v="378"/>
    <x v="0"/>
  </r>
  <r>
    <d v="2021-11-06T00:00:00"/>
    <x v="6"/>
    <n v="46"/>
    <s v="SÁBADO"/>
    <x v="36"/>
    <x v="36"/>
    <n v="360"/>
    <n v="90"/>
    <n v="144"/>
    <x v="0"/>
  </r>
  <r>
    <d v="2021-11-06T00:00:00"/>
    <x v="6"/>
    <n v="46"/>
    <s v="SÁBADO"/>
    <x v="35"/>
    <x v="35"/>
    <n v="900"/>
    <n v="180"/>
    <n v="378"/>
    <x v="0"/>
  </r>
  <r>
    <d v="2021-11-06T00:00:00"/>
    <x v="6"/>
    <n v="46"/>
    <s v="SÁBADO"/>
    <x v="25"/>
    <x v="25"/>
    <n v="1350"/>
    <n v="225"/>
    <n v="567"/>
    <x v="0"/>
  </r>
  <r>
    <d v="2021-11-06T00:00:00"/>
    <x v="6"/>
    <n v="46"/>
    <s v="SÁBADO"/>
    <x v="3"/>
    <x v="3"/>
    <n v="792"/>
    <n v="198"/>
    <n v="134.64000000000001"/>
    <x v="0"/>
  </r>
  <r>
    <d v="2021-11-06T00:00:00"/>
    <x v="6"/>
    <n v="46"/>
    <s v="SÁBADO"/>
    <x v="3"/>
    <x v="3"/>
    <n v="990"/>
    <n v="198"/>
    <n v="168.3"/>
    <x v="0"/>
  </r>
  <r>
    <d v="2021-11-08T00:00:00"/>
    <x v="6"/>
    <n v="46"/>
    <s v="LUNES"/>
    <x v="15"/>
    <x v="15"/>
    <n v="350"/>
    <n v="50"/>
    <n v="140"/>
    <x v="0"/>
  </r>
  <r>
    <d v="2021-11-08T00:00:00"/>
    <x v="6"/>
    <n v="46"/>
    <s v="LUNES"/>
    <x v="28"/>
    <x v="28"/>
    <n v="120"/>
    <n v="30"/>
    <n v="27.6"/>
    <x v="0"/>
  </r>
  <r>
    <d v="2021-11-08T00:00:00"/>
    <x v="6"/>
    <n v="46"/>
    <s v="LUNES"/>
    <x v="33"/>
    <x v="33"/>
    <n v="280"/>
    <n v="40"/>
    <n v="64.400000000000006"/>
    <x v="0"/>
  </r>
  <r>
    <d v="2021-11-08T00:00:00"/>
    <x v="6"/>
    <n v="46"/>
    <s v="LUNES"/>
    <x v="17"/>
    <x v="17"/>
    <n v="1080"/>
    <n v="120"/>
    <n v="183.60000000000002"/>
    <x v="0"/>
  </r>
  <r>
    <d v="2021-11-08T00:00:00"/>
    <x v="6"/>
    <n v="46"/>
    <s v="LUNES"/>
    <x v="11"/>
    <x v="11"/>
    <n v="1440"/>
    <n v="90"/>
    <n v="244.8"/>
    <x v="0"/>
  </r>
  <r>
    <d v="2021-11-08T00:00:00"/>
    <x v="6"/>
    <n v="46"/>
    <s v="LUNES"/>
    <x v="4"/>
    <x v="4"/>
    <n v="324"/>
    <n v="162"/>
    <n v="55.080000000000005"/>
    <x v="0"/>
  </r>
  <r>
    <d v="2021-11-08T00:00:00"/>
    <x v="6"/>
    <n v="46"/>
    <s v="LUNES"/>
    <x v="6"/>
    <x v="6"/>
    <n v="1800"/>
    <n v="120"/>
    <n v="306"/>
    <x v="0"/>
  </r>
  <r>
    <d v="2021-11-08T00:00:00"/>
    <x v="6"/>
    <n v="46"/>
    <s v="LUNES"/>
    <x v="9"/>
    <x v="9"/>
    <n v="1440"/>
    <n v="90"/>
    <n v="244.8"/>
    <x v="0"/>
  </r>
  <r>
    <d v="2021-11-08T00:00:00"/>
    <x v="6"/>
    <n v="46"/>
    <s v="LUNES"/>
    <x v="10"/>
    <x v="10"/>
    <n v="1920"/>
    <n v="120"/>
    <n v="326.40000000000003"/>
    <x v="0"/>
  </r>
  <r>
    <d v="2021-11-08T00:00:00"/>
    <x v="6"/>
    <n v="46"/>
    <s v="LUNES"/>
    <x v="23"/>
    <x v="23"/>
    <n v="720"/>
    <n v="90"/>
    <n v="122.4"/>
    <x v="0"/>
  </r>
  <r>
    <d v="2021-11-08T00:00:00"/>
    <x v="6"/>
    <n v="46"/>
    <s v="LUNES"/>
    <x v="16"/>
    <x v="16"/>
    <n v="1620"/>
    <n v="180"/>
    <n v="680.4"/>
    <x v="0"/>
  </r>
  <r>
    <d v="2021-11-08T00:00:00"/>
    <x v="6"/>
    <n v="46"/>
    <s v="LUNES"/>
    <x v="12"/>
    <x v="12"/>
    <n v="450"/>
    <n v="225"/>
    <n v="180"/>
    <x v="0"/>
  </r>
  <r>
    <d v="2021-11-08T00:00:00"/>
    <x v="6"/>
    <n v="46"/>
    <s v="LUNES"/>
    <x v="36"/>
    <x v="36"/>
    <n v="270"/>
    <n v="90"/>
    <n v="108"/>
    <x v="0"/>
  </r>
  <r>
    <d v="2021-11-08T00:00:00"/>
    <x v="6"/>
    <n v="46"/>
    <s v="LUNES"/>
    <x v="35"/>
    <x v="35"/>
    <n v="900"/>
    <n v="180"/>
    <n v="378"/>
    <x v="0"/>
  </r>
  <r>
    <d v="2021-11-08T00:00:00"/>
    <x v="6"/>
    <n v="46"/>
    <s v="LUNES"/>
    <x v="1"/>
    <x v="1"/>
    <n v="2160"/>
    <n v="198"/>
    <n v="367.20000000000005"/>
    <x v="0"/>
  </r>
  <r>
    <d v="2021-11-08T00:00:00"/>
    <x v="6"/>
    <n v="46"/>
    <s v="LUNES"/>
    <x v="2"/>
    <x v="2"/>
    <n v="1944"/>
    <n v="198"/>
    <n v="330.48"/>
    <x v="0"/>
  </r>
  <r>
    <d v="2021-11-08T00:00:00"/>
    <x v="6"/>
    <n v="46"/>
    <s v="LUNES"/>
    <x v="7"/>
    <x v="7"/>
    <n v="1512"/>
    <n v="198"/>
    <n v="257.04000000000002"/>
    <x v="0"/>
  </r>
  <r>
    <d v="2021-11-08T00:00:00"/>
    <x v="6"/>
    <n v="46"/>
    <s v="LUNES"/>
    <x v="8"/>
    <x v="8"/>
    <n v="1080"/>
    <n v="198"/>
    <n v="183.60000000000002"/>
    <x v="0"/>
  </r>
  <r>
    <d v="2021-11-08T00:00:00"/>
    <x v="6"/>
    <n v="46"/>
    <s v="LUNES"/>
    <x v="0"/>
    <x v="0"/>
    <n v="1200"/>
    <n v="48"/>
    <n v="480"/>
    <x v="0"/>
  </r>
  <r>
    <d v="2021-11-08T00:00:00"/>
    <x v="6"/>
    <n v="46"/>
    <s v="LUNES"/>
    <x v="43"/>
    <x v="43"/>
    <n v="250"/>
    <n v="420"/>
    <n v="105"/>
    <x v="0"/>
  </r>
  <r>
    <d v="2021-11-08T00:00:00"/>
    <x v="6"/>
    <n v="46"/>
    <s v="LUNES"/>
    <x v="42"/>
    <x v="42"/>
    <n v="250"/>
    <n v="420"/>
    <n v="105"/>
    <x v="0"/>
  </r>
  <r>
    <d v="2021-11-08T00:00:00"/>
    <x v="6"/>
    <n v="46"/>
    <s v="LUNES"/>
    <x v="40"/>
    <x v="40"/>
    <n v="896"/>
    <n v="240"/>
    <n v="358.40000000000003"/>
    <x v="0"/>
  </r>
  <r>
    <d v="2021-11-08T00:00:00"/>
    <x v="6"/>
    <n v="46"/>
    <s v="LUNES"/>
    <x v="7"/>
    <x v="7"/>
    <n v="2160"/>
    <n v="198"/>
    <n v="367.20000000000005"/>
    <x v="0"/>
  </r>
  <r>
    <d v="2021-11-08T00:00:00"/>
    <x v="6"/>
    <n v="46"/>
    <s v="LUNES"/>
    <x v="8"/>
    <x v="8"/>
    <n v="648"/>
    <n v="198"/>
    <n v="110.16000000000001"/>
    <x v="0"/>
  </r>
  <r>
    <d v="2021-11-08T00:00:00"/>
    <x v="6"/>
    <n v="46"/>
    <s v="LUNES"/>
    <x v="5"/>
    <x v="5"/>
    <n v="810"/>
    <n v="162"/>
    <n v="137.70000000000002"/>
    <x v="0"/>
  </r>
  <r>
    <d v="2021-11-08T00:00:00"/>
    <x v="6"/>
    <n v="46"/>
    <s v="LUNES"/>
    <x v="42"/>
    <x v="42"/>
    <n v="250"/>
    <n v="420"/>
    <n v="105"/>
    <x v="0"/>
  </r>
  <r>
    <d v="2021-11-08T00:00:00"/>
    <x v="6"/>
    <n v="46"/>
    <s v="LUNES"/>
    <x v="43"/>
    <x v="43"/>
    <n v="250"/>
    <n v="420"/>
    <n v="105"/>
    <x v="0"/>
  </r>
  <r>
    <d v="2021-11-09T00:00:00"/>
    <x v="6"/>
    <n v="46"/>
    <s v="MARTES"/>
    <x v="6"/>
    <x v="6"/>
    <n v="1800"/>
    <n v="120"/>
    <n v="306"/>
    <x v="0"/>
  </r>
  <r>
    <d v="2021-11-09T00:00:00"/>
    <x v="6"/>
    <n v="46"/>
    <s v="MARTES"/>
    <x v="8"/>
    <x v="8"/>
    <n v="1080"/>
    <n v="198"/>
    <n v="183.60000000000002"/>
    <x v="0"/>
  </r>
  <r>
    <d v="2021-11-09T00:00:00"/>
    <x v="6"/>
    <n v="46"/>
    <s v="MARTES"/>
    <x v="3"/>
    <x v="3"/>
    <n v="792"/>
    <n v="198"/>
    <n v="134.64000000000001"/>
    <x v="0"/>
  </r>
  <r>
    <d v="2021-11-09T00:00:00"/>
    <x v="6"/>
    <n v="46"/>
    <s v="MARTES"/>
    <x v="2"/>
    <x v="2"/>
    <n v="1512"/>
    <n v="198"/>
    <n v="257.04000000000002"/>
    <x v="0"/>
  </r>
  <r>
    <d v="2021-11-09T00:00:00"/>
    <x v="6"/>
    <n v="46"/>
    <s v="MARTES"/>
    <x v="1"/>
    <x v="1"/>
    <n v="2160"/>
    <n v="198"/>
    <n v="367.20000000000005"/>
    <x v="0"/>
  </r>
  <r>
    <d v="2021-11-09T00:00:00"/>
    <x v="6"/>
    <n v="46"/>
    <s v="MARTES"/>
    <x v="38"/>
    <x v="38"/>
    <n v="896"/>
    <n v="112"/>
    <n v="358.40000000000003"/>
    <x v="0"/>
  </r>
  <r>
    <d v="2021-11-09T00:00:00"/>
    <x v="6"/>
    <n v="46"/>
    <s v="MARTES"/>
    <x v="43"/>
    <x v="43"/>
    <n v="1000"/>
    <n v="420"/>
    <n v="420"/>
    <x v="0"/>
  </r>
  <r>
    <d v="2021-11-09T00:00:00"/>
    <x v="6"/>
    <n v="46"/>
    <s v="MARTES"/>
    <x v="0"/>
    <x v="0"/>
    <n v="2400"/>
    <n v="48"/>
    <n v="960"/>
    <x v="0"/>
  </r>
  <r>
    <d v="2021-11-09T00:00:00"/>
    <x v="6"/>
    <n v="46"/>
    <s v="MARTES"/>
    <x v="11"/>
    <x v="11"/>
    <n v="2880"/>
    <n v="90"/>
    <n v="489.6"/>
    <x v="0"/>
  </r>
  <r>
    <d v="2021-11-09T00:00:00"/>
    <x v="6"/>
    <n v="46"/>
    <s v="MARTES"/>
    <x v="9"/>
    <x v="9"/>
    <n v="1710"/>
    <n v="90"/>
    <n v="290.70000000000005"/>
    <x v="0"/>
  </r>
  <r>
    <d v="2021-11-09T00:00:00"/>
    <x v="6"/>
    <n v="46"/>
    <s v="MARTES"/>
    <x v="35"/>
    <x v="35"/>
    <n v="900"/>
    <n v="180"/>
    <n v="378"/>
    <x v="0"/>
  </r>
  <r>
    <d v="2021-11-09T00:00:00"/>
    <x v="6"/>
    <n v="46"/>
    <s v="MARTES"/>
    <x v="28"/>
    <x v="28"/>
    <n v="150"/>
    <n v="30"/>
    <n v="34.5"/>
    <x v="0"/>
  </r>
  <r>
    <d v="2021-11-09T00:00:00"/>
    <x v="6"/>
    <n v="46"/>
    <s v="MARTES"/>
    <x v="13"/>
    <x v="13"/>
    <n v="90"/>
    <n v="30"/>
    <n v="36"/>
    <x v="0"/>
  </r>
  <r>
    <d v="2021-11-09T00:00:00"/>
    <x v="6"/>
    <n v="46"/>
    <s v="MARTES"/>
    <x v="22"/>
    <x v="22"/>
    <n v="792"/>
    <n v="198"/>
    <n v="134.64000000000001"/>
    <x v="0"/>
  </r>
  <r>
    <d v="2021-11-09T00:00:00"/>
    <x v="6"/>
    <n v="46"/>
    <s v="MARTES"/>
    <x v="17"/>
    <x v="17"/>
    <n v="1920"/>
    <n v="120"/>
    <n v="326.40000000000003"/>
    <x v="0"/>
  </r>
  <r>
    <d v="2021-11-09T00:00:00"/>
    <x v="6"/>
    <n v="46"/>
    <s v="MARTES"/>
    <x v="7"/>
    <x v="7"/>
    <n v="648"/>
    <n v="198"/>
    <n v="110.16000000000001"/>
    <x v="0"/>
  </r>
  <r>
    <d v="2021-11-09T00:00:00"/>
    <x v="6"/>
    <n v="46"/>
    <s v="MARTES"/>
    <x v="10"/>
    <x v="10"/>
    <n v="1920"/>
    <n v="120"/>
    <n v="326.40000000000003"/>
    <x v="0"/>
  </r>
  <r>
    <d v="2021-11-09T00:00:00"/>
    <x v="6"/>
    <n v="46"/>
    <s v="MARTES"/>
    <x v="25"/>
    <x v="25"/>
    <n v="1800"/>
    <n v="225"/>
    <n v="756"/>
    <x v="0"/>
  </r>
  <r>
    <d v="2021-11-09T00:00:00"/>
    <x v="6"/>
    <n v="46"/>
    <s v="MARTES"/>
    <x v="12"/>
    <x v="12"/>
    <n v="450"/>
    <n v="225"/>
    <n v="180"/>
    <x v="0"/>
  </r>
  <r>
    <d v="2021-11-10T00:00:00"/>
    <x v="6"/>
    <n v="46"/>
    <s v="MIÉRCOLES"/>
    <x v="1"/>
    <x v="1"/>
    <n v="2160"/>
    <n v="198"/>
    <n v="367.20000000000005"/>
    <x v="0"/>
  </r>
  <r>
    <d v="2021-11-10T00:00:00"/>
    <x v="6"/>
    <n v="46"/>
    <s v="MIÉRCOLES"/>
    <x v="2"/>
    <x v="2"/>
    <n v="2592"/>
    <n v="198"/>
    <n v="440.64000000000004"/>
    <x v="0"/>
  </r>
  <r>
    <d v="2021-11-10T00:00:00"/>
    <x v="6"/>
    <n v="46"/>
    <s v="MIÉRCOLES"/>
    <x v="7"/>
    <x v="7"/>
    <n v="2160"/>
    <n v="198"/>
    <n v="367.20000000000005"/>
    <x v="0"/>
  </r>
  <r>
    <d v="2021-11-10T00:00:00"/>
    <x v="6"/>
    <n v="46"/>
    <s v="MIÉRCOLES"/>
    <x v="11"/>
    <x v="11"/>
    <n v="4410"/>
    <n v="90"/>
    <n v="749.7"/>
    <x v="0"/>
  </r>
  <r>
    <d v="2021-11-10T00:00:00"/>
    <x v="6"/>
    <n v="46"/>
    <s v="MIÉRCOLES"/>
    <x v="38"/>
    <x v="38"/>
    <n v="336"/>
    <n v="112"/>
    <n v="134.4"/>
    <x v="0"/>
  </r>
  <r>
    <d v="2021-11-10T00:00:00"/>
    <x v="6"/>
    <n v="46"/>
    <s v="MIÉRCOLES"/>
    <x v="0"/>
    <x v="0"/>
    <n v="768"/>
    <n v="48"/>
    <n v="307.20000000000005"/>
    <x v="0"/>
  </r>
  <r>
    <d v="2021-11-10T00:00:00"/>
    <x v="6"/>
    <n v="46"/>
    <s v="MIÉRCOLES"/>
    <x v="12"/>
    <x v="12"/>
    <n v="900"/>
    <n v="225"/>
    <n v="360"/>
    <x v="0"/>
  </r>
  <r>
    <d v="2021-11-10T00:00:00"/>
    <x v="6"/>
    <n v="46"/>
    <s v="MIÉRCOLES"/>
    <x v="13"/>
    <x v="13"/>
    <n v="210"/>
    <n v="30"/>
    <n v="84"/>
    <x v="0"/>
  </r>
  <r>
    <d v="2021-11-10T00:00:00"/>
    <x v="6"/>
    <n v="46"/>
    <s v="MIÉRCOLES"/>
    <x v="28"/>
    <x v="28"/>
    <n v="300"/>
    <n v="30"/>
    <n v="69"/>
    <x v="0"/>
  </r>
  <r>
    <d v="2021-11-10T00:00:00"/>
    <x v="6"/>
    <n v="46"/>
    <s v="MIÉRCOLES"/>
    <x v="16"/>
    <x v="16"/>
    <n v="1080"/>
    <n v="180"/>
    <n v="453.59999999999997"/>
    <x v="0"/>
  </r>
  <r>
    <d v="2021-11-10T00:00:00"/>
    <x v="6"/>
    <n v="46"/>
    <s v="MIÉRCOLES"/>
    <x v="4"/>
    <x v="4"/>
    <n v="324"/>
    <n v="162"/>
    <n v="55.080000000000005"/>
    <x v="0"/>
  </r>
  <r>
    <d v="2021-11-10T00:00:00"/>
    <x v="6"/>
    <n v="46"/>
    <s v="MIÉRCOLES"/>
    <x v="3"/>
    <x v="3"/>
    <n v="792"/>
    <n v="198"/>
    <n v="134.64000000000001"/>
    <x v="0"/>
  </r>
  <r>
    <d v="2021-11-10T00:00:00"/>
    <x v="6"/>
    <n v="46"/>
    <s v="MIÉRCOLES"/>
    <x v="22"/>
    <x v="22"/>
    <n v="594"/>
    <n v="198"/>
    <n v="100.98"/>
    <x v="0"/>
  </r>
  <r>
    <d v="2021-11-10T00:00:00"/>
    <x v="6"/>
    <n v="46"/>
    <s v="MIÉRCOLES"/>
    <x v="8"/>
    <x v="8"/>
    <n v="1512"/>
    <n v="198"/>
    <n v="257.04000000000002"/>
    <x v="0"/>
  </r>
  <r>
    <d v="2021-11-10T00:00:00"/>
    <x v="6"/>
    <n v="46"/>
    <s v="MIÉRCOLES"/>
    <x v="15"/>
    <x v="15"/>
    <n v="400"/>
    <n v="50"/>
    <n v="160"/>
    <x v="0"/>
  </r>
  <r>
    <d v="2021-11-10T00:00:00"/>
    <x v="6"/>
    <n v="46"/>
    <s v="MIÉRCOLES"/>
    <x v="6"/>
    <x v="6"/>
    <n v="840"/>
    <n v="120"/>
    <n v="142.80000000000001"/>
    <x v="0"/>
  </r>
  <r>
    <d v="2021-11-10T00:00:00"/>
    <x v="6"/>
    <n v="46"/>
    <s v="MIÉRCOLES"/>
    <x v="17"/>
    <x v="17"/>
    <n v="120"/>
    <n v="120"/>
    <n v="20.400000000000002"/>
    <x v="0"/>
  </r>
  <r>
    <d v="2021-11-10T00:00:00"/>
    <x v="6"/>
    <n v="46"/>
    <s v="MIÉRCOLES"/>
    <x v="10"/>
    <x v="10"/>
    <n v="1920"/>
    <n v="120"/>
    <n v="326.40000000000003"/>
    <x v="0"/>
  </r>
  <r>
    <d v="2021-11-10T00:00:00"/>
    <x v="6"/>
    <n v="46"/>
    <s v="MIÉRCOLES"/>
    <x v="25"/>
    <x v="25"/>
    <n v="2250"/>
    <n v="225"/>
    <n v="945"/>
    <x v="0"/>
  </r>
  <r>
    <d v="2021-11-10T00:00:00"/>
    <x v="6"/>
    <n v="46"/>
    <s v="MIÉRCOLES"/>
    <x v="35"/>
    <x v="35"/>
    <n v="900"/>
    <n v="180"/>
    <n v="378"/>
    <x v="0"/>
  </r>
  <r>
    <d v="2021-11-10T00:00:00"/>
    <x v="6"/>
    <n v="46"/>
    <s v="MIÉRCOLES"/>
    <x v="25"/>
    <x v="25"/>
    <n v="225"/>
    <n v="225"/>
    <n v="94.5"/>
    <x v="0"/>
  </r>
  <r>
    <d v="2021-11-11T00:00:00"/>
    <x v="6"/>
    <n v="46"/>
    <s v="JUEVES"/>
    <x v="13"/>
    <x v="13"/>
    <n v="90"/>
    <n v="30"/>
    <n v="36"/>
    <x v="0"/>
  </r>
  <r>
    <d v="2021-11-11T00:00:00"/>
    <x v="6"/>
    <n v="46"/>
    <s v="JUEVES"/>
    <x v="15"/>
    <x v="15"/>
    <n v="50"/>
    <n v="50"/>
    <n v="20"/>
    <x v="0"/>
  </r>
  <r>
    <d v="2021-11-11T00:00:00"/>
    <x v="6"/>
    <n v="46"/>
    <s v="JUEVES"/>
    <x v="0"/>
    <x v="0"/>
    <n v="576"/>
    <n v="48"/>
    <n v="230.4"/>
    <x v="0"/>
  </r>
  <r>
    <d v="2021-11-11T00:00:00"/>
    <x v="6"/>
    <n v="46"/>
    <s v="JUEVES"/>
    <x v="1"/>
    <x v="1"/>
    <n v="3024"/>
    <n v="198"/>
    <n v="514.08000000000004"/>
    <x v="0"/>
  </r>
  <r>
    <d v="2021-11-11T00:00:00"/>
    <x v="6"/>
    <n v="46"/>
    <s v="JUEVES"/>
    <x v="7"/>
    <x v="7"/>
    <n v="864"/>
    <n v="198"/>
    <n v="146.88000000000002"/>
    <x v="0"/>
  </r>
  <r>
    <d v="2021-11-11T00:00:00"/>
    <x v="6"/>
    <n v="46"/>
    <s v="JUEVES"/>
    <x v="8"/>
    <x v="8"/>
    <n v="1296"/>
    <n v="198"/>
    <n v="220.32000000000002"/>
    <x v="0"/>
  </r>
  <r>
    <d v="2021-11-11T00:00:00"/>
    <x v="6"/>
    <n v="46"/>
    <s v="JUEVES"/>
    <x v="9"/>
    <x v="9"/>
    <n v="1140"/>
    <n v="90"/>
    <n v="193.8"/>
    <x v="0"/>
  </r>
  <r>
    <d v="2021-11-11T00:00:00"/>
    <x v="6"/>
    <n v="46"/>
    <s v="JUEVES"/>
    <x v="10"/>
    <x v="10"/>
    <n v="3120"/>
    <n v="120"/>
    <n v="530.40000000000009"/>
    <x v="0"/>
  </r>
  <r>
    <d v="2021-11-11T00:00:00"/>
    <x v="6"/>
    <n v="46"/>
    <s v="JUEVES"/>
    <x v="11"/>
    <x v="11"/>
    <n v="3060"/>
    <n v="90"/>
    <n v="520.20000000000005"/>
    <x v="0"/>
  </r>
  <r>
    <d v="2021-11-11T00:00:00"/>
    <x v="6"/>
    <n v="46"/>
    <s v="JUEVES"/>
    <x v="25"/>
    <x v="25"/>
    <n v="2700"/>
    <n v="225"/>
    <n v="1134"/>
    <x v="0"/>
  </r>
  <r>
    <d v="2021-11-11T00:00:00"/>
    <x v="6"/>
    <n v="46"/>
    <s v="JUEVES"/>
    <x v="35"/>
    <x v="35"/>
    <n v="540"/>
    <n v="180"/>
    <n v="226.79999999999998"/>
    <x v="0"/>
  </r>
  <r>
    <d v="2021-11-11T00:00:00"/>
    <x v="6"/>
    <n v="46"/>
    <s v="JUEVES"/>
    <x v="63"/>
    <x v="47"/>
    <n v="4900"/>
    <n v="350"/>
    <n v="1127"/>
    <x v="0"/>
  </r>
  <r>
    <d v="2021-11-11T00:00:00"/>
    <x v="6"/>
    <n v="46"/>
    <s v="JUEVES"/>
    <x v="0"/>
    <x v="0"/>
    <n v="960"/>
    <n v="48"/>
    <n v="384"/>
    <x v="0"/>
  </r>
  <r>
    <d v="2021-11-12T00:00:00"/>
    <x v="6"/>
    <n v="46"/>
    <s v="VIERNES"/>
    <x v="6"/>
    <x v="6"/>
    <n v="840"/>
    <n v="120"/>
    <n v="142.80000000000001"/>
    <x v="0"/>
  </r>
  <r>
    <d v="2021-11-12T00:00:00"/>
    <x v="6"/>
    <n v="46"/>
    <s v="VIERNES"/>
    <x v="10"/>
    <x v="10"/>
    <n v="2400"/>
    <n v="120"/>
    <n v="408.00000000000006"/>
    <x v="0"/>
  </r>
  <r>
    <d v="2021-11-12T00:00:00"/>
    <x v="6"/>
    <n v="46"/>
    <s v="VIERNES"/>
    <x v="17"/>
    <x v="17"/>
    <n v="600"/>
    <n v="120"/>
    <n v="102.00000000000001"/>
    <x v="0"/>
  </r>
  <r>
    <d v="2021-11-12T00:00:00"/>
    <x v="6"/>
    <n v="46"/>
    <s v="VIERNES"/>
    <x v="28"/>
    <x v="28"/>
    <n v="240"/>
    <n v="30"/>
    <n v="55.2"/>
    <x v="0"/>
  </r>
  <r>
    <d v="2021-11-12T00:00:00"/>
    <x v="6"/>
    <n v="46"/>
    <s v="VIERNES"/>
    <x v="13"/>
    <x v="13"/>
    <n v="240"/>
    <n v="30"/>
    <n v="96"/>
    <x v="0"/>
  </r>
  <r>
    <d v="2021-11-12T00:00:00"/>
    <x v="6"/>
    <n v="46"/>
    <s v="VIERNES"/>
    <x v="15"/>
    <x v="15"/>
    <n v="100"/>
    <n v="50"/>
    <n v="40"/>
    <x v="0"/>
  </r>
  <r>
    <d v="2021-11-12T00:00:00"/>
    <x v="6"/>
    <n v="46"/>
    <s v="VIERNES"/>
    <x v="36"/>
    <x v="36"/>
    <n v="360"/>
    <n v="90"/>
    <n v="144"/>
    <x v="0"/>
  </r>
  <r>
    <d v="2021-11-12T00:00:00"/>
    <x v="6"/>
    <n v="46"/>
    <s v="VIERNES"/>
    <x v="0"/>
    <x v="0"/>
    <n v="1056"/>
    <n v="48"/>
    <n v="422.40000000000003"/>
    <x v="0"/>
  </r>
  <r>
    <d v="2021-11-12T00:00:00"/>
    <x v="6"/>
    <n v="46"/>
    <s v="VIERNES"/>
    <x v="16"/>
    <x v="16"/>
    <n v="360"/>
    <n v="180"/>
    <n v="151.19999999999999"/>
    <x v="0"/>
  </r>
  <r>
    <d v="2021-11-12T00:00:00"/>
    <x v="6"/>
    <n v="46"/>
    <s v="VIERNES"/>
    <x v="1"/>
    <x v="1"/>
    <n v="432"/>
    <n v="198"/>
    <n v="73.440000000000012"/>
    <x v="0"/>
  </r>
  <r>
    <d v="2021-11-12T00:00:00"/>
    <x v="6"/>
    <n v="46"/>
    <s v="VIERNES"/>
    <x v="2"/>
    <x v="2"/>
    <n v="1512"/>
    <n v="198"/>
    <n v="257.04000000000002"/>
    <x v="0"/>
  </r>
  <r>
    <d v="2021-11-12T00:00:00"/>
    <x v="6"/>
    <n v="46"/>
    <s v="VIERNES"/>
    <x v="7"/>
    <x v="7"/>
    <n v="1512"/>
    <n v="198"/>
    <n v="257.04000000000002"/>
    <x v="0"/>
  </r>
  <r>
    <d v="2021-11-12T00:00:00"/>
    <x v="6"/>
    <n v="46"/>
    <s v="VIERNES"/>
    <x v="8"/>
    <x v="8"/>
    <n v="1080"/>
    <n v="198"/>
    <n v="183.60000000000002"/>
    <x v="0"/>
  </r>
  <r>
    <d v="2021-11-12T00:00:00"/>
    <x v="6"/>
    <n v="46"/>
    <s v="VIERNES"/>
    <x v="11"/>
    <x v="11"/>
    <n v="1440"/>
    <n v="90"/>
    <n v="244.8"/>
    <x v="0"/>
  </r>
  <r>
    <d v="2021-11-12T00:00:00"/>
    <x v="6"/>
    <n v="46"/>
    <s v="VIERNES"/>
    <x v="20"/>
    <x v="20"/>
    <n v="720"/>
    <n v="90"/>
    <n v="122.4"/>
    <x v="0"/>
  </r>
  <r>
    <d v="2021-11-12T00:00:00"/>
    <x v="6"/>
    <n v="46"/>
    <s v="VIERNES"/>
    <x v="35"/>
    <x v="35"/>
    <n v="540"/>
    <n v="180"/>
    <n v="226.79999999999998"/>
    <x v="0"/>
  </r>
  <r>
    <d v="2021-11-12T00:00:00"/>
    <x v="6"/>
    <n v="46"/>
    <s v="VIERNES"/>
    <x v="42"/>
    <x v="42"/>
    <n v="750"/>
    <n v="420"/>
    <n v="315"/>
    <x v="0"/>
  </r>
  <r>
    <d v="2021-11-12T00:00:00"/>
    <x v="6"/>
    <n v="46"/>
    <s v="VIERNES"/>
    <x v="63"/>
    <x v="47"/>
    <n v="3500"/>
    <n v="350"/>
    <n v="805"/>
    <x v="0"/>
  </r>
  <r>
    <d v="2021-11-13T00:00:00"/>
    <x v="6"/>
    <n v="47"/>
    <s v="SÁBADO"/>
    <x v="63"/>
    <x v="47"/>
    <n v="3500"/>
    <n v="350"/>
    <n v="805"/>
    <x v="0"/>
  </r>
  <r>
    <d v="2021-11-13T00:00:00"/>
    <x v="6"/>
    <n v="47"/>
    <s v="SÁBADO"/>
    <x v="13"/>
    <x v="13"/>
    <n v="90"/>
    <n v="30"/>
    <n v="36"/>
    <x v="0"/>
  </r>
  <r>
    <d v="2021-11-13T00:00:00"/>
    <x v="6"/>
    <n v="47"/>
    <s v="SÁBADO"/>
    <x v="15"/>
    <x v="15"/>
    <n v="150"/>
    <n v="50"/>
    <n v="60"/>
    <x v="0"/>
  </r>
  <r>
    <d v="2021-11-13T00:00:00"/>
    <x v="6"/>
    <n v="47"/>
    <s v="SÁBADO"/>
    <x v="0"/>
    <x v="0"/>
    <n v="1440"/>
    <n v="48"/>
    <n v="576"/>
    <x v="0"/>
  </r>
  <r>
    <d v="2021-11-13T00:00:00"/>
    <x v="6"/>
    <n v="47"/>
    <s v="SÁBADO"/>
    <x v="16"/>
    <x v="16"/>
    <n v="1080"/>
    <n v="180"/>
    <n v="453.59999999999997"/>
    <x v="0"/>
  </r>
  <r>
    <d v="2021-11-13T00:00:00"/>
    <x v="6"/>
    <n v="47"/>
    <s v="SÁBADO"/>
    <x v="35"/>
    <x v="35"/>
    <n v="360"/>
    <n v="180"/>
    <n v="151.19999999999999"/>
    <x v="0"/>
  </r>
  <r>
    <d v="2021-11-13T00:00:00"/>
    <x v="6"/>
    <n v="47"/>
    <s v="SÁBADO"/>
    <x v="11"/>
    <x v="11"/>
    <n v="2160"/>
    <n v="90"/>
    <n v="367.20000000000005"/>
    <x v="0"/>
  </r>
  <r>
    <d v="2021-11-13T00:00:00"/>
    <x v="6"/>
    <n v="47"/>
    <s v="SÁBADO"/>
    <x v="10"/>
    <x v="10"/>
    <n v="2160"/>
    <n v="120"/>
    <n v="367.20000000000005"/>
    <x v="0"/>
  </r>
  <r>
    <d v="2021-11-13T00:00:00"/>
    <x v="6"/>
    <n v="47"/>
    <s v="SÁBADO"/>
    <x v="8"/>
    <x v="8"/>
    <n v="1296"/>
    <n v="198"/>
    <n v="220.32000000000002"/>
    <x v="0"/>
  </r>
  <r>
    <d v="2021-11-13T00:00:00"/>
    <x v="6"/>
    <n v="47"/>
    <s v="SÁBADO"/>
    <x v="7"/>
    <x v="7"/>
    <n v="1296"/>
    <n v="198"/>
    <n v="220.32000000000002"/>
    <x v="0"/>
  </r>
  <r>
    <d v="2021-11-13T00:00:00"/>
    <x v="6"/>
    <n v="47"/>
    <s v="SÁBADO"/>
    <x v="6"/>
    <x v="6"/>
    <n v="1200"/>
    <n v="120"/>
    <n v="204.00000000000003"/>
    <x v="0"/>
  </r>
  <r>
    <d v="2021-11-13T00:00:00"/>
    <x v="6"/>
    <n v="47"/>
    <s v="SÁBADO"/>
    <x v="1"/>
    <x v="1"/>
    <n v="728"/>
    <n v="198"/>
    <n v="123.76"/>
    <x v="0"/>
  </r>
  <r>
    <d v="2021-11-13T00:00:00"/>
    <x v="6"/>
    <n v="47"/>
    <s v="SÁBADO"/>
    <x v="25"/>
    <x v="25"/>
    <n v="2700"/>
    <n v="225"/>
    <n v="1134"/>
    <x v="0"/>
  </r>
  <r>
    <d v="2021-11-14T00:00:00"/>
    <x v="6"/>
    <n v="47"/>
    <s v="DOMINGO"/>
    <x v="42"/>
    <x v="42"/>
    <n v="500"/>
    <n v="420"/>
    <n v="210"/>
    <x v="0"/>
  </r>
  <r>
    <d v="2021-11-14T00:00:00"/>
    <x v="6"/>
    <n v="47"/>
    <s v="DOMINGO"/>
    <x v="43"/>
    <x v="43"/>
    <n v="750"/>
    <n v="420"/>
    <n v="315"/>
    <x v="0"/>
  </r>
  <r>
    <d v="2021-11-15T00:00:00"/>
    <x v="6"/>
    <n v="47"/>
    <s v="LUNES"/>
    <x v="2"/>
    <x v="2"/>
    <n v="1296"/>
    <n v="198"/>
    <n v="220.32000000000002"/>
    <x v="0"/>
  </r>
  <r>
    <d v="2021-11-15T00:00:00"/>
    <x v="6"/>
    <n v="47"/>
    <s v="LUNES"/>
    <x v="9"/>
    <x v="9"/>
    <n v="1440"/>
    <n v="90"/>
    <n v="244.8"/>
    <x v="0"/>
  </r>
  <r>
    <d v="2021-11-15T00:00:00"/>
    <x v="6"/>
    <n v="47"/>
    <s v="LUNES"/>
    <x v="6"/>
    <x v="6"/>
    <n v="1440"/>
    <n v="120"/>
    <n v="244.8"/>
    <x v="0"/>
  </r>
  <r>
    <d v="2021-11-15T00:00:00"/>
    <x v="6"/>
    <n v="47"/>
    <s v="LUNES"/>
    <x v="17"/>
    <x v="17"/>
    <n v="720"/>
    <n v="120"/>
    <n v="122.4"/>
    <x v="0"/>
  </r>
  <r>
    <d v="2021-11-15T00:00:00"/>
    <x v="6"/>
    <n v="47"/>
    <s v="LUNES"/>
    <x v="10"/>
    <x v="10"/>
    <n v="4800"/>
    <n v="120"/>
    <n v="816.00000000000011"/>
    <x v="0"/>
  </r>
  <r>
    <d v="2021-11-15T00:00:00"/>
    <x v="6"/>
    <n v="47"/>
    <s v="LUNES"/>
    <x v="11"/>
    <x v="11"/>
    <n v="2880"/>
    <n v="90"/>
    <n v="489.6"/>
    <x v="0"/>
  </r>
  <r>
    <d v="2021-11-15T00:00:00"/>
    <x v="6"/>
    <n v="47"/>
    <s v="LUNES"/>
    <x v="0"/>
    <x v="0"/>
    <n v="2160"/>
    <n v="48"/>
    <n v="864"/>
    <x v="0"/>
  </r>
  <r>
    <d v="2021-11-15T00:00:00"/>
    <x v="6"/>
    <n v="47"/>
    <s v="LUNES"/>
    <x v="36"/>
    <x v="36"/>
    <n v="720"/>
    <n v="90"/>
    <n v="288"/>
    <x v="0"/>
  </r>
  <r>
    <d v="2021-11-15T00:00:00"/>
    <x v="6"/>
    <n v="47"/>
    <s v="LUNES"/>
    <x v="7"/>
    <x v="7"/>
    <n v="1296"/>
    <n v="198"/>
    <n v="220.32000000000002"/>
    <x v="0"/>
  </r>
  <r>
    <d v="2021-11-15T00:00:00"/>
    <x v="6"/>
    <n v="47"/>
    <s v="LUNES"/>
    <x v="35"/>
    <x v="35"/>
    <n v="360"/>
    <n v="180"/>
    <n v="151.19999999999999"/>
    <x v="0"/>
  </r>
  <r>
    <d v="2021-11-15T00:00:00"/>
    <x v="6"/>
    <n v="47"/>
    <s v="LUNES"/>
    <x v="38"/>
    <x v="38"/>
    <n v="896"/>
    <n v="112"/>
    <n v="358.40000000000003"/>
    <x v="0"/>
  </r>
  <r>
    <d v="2021-11-15T00:00:00"/>
    <x v="6"/>
    <n v="47"/>
    <s v="LUNES"/>
    <x v="15"/>
    <x v="15"/>
    <n v="600"/>
    <n v="50"/>
    <n v="240"/>
    <x v="0"/>
  </r>
  <r>
    <d v="2021-11-16T00:00:00"/>
    <x v="6"/>
    <n v="47"/>
    <s v="MARTES"/>
    <x v="8"/>
    <x v="8"/>
    <n v="1296"/>
    <n v="198"/>
    <n v="220.32000000000002"/>
    <x v="0"/>
  </r>
  <r>
    <d v="2021-11-16T00:00:00"/>
    <x v="6"/>
    <n v="47"/>
    <s v="MARTES"/>
    <x v="3"/>
    <x v="3"/>
    <n v="1980"/>
    <n v="198"/>
    <n v="336.6"/>
    <x v="0"/>
  </r>
  <r>
    <d v="2021-11-16T00:00:00"/>
    <x v="6"/>
    <n v="47"/>
    <s v="MARTES"/>
    <x v="22"/>
    <x v="22"/>
    <n v="792"/>
    <n v="198"/>
    <n v="134.64000000000001"/>
    <x v="0"/>
  </r>
  <r>
    <d v="2021-11-16T00:00:00"/>
    <x v="6"/>
    <n v="47"/>
    <s v="MARTES"/>
    <x v="6"/>
    <x v="6"/>
    <n v="600"/>
    <n v="120"/>
    <n v="102.00000000000001"/>
    <x v="0"/>
  </r>
  <r>
    <d v="2021-11-16T00:00:00"/>
    <x v="6"/>
    <n v="47"/>
    <s v="MARTES"/>
    <x v="10"/>
    <x v="10"/>
    <n v="1920"/>
    <n v="120"/>
    <n v="326.40000000000003"/>
    <x v="0"/>
  </r>
  <r>
    <d v="2021-11-16T00:00:00"/>
    <x v="6"/>
    <n v="47"/>
    <s v="MARTES"/>
    <x v="11"/>
    <x v="11"/>
    <n v="2160"/>
    <n v="90"/>
    <n v="367.20000000000005"/>
    <x v="0"/>
  </r>
  <r>
    <d v="2021-11-16T00:00:00"/>
    <x v="6"/>
    <n v="47"/>
    <s v="MARTES"/>
    <x v="23"/>
    <x v="23"/>
    <n v="1440"/>
    <n v="90"/>
    <n v="244.8"/>
    <x v="0"/>
  </r>
  <r>
    <d v="2021-11-16T00:00:00"/>
    <x v="6"/>
    <n v="47"/>
    <s v="MARTES"/>
    <x v="0"/>
    <x v="0"/>
    <n v="576"/>
    <n v="48"/>
    <n v="230.4"/>
    <x v="0"/>
  </r>
  <r>
    <d v="2021-11-16T00:00:00"/>
    <x v="6"/>
    <n v="47"/>
    <s v="MARTES"/>
    <x v="38"/>
    <x v="38"/>
    <n v="224"/>
    <n v="112"/>
    <n v="89.600000000000009"/>
    <x v="0"/>
  </r>
  <r>
    <d v="2021-11-16T00:00:00"/>
    <x v="6"/>
    <n v="47"/>
    <s v="MARTES"/>
    <x v="16"/>
    <x v="16"/>
    <n v="900"/>
    <n v="180"/>
    <n v="378"/>
    <x v="0"/>
  </r>
  <r>
    <d v="2021-11-16T00:00:00"/>
    <x v="6"/>
    <n v="47"/>
    <s v="MARTES"/>
    <x v="7"/>
    <x v="7"/>
    <n v="4320"/>
    <n v="198"/>
    <n v="734.40000000000009"/>
    <x v="0"/>
  </r>
  <r>
    <d v="2021-11-16T00:00:00"/>
    <x v="6"/>
    <n v="47"/>
    <s v="MARTES"/>
    <x v="25"/>
    <x v="25"/>
    <n v="1800"/>
    <n v="225"/>
    <n v="756"/>
    <x v="0"/>
  </r>
  <r>
    <d v="2021-11-16T00:00:00"/>
    <x v="6"/>
    <n v="47"/>
    <s v="MARTES"/>
    <x v="12"/>
    <x v="12"/>
    <n v="450"/>
    <n v="225"/>
    <n v="180"/>
    <x v="0"/>
  </r>
  <r>
    <d v="2021-11-16T00:00:00"/>
    <x v="6"/>
    <n v="47"/>
    <s v="MARTES"/>
    <x v="35"/>
    <x v="35"/>
    <n v="900"/>
    <n v="180"/>
    <n v="378"/>
    <x v="0"/>
  </r>
  <r>
    <d v="2021-11-16T00:00:00"/>
    <x v="6"/>
    <n v="47"/>
    <s v="MARTES"/>
    <x v="35"/>
    <x v="35"/>
    <n v="360"/>
    <n v="180"/>
    <n v="151.19999999999999"/>
    <x v="0"/>
  </r>
  <r>
    <d v="2021-11-17T00:00:00"/>
    <x v="6"/>
    <n v="47"/>
    <s v="MIÉRCOLES"/>
    <x v="30"/>
    <x v="30"/>
    <n v="3500"/>
    <n v="250"/>
    <n v="805"/>
    <x v="0"/>
  </r>
  <r>
    <d v="2021-11-17T00:00:00"/>
    <x v="6"/>
    <n v="47"/>
    <s v="MIÉRCOLES"/>
    <x v="1"/>
    <x v="1"/>
    <n v="1728"/>
    <n v="198"/>
    <n v="293.76000000000005"/>
    <x v="0"/>
  </r>
  <r>
    <d v="2021-11-17T00:00:00"/>
    <x v="6"/>
    <n v="47"/>
    <s v="MIÉRCOLES"/>
    <x v="2"/>
    <x v="2"/>
    <n v="1296"/>
    <n v="198"/>
    <n v="220.32000000000002"/>
    <x v="0"/>
  </r>
  <r>
    <d v="2021-11-17T00:00:00"/>
    <x v="6"/>
    <n v="47"/>
    <s v="MIÉRCOLES"/>
    <x v="6"/>
    <x v="6"/>
    <n v="1440"/>
    <n v="120"/>
    <n v="244.8"/>
    <x v="0"/>
  </r>
  <r>
    <d v="2021-11-17T00:00:00"/>
    <x v="6"/>
    <n v="47"/>
    <s v="MIÉRCOLES"/>
    <x v="5"/>
    <x v="5"/>
    <n v="486"/>
    <n v="162"/>
    <n v="82.62"/>
    <x v="0"/>
  </r>
  <r>
    <d v="2021-11-17T00:00:00"/>
    <x v="6"/>
    <n v="47"/>
    <s v="MIÉRCOLES"/>
    <x v="22"/>
    <x v="22"/>
    <n v="792"/>
    <n v="198"/>
    <n v="134.64000000000001"/>
    <x v="0"/>
  </r>
  <r>
    <d v="2021-11-17T00:00:00"/>
    <x v="6"/>
    <n v="47"/>
    <s v="MIÉRCOLES"/>
    <x v="3"/>
    <x v="3"/>
    <n v="1188"/>
    <n v="198"/>
    <n v="201.96"/>
    <x v="0"/>
  </r>
  <r>
    <d v="2021-11-17T00:00:00"/>
    <x v="6"/>
    <n v="47"/>
    <s v="MIÉRCOLES"/>
    <x v="4"/>
    <x v="4"/>
    <n v="486"/>
    <n v="162"/>
    <n v="82.62"/>
    <x v="0"/>
  </r>
  <r>
    <d v="2021-11-17T00:00:00"/>
    <x v="6"/>
    <n v="47"/>
    <s v="MIÉRCOLES"/>
    <x v="7"/>
    <x v="7"/>
    <n v="2160"/>
    <n v="198"/>
    <n v="367.20000000000005"/>
    <x v="0"/>
  </r>
  <r>
    <d v="2021-11-17T00:00:00"/>
    <x v="6"/>
    <n v="47"/>
    <s v="MIÉRCOLES"/>
    <x v="17"/>
    <x v="17"/>
    <n v="1440"/>
    <n v="120"/>
    <n v="244.8"/>
    <x v="0"/>
  </r>
  <r>
    <d v="2021-11-17T00:00:00"/>
    <x v="6"/>
    <n v="47"/>
    <s v="MIÉRCOLES"/>
    <x v="10"/>
    <x v="10"/>
    <n v="1920"/>
    <n v="120"/>
    <n v="326.40000000000003"/>
    <x v="0"/>
  </r>
  <r>
    <d v="2021-11-17T00:00:00"/>
    <x v="6"/>
    <n v="47"/>
    <s v="MIÉRCOLES"/>
    <x v="20"/>
    <x v="20"/>
    <n v="180"/>
    <n v="90"/>
    <n v="30.6"/>
    <x v="0"/>
  </r>
  <r>
    <d v="2021-11-17T00:00:00"/>
    <x v="6"/>
    <n v="47"/>
    <s v="MIÉRCOLES"/>
    <x v="16"/>
    <x v="16"/>
    <n v="540"/>
    <n v="180"/>
    <n v="226.79999999999998"/>
    <x v="0"/>
  </r>
  <r>
    <d v="2021-11-17T00:00:00"/>
    <x v="6"/>
    <n v="47"/>
    <s v="MIÉRCOLES"/>
    <x v="36"/>
    <x v="36"/>
    <n v="180"/>
    <n v="90"/>
    <n v="72"/>
    <x v="0"/>
  </r>
  <r>
    <d v="2021-11-17T00:00:00"/>
    <x v="6"/>
    <n v="47"/>
    <s v="MIÉRCOLES"/>
    <x v="42"/>
    <x v="42"/>
    <n v="1250"/>
    <n v="420"/>
    <n v="525"/>
    <x v="0"/>
  </r>
  <r>
    <d v="2021-11-17T00:00:00"/>
    <x v="6"/>
    <n v="47"/>
    <s v="MIÉRCOLES"/>
    <x v="43"/>
    <x v="43"/>
    <n v="1250"/>
    <n v="420"/>
    <n v="525"/>
    <x v="0"/>
  </r>
  <r>
    <d v="2021-11-17T00:00:00"/>
    <x v="6"/>
    <n v="47"/>
    <s v="MIÉRCOLES"/>
    <x v="0"/>
    <x v="0"/>
    <n v="1440"/>
    <n v="48"/>
    <n v="576"/>
    <x v="0"/>
  </r>
  <r>
    <d v="2021-11-17T00:00:00"/>
    <x v="6"/>
    <n v="47"/>
    <s v="MIÉRCOLES"/>
    <x v="13"/>
    <x v="13"/>
    <n v="90"/>
    <n v="30"/>
    <n v="36"/>
    <x v="0"/>
  </r>
  <r>
    <d v="2021-11-17T00:00:00"/>
    <x v="6"/>
    <n v="47"/>
    <s v="MIÉRCOLES"/>
    <x v="28"/>
    <x v="28"/>
    <n v="120"/>
    <n v="30"/>
    <n v="27.6"/>
    <x v="0"/>
  </r>
  <r>
    <d v="2021-11-17T00:00:00"/>
    <x v="6"/>
    <n v="47"/>
    <s v="MIÉRCOLES"/>
    <x v="30"/>
    <x v="30"/>
    <n v="1500"/>
    <n v="250"/>
    <n v="345"/>
    <x v="0"/>
  </r>
  <r>
    <d v="2021-11-18T00:00:00"/>
    <x v="6"/>
    <n v="47"/>
    <s v="JUEVES"/>
    <x v="36"/>
    <x v="36"/>
    <n v="180"/>
    <n v="90"/>
    <n v="72"/>
    <x v="0"/>
  </r>
  <r>
    <d v="2021-11-18T00:00:00"/>
    <x v="6"/>
    <n v="47"/>
    <s v="JUEVES"/>
    <x v="40"/>
    <x v="40"/>
    <n v="336"/>
    <n v="240"/>
    <n v="134.4"/>
    <x v="0"/>
  </r>
  <r>
    <d v="2021-11-18T00:00:00"/>
    <x v="6"/>
    <n v="47"/>
    <s v="JUEVES"/>
    <x v="38"/>
    <x v="38"/>
    <n v="224"/>
    <n v="112"/>
    <n v="89.600000000000009"/>
    <x v="0"/>
  </r>
  <r>
    <d v="2021-11-18T00:00:00"/>
    <x v="6"/>
    <n v="47"/>
    <s v="JUEVES"/>
    <x v="0"/>
    <x v="0"/>
    <n v="720"/>
    <n v="48"/>
    <n v="288"/>
    <x v="0"/>
  </r>
  <r>
    <d v="2021-11-18T00:00:00"/>
    <x v="6"/>
    <n v="47"/>
    <s v="JUEVES"/>
    <x v="16"/>
    <x v="16"/>
    <n v="720"/>
    <n v="180"/>
    <n v="302.39999999999998"/>
    <x v="0"/>
  </r>
  <r>
    <d v="2021-11-18T00:00:00"/>
    <x v="6"/>
    <n v="47"/>
    <s v="JUEVES"/>
    <x v="1"/>
    <x v="1"/>
    <n v="1728"/>
    <n v="198"/>
    <n v="293.76000000000005"/>
    <x v="0"/>
  </r>
  <r>
    <d v="2021-11-18T00:00:00"/>
    <x v="6"/>
    <n v="47"/>
    <s v="JUEVES"/>
    <x v="2"/>
    <x v="2"/>
    <n v="2160"/>
    <n v="198"/>
    <n v="367.20000000000005"/>
    <x v="0"/>
  </r>
  <r>
    <d v="2021-11-18T00:00:00"/>
    <x v="6"/>
    <n v="47"/>
    <s v="JUEVES"/>
    <x v="6"/>
    <x v="6"/>
    <n v="1920"/>
    <n v="120"/>
    <n v="326.40000000000003"/>
    <x v="0"/>
  </r>
  <r>
    <d v="2021-11-18T00:00:00"/>
    <x v="6"/>
    <n v="47"/>
    <s v="JUEVES"/>
    <x v="17"/>
    <x v="17"/>
    <n v="960"/>
    <n v="120"/>
    <n v="163.20000000000002"/>
    <x v="0"/>
  </r>
  <r>
    <d v="2021-11-18T00:00:00"/>
    <x v="6"/>
    <n v="47"/>
    <s v="JUEVES"/>
    <x v="7"/>
    <x v="7"/>
    <n v="2592"/>
    <n v="198"/>
    <n v="440.64000000000004"/>
    <x v="0"/>
  </r>
  <r>
    <d v="2021-11-18T00:00:00"/>
    <x v="6"/>
    <n v="47"/>
    <s v="JUEVES"/>
    <x v="9"/>
    <x v="9"/>
    <n v="2160"/>
    <n v="90"/>
    <n v="367.20000000000005"/>
    <x v="0"/>
  </r>
  <r>
    <d v="2021-11-18T00:00:00"/>
    <x v="6"/>
    <n v="47"/>
    <s v="JUEVES"/>
    <x v="25"/>
    <x v="25"/>
    <n v="3150"/>
    <n v="225"/>
    <n v="1323"/>
    <x v="0"/>
  </r>
  <r>
    <d v="2021-11-18T00:00:00"/>
    <x v="6"/>
    <n v="47"/>
    <s v="JUEVES"/>
    <x v="12"/>
    <x v="12"/>
    <n v="900"/>
    <n v="225"/>
    <n v="360"/>
    <x v="0"/>
  </r>
  <r>
    <d v="2021-11-18T00:00:00"/>
    <x v="6"/>
    <n v="47"/>
    <s v="JUEVES"/>
    <x v="42"/>
    <x v="42"/>
    <n v="500"/>
    <n v="420"/>
    <n v="210"/>
    <x v="0"/>
  </r>
  <r>
    <d v="2021-11-18T00:00:00"/>
    <x v="6"/>
    <n v="47"/>
    <s v="JUEVES"/>
    <x v="43"/>
    <x v="43"/>
    <n v="250"/>
    <n v="420"/>
    <n v="105"/>
    <x v="0"/>
  </r>
  <r>
    <d v="2021-11-18T00:00:00"/>
    <x v="6"/>
    <n v="47"/>
    <s v="JUEVES"/>
    <x v="30"/>
    <x v="30"/>
    <n v="750"/>
    <n v="250"/>
    <n v="172.5"/>
    <x v="0"/>
  </r>
  <r>
    <d v="2021-11-18T00:00:00"/>
    <x v="6"/>
    <n v="47"/>
    <s v="JUEVES"/>
    <x v="10"/>
    <x v="10"/>
    <n v="3360"/>
    <n v="120"/>
    <n v="571.20000000000005"/>
    <x v="0"/>
  </r>
  <r>
    <d v="2021-11-18T00:00:00"/>
    <x v="6"/>
    <n v="47"/>
    <s v="JUEVES"/>
    <x v="11"/>
    <x v="11"/>
    <n v="2160"/>
    <n v="90"/>
    <n v="367.20000000000005"/>
    <x v="0"/>
  </r>
  <r>
    <d v="2021-11-19T00:00:00"/>
    <x v="6"/>
    <n v="47"/>
    <s v="VIERNES"/>
    <x v="1"/>
    <x v="1"/>
    <n v="2160"/>
    <n v="198"/>
    <n v="367.20000000000005"/>
    <x v="0"/>
  </r>
  <r>
    <d v="2021-11-19T00:00:00"/>
    <x v="6"/>
    <n v="47"/>
    <s v="VIERNES"/>
    <x v="2"/>
    <x v="2"/>
    <n v="1944"/>
    <n v="198"/>
    <n v="330.48"/>
    <x v="0"/>
  </r>
  <r>
    <d v="2021-11-19T00:00:00"/>
    <x v="6"/>
    <n v="47"/>
    <s v="VIERNES"/>
    <x v="4"/>
    <x v="4"/>
    <n v="648"/>
    <n v="162"/>
    <n v="110.16000000000001"/>
    <x v="0"/>
  </r>
  <r>
    <d v="2021-11-19T00:00:00"/>
    <x v="6"/>
    <n v="47"/>
    <s v="VIERNES"/>
    <x v="11"/>
    <x v="11"/>
    <n v="2880"/>
    <n v="90"/>
    <n v="489.6"/>
    <x v="0"/>
  </r>
  <r>
    <d v="2021-11-19T00:00:00"/>
    <x v="6"/>
    <n v="47"/>
    <s v="VIERNES"/>
    <x v="8"/>
    <x v="8"/>
    <n v="1080"/>
    <n v="198"/>
    <n v="183.60000000000002"/>
    <x v="0"/>
  </r>
  <r>
    <d v="2021-11-19T00:00:00"/>
    <x v="6"/>
    <n v="47"/>
    <s v="VIERNES"/>
    <x v="10"/>
    <x v="10"/>
    <n v="240"/>
    <n v="120"/>
    <n v="40.800000000000004"/>
    <x v="0"/>
  </r>
  <r>
    <d v="2021-11-19T00:00:00"/>
    <x v="6"/>
    <n v="47"/>
    <s v="VIERNES"/>
    <x v="35"/>
    <x v="35"/>
    <n v="1440"/>
    <n v="180"/>
    <n v="604.79999999999995"/>
    <x v="0"/>
  </r>
  <r>
    <d v="2021-11-19T00:00:00"/>
    <x v="6"/>
    <n v="47"/>
    <s v="VIERNES"/>
    <x v="36"/>
    <x v="36"/>
    <n v="720"/>
    <n v="90"/>
    <n v="288"/>
    <x v="0"/>
  </r>
  <r>
    <d v="2021-11-19T00:00:00"/>
    <x v="6"/>
    <n v="47"/>
    <s v="VIERNES"/>
    <x v="42"/>
    <x v="42"/>
    <n v="1250"/>
    <n v="420"/>
    <n v="525"/>
    <x v="0"/>
  </r>
  <r>
    <d v="2021-11-19T00:00:00"/>
    <x v="6"/>
    <n v="47"/>
    <s v="VIERNES"/>
    <x v="43"/>
    <x v="43"/>
    <n v="1000"/>
    <n v="420"/>
    <n v="420"/>
    <x v="0"/>
  </r>
  <r>
    <d v="2021-11-19T00:00:00"/>
    <x v="6"/>
    <n v="47"/>
    <s v="VIERNES"/>
    <x v="0"/>
    <x v="0"/>
    <n v="1440"/>
    <n v="48"/>
    <n v="576"/>
    <x v="0"/>
  </r>
  <r>
    <d v="2021-11-19T00:00:00"/>
    <x v="6"/>
    <n v="47"/>
    <s v="VIERNES"/>
    <x v="13"/>
    <x v="13"/>
    <n v="120"/>
    <n v="30"/>
    <n v="48"/>
    <x v="0"/>
  </r>
  <r>
    <d v="2021-11-19T00:00:00"/>
    <x v="6"/>
    <n v="47"/>
    <s v="VIERNES"/>
    <x v="30"/>
    <x v="30"/>
    <n v="250"/>
    <n v="250"/>
    <n v="57.5"/>
    <x v="0"/>
  </r>
  <r>
    <d v="2021-11-19T00:00:00"/>
    <x v="6"/>
    <n v="47"/>
    <s v="VIERNES"/>
    <x v="30"/>
    <x v="30"/>
    <n v="250"/>
    <n v="250"/>
    <n v="57.5"/>
    <x v="0"/>
  </r>
  <r>
    <d v="2021-11-20T00:00:00"/>
    <x v="6"/>
    <n v="48"/>
    <s v="SÁBADO"/>
    <x v="1"/>
    <x v="1"/>
    <n v="1728"/>
    <n v="198"/>
    <n v="293.76000000000005"/>
    <x v="0"/>
  </r>
  <r>
    <d v="2021-11-20T00:00:00"/>
    <x v="6"/>
    <n v="48"/>
    <s v="SÁBADO"/>
    <x v="2"/>
    <x v="2"/>
    <n v="2160"/>
    <n v="198"/>
    <n v="367.20000000000005"/>
    <x v="0"/>
  </r>
  <r>
    <d v="2021-11-20T00:00:00"/>
    <x v="6"/>
    <n v="48"/>
    <s v="SÁBADO"/>
    <x v="6"/>
    <x v="6"/>
    <n v="2280"/>
    <n v="120"/>
    <n v="387.6"/>
    <x v="0"/>
  </r>
  <r>
    <d v="2021-11-20T00:00:00"/>
    <x v="6"/>
    <n v="48"/>
    <s v="SÁBADO"/>
    <x v="9"/>
    <x v="9"/>
    <n v="1890"/>
    <n v="90"/>
    <n v="321.3"/>
    <x v="0"/>
  </r>
  <r>
    <d v="2021-11-20T00:00:00"/>
    <x v="6"/>
    <n v="48"/>
    <s v="SÁBADO"/>
    <x v="7"/>
    <x v="7"/>
    <n v="2592"/>
    <n v="198"/>
    <n v="440.64000000000004"/>
    <x v="0"/>
  </r>
  <r>
    <d v="2021-11-20T00:00:00"/>
    <x v="6"/>
    <n v="48"/>
    <s v="SÁBADO"/>
    <x v="17"/>
    <x v="17"/>
    <n v="1920"/>
    <n v="120"/>
    <n v="326.40000000000003"/>
    <x v="0"/>
  </r>
  <r>
    <d v="2021-11-20T00:00:00"/>
    <x v="6"/>
    <n v="48"/>
    <s v="SÁBADO"/>
    <x v="10"/>
    <x v="10"/>
    <n v="3360"/>
    <n v="120"/>
    <n v="571.20000000000005"/>
    <x v="0"/>
  </r>
  <r>
    <d v="2021-11-20T00:00:00"/>
    <x v="6"/>
    <n v="48"/>
    <s v="SÁBADO"/>
    <x v="11"/>
    <x v="11"/>
    <n v="2160"/>
    <n v="90"/>
    <n v="367.20000000000005"/>
    <x v="0"/>
  </r>
  <r>
    <d v="2021-11-20T00:00:00"/>
    <x v="6"/>
    <n v="48"/>
    <s v="SÁBADO"/>
    <x v="16"/>
    <x v="16"/>
    <n v="720"/>
    <n v="180"/>
    <n v="302.39999999999998"/>
    <x v="0"/>
  </r>
  <r>
    <d v="2021-11-20T00:00:00"/>
    <x v="6"/>
    <n v="48"/>
    <s v="SÁBADO"/>
    <x v="36"/>
    <x v="36"/>
    <n v="180"/>
    <n v="90"/>
    <n v="72"/>
    <x v="0"/>
  </r>
  <r>
    <d v="2021-11-20T00:00:00"/>
    <x v="6"/>
    <n v="48"/>
    <s v="SÁBADO"/>
    <x v="25"/>
    <x v="25"/>
    <n v="3150"/>
    <n v="225"/>
    <n v="1323"/>
    <x v="0"/>
  </r>
  <r>
    <d v="2021-11-20T00:00:00"/>
    <x v="6"/>
    <n v="48"/>
    <s v="SÁBADO"/>
    <x v="42"/>
    <x v="42"/>
    <n v="500"/>
    <n v="420"/>
    <n v="210"/>
    <x v="0"/>
  </r>
  <r>
    <d v="2021-11-20T00:00:00"/>
    <x v="6"/>
    <n v="48"/>
    <s v="SÁBADO"/>
    <x v="43"/>
    <x v="43"/>
    <n v="500"/>
    <n v="420"/>
    <n v="210"/>
    <x v="0"/>
  </r>
  <r>
    <d v="2021-11-20T00:00:00"/>
    <x v="6"/>
    <n v="48"/>
    <s v="SÁBADO"/>
    <x v="0"/>
    <x v="0"/>
    <n v="720"/>
    <n v="48"/>
    <n v="288"/>
    <x v="0"/>
  </r>
  <r>
    <d v="2021-11-20T00:00:00"/>
    <x v="6"/>
    <n v="48"/>
    <s v="SÁBADO"/>
    <x v="40"/>
    <x v="40"/>
    <n v="336"/>
    <n v="240"/>
    <n v="134.4"/>
    <x v="0"/>
  </r>
  <r>
    <d v="2021-11-20T00:00:00"/>
    <x v="6"/>
    <n v="48"/>
    <s v="SÁBADO"/>
    <x v="38"/>
    <x v="38"/>
    <n v="224"/>
    <n v="112"/>
    <n v="89.600000000000009"/>
    <x v="0"/>
  </r>
  <r>
    <d v="2021-11-20T00:00:00"/>
    <x v="6"/>
    <n v="48"/>
    <s v="SÁBADO"/>
    <x v="12"/>
    <x v="12"/>
    <n v="900"/>
    <n v="225"/>
    <n v="360"/>
    <x v="0"/>
  </r>
  <r>
    <d v="2021-11-20T00:00:00"/>
    <x v="6"/>
    <n v="48"/>
    <s v="SÁBADO"/>
    <x v="30"/>
    <x v="30"/>
    <n v="250"/>
    <n v="250"/>
    <n v="57.5"/>
    <x v="0"/>
  </r>
  <r>
    <d v="2021-11-21T00:00:00"/>
    <x v="6"/>
    <n v="48"/>
    <s v="DOMINGO"/>
    <x v="30"/>
    <x v="30"/>
    <n v="2250"/>
    <n v="250"/>
    <n v="517.5"/>
    <x v="0"/>
  </r>
  <r>
    <d v="2021-11-22T00:00:00"/>
    <x v="6"/>
    <n v="48"/>
    <s v="LUNES"/>
    <x v="15"/>
    <x v="15"/>
    <n v="150"/>
    <n v="50"/>
    <n v="60"/>
    <x v="0"/>
  </r>
  <r>
    <d v="2021-11-22T00:00:00"/>
    <x v="6"/>
    <n v="48"/>
    <s v="LUNES"/>
    <x v="6"/>
    <x v="6"/>
    <n v="6240"/>
    <n v="120"/>
    <n v="1060.8000000000002"/>
    <x v="0"/>
  </r>
  <r>
    <d v="2021-11-22T00:00:00"/>
    <x v="6"/>
    <n v="48"/>
    <s v="LUNES"/>
    <x v="10"/>
    <x v="10"/>
    <n v="4080"/>
    <n v="120"/>
    <n v="693.6"/>
    <x v="0"/>
  </r>
  <r>
    <d v="2021-11-22T00:00:00"/>
    <x v="6"/>
    <n v="48"/>
    <s v="LUNES"/>
    <x v="43"/>
    <x v="43"/>
    <n v="500"/>
    <n v="420"/>
    <n v="210"/>
    <x v="0"/>
  </r>
  <r>
    <d v="2021-11-23T00:00:00"/>
    <x v="6"/>
    <n v="48"/>
    <s v="MARTES"/>
    <x v="32"/>
    <x v="32"/>
    <n v="2940"/>
    <n v="420"/>
    <n v="1234.8"/>
    <x v="0"/>
  </r>
  <r>
    <d v="2021-11-23T00:00:00"/>
    <x v="6"/>
    <n v="48"/>
    <s v="MARTES"/>
    <x v="6"/>
    <x v="6"/>
    <n v="5880"/>
    <n v="120"/>
    <n v="999.6"/>
    <x v="0"/>
  </r>
  <r>
    <d v="2021-11-23T00:00:00"/>
    <x v="6"/>
    <n v="48"/>
    <s v="MARTES"/>
    <x v="22"/>
    <x v="22"/>
    <n v="198"/>
    <n v="198"/>
    <n v="33.660000000000004"/>
    <x v="0"/>
  </r>
  <r>
    <d v="2021-11-23T00:00:00"/>
    <x v="6"/>
    <n v="48"/>
    <s v="MARTES"/>
    <x v="3"/>
    <x v="3"/>
    <n v="198"/>
    <n v="198"/>
    <n v="33.660000000000004"/>
    <x v="0"/>
  </r>
  <r>
    <d v="2021-11-23T00:00:00"/>
    <x v="6"/>
    <n v="48"/>
    <s v="MARTES"/>
    <x v="8"/>
    <x v="8"/>
    <n v="864"/>
    <n v="198"/>
    <n v="146.88000000000002"/>
    <x v="0"/>
  </r>
  <r>
    <d v="2021-11-23T00:00:00"/>
    <x v="6"/>
    <n v="48"/>
    <s v="MARTES"/>
    <x v="17"/>
    <x v="17"/>
    <n v="1320"/>
    <n v="120"/>
    <n v="224.4"/>
    <x v="0"/>
  </r>
  <r>
    <d v="2021-11-23T00:00:00"/>
    <x v="6"/>
    <n v="48"/>
    <s v="MARTES"/>
    <x v="10"/>
    <x v="10"/>
    <n v="2880"/>
    <n v="120"/>
    <n v="489.6"/>
    <x v="0"/>
  </r>
  <r>
    <d v="2021-11-23T00:00:00"/>
    <x v="6"/>
    <n v="48"/>
    <s v="MARTES"/>
    <x v="36"/>
    <x v="36"/>
    <n v="360"/>
    <n v="90"/>
    <n v="144"/>
    <x v="0"/>
  </r>
  <r>
    <d v="2021-11-23T00:00:00"/>
    <x v="6"/>
    <n v="48"/>
    <s v="MARTES"/>
    <x v="15"/>
    <x v="15"/>
    <n v="150"/>
    <n v="50"/>
    <n v="60"/>
    <x v="0"/>
  </r>
  <r>
    <d v="2021-11-23T00:00:00"/>
    <x v="6"/>
    <n v="48"/>
    <s v="MARTES"/>
    <x v="5"/>
    <x v="5"/>
    <n v="162"/>
    <n v="162"/>
    <n v="27.540000000000003"/>
    <x v="0"/>
  </r>
  <r>
    <d v="2021-11-23T00:00:00"/>
    <x v="6"/>
    <n v="48"/>
    <s v="MARTES"/>
    <x v="32"/>
    <x v="32"/>
    <n v="840"/>
    <n v="420"/>
    <n v="352.8"/>
    <x v="0"/>
  </r>
  <r>
    <d v="2021-11-23T00:00:00"/>
    <x v="6"/>
    <n v="48"/>
    <s v="MARTES"/>
    <x v="32"/>
    <x v="32"/>
    <n v="840"/>
    <n v="420"/>
    <n v="352.8"/>
    <x v="0"/>
  </r>
  <r>
    <d v="2021-11-24T00:00:00"/>
    <x v="6"/>
    <n v="48"/>
    <s v="MIÉRCOLES"/>
    <x v="1"/>
    <x v="1"/>
    <n v="1944"/>
    <n v="198"/>
    <n v="330.48"/>
    <x v="0"/>
  </r>
  <r>
    <d v="2021-11-24T00:00:00"/>
    <x v="6"/>
    <n v="48"/>
    <s v="MIÉRCOLES"/>
    <x v="2"/>
    <x v="2"/>
    <n v="1296"/>
    <n v="198"/>
    <n v="220.32000000000002"/>
    <x v="0"/>
  </r>
  <r>
    <d v="2021-11-24T00:00:00"/>
    <x v="6"/>
    <n v="48"/>
    <s v="MIÉRCOLES"/>
    <x v="22"/>
    <x v="22"/>
    <n v="396"/>
    <n v="198"/>
    <n v="67.320000000000007"/>
    <x v="0"/>
  </r>
  <r>
    <d v="2021-11-24T00:00:00"/>
    <x v="6"/>
    <n v="48"/>
    <s v="MIÉRCOLES"/>
    <x v="3"/>
    <x v="3"/>
    <n v="792"/>
    <n v="198"/>
    <n v="134.64000000000001"/>
    <x v="0"/>
  </r>
  <r>
    <d v="2021-11-24T00:00:00"/>
    <x v="6"/>
    <n v="48"/>
    <s v="MIÉRCOLES"/>
    <x v="8"/>
    <x v="8"/>
    <n v="198"/>
    <n v="198"/>
    <n v="33.660000000000004"/>
    <x v="0"/>
  </r>
  <r>
    <d v="2021-11-24T00:00:00"/>
    <x v="6"/>
    <n v="48"/>
    <s v="MIÉRCOLES"/>
    <x v="17"/>
    <x v="17"/>
    <n v="2160"/>
    <n v="120"/>
    <n v="367.20000000000005"/>
    <x v="0"/>
  </r>
  <r>
    <d v="2021-11-24T00:00:00"/>
    <x v="6"/>
    <n v="48"/>
    <s v="MIÉRCOLES"/>
    <x v="10"/>
    <x v="10"/>
    <n v="4680"/>
    <n v="120"/>
    <n v="795.6"/>
    <x v="0"/>
  </r>
  <r>
    <d v="2021-11-24T00:00:00"/>
    <x v="6"/>
    <n v="48"/>
    <s v="MIÉRCOLES"/>
    <x v="20"/>
    <x v="20"/>
    <n v="180"/>
    <n v="90"/>
    <n v="30.6"/>
    <x v="0"/>
  </r>
  <r>
    <d v="2021-11-24T00:00:00"/>
    <x v="6"/>
    <n v="48"/>
    <s v="MIÉRCOLES"/>
    <x v="36"/>
    <x v="36"/>
    <n v="450"/>
    <n v="90"/>
    <n v="180"/>
    <x v="0"/>
  </r>
  <r>
    <d v="2021-11-24T00:00:00"/>
    <x v="6"/>
    <n v="48"/>
    <s v="MIÉRCOLES"/>
    <x v="15"/>
    <x v="15"/>
    <n v="150"/>
    <n v="50"/>
    <n v="60"/>
    <x v="0"/>
  </r>
  <r>
    <d v="2021-11-24T00:00:00"/>
    <x v="6"/>
    <n v="48"/>
    <s v="MIÉRCOLES"/>
    <x v="13"/>
    <x v="13"/>
    <n v="60"/>
    <n v="30"/>
    <n v="24"/>
    <x v="0"/>
  </r>
  <r>
    <d v="2021-11-24T00:00:00"/>
    <x v="6"/>
    <n v="48"/>
    <s v="MIÉRCOLES"/>
    <x v="28"/>
    <x v="28"/>
    <n v="60"/>
    <n v="30"/>
    <n v="13.8"/>
    <x v="0"/>
  </r>
  <r>
    <d v="2021-11-24T00:00:00"/>
    <x v="6"/>
    <n v="48"/>
    <s v="MIÉRCOLES"/>
    <x v="6"/>
    <x v="6"/>
    <n v="1680"/>
    <n v="120"/>
    <n v="285.60000000000002"/>
    <x v="0"/>
  </r>
  <r>
    <d v="2021-11-24T00:00:00"/>
    <x v="6"/>
    <n v="48"/>
    <s v="MIÉRCOLES"/>
    <x v="23"/>
    <x v="23"/>
    <n v="1440"/>
    <n v="90"/>
    <n v="244.8"/>
    <x v="0"/>
  </r>
  <r>
    <d v="2021-11-24T00:00:00"/>
    <x v="6"/>
    <n v="48"/>
    <s v="MIÉRCOLES"/>
    <x v="10"/>
    <x v="10"/>
    <n v="6240"/>
    <n v="120"/>
    <n v="1060.8000000000002"/>
    <x v="0"/>
  </r>
  <r>
    <d v="2021-11-24T00:00:00"/>
    <x v="6"/>
    <n v="48"/>
    <s v="MIÉRCOLES"/>
    <x v="11"/>
    <x v="11"/>
    <n v="4320"/>
    <n v="90"/>
    <n v="734.40000000000009"/>
    <x v="0"/>
  </r>
  <r>
    <d v="2021-11-24T00:00:00"/>
    <x v="6"/>
    <n v="48"/>
    <s v="MIÉRCOLES"/>
    <x v="9"/>
    <x v="9"/>
    <n v="2160"/>
    <n v="90"/>
    <n v="367.20000000000005"/>
    <x v="0"/>
  </r>
  <r>
    <d v="2021-11-24T00:00:00"/>
    <x v="6"/>
    <n v="48"/>
    <s v="MIÉRCOLES"/>
    <x v="17"/>
    <x v="17"/>
    <n v="1200"/>
    <n v="120"/>
    <n v="204.00000000000003"/>
    <x v="0"/>
  </r>
  <r>
    <d v="2021-11-25T00:00:00"/>
    <x v="6"/>
    <n v="48"/>
    <s v="JUEVES"/>
    <x v="1"/>
    <x v="1"/>
    <n v="1728"/>
    <n v="198"/>
    <n v="293.76000000000005"/>
    <x v="0"/>
  </r>
  <r>
    <d v="2021-11-25T00:00:00"/>
    <x v="6"/>
    <n v="48"/>
    <s v="JUEVES"/>
    <x v="2"/>
    <x v="2"/>
    <n v="432"/>
    <n v="198"/>
    <n v="73.440000000000012"/>
    <x v="0"/>
  </r>
  <r>
    <d v="2021-11-25T00:00:00"/>
    <x v="6"/>
    <n v="48"/>
    <s v="JUEVES"/>
    <x v="6"/>
    <x v="6"/>
    <n v="1920"/>
    <n v="120"/>
    <n v="326.40000000000003"/>
    <x v="0"/>
  </r>
  <r>
    <d v="2021-11-25T00:00:00"/>
    <x v="6"/>
    <n v="48"/>
    <s v="JUEVES"/>
    <x v="5"/>
    <x v="5"/>
    <n v="162"/>
    <n v="162"/>
    <n v="27.540000000000003"/>
    <x v="0"/>
  </r>
  <r>
    <d v="2021-11-25T00:00:00"/>
    <x v="6"/>
    <n v="48"/>
    <s v="JUEVES"/>
    <x v="22"/>
    <x v="22"/>
    <n v="396"/>
    <n v="198"/>
    <n v="67.320000000000007"/>
    <x v="0"/>
  </r>
  <r>
    <d v="2021-11-25T00:00:00"/>
    <x v="6"/>
    <n v="48"/>
    <s v="JUEVES"/>
    <x v="3"/>
    <x v="3"/>
    <n v="594"/>
    <n v="198"/>
    <n v="100.98"/>
    <x v="0"/>
  </r>
  <r>
    <d v="2021-11-25T00:00:00"/>
    <x v="6"/>
    <n v="48"/>
    <s v="JUEVES"/>
    <x v="8"/>
    <x v="8"/>
    <n v="648"/>
    <n v="198"/>
    <n v="110.16000000000001"/>
    <x v="0"/>
  </r>
  <r>
    <d v="2021-11-25T00:00:00"/>
    <x v="6"/>
    <n v="48"/>
    <s v="JUEVES"/>
    <x v="17"/>
    <x v="17"/>
    <n v="1200"/>
    <n v="120"/>
    <n v="204.00000000000003"/>
    <x v="0"/>
  </r>
  <r>
    <d v="2021-11-25T00:00:00"/>
    <x v="6"/>
    <n v="48"/>
    <s v="JUEVES"/>
    <x v="10"/>
    <x v="10"/>
    <n v="3360"/>
    <n v="120"/>
    <n v="571.20000000000005"/>
    <x v="0"/>
  </r>
  <r>
    <d v="2021-11-25T00:00:00"/>
    <x v="6"/>
    <n v="48"/>
    <s v="JUEVES"/>
    <x v="20"/>
    <x v="20"/>
    <n v="270"/>
    <n v="90"/>
    <n v="45.900000000000006"/>
    <x v="0"/>
  </r>
  <r>
    <d v="2021-11-25T00:00:00"/>
    <x v="6"/>
    <n v="48"/>
    <s v="JUEVES"/>
    <x v="35"/>
    <x v="35"/>
    <n v="180"/>
    <n v="180"/>
    <n v="75.599999999999994"/>
    <x v="0"/>
  </r>
  <r>
    <d v="2021-11-25T00:00:00"/>
    <x v="6"/>
    <n v="48"/>
    <s v="JUEVES"/>
    <x v="36"/>
    <x v="36"/>
    <n v="360"/>
    <n v="90"/>
    <n v="144"/>
    <x v="0"/>
  </r>
  <r>
    <d v="2021-11-25T00:00:00"/>
    <x v="6"/>
    <n v="48"/>
    <s v="JUEVES"/>
    <x v="32"/>
    <x v="32"/>
    <n v="420"/>
    <n v="420"/>
    <n v="176.4"/>
    <x v="0"/>
  </r>
  <r>
    <d v="2021-11-25T00:00:00"/>
    <x v="6"/>
    <n v="48"/>
    <s v="JUEVES"/>
    <x v="15"/>
    <x v="15"/>
    <n v="150"/>
    <n v="50"/>
    <n v="60"/>
    <x v="0"/>
  </r>
  <r>
    <d v="2021-11-25T00:00:00"/>
    <x v="6"/>
    <n v="48"/>
    <s v="JUEVES"/>
    <x v="13"/>
    <x v="13"/>
    <n v="90"/>
    <n v="30"/>
    <n v="36"/>
    <x v="0"/>
  </r>
  <r>
    <d v="2021-11-25T00:00:00"/>
    <x v="6"/>
    <n v="48"/>
    <s v="JUEVES"/>
    <x v="28"/>
    <x v="28"/>
    <n v="60"/>
    <n v="30"/>
    <n v="13.8"/>
    <x v="0"/>
  </r>
  <r>
    <d v="2021-11-25T00:00:00"/>
    <x v="6"/>
    <n v="48"/>
    <s v="JUEVES"/>
    <x v="12"/>
    <x v="12"/>
    <n v="675"/>
    <n v="225"/>
    <n v="270"/>
    <x v="0"/>
  </r>
  <r>
    <d v="2021-11-25T00:00:00"/>
    <x v="6"/>
    <n v="48"/>
    <s v="JUEVES"/>
    <x v="9"/>
    <x v="9"/>
    <n v="270"/>
    <n v="90"/>
    <n v="45.900000000000006"/>
    <x v="0"/>
  </r>
  <r>
    <d v="2021-11-25T00:00:00"/>
    <x v="6"/>
    <n v="48"/>
    <s v="JUEVES"/>
    <x v="10"/>
    <x v="10"/>
    <n v="8160"/>
    <n v="120"/>
    <n v="1387.2"/>
    <x v="0"/>
  </r>
  <r>
    <d v="2021-11-25T00:00:00"/>
    <x v="6"/>
    <n v="48"/>
    <s v="JUEVES"/>
    <x v="11"/>
    <x v="11"/>
    <n v="3690"/>
    <n v="90"/>
    <n v="627.30000000000007"/>
    <x v="0"/>
  </r>
  <r>
    <d v="2021-11-25T00:00:00"/>
    <x v="6"/>
    <n v="48"/>
    <s v="JUEVES"/>
    <x v="23"/>
    <x v="23"/>
    <n v="1530"/>
    <n v="90"/>
    <n v="260.10000000000002"/>
    <x v="0"/>
  </r>
  <r>
    <d v="2021-11-25T00:00:00"/>
    <x v="6"/>
    <n v="48"/>
    <s v="JUEVES"/>
    <x v="6"/>
    <x v="6"/>
    <n v="360"/>
    <n v="120"/>
    <n v="61.2"/>
    <x v="0"/>
  </r>
  <r>
    <d v="2021-11-26T00:00:00"/>
    <x v="6"/>
    <n v="48"/>
    <s v="VIERNES"/>
    <x v="1"/>
    <x v="1"/>
    <n v="2592"/>
    <n v="198"/>
    <n v="440.64000000000004"/>
    <x v="0"/>
  </r>
  <r>
    <d v="2021-11-26T00:00:00"/>
    <x v="6"/>
    <n v="48"/>
    <s v="VIERNES"/>
    <x v="2"/>
    <x v="2"/>
    <n v="1728"/>
    <n v="198"/>
    <n v="293.76000000000005"/>
    <x v="0"/>
  </r>
  <r>
    <d v="2021-11-26T00:00:00"/>
    <x v="6"/>
    <n v="48"/>
    <s v="VIERNES"/>
    <x v="6"/>
    <x v="6"/>
    <n v="5640"/>
    <n v="120"/>
    <n v="958.80000000000007"/>
    <x v="0"/>
  </r>
  <r>
    <d v="2021-11-26T00:00:00"/>
    <x v="6"/>
    <n v="48"/>
    <s v="VIERNES"/>
    <x v="5"/>
    <x v="5"/>
    <n v="324"/>
    <n v="162"/>
    <n v="55.080000000000005"/>
    <x v="0"/>
  </r>
  <r>
    <d v="2021-11-26T00:00:00"/>
    <x v="6"/>
    <n v="48"/>
    <s v="VIERNES"/>
    <x v="22"/>
    <x v="22"/>
    <n v="594"/>
    <n v="198"/>
    <n v="100.98"/>
    <x v="0"/>
  </r>
  <r>
    <d v="2021-11-26T00:00:00"/>
    <x v="6"/>
    <n v="48"/>
    <s v="VIERNES"/>
    <x v="3"/>
    <x v="3"/>
    <n v="990"/>
    <n v="198"/>
    <n v="168.3"/>
    <x v="0"/>
  </r>
  <r>
    <d v="2021-11-26T00:00:00"/>
    <x v="6"/>
    <n v="48"/>
    <s v="VIERNES"/>
    <x v="4"/>
    <x v="4"/>
    <n v="324"/>
    <n v="162"/>
    <n v="55.080000000000005"/>
    <x v="0"/>
  </r>
  <r>
    <d v="2021-11-26T00:00:00"/>
    <x v="6"/>
    <n v="48"/>
    <s v="VIERNES"/>
    <x v="8"/>
    <x v="8"/>
    <n v="1728"/>
    <n v="198"/>
    <n v="293.76000000000005"/>
    <x v="0"/>
  </r>
  <r>
    <d v="2021-11-26T00:00:00"/>
    <x v="6"/>
    <n v="48"/>
    <s v="VIERNES"/>
    <x v="17"/>
    <x v="17"/>
    <n v="3720"/>
    <n v="120"/>
    <n v="632.40000000000009"/>
    <x v="0"/>
  </r>
  <r>
    <d v="2021-11-26T00:00:00"/>
    <x v="6"/>
    <n v="48"/>
    <s v="VIERNES"/>
    <x v="10"/>
    <x v="10"/>
    <n v="240"/>
    <n v="120"/>
    <n v="40.800000000000004"/>
    <x v="0"/>
  </r>
  <r>
    <d v="2021-11-26T00:00:00"/>
    <x v="6"/>
    <n v="48"/>
    <s v="VIERNES"/>
    <x v="35"/>
    <x v="35"/>
    <n v="180"/>
    <n v="180"/>
    <n v="75.599999999999994"/>
    <x v="0"/>
  </r>
  <r>
    <d v="2021-11-26T00:00:00"/>
    <x v="6"/>
    <n v="48"/>
    <s v="VIERNES"/>
    <x v="36"/>
    <x v="36"/>
    <n v="720"/>
    <n v="90"/>
    <n v="288"/>
    <x v="0"/>
  </r>
  <r>
    <d v="2021-11-26T00:00:00"/>
    <x v="6"/>
    <n v="48"/>
    <s v="VIERNES"/>
    <x v="0"/>
    <x v="0"/>
    <n v="288"/>
    <n v="48"/>
    <n v="115.2"/>
    <x v="0"/>
  </r>
  <r>
    <d v="2021-11-26T00:00:00"/>
    <x v="6"/>
    <n v="48"/>
    <s v="VIERNES"/>
    <x v="15"/>
    <x v="15"/>
    <n v="350"/>
    <n v="50"/>
    <n v="140"/>
    <x v="0"/>
  </r>
  <r>
    <d v="2021-11-26T00:00:00"/>
    <x v="6"/>
    <n v="48"/>
    <s v="VIERNES"/>
    <x v="13"/>
    <x v="13"/>
    <n v="180"/>
    <n v="30"/>
    <n v="72"/>
    <x v="0"/>
  </r>
  <r>
    <d v="2021-11-26T00:00:00"/>
    <x v="6"/>
    <n v="48"/>
    <s v="VIERNES"/>
    <x v="28"/>
    <x v="28"/>
    <n v="240"/>
    <n v="30"/>
    <n v="55.2"/>
    <x v="0"/>
  </r>
  <r>
    <d v="2021-11-26T00:00:00"/>
    <x v="6"/>
    <n v="48"/>
    <s v="VIERNES"/>
    <x v="12"/>
    <x v="12"/>
    <n v="225"/>
    <n v="225"/>
    <n v="90"/>
    <x v="0"/>
  </r>
  <r>
    <d v="2021-11-26T00:00:00"/>
    <x v="6"/>
    <n v="48"/>
    <s v="VIERNES"/>
    <x v="20"/>
    <x v="20"/>
    <n v="180"/>
    <n v="90"/>
    <n v="30.6"/>
    <x v="0"/>
  </r>
  <r>
    <d v="2021-11-26T00:00:00"/>
    <x v="6"/>
    <n v="48"/>
    <s v="VIERNES"/>
    <x v="10"/>
    <x v="10"/>
    <n v="720"/>
    <n v="120"/>
    <n v="122.4"/>
    <x v="0"/>
  </r>
  <r>
    <d v="2021-11-26T00:00:00"/>
    <x v="6"/>
    <n v="48"/>
    <s v="VIERNES"/>
    <x v="17"/>
    <x v="17"/>
    <n v="480"/>
    <n v="120"/>
    <n v="81.600000000000009"/>
    <x v="0"/>
  </r>
  <r>
    <d v="2021-11-26T00:00:00"/>
    <x v="6"/>
    <n v="48"/>
    <s v="VIERNES"/>
    <x v="6"/>
    <x v="6"/>
    <n v="1800"/>
    <n v="120"/>
    <n v="306"/>
    <x v="0"/>
  </r>
  <r>
    <d v="2021-11-26T00:00:00"/>
    <x v="6"/>
    <n v="48"/>
    <s v="VIERNES"/>
    <x v="10"/>
    <x v="10"/>
    <n v="5280"/>
    <n v="120"/>
    <n v="897.6"/>
    <x v="0"/>
  </r>
  <r>
    <d v="2021-11-26T00:00:00"/>
    <x v="6"/>
    <n v="48"/>
    <s v="VIERNES"/>
    <x v="11"/>
    <x v="11"/>
    <n v="2880"/>
    <n v="90"/>
    <n v="489.6"/>
    <x v="0"/>
  </r>
  <r>
    <d v="2021-11-26T00:00:00"/>
    <x v="6"/>
    <n v="48"/>
    <s v="VIERNES"/>
    <x v="9"/>
    <x v="9"/>
    <n v="2430"/>
    <n v="90"/>
    <n v="413.1"/>
    <x v="0"/>
  </r>
  <r>
    <d v="2021-11-27T00:00:00"/>
    <x v="6"/>
    <n v="49"/>
    <s v="SÁBADO"/>
    <x v="13"/>
    <x v="13"/>
    <n v="120"/>
    <n v="30"/>
    <n v="48"/>
    <x v="0"/>
  </r>
  <r>
    <d v="2021-11-27T00:00:00"/>
    <x v="6"/>
    <n v="49"/>
    <s v="SÁBADO"/>
    <x v="14"/>
    <x v="14"/>
    <n v="120"/>
    <n v="40"/>
    <n v="27.6"/>
    <x v="0"/>
  </r>
  <r>
    <d v="2021-11-27T00:00:00"/>
    <x v="6"/>
    <n v="49"/>
    <s v="SÁBADO"/>
    <x v="15"/>
    <x v="15"/>
    <n v="350"/>
    <n v="50"/>
    <n v="140"/>
    <x v="0"/>
  </r>
  <r>
    <d v="2021-11-27T00:00:00"/>
    <x v="6"/>
    <n v="49"/>
    <s v="SÁBADO"/>
    <x v="38"/>
    <x v="38"/>
    <n v="560"/>
    <n v="112"/>
    <n v="224"/>
    <x v="0"/>
  </r>
  <r>
    <d v="2021-11-27T00:00:00"/>
    <x v="6"/>
    <n v="49"/>
    <s v="SÁBADO"/>
    <x v="0"/>
    <x v="0"/>
    <n v="1200"/>
    <n v="48"/>
    <n v="480"/>
    <x v="0"/>
  </r>
  <r>
    <d v="2021-11-27T00:00:00"/>
    <x v="6"/>
    <n v="49"/>
    <s v="SÁBADO"/>
    <x v="16"/>
    <x v="16"/>
    <n v="900"/>
    <n v="180"/>
    <n v="378"/>
    <x v="0"/>
  </r>
  <r>
    <d v="2021-11-27T00:00:00"/>
    <x v="6"/>
    <n v="49"/>
    <s v="SÁBADO"/>
    <x v="22"/>
    <x v="22"/>
    <n v="990"/>
    <n v="198"/>
    <n v="168.3"/>
    <x v="0"/>
  </r>
  <r>
    <d v="2021-11-27T00:00:00"/>
    <x v="6"/>
    <n v="49"/>
    <s v="SÁBADO"/>
    <x v="3"/>
    <x v="3"/>
    <n v="792"/>
    <n v="198"/>
    <n v="134.64000000000001"/>
    <x v="0"/>
  </r>
  <r>
    <d v="2021-11-27T00:00:00"/>
    <x v="6"/>
    <n v="49"/>
    <s v="SÁBADO"/>
    <x v="4"/>
    <x v="4"/>
    <n v="810"/>
    <n v="162"/>
    <n v="137.70000000000002"/>
    <x v="0"/>
  </r>
  <r>
    <d v="2021-11-27T00:00:00"/>
    <x v="6"/>
    <n v="49"/>
    <s v="SÁBADO"/>
    <x v="5"/>
    <x v="5"/>
    <n v="810"/>
    <n v="162"/>
    <n v="137.70000000000002"/>
    <x v="0"/>
  </r>
  <r>
    <d v="2021-11-27T00:00:00"/>
    <x v="6"/>
    <n v="49"/>
    <s v="SÁBADO"/>
    <x v="7"/>
    <x v="7"/>
    <n v="1296"/>
    <n v="198"/>
    <n v="220.32000000000002"/>
    <x v="0"/>
  </r>
  <r>
    <d v="2021-11-27T00:00:00"/>
    <x v="6"/>
    <n v="49"/>
    <s v="SÁBADO"/>
    <x v="8"/>
    <x v="8"/>
    <n v="648"/>
    <n v="198"/>
    <n v="110.16000000000001"/>
    <x v="0"/>
  </r>
  <r>
    <d v="2021-11-27T00:00:00"/>
    <x v="6"/>
    <n v="49"/>
    <s v="SÁBADO"/>
    <x v="10"/>
    <x v="10"/>
    <n v="7920"/>
    <n v="120"/>
    <n v="1346.4"/>
    <x v="0"/>
  </r>
  <r>
    <d v="2021-11-27T00:00:00"/>
    <x v="6"/>
    <n v="49"/>
    <s v="SÁBADO"/>
    <x v="23"/>
    <x v="23"/>
    <n v="990"/>
    <n v="90"/>
    <n v="168.3"/>
    <x v="0"/>
  </r>
  <r>
    <d v="2021-11-27T00:00:00"/>
    <x v="6"/>
    <n v="49"/>
    <s v="SÁBADO"/>
    <x v="11"/>
    <x v="11"/>
    <n v="2880"/>
    <n v="90"/>
    <n v="489.6"/>
    <x v="0"/>
  </r>
  <r>
    <d v="2021-11-27T00:00:00"/>
    <x v="6"/>
    <n v="49"/>
    <s v="SÁBADO"/>
    <x v="20"/>
    <x v="20"/>
    <n v="450"/>
    <n v="90"/>
    <n v="76.5"/>
    <x v="0"/>
  </r>
  <r>
    <d v="2021-11-27T00:00:00"/>
    <x v="6"/>
    <n v="49"/>
    <s v="SÁBADO"/>
    <x v="12"/>
    <x v="12"/>
    <n v="900"/>
    <n v="225"/>
    <n v="360"/>
    <x v="0"/>
  </r>
  <r>
    <d v="2021-11-27T00:00:00"/>
    <x v="6"/>
    <n v="49"/>
    <s v="SÁBADO"/>
    <x v="35"/>
    <x v="35"/>
    <n v="900"/>
    <n v="180"/>
    <n v="378"/>
    <x v="0"/>
  </r>
  <r>
    <d v="2021-11-27T00:00:00"/>
    <x v="6"/>
    <n v="49"/>
    <s v="SÁBADO"/>
    <x v="42"/>
    <x v="42"/>
    <n v="1000"/>
    <n v="420"/>
    <n v="420"/>
    <x v="0"/>
  </r>
  <r>
    <d v="2021-11-27T00:00:00"/>
    <x v="6"/>
    <n v="49"/>
    <s v="SÁBADO"/>
    <x v="6"/>
    <x v="6"/>
    <n v="3240"/>
    <n v="120"/>
    <n v="550.80000000000007"/>
    <x v="0"/>
  </r>
  <r>
    <d v="2021-11-27T00:00:00"/>
    <x v="6"/>
    <n v="49"/>
    <s v="SÁBADO"/>
    <x v="9"/>
    <x v="9"/>
    <n v="360"/>
    <n v="90"/>
    <n v="61.2"/>
    <x v="0"/>
  </r>
  <r>
    <d v="2021-11-27T00:00:00"/>
    <x v="6"/>
    <n v="49"/>
    <s v="SÁBADO"/>
    <x v="19"/>
    <x v="19"/>
    <n v="225"/>
    <n v="225"/>
    <n v="90"/>
    <x v="0"/>
  </r>
  <r>
    <d v="2021-11-27T00:00:00"/>
    <x v="6"/>
    <n v="49"/>
    <s v="SÁBADO"/>
    <x v="6"/>
    <x v="6"/>
    <n v="960"/>
    <n v="120"/>
    <n v="163.20000000000002"/>
    <x v="0"/>
  </r>
  <r>
    <d v="2021-11-29T00:00:00"/>
    <x v="6"/>
    <n v="49"/>
    <s v="LUNES"/>
    <x v="28"/>
    <x v="28"/>
    <n v="150"/>
    <n v="30"/>
    <n v="34.5"/>
    <x v="0"/>
  </r>
  <r>
    <d v="2021-11-29T00:00:00"/>
    <x v="6"/>
    <n v="49"/>
    <s v="LUNES"/>
    <x v="33"/>
    <x v="33"/>
    <n v="120"/>
    <n v="40"/>
    <n v="27.6"/>
    <x v="0"/>
  </r>
  <r>
    <d v="2021-11-29T00:00:00"/>
    <x v="6"/>
    <n v="49"/>
    <s v="LUNES"/>
    <x v="13"/>
    <x v="13"/>
    <n v="300"/>
    <n v="30"/>
    <n v="120"/>
    <x v="0"/>
  </r>
  <r>
    <d v="2021-11-29T00:00:00"/>
    <x v="6"/>
    <n v="49"/>
    <s v="LUNES"/>
    <x v="40"/>
    <x v="40"/>
    <n v="448"/>
    <n v="240"/>
    <n v="179.20000000000002"/>
    <x v="0"/>
  </r>
  <r>
    <d v="2021-11-29T00:00:00"/>
    <x v="6"/>
    <n v="49"/>
    <s v="LUNES"/>
    <x v="1"/>
    <x v="1"/>
    <n v="1296"/>
    <n v="198"/>
    <n v="220.32000000000002"/>
    <x v="0"/>
  </r>
  <r>
    <d v="2021-11-29T00:00:00"/>
    <x v="6"/>
    <n v="49"/>
    <s v="LUNES"/>
    <x v="2"/>
    <x v="2"/>
    <n v="1728"/>
    <n v="198"/>
    <n v="293.76000000000005"/>
    <x v="0"/>
  </r>
  <r>
    <d v="2021-11-29T00:00:00"/>
    <x v="6"/>
    <n v="49"/>
    <s v="LUNES"/>
    <x v="22"/>
    <x v="22"/>
    <n v="1584"/>
    <n v="198"/>
    <n v="269.28000000000003"/>
    <x v="0"/>
  </r>
  <r>
    <d v="2021-11-29T00:00:00"/>
    <x v="6"/>
    <n v="49"/>
    <s v="LUNES"/>
    <x v="4"/>
    <x v="4"/>
    <n v="972"/>
    <n v="162"/>
    <n v="165.24"/>
    <x v="0"/>
  </r>
  <r>
    <d v="2021-11-29T00:00:00"/>
    <x v="6"/>
    <n v="49"/>
    <s v="LUNES"/>
    <x v="5"/>
    <x v="5"/>
    <n v="648"/>
    <n v="162"/>
    <n v="110.16000000000001"/>
    <x v="0"/>
  </r>
  <r>
    <d v="2021-11-29T00:00:00"/>
    <x v="6"/>
    <n v="49"/>
    <s v="LUNES"/>
    <x v="6"/>
    <x v="6"/>
    <n v="1200"/>
    <n v="120"/>
    <n v="204.00000000000003"/>
    <x v="0"/>
  </r>
  <r>
    <d v="2021-11-29T00:00:00"/>
    <x v="6"/>
    <n v="49"/>
    <s v="LUNES"/>
    <x v="17"/>
    <x v="17"/>
    <n v="1200"/>
    <n v="120"/>
    <n v="204.00000000000003"/>
    <x v="0"/>
  </r>
  <r>
    <d v="2021-11-29T00:00:00"/>
    <x v="6"/>
    <n v="49"/>
    <s v="LUNES"/>
    <x v="8"/>
    <x v="8"/>
    <n v="2160"/>
    <n v="198"/>
    <n v="367.20000000000005"/>
    <x v="0"/>
  </r>
  <r>
    <d v="2021-11-29T00:00:00"/>
    <x v="6"/>
    <n v="49"/>
    <s v="LUNES"/>
    <x v="9"/>
    <x v="9"/>
    <n v="1440"/>
    <n v="90"/>
    <n v="244.8"/>
    <x v="0"/>
  </r>
  <r>
    <d v="2021-11-29T00:00:00"/>
    <x v="6"/>
    <n v="49"/>
    <s v="LUNES"/>
    <x v="10"/>
    <x v="10"/>
    <n v="3120"/>
    <n v="120"/>
    <n v="530.40000000000009"/>
    <x v="0"/>
  </r>
  <r>
    <d v="2021-11-29T00:00:00"/>
    <x v="6"/>
    <n v="49"/>
    <s v="LUNES"/>
    <x v="23"/>
    <x v="23"/>
    <n v="720"/>
    <n v="90"/>
    <n v="122.4"/>
    <x v="0"/>
  </r>
  <r>
    <d v="2021-11-29T00:00:00"/>
    <x v="6"/>
    <n v="49"/>
    <s v="LUNES"/>
    <x v="11"/>
    <x v="11"/>
    <n v="3600"/>
    <n v="90"/>
    <n v="612"/>
    <x v="0"/>
  </r>
  <r>
    <d v="2021-11-29T00:00:00"/>
    <x v="6"/>
    <n v="49"/>
    <s v="LUNES"/>
    <x v="42"/>
    <x v="42"/>
    <n v="250"/>
    <n v="420"/>
    <n v="105"/>
    <x v="0"/>
  </r>
  <r>
    <d v="2021-11-29T00:00:00"/>
    <x v="6"/>
    <n v="49"/>
    <s v="LUNES"/>
    <x v="36"/>
    <x v="36"/>
    <n v="180"/>
    <n v="90"/>
    <n v="72"/>
    <x v="0"/>
  </r>
  <r>
    <d v="2021-11-29T00:00:00"/>
    <x v="6"/>
    <n v="49"/>
    <s v="LUNES"/>
    <x v="11"/>
    <x v="11"/>
    <n v="810"/>
    <n v="90"/>
    <n v="137.70000000000002"/>
    <x v="0"/>
  </r>
  <r>
    <d v="2021-11-29T00:00:00"/>
    <x v="6"/>
    <n v="49"/>
    <s v="LUNES"/>
    <x v="9"/>
    <x v="9"/>
    <n v="450"/>
    <n v="90"/>
    <n v="76.5"/>
    <x v="0"/>
  </r>
  <r>
    <d v="2021-11-29T00:00:00"/>
    <x v="6"/>
    <n v="49"/>
    <s v="LUNES"/>
    <x v="23"/>
    <x v="23"/>
    <n v="450"/>
    <n v="90"/>
    <n v="76.5"/>
    <x v="0"/>
  </r>
  <r>
    <d v="2021-11-29T00:00:00"/>
    <x v="6"/>
    <n v="49"/>
    <s v="LUNES"/>
    <x v="10"/>
    <x v="10"/>
    <n v="4080"/>
    <n v="120"/>
    <n v="693.6"/>
    <x v="0"/>
  </r>
  <r>
    <d v="2021-11-29T00:00:00"/>
    <x v="6"/>
    <n v="49"/>
    <s v="LUNES"/>
    <x v="17"/>
    <x v="17"/>
    <n v="1200"/>
    <n v="120"/>
    <n v="204.00000000000003"/>
    <x v="0"/>
  </r>
  <r>
    <d v="2020-11-29T00:00:00"/>
    <x v="6"/>
    <n v="49"/>
    <s v="DOMINGO"/>
    <x v="6"/>
    <x v="6"/>
    <n v="1680"/>
    <n v="120"/>
    <n v="285.60000000000002"/>
    <x v="2"/>
  </r>
  <r>
    <d v="2021-11-29T00:00:00"/>
    <x v="6"/>
    <m/>
    <m/>
    <x v="9"/>
    <x v="9"/>
    <n v="1620"/>
    <n v="90"/>
    <n v="275.40000000000003"/>
    <x v="0"/>
  </r>
  <r>
    <d v="2021-11-20T00:00:00"/>
    <x v="6"/>
    <m/>
    <m/>
    <x v="23"/>
    <x v="23"/>
    <n v="810"/>
    <n v="90"/>
    <n v="137.70000000000002"/>
    <x v="0"/>
  </r>
  <r>
    <d v="2021-11-30T00:00:00"/>
    <x v="6"/>
    <n v="49"/>
    <s v="MARTES"/>
    <x v="28"/>
    <x v="28"/>
    <n v="150"/>
    <n v="30"/>
    <n v="34.5"/>
    <x v="0"/>
  </r>
  <r>
    <d v="2021-11-30T00:00:00"/>
    <x v="6"/>
    <n v="49"/>
    <s v="MARTES"/>
    <x v="15"/>
    <x v="15"/>
    <n v="250"/>
    <n v="50"/>
    <n v="100"/>
    <x v="0"/>
  </r>
  <r>
    <d v="2021-11-30T00:00:00"/>
    <x v="6"/>
    <n v="49"/>
    <s v="MARTES"/>
    <x v="36"/>
    <x v="36"/>
    <n v="450"/>
    <n v="90"/>
    <n v="180"/>
    <x v="0"/>
  </r>
  <r>
    <d v="2021-11-30T00:00:00"/>
    <x v="6"/>
    <n v="49"/>
    <s v="MARTES"/>
    <x v="38"/>
    <x v="38"/>
    <n v="560"/>
    <n v="112"/>
    <n v="224"/>
    <x v="0"/>
  </r>
  <r>
    <d v="2021-11-30T00:00:00"/>
    <x v="6"/>
    <n v="49"/>
    <s v="MARTES"/>
    <x v="0"/>
    <x v="0"/>
    <n v="480"/>
    <n v="48"/>
    <n v="192"/>
    <x v="0"/>
  </r>
  <r>
    <d v="2021-11-30T00:00:00"/>
    <x v="6"/>
    <n v="49"/>
    <s v="MARTES"/>
    <x v="1"/>
    <x v="1"/>
    <n v="1512"/>
    <n v="198"/>
    <n v="257.04000000000002"/>
    <x v="0"/>
  </r>
  <r>
    <d v="2021-11-30T00:00:00"/>
    <x v="6"/>
    <n v="49"/>
    <s v="MARTES"/>
    <x v="2"/>
    <x v="2"/>
    <n v="1944"/>
    <n v="198"/>
    <n v="330.48"/>
    <x v="0"/>
  </r>
  <r>
    <d v="2021-11-30T00:00:00"/>
    <x v="6"/>
    <n v="49"/>
    <s v="MARTES"/>
    <x v="34"/>
    <x v="34"/>
    <n v="432"/>
    <n v="198"/>
    <n v="73.440000000000012"/>
    <x v="0"/>
  </r>
  <r>
    <d v="2021-11-30T00:00:00"/>
    <x v="6"/>
    <n v="49"/>
    <s v="MARTES"/>
    <x v="29"/>
    <x v="29"/>
    <n v="432"/>
    <n v="198"/>
    <n v="73.440000000000012"/>
    <x v="0"/>
  </r>
  <r>
    <d v="2021-11-30T00:00:00"/>
    <x v="6"/>
    <n v="49"/>
    <s v="MARTES"/>
    <x v="3"/>
    <x v="3"/>
    <n v="792"/>
    <n v="198"/>
    <n v="134.64000000000001"/>
    <x v="0"/>
  </r>
  <r>
    <d v="2021-11-30T00:00:00"/>
    <x v="6"/>
    <n v="49"/>
    <s v="MARTES"/>
    <x v="4"/>
    <x v="4"/>
    <n v="648"/>
    <n v="162"/>
    <n v="110.16000000000001"/>
    <x v="0"/>
  </r>
  <r>
    <d v="2021-11-30T00:00:00"/>
    <x v="6"/>
    <n v="49"/>
    <s v="MARTES"/>
    <x v="5"/>
    <x v="5"/>
    <n v="648"/>
    <n v="162"/>
    <n v="110.16000000000001"/>
    <x v="0"/>
  </r>
  <r>
    <d v="2021-11-30T00:00:00"/>
    <x v="6"/>
    <n v="49"/>
    <s v="MARTES"/>
    <x v="6"/>
    <x v="6"/>
    <n v="3840"/>
    <n v="120"/>
    <n v="652.80000000000007"/>
    <x v="0"/>
  </r>
  <r>
    <d v="2021-11-30T00:00:00"/>
    <x v="6"/>
    <n v="49"/>
    <s v="MARTES"/>
    <x v="17"/>
    <x v="17"/>
    <n v="1800"/>
    <n v="120"/>
    <n v="306"/>
    <x v="0"/>
  </r>
  <r>
    <d v="2021-11-30T00:00:00"/>
    <x v="6"/>
    <n v="49"/>
    <s v="MARTES"/>
    <x v="7"/>
    <x v="7"/>
    <n v="864"/>
    <n v="198"/>
    <n v="146.88000000000002"/>
    <x v="0"/>
  </r>
  <r>
    <d v="2021-11-30T00:00:00"/>
    <x v="6"/>
    <n v="49"/>
    <s v="MARTES"/>
    <x v="8"/>
    <x v="8"/>
    <n v="1296"/>
    <n v="198"/>
    <n v="220.32000000000002"/>
    <x v="0"/>
  </r>
  <r>
    <d v="2021-11-30T00:00:00"/>
    <x v="6"/>
    <n v="49"/>
    <s v="MARTES"/>
    <x v="9"/>
    <x v="9"/>
    <n v="1800"/>
    <n v="90"/>
    <n v="306"/>
    <x v="0"/>
  </r>
  <r>
    <d v="2021-11-30T00:00:00"/>
    <x v="6"/>
    <n v="49"/>
    <s v="MARTES"/>
    <x v="10"/>
    <x v="10"/>
    <n v="5520"/>
    <n v="120"/>
    <n v="938.40000000000009"/>
    <x v="0"/>
  </r>
  <r>
    <d v="2021-11-30T00:00:00"/>
    <x v="6"/>
    <n v="49"/>
    <s v="MARTES"/>
    <x v="11"/>
    <x v="11"/>
    <n v="1440"/>
    <n v="90"/>
    <n v="244.8"/>
    <x v="0"/>
  </r>
  <r>
    <d v="2021-11-30T00:00:00"/>
    <x v="6"/>
    <n v="49"/>
    <s v="MARTES"/>
    <x v="25"/>
    <x v="25"/>
    <n v="900"/>
    <n v="225"/>
    <n v="378"/>
    <x v="0"/>
  </r>
  <r>
    <d v="2021-11-30T00:00:00"/>
    <x v="6"/>
    <n v="49"/>
    <s v="MARTES"/>
    <x v="12"/>
    <x v="12"/>
    <n v="450"/>
    <n v="225"/>
    <n v="180"/>
    <x v="0"/>
  </r>
  <r>
    <d v="2021-11-30T00:00:00"/>
    <x v="6"/>
    <n v="49"/>
    <s v="MARTES"/>
    <x v="19"/>
    <x v="19"/>
    <n v="225"/>
    <n v="225"/>
    <n v="90"/>
    <x v="0"/>
  </r>
  <r>
    <d v="2021-11-30T00:00:00"/>
    <x v="6"/>
    <n v="49"/>
    <s v="MARTES"/>
    <x v="35"/>
    <x v="35"/>
    <n v="1800"/>
    <n v="180"/>
    <n v="756"/>
    <x v="0"/>
  </r>
  <r>
    <d v="2021-11-30T00:00:00"/>
    <x v="6"/>
    <n v="49"/>
    <s v="MARTES"/>
    <x v="42"/>
    <x v="42"/>
    <n v="500"/>
    <n v="420"/>
    <n v="210"/>
    <x v="0"/>
  </r>
  <r>
    <d v="2021-11-30T00:00:00"/>
    <x v="6"/>
    <n v="49"/>
    <s v="MARTES"/>
    <x v="43"/>
    <x v="43"/>
    <n v="1000"/>
    <n v="420"/>
    <n v="420"/>
    <x v="0"/>
  </r>
  <r>
    <d v="2021-11-30T00:00:00"/>
    <x v="6"/>
    <n v="49"/>
    <s v="MARTES"/>
    <x v="25"/>
    <x v="25"/>
    <n v="1350"/>
    <n v="225"/>
    <n v="567"/>
    <x v="0"/>
  </r>
  <r>
    <d v="2021-11-30T00:00:00"/>
    <x v="6"/>
    <n v="49"/>
    <s v="MARTES"/>
    <x v="6"/>
    <x v="6"/>
    <n v="480"/>
    <n v="120"/>
    <n v="81.600000000000009"/>
    <x v="0"/>
  </r>
  <r>
    <d v="2021-11-30T00:00:00"/>
    <x v="6"/>
    <n v="49"/>
    <s v="MARTES"/>
    <x v="10"/>
    <x v="10"/>
    <n v="480"/>
    <n v="120"/>
    <n v="81.600000000000009"/>
    <x v="0"/>
  </r>
  <r>
    <d v="2021-11-30T00:00:00"/>
    <x v="6"/>
    <n v="49"/>
    <s v="MARTES"/>
    <x v="6"/>
    <x v="6"/>
    <n v="1080"/>
    <n v="120"/>
    <n v="183.60000000000002"/>
    <x v="0"/>
  </r>
  <r>
    <d v="2021-11-30T00:00:00"/>
    <x v="6"/>
    <n v="49"/>
    <s v="MARTES"/>
    <x v="17"/>
    <x v="17"/>
    <n v="4320"/>
    <n v="120"/>
    <n v="734.40000000000009"/>
    <x v="0"/>
  </r>
  <r>
    <d v="2021-11-30T00:00:00"/>
    <x v="6"/>
    <n v="49"/>
    <s v="MARTES"/>
    <x v="9"/>
    <x v="9"/>
    <n v="1260"/>
    <n v="90"/>
    <n v="214.20000000000002"/>
    <x v="0"/>
  </r>
  <r>
    <d v="2021-11-30T00:00:00"/>
    <x v="6"/>
    <n v="49"/>
    <s v="MARTES"/>
    <x v="11"/>
    <x v="11"/>
    <n v="1080"/>
    <n v="90"/>
    <n v="183.60000000000002"/>
    <x v="0"/>
  </r>
  <r>
    <d v="2021-11-30T00:00:00"/>
    <x v="6"/>
    <n v="49"/>
    <s v="MARTES"/>
    <x v="9"/>
    <x v="9"/>
    <n v="360"/>
    <n v="90"/>
    <n v="61.2"/>
    <x v="0"/>
  </r>
  <r>
    <d v="2021-11-29T00:00:00"/>
    <x v="6"/>
    <n v="49"/>
    <s v="LUNES"/>
    <x v="23"/>
    <x v="23"/>
    <n v="270"/>
    <n v="90"/>
    <n v="45.900000000000006"/>
    <x v="0"/>
  </r>
  <r>
    <d v="2021-11-30T00:00:00"/>
    <x v="6"/>
    <n v="49"/>
    <s v="MARTES"/>
    <x v="9"/>
    <x v="9"/>
    <n v="1080"/>
    <n v="90"/>
    <n v="183.60000000000002"/>
    <x v="0"/>
  </r>
  <r>
    <d v="2021-11-30T00:00:00"/>
    <x v="6"/>
    <n v="49"/>
    <s v="MARTES"/>
    <x v="42"/>
    <x v="42"/>
    <n v="500"/>
    <n v="420"/>
    <n v="210"/>
    <x v="0"/>
  </r>
  <r>
    <d v="2021-11-30T00:00:00"/>
    <x v="6"/>
    <n v="49"/>
    <s v="MARTES"/>
    <x v="43"/>
    <x v="43"/>
    <n v="750"/>
    <n v="420"/>
    <n v="315"/>
    <x v="0"/>
  </r>
  <r>
    <d v="2021-11-30T00:00:00"/>
    <x v="6"/>
    <n v="49"/>
    <s v="MARTES"/>
    <x v="9"/>
    <x v="9"/>
    <n v="360"/>
    <n v="90"/>
    <n v="61.2"/>
    <x v="0"/>
  </r>
  <r>
    <d v="2021-11-30T00:00:00"/>
    <x v="6"/>
    <n v="49"/>
    <s v="MARTES"/>
    <x v="11"/>
    <x v="11"/>
    <n v="360"/>
    <n v="90"/>
    <n v="61.2"/>
    <x v="0"/>
  </r>
  <r>
    <d v="2021-12-01T00:00:00"/>
    <x v="7"/>
    <n v="49"/>
    <s v="MIÉRCOLES"/>
    <x v="9"/>
    <x v="9"/>
    <n v="720"/>
    <n v="90"/>
    <n v="122.4"/>
    <x v="0"/>
  </r>
  <r>
    <d v="2021-12-01T00:00:00"/>
    <x v="7"/>
    <n v="49"/>
    <s v="MIÉRCOLES"/>
    <x v="15"/>
    <x v="15"/>
    <n v="300"/>
    <n v="50"/>
    <n v="120"/>
    <x v="0"/>
  </r>
  <r>
    <d v="2021-12-01T00:00:00"/>
    <x v="7"/>
    <n v="49"/>
    <s v="MIÉRCOLES"/>
    <x v="17"/>
    <x v="17"/>
    <n v="480"/>
    <n v="120"/>
    <n v="81.600000000000009"/>
    <x v="0"/>
  </r>
  <r>
    <d v="2021-12-01T00:00:00"/>
    <x v="7"/>
    <n v="49"/>
    <s v="MIÉRCOLES"/>
    <x v="10"/>
    <x v="10"/>
    <n v="240"/>
    <n v="120"/>
    <n v="40.800000000000004"/>
    <x v="0"/>
  </r>
  <r>
    <d v="2021-12-01T00:00:00"/>
    <x v="7"/>
    <n v="49"/>
    <s v="MIÉRCOLES"/>
    <x v="9"/>
    <x v="9"/>
    <n v="360"/>
    <n v="90"/>
    <n v="61.2"/>
    <x v="0"/>
  </r>
  <r>
    <d v="2021-12-01T00:00:00"/>
    <x v="7"/>
    <n v="49"/>
    <s v="MIÉRCOLES"/>
    <x v="11"/>
    <x v="11"/>
    <n v="1440"/>
    <n v="90"/>
    <n v="244.8"/>
    <x v="0"/>
  </r>
  <r>
    <d v="2021-12-01T00:00:00"/>
    <x v="7"/>
    <n v="49"/>
    <s v="MIÉRCOLES"/>
    <x v="6"/>
    <x v="6"/>
    <n v="2880"/>
    <n v="120"/>
    <n v="489.6"/>
    <x v="0"/>
  </r>
  <r>
    <d v="2021-12-01T00:00:00"/>
    <x v="7"/>
    <n v="49"/>
    <s v="MIÉRCOLES"/>
    <x v="0"/>
    <x v="0"/>
    <n v="960"/>
    <n v="48"/>
    <n v="384"/>
    <x v="0"/>
  </r>
  <r>
    <d v="2021-12-01T00:00:00"/>
    <x v="7"/>
    <n v="49"/>
    <s v="MIÉRCOLES"/>
    <x v="13"/>
    <x v="13"/>
    <n v="150"/>
    <n v="30"/>
    <n v="60"/>
    <x v="0"/>
  </r>
  <r>
    <d v="2021-12-01T00:00:00"/>
    <x v="7"/>
    <n v="49"/>
    <s v="MIÉRCOLES"/>
    <x v="28"/>
    <x v="28"/>
    <n v="30"/>
    <n v="30"/>
    <n v="6.9"/>
    <x v="0"/>
  </r>
  <r>
    <d v="2021-12-01T00:00:00"/>
    <x v="7"/>
    <n v="49"/>
    <s v="MIÉRCOLES"/>
    <x v="38"/>
    <x v="38"/>
    <n v="448"/>
    <n v="112"/>
    <n v="179.20000000000002"/>
    <x v="0"/>
  </r>
  <r>
    <d v="2021-12-01T00:00:00"/>
    <x v="7"/>
    <n v="49"/>
    <s v="MIÉRCOLES"/>
    <x v="1"/>
    <x v="1"/>
    <n v="1728"/>
    <n v="198"/>
    <n v="293.76000000000005"/>
    <x v="0"/>
  </r>
  <r>
    <d v="2021-12-01T00:00:00"/>
    <x v="7"/>
    <n v="49"/>
    <s v="MIÉRCOLES"/>
    <x v="2"/>
    <x v="2"/>
    <n v="1080"/>
    <n v="198"/>
    <n v="183.60000000000002"/>
    <x v="0"/>
  </r>
  <r>
    <d v="2021-12-01T00:00:00"/>
    <x v="7"/>
    <n v="49"/>
    <s v="MIÉRCOLES"/>
    <x v="6"/>
    <x v="6"/>
    <n v="2400"/>
    <n v="120"/>
    <n v="408.00000000000006"/>
    <x v="0"/>
  </r>
  <r>
    <d v="2021-12-01T00:00:00"/>
    <x v="7"/>
    <n v="49"/>
    <s v="MIÉRCOLES"/>
    <x v="22"/>
    <x v="22"/>
    <n v="792"/>
    <n v="198"/>
    <n v="134.64000000000001"/>
    <x v="0"/>
  </r>
  <r>
    <d v="2021-12-01T00:00:00"/>
    <x v="7"/>
    <n v="49"/>
    <s v="MIÉRCOLES"/>
    <x v="3"/>
    <x v="3"/>
    <n v="990"/>
    <n v="198"/>
    <n v="168.3"/>
    <x v="0"/>
  </r>
  <r>
    <d v="2021-12-01T00:00:00"/>
    <x v="7"/>
    <n v="49"/>
    <s v="MIÉRCOLES"/>
    <x v="8"/>
    <x v="8"/>
    <n v="1080"/>
    <n v="198"/>
    <n v="183.60000000000002"/>
    <x v="0"/>
  </r>
  <r>
    <d v="2021-12-01T00:00:00"/>
    <x v="7"/>
    <n v="49"/>
    <s v="MIÉRCOLES"/>
    <x v="17"/>
    <x v="17"/>
    <n v="2040"/>
    <n v="120"/>
    <n v="346.8"/>
    <x v="0"/>
  </r>
  <r>
    <d v="2021-12-01T00:00:00"/>
    <x v="7"/>
    <n v="49"/>
    <s v="MIÉRCOLES"/>
    <x v="10"/>
    <x v="10"/>
    <n v="6960"/>
    <n v="120"/>
    <n v="1183.2"/>
    <x v="0"/>
  </r>
  <r>
    <d v="2021-12-01T00:00:00"/>
    <x v="7"/>
    <n v="49"/>
    <s v="MIÉRCOLES"/>
    <x v="11"/>
    <x v="11"/>
    <n v="2880"/>
    <n v="90"/>
    <n v="489.6"/>
    <x v="0"/>
  </r>
  <r>
    <d v="2021-12-01T00:00:00"/>
    <x v="7"/>
    <n v="49"/>
    <s v="MIÉRCOLES"/>
    <x v="9"/>
    <x v="9"/>
    <n v="720"/>
    <n v="90"/>
    <n v="122.4"/>
    <x v="0"/>
  </r>
  <r>
    <d v="2021-12-01T00:00:00"/>
    <x v="7"/>
    <n v="49"/>
    <s v="MIÉRCOLES"/>
    <x v="20"/>
    <x v="20"/>
    <n v="720"/>
    <n v="90"/>
    <n v="122.4"/>
    <x v="0"/>
  </r>
  <r>
    <d v="2021-12-01T00:00:00"/>
    <x v="7"/>
    <n v="49"/>
    <s v="MIÉRCOLES"/>
    <x v="16"/>
    <x v="16"/>
    <n v="900"/>
    <n v="180"/>
    <n v="378"/>
    <x v="0"/>
  </r>
  <r>
    <d v="2021-12-01T00:00:00"/>
    <x v="7"/>
    <n v="49"/>
    <s v="MIÉRCOLES"/>
    <x v="36"/>
    <x v="36"/>
    <n v="450"/>
    <n v="90"/>
    <n v="180"/>
    <x v="0"/>
  </r>
  <r>
    <d v="2021-12-01T00:00:00"/>
    <x v="7"/>
    <n v="49"/>
    <s v="MIÉRCOLES"/>
    <x v="42"/>
    <x v="42"/>
    <n v="500"/>
    <n v="420"/>
    <n v="210"/>
    <x v="0"/>
  </r>
  <r>
    <d v="2021-12-01T00:00:00"/>
    <x v="7"/>
    <n v="49"/>
    <s v="MIÉRCOLES"/>
    <x v="43"/>
    <x v="43"/>
    <n v="500"/>
    <n v="420"/>
    <n v="210"/>
    <x v="0"/>
  </r>
  <r>
    <d v="2021-12-01T00:00:00"/>
    <x v="7"/>
    <n v="49"/>
    <s v="MIÉRCOLES"/>
    <x v="17"/>
    <x v="17"/>
    <n v="6120"/>
    <n v="120"/>
    <n v="1040.4000000000001"/>
    <x v="0"/>
  </r>
  <r>
    <d v="2021-12-01T00:00:00"/>
    <x v="7"/>
    <n v="49"/>
    <s v="MIÉRCOLES"/>
    <x v="10"/>
    <x v="10"/>
    <n v="1440"/>
    <n v="120"/>
    <n v="244.8"/>
    <x v="0"/>
  </r>
  <r>
    <d v="2021-12-01T00:00:00"/>
    <x v="7"/>
    <n v="49"/>
    <s v="MIÉRCOLES"/>
    <x v="9"/>
    <x v="9"/>
    <n v="1260"/>
    <n v="90"/>
    <n v="214.20000000000002"/>
    <x v="0"/>
  </r>
  <r>
    <d v="2021-12-01T00:00:00"/>
    <x v="7"/>
    <n v="49"/>
    <s v="MIÉRCOLES"/>
    <x v="23"/>
    <x v="23"/>
    <n v="1440"/>
    <n v="90"/>
    <n v="244.8"/>
    <x v="0"/>
  </r>
  <r>
    <d v="2021-12-01T00:00:00"/>
    <x v="7"/>
    <n v="49"/>
    <s v="MIÉRCOLES"/>
    <x v="6"/>
    <x v="6"/>
    <n v="2160"/>
    <n v="120"/>
    <n v="367.20000000000005"/>
    <x v="0"/>
  </r>
  <r>
    <d v="2021-12-01T00:00:00"/>
    <x v="7"/>
    <n v="49"/>
    <s v="MIÉRCOLES"/>
    <x v="26"/>
    <x v="26"/>
    <n v="450"/>
    <n v="90"/>
    <n v="76.5"/>
    <x v="0"/>
  </r>
  <r>
    <d v="2021-12-01T00:00:00"/>
    <x v="7"/>
    <n v="49"/>
    <s v="MIÉRCOLES"/>
    <x v="6"/>
    <x v="6"/>
    <n v="2400"/>
    <n v="120"/>
    <n v="408.00000000000006"/>
    <x v="0"/>
  </r>
  <r>
    <d v="2021-12-01T00:00:00"/>
    <x v="7"/>
    <n v="49"/>
    <s v="MIÉRCOLES"/>
    <x v="10"/>
    <x v="10"/>
    <n v="4560"/>
    <n v="120"/>
    <n v="775.2"/>
    <x v="0"/>
  </r>
  <r>
    <d v="2021-12-01T00:00:00"/>
    <x v="7"/>
    <n v="49"/>
    <s v="MIÉRCOLES"/>
    <x v="17"/>
    <x v="17"/>
    <n v="480"/>
    <n v="120"/>
    <n v="81.600000000000009"/>
    <x v="0"/>
  </r>
  <r>
    <d v="2021-12-02T00:00:00"/>
    <x v="7"/>
    <n v="49"/>
    <s v="JUEVES"/>
    <x v="25"/>
    <x v="25"/>
    <n v="1350"/>
    <n v="225"/>
    <n v="567"/>
    <x v="0"/>
  </r>
  <r>
    <d v="2021-12-02T00:00:00"/>
    <x v="7"/>
    <n v="49"/>
    <s v="JUEVES"/>
    <x v="12"/>
    <x v="12"/>
    <n v="900"/>
    <n v="225"/>
    <n v="360"/>
    <x v="0"/>
  </r>
  <r>
    <d v="2021-12-02T00:00:00"/>
    <x v="7"/>
    <n v="49"/>
    <s v="JUEVES"/>
    <x v="43"/>
    <x v="43"/>
    <n v="500"/>
    <n v="420"/>
    <n v="210"/>
    <x v="0"/>
  </r>
  <r>
    <d v="2021-12-02T00:00:00"/>
    <x v="7"/>
    <n v="49"/>
    <s v="JUEVES"/>
    <x v="13"/>
    <x v="13"/>
    <n v="150"/>
    <n v="30"/>
    <n v="60"/>
    <x v="0"/>
  </r>
  <r>
    <d v="2021-12-02T00:00:00"/>
    <x v="7"/>
    <n v="49"/>
    <s v="JUEVES"/>
    <x v="9"/>
    <x v="9"/>
    <n v="180"/>
    <n v="90"/>
    <n v="30.6"/>
    <x v="0"/>
  </r>
  <r>
    <d v="2021-12-02T00:00:00"/>
    <x v="7"/>
    <n v="49"/>
    <s v="JUEVES"/>
    <x v="1"/>
    <x v="1"/>
    <n v="2160"/>
    <n v="198"/>
    <n v="367.20000000000005"/>
    <x v="0"/>
  </r>
  <r>
    <d v="2021-12-02T00:00:00"/>
    <x v="7"/>
    <n v="49"/>
    <s v="JUEVES"/>
    <x v="2"/>
    <x v="2"/>
    <n v="2160"/>
    <n v="198"/>
    <n v="367.20000000000005"/>
    <x v="0"/>
  </r>
  <r>
    <d v="2021-12-02T00:00:00"/>
    <x v="7"/>
    <n v="49"/>
    <s v="JUEVES"/>
    <x v="6"/>
    <x v="6"/>
    <n v="1200"/>
    <n v="120"/>
    <n v="204.00000000000003"/>
    <x v="0"/>
  </r>
  <r>
    <d v="2021-12-02T00:00:00"/>
    <x v="7"/>
    <n v="49"/>
    <s v="JUEVES"/>
    <x v="5"/>
    <x v="5"/>
    <n v="972"/>
    <n v="162"/>
    <n v="165.24"/>
    <x v="0"/>
  </r>
  <r>
    <d v="2021-12-02T00:00:00"/>
    <x v="7"/>
    <n v="49"/>
    <s v="JUEVES"/>
    <x v="22"/>
    <x v="22"/>
    <n v="1188"/>
    <n v="198"/>
    <n v="201.96"/>
    <x v="0"/>
  </r>
  <r>
    <d v="2021-12-02T00:00:00"/>
    <x v="7"/>
    <n v="49"/>
    <s v="JUEVES"/>
    <x v="3"/>
    <x v="3"/>
    <n v="792"/>
    <n v="198"/>
    <n v="134.64000000000001"/>
    <x v="0"/>
  </r>
  <r>
    <d v="2021-12-02T00:00:00"/>
    <x v="7"/>
    <n v="49"/>
    <s v="JUEVES"/>
    <x v="8"/>
    <x v="8"/>
    <n v="1512"/>
    <n v="198"/>
    <n v="257.04000000000002"/>
    <x v="0"/>
  </r>
  <r>
    <d v="2021-12-02T00:00:00"/>
    <x v="7"/>
    <n v="49"/>
    <s v="JUEVES"/>
    <x v="4"/>
    <x v="4"/>
    <n v="1296"/>
    <n v="162"/>
    <n v="220.32000000000002"/>
    <x v="0"/>
  </r>
  <r>
    <d v="2021-12-02T00:00:00"/>
    <x v="7"/>
    <n v="49"/>
    <s v="JUEVES"/>
    <x v="17"/>
    <x v="17"/>
    <n v="1200"/>
    <n v="120"/>
    <n v="204.00000000000003"/>
    <x v="0"/>
  </r>
  <r>
    <d v="2021-12-02T00:00:00"/>
    <x v="7"/>
    <n v="49"/>
    <s v="JUEVES"/>
    <x v="10"/>
    <x v="10"/>
    <n v="7320"/>
    <n v="120"/>
    <n v="1244.4000000000001"/>
    <x v="0"/>
  </r>
  <r>
    <d v="2021-12-02T00:00:00"/>
    <x v="7"/>
    <n v="49"/>
    <s v="JUEVES"/>
    <x v="20"/>
    <x v="20"/>
    <n v="360"/>
    <n v="90"/>
    <n v="61.2"/>
    <x v="0"/>
  </r>
  <r>
    <d v="2021-12-02T00:00:00"/>
    <x v="7"/>
    <n v="49"/>
    <s v="JUEVES"/>
    <x v="0"/>
    <x v="0"/>
    <n v="960"/>
    <n v="48"/>
    <n v="384"/>
    <x v="0"/>
  </r>
  <r>
    <d v="2021-12-02T00:00:00"/>
    <x v="7"/>
    <n v="49"/>
    <s v="JUEVES"/>
    <x v="9"/>
    <x v="9"/>
    <n v="900"/>
    <n v="90"/>
    <n v="153"/>
    <x v="0"/>
  </r>
  <r>
    <d v="2021-12-02T00:00:00"/>
    <x v="7"/>
    <n v="49"/>
    <s v="JUEVES"/>
    <x v="36"/>
    <x v="36"/>
    <n v="450"/>
    <n v="90"/>
    <n v="180"/>
    <x v="0"/>
  </r>
  <r>
    <d v="2021-12-02T00:00:00"/>
    <x v="7"/>
    <n v="49"/>
    <s v="JUEVES"/>
    <x v="9"/>
    <x v="9"/>
    <n v="2160"/>
    <n v="90"/>
    <n v="367.20000000000005"/>
    <x v="0"/>
  </r>
  <r>
    <d v="2021-12-02T00:00:00"/>
    <x v="7"/>
    <n v="49"/>
    <s v="JUEVES"/>
    <x v="11"/>
    <x v="11"/>
    <n v="720"/>
    <n v="90"/>
    <n v="122.4"/>
    <x v="0"/>
  </r>
  <r>
    <d v="2021-12-02T00:00:00"/>
    <x v="7"/>
    <n v="49"/>
    <s v="JUEVES"/>
    <x v="6"/>
    <x v="6"/>
    <n v="3360"/>
    <n v="120"/>
    <n v="571.20000000000005"/>
    <x v="0"/>
  </r>
  <r>
    <d v="2021-12-02T00:00:00"/>
    <x v="7"/>
    <n v="49"/>
    <s v="JUEVES"/>
    <x v="17"/>
    <x v="17"/>
    <n v="3840"/>
    <n v="120"/>
    <n v="652.80000000000007"/>
    <x v="0"/>
  </r>
  <r>
    <d v="2021-12-02T00:00:00"/>
    <x v="7"/>
    <n v="49"/>
    <s v="JUEVES"/>
    <x v="10"/>
    <x v="10"/>
    <n v="4200"/>
    <n v="120"/>
    <n v="714"/>
    <x v="0"/>
  </r>
  <r>
    <d v="2021-12-03T00:00:00"/>
    <x v="7"/>
    <n v="49"/>
    <s v="VIERNES"/>
    <x v="25"/>
    <x v="25"/>
    <n v="900"/>
    <n v="225"/>
    <n v="378"/>
    <x v="0"/>
  </r>
  <r>
    <d v="2021-12-03T00:00:00"/>
    <x v="7"/>
    <n v="49"/>
    <s v="VIERNES"/>
    <x v="1"/>
    <x v="1"/>
    <n v="1080"/>
    <n v="198"/>
    <n v="183.60000000000002"/>
    <x v="0"/>
  </r>
  <r>
    <d v="2021-12-03T00:00:00"/>
    <x v="7"/>
    <n v="49"/>
    <s v="VIERNES"/>
    <x v="2"/>
    <x v="2"/>
    <n v="1080"/>
    <n v="198"/>
    <n v="183.60000000000002"/>
    <x v="0"/>
  </r>
  <r>
    <d v="2021-12-03T00:00:00"/>
    <x v="7"/>
    <n v="49"/>
    <s v="VIERNES"/>
    <x v="6"/>
    <x v="6"/>
    <n v="2400"/>
    <n v="120"/>
    <n v="408.00000000000006"/>
    <x v="0"/>
  </r>
  <r>
    <d v="2021-12-03T00:00:00"/>
    <x v="7"/>
    <n v="49"/>
    <s v="VIERNES"/>
    <x v="17"/>
    <x v="17"/>
    <n v="1800"/>
    <n v="120"/>
    <n v="306"/>
    <x v="0"/>
  </r>
  <r>
    <d v="2021-12-03T00:00:00"/>
    <x v="7"/>
    <n v="49"/>
    <s v="VIERNES"/>
    <x v="7"/>
    <x v="7"/>
    <n v="4320"/>
    <n v="198"/>
    <n v="734.40000000000009"/>
    <x v="0"/>
  </r>
  <r>
    <d v="2021-12-03T00:00:00"/>
    <x v="7"/>
    <n v="49"/>
    <s v="VIERNES"/>
    <x v="9"/>
    <x v="9"/>
    <n v="1440"/>
    <n v="90"/>
    <n v="244.8"/>
    <x v="0"/>
  </r>
  <r>
    <d v="2021-12-03T00:00:00"/>
    <x v="7"/>
    <n v="49"/>
    <s v="VIERNES"/>
    <x v="10"/>
    <x v="10"/>
    <n v="4320"/>
    <n v="120"/>
    <n v="734.40000000000009"/>
    <x v="0"/>
  </r>
  <r>
    <d v="2021-12-03T00:00:00"/>
    <x v="7"/>
    <n v="49"/>
    <s v="VIERNES"/>
    <x v="11"/>
    <x v="11"/>
    <n v="3600"/>
    <n v="90"/>
    <n v="612"/>
    <x v="0"/>
  </r>
  <r>
    <d v="2021-12-03T00:00:00"/>
    <x v="7"/>
    <n v="49"/>
    <s v="VIERNES"/>
    <x v="23"/>
    <x v="23"/>
    <n v="1440"/>
    <n v="90"/>
    <n v="244.8"/>
    <x v="0"/>
  </r>
  <r>
    <d v="2021-12-03T00:00:00"/>
    <x v="7"/>
    <n v="49"/>
    <s v="VIERNES"/>
    <x v="25"/>
    <x v="25"/>
    <n v="450"/>
    <n v="225"/>
    <n v="189"/>
    <x v="0"/>
  </r>
  <r>
    <d v="2021-12-03T00:00:00"/>
    <x v="7"/>
    <n v="49"/>
    <s v="VIERNES"/>
    <x v="19"/>
    <x v="19"/>
    <n v="675"/>
    <n v="225"/>
    <n v="270"/>
    <x v="0"/>
  </r>
  <r>
    <d v="2021-12-03T00:00:00"/>
    <x v="7"/>
    <n v="49"/>
    <s v="VIERNES"/>
    <x v="35"/>
    <x v="35"/>
    <n v="900"/>
    <n v="180"/>
    <n v="378"/>
    <x v="0"/>
  </r>
  <r>
    <d v="2021-12-03T00:00:00"/>
    <x v="7"/>
    <n v="49"/>
    <s v="VIERNES"/>
    <x v="42"/>
    <x v="42"/>
    <n v="1000"/>
    <n v="420"/>
    <n v="420"/>
    <x v="0"/>
  </r>
  <r>
    <d v="2021-12-03T00:00:00"/>
    <x v="7"/>
    <n v="49"/>
    <s v="VIERNES"/>
    <x v="43"/>
    <x v="43"/>
    <n v="500"/>
    <n v="420"/>
    <n v="210"/>
    <x v="0"/>
  </r>
  <r>
    <d v="2021-12-03T00:00:00"/>
    <x v="7"/>
    <n v="49"/>
    <s v="VIERNES"/>
    <x v="14"/>
    <x v="14"/>
    <n v="120"/>
    <n v="40"/>
    <n v="27.6"/>
    <x v="0"/>
  </r>
  <r>
    <d v="2021-12-03T00:00:00"/>
    <x v="7"/>
    <n v="49"/>
    <s v="VIERNES"/>
    <x v="15"/>
    <x v="15"/>
    <n v="400"/>
    <n v="50"/>
    <n v="160"/>
    <x v="0"/>
  </r>
  <r>
    <d v="2021-12-03T00:00:00"/>
    <x v="7"/>
    <n v="49"/>
    <s v="VIERNES"/>
    <x v="36"/>
    <x v="36"/>
    <n v="360"/>
    <n v="90"/>
    <n v="144"/>
    <x v="0"/>
  </r>
  <r>
    <d v="2021-12-03T00:00:00"/>
    <x v="7"/>
    <n v="49"/>
    <s v="VIERNES"/>
    <x v="38"/>
    <x v="38"/>
    <n v="1008"/>
    <n v="112"/>
    <n v="403.20000000000005"/>
    <x v="0"/>
  </r>
  <r>
    <d v="2021-12-03T00:00:00"/>
    <x v="7"/>
    <n v="49"/>
    <s v="VIERNES"/>
    <x v="7"/>
    <x v="7"/>
    <n v="2160"/>
    <n v="198"/>
    <n v="367.20000000000005"/>
    <x v="0"/>
  </r>
  <r>
    <d v="2021-12-03T00:00:00"/>
    <x v="7"/>
    <n v="49"/>
    <s v="VIERNES"/>
    <x v="8"/>
    <x v="8"/>
    <n v="2160"/>
    <n v="198"/>
    <n v="367.20000000000005"/>
    <x v="0"/>
  </r>
  <r>
    <d v="2021-12-03T00:00:00"/>
    <x v="7"/>
    <n v="49"/>
    <s v="VIERNES"/>
    <x v="22"/>
    <x v="22"/>
    <n v="1980"/>
    <n v="198"/>
    <n v="336.6"/>
    <x v="0"/>
  </r>
  <r>
    <d v="2021-12-03T00:00:00"/>
    <x v="7"/>
    <n v="49"/>
    <s v="VIERNES"/>
    <x v="6"/>
    <x v="6"/>
    <n v="2880"/>
    <n v="120"/>
    <n v="489.6"/>
    <x v="0"/>
  </r>
  <r>
    <d v="2021-12-03T00:00:00"/>
    <x v="7"/>
    <n v="49"/>
    <s v="VIERNES"/>
    <x v="10"/>
    <x v="10"/>
    <n v="4320"/>
    <n v="120"/>
    <n v="734.40000000000009"/>
    <x v="0"/>
  </r>
  <r>
    <d v="2021-12-03T00:00:00"/>
    <x v="7"/>
    <n v="49"/>
    <s v="VIERNES"/>
    <x v="9"/>
    <x v="9"/>
    <n v="720"/>
    <n v="90"/>
    <n v="122.4"/>
    <x v="0"/>
  </r>
  <r>
    <d v="2021-12-04T00:00:00"/>
    <x v="7"/>
    <n v="50"/>
    <s v="SÁBADO"/>
    <x v="28"/>
    <x v="28"/>
    <n v="90"/>
    <n v="30"/>
    <n v="20.7"/>
    <x v="0"/>
  </r>
  <r>
    <d v="2021-12-04T00:00:00"/>
    <x v="7"/>
    <n v="50"/>
    <s v="SÁBADO"/>
    <x v="0"/>
    <x v="0"/>
    <n v="1440"/>
    <n v="48"/>
    <n v="576"/>
    <x v="0"/>
  </r>
  <r>
    <d v="2021-12-04T00:00:00"/>
    <x v="7"/>
    <n v="50"/>
    <s v="SÁBADO"/>
    <x v="16"/>
    <x v="16"/>
    <n v="1080"/>
    <n v="180"/>
    <n v="453.59999999999997"/>
    <x v="0"/>
  </r>
  <r>
    <d v="2021-12-04T00:00:00"/>
    <x v="7"/>
    <n v="50"/>
    <s v="SÁBADO"/>
    <x v="34"/>
    <x v="34"/>
    <n v="216"/>
    <n v="198"/>
    <n v="36.720000000000006"/>
    <x v="0"/>
  </r>
  <r>
    <d v="2021-12-04T00:00:00"/>
    <x v="7"/>
    <n v="50"/>
    <s v="SÁBADO"/>
    <x v="29"/>
    <x v="29"/>
    <n v="216"/>
    <n v="198"/>
    <n v="36.720000000000006"/>
    <x v="0"/>
  </r>
  <r>
    <d v="2021-12-04T00:00:00"/>
    <x v="7"/>
    <n v="50"/>
    <s v="SÁBADO"/>
    <x v="6"/>
    <x v="6"/>
    <n v="3360"/>
    <n v="120"/>
    <n v="571.20000000000005"/>
    <x v="0"/>
  </r>
  <r>
    <d v="2021-12-04T00:00:00"/>
    <x v="7"/>
    <n v="50"/>
    <s v="SÁBADO"/>
    <x v="10"/>
    <x v="10"/>
    <n v="6480"/>
    <n v="120"/>
    <n v="1101.6000000000001"/>
    <x v="0"/>
  </r>
  <r>
    <d v="2021-12-04T00:00:00"/>
    <x v="7"/>
    <n v="50"/>
    <s v="SÁBADO"/>
    <x v="25"/>
    <x v="25"/>
    <n v="1800"/>
    <n v="225"/>
    <n v="756"/>
    <x v="0"/>
  </r>
  <r>
    <d v="2021-12-04T00:00:00"/>
    <x v="7"/>
    <n v="50"/>
    <s v="SÁBADO"/>
    <x v="35"/>
    <x v="35"/>
    <n v="540"/>
    <n v="180"/>
    <n v="226.79999999999998"/>
    <x v="0"/>
  </r>
  <r>
    <d v="2021-12-04T00:00:00"/>
    <x v="7"/>
    <n v="50"/>
    <s v="SÁBADO"/>
    <x v="10"/>
    <x v="10"/>
    <n v="1440"/>
    <n v="120"/>
    <n v="244.8"/>
    <x v="0"/>
  </r>
  <r>
    <d v="2021-12-04T00:00:00"/>
    <x v="7"/>
    <n v="50"/>
    <s v="SÁBADO"/>
    <x v="17"/>
    <x v="17"/>
    <n v="480"/>
    <n v="120"/>
    <n v="81.600000000000009"/>
    <x v="0"/>
  </r>
  <r>
    <d v="2021-12-04T00:00:00"/>
    <x v="7"/>
    <n v="50"/>
    <s v="SÁBADO"/>
    <x v="1"/>
    <x v="1"/>
    <n v="5400"/>
    <n v="198"/>
    <n v="918.00000000000011"/>
    <x v="0"/>
  </r>
  <r>
    <d v="2021-12-04T00:00:00"/>
    <x v="7"/>
    <n v="50"/>
    <s v="SÁBADO"/>
    <x v="7"/>
    <x v="7"/>
    <n v="4320"/>
    <n v="198"/>
    <n v="734.40000000000009"/>
    <x v="0"/>
  </r>
  <r>
    <d v="2021-12-06T00:00:00"/>
    <x v="7"/>
    <n v="50"/>
    <s v="LUNES"/>
    <x v="40"/>
    <x v="40"/>
    <n v="560"/>
    <n v="240"/>
    <n v="224"/>
    <x v="0"/>
  </r>
  <r>
    <d v="2021-12-06T00:00:00"/>
    <x v="7"/>
    <n v="50"/>
    <s v="LUNES"/>
    <x v="38"/>
    <x v="38"/>
    <n v="224"/>
    <n v="112"/>
    <n v="89.600000000000009"/>
    <x v="0"/>
  </r>
  <r>
    <d v="2021-12-06T00:00:00"/>
    <x v="7"/>
    <n v="50"/>
    <s v="LUNES"/>
    <x v="0"/>
    <x v="0"/>
    <n v="1440"/>
    <n v="48"/>
    <n v="576"/>
    <x v="0"/>
  </r>
  <r>
    <d v="2021-12-06T00:00:00"/>
    <x v="7"/>
    <n v="50"/>
    <s v="LUNES"/>
    <x v="1"/>
    <x v="1"/>
    <n v="2160"/>
    <n v="198"/>
    <n v="367.20000000000005"/>
    <x v="0"/>
  </r>
  <r>
    <d v="2021-12-06T00:00:00"/>
    <x v="7"/>
    <n v="50"/>
    <s v="LUNES"/>
    <x v="2"/>
    <x v="2"/>
    <n v="1080"/>
    <n v="198"/>
    <n v="183.60000000000002"/>
    <x v="0"/>
  </r>
  <r>
    <d v="2021-12-06T00:00:00"/>
    <x v="7"/>
    <n v="50"/>
    <s v="LUNES"/>
    <x v="6"/>
    <x v="6"/>
    <n v="2400"/>
    <n v="120"/>
    <n v="408.00000000000006"/>
    <x v="0"/>
  </r>
  <r>
    <d v="2021-12-06T00:00:00"/>
    <x v="7"/>
    <n v="50"/>
    <s v="LUNES"/>
    <x v="17"/>
    <x v="17"/>
    <n v="1800"/>
    <n v="120"/>
    <n v="306"/>
    <x v="0"/>
  </r>
  <r>
    <d v="2021-12-06T00:00:00"/>
    <x v="7"/>
    <n v="50"/>
    <s v="LUNES"/>
    <x v="7"/>
    <x v="7"/>
    <n v="2160"/>
    <n v="198"/>
    <n v="367.20000000000005"/>
    <x v="0"/>
  </r>
  <r>
    <d v="2021-12-06T00:00:00"/>
    <x v="7"/>
    <n v="50"/>
    <s v="LUNES"/>
    <x v="9"/>
    <x v="9"/>
    <n v="720"/>
    <n v="90"/>
    <n v="122.4"/>
    <x v="0"/>
  </r>
  <r>
    <d v="2021-12-06T00:00:00"/>
    <x v="7"/>
    <n v="50"/>
    <s v="LUNES"/>
    <x v="10"/>
    <x v="10"/>
    <n v="2400"/>
    <n v="120"/>
    <n v="408.00000000000006"/>
    <x v="0"/>
  </r>
  <r>
    <d v="2021-12-06T00:00:00"/>
    <x v="7"/>
    <n v="50"/>
    <s v="LUNES"/>
    <x v="23"/>
    <x v="23"/>
    <n v="720"/>
    <n v="90"/>
    <n v="122.4"/>
    <x v="0"/>
  </r>
  <r>
    <d v="2021-12-06T00:00:00"/>
    <x v="7"/>
    <n v="50"/>
    <s v="LUNES"/>
    <x v="11"/>
    <x v="11"/>
    <n v="2160"/>
    <n v="90"/>
    <n v="367.20000000000005"/>
    <x v="0"/>
  </r>
  <r>
    <d v="2021-12-06T00:00:00"/>
    <x v="7"/>
    <n v="50"/>
    <s v="LUNES"/>
    <x v="38"/>
    <x v="38"/>
    <n v="336"/>
    <n v="112"/>
    <n v="134.4"/>
    <x v="0"/>
  </r>
  <r>
    <d v="2021-12-06T00:00:00"/>
    <x v="7"/>
    <n v="50"/>
    <s v="LUNES"/>
    <x v="43"/>
    <x v="43"/>
    <n v="750"/>
    <n v="420"/>
    <n v="315"/>
    <x v="0"/>
  </r>
  <r>
    <d v="2021-12-06T00:00:00"/>
    <x v="7"/>
    <n v="50"/>
    <s v="LUNES"/>
    <x v="11"/>
    <x v="11"/>
    <n v="1440"/>
    <n v="90"/>
    <n v="244.8"/>
    <x v="0"/>
  </r>
  <r>
    <d v="2021-12-06T00:00:00"/>
    <x v="7"/>
    <n v="50"/>
    <s v="LUNES"/>
    <x v="10"/>
    <x v="10"/>
    <n v="6480"/>
    <n v="120"/>
    <n v="1101.6000000000001"/>
    <x v="0"/>
  </r>
  <r>
    <d v="2021-12-06T00:00:00"/>
    <x v="7"/>
    <n v="50"/>
    <s v="LUNES"/>
    <x v="11"/>
    <x v="11"/>
    <n v="2160"/>
    <n v="90"/>
    <n v="367.20000000000005"/>
    <x v="0"/>
  </r>
  <r>
    <d v="2021-12-06T00:00:00"/>
    <x v="7"/>
    <n v="50"/>
    <s v="LUNES"/>
    <x v="23"/>
    <x v="23"/>
    <n v="2700"/>
    <n v="90"/>
    <n v="459.00000000000006"/>
    <x v="0"/>
  </r>
  <r>
    <d v="2021-12-07T00:00:00"/>
    <x v="7"/>
    <n v="50"/>
    <s v="MARTES"/>
    <x v="64"/>
    <x v="48"/>
    <n v="60"/>
    <n v="30"/>
    <n v="12.6"/>
    <x v="0"/>
  </r>
  <r>
    <d v="2021-12-07T00:00:00"/>
    <x v="7"/>
    <n v="50"/>
    <s v="MARTES"/>
    <x v="15"/>
    <x v="15"/>
    <n v="450"/>
    <n v="50"/>
    <n v="180"/>
    <x v="0"/>
  </r>
  <r>
    <d v="2021-12-07T00:00:00"/>
    <x v="7"/>
    <n v="50"/>
    <s v="MARTES"/>
    <x v="38"/>
    <x v="38"/>
    <n v="224"/>
    <n v="112"/>
    <n v="89.600000000000009"/>
    <x v="0"/>
  </r>
  <r>
    <d v="2021-12-07T00:00:00"/>
    <x v="7"/>
    <n v="50"/>
    <s v="MARTES"/>
    <x v="1"/>
    <x v="1"/>
    <n v="2160"/>
    <n v="198"/>
    <n v="367.20000000000005"/>
    <x v="0"/>
  </r>
  <r>
    <d v="2021-12-07T00:00:00"/>
    <x v="7"/>
    <n v="50"/>
    <s v="MARTES"/>
    <x v="2"/>
    <x v="2"/>
    <n v="2160"/>
    <n v="198"/>
    <n v="367.20000000000005"/>
    <x v="0"/>
  </r>
  <r>
    <d v="2021-12-07T00:00:00"/>
    <x v="7"/>
    <n v="50"/>
    <s v="MARTES"/>
    <x v="22"/>
    <x v="22"/>
    <n v="594"/>
    <n v="198"/>
    <n v="100.98"/>
    <x v="0"/>
  </r>
  <r>
    <d v="2021-12-07T00:00:00"/>
    <x v="7"/>
    <n v="50"/>
    <s v="MARTES"/>
    <x v="3"/>
    <x v="3"/>
    <n v="1782"/>
    <n v="198"/>
    <n v="302.94"/>
    <x v="0"/>
  </r>
  <r>
    <d v="2021-12-07T00:00:00"/>
    <x v="7"/>
    <n v="50"/>
    <s v="MARTES"/>
    <x v="5"/>
    <x v="5"/>
    <n v="486"/>
    <n v="162"/>
    <n v="82.62"/>
    <x v="0"/>
  </r>
  <r>
    <d v="2021-12-07T00:00:00"/>
    <x v="7"/>
    <n v="50"/>
    <s v="MARTES"/>
    <x v="6"/>
    <x v="6"/>
    <n v="1080"/>
    <n v="120"/>
    <n v="183.60000000000002"/>
    <x v="0"/>
  </r>
  <r>
    <d v="2021-12-07T00:00:00"/>
    <x v="7"/>
    <n v="50"/>
    <s v="MARTES"/>
    <x v="8"/>
    <x v="8"/>
    <n v="3240"/>
    <n v="198"/>
    <n v="550.80000000000007"/>
    <x v="0"/>
  </r>
  <r>
    <d v="2021-12-07T00:00:00"/>
    <x v="7"/>
    <n v="50"/>
    <s v="MARTES"/>
    <x v="10"/>
    <x v="10"/>
    <n v="6000"/>
    <n v="120"/>
    <n v="1020.0000000000001"/>
    <x v="0"/>
  </r>
  <r>
    <d v="2021-12-07T00:00:00"/>
    <x v="7"/>
    <n v="50"/>
    <s v="MARTES"/>
    <x v="23"/>
    <x v="23"/>
    <n v="720"/>
    <n v="90"/>
    <n v="122.4"/>
    <x v="0"/>
  </r>
  <r>
    <d v="2021-12-07T00:00:00"/>
    <x v="7"/>
    <n v="50"/>
    <s v="MARTES"/>
    <x v="11"/>
    <x v="11"/>
    <n v="3600"/>
    <n v="90"/>
    <n v="612"/>
    <x v="0"/>
  </r>
  <r>
    <d v="2021-12-07T00:00:00"/>
    <x v="7"/>
    <n v="50"/>
    <s v="MARTES"/>
    <x v="42"/>
    <x v="42"/>
    <n v="500"/>
    <n v="420"/>
    <n v="210"/>
    <x v="0"/>
  </r>
  <r>
    <d v="2021-12-07T00:00:00"/>
    <x v="7"/>
    <n v="50"/>
    <s v="MARTES"/>
    <x v="43"/>
    <x v="43"/>
    <n v="1000"/>
    <n v="420"/>
    <n v="420"/>
    <x v="0"/>
  </r>
  <r>
    <d v="2021-12-07T00:00:00"/>
    <x v="7"/>
    <n v="50"/>
    <s v="MARTES"/>
    <x v="64"/>
    <x v="48"/>
    <m/>
    <n v="30"/>
    <n v="0"/>
    <x v="0"/>
  </r>
  <r>
    <d v="2021-12-07T00:00:00"/>
    <x v="7"/>
    <n v="50"/>
    <s v="MARTES"/>
    <x v="10"/>
    <x v="10"/>
    <n v="9120"/>
    <n v="120"/>
    <n v="1550.4"/>
    <x v="0"/>
  </r>
  <r>
    <d v="2021-12-07T00:00:00"/>
    <x v="7"/>
    <n v="50"/>
    <s v="MARTES"/>
    <x v="11"/>
    <x v="11"/>
    <n v="1440"/>
    <n v="90"/>
    <n v="244.8"/>
    <x v="0"/>
  </r>
  <r>
    <d v="2021-12-07T00:00:00"/>
    <x v="7"/>
    <n v="50"/>
    <s v="MARTES"/>
    <x v="26"/>
    <x v="26"/>
    <n v="1260"/>
    <n v="90"/>
    <n v="214.20000000000002"/>
    <x v="0"/>
  </r>
  <r>
    <d v="2021-12-07T00:00:00"/>
    <x v="7"/>
    <n v="50"/>
    <s v="MARTES"/>
    <x v="2"/>
    <x v="2"/>
    <n v="216"/>
    <n v="198"/>
    <n v="36.720000000000006"/>
    <x v="0"/>
  </r>
  <r>
    <d v="2021-12-08T00:00:00"/>
    <x v="7"/>
    <n v="50"/>
    <s v="MIÉRCOLES"/>
    <x v="28"/>
    <x v="28"/>
    <n v="300"/>
    <n v="30"/>
    <n v="69"/>
    <x v="0"/>
  </r>
  <r>
    <d v="2021-12-08T00:00:00"/>
    <x v="7"/>
    <n v="50"/>
    <s v="MIÉRCOLES"/>
    <x v="13"/>
    <x v="13"/>
    <n v="60"/>
    <n v="30"/>
    <n v="24"/>
    <x v="0"/>
  </r>
  <r>
    <d v="2021-12-08T00:00:00"/>
    <x v="7"/>
    <n v="50"/>
    <s v="MIÉRCOLES"/>
    <x v="38"/>
    <x v="38"/>
    <n v="448"/>
    <n v="112"/>
    <n v="179.20000000000002"/>
    <x v="0"/>
  </r>
  <r>
    <d v="2021-12-08T00:00:00"/>
    <x v="7"/>
    <n v="50"/>
    <s v="MIÉRCOLES"/>
    <x v="16"/>
    <x v="16"/>
    <n v="900"/>
    <n v="180"/>
    <n v="378"/>
    <x v="0"/>
  </r>
  <r>
    <d v="2021-12-08T00:00:00"/>
    <x v="7"/>
    <n v="50"/>
    <s v="MIÉRCOLES"/>
    <x v="1"/>
    <x v="1"/>
    <n v="3240"/>
    <n v="198"/>
    <n v="550.80000000000007"/>
    <x v="0"/>
  </r>
  <r>
    <d v="2021-12-08T00:00:00"/>
    <x v="7"/>
    <n v="50"/>
    <s v="MIÉRCOLES"/>
    <x v="2"/>
    <x v="2"/>
    <n v="1728"/>
    <n v="198"/>
    <n v="293.76000000000005"/>
    <x v="0"/>
  </r>
  <r>
    <d v="2021-12-08T00:00:00"/>
    <x v="7"/>
    <n v="50"/>
    <s v="MIÉRCOLES"/>
    <x v="22"/>
    <x v="22"/>
    <n v="396"/>
    <n v="198"/>
    <n v="67.320000000000007"/>
    <x v="0"/>
  </r>
  <r>
    <d v="2021-12-08T00:00:00"/>
    <x v="7"/>
    <n v="50"/>
    <s v="MIÉRCOLES"/>
    <x v="3"/>
    <x v="3"/>
    <n v="990"/>
    <n v="198"/>
    <n v="168.3"/>
    <x v="0"/>
  </r>
  <r>
    <d v="2021-12-08T00:00:00"/>
    <x v="7"/>
    <n v="50"/>
    <s v="MIÉRCOLES"/>
    <x v="4"/>
    <x v="4"/>
    <n v="810"/>
    <n v="162"/>
    <n v="137.70000000000002"/>
    <x v="0"/>
  </r>
  <r>
    <d v="2021-12-08T00:00:00"/>
    <x v="7"/>
    <n v="50"/>
    <s v="MIÉRCOLES"/>
    <x v="5"/>
    <x v="5"/>
    <n v="810"/>
    <n v="162"/>
    <n v="137.70000000000002"/>
    <x v="0"/>
  </r>
  <r>
    <d v="2021-12-08T00:00:00"/>
    <x v="7"/>
    <n v="50"/>
    <s v="MIÉRCOLES"/>
    <x v="6"/>
    <x v="6"/>
    <n v="2400"/>
    <n v="120"/>
    <n v="408.00000000000006"/>
    <x v="0"/>
  </r>
  <r>
    <d v="2021-12-08T00:00:00"/>
    <x v="7"/>
    <n v="50"/>
    <s v="MIÉRCOLES"/>
    <x v="17"/>
    <x v="17"/>
    <n v="600"/>
    <n v="120"/>
    <n v="102.00000000000001"/>
    <x v="0"/>
  </r>
  <r>
    <d v="2021-12-08T00:00:00"/>
    <x v="7"/>
    <n v="50"/>
    <s v="MIÉRCOLES"/>
    <x v="7"/>
    <x v="7"/>
    <n v="4320"/>
    <n v="198"/>
    <n v="734.40000000000009"/>
    <x v="0"/>
  </r>
  <r>
    <d v="2021-12-08T00:00:00"/>
    <x v="7"/>
    <n v="50"/>
    <s v="MIÉRCOLES"/>
    <x v="8"/>
    <x v="8"/>
    <n v="1080"/>
    <n v="198"/>
    <n v="183.60000000000002"/>
    <x v="0"/>
  </r>
  <r>
    <d v="2021-12-08T00:00:00"/>
    <x v="7"/>
    <n v="50"/>
    <s v="MIÉRCOLES"/>
    <x v="9"/>
    <x v="9"/>
    <n v="1260"/>
    <n v="90"/>
    <n v="214.20000000000002"/>
    <x v="0"/>
  </r>
  <r>
    <d v="2021-12-08T00:00:00"/>
    <x v="7"/>
    <n v="50"/>
    <s v="MIÉRCOLES"/>
    <x v="10"/>
    <x v="10"/>
    <n v="2400"/>
    <n v="120"/>
    <n v="408.00000000000006"/>
    <x v="0"/>
  </r>
  <r>
    <d v="2021-12-08T00:00:00"/>
    <x v="7"/>
    <n v="50"/>
    <s v="MIÉRCOLES"/>
    <x v="20"/>
    <x v="20"/>
    <n v="270"/>
    <n v="90"/>
    <n v="45.900000000000006"/>
    <x v="0"/>
  </r>
  <r>
    <d v="2021-12-08T00:00:00"/>
    <x v="7"/>
    <n v="50"/>
    <s v="MIÉRCOLES"/>
    <x v="25"/>
    <x v="25"/>
    <n v="2250"/>
    <n v="225"/>
    <n v="945"/>
    <x v="0"/>
  </r>
  <r>
    <d v="2021-12-08T00:00:00"/>
    <x v="7"/>
    <n v="50"/>
    <s v="MIÉRCOLES"/>
    <x v="12"/>
    <x v="12"/>
    <n v="450"/>
    <n v="225"/>
    <n v="180"/>
    <x v="0"/>
  </r>
  <r>
    <d v="2021-12-08T00:00:00"/>
    <x v="7"/>
    <n v="50"/>
    <s v="MIÉRCOLES"/>
    <x v="19"/>
    <x v="19"/>
    <n v="225"/>
    <n v="225"/>
    <n v="90"/>
    <x v="0"/>
  </r>
  <r>
    <d v="2021-12-08T00:00:00"/>
    <x v="7"/>
    <n v="50"/>
    <s v="MIÉRCOLES"/>
    <x v="42"/>
    <x v="42"/>
    <n v="750"/>
    <n v="420"/>
    <n v="315"/>
    <x v="0"/>
  </r>
  <r>
    <d v="2021-12-08T00:00:00"/>
    <x v="7"/>
    <n v="50"/>
    <s v="MIÉRCOLES"/>
    <x v="43"/>
    <x v="43"/>
    <n v="750"/>
    <n v="420"/>
    <n v="315"/>
    <x v="0"/>
  </r>
  <r>
    <d v="2021-12-08T00:00:00"/>
    <x v="7"/>
    <n v="50"/>
    <s v="MIÉRCOLES"/>
    <x v="64"/>
    <x v="48"/>
    <n v="1800"/>
    <n v="30"/>
    <n v="378"/>
    <x v="0"/>
  </r>
  <r>
    <d v="2021-12-08T00:00:00"/>
    <x v="7"/>
    <n v="50"/>
    <s v="MIÉRCOLES"/>
    <x v="23"/>
    <x v="23"/>
    <n v="90"/>
    <n v="90"/>
    <n v="15.3"/>
    <x v="0"/>
  </r>
  <r>
    <d v="2021-12-08T00:00:00"/>
    <x v="7"/>
    <n v="50"/>
    <s v="MIÉRCOLES"/>
    <x v="10"/>
    <x v="10"/>
    <n v="9120"/>
    <n v="120"/>
    <n v="1550.4"/>
    <x v="0"/>
  </r>
  <r>
    <d v="2021-12-08T00:00:00"/>
    <x v="7"/>
    <n v="50"/>
    <s v="MIÉRCOLES"/>
    <x v="23"/>
    <x v="23"/>
    <n v="360"/>
    <n v="90"/>
    <n v="61.2"/>
    <x v="0"/>
  </r>
  <r>
    <d v="2021-12-08T00:00:00"/>
    <x v="7"/>
    <n v="50"/>
    <s v="MIÉRCOLES"/>
    <x v="22"/>
    <x v="22"/>
    <n v="792"/>
    <n v="198"/>
    <n v="134.64000000000001"/>
    <x v="0"/>
  </r>
  <r>
    <d v="2021-12-08T00:00:00"/>
    <x v="7"/>
    <n v="50"/>
    <s v="MIÉRCOLES"/>
    <x v="15"/>
    <x v="15"/>
    <n v="200"/>
    <n v="50"/>
    <n v="80"/>
    <x v="0"/>
  </r>
  <r>
    <d v="2021-12-08T00:00:00"/>
    <x v="7"/>
    <n v="50"/>
    <s v="MIÉRCOLES"/>
    <x v="13"/>
    <x v="13"/>
    <n v="240"/>
    <n v="30"/>
    <n v="96"/>
    <x v="0"/>
  </r>
  <r>
    <d v="2021-12-08T00:00:00"/>
    <x v="7"/>
    <n v="50"/>
    <s v="MIÉRCOLES"/>
    <x v="64"/>
    <x v="48"/>
    <n v="60"/>
    <n v="30"/>
    <n v="12.6"/>
    <x v="0"/>
  </r>
  <r>
    <d v="2021-12-09T00:00:00"/>
    <x v="7"/>
    <n v="50"/>
    <s v="JUEVES"/>
    <x v="28"/>
    <x v="28"/>
    <n v="150"/>
    <n v="30"/>
    <n v="34.5"/>
    <x v="0"/>
  </r>
  <r>
    <d v="2021-12-09T00:00:00"/>
    <x v="7"/>
    <n v="50"/>
    <s v="JUEVES"/>
    <x v="33"/>
    <x v="33"/>
    <n v="200"/>
    <n v="40"/>
    <n v="46"/>
    <x v="0"/>
  </r>
  <r>
    <d v="2021-12-09T00:00:00"/>
    <x v="7"/>
    <n v="50"/>
    <s v="JUEVES"/>
    <x v="13"/>
    <x v="13"/>
    <n v="150"/>
    <n v="30"/>
    <n v="60"/>
    <x v="0"/>
  </r>
  <r>
    <d v="2021-12-09T00:00:00"/>
    <x v="7"/>
    <n v="50"/>
    <s v="JUEVES"/>
    <x v="14"/>
    <x v="14"/>
    <n v="200"/>
    <n v="40"/>
    <n v="46"/>
    <x v="0"/>
  </r>
  <r>
    <d v="2021-12-09T00:00:00"/>
    <x v="7"/>
    <n v="50"/>
    <s v="JUEVES"/>
    <x v="15"/>
    <x v="15"/>
    <n v="200"/>
    <n v="50"/>
    <n v="80"/>
    <x v="0"/>
  </r>
  <r>
    <d v="2021-12-09T00:00:00"/>
    <x v="7"/>
    <n v="50"/>
    <s v="JUEVES"/>
    <x v="1"/>
    <x v="1"/>
    <n v="1080"/>
    <n v="198"/>
    <n v="183.60000000000002"/>
    <x v="0"/>
  </r>
  <r>
    <d v="2021-12-09T00:00:00"/>
    <x v="7"/>
    <n v="50"/>
    <s v="JUEVES"/>
    <x v="4"/>
    <x v="4"/>
    <n v="486"/>
    <n v="162"/>
    <n v="82.62"/>
    <x v="0"/>
  </r>
  <r>
    <d v="2021-12-09T00:00:00"/>
    <x v="7"/>
    <n v="50"/>
    <s v="JUEVES"/>
    <x v="5"/>
    <x v="5"/>
    <n v="486"/>
    <n v="162"/>
    <n v="82.62"/>
    <x v="0"/>
  </r>
  <r>
    <d v="2021-12-09T00:00:00"/>
    <x v="7"/>
    <n v="50"/>
    <s v="JUEVES"/>
    <x v="17"/>
    <x v="17"/>
    <n v="600"/>
    <n v="120"/>
    <n v="102.00000000000001"/>
    <x v="0"/>
  </r>
  <r>
    <d v="2021-12-09T00:00:00"/>
    <x v="7"/>
    <n v="50"/>
    <s v="JUEVES"/>
    <x v="9"/>
    <x v="9"/>
    <n v="630"/>
    <n v="90"/>
    <n v="107.10000000000001"/>
    <x v="0"/>
  </r>
  <r>
    <d v="2021-12-09T00:00:00"/>
    <x v="7"/>
    <n v="50"/>
    <s v="JUEVES"/>
    <x v="10"/>
    <x v="10"/>
    <n v="2520"/>
    <n v="120"/>
    <n v="428.40000000000003"/>
    <x v="0"/>
  </r>
  <r>
    <d v="2021-12-09T00:00:00"/>
    <x v="7"/>
    <n v="50"/>
    <s v="JUEVES"/>
    <x v="11"/>
    <x v="11"/>
    <n v="1440"/>
    <n v="90"/>
    <n v="244.8"/>
    <x v="0"/>
  </r>
  <r>
    <d v="2021-12-09T00:00:00"/>
    <x v="7"/>
    <n v="50"/>
    <s v="JUEVES"/>
    <x v="64"/>
    <x v="48"/>
    <n v="870"/>
    <n v="30"/>
    <n v="182.7"/>
    <x v="0"/>
  </r>
  <r>
    <d v="2021-12-09T00:00:00"/>
    <x v="7"/>
    <n v="50"/>
    <s v="JUEVES"/>
    <x v="22"/>
    <x v="22"/>
    <n v="396"/>
    <n v="198"/>
    <n v="67.320000000000007"/>
    <x v="0"/>
  </r>
  <r>
    <d v="2021-12-09T00:00:00"/>
    <x v="7"/>
    <n v="50"/>
    <s v="JUEVES"/>
    <x v="17"/>
    <x v="17"/>
    <n v="240"/>
    <n v="120"/>
    <n v="40.800000000000004"/>
    <x v="0"/>
  </r>
  <r>
    <d v="2021-12-09T00:00:00"/>
    <x v="7"/>
    <n v="50"/>
    <s v="JUEVES"/>
    <x v="1"/>
    <x v="1"/>
    <n v="4320"/>
    <n v="198"/>
    <n v="734.40000000000009"/>
    <x v="0"/>
  </r>
  <r>
    <d v="2021-12-09T00:00:00"/>
    <x v="7"/>
    <n v="50"/>
    <s v="JUEVES"/>
    <x v="8"/>
    <x v="8"/>
    <n v="1512"/>
    <n v="198"/>
    <n v="257.04000000000002"/>
    <x v="0"/>
  </r>
  <r>
    <d v="2021-12-09T00:00:00"/>
    <x v="7"/>
    <n v="50"/>
    <s v="JUEVES"/>
    <x v="23"/>
    <x v="23"/>
    <n v="900"/>
    <n v="90"/>
    <n v="153"/>
    <x v="0"/>
  </r>
  <r>
    <d v="2021-12-09T00:00:00"/>
    <x v="7"/>
    <n v="50"/>
    <s v="JUEVES"/>
    <x v="9"/>
    <x v="9"/>
    <n v="270"/>
    <n v="90"/>
    <n v="45.900000000000006"/>
    <x v="0"/>
  </r>
  <r>
    <d v="2021-12-09T00:00:00"/>
    <x v="7"/>
    <n v="50"/>
    <s v="JUEVES"/>
    <x v="11"/>
    <x v="11"/>
    <n v="2340"/>
    <n v="90"/>
    <n v="397.8"/>
    <x v="0"/>
  </r>
  <r>
    <d v="2021-12-09T00:00:00"/>
    <x v="7"/>
    <n v="50"/>
    <s v="JUEVES"/>
    <x v="10"/>
    <x v="10"/>
    <n v="5640"/>
    <n v="120"/>
    <n v="958.80000000000007"/>
    <x v="0"/>
  </r>
  <r>
    <d v="2021-12-09T00:00:00"/>
    <x v="7"/>
    <n v="50"/>
    <s v="JUEVES"/>
    <x v="10"/>
    <x v="10"/>
    <n v="2160"/>
    <n v="120"/>
    <n v="367.20000000000005"/>
    <x v="0"/>
  </r>
  <r>
    <d v="2021-12-09T00:00:00"/>
    <x v="7"/>
    <n v="50"/>
    <s v="JUEVES"/>
    <x v="9"/>
    <x v="9"/>
    <n v="1440"/>
    <n v="90"/>
    <n v="244.8"/>
    <x v="0"/>
  </r>
  <r>
    <d v="2021-12-09T00:00:00"/>
    <x v="7"/>
    <n v="50"/>
    <s v="JUEVES"/>
    <x v="11"/>
    <x v="11"/>
    <n v="1440"/>
    <n v="90"/>
    <n v="244.8"/>
    <x v="0"/>
  </r>
  <r>
    <d v="2021-12-10T00:00:00"/>
    <x v="7"/>
    <n v="50"/>
    <s v="VIERNES"/>
    <x v="1"/>
    <x v="1"/>
    <n v="2592"/>
    <n v="198"/>
    <n v="440.64000000000004"/>
    <x v="0"/>
  </r>
  <r>
    <d v="2021-12-10T00:00:00"/>
    <x v="7"/>
    <n v="50"/>
    <s v="VIERNES"/>
    <x v="29"/>
    <x v="29"/>
    <n v="216"/>
    <n v="198"/>
    <n v="36.720000000000006"/>
    <x v="0"/>
  </r>
  <r>
    <d v="2021-12-10T00:00:00"/>
    <x v="7"/>
    <n v="50"/>
    <s v="VIERNES"/>
    <x v="22"/>
    <x v="22"/>
    <n v="594"/>
    <n v="198"/>
    <n v="100.98"/>
    <x v="0"/>
  </r>
  <r>
    <d v="2021-12-10T00:00:00"/>
    <x v="7"/>
    <n v="50"/>
    <s v="VIERNES"/>
    <x v="6"/>
    <x v="6"/>
    <n v="3600"/>
    <n v="120"/>
    <n v="612"/>
    <x v="0"/>
  </r>
  <r>
    <d v="2021-12-10T00:00:00"/>
    <x v="7"/>
    <n v="50"/>
    <s v="VIERNES"/>
    <x v="10"/>
    <x v="10"/>
    <n v="10800"/>
    <n v="120"/>
    <n v="1836.0000000000002"/>
    <x v="0"/>
  </r>
  <r>
    <d v="2021-12-10T00:00:00"/>
    <x v="7"/>
    <n v="50"/>
    <s v="VIERNES"/>
    <x v="11"/>
    <x v="11"/>
    <n v="3600"/>
    <n v="90"/>
    <n v="612"/>
    <x v="0"/>
  </r>
  <r>
    <d v="2021-12-10T00:00:00"/>
    <x v="7"/>
    <n v="50"/>
    <s v="VIERNES"/>
    <x v="20"/>
    <x v="20"/>
    <n v="720"/>
    <n v="90"/>
    <n v="122.4"/>
    <x v="0"/>
  </r>
  <r>
    <d v="2021-12-10T00:00:00"/>
    <x v="7"/>
    <n v="50"/>
    <s v="VIERNES"/>
    <x v="23"/>
    <x v="23"/>
    <n v="1800"/>
    <n v="90"/>
    <n v="306"/>
    <x v="0"/>
  </r>
  <r>
    <d v="2021-12-10T00:00:00"/>
    <x v="7"/>
    <n v="50"/>
    <s v="VIERNES"/>
    <x v="26"/>
    <x v="26"/>
    <n v="1800"/>
    <n v="90"/>
    <n v="306"/>
    <x v="0"/>
  </r>
  <r>
    <d v="2021-12-10T00:00:00"/>
    <x v="7"/>
    <n v="50"/>
    <s v="VIERNES"/>
    <x v="9"/>
    <x v="9"/>
    <n v="360"/>
    <n v="90"/>
    <n v="61.2"/>
    <x v="0"/>
  </r>
  <r>
    <d v="2021-12-10T00:00:00"/>
    <x v="7"/>
    <n v="50"/>
    <s v="VIERNES"/>
    <x v="10"/>
    <x v="10"/>
    <n v="480"/>
    <n v="120"/>
    <n v="81.600000000000009"/>
    <x v="0"/>
  </r>
  <r>
    <d v="2021-12-10T00:00:00"/>
    <x v="7"/>
    <n v="50"/>
    <s v="VIERNES"/>
    <x v="23"/>
    <x v="23"/>
    <n v="1170"/>
    <n v="90"/>
    <n v="198.9"/>
    <x v="0"/>
  </r>
  <r>
    <d v="2021-12-10T00:00:00"/>
    <x v="7"/>
    <n v="50"/>
    <s v="VIERNES"/>
    <x v="9"/>
    <x v="9"/>
    <n v="180"/>
    <n v="90"/>
    <n v="30.6"/>
    <x v="0"/>
  </r>
  <r>
    <d v="2021-12-10T00:00:00"/>
    <x v="7"/>
    <n v="50"/>
    <s v="VIERNES"/>
    <x v="11"/>
    <x v="11"/>
    <n v="4230"/>
    <n v="90"/>
    <n v="719.1"/>
    <x v="0"/>
  </r>
  <r>
    <d v="2021-12-11T00:00:00"/>
    <x v="7"/>
    <n v="51"/>
    <s v="SÁBADO"/>
    <x v="13"/>
    <x v="13"/>
    <n v="180"/>
    <n v="30"/>
    <n v="72"/>
    <x v="0"/>
  </r>
  <r>
    <d v="2021-12-11T00:00:00"/>
    <x v="7"/>
    <n v="51"/>
    <s v="SÁBADO"/>
    <x v="15"/>
    <x v="15"/>
    <n v="150"/>
    <n v="50"/>
    <n v="60"/>
    <x v="0"/>
  </r>
  <r>
    <d v="2021-12-11T00:00:00"/>
    <x v="7"/>
    <n v="51"/>
    <s v="SÁBADO"/>
    <x v="38"/>
    <x v="38"/>
    <n v="336"/>
    <n v="112"/>
    <n v="134.4"/>
    <x v="0"/>
  </r>
  <r>
    <d v="2021-12-11T00:00:00"/>
    <x v="7"/>
    <n v="51"/>
    <s v="SÁBADO"/>
    <x v="16"/>
    <x v="16"/>
    <n v="1440"/>
    <n v="180"/>
    <n v="604.79999999999995"/>
    <x v="0"/>
  </r>
  <r>
    <d v="2021-12-11T00:00:00"/>
    <x v="7"/>
    <n v="51"/>
    <s v="SÁBADO"/>
    <x v="1"/>
    <x v="1"/>
    <n v="1944"/>
    <n v="198"/>
    <n v="330.48"/>
    <x v="0"/>
  </r>
  <r>
    <d v="2021-12-11T00:00:00"/>
    <x v="7"/>
    <n v="51"/>
    <s v="SÁBADO"/>
    <x v="2"/>
    <x v="2"/>
    <n v="2160"/>
    <n v="198"/>
    <n v="367.20000000000005"/>
    <x v="0"/>
  </r>
  <r>
    <d v="2021-12-11T00:00:00"/>
    <x v="7"/>
    <n v="51"/>
    <s v="SÁBADO"/>
    <x v="3"/>
    <x v="3"/>
    <n v="990"/>
    <n v="198"/>
    <n v="168.3"/>
    <x v="0"/>
  </r>
  <r>
    <d v="2021-12-11T00:00:00"/>
    <x v="7"/>
    <n v="51"/>
    <s v="SÁBADO"/>
    <x v="6"/>
    <x v="6"/>
    <n v="2400"/>
    <n v="120"/>
    <n v="408.00000000000006"/>
    <x v="0"/>
  </r>
  <r>
    <d v="2021-12-11T00:00:00"/>
    <x v="7"/>
    <n v="51"/>
    <s v="SÁBADO"/>
    <x v="8"/>
    <x v="8"/>
    <n v="1944"/>
    <n v="198"/>
    <n v="330.48"/>
    <x v="0"/>
  </r>
  <r>
    <d v="2021-12-11T00:00:00"/>
    <x v="7"/>
    <n v="51"/>
    <s v="SÁBADO"/>
    <x v="9"/>
    <x v="9"/>
    <n v="720"/>
    <n v="90"/>
    <n v="122.4"/>
    <x v="0"/>
  </r>
  <r>
    <d v="2021-12-11T00:00:00"/>
    <x v="7"/>
    <n v="51"/>
    <s v="SÁBADO"/>
    <x v="10"/>
    <x v="10"/>
    <n v="5040"/>
    <n v="120"/>
    <n v="856.80000000000007"/>
    <x v="0"/>
  </r>
  <r>
    <d v="2021-12-11T00:00:00"/>
    <x v="7"/>
    <n v="51"/>
    <s v="SÁBADO"/>
    <x v="20"/>
    <x v="20"/>
    <n v="450"/>
    <n v="90"/>
    <n v="76.5"/>
    <x v="0"/>
  </r>
  <r>
    <d v="2021-12-11T00:00:00"/>
    <x v="7"/>
    <n v="51"/>
    <s v="SÁBADO"/>
    <x v="25"/>
    <x v="25"/>
    <n v="1350"/>
    <n v="225"/>
    <n v="567"/>
    <x v="0"/>
  </r>
  <r>
    <d v="2021-12-11T00:00:00"/>
    <x v="7"/>
    <n v="51"/>
    <s v="SÁBADO"/>
    <x v="42"/>
    <x v="42"/>
    <n v="500"/>
    <n v="420"/>
    <n v="210"/>
    <x v="0"/>
  </r>
  <r>
    <d v="2021-12-11T00:00:00"/>
    <x v="7"/>
    <n v="51"/>
    <s v="SÁBADO"/>
    <x v="24"/>
    <x v="24"/>
    <n v="1680"/>
    <n v="420"/>
    <n v="705.6"/>
    <x v="0"/>
  </r>
  <r>
    <d v="2021-12-11T00:00:00"/>
    <x v="7"/>
    <n v="51"/>
    <s v="SÁBADO"/>
    <x v="10"/>
    <x v="10"/>
    <n v="4080"/>
    <n v="120"/>
    <n v="693.6"/>
    <x v="0"/>
  </r>
  <r>
    <d v="2021-12-11T00:00:00"/>
    <x v="7"/>
    <n v="51"/>
    <s v="SÁBADO"/>
    <x v="11"/>
    <x v="11"/>
    <n v="4500"/>
    <n v="90"/>
    <n v="765"/>
    <x v="0"/>
  </r>
  <r>
    <d v="2021-12-11T00:00:00"/>
    <x v="7"/>
    <n v="51"/>
    <s v="SÁBADO"/>
    <x v="20"/>
    <x v="20"/>
    <n v="2880"/>
    <n v="90"/>
    <n v="489.6"/>
    <x v="0"/>
  </r>
  <r>
    <d v="2021-12-11T00:00:00"/>
    <x v="7"/>
    <n v="51"/>
    <s v="SÁBADO"/>
    <x v="23"/>
    <x v="23"/>
    <n v="1800"/>
    <n v="90"/>
    <n v="306"/>
    <x v="0"/>
  </r>
  <r>
    <d v="2021-12-11T00:00:00"/>
    <x v="7"/>
    <n v="51"/>
    <s v="SÁBADO"/>
    <x v="9"/>
    <x v="9"/>
    <n v="720"/>
    <n v="90"/>
    <n v="122.4"/>
    <x v="0"/>
  </r>
  <r>
    <d v="2021-12-11T00:00:00"/>
    <x v="7"/>
    <n v="51"/>
    <s v="SÁBADO"/>
    <x v="23"/>
    <x v="23"/>
    <n v="180"/>
    <n v="90"/>
    <n v="30.6"/>
    <x v="0"/>
  </r>
  <r>
    <d v="2021-12-11T00:00:00"/>
    <x v="7"/>
    <n v="51"/>
    <s v="SÁBADO"/>
    <x v="11"/>
    <x v="11"/>
    <n v="990"/>
    <n v="90"/>
    <n v="168.3"/>
    <x v="0"/>
  </r>
  <r>
    <d v="2021-12-11T00:00:00"/>
    <x v="7"/>
    <n v="51"/>
    <s v="SÁBADO"/>
    <x v="23"/>
    <x v="23"/>
    <n v="630"/>
    <n v="90"/>
    <n v="107.10000000000001"/>
    <x v="0"/>
  </r>
  <r>
    <d v="2021-12-12T00:00:00"/>
    <x v="7"/>
    <n v="51"/>
    <s v="DOMINGO"/>
    <x v="24"/>
    <x v="24"/>
    <n v="840"/>
    <n v="420"/>
    <n v="352.8"/>
    <x v="0"/>
  </r>
  <r>
    <d v="2021-12-12T00:00:00"/>
    <x v="7"/>
    <n v="51"/>
    <s v="DOMINGO"/>
    <x v="39"/>
    <x v="39"/>
    <n v="1260"/>
    <n v="420"/>
    <n v="529.19999999999993"/>
    <x v="0"/>
  </r>
  <r>
    <d v="2021-12-12T00:00:00"/>
    <x v="7"/>
    <n v="51"/>
    <s v="DOMINGO"/>
    <x v="24"/>
    <x v="24"/>
    <n v="2520"/>
    <n v="420"/>
    <n v="1058.3999999999999"/>
    <x v="0"/>
  </r>
  <r>
    <d v="2021-12-12T00:00:00"/>
    <x v="7"/>
    <n v="51"/>
    <s v="DOMINGO"/>
    <x v="39"/>
    <x v="39"/>
    <n v="840"/>
    <n v="420"/>
    <n v="352.8"/>
    <x v="0"/>
  </r>
  <r>
    <d v="2021-12-13T00:00:00"/>
    <x v="7"/>
    <n v="51"/>
    <s v="LUNES"/>
    <x v="36"/>
    <x v="36"/>
    <n v="450"/>
    <n v="90"/>
    <n v="180"/>
    <x v="0"/>
  </r>
  <r>
    <d v="2021-12-13T00:00:00"/>
    <x v="7"/>
    <n v="51"/>
    <s v="LUNES"/>
    <x v="24"/>
    <x v="24"/>
    <n v="2940"/>
    <n v="420"/>
    <n v="1234.8"/>
    <x v="0"/>
  </r>
  <r>
    <d v="2021-12-13T00:00:00"/>
    <x v="7"/>
    <n v="51"/>
    <s v="LUNES"/>
    <x v="2"/>
    <x v="2"/>
    <n v="2376"/>
    <n v="198"/>
    <n v="403.92"/>
    <x v="0"/>
  </r>
  <r>
    <d v="2021-12-13T00:00:00"/>
    <x v="7"/>
    <n v="51"/>
    <s v="LUNES"/>
    <x v="6"/>
    <x v="6"/>
    <n v="3600"/>
    <n v="120"/>
    <n v="612"/>
    <x v="0"/>
  </r>
  <r>
    <d v="2021-12-13T00:00:00"/>
    <x v="7"/>
    <n v="51"/>
    <s v="LUNES"/>
    <x v="17"/>
    <x v="17"/>
    <n v="1200"/>
    <n v="120"/>
    <n v="204.00000000000003"/>
    <x v="0"/>
  </r>
  <r>
    <d v="2021-12-13T00:00:00"/>
    <x v="7"/>
    <n v="51"/>
    <s v="LUNES"/>
    <x v="7"/>
    <x v="7"/>
    <n v="2160"/>
    <n v="198"/>
    <n v="367.20000000000005"/>
    <x v="0"/>
  </r>
  <r>
    <d v="2021-12-13T00:00:00"/>
    <x v="7"/>
    <n v="51"/>
    <s v="LUNES"/>
    <x v="9"/>
    <x v="9"/>
    <n v="450"/>
    <n v="90"/>
    <n v="76.5"/>
    <x v="0"/>
  </r>
  <r>
    <d v="2021-12-13T00:00:00"/>
    <x v="7"/>
    <n v="51"/>
    <s v="LUNES"/>
    <x v="10"/>
    <x v="10"/>
    <n v="3600"/>
    <n v="120"/>
    <n v="612"/>
    <x v="0"/>
  </r>
  <r>
    <d v="2021-12-13T00:00:00"/>
    <x v="7"/>
    <n v="51"/>
    <s v="LUNES"/>
    <x v="12"/>
    <x v="12"/>
    <n v="450"/>
    <n v="225"/>
    <n v="180"/>
    <x v="0"/>
  </r>
  <r>
    <d v="2021-12-13T00:00:00"/>
    <x v="7"/>
    <n v="51"/>
    <s v="LUNES"/>
    <x v="42"/>
    <x v="42"/>
    <n v="750"/>
    <n v="420"/>
    <n v="315"/>
    <x v="0"/>
  </r>
  <r>
    <d v="2021-12-13T00:00:00"/>
    <x v="7"/>
    <n v="51"/>
    <s v="LUNES"/>
    <x v="6"/>
    <x v="6"/>
    <n v="1320"/>
    <n v="120"/>
    <n v="224.4"/>
    <x v="0"/>
  </r>
  <r>
    <d v="2021-12-13T00:00:00"/>
    <x v="7"/>
    <n v="51"/>
    <s v="LUNES"/>
    <x v="9"/>
    <x v="9"/>
    <n v="1260"/>
    <n v="90"/>
    <n v="214.20000000000002"/>
    <x v="0"/>
  </r>
  <r>
    <d v="2021-12-13T00:00:00"/>
    <x v="7"/>
    <n v="51"/>
    <s v="LUNES"/>
    <x v="23"/>
    <x v="23"/>
    <n v="180"/>
    <n v="90"/>
    <n v="30.6"/>
    <x v="0"/>
  </r>
  <r>
    <d v="2021-12-13T00:00:00"/>
    <x v="7"/>
    <n v="51"/>
    <s v="LUNES"/>
    <x v="11"/>
    <x v="11"/>
    <n v="5850"/>
    <n v="90"/>
    <n v="994.50000000000011"/>
    <x v="0"/>
  </r>
  <r>
    <d v="2021-12-13T00:00:00"/>
    <x v="7"/>
    <n v="51"/>
    <s v="LUNES"/>
    <x v="20"/>
    <x v="20"/>
    <n v="1800"/>
    <n v="90"/>
    <n v="306"/>
    <x v="0"/>
  </r>
  <r>
    <d v="2021-12-13T00:00:00"/>
    <x v="7"/>
    <n v="51"/>
    <s v="LUNES"/>
    <x v="10"/>
    <x v="10"/>
    <n v="2880"/>
    <n v="120"/>
    <n v="489.6"/>
    <x v="0"/>
  </r>
  <r>
    <d v="2021-12-13T00:00:00"/>
    <x v="7"/>
    <n v="51"/>
    <s v="LUNES"/>
    <x v="26"/>
    <x v="26"/>
    <n v="1800"/>
    <n v="90"/>
    <n v="306"/>
    <x v="0"/>
  </r>
  <r>
    <d v="2021-12-14T00:00:00"/>
    <x v="7"/>
    <n v="51"/>
    <s v="MARTES"/>
    <x v="15"/>
    <x v="15"/>
    <n v="350"/>
    <n v="50"/>
    <n v="140"/>
    <x v="0"/>
  </r>
  <r>
    <d v="2021-12-14T00:00:00"/>
    <x v="7"/>
    <n v="51"/>
    <s v="MARTES"/>
    <x v="39"/>
    <x v="39"/>
    <n v="420"/>
    <n v="420"/>
    <n v="176.4"/>
    <x v="0"/>
  </r>
  <r>
    <d v="2021-12-14T00:00:00"/>
    <x v="7"/>
    <n v="51"/>
    <s v="MARTES"/>
    <x v="28"/>
    <x v="28"/>
    <n v="240"/>
    <n v="30"/>
    <n v="55.2"/>
    <x v="0"/>
  </r>
  <r>
    <d v="2021-12-14T00:00:00"/>
    <x v="7"/>
    <n v="51"/>
    <s v="MARTES"/>
    <x v="13"/>
    <x v="13"/>
    <n v="1500"/>
    <n v="30"/>
    <n v="600"/>
    <x v="0"/>
  </r>
  <r>
    <d v="2021-12-14T00:00:00"/>
    <x v="7"/>
    <n v="51"/>
    <s v="MARTES"/>
    <x v="14"/>
    <x v="14"/>
    <n v="240"/>
    <n v="40"/>
    <n v="55.2"/>
    <x v="0"/>
  </r>
  <r>
    <d v="2021-12-14T00:00:00"/>
    <x v="7"/>
    <n v="51"/>
    <s v="MARTES"/>
    <x v="15"/>
    <x v="15"/>
    <n v="150"/>
    <n v="50"/>
    <n v="60"/>
    <x v="0"/>
  </r>
  <r>
    <d v="2021-12-14T00:00:00"/>
    <x v="7"/>
    <n v="51"/>
    <s v="MARTES"/>
    <x v="36"/>
    <x v="36"/>
    <n v="270"/>
    <n v="90"/>
    <n v="108"/>
    <x v="0"/>
  </r>
  <r>
    <d v="2021-12-14T00:00:00"/>
    <x v="7"/>
    <n v="51"/>
    <s v="MARTES"/>
    <x v="0"/>
    <x v="0"/>
    <n v="960"/>
    <n v="48"/>
    <n v="384"/>
    <x v="0"/>
  </r>
  <r>
    <d v="2021-12-14T00:00:00"/>
    <x v="7"/>
    <n v="51"/>
    <s v="MARTES"/>
    <x v="24"/>
    <x v="24"/>
    <n v="2100"/>
    <n v="420"/>
    <n v="882"/>
    <x v="0"/>
  </r>
  <r>
    <d v="2021-12-14T00:00:00"/>
    <x v="7"/>
    <n v="51"/>
    <s v="MARTES"/>
    <x v="39"/>
    <x v="39"/>
    <n v="420"/>
    <n v="420"/>
    <n v="176.4"/>
    <x v="0"/>
  </r>
  <r>
    <d v="2021-12-14T00:00:00"/>
    <x v="7"/>
    <n v="51"/>
    <s v="MARTES"/>
    <x v="1"/>
    <x v="1"/>
    <n v="2160"/>
    <n v="198"/>
    <n v="367.20000000000005"/>
    <x v="0"/>
  </r>
  <r>
    <d v="2021-12-14T00:00:00"/>
    <x v="7"/>
    <n v="51"/>
    <s v="MARTES"/>
    <x v="34"/>
    <x v="34"/>
    <n v="648"/>
    <n v="198"/>
    <n v="110.16000000000001"/>
    <x v="0"/>
  </r>
  <r>
    <d v="2021-12-14T00:00:00"/>
    <x v="7"/>
    <n v="51"/>
    <s v="MARTES"/>
    <x v="29"/>
    <x v="29"/>
    <n v="216"/>
    <n v="198"/>
    <n v="36.720000000000006"/>
    <x v="0"/>
  </r>
  <r>
    <d v="2021-12-14T00:00:00"/>
    <x v="7"/>
    <n v="51"/>
    <s v="MARTES"/>
    <x v="22"/>
    <x v="22"/>
    <n v="594"/>
    <n v="198"/>
    <n v="100.98"/>
    <x v="0"/>
  </r>
  <r>
    <d v="2021-12-14T00:00:00"/>
    <x v="7"/>
    <n v="51"/>
    <s v="MARTES"/>
    <x v="4"/>
    <x v="4"/>
    <n v="972"/>
    <n v="162"/>
    <n v="165.24"/>
    <x v="0"/>
  </r>
  <r>
    <d v="2021-12-14T00:00:00"/>
    <x v="7"/>
    <n v="51"/>
    <s v="MARTES"/>
    <x v="5"/>
    <x v="5"/>
    <n v="810"/>
    <n v="162"/>
    <n v="137.70000000000002"/>
    <x v="0"/>
  </r>
  <r>
    <d v="2021-12-14T00:00:00"/>
    <x v="7"/>
    <n v="51"/>
    <s v="MARTES"/>
    <x v="3"/>
    <x v="3"/>
    <n v="594"/>
    <n v="198"/>
    <n v="100.98"/>
    <x v="0"/>
  </r>
  <r>
    <d v="2021-12-14T00:00:00"/>
    <x v="7"/>
    <n v="51"/>
    <s v="MARTES"/>
    <x v="17"/>
    <x v="17"/>
    <n v="1200"/>
    <n v="120"/>
    <n v="204.00000000000003"/>
    <x v="0"/>
  </r>
  <r>
    <d v="2021-12-14T00:00:00"/>
    <x v="7"/>
    <n v="51"/>
    <s v="MARTES"/>
    <x v="10"/>
    <x v="10"/>
    <n v="3720"/>
    <n v="120"/>
    <n v="632.40000000000009"/>
    <x v="0"/>
  </r>
  <r>
    <d v="2021-12-14T00:00:00"/>
    <x v="7"/>
    <n v="51"/>
    <s v="MARTES"/>
    <x v="7"/>
    <x v="7"/>
    <n v="990"/>
    <n v="198"/>
    <n v="168.3"/>
    <x v="0"/>
  </r>
  <r>
    <d v="2021-12-14T00:00:00"/>
    <x v="7"/>
    <n v="51"/>
    <s v="MARTES"/>
    <x v="11"/>
    <x v="11"/>
    <n v="5490"/>
    <n v="90"/>
    <n v="933.30000000000007"/>
    <x v="0"/>
  </r>
  <r>
    <d v="2021-12-14T00:00:00"/>
    <x v="7"/>
    <n v="51"/>
    <s v="MARTES"/>
    <x v="20"/>
    <x v="20"/>
    <n v="360"/>
    <n v="90"/>
    <n v="61.2"/>
    <x v="0"/>
  </r>
  <r>
    <d v="2021-12-14T00:00:00"/>
    <x v="7"/>
    <n v="51"/>
    <s v="MARTES"/>
    <x v="25"/>
    <x v="25"/>
    <n v="1350"/>
    <n v="225"/>
    <n v="567"/>
    <x v="0"/>
  </r>
  <r>
    <d v="2021-12-14T00:00:00"/>
    <x v="7"/>
    <n v="51"/>
    <s v="MARTES"/>
    <x v="6"/>
    <x v="6"/>
    <n v="1920"/>
    <n v="120"/>
    <n v="326.40000000000003"/>
    <x v="0"/>
  </r>
  <r>
    <d v="2021-12-14T00:00:00"/>
    <x v="7"/>
    <n v="51"/>
    <s v="MARTES"/>
    <x v="11"/>
    <x v="11"/>
    <n v="540"/>
    <n v="90"/>
    <n v="91.800000000000011"/>
    <x v="0"/>
  </r>
  <r>
    <d v="2021-12-14T00:00:00"/>
    <x v="7"/>
    <n v="51"/>
    <s v="MARTES"/>
    <x v="10"/>
    <x v="10"/>
    <n v="3480"/>
    <n v="120"/>
    <n v="591.6"/>
    <x v="0"/>
  </r>
  <r>
    <d v="2021-12-15T00:00:00"/>
    <x v="7"/>
    <n v="51"/>
    <s v="MIÉRCOLES"/>
    <x v="40"/>
    <x v="40"/>
    <n v="448"/>
    <n v="240"/>
    <n v="179.20000000000002"/>
    <x v="0"/>
  </r>
  <r>
    <d v="2021-12-15T00:00:00"/>
    <x v="7"/>
    <n v="51"/>
    <s v="MIÉRCOLES"/>
    <x v="38"/>
    <x v="38"/>
    <n v="784"/>
    <n v="112"/>
    <n v="313.60000000000002"/>
    <x v="0"/>
  </r>
  <r>
    <d v="2021-12-15T00:00:00"/>
    <x v="7"/>
    <n v="51"/>
    <s v="MIÉRCOLES"/>
    <x v="0"/>
    <x v="0"/>
    <n v="2400"/>
    <n v="48"/>
    <n v="960"/>
    <x v="0"/>
  </r>
  <r>
    <d v="2021-12-15T00:00:00"/>
    <x v="7"/>
    <n v="51"/>
    <s v="MIÉRCOLES"/>
    <x v="24"/>
    <x v="24"/>
    <n v="4200"/>
    <n v="420"/>
    <n v="1764"/>
    <x v="0"/>
  </r>
  <r>
    <d v="2021-12-15T00:00:00"/>
    <x v="7"/>
    <n v="51"/>
    <s v="MIÉRCOLES"/>
    <x v="22"/>
    <x v="22"/>
    <n v="1386"/>
    <n v="198"/>
    <n v="235.62"/>
    <x v="0"/>
  </r>
  <r>
    <d v="2021-12-15T00:00:00"/>
    <x v="7"/>
    <n v="51"/>
    <s v="MIÉRCOLES"/>
    <x v="3"/>
    <x v="3"/>
    <n v="990"/>
    <n v="198"/>
    <n v="168.3"/>
    <x v="0"/>
  </r>
  <r>
    <d v="2021-12-15T00:00:00"/>
    <x v="7"/>
    <n v="51"/>
    <s v="MIÉRCOLES"/>
    <x v="6"/>
    <x v="6"/>
    <n v="960"/>
    <n v="120"/>
    <n v="163.20000000000002"/>
    <x v="0"/>
  </r>
  <r>
    <d v="2021-12-15T00:00:00"/>
    <x v="7"/>
    <n v="51"/>
    <s v="MIÉRCOLES"/>
    <x v="8"/>
    <x v="8"/>
    <n v="864"/>
    <n v="198"/>
    <n v="146.88000000000002"/>
    <x v="0"/>
  </r>
  <r>
    <d v="2021-12-15T00:00:00"/>
    <x v="7"/>
    <n v="51"/>
    <s v="MIÉRCOLES"/>
    <x v="10"/>
    <x v="10"/>
    <n v="1920"/>
    <n v="120"/>
    <n v="326.40000000000003"/>
    <x v="0"/>
  </r>
  <r>
    <d v="2021-12-15T00:00:00"/>
    <x v="7"/>
    <n v="51"/>
    <s v="MIÉRCOLES"/>
    <x v="20"/>
    <x v="20"/>
    <n v="270"/>
    <n v="90"/>
    <n v="45.900000000000006"/>
    <x v="0"/>
  </r>
  <r>
    <d v="2021-12-15T00:00:00"/>
    <x v="7"/>
    <n v="51"/>
    <s v="MIÉRCOLES"/>
    <x v="42"/>
    <x v="42"/>
    <n v="1250"/>
    <n v="420"/>
    <n v="525"/>
    <x v="0"/>
  </r>
  <r>
    <d v="2021-12-15T00:00:00"/>
    <x v="7"/>
    <n v="51"/>
    <s v="MIÉRCOLES"/>
    <x v="39"/>
    <x v="39"/>
    <n v="840"/>
    <n v="420"/>
    <n v="352.8"/>
    <x v="0"/>
  </r>
  <r>
    <d v="2021-12-15T00:00:00"/>
    <x v="7"/>
    <n v="51"/>
    <s v="MIÉRCOLES"/>
    <x v="20"/>
    <x v="20"/>
    <n v="90"/>
    <n v="90"/>
    <n v="15.3"/>
    <x v="0"/>
  </r>
  <r>
    <d v="2021-12-15T00:00:00"/>
    <x v="7"/>
    <n v="51"/>
    <s v="MIÉRCOLES"/>
    <x v="9"/>
    <x v="9"/>
    <n v="270"/>
    <n v="90"/>
    <n v="45.900000000000006"/>
    <x v="0"/>
  </r>
  <r>
    <d v="2021-12-15T00:00:00"/>
    <x v="7"/>
    <n v="51"/>
    <s v="MIÉRCOLES"/>
    <x v="1"/>
    <x v="1"/>
    <n v="1944"/>
    <n v="198"/>
    <n v="330.48"/>
    <x v="0"/>
  </r>
  <r>
    <d v="2021-12-15T00:00:00"/>
    <x v="7"/>
    <n v="51"/>
    <s v="MIÉRCOLES"/>
    <x v="10"/>
    <x v="10"/>
    <n v="1440"/>
    <n v="120"/>
    <n v="244.8"/>
    <x v="0"/>
  </r>
  <r>
    <d v="2021-12-15T00:00:00"/>
    <x v="7"/>
    <n v="51"/>
    <s v="MIÉRCOLES"/>
    <x v="1"/>
    <x v="1"/>
    <n v="1080"/>
    <n v="198"/>
    <n v="183.60000000000002"/>
    <x v="0"/>
  </r>
  <r>
    <d v="2021-12-15T00:00:00"/>
    <x v="7"/>
    <n v="51"/>
    <s v="MIÉRCOLES"/>
    <x v="6"/>
    <x v="6"/>
    <n v="1680"/>
    <n v="120"/>
    <n v="285.60000000000002"/>
    <x v="0"/>
  </r>
  <r>
    <d v="2021-12-15T00:00:00"/>
    <x v="7"/>
    <n v="51"/>
    <s v="MIÉRCOLES"/>
    <x v="10"/>
    <x v="10"/>
    <n v="6960"/>
    <n v="120"/>
    <n v="1183.2"/>
    <x v="0"/>
  </r>
  <r>
    <d v="2021-12-15T00:00:00"/>
    <x v="7"/>
    <n v="51"/>
    <s v="MIÉRCOLES"/>
    <x v="11"/>
    <x v="11"/>
    <n v="2250"/>
    <n v="90"/>
    <n v="382.5"/>
    <x v="0"/>
  </r>
  <r>
    <d v="2021-12-15T00:00:00"/>
    <x v="7"/>
    <n v="51"/>
    <s v="MIÉRCOLES"/>
    <x v="26"/>
    <x v="26"/>
    <n v="1260"/>
    <n v="90"/>
    <n v="214.20000000000002"/>
    <x v="0"/>
  </r>
  <r>
    <d v="2021-12-16T00:00:00"/>
    <x v="7"/>
    <n v="51"/>
    <s v="JUEVES"/>
    <x v="13"/>
    <x v="13"/>
    <n v="270"/>
    <n v="30"/>
    <n v="108"/>
    <x v="0"/>
  </r>
  <r>
    <d v="2021-12-16T00:00:00"/>
    <x v="7"/>
    <n v="51"/>
    <s v="JUEVES"/>
    <x v="15"/>
    <x v="15"/>
    <n v="350"/>
    <n v="50"/>
    <n v="140"/>
    <x v="0"/>
  </r>
  <r>
    <d v="2021-12-16T00:00:00"/>
    <x v="7"/>
    <n v="51"/>
    <s v="JUEVES"/>
    <x v="36"/>
    <x v="36"/>
    <n v="450"/>
    <n v="90"/>
    <n v="180"/>
    <x v="0"/>
  </r>
  <r>
    <d v="2021-12-16T00:00:00"/>
    <x v="7"/>
    <n v="51"/>
    <s v="JUEVES"/>
    <x v="24"/>
    <x v="24"/>
    <n v="1680"/>
    <n v="420"/>
    <n v="705.6"/>
    <x v="0"/>
  </r>
  <r>
    <d v="2021-12-16T00:00:00"/>
    <x v="7"/>
    <n v="51"/>
    <s v="JUEVES"/>
    <x v="16"/>
    <x v="16"/>
    <n v="720"/>
    <n v="180"/>
    <n v="302.39999999999998"/>
    <x v="0"/>
  </r>
  <r>
    <d v="2021-12-16T00:00:00"/>
    <x v="7"/>
    <n v="51"/>
    <s v="JUEVES"/>
    <x v="29"/>
    <x v="29"/>
    <n v="216"/>
    <n v="198"/>
    <n v="36.720000000000006"/>
    <x v="0"/>
  </r>
  <r>
    <d v="2021-12-16T00:00:00"/>
    <x v="7"/>
    <n v="51"/>
    <s v="JUEVES"/>
    <x v="22"/>
    <x v="22"/>
    <n v="396"/>
    <n v="198"/>
    <n v="67.320000000000007"/>
    <x v="0"/>
  </r>
  <r>
    <d v="2021-12-16T00:00:00"/>
    <x v="7"/>
    <n v="51"/>
    <s v="JUEVES"/>
    <x v="3"/>
    <x v="3"/>
    <n v="594"/>
    <n v="198"/>
    <n v="100.98"/>
    <x v="0"/>
  </r>
  <r>
    <d v="2021-12-16T00:00:00"/>
    <x v="7"/>
    <n v="51"/>
    <s v="JUEVES"/>
    <x v="4"/>
    <x v="4"/>
    <n v="1458"/>
    <n v="162"/>
    <n v="247.86"/>
    <x v="0"/>
  </r>
  <r>
    <d v="2021-12-16T00:00:00"/>
    <x v="7"/>
    <n v="51"/>
    <s v="JUEVES"/>
    <x v="5"/>
    <x v="5"/>
    <n v="1620"/>
    <n v="162"/>
    <n v="275.40000000000003"/>
    <x v="0"/>
  </r>
  <r>
    <d v="2021-12-16T00:00:00"/>
    <x v="7"/>
    <n v="51"/>
    <s v="JUEVES"/>
    <x v="6"/>
    <x v="6"/>
    <n v="1080"/>
    <n v="120"/>
    <n v="183.60000000000002"/>
    <x v="0"/>
  </r>
  <r>
    <d v="2021-12-16T00:00:00"/>
    <x v="7"/>
    <n v="51"/>
    <s v="JUEVES"/>
    <x v="9"/>
    <x v="9"/>
    <n v="900"/>
    <n v="90"/>
    <n v="153"/>
    <x v="0"/>
  </r>
  <r>
    <d v="2021-12-16T00:00:00"/>
    <x v="7"/>
    <n v="51"/>
    <s v="JUEVES"/>
    <x v="26"/>
    <x v="26"/>
    <n v="180"/>
    <n v="90"/>
    <n v="30.6"/>
    <x v="0"/>
  </r>
  <r>
    <d v="2021-12-16T00:00:00"/>
    <x v="7"/>
    <n v="51"/>
    <s v="JUEVES"/>
    <x v="23"/>
    <x v="23"/>
    <n v="1440"/>
    <n v="90"/>
    <n v="244.8"/>
    <x v="0"/>
  </r>
  <r>
    <d v="2021-12-16T00:00:00"/>
    <x v="7"/>
    <n v="51"/>
    <s v="JUEVES"/>
    <x v="20"/>
    <x v="20"/>
    <n v="450"/>
    <n v="90"/>
    <n v="76.5"/>
    <x v="0"/>
  </r>
  <r>
    <d v="2021-12-16T00:00:00"/>
    <x v="7"/>
    <n v="51"/>
    <s v="JUEVES"/>
    <x v="25"/>
    <x v="25"/>
    <n v="450"/>
    <n v="225"/>
    <n v="189"/>
    <x v="0"/>
  </r>
  <r>
    <d v="2021-12-16T00:00:00"/>
    <x v="7"/>
    <n v="51"/>
    <s v="JUEVES"/>
    <x v="12"/>
    <x v="12"/>
    <n v="1125"/>
    <n v="225"/>
    <n v="450"/>
    <x v="0"/>
  </r>
  <r>
    <d v="2021-12-16T00:00:00"/>
    <x v="7"/>
    <n v="51"/>
    <s v="JUEVES"/>
    <x v="19"/>
    <x v="19"/>
    <n v="675"/>
    <n v="225"/>
    <n v="270"/>
    <x v="0"/>
  </r>
  <r>
    <d v="2021-12-16T00:00:00"/>
    <x v="7"/>
    <n v="51"/>
    <s v="JUEVES"/>
    <x v="42"/>
    <x v="42"/>
    <n v="500"/>
    <n v="420"/>
    <n v="210"/>
    <x v="0"/>
  </r>
  <r>
    <d v="2021-12-16T00:00:00"/>
    <x v="7"/>
    <n v="51"/>
    <s v="JUEVES"/>
    <x v="43"/>
    <x v="43"/>
    <n v="750"/>
    <n v="420"/>
    <n v="315"/>
    <x v="0"/>
  </r>
  <r>
    <d v="2021-12-16T00:00:00"/>
    <x v="7"/>
    <n v="51"/>
    <s v="JUEVES"/>
    <x v="43"/>
    <x v="43"/>
    <n v="500"/>
    <n v="420"/>
    <n v="210"/>
    <x v="0"/>
  </r>
  <r>
    <d v="2021-12-16T00:00:00"/>
    <x v="7"/>
    <n v="51"/>
    <s v="JUEVES"/>
    <x v="24"/>
    <x v="24"/>
    <n v="420"/>
    <n v="420"/>
    <n v="176.4"/>
    <x v="0"/>
  </r>
  <r>
    <d v="2021-12-16T00:00:00"/>
    <x v="7"/>
    <n v="51"/>
    <s v="JUEVES"/>
    <x v="25"/>
    <x v="25"/>
    <n v="900"/>
    <n v="225"/>
    <n v="378"/>
    <x v="0"/>
  </r>
  <r>
    <d v="2021-12-17T00:00:00"/>
    <x v="7"/>
    <n v="51"/>
    <s v="VIERNES"/>
    <x v="25"/>
    <x v="25"/>
    <n v="2250"/>
    <n v="225"/>
    <n v="945"/>
    <x v="0"/>
  </r>
  <r>
    <d v="2021-12-17T00:00:00"/>
    <x v="7"/>
    <n v="51"/>
    <s v="VIERNES"/>
    <x v="11"/>
    <x v="11"/>
    <n v="2160"/>
    <n v="90"/>
    <n v="367.20000000000005"/>
    <x v="0"/>
  </r>
  <r>
    <d v="2021-12-17T00:00:00"/>
    <x v="7"/>
    <n v="51"/>
    <s v="VIERNES"/>
    <x v="23"/>
    <x v="23"/>
    <n v="450"/>
    <n v="90"/>
    <n v="76.5"/>
    <x v="0"/>
  </r>
  <r>
    <d v="2021-12-17T00:00:00"/>
    <x v="7"/>
    <n v="51"/>
    <s v="VIERNES"/>
    <x v="26"/>
    <x v="26"/>
    <n v="180"/>
    <n v="90"/>
    <n v="30.6"/>
    <x v="0"/>
  </r>
  <r>
    <d v="2021-12-17T00:00:00"/>
    <x v="7"/>
    <n v="51"/>
    <s v="VIERNES"/>
    <x v="10"/>
    <x v="10"/>
    <n v="2160"/>
    <n v="120"/>
    <n v="367.20000000000005"/>
    <x v="0"/>
  </r>
  <r>
    <d v="2021-12-17T00:00:00"/>
    <x v="7"/>
    <n v="51"/>
    <s v="VIERNES"/>
    <x v="7"/>
    <x v="7"/>
    <n v="1296"/>
    <n v="198"/>
    <n v="220.32000000000002"/>
    <x v="0"/>
  </r>
  <r>
    <d v="2021-12-17T00:00:00"/>
    <x v="7"/>
    <n v="51"/>
    <s v="VIERNES"/>
    <x v="22"/>
    <x v="22"/>
    <n v="1188"/>
    <n v="198"/>
    <n v="201.96"/>
    <x v="0"/>
  </r>
  <r>
    <d v="2021-12-17T00:00:00"/>
    <x v="7"/>
    <n v="51"/>
    <s v="VIERNES"/>
    <x v="1"/>
    <x v="1"/>
    <n v="1296"/>
    <n v="198"/>
    <n v="220.32000000000002"/>
    <x v="0"/>
  </r>
  <r>
    <d v="2021-12-17T00:00:00"/>
    <x v="7"/>
    <n v="51"/>
    <s v="VIERNES"/>
    <x v="16"/>
    <x v="16"/>
    <n v="900"/>
    <n v="180"/>
    <n v="378"/>
    <x v="0"/>
  </r>
  <r>
    <d v="2021-12-17T00:00:00"/>
    <x v="7"/>
    <n v="51"/>
    <s v="VIERNES"/>
    <x v="0"/>
    <x v="0"/>
    <n v="720"/>
    <n v="48"/>
    <n v="288"/>
    <x v="0"/>
  </r>
  <r>
    <d v="2021-12-17T00:00:00"/>
    <x v="7"/>
    <n v="51"/>
    <s v="VIERNES"/>
    <x v="36"/>
    <x v="36"/>
    <n v="990"/>
    <n v="90"/>
    <n v="396"/>
    <x v="0"/>
  </r>
  <r>
    <d v="2021-12-17T00:00:00"/>
    <x v="7"/>
    <n v="51"/>
    <s v="VIERNES"/>
    <x v="14"/>
    <x v="14"/>
    <n v="160"/>
    <n v="40"/>
    <n v="36.800000000000004"/>
    <x v="0"/>
  </r>
  <r>
    <d v="2021-12-17T00:00:00"/>
    <x v="7"/>
    <n v="51"/>
    <s v="VIERNES"/>
    <x v="13"/>
    <x v="13"/>
    <n v="240"/>
    <n v="30"/>
    <n v="96"/>
    <x v="0"/>
  </r>
  <r>
    <d v="2021-12-17T00:00:00"/>
    <x v="7"/>
    <n v="51"/>
    <s v="VIERNES"/>
    <x v="28"/>
    <x v="28"/>
    <n v="240"/>
    <n v="30"/>
    <n v="55.2"/>
    <x v="0"/>
  </r>
  <r>
    <d v="2021-12-17T00:00:00"/>
    <x v="7"/>
    <n v="51"/>
    <s v="VIERNES"/>
    <x v="33"/>
    <x v="33"/>
    <n v="200"/>
    <n v="40"/>
    <n v="46"/>
    <x v="0"/>
  </r>
  <r>
    <d v="2021-12-17T00:00:00"/>
    <x v="7"/>
    <n v="51"/>
    <s v="VIERNES"/>
    <x v="22"/>
    <x v="22"/>
    <n v="330"/>
    <n v="198"/>
    <n v="56.1"/>
    <x v="0"/>
  </r>
  <r>
    <d v="2021-12-18T00:00:00"/>
    <x v="7"/>
    <n v="52"/>
    <s v="SÁBADO"/>
    <x v="36"/>
    <x v="36"/>
    <n v="1620"/>
    <n v="90"/>
    <n v="648"/>
    <x v="0"/>
  </r>
  <r>
    <d v="2021-12-18T00:00:00"/>
    <x v="7"/>
    <n v="52"/>
    <s v="SÁBADO"/>
    <x v="1"/>
    <x v="1"/>
    <n v="1296"/>
    <n v="198"/>
    <n v="220.32000000000002"/>
    <x v="0"/>
  </r>
  <r>
    <d v="2021-12-18T00:00:00"/>
    <x v="7"/>
    <n v="52"/>
    <s v="SÁBADO"/>
    <x v="2"/>
    <x v="2"/>
    <n v="432"/>
    <n v="198"/>
    <n v="73.440000000000012"/>
    <x v="0"/>
  </r>
  <r>
    <d v="2021-12-18T00:00:00"/>
    <x v="7"/>
    <n v="52"/>
    <s v="SÁBADO"/>
    <x v="34"/>
    <x v="34"/>
    <n v="648"/>
    <n v="198"/>
    <n v="110.16000000000001"/>
    <x v="0"/>
  </r>
  <r>
    <d v="2021-12-18T00:00:00"/>
    <x v="7"/>
    <n v="52"/>
    <s v="SÁBADO"/>
    <x v="29"/>
    <x v="29"/>
    <n v="432"/>
    <n v="198"/>
    <n v="73.440000000000012"/>
    <x v="0"/>
  </r>
  <r>
    <d v="2021-12-18T00:00:00"/>
    <x v="7"/>
    <n v="52"/>
    <s v="SÁBADO"/>
    <x v="22"/>
    <x v="22"/>
    <n v="792"/>
    <n v="198"/>
    <n v="134.64000000000001"/>
    <x v="0"/>
  </r>
  <r>
    <d v="2021-12-18T00:00:00"/>
    <x v="7"/>
    <n v="52"/>
    <s v="SÁBADO"/>
    <x v="3"/>
    <x v="3"/>
    <n v="396"/>
    <n v="198"/>
    <n v="67.320000000000007"/>
    <x v="0"/>
  </r>
  <r>
    <d v="2021-12-18T00:00:00"/>
    <x v="7"/>
    <n v="52"/>
    <s v="SÁBADO"/>
    <x v="5"/>
    <x v="5"/>
    <n v="810"/>
    <n v="162"/>
    <n v="137.70000000000002"/>
    <x v="0"/>
  </r>
  <r>
    <d v="2021-12-18T00:00:00"/>
    <x v="7"/>
    <n v="52"/>
    <s v="SÁBADO"/>
    <x v="6"/>
    <x v="6"/>
    <n v="1440"/>
    <n v="120"/>
    <n v="244.8"/>
    <x v="0"/>
  </r>
  <r>
    <d v="2021-12-18T00:00:00"/>
    <x v="7"/>
    <n v="52"/>
    <s v="SÁBADO"/>
    <x v="7"/>
    <x v="7"/>
    <n v="864"/>
    <n v="198"/>
    <n v="146.88000000000002"/>
    <x v="0"/>
  </r>
  <r>
    <d v="2021-12-18T00:00:00"/>
    <x v="7"/>
    <n v="52"/>
    <s v="SÁBADO"/>
    <x v="8"/>
    <x v="8"/>
    <n v="432"/>
    <n v="198"/>
    <n v="73.440000000000012"/>
    <x v="0"/>
  </r>
  <r>
    <d v="2021-12-18T00:00:00"/>
    <x v="7"/>
    <n v="52"/>
    <s v="SÁBADO"/>
    <x v="9"/>
    <x v="9"/>
    <n v="450"/>
    <n v="90"/>
    <n v="76.5"/>
    <x v="0"/>
  </r>
  <r>
    <d v="2021-12-18T00:00:00"/>
    <x v="7"/>
    <n v="52"/>
    <s v="SÁBADO"/>
    <x v="26"/>
    <x v="26"/>
    <n v="720"/>
    <n v="90"/>
    <n v="122.4"/>
    <x v="0"/>
  </r>
  <r>
    <d v="2021-12-18T00:00:00"/>
    <x v="7"/>
    <n v="52"/>
    <s v="SÁBADO"/>
    <x v="23"/>
    <x v="23"/>
    <n v="1440"/>
    <n v="90"/>
    <n v="244.8"/>
    <x v="0"/>
  </r>
  <r>
    <d v="2021-12-18T00:00:00"/>
    <x v="7"/>
    <n v="52"/>
    <s v="SÁBADO"/>
    <x v="20"/>
    <x v="20"/>
    <n v="450"/>
    <n v="90"/>
    <n v="76.5"/>
    <x v="0"/>
  </r>
  <r>
    <d v="2021-12-18T00:00:00"/>
    <x v="7"/>
    <n v="52"/>
    <s v="SÁBADO"/>
    <x v="25"/>
    <x v="25"/>
    <n v="2250"/>
    <n v="225"/>
    <n v="945"/>
    <x v="0"/>
  </r>
  <r>
    <d v="2021-12-18T00:00:00"/>
    <x v="7"/>
    <n v="52"/>
    <s v="SÁBADO"/>
    <x v="12"/>
    <x v="12"/>
    <n v="450"/>
    <n v="225"/>
    <n v="180"/>
    <x v="0"/>
  </r>
  <r>
    <d v="2021-12-19T00:00:00"/>
    <x v="7"/>
    <n v="52"/>
    <s v="DOMINGO"/>
    <x v="24"/>
    <x v="24"/>
    <n v="840"/>
    <n v="420"/>
    <n v="352.8"/>
    <x v="0"/>
  </r>
  <r>
    <d v="2021-12-19T00:00:00"/>
    <x v="7"/>
    <n v="52"/>
    <s v="DOMINGO"/>
    <x v="36"/>
    <x v="36"/>
    <n v="720"/>
    <n v="90"/>
    <n v="288"/>
    <x v="0"/>
  </r>
  <r>
    <d v="2021-12-19T00:00:00"/>
    <x v="7"/>
    <n v="52"/>
    <s v="DOMINGO"/>
    <x v="24"/>
    <x v="24"/>
    <n v="420"/>
    <n v="420"/>
    <n v="176.4"/>
    <x v="0"/>
  </r>
  <r>
    <d v="2021-12-19T00:00:00"/>
    <x v="7"/>
    <n v="52"/>
    <s v="DOMINGO"/>
    <x v="36"/>
    <x v="36"/>
    <n v="450"/>
    <n v="90"/>
    <n v="180"/>
    <x v="0"/>
  </r>
  <r>
    <d v="2021-12-20T00:00:00"/>
    <x v="7"/>
    <n v="52"/>
    <s v="LUNES"/>
    <x v="6"/>
    <x v="6"/>
    <n v="600"/>
    <n v="120"/>
    <n v="102.00000000000001"/>
    <x v="0"/>
  </r>
  <r>
    <d v="2021-12-20T00:00:00"/>
    <x v="7"/>
    <n v="52"/>
    <s v="LUNES"/>
    <x v="36"/>
    <x v="36"/>
    <n v="360"/>
    <n v="90"/>
    <n v="144"/>
    <x v="0"/>
  </r>
  <r>
    <d v="2021-12-20T00:00:00"/>
    <x v="7"/>
    <n v="52"/>
    <s v="LUNES"/>
    <x v="28"/>
    <x v="28"/>
    <n v="210"/>
    <n v="30"/>
    <n v="48.300000000000004"/>
    <x v="0"/>
  </r>
  <r>
    <d v="2021-12-20T00:00:00"/>
    <x v="7"/>
    <n v="52"/>
    <s v="LUNES"/>
    <x v="13"/>
    <x v="13"/>
    <n v="240"/>
    <n v="30"/>
    <n v="96"/>
    <x v="0"/>
  </r>
  <r>
    <d v="2021-12-20T00:00:00"/>
    <x v="7"/>
    <n v="52"/>
    <s v="LUNES"/>
    <x v="14"/>
    <x v="14"/>
    <n v="80"/>
    <n v="40"/>
    <n v="18.400000000000002"/>
    <x v="0"/>
  </r>
  <r>
    <d v="2021-12-20T00:00:00"/>
    <x v="7"/>
    <n v="52"/>
    <s v="LUNES"/>
    <x v="36"/>
    <x v="36"/>
    <n v="630"/>
    <n v="90"/>
    <n v="252"/>
    <x v="0"/>
  </r>
  <r>
    <d v="2021-12-20T00:00:00"/>
    <x v="7"/>
    <n v="52"/>
    <s v="LUNES"/>
    <x v="38"/>
    <x v="38"/>
    <n v="672"/>
    <n v="112"/>
    <n v="268.8"/>
    <x v="0"/>
  </r>
  <r>
    <d v="2021-12-20T00:00:00"/>
    <x v="7"/>
    <n v="52"/>
    <s v="LUNES"/>
    <x v="0"/>
    <x v="0"/>
    <n v="960"/>
    <n v="48"/>
    <n v="384"/>
    <x v="0"/>
  </r>
  <r>
    <d v="2021-12-20T00:00:00"/>
    <x v="7"/>
    <n v="52"/>
    <s v="LUNES"/>
    <x v="16"/>
    <x v="16"/>
    <n v="720"/>
    <n v="180"/>
    <n v="302.39999999999998"/>
    <x v="0"/>
  </r>
  <r>
    <d v="2021-12-20T00:00:00"/>
    <x v="7"/>
    <n v="52"/>
    <s v="LUNES"/>
    <x v="1"/>
    <x v="1"/>
    <n v="864"/>
    <n v="198"/>
    <n v="146.88000000000002"/>
    <x v="0"/>
  </r>
  <r>
    <d v="2021-12-20T00:00:00"/>
    <x v="7"/>
    <n v="52"/>
    <s v="LUNES"/>
    <x v="2"/>
    <x v="2"/>
    <n v="864"/>
    <n v="198"/>
    <n v="146.88000000000002"/>
    <x v="0"/>
  </r>
  <r>
    <d v="2021-12-20T00:00:00"/>
    <x v="7"/>
    <n v="52"/>
    <s v="LUNES"/>
    <x v="4"/>
    <x v="4"/>
    <n v="810"/>
    <n v="162"/>
    <n v="137.70000000000002"/>
    <x v="0"/>
  </r>
  <r>
    <d v="2021-12-20T00:00:00"/>
    <x v="7"/>
    <n v="52"/>
    <s v="LUNES"/>
    <x v="5"/>
    <x v="5"/>
    <n v="810"/>
    <n v="162"/>
    <n v="137.70000000000002"/>
    <x v="0"/>
  </r>
  <r>
    <d v="2021-12-20T00:00:00"/>
    <x v="7"/>
    <n v="52"/>
    <s v="LUNES"/>
    <x v="6"/>
    <x v="6"/>
    <n v="2760"/>
    <n v="120"/>
    <n v="469.20000000000005"/>
    <x v="0"/>
  </r>
  <r>
    <d v="2021-12-20T00:00:00"/>
    <x v="7"/>
    <n v="52"/>
    <s v="LUNES"/>
    <x v="23"/>
    <x v="23"/>
    <n v="720"/>
    <n v="90"/>
    <n v="122.4"/>
    <x v="0"/>
  </r>
  <r>
    <d v="2021-12-20T00:00:00"/>
    <x v="7"/>
    <n v="52"/>
    <s v="LUNES"/>
    <x v="20"/>
    <x v="20"/>
    <n v="450"/>
    <n v="90"/>
    <n v="76.5"/>
    <x v="0"/>
  </r>
  <r>
    <d v="2021-12-20T00:00:00"/>
    <x v="7"/>
    <n v="52"/>
    <s v="LUNES"/>
    <x v="12"/>
    <x v="12"/>
    <n v="675"/>
    <n v="225"/>
    <n v="270"/>
    <x v="0"/>
  </r>
  <r>
    <d v="2021-12-20T00:00:00"/>
    <x v="7"/>
    <n v="52"/>
    <s v="LUNES"/>
    <x v="39"/>
    <x v="39"/>
    <n v="1260"/>
    <n v="420"/>
    <n v="529.19999999999993"/>
    <x v="0"/>
  </r>
  <r>
    <d v="2021-12-20T00:00:00"/>
    <x v="7"/>
    <n v="52"/>
    <s v="LUNES"/>
    <x v="24"/>
    <x v="24"/>
    <n v="2940"/>
    <n v="420"/>
    <n v="1234.8"/>
    <x v="0"/>
  </r>
  <r>
    <d v="2021-12-21T00:00:00"/>
    <x v="7"/>
    <n v="52"/>
    <s v="MARTES"/>
    <x v="28"/>
    <x v="28"/>
    <n v="150"/>
    <n v="30"/>
    <n v="34.5"/>
    <x v="0"/>
  </r>
  <r>
    <d v="2021-12-21T00:00:00"/>
    <x v="7"/>
    <n v="52"/>
    <s v="MARTES"/>
    <x v="33"/>
    <x v="33"/>
    <n v="160"/>
    <n v="40"/>
    <n v="36.800000000000004"/>
    <x v="0"/>
  </r>
  <r>
    <d v="2021-12-21T00:00:00"/>
    <x v="7"/>
    <n v="52"/>
    <s v="MARTES"/>
    <x v="15"/>
    <x v="15"/>
    <n v="450"/>
    <n v="50"/>
    <n v="180"/>
    <x v="0"/>
  </r>
  <r>
    <d v="2021-12-21T00:00:00"/>
    <x v="7"/>
    <n v="52"/>
    <s v="MARTES"/>
    <x v="36"/>
    <x v="36"/>
    <n v="540"/>
    <n v="90"/>
    <n v="216"/>
    <x v="0"/>
  </r>
  <r>
    <d v="2021-12-21T00:00:00"/>
    <x v="7"/>
    <n v="52"/>
    <s v="MARTES"/>
    <x v="40"/>
    <x v="40"/>
    <n v="448"/>
    <n v="240"/>
    <n v="179.20000000000002"/>
    <x v="0"/>
  </r>
  <r>
    <d v="2021-12-21T00:00:00"/>
    <x v="7"/>
    <n v="52"/>
    <s v="MARTES"/>
    <x v="0"/>
    <x v="0"/>
    <n v="480"/>
    <n v="48"/>
    <n v="192"/>
    <x v="0"/>
  </r>
  <r>
    <d v="2021-12-21T00:00:00"/>
    <x v="7"/>
    <n v="52"/>
    <s v="MARTES"/>
    <x v="24"/>
    <x v="24"/>
    <n v="1260"/>
    <n v="420"/>
    <n v="529.19999999999993"/>
    <x v="0"/>
  </r>
  <r>
    <d v="2021-12-21T00:00:00"/>
    <x v="7"/>
    <n v="52"/>
    <s v="MARTES"/>
    <x v="39"/>
    <x v="39"/>
    <n v="420"/>
    <n v="420"/>
    <n v="176.4"/>
    <x v="0"/>
  </r>
  <r>
    <d v="2021-12-21T00:00:00"/>
    <x v="7"/>
    <n v="52"/>
    <s v="MARTES"/>
    <x v="22"/>
    <x v="22"/>
    <n v="594"/>
    <n v="198"/>
    <n v="100.98"/>
    <x v="0"/>
  </r>
  <r>
    <d v="2021-12-21T00:00:00"/>
    <x v="7"/>
    <n v="52"/>
    <s v="MARTES"/>
    <x v="3"/>
    <x v="3"/>
    <n v="198"/>
    <n v="198"/>
    <n v="33.660000000000004"/>
    <x v="0"/>
  </r>
  <r>
    <d v="2021-12-21T00:00:00"/>
    <x v="7"/>
    <n v="52"/>
    <s v="MARTES"/>
    <x v="4"/>
    <x v="4"/>
    <n v="486"/>
    <n v="162"/>
    <n v="82.62"/>
    <x v="0"/>
  </r>
  <r>
    <d v="2021-12-21T00:00:00"/>
    <x v="7"/>
    <n v="52"/>
    <s v="MARTES"/>
    <x v="6"/>
    <x v="6"/>
    <n v="2400"/>
    <n v="120"/>
    <n v="408.00000000000006"/>
    <x v="0"/>
  </r>
  <r>
    <d v="2021-12-21T00:00:00"/>
    <x v="7"/>
    <n v="52"/>
    <s v="MARTES"/>
    <x v="17"/>
    <x v="17"/>
    <n v="480"/>
    <n v="120"/>
    <n v="81.600000000000009"/>
    <x v="0"/>
  </r>
  <r>
    <d v="2021-12-21T00:00:00"/>
    <x v="7"/>
    <n v="52"/>
    <s v="MARTES"/>
    <x v="7"/>
    <x v="7"/>
    <n v="864"/>
    <n v="198"/>
    <n v="146.88000000000002"/>
    <x v="0"/>
  </r>
  <r>
    <d v="2021-12-21T00:00:00"/>
    <x v="7"/>
    <n v="52"/>
    <s v="MARTES"/>
    <x v="9"/>
    <x v="9"/>
    <n v="720"/>
    <n v="90"/>
    <n v="122.4"/>
    <x v="0"/>
  </r>
  <r>
    <d v="2021-12-21T00:00:00"/>
    <x v="7"/>
    <n v="52"/>
    <s v="MARTES"/>
    <x v="26"/>
    <x v="26"/>
    <n v="720"/>
    <n v="90"/>
    <n v="122.4"/>
    <x v="0"/>
  </r>
  <r>
    <d v="2021-12-21T00:00:00"/>
    <x v="7"/>
    <n v="52"/>
    <s v="MARTES"/>
    <x v="23"/>
    <x v="23"/>
    <n v="720"/>
    <n v="90"/>
    <n v="122.4"/>
    <x v="0"/>
  </r>
  <r>
    <d v="2021-12-21T00:00:00"/>
    <x v="7"/>
    <n v="52"/>
    <s v="MARTES"/>
    <x v="11"/>
    <x v="11"/>
    <n v="2160"/>
    <n v="90"/>
    <n v="367.20000000000005"/>
    <x v="0"/>
  </r>
  <r>
    <d v="2021-12-21T00:00:00"/>
    <x v="7"/>
    <n v="52"/>
    <s v="MARTES"/>
    <x v="12"/>
    <x v="12"/>
    <n v="450"/>
    <n v="225"/>
    <n v="180"/>
    <x v="0"/>
  </r>
  <r>
    <d v="2021-12-21T00:00:00"/>
    <x v="7"/>
    <n v="52"/>
    <s v="MARTES"/>
    <x v="19"/>
    <x v="19"/>
    <n v="900"/>
    <n v="225"/>
    <n v="360"/>
    <x v="0"/>
  </r>
  <r>
    <d v="2021-12-21T00:00:00"/>
    <x v="7"/>
    <n v="52"/>
    <s v="MARTES"/>
    <x v="42"/>
    <x v="42"/>
    <n v="750"/>
    <n v="420"/>
    <n v="315"/>
    <x v="0"/>
  </r>
  <r>
    <d v="2021-12-21T00:00:00"/>
    <x v="7"/>
    <n v="52"/>
    <s v="MARTES"/>
    <x v="38"/>
    <x v="38"/>
    <n v="672"/>
    <n v="112"/>
    <n v="268.8"/>
    <x v="0"/>
  </r>
  <r>
    <d v="2021-12-21T00:00:00"/>
    <x v="7"/>
    <n v="52"/>
    <s v="MARTES"/>
    <x v="36"/>
    <x v="36"/>
    <n v="1800"/>
    <n v="90"/>
    <n v="720"/>
    <x v="0"/>
  </r>
  <r>
    <d v="2021-12-21T00:00:00"/>
    <x v="7"/>
    <n v="52"/>
    <s v="MARTES"/>
    <x v="40"/>
    <x v="40"/>
    <n v="224"/>
    <n v="240"/>
    <n v="89.600000000000009"/>
    <x v="0"/>
  </r>
  <r>
    <d v="2021-12-22T00:00:00"/>
    <x v="7"/>
    <n v="52"/>
    <s v="MIÉRCOLES"/>
    <x v="36"/>
    <x v="36"/>
    <n v="1440"/>
    <n v="90"/>
    <n v="576"/>
    <x v="0"/>
  </r>
  <r>
    <d v="2021-12-22T00:00:00"/>
    <x v="7"/>
    <m/>
    <m/>
    <x v="6"/>
    <x v="6"/>
    <n v="1200"/>
    <n v="120"/>
    <n v="204.00000000000003"/>
    <x v="0"/>
  </r>
  <r>
    <d v="2021-12-22T00:00:00"/>
    <x v="7"/>
    <n v="52"/>
    <s v="MIÉRCOLES"/>
    <x v="28"/>
    <x v="28"/>
    <n v="210"/>
    <n v="30"/>
    <n v="48.300000000000004"/>
    <x v="0"/>
  </r>
  <r>
    <d v="2021-12-22T00:00:00"/>
    <x v="7"/>
    <n v="52"/>
    <s v="MIÉRCOLES"/>
    <x v="13"/>
    <x v="13"/>
    <n v="300"/>
    <n v="30"/>
    <n v="120"/>
    <x v="0"/>
  </r>
  <r>
    <d v="2021-12-22T00:00:00"/>
    <x v="7"/>
    <n v="52"/>
    <s v="MIÉRCOLES"/>
    <x v="14"/>
    <x v="14"/>
    <n v="80"/>
    <n v="40"/>
    <n v="18.400000000000002"/>
    <x v="0"/>
  </r>
  <r>
    <d v="2021-12-22T00:00:00"/>
    <x v="7"/>
    <n v="52"/>
    <s v="MIÉRCOLES"/>
    <x v="15"/>
    <x v="15"/>
    <n v="300"/>
    <n v="50"/>
    <n v="120"/>
    <x v="0"/>
  </r>
  <r>
    <d v="2021-12-22T00:00:00"/>
    <x v="7"/>
    <n v="52"/>
    <s v="MIÉRCOLES"/>
    <x v="36"/>
    <x v="36"/>
    <n v="1800"/>
    <n v="90"/>
    <n v="720"/>
    <x v="0"/>
  </r>
  <r>
    <d v="2021-12-22T00:00:00"/>
    <x v="7"/>
    <n v="52"/>
    <s v="MIÉRCOLES"/>
    <x v="0"/>
    <x v="0"/>
    <n v="1056"/>
    <n v="48"/>
    <n v="422.40000000000003"/>
    <x v="0"/>
  </r>
  <r>
    <d v="2021-12-22T00:00:00"/>
    <x v="7"/>
    <n v="52"/>
    <s v="MIÉRCOLES"/>
    <x v="16"/>
    <x v="16"/>
    <n v="180"/>
    <n v="180"/>
    <n v="75.599999999999994"/>
    <x v="0"/>
  </r>
  <r>
    <d v="2021-12-22T00:00:00"/>
    <x v="7"/>
    <n v="52"/>
    <s v="MIÉRCOLES"/>
    <x v="2"/>
    <x v="2"/>
    <n v="1296"/>
    <n v="198"/>
    <n v="220.32000000000002"/>
    <x v="0"/>
  </r>
  <r>
    <d v="2021-12-22T00:00:00"/>
    <x v="7"/>
    <n v="52"/>
    <s v="MIÉRCOLES"/>
    <x v="22"/>
    <x v="22"/>
    <n v="1188"/>
    <n v="198"/>
    <n v="201.96"/>
    <x v="0"/>
  </r>
  <r>
    <d v="2021-12-22T00:00:00"/>
    <x v="7"/>
    <n v="52"/>
    <s v="MIÉRCOLES"/>
    <x v="3"/>
    <x v="3"/>
    <n v="1584"/>
    <n v="198"/>
    <n v="269.28000000000003"/>
    <x v="0"/>
  </r>
  <r>
    <d v="2021-12-22T00:00:00"/>
    <x v="7"/>
    <n v="52"/>
    <s v="MIÉRCOLES"/>
    <x v="4"/>
    <x v="4"/>
    <n v="810"/>
    <n v="162"/>
    <n v="137.70000000000002"/>
    <x v="0"/>
  </r>
  <r>
    <d v="2021-12-22T00:00:00"/>
    <x v="7"/>
    <n v="52"/>
    <s v="MIÉRCOLES"/>
    <x v="5"/>
    <x v="5"/>
    <n v="972"/>
    <n v="162"/>
    <n v="165.24"/>
    <x v="0"/>
  </r>
  <r>
    <d v="2021-12-22T00:00:00"/>
    <x v="7"/>
    <n v="52"/>
    <s v="MIÉRCOLES"/>
    <x v="17"/>
    <x v="17"/>
    <n v="1200"/>
    <n v="120"/>
    <n v="204.00000000000003"/>
    <x v="0"/>
  </r>
  <r>
    <d v="2021-12-22T00:00:00"/>
    <x v="7"/>
    <n v="52"/>
    <s v="MIÉRCOLES"/>
    <x v="7"/>
    <x v="7"/>
    <n v="2808"/>
    <n v="198"/>
    <n v="477.36"/>
    <x v="0"/>
  </r>
  <r>
    <d v="2021-12-22T00:00:00"/>
    <x v="7"/>
    <n v="52"/>
    <s v="MIÉRCOLES"/>
    <x v="8"/>
    <x v="8"/>
    <n v="1728"/>
    <n v="198"/>
    <n v="293.76000000000005"/>
    <x v="0"/>
  </r>
  <r>
    <d v="2021-12-22T00:00:00"/>
    <x v="7"/>
    <n v="52"/>
    <s v="MIÉRCOLES"/>
    <x v="10"/>
    <x v="10"/>
    <n v="2640"/>
    <n v="120"/>
    <n v="448.8"/>
    <x v="0"/>
  </r>
  <r>
    <d v="2021-12-22T00:00:00"/>
    <x v="7"/>
    <n v="52"/>
    <s v="MIÉRCOLES"/>
    <x v="12"/>
    <x v="12"/>
    <n v="900"/>
    <n v="225"/>
    <n v="360"/>
    <x v="0"/>
  </r>
  <r>
    <d v="2021-12-22T00:00:00"/>
    <x v="7"/>
    <n v="52"/>
    <s v="MIÉRCOLES"/>
    <x v="19"/>
    <x v="19"/>
    <n v="450"/>
    <n v="225"/>
    <n v="180"/>
    <x v="0"/>
  </r>
  <r>
    <d v="2021-12-22T00:00:00"/>
    <x v="7"/>
    <n v="52"/>
    <s v="MIÉRCOLES"/>
    <x v="42"/>
    <x v="42"/>
    <n v="500"/>
    <n v="420"/>
    <n v="210"/>
    <x v="0"/>
  </r>
  <r>
    <d v="2021-12-22T00:00:00"/>
    <x v="7"/>
    <n v="52"/>
    <s v="MIÉRCOLES"/>
    <x v="6"/>
    <x v="6"/>
    <n v="1200"/>
    <n v="120"/>
    <n v="204.00000000000003"/>
    <x v="0"/>
  </r>
  <r>
    <d v="2021-12-23T00:00:00"/>
    <x v="7"/>
    <n v="52"/>
    <s v="JUEVES"/>
    <x v="0"/>
    <x v="0"/>
    <n v="960"/>
    <n v="48"/>
    <n v="384"/>
    <x v="0"/>
  </r>
  <r>
    <d v="2021-12-23T00:00:00"/>
    <x v="7"/>
    <n v="52"/>
    <s v="JUEVES"/>
    <x v="16"/>
    <x v="16"/>
    <n v="900"/>
    <n v="180"/>
    <n v="378"/>
    <x v="0"/>
  </r>
  <r>
    <d v="2021-12-23T00:00:00"/>
    <x v="7"/>
    <n v="52"/>
    <s v="JUEVES"/>
    <x v="1"/>
    <x v="1"/>
    <n v="2376"/>
    <n v="198"/>
    <n v="403.92"/>
    <x v="0"/>
  </r>
  <r>
    <d v="2021-12-23T00:00:00"/>
    <x v="7"/>
    <n v="52"/>
    <s v="JUEVES"/>
    <x v="2"/>
    <x v="2"/>
    <n v="2376"/>
    <n v="198"/>
    <n v="403.92"/>
    <x v="0"/>
  </r>
  <r>
    <d v="2021-12-23T00:00:00"/>
    <x v="7"/>
    <n v="52"/>
    <s v="JUEVES"/>
    <x v="22"/>
    <x v="22"/>
    <n v="1980"/>
    <n v="198"/>
    <n v="336.6"/>
    <x v="0"/>
  </r>
  <r>
    <d v="2021-12-23T00:00:00"/>
    <x v="7"/>
    <n v="52"/>
    <s v="JUEVES"/>
    <x v="3"/>
    <x v="3"/>
    <n v="990"/>
    <n v="198"/>
    <n v="168.3"/>
    <x v="0"/>
  </r>
  <r>
    <d v="2021-12-23T00:00:00"/>
    <x v="7"/>
    <n v="52"/>
    <s v="JUEVES"/>
    <x v="4"/>
    <x v="4"/>
    <n v="1296"/>
    <n v="162"/>
    <n v="220.32000000000002"/>
    <x v="0"/>
  </r>
  <r>
    <d v="2021-12-23T00:00:00"/>
    <x v="7"/>
    <n v="52"/>
    <s v="JUEVES"/>
    <x v="17"/>
    <x v="17"/>
    <n v="1560"/>
    <n v="120"/>
    <n v="265.20000000000005"/>
    <x v="0"/>
  </r>
  <r>
    <d v="2021-12-23T00:00:00"/>
    <x v="7"/>
    <n v="52"/>
    <s v="JUEVES"/>
    <x v="7"/>
    <x v="7"/>
    <n v="2592"/>
    <n v="198"/>
    <n v="440.64000000000004"/>
    <x v="0"/>
  </r>
  <r>
    <d v="2021-12-23T00:00:00"/>
    <x v="7"/>
    <n v="52"/>
    <s v="JUEVES"/>
    <x v="8"/>
    <x v="8"/>
    <n v="1728"/>
    <n v="198"/>
    <n v="293.76000000000005"/>
    <x v="0"/>
  </r>
  <r>
    <d v="2021-12-23T00:00:00"/>
    <x v="7"/>
    <n v="52"/>
    <s v="JUEVES"/>
    <x v="10"/>
    <x v="10"/>
    <n v="6000"/>
    <n v="120"/>
    <n v="1020.0000000000001"/>
    <x v="0"/>
  </r>
  <r>
    <d v="2021-12-23T00:00:00"/>
    <x v="7"/>
    <n v="52"/>
    <s v="JUEVES"/>
    <x v="11"/>
    <x v="11"/>
    <n v="2880"/>
    <n v="90"/>
    <n v="489.6"/>
    <x v="0"/>
  </r>
  <r>
    <d v="2021-12-23T00:00:00"/>
    <x v="7"/>
    <n v="52"/>
    <s v="JUEVES"/>
    <x v="25"/>
    <x v="25"/>
    <n v="2250"/>
    <n v="225"/>
    <n v="945"/>
    <x v="0"/>
  </r>
  <r>
    <d v="2021-12-23T00:00:00"/>
    <x v="7"/>
    <n v="52"/>
    <s v="JUEVES"/>
    <x v="6"/>
    <x v="6"/>
    <n v="2880"/>
    <n v="120"/>
    <n v="489.6"/>
    <x v="0"/>
  </r>
  <r>
    <d v="2021-12-23T00:00:00"/>
    <x v="7"/>
    <n v="52"/>
    <s v="JUEVES"/>
    <x v="36"/>
    <x v="36"/>
    <n v="900"/>
    <n v="90"/>
    <n v="360"/>
    <x v="0"/>
  </r>
  <r>
    <d v="2021-12-23T00:00:00"/>
    <x v="7"/>
    <n v="52"/>
    <s v="JUEVES"/>
    <x v="23"/>
    <x v="23"/>
    <n v="450"/>
    <n v="90"/>
    <n v="76.5"/>
    <x v="0"/>
  </r>
  <r>
    <d v="2021-12-23T00:00:00"/>
    <x v="7"/>
    <n v="52"/>
    <s v="JUEVES"/>
    <x v="11"/>
    <x v="11"/>
    <n v="270"/>
    <n v="90"/>
    <n v="45.900000000000006"/>
    <x v="0"/>
  </r>
  <r>
    <d v="2021-12-23T00:00:00"/>
    <x v="7"/>
    <n v="52"/>
    <s v="JUEVES"/>
    <x v="20"/>
    <x v="20"/>
    <n v="270"/>
    <n v="90"/>
    <n v="45.900000000000006"/>
    <x v="0"/>
  </r>
  <r>
    <d v="2021-12-23T00:00:00"/>
    <x v="7"/>
    <n v="52"/>
    <s v="JUEVES"/>
    <x v="2"/>
    <x v="2"/>
    <n v="432"/>
    <n v="198"/>
    <n v="73.440000000000012"/>
    <x v="0"/>
  </r>
  <r>
    <d v="2021-12-23T00:00:00"/>
    <x v="7"/>
    <n v="52"/>
    <s v="JUEVES"/>
    <x v="17"/>
    <x v="17"/>
    <n v="240"/>
    <n v="120"/>
    <n v="40.800000000000004"/>
    <x v="0"/>
  </r>
  <r>
    <d v="2021-12-23T00:00:00"/>
    <x v="7"/>
    <n v="52"/>
    <s v="JUEVES"/>
    <x v="5"/>
    <x v="5"/>
    <n v="972"/>
    <n v="162"/>
    <n v="165.24"/>
    <x v="0"/>
  </r>
  <r>
    <d v="2021-12-23T00:00:00"/>
    <x v="7"/>
    <n v="52"/>
    <s v="JUEVES"/>
    <x v="3"/>
    <x v="3"/>
    <n v="396"/>
    <n v="198"/>
    <n v="67.320000000000007"/>
    <x v="0"/>
  </r>
  <r>
    <d v="2021-12-24T00:00:00"/>
    <x v="7"/>
    <n v="52"/>
    <s v="VIERNES"/>
    <x v="33"/>
    <x v="33"/>
    <n v="80"/>
    <n v="40"/>
    <n v="18.400000000000002"/>
    <x v="0"/>
  </r>
  <r>
    <d v="2021-12-24T00:00:00"/>
    <x v="7"/>
    <n v="52"/>
    <s v="VIERNES"/>
    <x v="13"/>
    <x v="13"/>
    <n v="300"/>
    <n v="30"/>
    <n v="120"/>
    <x v="0"/>
  </r>
  <r>
    <d v="2021-12-24T00:00:00"/>
    <x v="7"/>
    <n v="52"/>
    <s v="VIERNES"/>
    <x v="16"/>
    <x v="16"/>
    <n v="1440"/>
    <n v="180"/>
    <n v="604.79999999999995"/>
    <x v="0"/>
  </r>
  <r>
    <d v="2021-12-24T00:00:00"/>
    <x v="7"/>
    <n v="52"/>
    <s v="VIERNES"/>
    <x v="3"/>
    <x v="3"/>
    <n v="1188"/>
    <n v="198"/>
    <n v="201.96"/>
    <x v="0"/>
  </r>
  <r>
    <d v="2021-12-24T00:00:00"/>
    <x v="7"/>
    <n v="52"/>
    <s v="VIERNES"/>
    <x v="4"/>
    <x v="4"/>
    <n v="324"/>
    <n v="162"/>
    <n v="55.080000000000005"/>
    <x v="0"/>
  </r>
  <r>
    <d v="2021-12-24T00:00:00"/>
    <x v="7"/>
    <n v="52"/>
    <s v="VIERNES"/>
    <x v="6"/>
    <x v="6"/>
    <n v="4080"/>
    <n v="120"/>
    <n v="693.6"/>
    <x v="0"/>
  </r>
  <r>
    <d v="2021-12-24T00:00:00"/>
    <x v="7"/>
    <n v="52"/>
    <s v="VIERNES"/>
    <x v="7"/>
    <x v="7"/>
    <n v="1080"/>
    <n v="198"/>
    <n v="183.60000000000002"/>
    <x v="0"/>
  </r>
  <r>
    <d v="2021-12-24T00:00:00"/>
    <x v="7"/>
    <n v="52"/>
    <s v="VIERNES"/>
    <x v="8"/>
    <x v="8"/>
    <n v="2160"/>
    <n v="198"/>
    <n v="367.20000000000005"/>
    <x v="0"/>
  </r>
  <r>
    <d v="2021-12-24T00:00:00"/>
    <x v="7"/>
    <n v="52"/>
    <s v="VIERNES"/>
    <x v="9"/>
    <x v="9"/>
    <n v="900"/>
    <n v="90"/>
    <n v="153"/>
    <x v="0"/>
  </r>
  <r>
    <d v="2021-12-24T00:00:00"/>
    <x v="7"/>
    <n v="52"/>
    <s v="VIERNES"/>
    <x v="10"/>
    <x v="10"/>
    <n v="4800"/>
    <n v="120"/>
    <n v="816.00000000000011"/>
    <x v="0"/>
  </r>
  <r>
    <d v="2021-12-24T00:00:00"/>
    <x v="7"/>
    <n v="52"/>
    <s v="VIERNES"/>
    <x v="23"/>
    <x v="23"/>
    <n v="990"/>
    <n v="90"/>
    <n v="168.3"/>
    <x v="0"/>
  </r>
  <r>
    <d v="2021-12-24T00:00:00"/>
    <x v="7"/>
    <n v="52"/>
    <s v="VIERNES"/>
    <x v="25"/>
    <x v="25"/>
    <n v="900"/>
    <n v="225"/>
    <n v="378"/>
    <x v="0"/>
  </r>
  <r>
    <d v="2021-12-24T00:00:00"/>
    <x v="7"/>
    <n v="52"/>
    <s v="VIERNES"/>
    <x v="24"/>
    <x v="24"/>
    <n v="420"/>
    <n v="420"/>
    <n v="176.4"/>
    <x v="0"/>
  </r>
  <r>
    <d v="2021-12-24T00:00:00"/>
    <x v="7"/>
    <n v="52"/>
    <s v="VIERNES"/>
    <x v="11"/>
    <x v="11"/>
    <n v="2160"/>
    <n v="90"/>
    <n v="367.20000000000005"/>
    <x v="0"/>
  </r>
  <r>
    <d v="2021-12-27T00:00:00"/>
    <x v="7"/>
    <n v="53"/>
    <s v="LUNES"/>
    <x v="33"/>
    <x v="33"/>
    <n v="80"/>
    <n v="40"/>
    <n v="18.400000000000002"/>
    <x v="0"/>
  </r>
  <r>
    <d v="2021-12-27T00:00:00"/>
    <x v="7"/>
    <n v="53"/>
    <s v="LUNES"/>
    <x v="40"/>
    <x v="40"/>
    <n v="448"/>
    <n v="240"/>
    <n v="179.20000000000002"/>
    <x v="0"/>
  </r>
  <r>
    <d v="2021-12-27T00:00:00"/>
    <x v="7"/>
    <n v="53"/>
    <s v="LUNES"/>
    <x v="0"/>
    <x v="0"/>
    <n v="960"/>
    <n v="48"/>
    <n v="384"/>
    <x v="0"/>
  </r>
  <r>
    <d v="2021-12-27T00:00:00"/>
    <x v="7"/>
    <n v="53"/>
    <s v="LUNES"/>
    <x v="6"/>
    <x v="6"/>
    <n v="3360"/>
    <n v="120"/>
    <n v="571.20000000000005"/>
    <x v="0"/>
  </r>
  <r>
    <d v="2021-12-27T00:00:00"/>
    <x v="7"/>
    <n v="53"/>
    <s v="LUNES"/>
    <x v="9"/>
    <x v="9"/>
    <n v="2160"/>
    <n v="90"/>
    <n v="367.20000000000005"/>
    <x v="0"/>
  </r>
  <r>
    <d v="2021-12-27T00:00:00"/>
    <x v="7"/>
    <n v="53"/>
    <s v="LUNES"/>
    <x v="10"/>
    <x v="10"/>
    <n v="2160"/>
    <n v="120"/>
    <n v="367.20000000000005"/>
    <x v="0"/>
  </r>
  <r>
    <d v="2021-12-27T00:00:00"/>
    <x v="7"/>
    <n v="53"/>
    <s v="LUNES"/>
    <x v="7"/>
    <x v="7"/>
    <n v="1440"/>
    <n v="198"/>
    <n v="244.8"/>
    <x v="0"/>
  </r>
  <r>
    <d v="2021-12-27T00:00:00"/>
    <x v="7"/>
    <n v="53"/>
    <s v="LUNES"/>
    <x v="11"/>
    <x v="11"/>
    <n v="3690"/>
    <n v="90"/>
    <n v="627.30000000000007"/>
    <x v="0"/>
  </r>
  <r>
    <d v="2021-12-27T00:00:00"/>
    <x v="7"/>
    <n v="53"/>
    <s v="LUNES"/>
    <x v="25"/>
    <x v="25"/>
    <n v="1350"/>
    <n v="225"/>
    <n v="567"/>
    <x v="0"/>
  </r>
  <r>
    <d v="2021-12-27T00:00:00"/>
    <x v="7"/>
    <n v="53"/>
    <s v="LUNES"/>
    <x v="43"/>
    <x v="43"/>
    <n v="1500"/>
    <n v="420"/>
    <n v="630"/>
    <x v="0"/>
  </r>
  <r>
    <d v="2021-12-27T00:00:00"/>
    <x v="7"/>
    <n v="53"/>
    <s v="LUNES"/>
    <x v="30"/>
    <x v="30"/>
    <n v="1440"/>
    <n v="250"/>
    <n v="331.2"/>
    <x v="0"/>
  </r>
  <r>
    <d v="2021-12-27T00:00:00"/>
    <x v="7"/>
    <n v="53"/>
    <s v="LUNES"/>
    <x v="10"/>
    <x v="10"/>
    <n v="8640"/>
    <n v="120"/>
    <n v="1468.8000000000002"/>
    <x v="0"/>
  </r>
  <r>
    <d v="2021-12-27T00:00:00"/>
    <x v="7"/>
    <n v="53"/>
    <s v="LUNES"/>
    <x v="6"/>
    <x v="6"/>
    <n v="240"/>
    <n v="120"/>
    <n v="40.800000000000004"/>
    <x v="0"/>
  </r>
  <r>
    <d v="2021-12-27T00:00:00"/>
    <x v="7"/>
    <n v="53"/>
    <s v="LUNES"/>
    <x v="11"/>
    <x v="11"/>
    <n v="810"/>
    <n v="90"/>
    <n v="137.70000000000002"/>
    <x v="0"/>
  </r>
  <r>
    <d v="2021-12-27T00:00:00"/>
    <x v="7"/>
    <n v="53"/>
    <s v="LUNES"/>
    <x v="30"/>
    <x v="30"/>
    <n v="250"/>
    <n v="250"/>
    <n v="57.5"/>
    <x v="0"/>
  </r>
  <r>
    <d v="2021-12-28T00:00:00"/>
    <x v="7"/>
    <n v="53"/>
    <s v="MARTES"/>
    <x v="28"/>
    <x v="28"/>
    <n v="150"/>
    <n v="30"/>
    <n v="34.5"/>
    <x v="0"/>
  </r>
  <r>
    <d v="2021-12-28T00:00:00"/>
    <x v="7"/>
    <n v="53"/>
    <s v="MARTES"/>
    <x v="38"/>
    <x v="38"/>
    <n v="1120"/>
    <n v="112"/>
    <n v="448"/>
    <x v="0"/>
  </r>
  <r>
    <d v="2021-12-28T00:00:00"/>
    <x v="7"/>
    <n v="53"/>
    <s v="MARTES"/>
    <x v="0"/>
    <x v="0"/>
    <n v="1920"/>
    <n v="48"/>
    <n v="768"/>
    <x v="0"/>
  </r>
  <r>
    <d v="2021-12-28T00:00:00"/>
    <x v="7"/>
    <n v="53"/>
    <s v="MARTES"/>
    <x v="24"/>
    <x v="24"/>
    <n v="420"/>
    <n v="420"/>
    <n v="176.4"/>
    <x v="0"/>
  </r>
  <r>
    <d v="2021-12-28T00:00:00"/>
    <x v="7"/>
    <n v="53"/>
    <s v="MARTES"/>
    <x v="39"/>
    <x v="39"/>
    <n v="420"/>
    <n v="420"/>
    <n v="176.4"/>
    <x v="0"/>
  </r>
  <r>
    <d v="2021-12-28T00:00:00"/>
    <x v="7"/>
    <n v="53"/>
    <s v="MARTES"/>
    <x v="3"/>
    <x v="3"/>
    <n v="396"/>
    <n v="198"/>
    <n v="67.320000000000007"/>
    <x v="0"/>
  </r>
  <r>
    <d v="2021-12-28T00:00:00"/>
    <x v="7"/>
    <n v="53"/>
    <s v="MARTES"/>
    <x v="6"/>
    <x v="6"/>
    <n v="1080"/>
    <n v="120"/>
    <n v="183.60000000000002"/>
    <x v="0"/>
  </r>
  <r>
    <d v="2021-12-28T00:00:00"/>
    <x v="7"/>
    <n v="53"/>
    <s v="MARTES"/>
    <x v="17"/>
    <x v="17"/>
    <n v="3000"/>
    <n v="120"/>
    <n v="510.00000000000006"/>
    <x v="0"/>
  </r>
  <r>
    <d v="2021-12-28T00:00:00"/>
    <x v="7"/>
    <n v="53"/>
    <s v="MARTES"/>
    <x v="8"/>
    <x v="8"/>
    <n v="1080"/>
    <n v="198"/>
    <n v="183.60000000000002"/>
    <x v="0"/>
  </r>
  <r>
    <d v="2021-12-28T00:00:00"/>
    <x v="7"/>
    <n v="53"/>
    <s v="MARTES"/>
    <x v="9"/>
    <x v="9"/>
    <n v="1440"/>
    <n v="90"/>
    <n v="244.8"/>
    <x v="0"/>
  </r>
  <r>
    <d v="2021-12-28T00:00:00"/>
    <x v="7"/>
    <n v="53"/>
    <s v="MARTES"/>
    <x v="10"/>
    <x v="10"/>
    <n v="3840"/>
    <n v="120"/>
    <n v="652.80000000000007"/>
    <x v="0"/>
  </r>
  <r>
    <d v="2021-12-28T00:00:00"/>
    <x v="7"/>
    <n v="53"/>
    <s v="MARTES"/>
    <x v="11"/>
    <x v="11"/>
    <n v="2160"/>
    <n v="90"/>
    <n v="367.20000000000005"/>
    <x v="0"/>
  </r>
  <r>
    <d v="2021-12-28T00:00:00"/>
    <x v="7"/>
    <n v="53"/>
    <s v="MARTES"/>
    <x v="20"/>
    <x v="20"/>
    <n v="2160"/>
    <n v="90"/>
    <n v="367.20000000000005"/>
    <x v="0"/>
  </r>
  <r>
    <d v="2021-12-28T00:00:00"/>
    <x v="7"/>
    <n v="53"/>
    <s v="MARTES"/>
    <x v="12"/>
    <x v="12"/>
    <n v="900"/>
    <n v="225"/>
    <n v="360"/>
    <x v="0"/>
  </r>
  <r>
    <d v="2021-12-28T00:00:00"/>
    <x v="7"/>
    <n v="53"/>
    <s v="MARTES"/>
    <x v="42"/>
    <x v="42"/>
    <n v="750"/>
    <n v="420"/>
    <n v="315"/>
    <x v="0"/>
  </r>
  <r>
    <d v="2021-12-28T00:00:00"/>
    <x v="7"/>
    <n v="53"/>
    <s v="MARTES"/>
    <x v="64"/>
    <x v="48"/>
    <n v="360"/>
    <n v="30"/>
    <n v="75.599999999999994"/>
    <x v="0"/>
  </r>
  <r>
    <d v="2021-12-28T00:00:00"/>
    <x v="7"/>
    <n v="53"/>
    <s v="MARTES"/>
    <x v="30"/>
    <x v="30"/>
    <n v="750"/>
    <n v="250"/>
    <n v="172.5"/>
    <x v="0"/>
  </r>
  <r>
    <d v="2021-12-29T00:00:00"/>
    <x v="7"/>
    <n v="53"/>
    <s v="MIÉRCOLES"/>
    <x v="11"/>
    <x v="11"/>
    <n v="2160"/>
    <n v="90"/>
    <n v="367.20000000000005"/>
    <x v="0"/>
  </r>
  <r>
    <d v="2021-12-29T00:00:00"/>
    <x v="7"/>
    <n v="53"/>
    <s v="MIÉRCOLES"/>
    <x v="28"/>
    <x v="28"/>
    <n v="150"/>
    <n v="30"/>
    <n v="34.5"/>
    <x v="0"/>
  </r>
  <r>
    <d v="2021-12-29T00:00:00"/>
    <x v="7"/>
    <n v="53"/>
    <s v="MIÉRCOLES"/>
    <x v="13"/>
    <x v="13"/>
    <n v="150"/>
    <n v="30"/>
    <n v="60"/>
    <x v="0"/>
  </r>
  <r>
    <d v="2021-12-29T00:00:00"/>
    <x v="7"/>
    <n v="53"/>
    <s v="MIÉRCOLES"/>
    <x v="15"/>
    <x v="15"/>
    <n v="500"/>
    <n v="50"/>
    <n v="200"/>
    <x v="0"/>
  </r>
  <r>
    <d v="2021-12-29T00:00:00"/>
    <x v="7"/>
    <n v="53"/>
    <s v="MIÉRCOLES"/>
    <x v="16"/>
    <x v="16"/>
    <n v="1800"/>
    <n v="180"/>
    <n v="756"/>
    <x v="0"/>
  </r>
  <r>
    <d v="2021-12-29T00:00:00"/>
    <x v="7"/>
    <n v="53"/>
    <s v="MIÉRCOLES"/>
    <x v="6"/>
    <x v="6"/>
    <n v="720"/>
    <n v="120"/>
    <n v="122.4"/>
    <x v="0"/>
  </r>
  <r>
    <d v="2021-12-29T00:00:00"/>
    <x v="7"/>
    <n v="53"/>
    <s v="MIÉRCOLES"/>
    <x v="9"/>
    <x v="9"/>
    <n v="2160"/>
    <n v="90"/>
    <n v="367.20000000000005"/>
    <x v="0"/>
  </r>
  <r>
    <d v="2021-12-29T00:00:00"/>
    <x v="7"/>
    <n v="53"/>
    <s v="MIÉRCOLES"/>
    <x v="10"/>
    <x v="10"/>
    <n v="11040"/>
    <n v="120"/>
    <n v="1876.8000000000002"/>
    <x v="0"/>
  </r>
  <r>
    <d v="2021-12-29T00:00:00"/>
    <x v="7"/>
    <n v="53"/>
    <s v="MIÉRCOLES"/>
    <x v="23"/>
    <x v="23"/>
    <n v="2610"/>
    <n v="90"/>
    <n v="443.70000000000005"/>
    <x v="0"/>
  </r>
  <r>
    <d v="2021-12-29T00:00:00"/>
    <x v="7"/>
    <n v="53"/>
    <s v="MIÉRCOLES"/>
    <x v="11"/>
    <x v="11"/>
    <n v="9360"/>
    <n v="90"/>
    <n v="1591.2"/>
    <x v="0"/>
  </r>
  <r>
    <d v="2021-12-29T00:00:00"/>
    <x v="7"/>
    <n v="53"/>
    <s v="MIÉRCOLES"/>
    <x v="12"/>
    <x v="12"/>
    <n v="675"/>
    <n v="225"/>
    <n v="270"/>
    <x v="0"/>
  </r>
  <r>
    <d v="2021-12-29T00:00:00"/>
    <x v="7"/>
    <n v="53"/>
    <s v="MIÉRCOLES"/>
    <x v="19"/>
    <x v="19"/>
    <n v="450"/>
    <n v="225"/>
    <n v="180"/>
    <x v="0"/>
  </r>
  <r>
    <d v="2021-12-29T00:00:00"/>
    <x v="7"/>
    <n v="53"/>
    <s v="MIÉRCOLES"/>
    <x v="43"/>
    <x v="43"/>
    <n v="1250"/>
    <n v="420"/>
    <n v="525"/>
    <x v="0"/>
  </r>
  <r>
    <d v="2021-12-29T00:00:00"/>
    <x v="7"/>
    <n v="53"/>
    <s v="MIÉRCOLES"/>
    <x v="64"/>
    <x v="48"/>
    <n v="360"/>
    <n v="30"/>
    <n v="75.599999999999994"/>
    <x v="0"/>
  </r>
  <r>
    <d v="2021-12-30T00:00:00"/>
    <x v="7"/>
    <n v="53"/>
    <s v="JUEVES"/>
    <x v="13"/>
    <x v="13"/>
    <n v="210"/>
    <n v="30"/>
    <n v="84"/>
    <x v="0"/>
  </r>
  <r>
    <d v="2021-12-30T00:00:00"/>
    <x v="7"/>
    <n v="53"/>
    <s v="JUEVES"/>
    <x v="15"/>
    <x v="15"/>
    <n v="250"/>
    <n v="50"/>
    <n v="100"/>
    <x v="0"/>
  </r>
  <r>
    <d v="2021-12-30T00:00:00"/>
    <x v="7"/>
    <n v="53"/>
    <s v="JUEVES"/>
    <x v="38"/>
    <x v="38"/>
    <n v="560"/>
    <n v="112"/>
    <n v="224"/>
    <x v="0"/>
  </r>
  <r>
    <d v="2021-12-30T00:00:00"/>
    <x v="7"/>
    <n v="53"/>
    <s v="JUEVES"/>
    <x v="6"/>
    <x v="6"/>
    <n v="1800"/>
    <n v="120"/>
    <n v="306"/>
    <x v="0"/>
  </r>
  <r>
    <d v="2021-12-30T00:00:00"/>
    <x v="7"/>
    <n v="53"/>
    <s v="JUEVES"/>
    <x v="17"/>
    <x v="17"/>
    <n v="4800"/>
    <n v="120"/>
    <n v="816.00000000000011"/>
    <x v="0"/>
  </r>
  <r>
    <d v="2021-12-30T00:00:00"/>
    <x v="7"/>
    <n v="53"/>
    <s v="JUEVES"/>
    <x v="9"/>
    <x v="9"/>
    <n v="1440"/>
    <n v="90"/>
    <n v="244.8"/>
    <x v="0"/>
  </r>
  <r>
    <d v="2021-12-30T00:00:00"/>
    <x v="7"/>
    <n v="53"/>
    <s v="JUEVES"/>
    <x v="10"/>
    <x v="10"/>
    <n v="1920"/>
    <n v="120"/>
    <n v="326.40000000000003"/>
    <x v="0"/>
  </r>
  <r>
    <d v="2021-12-30T00:00:00"/>
    <x v="7"/>
    <n v="53"/>
    <s v="JUEVES"/>
    <x v="23"/>
    <x v="23"/>
    <n v="2880"/>
    <n v="90"/>
    <n v="489.6"/>
    <x v="0"/>
  </r>
  <r>
    <d v="2021-12-30T00:00:00"/>
    <x v="7"/>
    <n v="53"/>
    <s v="JUEVES"/>
    <x v="11"/>
    <x v="11"/>
    <n v="5760"/>
    <n v="90"/>
    <n v="979.2"/>
    <x v="0"/>
  </r>
  <r>
    <d v="2021-12-30T00:00:00"/>
    <x v="7"/>
    <n v="53"/>
    <s v="JUEVES"/>
    <x v="25"/>
    <x v="25"/>
    <n v="1350"/>
    <n v="225"/>
    <n v="567"/>
    <x v="0"/>
  </r>
  <r>
    <d v="2021-12-30T00:00:00"/>
    <x v="7"/>
    <n v="53"/>
    <s v="JUEVES"/>
    <x v="42"/>
    <x v="42"/>
    <n v="1250"/>
    <n v="420"/>
    <n v="525"/>
    <x v="0"/>
  </r>
  <r>
    <d v="2021-12-30T00:00:00"/>
    <x v="7"/>
    <n v="53"/>
    <s v="JUEVES"/>
    <x v="64"/>
    <x v="48"/>
    <n v="360"/>
    <n v="30"/>
    <n v="75.599999999999994"/>
    <x v="0"/>
  </r>
  <r>
    <d v="2021-12-31T00:00:00"/>
    <x v="7"/>
    <n v="53"/>
    <s v="VIERNES"/>
    <x v="2"/>
    <x v="2"/>
    <n v="2160"/>
    <n v="198"/>
    <n v="367.20000000000005"/>
    <x v="0"/>
  </r>
  <r>
    <d v="2021-12-31T00:00:00"/>
    <x v="7"/>
    <n v="53"/>
    <s v="VIERNES"/>
    <x v="4"/>
    <x v="4"/>
    <n v="972"/>
    <n v="162"/>
    <n v="165.24"/>
    <x v="0"/>
  </r>
  <r>
    <d v="2021-12-31T00:00:00"/>
    <x v="7"/>
    <n v="53"/>
    <s v="VIERNES"/>
    <x v="6"/>
    <x v="6"/>
    <n v="4920"/>
    <n v="120"/>
    <n v="836.40000000000009"/>
    <x v="0"/>
  </r>
  <r>
    <d v="2021-12-31T00:00:00"/>
    <x v="7"/>
    <n v="53"/>
    <s v="VIERNES"/>
    <x v="8"/>
    <x v="8"/>
    <n v="216"/>
    <n v="198"/>
    <n v="36.720000000000006"/>
    <x v="0"/>
  </r>
  <r>
    <d v="2021-12-31T00:00:00"/>
    <x v="7"/>
    <n v="53"/>
    <s v="VIERNES"/>
    <x v="9"/>
    <x v="9"/>
    <n v="1080"/>
    <n v="90"/>
    <n v="183.60000000000002"/>
    <x v="0"/>
  </r>
  <r>
    <d v="2021-12-31T00:00:00"/>
    <x v="7"/>
    <n v="53"/>
    <s v="VIERNES"/>
    <x v="23"/>
    <x v="23"/>
    <n v="810"/>
    <n v="90"/>
    <n v="137.70000000000002"/>
    <x v="0"/>
  </r>
  <r>
    <d v="2021-12-31T00:00:00"/>
    <x v="7"/>
    <n v="53"/>
    <s v="VIERNES"/>
    <x v="11"/>
    <x v="11"/>
    <n v="4500"/>
    <n v="90"/>
    <n v="765"/>
    <x v="0"/>
  </r>
  <r>
    <d v="2021-12-31T00:00:00"/>
    <x v="7"/>
    <n v="53"/>
    <s v="VIERNES"/>
    <x v="42"/>
    <x v="42"/>
    <n v="1250"/>
    <n v="420"/>
    <n v="525"/>
    <x v="0"/>
  </r>
  <r>
    <d v="2021-12-31T00:00:00"/>
    <x v="7"/>
    <n v="53"/>
    <s v="VIERNES"/>
    <x v="43"/>
    <x v="43"/>
    <n v="250"/>
    <n v="420"/>
    <n v="105"/>
    <x v="0"/>
  </r>
  <r>
    <d v="2022-01-03T00:00:00"/>
    <x v="5"/>
    <n v="1"/>
    <s v="LUNES"/>
    <x v="22"/>
    <x v="22"/>
    <n v="396"/>
    <n v="198"/>
    <n v="67.320000000000007"/>
    <x v="3"/>
  </r>
  <r>
    <d v="2022-01-03T00:00:00"/>
    <x v="5"/>
    <n v="1"/>
    <s v="LUNES"/>
    <x v="6"/>
    <x v="6"/>
    <n v="4320"/>
    <n v="120"/>
    <n v="734.40000000000009"/>
    <x v="3"/>
  </r>
  <r>
    <d v="2022-01-03T00:00:00"/>
    <x v="5"/>
    <n v="1"/>
    <s v="LUNES"/>
    <x v="17"/>
    <x v="17"/>
    <n v="3600"/>
    <n v="120"/>
    <n v="612"/>
    <x v="3"/>
  </r>
  <r>
    <d v="2022-01-03T00:00:00"/>
    <x v="5"/>
    <n v="1"/>
    <s v="LUNES"/>
    <x v="11"/>
    <x v="11"/>
    <n v="4320"/>
    <n v="90"/>
    <n v="734.40000000000009"/>
    <x v="3"/>
  </r>
  <r>
    <d v="2022-01-03T00:00:00"/>
    <x v="5"/>
    <n v="1"/>
    <s v="LUNES"/>
    <x v="12"/>
    <x v="12"/>
    <n v="900"/>
    <n v="225"/>
    <n v="360"/>
    <x v="3"/>
  </r>
  <r>
    <d v="2022-01-03T00:00:00"/>
    <x v="5"/>
    <n v="1"/>
    <s v="LUNES"/>
    <x v="19"/>
    <x v="19"/>
    <n v="675"/>
    <n v="225"/>
    <n v="270"/>
    <x v="3"/>
  </r>
  <r>
    <d v="2022-01-03T00:00:00"/>
    <x v="5"/>
    <n v="1"/>
    <s v="LUNES"/>
    <x v="43"/>
    <x v="43"/>
    <n v="750"/>
    <n v="420"/>
    <n v="315"/>
    <x v="3"/>
  </r>
  <r>
    <d v="2022-01-03T00:00:00"/>
    <x v="5"/>
    <n v="1"/>
    <s v="LUNES"/>
    <x v="25"/>
    <x v="25"/>
    <n v="1350"/>
    <n v="225"/>
    <n v="567"/>
    <x v="3"/>
  </r>
  <r>
    <d v="2022-01-03T00:00:00"/>
    <x v="5"/>
    <n v="1"/>
    <s v="LUNES"/>
    <x v="16"/>
    <x v="16"/>
    <n v="900"/>
    <n v="180"/>
    <n v="378"/>
    <x v="3"/>
  </r>
  <r>
    <d v="2022-01-04T00:00:00"/>
    <x v="5"/>
    <n v="1"/>
    <s v="MARTES"/>
    <x v="25"/>
    <x v="25"/>
    <n v="2250"/>
    <n v="225"/>
    <n v="945"/>
    <x v="3"/>
  </r>
  <r>
    <d v="2022-01-04T00:00:00"/>
    <x v="5"/>
    <n v="1"/>
    <s v="MARTES"/>
    <x v="12"/>
    <x v="12"/>
    <n v="1125"/>
    <n v="225"/>
    <n v="450"/>
    <x v="3"/>
  </r>
  <r>
    <d v="2022-01-04T00:00:00"/>
    <x v="5"/>
    <n v="1"/>
    <s v="MARTES"/>
    <x v="19"/>
    <x v="19"/>
    <n v="450"/>
    <n v="225"/>
    <n v="180"/>
    <x v="3"/>
  </r>
  <r>
    <d v="2022-01-04T00:00:00"/>
    <x v="5"/>
    <n v="1"/>
    <s v="MARTES"/>
    <x v="28"/>
    <x v="28"/>
    <n v="240"/>
    <n v="30"/>
    <n v="55.2"/>
    <x v="3"/>
  </r>
  <r>
    <d v="2022-01-04T00:00:00"/>
    <x v="5"/>
    <n v="1"/>
    <s v="MARTES"/>
    <x v="14"/>
    <x v="14"/>
    <n v="200"/>
    <n v="40"/>
    <n v="46"/>
    <x v="3"/>
  </r>
  <r>
    <d v="2022-01-04T00:00:00"/>
    <x v="5"/>
    <n v="1"/>
    <s v="MARTES"/>
    <x v="40"/>
    <x v="40"/>
    <n v="672"/>
    <n v="240"/>
    <n v="268.8"/>
    <x v="3"/>
  </r>
  <r>
    <d v="2022-01-04T00:00:00"/>
    <x v="5"/>
    <n v="1"/>
    <s v="MARTES"/>
    <x v="38"/>
    <x v="38"/>
    <n v="448"/>
    <n v="112"/>
    <n v="179.20000000000002"/>
    <x v="3"/>
  </r>
  <r>
    <d v="2022-01-04T00:00:00"/>
    <x v="5"/>
    <n v="1"/>
    <s v="MARTES"/>
    <x v="0"/>
    <x v="0"/>
    <n v="1248"/>
    <n v="48"/>
    <n v="499.20000000000005"/>
    <x v="3"/>
  </r>
  <r>
    <d v="2022-01-04T00:00:00"/>
    <x v="5"/>
    <n v="1"/>
    <s v="MARTES"/>
    <x v="16"/>
    <x v="16"/>
    <n v="1260"/>
    <n v="180"/>
    <n v="529.19999999999993"/>
    <x v="3"/>
  </r>
  <r>
    <d v="2022-01-04T00:00:00"/>
    <x v="5"/>
    <n v="1"/>
    <s v="MARTES"/>
    <x v="1"/>
    <x v="1"/>
    <n v="6480"/>
    <n v="198"/>
    <n v="1101.6000000000001"/>
    <x v="3"/>
  </r>
  <r>
    <d v="2022-01-04T00:00:00"/>
    <x v="5"/>
    <n v="1"/>
    <s v="MARTES"/>
    <x v="3"/>
    <x v="3"/>
    <n v="396"/>
    <n v="198"/>
    <n v="67.320000000000007"/>
    <x v="3"/>
  </r>
  <r>
    <d v="2022-01-04T00:00:00"/>
    <x v="5"/>
    <n v="1"/>
    <s v="MARTES"/>
    <x v="6"/>
    <x v="6"/>
    <n v="4800"/>
    <n v="120"/>
    <n v="816.00000000000011"/>
    <x v="3"/>
  </r>
  <r>
    <d v="2022-01-04T00:00:00"/>
    <x v="5"/>
    <n v="1"/>
    <s v="MARTES"/>
    <x v="17"/>
    <x v="17"/>
    <n v="4800"/>
    <n v="120"/>
    <n v="816.00000000000011"/>
    <x v="3"/>
  </r>
  <r>
    <d v="2022-01-04T00:00:00"/>
    <x v="5"/>
    <n v="1"/>
    <s v="MARTES"/>
    <x v="8"/>
    <x v="8"/>
    <n v="1296"/>
    <n v="198"/>
    <n v="220.32000000000002"/>
    <x v="3"/>
  </r>
  <r>
    <d v="2022-01-04T00:00:00"/>
    <x v="5"/>
    <n v="1"/>
    <s v="MARTES"/>
    <x v="9"/>
    <x v="9"/>
    <n v="540"/>
    <n v="90"/>
    <n v="91.800000000000011"/>
    <x v="3"/>
  </r>
  <r>
    <d v="2022-01-04T00:00:00"/>
    <x v="5"/>
    <n v="1"/>
    <s v="MARTES"/>
    <x v="10"/>
    <x v="10"/>
    <n v="960"/>
    <n v="120"/>
    <n v="163.20000000000002"/>
    <x v="3"/>
  </r>
  <r>
    <d v="2022-01-04T00:00:00"/>
    <x v="5"/>
    <n v="1"/>
    <s v="MARTES"/>
    <x v="23"/>
    <x v="23"/>
    <n v="2880"/>
    <n v="90"/>
    <n v="489.6"/>
    <x v="3"/>
  </r>
  <r>
    <d v="2022-01-04T00:00:00"/>
    <x v="5"/>
    <n v="1"/>
    <s v="MARTES"/>
    <x v="20"/>
    <x v="20"/>
    <n v="900"/>
    <n v="90"/>
    <n v="153"/>
    <x v="3"/>
  </r>
  <r>
    <d v="2022-01-05T00:00:00"/>
    <x v="5"/>
    <n v="1"/>
    <s v="MIÉRCOLES"/>
    <x v="28"/>
    <x v="28"/>
    <n v="150"/>
    <n v="30"/>
    <n v="34.5"/>
    <x v="3"/>
  </r>
  <r>
    <d v="2022-01-05T00:00:00"/>
    <x v="5"/>
    <n v="1"/>
    <s v="MIÉRCOLES"/>
    <x v="13"/>
    <x v="13"/>
    <n v="240"/>
    <n v="30"/>
    <n v="96"/>
    <x v="3"/>
  </r>
  <r>
    <d v="2022-01-05T00:00:00"/>
    <x v="5"/>
    <n v="1"/>
    <s v="MIÉRCOLES"/>
    <x v="15"/>
    <x v="15"/>
    <n v="300"/>
    <n v="50"/>
    <n v="120"/>
    <x v="3"/>
  </r>
  <r>
    <d v="2022-01-05T00:00:00"/>
    <x v="5"/>
    <n v="1"/>
    <s v="MIÉRCOLES"/>
    <x v="38"/>
    <x v="38"/>
    <n v="448"/>
    <n v="112"/>
    <n v="179.20000000000002"/>
    <x v="3"/>
  </r>
  <r>
    <d v="2022-01-05T00:00:00"/>
    <x v="5"/>
    <n v="1"/>
    <s v="MIÉRCOLES"/>
    <x v="0"/>
    <x v="0"/>
    <n v="912"/>
    <n v="48"/>
    <n v="364.8"/>
    <x v="3"/>
  </r>
  <r>
    <d v="2022-01-05T00:00:00"/>
    <x v="5"/>
    <n v="1"/>
    <s v="MIÉRCOLES"/>
    <x v="1"/>
    <x v="1"/>
    <n v="4320"/>
    <n v="198"/>
    <n v="734.40000000000009"/>
    <x v="3"/>
  </r>
  <r>
    <d v="2022-01-05T00:00:00"/>
    <x v="5"/>
    <n v="1"/>
    <s v="MIÉRCOLES"/>
    <x v="2"/>
    <x v="2"/>
    <n v="2160"/>
    <n v="198"/>
    <n v="367.20000000000005"/>
    <x v="3"/>
  </r>
  <r>
    <d v="2022-01-05T00:00:00"/>
    <x v="5"/>
    <n v="1"/>
    <s v="MIÉRCOLES"/>
    <x v="22"/>
    <x v="22"/>
    <n v="1386"/>
    <n v="198"/>
    <n v="235.62"/>
    <x v="3"/>
  </r>
  <r>
    <d v="2022-01-05T00:00:00"/>
    <x v="5"/>
    <n v="1"/>
    <s v="MIÉRCOLES"/>
    <x v="3"/>
    <x v="3"/>
    <n v="3960"/>
    <n v="198"/>
    <n v="673.2"/>
    <x v="3"/>
  </r>
  <r>
    <d v="2022-01-05T00:00:00"/>
    <x v="5"/>
    <n v="1"/>
    <s v="MIÉRCOLES"/>
    <x v="4"/>
    <x v="4"/>
    <n v="1620"/>
    <n v="162"/>
    <n v="275.40000000000003"/>
    <x v="3"/>
  </r>
  <r>
    <d v="2022-01-05T00:00:00"/>
    <x v="5"/>
    <n v="1"/>
    <s v="MIÉRCOLES"/>
    <x v="5"/>
    <x v="5"/>
    <n v="1134"/>
    <n v="162"/>
    <n v="192.78"/>
    <x v="3"/>
  </r>
  <r>
    <d v="2022-01-05T00:00:00"/>
    <x v="5"/>
    <n v="1"/>
    <s v="MIÉRCOLES"/>
    <x v="7"/>
    <x v="7"/>
    <n v="3672"/>
    <n v="198"/>
    <n v="624.24"/>
    <x v="3"/>
  </r>
  <r>
    <d v="2022-01-05T00:00:00"/>
    <x v="5"/>
    <n v="1"/>
    <s v="MIÉRCOLES"/>
    <x v="8"/>
    <x v="8"/>
    <n v="3024"/>
    <n v="198"/>
    <n v="514.08000000000004"/>
    <x v="3"/>
  </r>
  <r>
    <d v="2022-01-05T00:00:00"/>
    <x v="5"/>
    <n v="1"/>
    <s v="MIÉRCOLES"/>
    <x v="9"/>
    <x v="9"/>
    <n v="900"/>
    <n v="90"/>
    <n v="153"/>
    <x v="3"/>
  </r>
  <r>
    <d v="2022-01-05T00:00:00"/>
    <x v="5"/>
    <n v="1"/>
    <s v="MIÉRCOLES"/>
    <x v="10"/>
    <x v="10"/>
    <n v="600"/>
    <n v="120"/>
    <n v="102.00000000000001"/>
    <x v="3"/>
  </r>
  <r>
    <d v="2022-01-05T00:00:00"/>
    <x v="5"/>
    <n v="1"/>
    <s v="MIÉRCOLES"/>
    <x v="26"/>
    <x v="26"/>
    <n v="270"/>
    <n v="90"/>
    <n v="45.900000000000006"/>
    <x v="3"/>
  </r>
  <r>
    <d v="2022-01-05T00:00:00"/>
    <x v="5"/>
    <n v="1"/>
    <s v="MIÉRCOLES"/>
    <x v="23"/>
    <x v="23"/>
    <n v="360"/>
    <n v="90"/>
    <n v="61.2"/>
    <x v="3"/>
  </r>
  <r>
    <d v="2022-01-05T00:00:00"/>
    <x v="5"/>
    <n v="1"/>
    <s v="MIÉRCOLES"/>
    <x v="11"/>
    <x v="11"/>
    <n v="1350"/>
    <n v="90"/>
    <n v="229.50000000000003"/>
    <x v="3"/>
  </r>
  <r>
    <d v="2022-01-05T00:00:00"/>
    <x v="5"/>
    <n v="1"/>
    <s v="MIÉRCOLES"/>
    <x v="20"/>
    <x v="20"/>
    <n v="450"/>
    <n v="90"/>
    <n v="76.5"/>
    <x v="3"/>
  </r>
  <r>
    <d v="2022-01-05T00:00:00"/>
    <x v="5"/>
    <n v="1"/>
    <s v="MIÉRCOLES"/>
    <x v="25"/>
    <x v="25"/>
    <n v="450"/>
    <n v="225"/>
    <n v="189"/>
    <x v="3"/>
  </r>
  <r>
    <d v="2022-01-05T00:00:00"/>
    <x v="5"/>
    <n v="1"/>
    <s v="MIÉRCOLES"/>
    <x v="12"/>
    <x v="12"/>
    <n v="675"/>
    <n v="225"/>
    <n v="270"/>
    <x v="3"/>
  </r>
  <r>
    <d v="2022-01-05T00:00:00"/>
    <x v="5"/>
    <n v="1"/>
    <s v="MIÉRCOLES"/>
    <x v="42"/>
    <x v="42"/>
    <n v="750"/>
    <n v="420"/>
    <n v="315"/>
    <x v="3"/>
  </r>
  <r>
    <d v="2022-01-06T00:00:00"/>
    <x v="5"/>
    <n v="1"/>
    <s v="JUEVES"/>
    <x v="28"/>
    <x v="28"/>
    <n v="300"/>
    <n v="30"/>
    <n v="69"/>
    <x v="3"/>
  </r>
  <r>
    <d v="2022-01-06T00:00:00"/>
    <x v="5"/>
    <n v="1"/>
    <s v="JUEVES"/>
    <x v="13"/>
    <x v="13"/>
    <n v="300"/>
    <n v="30"/>
    <n v="120"/>
    <x v="3"/>
  </r>
  <r>
    <d v="2022-01-06T00:00:00"/>
    <x v="5"/>
    <n v="1"/>
    <s v="JUEVES"/>
    <x v="15"/>
    <x v="15"/>
    <n v="100"/>
    <n v="50"/>
    <n v="40"/>
    <x v="3"/>
  </r>
  <r>
    <d v="2022-01-06T00:00:00"/>
    <x v="5"/>
    <n v="1"/>
    <s v="JUEVES"/>
    <x v="16"/>
    <x v="16"/>
    <n v="900"/>
    <n v="180"/>
    <n v="378"/>
    <x v="3"/>
  </r>
  <r>
    <d v="2022-01-06T00:00:00"/>
    <x v="5"/>
    <n v="1"/>
    <s v="JUEVES"/>
    <x v="1"/>
    <x v="1"/>
    <n v="4320"/>
    <n v="198"/>
    <n v="734.40000000000009"/>
    <x v="3"/>
  </r>
  <r>
    <d v="2022-01-06T00:00:00"/>
    <x v="5"/>
    <n v="1"/>
    <s v="JUEVES"/>
    <x v="2"/>
    <x v="2"/>
    <n v="2160"/>
    <n v="198"/>
    <n v="367.20000000000005"/>
    <x v="3"/>
  </r>
  <r>
    <d v="2022-01-06T00:00:00"/>
    <x v="5"/>
    <n v="1"/>
    <s v="JUEVES"/>
    <x v="4"/>
    <x v="4"/>
    <n v="1620"/>
    <n v="162"/>
    <n v="275.40000000000003"/>
    <x v="3"/>
  </r>
  <r>
    <d v="2022-01-06T00:00:00"/>
    <x v="5"/>
    <n v="1"/>
    <s v="JUEVES"/>
    <x v="5"/>
    <x v="5"/>
    <n v="1458"/>
    <n v="162"/>
    <n v="247.86"/>
    <x v="3"/>
  </r>
  <r>
    <d v="2022-01-06T00:00:00"/>
    <x v="5"/>
    <n v="1"/>
    <s v="JUEVES"/>
    <x v="17"/>
    <x v="17"/>
    <n v="2880"/>
    <n v="120"/>
    <n v="489.6"/>
    <x v="3"/>
  </r>
  <r>
    <d v="2022-01-06T00:00:00"/>
    <x v="5"/>
    <n v="1"/>
    <s v="JUEVES"/>
    <x v="7"/>
    <x v="7"/>
    <n v="2160"/>
    <n v="198"/>
    <n v="367.20000000000005"/>
    <x v="3"/>
  </r>
  <r>
    <d v="2022-01-06T00:00:00"/>
    <x v="5"/>
    <n v="1"/>
    <s v="JUEVES"/>
    <x v="9"/>
    <x v="9"/>
    <n v="1440"/>
    <n v="90"/>
    <n v="244.8"/>
    <x v="3"/>
  </r>
  <r>
    <d v="2022-01-06T00:00:00"/>
    <x v="5"/>
    <n v="1"/>
    <s v="JUEVES"/>
    <x v="10"/>
    <x v="10"/>
    <n v="720"/>
    <n v="120"/>
    <n v="122.4"/>
    <x v="3"/>
  </r>
  <r>
    <d v="2022-01-06T00:00:00"/>
    <x v="5"/>
    <n v="1"/>
    <s v="JUEVES"/>
    <x v="26"/>
    <x v="26"/>
    <n v="1440"/>
    <n v="90"/>
    <n v="244.8"/>
    <x v="3"/>
  </r>
  <r>
    <d v="2022-01-06T00:00:00"/>
    <x v="5"/>
    <n v="1"/>
    <s v="JUEVES"/>
    <x v="23"/>
    <x v="23"/>
    <n v="2160"/>
    <n v="90"/>
    <n v="367.20000000000005"/>
    <x v="3"/>
  </r>
  <r>
    <d v="2022-01-06T00:00:00"/>
    <x v="5"/>
    <n v="1"/>
    <s v="JUEVES"/>
    <x v="11"/>
    <x v="11"/>
    <n v="2880"/>
    <n v="90"/>
    <n v="489.6"/>
    <x v="3"/>
  </r>
  <r>
    <d v="2022-01-06T00:00:00"/>
    <x v="5"/>
    <n v="1"/>
    <s v="JUEVES"/>
    <x v="20"/>
    <x v="20"/>
    <n v="720"/>
    <n v="90"/>
    <n v="122.4"/>
    <x v="3"/>
  </r>
  <r>
    <d v="2022-01-06T00:00:00"/>
    <x v="5"/>
    <n v="1"/>
    <s v="JUEVES"/>
    <x v="25"/>
    <x v="25"/>
    <n v="1350"/>
    <n v="225"/>
    <n v="567"/>
    <x v="3"/>
  </r>
  <r>
    <d v="2022-01-06T00:00:00"/>
    <x v="5"/>
    <n v="1"/>
    <s v="JUEVES"/>
    <x v="43"/>
    <x v="43"/>
    <n v="1000"/>
    <n v="420"/>
    <n v="420"/>
    <x v="3"/>
  </r>
  <r>
    <d v="2022-01-07T00:00:00"/>
    <x v="5"/>
    <n v="1"/>
    <s v="VIERNES"/>
    <x v="28"/>
    <x v="28"/>
    <n v="150"/>
    <n v="30"/>
    <n v="34.5"/>
    <x v="3"/>
  </r>
  <r>
    <d v="2022-01-07T00:00:00"/>
    <x v="5"/>
    <n v="1"/>
    <s v="VIERNES"/>
    <x v="33"/>
    <x v="33"/>
    <n v="240"/>
    <n v="40"/>
    <n v="55.2"/>
    <x v="3"/>
  </r>
  <r>
    <d v="2022-01-07T00:00:00"/>
    <x v="5"/>
    <n v="1"/>
    <s v="VIERNES"/>
    <x v="13"/>
    <x v="13"/>
    <n v="270"/>
    <n v="30"/>
    <n v="108"/>
    <x v="3"/>
  </r>
  <r>
    <d v="2022-01-07T00:00:00"/>
    <x v="5"/>
    <n v="1"/>
    <s v="VIERNES"/>
    <x v="14"/>
    <x v="14"/>
    <n v="120"/>
    <n v="40"/>
    <n v="27.6"/>
    <x v="3"/>
  </r>
  <r>
    <d v="2022-01-07T00:00:00"/>
    <x v="5"/>
    <n v="1"/>
    <s v="VIERNES"/>
    <x v="15"/>
    <x v="15"/>
    <n v="100"/>
    <n v="50"/>
    <n v="40"/>
    <x v="3"/>
  </r>
  <r>
    <d v="2022-01-07T00:00:00"/>
    <x v="5"/>
    <n v="1"/>
    <s v="VIERNES"/>
    <x v="0"/>
    <x v="0"/>
    <n v="960"/>
    <n v="48"/>
    <n v="384"/>
    <x v="3"/>
  </r>
  <r>
    <d v="2022-01-07T00:00:00"/>
    <x v="5"/>
    <n v="1"/>
    <s v="VIERNES"/>
    <x v="1"/>
    <x v="1"/>
    <n v="2160"/>
    <n v="198"/>
    <n v="367.20000000000005"/>
    <x v="3"/>
  </r>
  <r>
    <d v="2022-01-07T00:00:00"/>
    <x v="5"/>
    <n v="1"/>
    <s v="VIERNES"/>
    <x v="2"/>
    <x v="2"/>
    <n v="2160"/>
    <n v="198"/>
    <n v="367.20000000000005"/>
    <x v="3"/>
  </r>
  <r>
    <d v="2022-01-07T00:00:00"/>
    <x v="5"/>
    <n v="1"/>
    <s v="VIERNES"/>
    <x v="29"/>
    <x v="29"/>
    <n v="216"/>
    <n v="198"/>
    <n v="36.720000000000006"/>
    <x v="3"/>
  </r>
  <r>
    <d v="2022-01-07T00:00:00"/>
    <x v="5"/>
    <n v="1"/>
    <s v="VIERNES"/>
    <x v="4"/>
    <x v="4"/>
    <n v="972"/>
    <n v="162"/>
    <n v="165.24"/>
    <x v="3"/>
  </r>
  <r>
    <d v="2022-01-07T00:00:00"/>
    <x v="5"/>
    <n v="1"/>
    <s v="VIERNES"/>
    <x v="5"/>
    <x v="5"/>
    <n v="972"/>
    <n v="162"/>
    <n v="165.24"/>
    <x v="3"/>
  </r>
  <r>
    <d v="2022-01-07T00:00:00"/>
    <x v="5"/>
    <n v="1"/>
    <s v="VIERNES"/>
    <x v="7"/>
    <x v="7"/>
    <n v="2160"/>
    <n v="198"/>
    <n v="367.20000000000005"/>
    <x v="3"/>
  </r>
  <r>
    <d v="2022-01-07T00:00:00"/>
    <x v="5"/>
    <n v="1"/>
    <s v="VIERNES"/>
    <x v="9"/>
    <x v="9"/>
    <n v="450"/>
    <n v="90"/>
    <n v="76.5"/>
    <x v="3"/>
  </r>
  <r>
    <d v="2022-01-07T00:00:00"/>
    <x v="5"/>
    <n v="1"/>
    <s v="VIERNES"/>
    <x v="11"/>
    <x v="11"/>
    <n v="2880"/>
    <n v="90"/>
    <n v="489.6"/>
    <x v="3"/>
  </r>
  <r>
    <d v="2022-01-07T00:00:00"/>
    <x v="5"/>
    <n v="1"/>
    <s v="VIERNES"/>
    <x v="37"/>
    <x v="37"/>
    <n v="1000"/>
    <n v="225"/>
    <n v="420"/>
    <x v="3"/>
  </r>
  <r>
    <d v="2022-01-07T00:00:00"/>
    <x v="5"/>
    <n v="1"/>
    <s v="VIERNES"/>
    <x v="24"/>
    <x v="24"/>
    <n v="2520"/>
    <n v="420"/>
    <n v="1058.3999999999999"/>
    <x v="3"/>
  </r>
  <r>
    <d v="2022-01-07T00:00:00"/>
    <x v="5"/>
    <n v="1"/>
    <s v="VIERNES"/>
    <x v="16"/>
    <x v="16"/>
    <n v="900"/>
    <n v="180"/>
    <n v="378"/>
    <x v="3"/>
  </r>
  <r>
    <d v="2022-01-07T00:00:00"/>
    <x v="5"/>
    <n v="1"/>
    <s v="VIERNES"/>
    <x v="12"/>
    <x v="12"/>
    <n v="675"/>
    <n v="225"/>
    <n v="270"/>
    <x v="3"/>
  </r>
  <r>
    <d v="2022-01-07T00:00:00"/>
    <x v="5"/>
    <n v="1"/>
    <s v="VIERNES"/>
    <x v="19"/>
    <x v="19"/>
    <n v="225"/>
    <n v="225"/>
    <n v="90"/>
    <x v="3"/>
  </r>
  <r>
    <d v="2022-01-07T00:00:00"/>
    <x v="5"/>
    <n v="1"/>
    <s v="VIERNES"/>
    <x v="37"/>
    <x v="37"/>
    <n v="2000"/>
    <n v="225"/>
    <n v="840"/>
    <x v="3"/>
  </r>
  <r>
    <d v="2022-01-07T00:00:00"/>
    <x v="5"/>
    <n v="1"/>
    <s v="VIERNES"/>
    <x v="46"/>
    <x v="46"/>
    <n v="2500"/>
    <n v="250"/>
    <n v="1050"/>
    <x v="3"/>
  </r>
  <r>
    <d v="2022-01-07T00:00:00"/>
    <x v="5"/>
    <n v="1"/>
    <s v="VIERNES"/>
    <x v="42"/>
    <x v="42"/>
    <n v="750"/>
    <n v="420"/>
    <n v="315"/>
    <x v="3"/>
  </r>
  <r>
    <d v="2022-01-08T00:00:00"/>
    <x v="5"/>
    <n v="2"/>
    <s v="SÁBADO"/>
    <x v="9"/>
    <x v="9"/>
    <n v="1440"/>
    <n v="90"/>
    <n v="244.8"/>
    <x v="3"/>
  </r>
  <r>
    <d v="2022-01-08T00:00:00"/>
    <x v="5"/>
    <n v="2"/>
    <s v="SÁBADO"/>
    <x v="10"/>
    <x v="10"/>
    <n v="960"/>
    <n v="120"/>
    <n v="163.20000000000002"/>
    <x v="3"/>
  </r>
  <r>
    <d v="2022-01-08T00:00:00"/>
    <x v="5"/>
    <n v="2"/>
    <s v="SÁBADO"/>
    <x v="11"/>
    <x v="11"/>
    <n v="900"/>
    <n v="90"/>
    <n v="153"/>
    <x v="3"/>
  </r>
  <r>
    <d v="2022-01-08T00:00:00"/>
    <x v="5"/>
    <n v="2"/>
    <s v="SÁBADO"/>
    <x v="25"/>
    <x v="25"/>
    <n v="675"/>
    <n v="225"/>
    <n v="283.5"/>
    <x v="3"/>
  </r>
  <r>
    <d v="2022-01-08T00:00:00"/>
    <x v="5"/>
    <n v="2"/>
    <s v="SÁBADO"/>
    <x v="19"/>
    <x v="19"/>
    <n v="450"/>
    <n v="225"/>
    <n v="180"/>
    <x v="3"/>
  </r>
  <r>
    <d v="2022-01-08T00:00:00"/>
    <x v="5"/>
    <n v="2"/>
    <s v="SÁBADO"/>
    <x v="37"/>
    <x v="37"/>
    <n v="500"/>
    <n v="225"/>
    <n v="210"/>
    <x v="3"/>
  </r>
  <r>
    <d v="2022-01-08T00:00:00"/>
    <x v="5"/>
    <n v="2"/>
    <s v="SÁBADO"/>
    <x v="43"/>
    <x v="43"/>
    <n v="1000"/>
    <n v="420"/>
    <n v="420"/>
    <x v="3"/>
  </r>
  <r>
    <d v="2022-01-08T00:00:00"/>
    <x v="5"/>
    <n v="2"/>
    <s v="SÁBADO"/>
    <x v="28"/>
    <x v="28"/>
    <n v="240"/>
    <n v="30"/>
    <n v="55.2"/>
    <x v="3"/>
  </r>
  <r>
    <d v="2022-01-08T00:00:00"/>
    <x v="5"/>
    <n v="2"/>
    <s v="SÁBADO"/>
    <x v="33"/>
    <x v="33"/>
    <n v="240"/>
    <n v="40"/>
    <n v="55.2"/>
    <x v="3"/>
  </r>
  <r>
    <d v="2022-01-08T00:00:00"/>
    <x v="5"/>
    <n v="2"/>
    <s v="SÁBADO"/>
    <x v="13"/>
    <x v="13"/>
    <n v="300"/>
    <n v="30"/>
    <n v="120"/>
    <x v="3"/>
  </r>
  <r>
    <d v="2022-01-08T00:00:00"/>
    <x v="5"/>
    <n v="2"/>
    <s v="SÁBADO"/>
    <x v="14"/>
    <x v="14"/>
    <n v="200"/>
    <n v="40"/>
    <n v="46"/>
    <x v="3"/>
  </r>
  <r>
    <d v="2022-01-08T00:00:00"/>
    <x v="5"/>
    <n v="2"/>
    <s v="SÁBADO"/>
    <x v="0"/>
    <x v="0"/>
    <n v="960"/>
    <n v="48"/>
    <n v="384"/>
    <x v="3"/>
  </r>
  <r>
    <d v="2022-01-08T00:00:00"/>
    <x v="5"/>
    <n v="2"/>
    <s v="SÁBADO"/>
    <x v="1"/>
    <x v="1"/>
    <n v="2160"/>
    <n v="198"/>
    <n v="367.20000000000005"/>
    <x v="3"/>
  </r>
  <r>
    <d v="2022-01-08T00:00:00"/>
    <x v="5"/>
    <n v="2"/>
    <s v="SÁBADO"/>
    <x v="2"/>
    <x v="2"/>
    <n v="2160"/>
    <n v="198"/>
    <n v="367.20000000000005"/>
    <x v="3"/>
  </r>
  <r>
    <d v="2022-01-08T00:00:00"/>
    <x v="5"/>
    <n v="2"/>
    <s v="SÁBADO"/>
    <x v="34"/>
    <x v="34"/>
    <n v="432"/>
    <n v="198"/>
    <n v="73.440000000000012"/>
    <x v="3"/>
  </r>
  <r>
    <d v="2022-01-08T00:00:00"/>
    <x v="5"/>
    <n v="2"/>
    <s v="SÁBADO"/>
    <x v="29"/>
    <x v="29"/>
    <n v="216"/>
    <n v="198"/>
    <n v="36.720000000000006"/>
    <x v="3"/>
  </r>
  <r>
    <d v="2022-01-08T00:00:00"/>
    <x v="5"/>
    <n v="2"/>
    <s v="SÁBADO"/>
    <x v="22"/>
    <x v="22"/>
    <n v="792"/>
    <n v="198"/>
    <n v="134.64000000000001"/>
    <x v="3"/>
  </r>
  <r>
    <d v="2022-01-08T00:00:00"/>
    <x v="5"/>
    <n v="2"/>
    <s v="SÁBADO"/>
    <x v="4"/>
    <x v="4"/>
    <n v="648"/>
    <n v="162"/>
    <n v="110.16000000000001"/>
    <x v="3"/>
  </r>
  <r>
    <d v="2022-01-08T00:00:00"/>
    <x v="5"/>
    <n v="2"/>
    <s v="SÁBADO"/>
    <x v="5"/>
    <x v="5"/>
    <n v="810"/>
    <n v="162"/>
    <n v="137.70000000000002"/>
    <x v="3"/>
  </r>
  <r>
    <d v="2022-01-08T00:00:00"/>
    <x v="5"/>
    <n v="2"/>
    <s v="SÁBADO"/>
    <x v="17"/>
    <x v="17"/>
    <n v="240"/>
    <n v="120"/>
    <n v="40.800000000000004"/>
    <x v="3"/>
  </r>
  <r>
    <d v="2022-01-08T00:00:00"/>
    <x v="5"/>
    <n v="2"/>
    <s v="SÁBADO"/>
    <x v="7"/>
    <x v="7"/>
    <n v="648"/>
    <n v="198"/>
    <n v="110.16000000000001"/>
    <x v="3"/>
  </r>
  <r>
    <d v="2022-01-08T00:00:00"/>
    <x v="5"/>
    <n v="2"/>
    <s v="SÁBADO"/>
    <x v="8"/>
    <x v="8"/>
    <n v="648"/>
    <n v="198"/>
    <n v="110.16000000000001"/>
    <x v="3"/>
  </r>
  <r>
    <d v="2022-01-05T00:00:00"/>
    <x v="5"/>
    <n v="1"/>
    <s v="MIÉRCOLES"/>
    <x v="26"/>
    <x v="26"/>
    <n v="450"/>
    <n v="90"/>
    <n v="76.5"/>
    <x v="3"/>
  </r>
  <r>
    <d v="2022-01-05T00:00:00"/>
    <x v="5"/>
    <n v="1"/>
    <s v="MIÉRCOLES"/>
    <x v="10"/>
    <x v="10"/>
    <n v="840"/>
    <n v="120"/>
    <n v="142.80000000000001"/>
    <x v="3"/>
  </r>
  <r>
    <d v="2022-01-05T00:00:00"/>
    <x v="5"/>
    <n v="1"/>
    <s v="MIÉRCOLES"/>
    <x v="23"/>
    <x v="23"/>
    <n v="90"/>
    <n v="90"/>
    <n v="15.3"/>
    <x v="3"/>
  </r>
  <r>
    <d v="2022-01-05T00:00:00"/>
    <x v="5"/>
    <n v="1"/>
    <s v="MIÉRCOLES"/>
    <x v="11"/>
    <x v="11"/>
    <n v="450"/>
    <n v="90"/>
    <n v="76.5"/>
    <x v="3"/>
  </r>
  <r>
    <d v="2022-01-09T00:00:00"/>
    <x v="5"/>
    <n v="2"/>
    <s v="DOMINGO"/>
    <x v="24"/>
    <x v="24"/>
    <n v="4620"/>
    <n v="420"/>
    <n v="1940.3999999999999"/>
    <x v="3"/>
  </r>
  <r>
    <d v="2022-01-08T00:00:00"/>
    <x v="5"/>
    <n v="2"/>
    <s v="SÁBADO"/>
    <x v="38"/>
    <x v="38"/>
    <n v="560"/>
    <n v="112"/>
    <n v="224"/>
    <x v="3"/>
  </r>
  <r>
    <d v="2022-01-08T00:00:00"/>
    <x v="5"/>
    <n v="2"/>
    <s v="SÁBADO"/>
    <x v="16"/>
    <x v="16"/>
    <n v="900"/>
    <n v="180"/>
    <n v="378"/>
    <x v="3"/>
  </r>
  <r>
    <d v="2022-01-08T00:00:00"/>
    <x v="5"/>
    <n v="2"/>
    <s v="SÁBADO"/>
    <x v="25"/>
    <x v="25"/>
    <n v="1575"/>
    <n v="225"/>
    <n v="661.5"/>
    <x v="3"/>
  </r>
  <r>
    <d v="2022-01-08T00:00:00"/>
    <x v="5"/>
    <n v="2"/>
    <s v="SÁBADO"/>
    <x v="12"/>
    <x v="12"/>
    <n v="675"/>
    <n v="225"/>
    <n v="270"/>
    <x v="3"/>
  </r>
  <r>
    <d v="2022-01-08T00:00:00"/>
    <x v="5"/>
    <n v="2"/>
    <s v="SÁBADO"/>
    <x v="19"/>
    <x v="19"/>
    <n v="225"/>
    <n v="225"/>
    <n v="90"/>
    <x v="3"/>
  </r>
  <r>
    <d v="2022-01-10T00:00:00"/>
    <x v="5"/>
    <n v="2"/>
    <s v="LUNES"/>
    <x v="42"/>
    <x v="42"/>
    <n v="750"/>
    <n v="420"/>
    <n v="315"/>
    <x v="3"/>
  </r>
  <r>
    <d v="2022-01-10T00:00:00"/>
    <x v="5"/>
    <n v="2"/>
    <s v="LUNES"/>
    <x v="28"/>
    <x v="28"/>
    <n v="150"/>
    <n v="30"/>
    <n v="34.5"/>
    <x v="3"/>
  </r>
  <r>
    <d v="2022-01-10T00:00:00"/>
    <x v="5"/>
    <n v="2"/>
    <s v="LUNES"/>
    <x v="13"/>
    <x v="13"/>
    <n v="90"/>
    <n v="30"/>
    <n v="36"/>
    <x v="3"/>
  </r>
  <r>
    <d v="2022-01-10T00:00:00"/>
    <x v="5"/>
    <n v="2"/>
    <s v="LUNES"/>
    <x v="15"/>
    <x v="15"/>
    <n v="450"/>
    <n v="50"/>
    <n v="180"/>
    <x v="3"/>
  </r>
  <r>
    <d v="2022-01-10T00:00:00"/>
    <x v="5"/>
    <n v="2"/>
    <s v="LUNES"/>
    <x v="0"/>
    <x v="0"/>
    <n v="384"/>
    <n v="48"/>
    <n v="153.60000000000002"/>
    <x v="3"/>
  </r>
  <r>
    <d v="2022-01-10T00:00:00"/>
    <x v="5"/>
    <n v="2"/>
    <s v="LUNES"/>
    <x v="24"/>
    <x v="24"/>
    <n v="3780"/>
    <n v="420"/>
    <n v="1587.6"/>
    <x v="3"/>
  </r>
  <r>
    <d v="2022-01-10T00:00:00"/>
    <x v="5"/>
    <n v="2"/>
    <s v="LUNES"/>
    <x v="32"/>
    <x v="32"/>
    <n v="1260"/>
    <n v="420"/>
    <n v="529.19999999999993"/>
    <x v="3"/>
  </r>
  <r>
    <d v="2022-01-10T00:00:00"/>
    <x v="5"/>
    <n v="2"/>
    <s v="LUNES"/>
    <x v="1"/>
    <x v="1"/>
    <n v="1296"/>
    <n v="198"/>
    <n v="220.32000000000002"/>
    <x v="3"/>
  </r>
  <r>
    <d v="2022-01-10T00:00:00"/>
    <x v="5"/>
    <n v="2"/>
    <s v="LUNES"/>
    <x v="2"/>
    <x v="2"/>
    <n v="432"/>
    <n v="198"/>
    <n v="73.440000000000012"/>
    <x v="3"/>
  </r>
  <r>
    <d v="2022-01-10T00:00:00"/>
    <x v="5"/>
    <n v="2"/>
    <s v="LUNES"/>
    <x v="17"/>
    <x v="17"/>
    <n v="480"/>
    <n v="120"/>
    <n v="81.600000000000009"/>
    <x v="3"/>
  </r>
  <r>
    <d v="2022-01-10T00:00:00"/>
    <x v="5"/>
    <n v="2"/>
    <s v="LUNES"/>
    <x v="8"/>
    <x v="8"/>
    <n v="432"/>
    <n v="198"/>
    <n v="73.440000000000012"/>
    <x v="3"/>
  </r>
  <r>
    <d v="2022-01-10T00:00:00"/>
    <x v="5"/>
    <n v="2"/>
    <s v="LUNES"/>
    <x v="9"/>
    <x v="9"/>
    <n v="450"/>
    <n v="90"/>
    <n v="76.5"/>
    <x v="3"/>
  </r>
  <r>
    <d v="2022-01-10T00:00:00"/>
    <x v="5"/>
    <n v="2"/>
    <s v="LUNES"/>
    <x v="20"/>
    <x v="20"/>
    <n v="450"/>
    <n v="90"/>
    <n v="76.5"/>
    <x v="3"/>
  </r>
  <r>
    <d v="2022-01-10T00:00:00"/>
    <x v="5"/>
    <n v="2"/>
    <s v="LUNES"/>
    <x v="25"/>
    <x v="25"/>
    <n v="1350"/>
    <n v="225"/>
    <n v="567"/>
    <x v="3"/>
  </r>
  <r>
    <d v="2022-01-10T00:00:00"/>
    <x v="5"/>
    <n v="2"/>
    <s v="LUNES"/>
    <x v="12"/>
    <x v="12"/>
    <n v="225"/>
    <n v="225"/>
    <n v="90"/>
    <x v="3"/>
  </r>
  <r>
    <d v="2022-01-10T00:00:00"/>
    <x v="5"/>
    <n v="2"/>
    <s v="LUNES"/>
    <x v="19"/>
    <x v="19"/>
    <n v="225"/>
    <n v="225"/>
    <n v="90"/>
    <x v="3"/>
  </r>
  <r>
    <d v="2022-01-11T00:00:00"/>
    <x v="5"/>
    <n v="2"/>
    <s v="MARTES"/>
    <x v="15"/>
    <x v="15"/>
    <n v="250"/>
    <n v="50"/>
    <n v="100"/>
    <x v="3"/>
  </r>
  <r>
    <d v="2022-01-11T00:00:00"/>
    <x v="5"/>
    <n v="2"/>
    <s v="MARTES"/>
    <x v="36"/>
    <x v="36"/>
    <n v="450"/>
    <n v="90"/>
    <n v="180"/>
    <x v="3"/>
  </r>
  <r>
    <d v="2022-01-11T00:00:00"/>
    <x v="5"/>
    <n v="2"/>
    <s v="MARTES"/>
    <x v="0"/>
    <x v="0"/>
    <n v="960"/>
    <n v="48"/>
    <n v="384"/>
    <x v="3"/>
  </r>
  <r>
    <d v="2022-01-11T00:00:00"/>
    <x v="5"/>
    <n v="2"/>
    <s v="MARTES"/>
    <x v="24"/>
    <x v="24"/>
    <n v="4200"/>
    <n v="420"/>
    <n v="1764"/>
    <x v="3"/>
  </r>
  <r>
    <d v="2022-01-11T00:00:00"/>
    <x v="5"/>
    <n v="2"/>
    <s v="MARTES"/>
    <x v="1"/>
    <x v="1"/>
    <n v="1512"/>
    <n v="198"/>
    <n v="257.04000000000002"/>
    <x v="3"/>
  </r>
  <r>
    <d v="2022-01-11T00:00:00"/>
    <x v="5"/>
    <n v="2"/>
    <s v="MARTES"/>
    <x v="2"/>
    <x v="2"/>
    <n v="1944"/>
    <n v="198"/>
    <n v="330.48"/>
    <x v="3"/>
  </r>
  <r>
    <d v="2022-01-11T00:00:00"/>
    <x v="5"/>
    <n v="2"/>
    <s v="MARTES"/>
    <x v="22"/>
    <x v="22"/>
    <n v="792"/>
    <n v="198"/>
    <n v="134.64000000000001"/>
    <x v="3"/>
  </r>
  <r>
    <d v="2022-01-11T00:00:00"/>
    <x v="5"/>
    <n v="2"/>
    <s v="MARTES"/>
    <x v="3"/>
    <x v="3"/>
    <n v="1188"/>
    <n v="198"/>
    <n v="201.96"/>
    <x v="3"/>
  </r>
  <r>
    <d v="2022-01-11T00:00:00"/>
    <x v="5"/>
    <n v="2"/>
    <s v="MARTES"/>
    <x v="7"/>
    <x v="7"/>
    <n v="864"/>
    <n v="198"/>
    <n v="146.88000000000002"/>
    <x v="3"/>
  </r>
  <r>
    <d v="2022-01-11T00:00:00"/>
    <x v="5"/>
    <n v="2"/>
    <s v="MARTES"/>
    <x v="8"/>
    <x v="8"/>
    <n v="648"/>
    <n v="198"/>
    <n v="110.16000000000001"/>
    <x v="3"/>
  </r>
  <r>
    <d v="2022-01-11T00:00:00"/>
    <x v="5"/>
    <n v="2"/>
    <s v="MARTES"/>
    <x v="9"/>
    <x v="9"/>
    <n v="720"/>
    <n v="90"/>
    <n v="122.4"/>
    <x v="3"/>
  </r>
  <r>
    <d v="2022-01-11T00:00:00"/>
    <x v="5"/>
    <n v="2"/>
    <s v="MARTES"/>
    <x v="10"/>
    <x v="10"/>
    <n v="3360"/>
    <n v="120"/>
    <n v="571.20000000000005"/>
    <x v="3"/>
  </r>
  <r>
    <d v="2022-01-11T00:00:00"/>
    <x v="5"/>
    <n v="2"/>
    <s v="MARTES"/>
    <x v="20"/>
    <x v="20"/>
    <n v="720"/>
    <n v="90"/>
    <n v="122.4"/>
    <x v="3"/>
  </r>
  <r>
    <d v="2022-01-11T00:00:00"/>
    <x v="5"/>
    <n v="2"/>
    <s v="MARTES"/>
    <x v="25"/>
    <x v="25"/>
    <n v="1350"/>
    <n v="225"/>
    <n v="567"/>
    <x v="3"/>
  </r>
  <r>
    <d v="2022-01-12T00:00:00"/>
    <x v="5"/>
    <n v="2"/>
    <s v="MIÉRCOLES"/>
    <x v="28"/>
    <x v="28"/>
    <n v="300"/>
    <n v="30"/>
    <n v="69"/>
    <x v="3"/>
  </r>
  <r>
    <d v="2022-01-12T00:00:00"/>
    <x v="5"/>
    <n v="2"/>
    <s v="MIÉRCOLES"/>
    <x v="15"/>
    <x v="15"/>
    <n v="150"/>
    <n v="50"/>
    <n v="60"/>
    <x v="3"/>
  </r>
  <r>
    <d v="2022-01-12T00:00:00"/>
    <x v="5"/>
    <n v="2"/>
    <s v="MIÉRCOLES"/>
    <x v="36"/>
    <x v="36"/>
    <n v="360"/>
    <n v="90"/>
    <n v="144"/>
    <x v="3"/>
  </r>
  <r>
    <d v="2022-01-12T00:00:00"/>
    <x v="5"/>
    <n v="2"/>
    <s v="MIÉRCOLES"/>
    <x v="0"/>
    <x v="0"/>
    <n v="1344"/>
    <n v="48"/>
    <n v="537.6"/>
    <x v="3"/>
  </r>
  <r>
    <d v="2022-01-12T00:00:00"/>
    <x v="5"/>
    <n v="2"/>
    <s v="MIÉRCOLES"/>
    <x v="24"/>
    <x v="24"/>
    <n v="4200"/>
    <n v="420"/>
    <n v="1764"/>
    <x v="3"/>
  </r>
  <r>
    <d v="2022-01-12T00:00:00"/>
    <x v="5"/>
    <m/>
    <m/>
    <x v="7"/>
    <x v="7"/>
    <n v="2160"/>
    <n v="198"/>
    <n v="367.20000000000005"/>
    <x v="3"/>
  </r>
  <r>
    <d v="2022-01-12T00:00:00"/>
    <x v="5"/>
    <n v="2"/>
    <s v="MIÉRCOLES"/>
    <x v="10"/>
    <x v="10"/>
    <n v="2640"/>
    <n v="120"/>
    <n v="448.8"/>
    <x v="3"/>
  </r>
  <r>
    <d v="2022-01-12T00:00:00"/>
    <x v="5"/>
    <n v="2"/>
    <s v="MIÉRCOLES"/>
    <x v="25"/>
    <x v="25"/>
    <n v="1350"/>
    <n v="225"/>
    <n v="567"/>
    <x v="3"/>
  </r>
  <r>
    <d v="2022-01-12T00:00:00"/>
    <x v="5"/>
    <n v="2"/>
    <s v="MIÉRCOLES"/>
    <x v="46"/>
    <x v="46"/>
    <n v="250"/>
    <n v="250"/>
    <n v="105"/>
    <x v="3"/>
  </r>
  <r>
    <d v="2022-01-13T00:00:00"/>
    <x v="5"/>
    <n v="2"/>
    <s v="JUEVES"/>
    <x v="13"/>
    <x v="13"/>
    <n v="270"/>
    <n v="30"/>
    <n v="108"/>
    <x v="3"/>
  </r>
  <r>
    <d v="2022-01-13T00:00:00"/>
    <x v="5"/>
    <n v="2"/>
    <s v="JUEVES"/>
    <x v="36"/>
    <x v="36"/>
    <n v="720"/>
    <n v="90"/>
    <n v="288"/>
    <x v="3"/>
  </r>
  <r>
    <d v="2022-01-13T00:00:00"/>
    <x v="5"/>
    <n v="2"/>
    <s v="JUEVES"/>
    <x v="0"/>
    <x v="0"/>
    <n v="1440"/>
    <n v="48"/>
    <n v="576"/>
    <x v="3"/>
  </r>
  <r>
    <d v="2022-01-13T00:00:00"/>
    <x v="5"/>
    <n v="2"/>
    <s v="JUEVES"/>
    <x v="39"/>
    <x v="39"/>
    <n v="4200"/>
    <n v="420"/>
    <n v="1764"/>
    <x v="3"/>
  </r>
  <r>
    <d v="2022-01-13T00:00:00"/>
    <x v="5"/>
    <n v="2"/>
    <s v="JUEVES"/>
    <x v="1"/>
    <x v="1"/>
    <n v="2160"/>
    <n v="198"/>
    <n v="367.20000000000005"/>
    <x v="3"/>
  </r>
  <r>
    <d v="2022-01-13T00:00:00"/>
    <x v="5"/>
    <n v="2"/>
    <s v="JUEVES"/>
    <x v="22"/>
    <x v="22"/>
    <n v="594"/>
    <n v="198"/>
    <n v="100.98"/>
    <x v="3"/>
  </r>
  <r>
    <d v="2022-01-13T00:00:00"/>
    <x v="5"/>
    <n v="2"/>
    <s v="JUEVES"/>
    <x v="3"/>
    <x v="3"/>
    <n v="990"/>
    <n v="198"/>
    <n v="168.3"/>
    <x v="3"/>
  </r>
  <r>
    <d v="2022-01-13T00:00:00"/>
    <x v="5"/>
    <n v="2"/>
    <s v="JUEVES"/>
    <x v="6"/>
    <x v="6"/>
    <n v="1800"/>
    <n v="120"/>
    <n v="306"/>
    <x v="3"/>
  </r>
  <r>
    <d v="2022-01-13T00:00:00"/>
    <x v="5"/>
    <n v="2"/>
    <s v="JUEVES"/>
    <x v="17"/>
    <x v="17"/>
    <n v="600"/>
    <n v="120"/>
    <n v="102.00000000000001"/>
    <x v="3"/>
  </r>
  <r>
    <d v="2022-01-13T00:00:00"/>
    <x v="5"/>
    <n v="2"/>
    <s v="JUEVES"/>
    <x v="7"/>
    <x v="7"/>
    <n v="1728"/>
    <n v="198"/>
    <n v="293.76000000000005"/>
    <x v="3"/>
  </r>
  <r>
    <d v="2022-01-13T00:00:00"/>
    <x v="5"/>
    <n v="2"/>
    <s v="JUEVES"/>
    <x v="8"/>
    <x v="8"/>
    <n v="1728"/>
    <n v="198"/>
    <n v="293.76000000000005"/>
    <x v="3"/>
  </r>
  <r>
    <d v="2022-01-13T00:00:00"/>
    <x v="5"/>
    <n v="2"/>
    <s v="JUEVES"/>
    <x v="25"/>
    <x v="25"/>
    <n v="900"/>
    <n v="225"/>
    <n v="378"/>
    <x v="3"/>
  </r>
  <r>
    <d v="2022-01-13T00:00:00"/>
    <x v="5"/>
    <n v="2"/>
    <s v="JUEVES"/>
    <x v="19"/>
    <x v="19"/>
    <n v="225"/>
    <n v="225"/>
    <n v="90"/>
    <x v="3"/>
  </r>
  <r>
    <d v="2022-01-13T00:00:00"/>
    <x v="5"/>
    <n v="2"/>
    <s v="JUEVES"/>
    <x v="46"/>
    <x v="46"/>
    <n v="1500"/>
    <n v="250"/>
    <n v="630"/>
    <x v="3"/>
  </r>
  <r>
    <d v="2022-01-13T00:00:00"/>
    <x v="5"/>
    <n v="2"/>
    <s v="JUEVES"/>
    <x v="43"/>
    <x v="43"/>
    <n v="750"/>
    <n v="420"/>
    <n v="315"/>
    <x v="3"/>
  </r>
  <r>
    <d v="2022-01-13T00:00:00"/>
    <x v="5"/>
    <n v="2"/>
    <s v="JUEVES"/>
    <x v="46"/>
    <x v="46"/>
    <n v="1750"/>
    <n v="250"/>
    <n v="735"/>
    <x v="3"/>
  </r>
  <r>
    <d v="2022-01-14T00:00:00"/>
    <x v="5"/>
    <n v="2"/>
    <s v="VIERNES"/>
    <x v="43"/>
    <x v="43"/>
    <n v="1000"/>
    <n v="420"/>
    <n v="420"/>
    <x v="3"/>
  </r>
  <r>
    <d v="2022-01-14T00:00:00"/>
    <x v="5"/>
    <n v="2"/>
    <s v="VIERNES"/>
    <x v="64"/>
    <x v="48"/>
    <n v="600"/>
    <n v="30"/>
    <n v="126"/>
    <x v="3"/>
  </r>
  <r>
    <d v="2022-01-14T00:00:00"/>
    <x v="5"/>
    <n v="2"/>
    <s v="VIERNES"/>
    <x v="28"/>
    <x v="28"/>
    <n v="360"/>
    <n v="30"/>
    <n v="82.8"/>
    <x v="3"/>
  </r>
  <r>
    <d v="2022-01-14T00:00:00"/>
    <x v="5"/>
    <n v="2"/>
    <s v="VIERNES"/>
    <x v="33"/>
    <x v="33"/>
    <n v="120"/>
    <n v="40"/>
    <n v="27.6"/>
    <x v="3"/>
  </r>
  <r>
    <d v="2022-01-14T00:00:00"/>
    <x v="5"/>
    <n v="2"/>
    <s v="VIERNES"/>
    <x v="13"/>
    <x v="13"/>
    <n v="390"/>
    <n v="30"/>
    <n v="156"/>
    <x v="3"/>
  </r>
  <r>
    <d v="2022-01-14T00:00:00"/>
    <x v="5"/>
    <n v="2"/>
    <s v="VIERNES"/>
    <x v="14"/>
    <x v="14"/>
    <n v="600"/>
    <n v="40"/>
    <n v="138"/>
    <x v="3"/>
  </r>
  <r>
    <d v="2022-01-14T00:00:00"/>
    <x v="5"/>
    <n v="2"/>
    <s v="VIERNES"/>
    <x v="15"/>
    <x v="15"/>
    <n v="500"/>
    <n v="50"/>
    <n v="200"/>
    <x v="3"/>
  </r>
  <r>
    <d v="2022-01-14T00:00:00"/>
    <x v="5"/>
    <n v="2"/>
    <s v="VIERNES"/>
    <x v="36"/>
    <x v="36"/>
    <n v="450"/>
    <n v="90"/>
    <n v="180"/>
    <x v="3"/>
  </r>
  <r>
    <d v="2022-01-14T00:00:00"/>
    <x v="5"/>
    <n v="2"/>
    <s v="VIERNES"/>
    <x v="0"/>
    <x v="0"/>
    <n v="1344"/>
    <n v="48"/>
    <n v="537.6"/>
    <x v="3"/>
  </r>
  <r>
    <d v="2022-01-14T00:00:00"/>
    <x v="5"/>
    <n v="2"/>
    <s v="VIERNES"/>
    <x v="39"/>
    <x v="39"/>
    <n v="2520"/>
    <n v="420"/>
    <n v="1058.3999999999999"/>
    <x v="3"/>
  </r>
  <r>
    <d v="2022-01-14T00:00:00"/>
    <x v="5"/>
    <n v="2"/>
    <s v="VIERNES"/>
    <x v="34"/>
    <x v="34"/>
    <n v="216"/>
    <n v="198"/>
    <n v="36.720000000000006"/>
    <x v="3"/>
  </r>
  <r>
    <d v="2022-01-14T00:00:00"/>
    <x v="5"/>
    <n v="2"/>
    <s v="VIERNES"/>
    <x v="29"/>
    <x v="29"/>
    <n v="432"/>
    <n v="198"/>
    <n v="73.440000000000012"/>
    <x v="3"/>
  </r>
  <r>
    <d v="2022-01-14T00:00:00"/>
    <x v="5"/>
    <n v="2"/>
    <s v="VIERNES"/>
    <x v="26"/>
    <x v="26"/>
    <n v="900"/>
    <n v="90"/>
    <n v="153"/>
    <x v="3"/>
  </r>
  <r>
    <d v="2022-01-14T00:00:00"/>
    <x v="5"/>
    <n v="2"/>
    <s v="VIERNES"/>
    <x v="12"/>
    <x v="12"/>
    <n v="900"/>
    <n v="225"/>
    <n v="360"/>
    <x v="3"/>
  </r>
  <r>
    <d v="2022-01-14T00:00:00"/>
    <x v="5"/>
    <n v="2"/>
    <s v="VIERNES"/>
    <x v="19"/>
    <x v="19"/>
    <n v="450"/>
    <n v="225"/>
    <n v="180"/>
    <x v="3"/>
  </r>
  <r>
    <d v="2022-01-14T00:00:00"/>
    <x v="5"/>
    <n v="2"/>
    <s v="VIERNES"/>
    <x v="46"/>
    <x v="46"/>
    <n v="1750"/>
    <n v="250"/>
    <n v="735"/>
    <x v="3"/>
  </r>
  <r>
    <d v="2022-01-14T00:00:00"/>
    <x v="5"/>
    <n v="2"/>
    <s v="VIERNES"/>
    <x v="42"/>
    <x v="42"/>
    <n v="1000"/>
    <n v="420"/>
    <n v="420"/>
    <x v="3"/>
  </r>
  <r>
    <d v="2022-01-14T00:00:00"/>
    <x v="5"/>
    <n v="2"/>
    <s v="VIERNES"/>
    <x v="46"/>
    <x v="46"/>
    <n v="1250"/>
    <n v="250"/>
    <n v="525"/>
    <x v="3"/>
  </r>
  <r>
    <d v="2022-01-15T00:00:00"/>
    <x v="5"/>
    <n v="3"/>
    <s v="SÁBADO"/>
    <x v="64"/>
    <x v="48"/>
    <n v="240"/>
    <n v="30"/>
    <n v="50.4"/>
    <x v="3"/>
  </r>
  <r>
    <d v="2022-01-15T00:00:00"/>
    <x v="5"/>
    <n v="3"/>
    <s v="SÁBADO"/>
    <x v="13"/>
    <x v="13"/>
    <n v="300"/>
    <n v="30"/>
    <n v="120"/>
    <x v="3"/>
  </r>
  <r>
    <d v="2022-01-15T00:00:00"/>
    <x v="5"/>
    <n v="3"/>
    <s v="SÁBADO"/>
    <x v="36"/>
    <x v="36"/>
    <n v="180"/>
    <n v="90"/>
    <n v="72"/>
    <x v="3"/>
  </r>
  <r>
    <d v="2022-01-15T00:00:00"/>
    <x v="5"/>
    <n v="3"/>
    <s v="SÁBADO"/>
    <x v="0"/>
    <x v="0"/>
    <n v="240"/>
    <n v="48"/>
    <n v="96"/>
    <x v="3"/>
  </r>
  <r>
    <d v="2022-01-15T00:00:00"/>
    <x v="5"/>
    <n v="3"/>
    <s v="SÁBADO"/>
    <x v="16"/>
    <x v="16"/>
    <n v="180"/>
    <n v="180"/>
    <n v="75.599999999999994"/>
    <x v="3"/>
  </r>
  <r>
    <d v="2022-01-15T00:00:00"/>
    <x v="5"/>
    <n v="3"/>
    <s v="SÁBADO"/>
    <x v="2"/>
    <x v="2"/>
    <n v="1080"/>
    <n v="198"/>
    <n v="183.60000000000002"/>
    <x v="3"/>
  </r>
  <r>
    <d v="2022-01-15T00:00:00"/>
    <x v="5"/>
    <n v="3"/>
    <s v="SÁBADO"/>
    <x v="22"/>
    <x v="22"/>
    <n v="1188"/>
    <n v="198"/>
    <n v="201.96"/>
    <x v="3"/>
  </r>
  <r>
    <d v="2022-01-15T00:00:00"/>
    <x v="5"/>
    <n v="3"/>
    <s v="SÁBADO"/>
    <x v="3"/>
    <x v="3"/>
    <n v="396"/>
    <n v="198"/>
    <n v="67.320000000000007"/>
    <x v="3"/>
  </r>
  <r>
    <d v="2022-01-15T00:00:00"/>
    <x v="5"/>
    <n v="3"/>
    <s v="SÁBADO"/>
    <x v="8"/>
    <x v="8"/>
    <n v="1728"/>
    <n v="198"/>
    <n v="293.76000000000005"/>
    <x v="3"/>
  </r>
  <r>
    <d v="2022-01-15T00:00:00"/>
    <x v="5"/>
    <n v="3"/>
    <s v="SÁBADO"/>
    <x v="10"/>
    <x v="10"/>
    <n v="5760"/>
    <n v="120"/>
    <n v="979.2"/>
    <x v="3"/>
  </r>
  <r>
    <d v="2022-01-15T00:00:00"/>
    <x v="5"/>
    <n v="3"/>
    <s v="SÁBADO"/>
    <x v="23"/>
    <x v="23"/>
    <n v="270"/>
    <n v="90"/>
    <n v="45.900000000000006"/>
    <x v="3"/>
  </r>
  <r>
    <d v="2022-01-15T00:00:00"/>
    <x v="5"/>
    <n v="3"/>
    <s v="SÁBADO"/>
    <x v="11"/>
    <x v="11"/>
    <n v="540"/>
    <n v="90"/>
    <n v="91.800000000000011"/>
    <x v="3"/>
  </r>
  <r>
    <d v="2022-01-15T00:00:00"/>
    <x v="5"/>
    <n v="3"/>
    <s v="SÁBADO"/>
    <x v="25"/>
    <x v="25"/>
    <n v="900"/>
    <n v="225"/>
    <n v="378"/>
    <x v="3"/>
  </r>
  <r>
    <d v="2022-01-15T00:00:00"/>
    <x v="5"/>
    <n v="3"/>
    <s v="SÁBADO"/>
    <x v="46"/>
    <x v="46"/>
    <n v="1750"/>
    <n v="250"/>
    <n v="735"/>
    <x v="3"/>
  </r>
  <r>
    <d v="2022-01-15T00:00:00"/>
    <x v="5"/>
    <n v="3"/>
    <s v="SÁBADO"/>
    <x v="42"/>
    <x v="42"/>
    <n v="500"/>
    <n v="420"/>
    <n v="210"/>
    <x v="3"/>
  </r>
  <r>
    <d v="2022-01-15T00:00:00"/>
    <x v="5"/>
    <n v="3"/>
    <s v="SÁBADO"/>
    <x v="43"/>
    <x v="43"/>
    <n v="500"/>
    <n v="420"/>
    <n v="210"/>
    <x v="3"/>
  </r>
  <r>
    <d v="2022-01-17T00:00:00"/>
    <x v="5"/>
    <n v="3"/>
    <s v="LUNES"/>
    <x v="64"/>
    <x v="48"/>
    <n v="1410"/>
    <n v="30"/>
    <n v="296.09999999999997"/>
    <x v="3"/>
  </r>
  <r>
    <d v="2022-01-17T00:00:00"/>
    <x v="5"/>
    <n v="3"/>
    <s v="LUNES"/>
    <x v="28"/>
    <x v="28"/>
    <n v="300"/>
    <n v="30"/>
    <n v="69"/>
    <x v="3"/>
  </r>
  <r>
    <d v="2022-01-17T00:00:00"/>
    <x v="5"/>
    <n v="3"/>
    <s v="LUNES"/>
    <x v="33"/>
    <x v="33"/>
    <n v="120"/>
    <n v="40"/>
    <n v="27.6"/>
    <x v="3"/>
  </r>
  <r>
    <d v="2022-01-17T00:00:00"/>
    <x v="5"/>
    <n v="3"/>
    <s v="LUNES"/>
    <x v="13"/>
    <x v="13"/>
    <n v="450"/>
    <n v="30"/>
    <n v="180"/>
    <x v="3"/>
  </r>
  <r>
    <d v="2022-01-17T00:00:00"/>
    <x v="5"/>
    <n v="3"/>
    <s v="LUNES"/>
    <x v="15"/>
    <x v="15"/>
    <n v="350"/>
    <n v="50"/>
    <n v="140"/>
    <x v="3"/>
  </r>
  <r>
    <d v="2022-01-17T00:00:00"/>
    <x v="5"/>
    <n v="3"/>
    <s v="LUNES"/>
    <x v="36"/>
    <x v="36"/>
    <n v="900"/>
    <n v="90"/>
    <n v="360"/>
    <x v="3"/>
  </r>
  <r>
    <d v="2022-01-17T00:00:00"/>
    <x v="5"/>
    <n v="3"/>
    <s v="LUNES"/>
    <x v="40"/>
    <x v="40"/>
    <n v="112"/>
    <n v="240"/>
    <n v="44.800000000000004"/>
    <x v="3"/>
  </r>
  <r>
    <d v="2022-01-17T00:00:00"/>
    <x v="5"/>
    <n v="3"/>
    <s v="LUNES"/>
    <x v="38"/>
    <x v="38"/>
    <n v="336"/>
    <n v="112"/>
    <n v="134.4"/>
    <x v="3"/>
  </r>
  <r>
    <d v="2022-01-17T00:00:00"/>
    <x v="5"/>
    <n v="3"/>
    <s v="LUNES"/>
    <x v="0"/>
    <x v="0"/>
    <n v="1632"/>
    <n v="48"/>
    <n v="652.80000000000007"/>
    <x v="3"/>
  </r>
  <r>
    <d v="2022-01-17T00:00:00"/>
    <x v="5"/>
    <n v="3"/>
    <s v="LUNES"/>
    <x v="2"/>
    <x v="2"/>
    <n v="2160"/>
    <n v="198"/>
    <n v="367.20000000000005"/>
    <x v="3"/>
  </r>
  <r>
    <d v="2022-01-17T00:00:00"/>
    <x v="5"/>
    <n v="3"/>
    <s v="LUNES"/>
    <x v="8"/>
    <x v="8"/>
    <n v="1080"/>
    <n v="198"/>
    <n v="183.60000000000002"/>
    <x v="3"/>
  </r>
  <r>
    <d v="2022-01-17T00:00:00"/>
    <x v="5"/>
    <n v="3"/>
    <s v="LUNES"/>
    <x v="26"/>
    <x v="26"/>
    <n v="450"/>
    <n v="90"/>
    <n v="76.5"/>
    <x v="3"/>
  </r>
  <r>
    <d v="2022-01-17T00:00:00"/>
    <x v="5"/>
    <n v="3"/>
    <s v="LUNES"/>
    <x v="11"/>
    <x v="11"/>
    <n v="720"/>
    <n v="90"/>
    <n v="122.4"/>
    <x v="3"/>
  </r>
  <r>
    <d v="2022-01-17T00:00:00"/>
    <x v="5"/>
    <n v="3"/>
    <s v="LUNES"/>
    <x v="25"/>
    <x v="25"/>
    <n v="1350"/>
    <n v="225"/>
    <n v="567"/>
    <x v="3"/>
  </r>
  <r>
    <d v="2022-01-17T00:00:00"/>
    <x v="5"/>
    <n v="3"/>
    <s v="LUNES"/>
    <x v="42"/>
    <x v="42"/>
    <n v="500"/>
    <n v="420"/>
    <n v="210"/>
    <x v="3"/>
  </r>
  <r>
    <d v="2022-01-17T00:00:00"/>
    <x v="5"/>
    <n v="3"/>
    <s v="LUNES"/>
    <x v="43"/>
    <x v="43"/>
    <n v="250"/>
    <n v="420"/>
    <n v="105"/>
    <x v="3"/>
  </r>
  <r>
    <d v="2022-01-17T00:00:00"/>
    <x v="5"/>
    <n v="3"/>
    <s v="LUNES"/>
    <x v="64"/>
    <x v="48"/>
    <n v="390"/>
    <n v="30"/>
    <n v="81.899999999999991"/>
    <x v="3"/>
  </r>
  <r>
    <d v="2022-01-18T00:00:00"/>
    <x v="5"/>
    <n v="3"/>
    <s v="MARTES"/>
    <x v="42"/>
    <x v="42"/>
    <n v="500"/>
    <n v="420"/>
    <n v="210"/>
    <x v="3"/>
  </r>
  <r>
    <d v="2022-01-18T00:00:00"/>
    <x v="5"/>
    <n v="3"/>
    <s v="MARTES"/>
    <x v="43"/>
    <x v="43"/>
    <n v="1000"/>
    <n v="420"/>
    <n v="420"/>
    <x v="3"/>
  </r>
  <r>
    <d v="2022-01-18T00:00:00"/>
    <x v="5"/>
    <n v="3"/>
    <s v="MARTES"/>
    <x v="64"/>
    <x v="48"/>
    <n v="1560"/>
    <n v="30"/>
    <n v="327.59999999999997"/>
    <x v="3"/>
  </r>
  <r>
    <d v="2022-01-18T00:00:00"/>
    <x v="5"/>
    <n v="3"/>
    <s v="MARTES"/>
    <x v="28"/>
    <x v="28"/>
    <n v="150"/>
    <n v="30"/>
    <n v="34.5"/>
    <x v="3"/>
  </r>
  <r>
    <d v="2022-01-18T00:00:00"/>
    <x v="5"/>
    <n v="3"/>
    <s v="MARTES"/>
    <x v="13"/>
    <x v="13"/>
    <n v="150"/>
    <n v="30"/>
    <n v="60"/>
    <x v="3"/>
  </r>
  <r>
    <d v="2022-01-18T00:00:00"/>
    <x v="5"/>
    <n v="3"/>
    <s v="MARTES"/>
    <x v="14"/>
    <x v="14"/>
    <n v="400"/>
    <n v="40"/>
    <n v="92"/>
    <x v="3"/>
  </r>
  <r>
    <d v="2022-01-18T00:00:00"/>
    <x v="5"/>
    <n v="3"/>
    <s v="MARTES"/>
    <x v="36"/>
    <x v="36"/>
    <n v="1170"/>
    <n v="90"/>
    <n v="468"/>
    <x v="3"/>
  </r>
  <r>
    <d v="2022-01-18T00:00:00"/>
    <x v="5"/>
    <n v="3"/>
    <s v="MARTES"/>
    <x v="0"/>
    <x v="0"/>
    <n v="2400"/>
    <n v="48"/>
    <n v="960"/>
    <x v="3"/>
  </r>
  <r>
    <d v="2022-01-18T00:00:00"/>
    <x v="5"/>
    <n v="3"/>
    <s v="MARTES"/>
    <x v="16"/>
    <x v="16"/>
    <n v="900"/>
    <n v="180"/>
    <n v="378"/>
    <x v="3"/>
  </r>
  <r>
    <d v="2022-01-18T00:00:00"/>
    <x v="5"/>
    <n v="3"/>
    <s v="MARTES"/>
    <x v="22"/>
    <x v="22"/>
    <n v="990"/>
    <n v="198"/>
    <n v="168.3"/>
    <x v="3"/>
  </r>
  <r>
    <d v="2022-01-18T00:00:00"/>
    <x v="5"/>
    <n v="3"/>
    <s v="MARTES"/>
    <x v="3"/>
    <x v="3"/>
    <n v="990"/>
    <n v="198"/>
    <n v="168.3"/>
    <x v="3"/>
  </r>
  <r>
    <d v="2022-01-18T00:00:00"/>
    <x v="5"/>
    <n v="3"/>
    <s v="MARTES"/>
    <x v="4"/>
    <x v="4"/>
    <n v="648"/>
    <n v="162"/>
    <n v="110.16000000000001"/>
    <x v="3"/>
  </r>
  <r>
    <d v="2022-01-18T00:00:00"/>
    <x v="5"/>
    <n v="3"/>
    <s v="MARTES"/>
    <x v="5"/>
    <x v="5"/>
    <n v="324"/>
    <n v="162"/>
    <n v="55.080000000000005"/>
    <x v="3"/>
  </r>
  <r>
    <d v="2022-01-18T00:00:00"/>
    <x v="5"/>
    <n v="3"/>
    <s v="MARTES"/>
    <x v="10"/>
    <x v="10"/>
    <n v="3360"/>
    <n v="120"/>
    <n v="571.20000000000005"/>
    <x v="3"/>
  </r>
  <r>
    <d v="2022-01-18T00:00:00"/>
    <x v="5"/>
    <n v="3"/>
    <s v="MARTES"/>
    <x v="11"/>
    <x v="11"/>
    <n v="900"/>
    <n v="90"/>
    <n v="153"/>
    <x v="3"/>
  </r>
  <r>
    <d v="2022-01-18T00:00:00"/>
    <x v="5"/>
    <n v="3"/>
    <s v="MARTES"/>
    <x v="12"/>
    <x v="12"/>
    <n v="900"/>
    <n v="225"/>
    <n v="360"/>
    <x v="3"/>
  </r>
  <r>
    <d v="2022-01-18T00:00:00"/>
    <x v="5"/>
    <n v="3"/>
    <s v="MARTES"/>
    <x v="19"/>
    <x v="19"/>
    <n v="450"/>
    <n v="225"/>
    <n v="180"/>
    <x v="3"/>
  </r>
  <r>
    <d v="2022-01-18T00:00:00"/>
    <x v="5"/>
    <n v="3"/>
    <s v="MARTES"/>
    <x v="46"/>
    <x v="46"/>
    <n v="2500"/>
    <n v="250"/>
    <n v="1050"/>
    <x v="3"/>
  </r>
  <r>
    <d v="2022-01-18T00:00:00"/>
    <x v="5"/>
    <n v="3"/>
    <s v="MARTES"/>
    <x v="46"/>
    <x v="46"/>
    <n v="1250"/>
    <n v="250"/>
    <n v="525"/>
    <x v="3"/>
  </r>
  <r>
    <d v="2022-01-19T00:00:00"/>
    <x v="5"/>
    <n v="3"/>
    <s v="MIÉRCOLES"/>
    <x v="64"/>
    <x v="48"/>
    <n v="960"/>
    <n v="30"/>
    <n v="201.6"/>
    <x v="3"/>
  </r>
  <r>
    <d v="2022-01-19T00:00:00"/>
    <x v="5"/>
    <n v="3"/>
    <s v="MIÉRCOLES"/>
    <x v="13"/>
    <x v="13"/>
    <n v="150"/>
    <n v="30"/>
    <n v="60"/>
    <x v="3"/>
  </r>
  <r>
    <d v="2022-01-19T00:00:00"/>
    <x v="5"/>
    <n v="3"/>
    <s v="MIÉRCOLES"/>
    <x v="14"/>
    <x v="14"/>
    <n v="400"/>
    <n v="40"/>
    <n v="92"/>
    <x v="3"/>
  </r>
  <r>
    <d v="2022-01-19T00:00:00"/>
    <x v="5"/>
    <n v="3"/>
    <s v="MIÉRCOLES"/>
    <x v="15"/>
    <x v="15"/>
    <n v="300"/>
    <n v="50"/>
    <n v="120"/>
    <x v="3"/>
  </r>
  <r>
    <d v="2022-01-19T00:00:00"/>
    <x v="5"/>
    <n v="3"/>
    <s v="MIÉRCOLES"/>
    <x v="36"/>
    <x v="36"/>
    <n v="1350"/>
    <n v="90"/>
    <n v="540"/>
    <x v="3"/>
  </r>
  <r>
    <d v="2022-01-19T00:00:00"/>
    <x v="5"/>
    <n v="3"/>
    <s v="MIÉRCOLES"/>
    <x v="40"/>
    <x v="40"/>
    <n v="560"/>
    <n v="240"/>
    <n v="224"/>
    <x v="3"/>
  </r>
  <r>
    <d v="2022-01-19T00:00:00"/>
    <x v="5"/>
    <n v="3"/>
    <s v="MIÉRCOLES"/>
    <x v="38"/>
    <x v="38"/>
    <n v="560"/>
    <n v="112"/>
    <n v="224"/>
    <x v="3"/>
  </r>
  <r>
    <d v="2022-01-19T00:00:00"/>
    <x v="5"/>
    <n v="3"/>
    <s v="MIÉRCOLES"/>
    <x v="0"/>
    <x v="0"/>
    <n v="1920"/>
    <n v="48"/>
    <n v="768"/>
    <x v="3"/>
  </r>
  <r>
    <d v="2022-01-19T00:00:00"/>
    <x v="5"/>
    <n v="3"/>
    <s v="MIÉRCOLES"/>
    <x v="3"/>
    <x v="3"/>
    <n v="792"/>
    <n v="198"/>
    <n v="134.64000000000001"/>
    <x v="3"/>
  </r>
  <r>
    <d v="2022-01-19T00:00:00"/>
    <x v="5"/>
    <n v="3"/>
    <s v="MIÉRCOLES"/>
    <x v="5"/>
    <x v="5"/>
    <n v="648"/>
    <n v="162"/>
    <n v="110.16000000000001"/>
    <x v="3"/>
  </r>
  <r>
    <d v="2022-01-19T00:00:00"/>
    <x v="5"/>
    <n v="3"/>
    <s v="MIÉRCOLES"/>
    <x v="9"/>
    <x v="9"/>
    <n v="1440"/>
    <n v="90"/>
    <n v="244.8"/>
    <x v="3"/>
  </r>
  <r>
    <d v="2022-01-19T00:00:00"/>
    <x v="5"/>
    <n v="3"/>
    <s v="MIÉRCOLES"/>
    <x v="25"/>
    <x v="25"/>
    <n v="1350"/>
    <n v="225"/>
    <n v="567"/>
    <x v="3"/>
  </r>
  <r>
    <d v="2022-01-19T00:00:00"/>
    <x v="5"/>
    <n v="3"/>
    <s v="MIÉRCOLES"/>
    <x v="12"/>
    <x v="12"/>
    <n v="450"/>
    <n v="225"/>
    <n v="180"/>
    <x v="3"/>
  </r>
  <r>
    <d v="2022-01-19T00:00:00"/>
    <x v="5"/>
    <n v="3"/>
    <s v="MIÉRCOLES"/>
    <x v="19"/>
    <x v="19"/>
    <n v="450"/>
    <n v="225"/>
    <n v="180"/>
    <x v="3"/>
  </r>
  <r>
    <d v="2022-01-19T00:00:00"/>
    <x v="5"/>
    <n v="3"/>
    <s v="MIÉRCOLES"/>
    <x v="46"/>
    <x v="46"/>
    <n v="1500"/>
    <n v="250"/>
    <n v="630"/>
    <x v="3"/>
  </r>
  <r>
    <d v="2022-01-19T00:00:00"/>
    <x v="5"/>
    <n v="3"/>
    <s v="MIÉRCOLES"/>
    <x v="42"/>
    <x v="42"/>
    <n v="500"/>
    <n v="420"/>
    <n v="210"/>
    <x v="3"/>
  </r>
  <r>
    <d v="2022-01-20T00:00:00"/>
    <x v="5"/>
    <n v="3"/>
    <s v="JUEVES"/>
    <x v="19"/>
    <x v="19"/>
    <n v="450"/>
    <n v="225"/>
    <n v="180"/>
    <x v="3"/>
  </r>
  <r>
    <d v="2022-01-20T00:00:00"/>
    <x v="5"/>
    <n v="3"/>
    <s v="JUEVES"/>
    <x v="46"/>
    <x v="46"/>
    <n v="500"/>
    <n v="250"/>
    <n v="210"/>
    <x v="3"/>
  </r>
  <r>
    <d v="2022-01-20T00:00:00"/>
    <x v="5"/>
    <n v="3"/>
    <s v="JUEVES"/>
    <x v="42"/>
    <x v="42"/>
    <n v="250"/>
    <n v="420"/>
    <n v="105"/>
    <x v="3"/>
  </r>
  <r>
    <d v="2022-01-20T00:00:00"/>
    <x v="5"/>
    <n v="3"/>
    <s v="JUEVES"/>
    <x v="43"/>
    <x v="43"/>
    <n v="500"/>
    <n v="420"/>
    <n v="210"/>
    <x v="3"/>
  </r>
  <r>
    <d v="2022-01-20T00:00:00"/>
    <x v="5"/>
    <n v="3"/>
    <s v="JUEVES"/>
    <x v="13"/>
    <x v="13"/>
    <n v="150"/>
    <n v="30"/>
    <n v="60"/>
    <x v="3"/>
  </r>
  <r>
    <d v="2022-01-20T00:00:00"/>
    <x v="5"/>
    <n v="3"/>
    <s v="JUEVES"/>
    <x v="15"/>
    <x v="15"/>
    <n v="200"/>
    <n v="50"/>
    <n v="80"/>
    <x v="3"/>
  </r>
  <r>
    <d v="2022-01-20T00:00:00"/>
    <x v="5"/>
    <n v="3"/>
    <s v="JUEVES"/>
    <x v="36"/>
    <x v="36"/>
    <n v="540"/>
    <n v="90"/>
    <n v="216"/>
    <x v="3"/>
  </r>
  <r>
    <d v="2022-01-20T00:00:00"/>
    <x v="5"/>
    <n v="3"/>
    <s v="JUEVES"/>
    <x v="38"/>
    <x v="38"/>
    <n v="224"/>
    <n v="112"/>
    <n v="89.600000000000009"/>
    <x v="3"/>
  </r>
  <r>
    <d v="2022-01-20T00:00:00"/>
    <x v="5"/>
    <n v="3"/>
    <s v="JUEVES"/>
    <x v="24"/>
    <x v="24"/>
    <n v="840"/>
    <n v="420"/>
    <n v="352.8"/>
    <x v="3"/>
  </r>
  <r>
    <d v="2022-01-20T00:00:00"/>
    <x v="5"/>
    <n v="3"/>
    <s v="JUEVES"/>
    <x v="39"/>
    <x v="39"/>
    <n v="4200"/>
    <n v="420"/>
    <n v="1764"/>
    <x v="3"/>
  </r>
  <r>
    <d v="2022-01-20T00:00:00"/>
    <x v="5"/>
    <n v="3"/>
    <s v="JUEVES"/>
    <x v="16"/>
    <x v="16"/>
    <n v="1080"/>
    <n v="180"/>
    <n v="453.59999999999997"/>
    <x v="3"/>
  </r>
  <r>
    <d v="2022-01-20T00:00:00"/>
    <x v="5"/>
    <n v="3"/>
    <s v="JUEVES"/>
    <x v="1"/>
    <x v="1"/>
    <n v="1080"/>
    <n v="198"/>
    <n v="183.60000000000002"/>
    <x v="3"/>
  </r>
  <r>
    <d v="2022-01-20T00:00:00"/>
    <x v="5"/>
    <n v="3"/>
    <s v="JUEVES"/>
    <x v="22"/>
    <x v="22"/>
    <n v="990"/>
    <n v="198"/>
    <n v="168.3"/>
    <x v="3"/>
  </r>
  <r>
    <d v="2022-01-20T00:00:00"/>
    <x v="5"/>
    <n v="3"/>
    <s v="JUEVES"/>
    <x v="4"/>
    <x v="4"/>
    <n v="810"/>
    <n v="162"/>
    <n v="137.70000000000002"/>
    <x v="3"/>
  </r>
  <r>
    <d v="2022-01-20T00:00:00"/>
    <x v="5"/>
    <n v="3"/>
    <s v="JUEVES"/>
    <x v="6"/>
    <x v="6"/>
    <n v="6600"/>
    <n v="120"/>
    <n v="1122"/>
    <x v="3"/>
  </r>
  <r>
    <d v="2022-01-20T00:00:00"/>
    <x v="5"/>
    <n v="3"/>
    <s v="JUEVES"/>
    <x v="10"/>
    <x v="10"/>
    <n v="5520"/>
    <n v="120"/>
    <n v="938.40000000000009"/>
    <x v="3"/>
  </r>
  <r>
    <d v="2022-01-20T00:00:00"/>
    <x v="5"/>
    <n v="3"/>
    <s v="JUEVES"/>
    <x v="26"/>
    <x v="26"/>
    <n v="900"/>
    <n v="90"/>
    <n v="153"/>
    <x v="3"/>
  </r>
  <r>
    <d v="2022-01-20T00:00:00"/>
    <x v="5"/>
    <n v="3"/>
    <s v="JUEVES"/>
    <x v="23"/>
    <x v="23"/>
    <n v="1440"/>
    <n v="90"/>
    <n v="244.8"/>
    <x v="3"/>
  </r>
  <r>
    <d v="2022-01-20T00:00:00"/>
    <x v="5"/>
    <n v="3"/>
    <s v="JUEVES"/>
    <x v="12"/>
    <x v="12"/>
    <n v="225"/>
    <n v="225"/>
    <n v="90"/>
    <x v="3"/>
  </r>
  <r>
    <d v="2022-01-22T00:00:00"/>
    <x v="5"/>
    <n v="4"/>
    <s v="SÁBADO"/>
    <x v="36"/>
    <x v="36"/>
    <n v="1260"/>
    <n v="90"/>
    <n v="504"/>
    <x v="3"/>
  </r>
  <r>
    <d v="2022-01-22T00:00:00"/>
    <x v="5"/>
    <n v="4"/>
    <s v="SÁBADO"/>
    <x v="38"/>
    <x v="38"/>
    <n v="336"/>
    <n v="112"/>
    <n v="134.4"/>
    <x v="3"/>
  </r>
  <r>
    <d v="2022-01-22T00:00:00"/>
    <x v="5"/>
    <n v="4"/>
    <s v="SÁBADO"/>
    <x v="0"/>
    <x v="0"/>
    <n v="1296"/>
    <n v="48"/>
    <n v="518.4"/>
    <x v="3"/>
  </r>
  <r>
    <d v="2022-01-22T00:00:00"/>
    <x v="5"/>
    <n v="4"/>
    <s v="SÁBADO"/>
    <x v="24"/>
    <x v="24"/>
    <n v="1260"/>
    <n v="420"/>
    <n v="529.19999999999993"/>
    <x v="3"/>
  </r>
  <r>
    <d v="2022-01-22T00:00:00"/>
    <x v="5"/>
    <n v="4"/>
    <s v="SÁBADO"/>
    <x v="39"/>
    <x v="39"/>
    <n v="2100"/>
    <n v="420"/>
    <n v="882"/>
    <x v="3"/>
  </r>
  <r>
    <d v="2022-01-22T00:00:00"/>
    <x v="5"/>
    <n v="4"/>
    <s v="SÁBADO"/>
    <x v="16"/>
    <x v="16"/>
    <n v="900"/>
    <n v="180"/>
    <n v="378"/>
    <x v="3"/>
  </r>
  <r>
    <d v="2022-01-22T00:00:00"/>
    <x v="5"/>
    <n v="4"/>
    <s v="SÁBADO"/>
    <x v="1"/>
    <x v="1"/>
    <n v="2160"/>
    <n v="198"/>
    <n v="367.20000000000005"/>
    <x v="3"/>
  </r>
  <r>
    <d v="2022-01-22T00:00:00"/>
    <x v="5"/>
    <n v="4"/>
    <s v="SÁBADO"/>
    <x v="17"/>
    <x v="17"/>
    <n v="4200"/>
    <n v="120"/>
    <n v="714"/>
    <x v="3"/>
  </r>
  <r>
    <d v="2022-01-22T00:00:00"/>
    <x v="5"/>
    <n v="4"/>
    <s v="SÁBADO"/>
    <x v="10"/>
    <x v="10"/>
    <n v="2400"/>
    <n v="120"/>
    <n v="408.00000000000006"/>
    <x v="3"/>
  </r>
  <r>
    <d v="2022-01-22T00:00:00"/>
    <x v="5"/>
    <n v="4"/>
    <s v="SÁBADO"/>
    <x v="23"/>
    <x v="23"/>
    <n v="720"/>
    <n v="90"/>
    <n v="122.4"/>
    <x v="3"/>
  </r>
  <r>
    <d v="2022-01-22T00:00:00"/>
    <x v="5"/>
    <n v="4"/>
    <s v="SÁBADO"/>
    <x v="11"/>
    <x v="11"/>
    <n v="2160"/>
    <n v="90"/>
    <n v="367.20000000000005"/>
    <x v="3"/>
  </r>
  <r>
    <d v="2022-01-22T00:00:00"/>
    <x v="5"/>
    <n v="4"/>
    <s v="SÁBADO"/>
    <x v="12"/>
    <x v="12"/>
    <n v="900"/>
    <n v="225"/>
    <n v="360"/>
    <x v="3"/>
  </r>
  <r>
    <d v="2022-01-22T00:00:00"/>
    <x v="5"/>
    <n v="4"/>
    <s v="SÁBADO"/>
    <x v="19"/>
    <x v="19"/>
    <n v="450"/>
    <n v="225"/>
    <n v="180"/>
    <x v="3"/>
  </r>
  <r>
    <d v="2022-01-22T00:00:00"/>
    <x v="5"/>
    <n v="4"/>
    <s v="SÁBADO"/>
    <x v="43"/>
    <x v="43"/>
    <n v="250"/>
    <n v="420"/>
    <n v="105"/>
    <x v="3"/>
  </r>
  <r>
    <d v="2022-01-21T00:00:00"/>
    <x v="5"/>
    <n v="3"/>
    <s v="VIERNES"/>
    <x v="36"/>
    <x v="36"/>
    <n v="900"/>
    <n v="90"/>
    <n v="360"/>
    <x v="3"/>
  </r>
  <r>
    <d v="2022-01-21T00:00:00"/>
    <x v="5"/>
    <n v="3"/>
    <s v="VIERNES"/>
    <x v="0"/>
    <x v="0"/>
    <n v="2400"/>
    <n v="48"/>
    <n v="960"/>
    <x v="3"/>
  </r>
  <r>
    <d v="2022-01-21T00:00:00"/>
    <x v="5"/>
    <n v="3"/>
    <s v="VIERNES"/>
    <x v="24"/>
    <x v="24"/>
    <n v="840"/>
    <n v="420"/>
    <n v="352.8"/>
    <x v="3"/>
  </r>
  <r>
    <d v="2022-01-21T00:00:00"/>
    <x v="5"/>
    <n v="3"/>
    <s v="VIERNES"/>
    <x v="16"/>
    <x v="16"/>
    <n v="1800"/>
    <n v="180"/>
    <n v="756"/>
    <x v="3"/>
  </r>
  <r>
    <d v="2022-01-21T00:00:00"/>
    <x v="5"/>
    <n v="3"/>
    <s v="VIERNES"/>
    <x v="1"/>
    <x v="1"/>
    <n v="1296"/>
    <n v="198"/>
    <n v="220.32000000000002"/>
    <x v="3"/>
  </r>
  <r>
    <d v="2022-01-21T00:00:00"/>
    <x v="5"/>
    <n v="3"/>
    <s v="VIERNES"/>
    <x v="2"/>
    <x v="2"/>
    <n v="216"/>
    <n v="198"/>
    <n v="36.720000000000006"/>
    <x v="3"/>
  </r>
  <r>
    <d v="2022-01-21T00:00:00"/>
    <x v="5"/>
    <n v="3"/>
    <s v="VIERNES"/>
    <x v="34"/>
    <x v="34"/>
    <n v="432"/>
    <n v="198"/>
    <n v="73.440000000000012"/>
    <x v="3"/>
  </r>
  <r>
    <d v="2022-01-21T00:00:00"/>
    <x v="5"/>
    <n v="3"/>
    <s v="VIERNES"/>
    <x v="3"/>
    <x v="3"/>
    <n v="990"/>
    <n v="198"/>
    <n v="168.3"/>
    <x v="3"/>
  </r>
  <r>
    <d v="2022-01-21T00:00:00"/>
    <x v="5"/>
    <n v="3"/>
    <s v="VIERNES"/>
    <x v="5"/>
    <x v="5"/>
    <n v="324"/>
    <n v="162"/>
    <n v="55.080000000000005"/>
    <x v="3"/>
  </r>
  <r>
    <d v="2022-01-21T00:00:00"/>
    <x v="5"/>
    <n v="3"/>
    <s v="VIERNES"/>
    <x v="17"/>
    <x v="17"/>
    <n v="4320"/>
    <n v="120"/>
    <n v="734.40000000000009"/>
    <x v="3"/>
  </r>
  <r>
    <d v="2022-01-21T00:00:00"/>
    <x v="5"/>
    <n v="3"/>
    <s v="VIERNES"/>
    <x v="7"/>
    <x v="7"/>
    <n v="2376"/>
    <n v="198"/>
    <n v="403.92"/>
    <x v="3"/>
  </r>
  <r>
    <d v="2022-01-21T00:00:00"/>
    <x v="5"/>
    <n v="3"/>
    <s v="VIERNES"/>
    <x v="8"/>
    <x v="8"/>
    <n v="1080"/>
    <n v="198"/>
    <n v="183.60000000000002"/>
    <x v="3"/>
  </r>
  <r>
    <d v="2022-01-21T00:00:00"/>
    <x v="5"/>
    <n v="3"/>
    <s v="VIERNES"/>
    <x v="9"/>
    <x v="9"/>
    <n v="900"/>
    <n v="90"/>
    <n v="153"/>
    <x v="3"/>
  </r>
  <r>
    <d v="2022-01-21T00:00:00"/>
    <x v="5"/>
    <n v="3"/>
    <s v="VIERNES"/>
    <x v="11"/>
    <x v="11"/>
    <n v="3600"/>
    <n v="90"/>
    <n v="612"/>
    <x v="3"/>
  </r>
  <r>
    <d v="2022-01-21T00:00:00"/>
    <x v="5"/>
    <n v="3"/>
    <s v="VIERNES"/>
    <x v="20"/>
    <x v="20"/>
    <n v="900"/>
    <n v="90"/>
    <n v="153"/>
    <x v="3"/>
  </r>
  <r>
    <d v="2022-01-21T00:00:00"/>
    <x v="5"/>
    <n v="3"/>
    <s v="VIERNES"/>
    <x v="25"/>
    <x v="25"/>
    <n v="1350"/>
    <n v="225"/>
    <n v="567"/>
    <x v="3"/>
  </r>
  <r>
    <d v="2022-01-21T00:00:00"/>
    <x v="5"/>
    <n v="3"/>
    <s v="VIERNES"/>
    <x v="12"/>
    <x v="12"/>
    <n v="450"/>
    <n v="225"/>
    <n v="180"/>
    <x v="3"/>
  </r>
  <r>
    <d v="2022-01-24T00:00:00"/>
    <x v="5"/>
    <n v="4"/>
    <s v="LUNES"/>
    <x v="36"/>
    <x v="36"/>
    <n v="450"/>
    <n v="90"/>
    <n v="180"/>
    <x v="3"/>
  </r>
  <r>
    <d v="2022-01-24T00:00:00"/>
    <x v="5"/>
    <n v="4"/>
    <s v="LUNES"/>
    <x v="38"/>
    <x v="38"/>
    <n v="224"/>
    <n v="112"/>
    <n v="89.600000000000009"/>
    <x v="3"/>
  </r>
  <r>
    <d v="2022-01-24T00:00:00"/>
    <x v="5"/>
    <n v="4"/>
    <s v="LUNES"/>
    <x v="0"/>
    <x v="0"/>
    <n v="1440"/>
    <n v="48"/>
    <n v="576"/>
    <x v="3"/>
  </r>
  <r>
    <d v="2022-01-24T00:00:00"/>
    <x v="5"/>
    <n v="4"/>
    <s v="LUNES"/>
    <x v="39"/>
    <x v="39"/>
    <n v="2100"/>
    <n v="420"/>
    <n v="882"/>
    <x v="3"/>
  </r>
  <r>
    <d v="2022-01-24T00:00:00"/>
    <x v="5"/>
    <n v="4"/>
    <s v="LUNES"/>
    <x v="22"/>
    <x v="22"/>
    <n v="792"/>
    <n v="198"/>
    <n v="134.64000000000001"/>
    <x v="3"/>
  </r>
  <r>
    <d v="2022-01-24T00:00:00"/>
    <x v="5"/>
    <n v="4"/>
    <s v="LUNES"/>
    <x v="6"/>
    <x v="6"/>
    <n v="360"/>
    <n v="120"/>
    <n v="61.2"/>
    <x v="3"/>
  </r>
  <r>
    <d v="2022-01-24T00:00:00"/>
    <x v="5"/>
    <n v="4"/>
    <s v="LUNES"/>
    <x v="9"/>
    <x v="9"/>
    <n v="720"/>
    <n v="90"/>
    <n v="122.4"/>
    <x v="3"/>
  </r>
  <r>
    <d v="2022-01-24T00:00:00"/>
    <x v="5"/>
    <n v="4"/>
    <s v="LUNES"/>
    <x v="23"/>
    <x v="23"/>
    <n v="720"/>
    <n v="90"/>
    <n v="122.4"/>
    <x v="3"/>
  </r>
  <r>
    <d v="2022-01-24T00:00:00"/>
    <x v="5"/>
    <n v="4"/>
    <s v="LUNES"/>
    <x v="11"/>
    <x v="11"/>
    <n v="2160"/>
    <n v="90"/>
    <n v="367.20000000000005"/>
    <x v="3"/>
  </r>
  <r>
    <d v="2022-01-24T00:00:00"/>
    <x v="5"/>
    <n v="4"/>
    <s v="LUNES"/>
    <x v="25"/>
    <x v="25"/>
    <n v="2250"/>
    <n v="225"/>
    <n v="945"/>
    <x v="3"/>
  </r>
  <r>
    <d v="2022-01-24T00:00:00"/>
    <x v="5"/>
    <n v="4"/>
    <s v="LUNES"/>
    <x v="12"/>
    <x v="12"/>
    <n v="675"/>
    <n v="225"/>
    <n v="270"/>
    <x v="3"/>
  </r>
  <r>
    <d v="2022-01-24T00:00:00"/>
    <x v="5"/>
    <n v="4"/>
    <s v="LUNES"/>
    <x v="19"/>
    <x v="19"/>
    <n v="225"/>
    <n v="225"/>
    <n v="90"/>
    <x v="3"/>
  </r>
  <r>
    <d v="2022-01-24T00:00:00"/>
    <x v="5"/>
    <n v="4"/>
    <s v="LUNES"/>
    <x v="37"/>
    <x v="37"/>
    <n v="1250"/>
    <n v="225"/>
    <n v="525"/>
    <x v="3"/>
  </r>
  <r>
    <d v="2022-01-24T00:00:00"/>
    <x v="5"/>
    <n v="4"/>
    <s v="LUNES"/>
    <x v="64"/>
    <x v="48"/>
    <n v="600"/>
    <n v="30"/>
    <n v="126"/>
    <x v="3"/>
  </r>
  <r>
    <d v="2022-01-25T00:00:00"/>
    <x v="5"/>
    <n v="4"/>
    <s v="MARTES"/>
    <x v="64"/>
    <x v="48"/>
    <n v="600"/>
    <n v="30"/>
    <n v="126"/>
    <x v="3"/>
  </r>
  <r>
    <d v="2022-01-25T00:00:00"/>
    <x v="5"/>
    <n v="4"/>
    <s v="MARTES"/>
    <x v="0"/>
    <x v="0"/>
    <n v="1200"/>
    <n v="48"/>
    <n v="480"/>
    <x v="3"/>
  </r>
  <r>
    <d v="2022-01-25T00:00:00"/>
    <x v="5"/>
    <n v="4"/>
    <s v="MARTES"/>
    <x v="39"/>
    <x v="39"/>
    <n v="2100"/>
    <n v="420"/>
    <n v="882"/>
    <x v="3"/>
  </r>
  <r>
    <d v="2022-01-25T00:00:00"/>
    <x v="5"/>
    <n v="4"/>
    <s v="MARTES"/>
    <x v="1"/>
    <x v="1"/>
    <n v="4320"/>
    <n v="198"/>
    <n v="734.40000000000009"/>
    <x v="3"/>
  </r>
  <r>
    <d v="2022-01-25T00:00:00"/>
    <x v="5"/>
    <n v="4"/>
    <s v="MARTES"/>
    <x v="2"/>
    <x v="2"/>
    <n v="1728"/>
    <n v="198"/>
    <n v="293.76000000000005"/>
    <x v="3"/>
  </r>
  <r>
    <d v="2022-01-25T00:00:00"/>
    <x v="5"/>
    <n v="4"/>
    <s v="MARTES"/>
    <x v="22"/>
    <x v="22"/>
    <n v="990"/>
    <n v="198"/>
    <n v="168.3"/>
    <x v="3"/>
  </r>
  <r>
    <d v="2022-01-25T00:00:00"/>
    <x v="5"/>
    <n v="4"/>
    <s v="MARTES"/>
    <x v="6"/>
    <x v="6"/>
    <n v="2520"/>
    <n v="120"/>
    <n v="428.40000000000003"/>
    <x v="3"/>
  </r>
  <r>
    <d v="2022-01-25T00:00:00"/>
    <x v="5"/>
    <n v="4"/>
    <s v="MARTES"/>
    <x v="17"/>
    <x v="17"/>
    <n v="120"/>
    <n v="120"/>
    <n v="20.400000000000002"/>
    <x v="3"/>
  </r>
  <r>
    <d v="2022-01-25T00:00:00"/>
    <x v="5"/>
    <n v="4"/>
    <s v="MARTES"/>
    <x v="7"/>
    <x v="7"/>
    <n v="2160"/>
    <n v="198"/>
    <n v="367.20000000000005"/>
    <x v="3"/>
  </r>
  <r>
    <d v="2022-01-25T00:00:00"/>
    <x v="5"/>
    <n v="4"/>
    <s v="MARTES"/>
    <x v="8"/>
    <x v="8"/>
    <n v="1080"/>
    <n v="198"/>
    <n v="183.60000000000002"/>
    <x v="3"/>
  </r>
  <r>
    <d v="2022-01-25T00:00:00"/>
    <x v="5"/>
    <n v="4"/>
    <s v="MARTES"/>
    <x v="9"/>
    <x v="9"/>
    <n v="900"/>
    <n v="90"/>
    <n v="153"/>
    <x v="3"/>
  </r>
  <r>
    <d v="2022-01-25T00:00:00"/>
    <x v="5"/>
    <n v="4"/>
    <s v="MARTES"/>
    <x v="23"/>
    <x v="23"/>
    <n v="900"/>
    <n v="90"/>
    <n v="153"/>
    <x v="3"/>
  </r>
  <r>
    <d v="2022-01-25T00:00:00"/>
    <x v="5"/>
    <n v="4"/>
    <s v="MARTES"/>
    <x v="11"/>
    <x v="11"/>
    <n v="900"/>
    <n v="90"/>
    <n v="153"/>
    <x v="3"/>
  </r>
  <r>
    <d v="2022-01-25T00:00:00"/>
    <x v="5"/>
    <n v="4"/>
    <s v="MARTES"/>
    <x v="25"/>
    <x v="25"/>
    <n v="1350"/>
    <n v="225"/>
    <n v="567"/>
    <x v="3"/>
  </r>
  <r>
    <d v="2022-01-25T00:00:00"/>
    <x v="5"/>
    <n v="4"/>
    <s v="MARTES"/>
    <x v="12"/>
    <x v="12"/>
    <n v="675"/>
    <n v="225"/>
    <n v="270"/>
    <x v="3"/>
  </r>
  <r>
    <d v="2022-01-25T00:00:00"/>
    <x v="5"/>
    <n v="4"/>
    <s v="MARTES"/>
    <x v="42"/>
    <x v="42"/>
    <n v="500"/>
    <n v="420"/>
    <n v="210"/>
    <x v="3"/>
  </r>
  <r>
    <d v="2022-01-26T00:00:00"/>
    <x v="5"/>
    <n v="4"/>
    <s v="MIÉRCOLES"/>
    <x v="43"/>
    <x v="43"/>
    <n v="500"/>
    <n v="420"/>
    <n v="210"/>
    <x v="3"/>
  </r>
  <r>
    <d v="2022-01-26T00:00:00"/>
    <x v="5"/>
    <n v="4"/>
    <s v="MIÉRCOLES"/>
    <x v="28"/>
    <x v="28"/>
    <n v="210"/>
    <n v="30"/>
    <n v="48.300000000000004"/>
    <x v="3"/>
  </r>
  <r>
    <d v="2022-01-26T00:00:00"/>
    <x v="5"/>
    <n v="4"/>
    <s v="MIÉRCOLES"/>
    <x v="13"/>
    <x v="13"/>
    <n v="200"/>
    <n v="30"/>
    <n v="80"/>
    <x v="3"/>
  </r>
  <r>
    <d v="2022-01-26T00:00:00"/>
    <x v="5"/>
    <n v="4"/>
    <s v="MIÉRCOLES"/>
    <x v="15"/>
    <x v="15"/>
    <n v="200"/>
    <n v="50"/>
    <n v="80"/>
    <x v="3"/>
  </r>
  <r>
    <d v="2022-01-26T00:00:00"/>
    <x v="5"/>
    <n v="4"/>
    <s v="MIÉRCOLES"/>
    <x v="36"/>
    <x v="36"/>
    <n v="900"/>
    <n v="90"/>
    <n v="360"/>
    <x v="3"/>
  </r>
  <r>
    <d v="2022-01-26T00:00:00"/>
    <x v="5"/>
    <n v="4"/>
    <s v="MIÉRCOLES"/>
    <x v="38"/>
    <x v="38"/>
    <n v="336"/>
    <n v="112"/>
    <n v="134.4"/>
    <x v="3"/>
  </r>
  <r>
    <d v="2022-01-26T00:00:00"/>
    <x v="5"/>
    <n v="4"/>
    <s v="MIÉRCOLES"/>
    <x v="0"/>
    <x v="0"/>
    <n v="1440"/>
    <n v="48"/>
    <n v="576"/>
    <x v="3"/>
  </r>
  <r>
    <d v="2022-01-26T00:00:00"/>
    <x v="5"/>
    <n v="4"/>
    <s v="MIÉRCOLES"/>
    <x v="24"/>
    <x v="24"/>
    <n v="3360"/>
    <n v="420"/>
    <n v="1411.2"/>
    <x v="3"/>
  </r>
  <r>
    <d v="2022-01-26T00:00:00"/>
    <x v="5"/>
    <n v="4"/>
    <s v="MIÉRCOLES"/>
    <x v="32"/>
    <x v="32"/>
    <n v="4200"/>
    <n v="420"/>
    <n v="1764"/>
    <x v="3"/>
  </r>
  <r>
    <d v="2022-01-26T00:00:00"/>
    <x v="5"/>
    <n v="4"/>
    <s v="MIÉRCOLES"/>
    <x v="3"/>
    <x v="3"/>
    <n v="990"/>
    <n v="198"/>
    <n v="168.3"/>
    <x v="3"/>
  </r>
  <r>
    <d v="2022-01-26T00:00:00"/>
    <x v="5"/>
    <n v="4"/>
    <s v="MIÉRCOLES"/>
    <x v="6"/>
    <x v="6"/>
    <n v="3000"/>
    <n v="120"/>
    <n v="510.00000000000006"/>
    <x v="3"/>
  </r>
  <r>
    <d v="2022-01-26T00:00:00"/>
    <x v="5"/>
    <n v="4"/>
    <s v="MIÉRCOLES"/>
    <x v="8"/>
    <x v="8"/>
    <n v="1512"/>
    <n v="198"/>
    <n v="257.04000000000002"/>
    <x v="3"/>
  </r>
  <r>
    <d v="2022-01-26T00:00:00"/>
    <x v="5"/>
    <n v="4"/>
    <s v="MIÉRCOLES"/>
    <x v="11"/>
    <x v="11"/>
    <n v="2880"/>
    <n v="90"/>
    <n v="489.6"/>
    <x v="3"/>
  </r>
  <r>
    <d v="2022-01-26T00:00:00"/>
    <x v="5"/>
    <n v="4"/>
    <s v="MIÉRCOLES"/>
    <x v="20"/>
    <x v="20"/>
    <n v="450"/>
    <n v="90"/>
    <n v="76.5"/>
    <x v="3"/>
  </r>
  <r>
    <d v="2022-01-26T00:00:00"/>
    <x v="5"/>
    <n v="4"/>
    <s v="MIÉRCOLES"/>
    <x v="19"/>
    <x v="19"/>
    <n v="450"/>
    <n v="225"/>
    <n v="180"/>
    <x v="3"/>
  </r>
  <r>
    <d v="2022-01-26T00:00:00"/>
    <x v="5"/>
    <n v="4"/>
    <s v="MIÉRCOLES"/>
    <x v="42"/>
    <x v="42"/>
    <n v="500"/>
    <n v="420"/>
    <n v="210"/>
    <x v="3"/>
  </r>
  <r>
    <d v="2022-01-26T00:00:00"/>
    <x v="5"/>
    <n v="4"/>
    <s v="MIÉRCOLES"/>
    <x v="40"/>
    <x v="40"/>
    <n v="112"/>
    <n v="240"/>
    <n v="44.800000000000004"/>
    <x v="3"/>
  </r>
  <r>
    <d v="2022-01-26T00:00:00"/>
    <x v="5"/>
    <n v="4"/>
    <s v="MIÉRCOLES"/>
    <x v="24"/>
    <x v="24"/>
    <n v="840"/>
    <n v="420"/>
    <n v="352.8"/>
    <x v="3"/>
  </r>
  <r>
    <d v="2022-01-26T00:00:00"/>
    <x v="5"/>
    <n v="4"/>
    <s v="MIÉRCOLES"/>
    <x v="16"/>
    <x v="16"/>
    <n v="900"/>
    <n v="180"/>
    <n v="378"/>
    <x v="3"/>
  </r>
  <r>
    <d v="2022-01-27T00:00:00"/>
    <x v="5"/>
    <n v="4"/>
    <s v="JUEVES"/>
    <x v="24"/>
    <x v="24"/>
    <n v="2940"/>
    <n v="420"/>
    <n v="1234.8"/>
    <x v="3"/>
  </r>
  <r>
    <d v="2022-01-27T00:00:00"/>
    <x v="5"/>
    <n v="4"/>
    <s v="JUEVES"/>
    <x v="32"/>
    <x v="32"/>
    <n v="2940"/>
    <n v="420"/>
    <n v="1234.8"/>
    <x v="3"/>
  </r>
  <r>
    <d v="2022-01-27T00:00:00"/>
    <x v="5"/>
    <n v="4"/>
    <s v="JUEVES"/>
    <x v="28"/>
    <x v="28"/>
    <n v="180"/>
    <n v="30"/>
    <n v="41.4"/>
    <x v="3"/>
  </r>
  <r>
    <d v="2022-01-27T00:00:00"/>
    <x v="5"/>
    <n v="4"/>
    <s v="JUEVES"/>
    <x v="13"/>
    <x v="13"/>
    <n v="150"/>
    <n v="30"/>
    <n v="60"/>
    <x v="3"/>
  </r>
  <r>
    <d v="2022-01-27T00:00:00"/>
    <x v="5"/>
    <n v="4"/>
    <s v="JUEVES"/>
    <x v="15"/>
    <x v="15"/>
    <n v="250"/>
    <n v="50"/>
    <n v="100"/>
    <x v="3"/>
  </r>
  <r>
    <d v="2022-01-27T00:00:00"/>
    <x v="5"/>
    <n v="4"/>
    <s v="JUEVES"/>
    <x v="36"/>
    <x v="36"/>
    <n v="450"/>
    <n v="90"/>
    <n v="180"/>
    <x v="3"/>
  </r>
  <r>
    <d v="2022-01-27T00:00:00"/>
    <x v="5"/>
    <n v="4"/>
    <s v="JUEVES"/>
    <x v="38"/>
    <x v="38"/>
    <n v="224"/>
    <n v="112"/>
    <n v="89.600000000000009"/>
    <x v="3"/>
  </r>
  <r>
    <d v="2022-01-27T00:00:00"/>
    <x v="5"/>
    <n v="4"/>
    <s v="JUEVES"/>
    <x v="24"/>
    <x v="24"/>
    <n v="5880"/>
    <n v="420"/>
    <n v="2469.6"/>
    <x v="3"/>
  </r>
  <r>
    <d v="2022-01-27T00:00:00"/>
    <x v="5"/>
    <n v="4"/>
    <s v="JUEVES"/>
    <x v="32"/>
    <x v="32"/>
    <n v="3360"/>
    <n v="420"/>
    <n v="1411.2"/>
    <x v="3"/>
  </r>
  <r>
    <d v="2022-01-27T00:00:00"/>
    <x v="5"/>
    <n v="4"/>
    <s v="JUEVES"/>
    <x v="16"/>
    <x v="16"/>
    <n v="540"/>
    <n v="180"/>
    <n v="226.79999999999998"/>
    <x v="3"/>
  </r>
  <r>
    <d v="2022-01-27T00:00:00"/>
    <x v="5"/>
    <n v="4"/>
    <s v="JUEVES"/>
    <x v="3"/>
    <x v="3"/>
    <n v="990"/>
    <n v="198"/>
    <n v="168.3"/>
    <x v="3"/>
  </r>
  <r>
    <d v="2022-01-27T00:00:00"/>
    <x v="5"/>
    <n v="4"/>
    <s v="JUEVES"/>
    <x v="4"/>
    <x v="4"/>
    <n v="1296"/>
    <n v="162"/>
    <n v="220.32000000000002"/>
    <x v="3"/>
  </r>
  <r>
    <d v="2022-01-27T00:00:00"/>
    <x v="5"/>
    <n v="4"/>
    <s v="JUEVES"/>
    <x v="5"/>
    <x v="5"/>
    <n v="648"/>
    <n v="162"/>
    <n v="110.16000000000001"/>
    <x v="3"/>
  </r>
  <r>
    <d v="2022-01-27T00:00:00"/>
    <x v="5"/>
    <n v="4"/>
    <s v="JUEVES"/>
    <x v="6"/>
    <x v="6"/>
    <n v="2400"/>
    <n v="120"/>
    <n v="408.00000000000006"/>
    <x v="3"/>
  </r>
  <r>
    <d v="2022-01-27T00:00:00"/>
    <x v="5"/>
    <n v="4"/>
    <s v="JUEVES"/>
    <x v="17"/>
    <x v="17"/>
    <n v="2400"/>
    <n v="120"/>
    <n v="408.00000000000006"/>
    <x v="3"/>
  </r>
  <r>
    <d v="2022-01-27T00:00:00"/>
    <x v="5"/>
    <n v="4"/>
    <s v="JUEVES"/>
    <x v="7"/>
    <x v="7"/>
    <n v="1080"/>
    <n v="198"/>
    <n v="183.60000000000002"/>
    <x v="3"/>
  </r>
  <r>
    <d v="2022-01-27T00:00:00"/>
    <x v="5"/>
    <n v="4"/>
    <s v="JUEVES"/>
    <x v="11"/>
    <x v="11"/>
    <n v="900"/>
    <n v="90"/>
    <n v="153"/>
    <x v="3"/>
  </r>
  <r>
    <d v="2022-01-27T00:00:00"/>
    <x v="5"/>
    <n v="4"/>
    <s v="JUEVES"/>
    <x v="20"/>
    <x v="20"/>
    <n v="450"/>
    <n v="90"/>
    <n v="76.5"/>
    <x v="3"/>
  </r>
  <r>
    <d v="2022-01-27T00:00:00"/>
    <x v="5"/>
    <n v="4"/>
    <s v="JUEVES"/>
    <x v="25"/>
    <x v="25"/>
    <n v="1350"/>
    <n v="225"/>
    <n v="567"/>
    <x v="3"/>
  </r>
  <r>
    <d v="2022-01-27T00:00:00"/>
    <x v="5"/>
    <n v="4"/>
    <s v="JUEVES"/>
    <x v="42"/>
    <x v="42"/>
    <n v="250"/>
    <n v="420"/>
    <n v="105"/>
    <x v="3"/>
  </r>
  <r>
    <d v="2022-01-27T00:00:00"/>
    <x v="5"/>
    <n v="4"/>
    <s v="JUEVES"/>
    <x v="43"/>
    <x v="43"/>
    <n v="500"/>
    <n v="420"/>
    <n v="210"/>
    <x v="3"/>
  </r>
  <r>
    <d v="2022-01-28T00:00:00"/>
    <x v="5"/>
    <n v="4"/>
    <s v="VIERNES"/>
    <x v="32"/>
    <x v="32"/>
    <n v="2940"/>
    <n v="420"/>
    <n v="1234.8"/>
    <x v="3"/>
  </r>
  <r>
    <d v="2022-01-28T00:00:00"/>
    <x v="5"/>
    <n v="4"/>
    <s v="VIERNES"/>
    <x v="1"/>
    <x v="1"/>
    <n v="864"/>
    <n v="198"/>
    <n v="146.88000000000002"/>
    <x v="3"/>
  </r>
  <r>
    <d v="2022-01-28T00:00:00"/>
    <x v="5"/>
    <n v="4"/>
    <s v="VIERNES"/>
    <x v="22"/>
    <x v="22"/>
    <n v="396"/>
    <n v="198"/>
    <n v="67.320000000000007"/>
    <x v="3"/>
  </r>
  <r>
    <d v="2022-01-28T00:00:00"/>
    <x v="5"/>
    <n v="4"/>
    <s v="VIERNES"/>
    <x v="43"/>
    <x v="43"/>
    <n v="500"/>
    <n v="420"/>
    <n v="210"/>
    <x v="3"/>
  </r>
  <r>
    <d v="2022-01-28T00:00:00"/>
    <x v="5"/>
    <n v="4"/>
    <s v="VIERNES"/>
    <x v="65"/>
    <x v="49"/>
    <n v="2000"/>
    <n v="250"/>
    <n v="460"/>
    <x v="3"/>
  </r>
  <r>
    <d v="2022-01-28T00:00:00"/>
    <x v="5"/>
    <n v="4"/>
    <s v="VIERNES"/>
    <x v="36"/>
    <x v="36"/>
    <n v="450"/>
    <n v="90"/>
    <n v="180"/>
    <x v="3"/>
  </r>
  <r>
    <d v="2022-01-28T00:00:00"/>
    <x v="5"/>
    <n v="4"/>
    <s v="VIERNES"/>
    <x v="40"/>
    <x v="40"/>
    <n v="224"/>
    <n v="240"/>
    <n v="89.600000000000009"/>
    <x v="3"/>
  </r>
  <r>
    <d v="2022-01-28T00:00:00"/>
    <x v="5"/>
    <n v="4"/>
    <s v="VIERNES"/>
    <x v="0"/>
    <x v="0"/>
    <n v="1920"/>
    <n v="48"/>
    <n v="768"/>
    <x v="3"/>
  </r>
  <r>
    <d v="2022-01-28T00:00:00"/>
    <x v="5"/>
    <n v="4"/>
    <s v="VIERNES"/>
    <x v="24"/>
    <x v="24"/>
    <n v="3360"/>
    <n v="420"/>
    <n v="1411.2"/>
    <x v="3"/>
  </r>
  <r>
    <d v="2022-01-28T00:00:00"/>
    <x v="5"/>
    <n v="4"/>
    <s v="VIERNES"/>
    <x v="1"/>
    <x v="1"/>
    <n v="1296"/>
    <n v="198"/>
    <n v="220.32000000000002"/>
    <x v="3"/>
  </r>
  <r>
    <d v="2022-01-28T00:00:00"/>
    <x v="5"/>
    <n v="4"/>
    <s v="VIERNES"/>
    <x v="2"/>
    <x v="2"/>
    <n v="2160"/>
    <n v="198"/>
    <n v="367.20000000000005"/>
    <x v="3"/>
  </r>
  <r>
    <d v="2022-01-28T00:00:00"/>
    <x v="5"/>
    <n v="4"/>
    <s v="VIERNES"/>
    <x v="22"/>
    <x v="22"/>
    <n v="594"/>
    <n v="198"/>
    <n v="100.98"/>
    <x v="3"/>
  </r>
  <r>
    <d v="2022-01-28T00:00:00"/>
    <x v="5"/>
    <n v="4"/>
    <s v="VIERNES"/>
    <x v="6"/>
    <x v="6"/>
    <n v="6000"/>
    <n v="120"/>
    <n v="1020.0000000000001"/>
    <x v="3"/>
  </r>
  <r>
    <d v="2022-01-28T00:00:00"/>
    <x v="5"/>
    <n v="4"/>
    <s v="VIERNES"/>
    <x v="8"/>
    <x v="8"/>
    <n v="2160"/>
    <n v="198"/>
    <n v="367.20000000000005"/>
    <x v="3"/>
  </r>
  <r>
    <d v="2022-01-28T00:00:00"/>
    <x v="5"/>
    <n v="4"/>
    <s v="VIERNES"/>
    <x v="9"/>
    <x v="9"/>
    <n v="1440"/>
    <n v="90"/>
    <n v="244.8"/>
    <x v="3"/>
  </r>
  <r>
    <d v="2022-01-28T00:00:00"/>
    <x v="5"/>
    <n v="4"/>
    <s v="VIERNES"/>
    <x v="23"/>
    <x v="23"/>
    <n v="1440"/>
    <n v="90"/>
    <n v="244.8"/>
    <x v="3"/>
  </r>
  <r>
    <d v="2022-01-28T00:00:00"/>
    <x v="5"/>
    <n v="4"/>
    <s v="VIERNES"/>
    <x v="25"/>
    <x v="25"/>
    <n v="1800"/>
    <n v="225"/>
    <n v="756"/>
    <x v="3"/>
  </r>
  <r>
    <d v="2022-01-28T00:00:00"/>
    <x v="5"/>
    <n v="4"/>
    <s v="VIERNES"/>
    <x v="12"/>
    <x v="12"/>
    <n v="900"/>
    <n v="225"/>
    <n v="360"/>
    <x v="3"/>
  </r>
  <r>
    <d v="2022-01-28T00:00:00"/>
    <x v="5"/>
    <n v="4"/>
    <s v="VIERNES"/>
    <x v="19"/>
    <x v="19"/>
    <n v="675"/>
    <n v="225"/>
    <n v="270"/>
    <x v="3"/>
  </r>
  <r>
    <d v="2022-01-28T00:00:00"/>
    <x v="5"/>
    <n v="4"/>
    <s v="VIERNES"/>
    <x v="42"/>
    <x v="42"/>
    <n v="500"/>
    <n v="420"/>
    <n v="210"/>
    <x v="3"/>
  </r>
  <r>
    <d v="2022-01-29T00:00:00"/>
    <x v="5"/>
    <n v="5"/>
    <s v="SÁBADO"/>
    <x v="28"/>
    <x v="28"/>
    <n v="120"/>
    <n v="30"/>
    <n v="27.6"/>
    <x v="3"/>
  </r>
  <r>
    <d v="2022-01-29T00:00:00"/>
    <x v="5"/>
    <n v="5"/>
    <s v="SÁBADO"/>
    <x v="36"/>
    <x v="36"/>
    <n v="540"/>
    <n v="90"/>
    <n v="216"/>
    <x v="3"/>
  </r>
  <r>
    <d v="2022-01-29T00:00:00"/>
    <x v="5"/>
    <n v="5"/>
    <s v="SÁBADO"/>
    <x v="6"/>
    <x v="6"/>
    <n v="4800"/>
    <n v="120"/>
    <n v="816.00000000000011"/>
    <x v="3"/>
  </r>
  <r>
    <d v="2022-01-29T00:00:00"/>
    <x v="5"/>
    <n v="5"/>
    <s v="SÁBADO"/>
    <x v="17"/>
    <x v="17"/>
    <n v="4080"/>
    <n v="120"/>
    <n v="693.6"/>
    <x v="3"/>
  </r>
  <r>
    <d v="2022-01-29T00:00:00"/>
    <x v="5"/>
    <n v="5"/>
    <s v="SÁBADO"/>
    <x v="9"/>
    <x v="9"/>
    <n v="720"/>
    <n v="90"/>
    <n v="122.4"/>
    <x v="3"/>
  </r>
  <r>
    <d v="2022-01-29T00:00:00"/>
    <x v="5"/>
    <n v="5"/>
    <s v="SÁBADO"/>
    <x v="10"/>
    <x v="10"/>
    <n v="480"/>
    <n v="120"/>
    <n v="81.600000000000009"/>
    <x v="3"/>
  </r>
  <r>
    <d v="2022-01-29T00:00:00"/>
    <x v="5"/>
    <n v="5"/>
    <s v="SÁBADO"/>
    <x v="25"/>
    <x v="25"/>
    <n v="1350"/>
    <n v="225"/>
    <n v="567"/>
    <x v="3"/>
  </r>
  <r>
    <d v="2022-01-29T00:00:00"/>
    <x v="5"/>
    <n v="5"/>
    <s v="SÁBADO"/>
    <x v="12"/>
    <x v="12"/>
    <n v="450"/>
    <n v="225"/>
    <n v="180"/>
    <x v="3"/>
  </r>
  <r>
    <d v="2022-01-29T00:00:00"/>
    <x v="5"/>
    <n v="5"/>
    <s v="SÁBADO"/>
    <x v="42"/>
    <x v="42"/>
    <n v="500"/>
    <n v="420"/>
    <n v="210"/>
    <x v="3"/>
  </r>
  <r>
    <d v="2022-01-29T00:00:00"/>
    <x v="5"/>
    <n v="5"/>
    <s v="SÁBADO"/>
    <x v="30"/>
    <x v="30"/>
    <n v="1500"/>
    <n v="250"/>
    <n v="345"/>
    <x v="3"/>
  </r>
  <r>
    <d v="2022-01-29T00:00:00"/>
    <x v="5"/>
    <n v="5"/>
    <s v="SÁBADO"/>
    <x v="66"/>
    <x v="50"/>
    <n v="800"/>
    <n v="200"/>
    <n v="336"/>
    <x v="3"/>
  </r>
  <r>
    <d v="2022-01-29T00:00:00"/>
    <x v="5"/>
    <n v="5"/>
    <s v="SÁBADO"/>
    <x v="67"/>
    <x v="51"/>
    <n v="360"/>
    <n v="180"/>
    <n v="151.19999999999999"/>
    <x v="3"/>
  </r>
  <r>
    <d v="2022-01-29T00:00:00"/>
    <x v="5"/>
    <n v="5"/>
    <s v="SÁBADO"/>
    <x v="68"/>
    <x v="52"/>
    <n v="1000"/>
    <n v="250"/>
    <n v="420"/>
    <x v="3"/>
  </r>
  <r>
    <d v="2022-01-29T00:00:00"/>
    <x v="5"/>
    <n v="5"/>
    <s v="SÁBADO"/>
    <x v="69"/>
    <x v="53"/>
    <n v="240"/>
    <n v="60"/>
    <n v="165.6"/>
    <x v="3"/>
  </r>
  <r>
    <d v="2022-01-29T00:00:00"/>
    <x v="5"/>
    <n v="5"/>
    <s v="SÁBADO"/>
    <x v="70"/>
    <x v="54"/>
    <n v="360"/>
    <n v="180"/>
    <n v="151.19999999999999"/>
    <x v="3"/>
  </r>
  <r>
    <d v="2022-01-29T00:00:00"/>
    <x v="5"/>
    <n v="5"/>
    <s v="SÁBADO"/>
    <x v="71"/>
    <x v="55"/>
    <n v="180"/>
    <n v="60"/>
    <n v="124.19999999999999"/>
    <x v="3"/>
  </r>
  <r>
    <d v="2022-01-29T00:00:00"/>
    <x v="5"/>
    <n v="5"/>
    <s v="SÁBADO"/>
    <x v="72"/>
    <x v="56"/>
    <n v="250"/>
    <n v="250"/>
    <n v="105"/>
    <x v="3"/>
  </r>
  <r>
    <d v="2022-01-29T00:00:00"/>
    <x v="5"/>
    <n v="5"/>
    <s v="SÁBADO"/>
    <x v="69"/>
    <x v="53"/>
    <n v="240"/>
    <n v="60"/>
    <n v="165.6"/>
    <x v="3"/>
  </r>
  <r>
    <d v="2022-01-29T00:00:00"/>
    <x v="5"/>
    <n v="5"/>
    <s v="SÁBADO"/>
    <x v="72"/>
    <x v="56"/>
    <n v="500"/>
    <n v="250"/>
    <n v="210"/>
    <x v="3"/>
  </r>
  <r>
    <d v="2022-01-31T00:00:00"/>
    <x v="5"/>
    <n v="5"/>
    <s v="LUNES"/>
    <x v="15"/>
    <x v="15"/>
    <n v="250"/>
    <n v="50"/>
    <n v="100"/>
    <x v="3"/>
  </r>
  <r>
    <d v="2022-01-31T00:00:00"/>
    <x v="5"/>
    <n v="5"/>
    <s v="LUNES"/>
    <x v="36"/>
    <x v="36"/>
    <n v="450"/>
    <n v="90"/>
    <n v="180"/>
    <x v="3"/>
  </r>
  <r>
    <d v="2022-01-31T00:00:00"/>
    <x v="5"/>
    <n v="5"/>
    <s v="LUNES"/>
    <x v="38"/>
    <x v="38"/>
    <n v="448"/>
    <n v="112"/>
    <n v="179.20000000000002"/>
    <x v="3"/>
  </r>
  <r>
    <d v="2022-01-31T00:00:00"/>
    <x v="5"/>
    <n v="5"/>
    <s v="LUNES"/>
    <x v="0"/>
    <x v="0"/>
    <n v="1440"/>
    <n v="48"/>
    <n v="576"/>
    <x v="3"/>
  </r>
  <r>
    <d v="2022-01-31T00:00:00"/>
    <x v="5"/>
    <n v="5"/>
    <s v="LUNES"/>
    <x v="16"/>
    <x v="16"/>
    <n v="720"/>
    <n v="180"/>
    <n v="302.39999999999998"/>
    <x v="3"/>
  </r>
  <r>
    <d v="2022-01-31T00:00:00"/>
    <x v="5"/>
    <n v="5"/>
    <s v="LUNES"/>
    <x v="1"/>
    <x v="1"/>
    <n v="2592"/>
    <n v="198"/>
    <n v="440.64000000000004"/>
    <x v="3"/>
  </r>
  <r>
    <d v="2022-01-31T00:00:00"/>
    <x v="5"/>
    <n v="5"/>
    <s v="LUNES"/>
    <x v="22"/>
    <x v="22"/>
    <n v="198"/>
    <n v="198"/>
    <n v="33.660000000000004"/>
    <x v="3"/>
  </r>
  <r>
    <d v="2022-01-31T00:00:00"/>
    <x v="5"/>
    <n v="5"/>
    <s v="LUNES"/>
    <x v="6"/>
    <x v="6"/>
    <n v="2400"/>
    <n v="120"/>
    <n v="408.00000000000006"/>
    <x v="3"/>
  </r>
  <r>
    <d v="2022-01-31T00:00:00"/>
    <x v="5"/>
    <n v="5"/>
    <s v="LUNES"/>
    <x v="17"/>
    <x v="17"/>
    <n v="840"/>
    <n v="120"/>
    <n v="142.80000000000001"/>
    <x v="3"/>
  </r>
  <r>
    <d v="2022-01-31T00:00:00"/>
    <x v="5"/>
    <n v="5"/>
    <s v="LUNES"/>
    <x v="8"/>
    <x v="8"/>
    <n v="1080"/>
    <n v="198"/>
    <n v="183.60000000000002"/>
    <x v="3"/>
  </r>
  <r>
    <d v="2022-01-31T00:00:00"/>
    <x v="5"/>
    <n v="5"/>
    <s v="LUNES"/>
    <x v="9"/>
    <x v="9"/>
    <n v="450"/>
    <n v="90"/>
    <n v="76.5"/>
    <x v="3"/>
  </r>
  <r>
    <d v="2022-01-31T00:00:00"/>
    <x v="5"/>
    <n v="5"/>
    <s v="LUNES"/>
    <x v="10"/>
    <x v="10"/>
    <n v="240"/>
    <n v="120"/>
    <n v="40.800000000000004"/>
    <x v="3"/>
  </r>
  <r>
    <d v="2022-01-31T00:00:00"/>
    <x v="5"/>
    <n v="5"/>
    <s v="LUNES"/>
    <x v="25"/>
    <x v="25"/>
    <n v="1350"/>
    <n v="225"/>
    <n v="567"/>
    <x v="3"/>
  </r>
  <r>
    <d v="2022-01-31T00:00:00"/>
    <x v="5"/>
    <n v="5"/>
    <s v="LUNES"/>
    <x v="43"/>
    <x v="43"/>
    <n v="750"/>
    <n v="420"/>
    <n v="315"/>
    <x v="3"/>
  </r>
  <r>
    <d v="2022-01-31T00:00:00"/>
    <x v="5"/>
    <n v="5"/>
    <s v="LUNES"/>
    <x v="30"/>
    <x v="30"/>
    <n v="2000"/>
    <n v="250"/>
    <n v="460"/>
    <x v="3"/>
  </r>
  <r>
    <d v="2022-01-31T00:00:00"/>
    <x v="5"/>
    <n v="5"/>
    <s v="LUNES"/>
    <x v="73"/>
    <x v="57"/>
    <n v="5250"/>
    <n v="350"/>
    <n v="1207.5"/>
    <x v="3"/>
  </r>
  <r>
    <d v="2022-01-31T00:00:00"/>
    <x v="5"/>
    <n v="5"/>
    <s v="LUNES"/>
    <x v="68"/>
    <x v="52"/>
    <n v="2500"/>
    <n v="250"/>
    <n v="1050"/>
    <x v="3"/>
  </r>
  <r>
    <d v="2022-01-31T00:00:00"/>
    <x v="5"/>
    <n v="5"/>
    <s v="LUNES"/>
    <x v="66"/>
    <x v="50"/>
    <n v="800"/>
    <n v="200"/>
    <n v="336"/>
    <x v="3"/>
  </r>
  <r>
    <d v="2022-01-31T00:00:00"/>
    <x v="5"/>
    <n v="5"/>
    <s v="LUNES"/>
    <x v="71"/>
    <x v="55"/>
    <n v="240"/>
    <n v="60"/>
    <n v="165.6"/>
    <x v="3"/>
  </r>
  <r>
    <d v="2022-01-31T00:00:00"/>
    <x v="5"/>
    <n v="5"/>
    <s v="LUNES"/>
    <x v="69"/>
    <x v="53"/>
    <n v="360"/>
    <n v="60"/>
    <n v="248.39999999999998"/>
    <x v="3"/>
  </r>
  <r>
    <d v="2022-01-31T00:00:00"/>
    <x v="5"/>
    <n v="5"/>
    <s v="LUNES"/>
    <x v="35"/>
    <x v="35"/>
    <n v="1080"/>
    <n v="180"/>
    <n v="453.59999999999997"/>
    <x v="3"/>
  </r>
  <r>
    <d v="2022-01-31T00:00:00"/>
    <x v="5"/>
    <n v="5"/>
    <s v="LUNES"/>
    <x v="69"/>
    <x v="53"/>
    <n v="120"/>
    <n v="60"/>
    <n v="82.8"/>
    <x v="3"/>
  </r>
  <r>
    <d v="2022-01-31T00:00:00"/>
    <x v="5"/>
    <n v="5"/>
    <s v="LUNES"/>
    <x v="72"/>
    <x v="56"/>
    <n v="750"/>
    <n v="250"/>
    <n v="315"/>
    <x v="3"/>
  </r>
  <r>
    <d v="2022-01-31T00:00:00"/>
    <x v="5"/>
    <n v="5"/>
    <s v="LUNES"/>
    <x v="67"/>
    <x v="51"/>
    <n v="360"/>
    <n v="180"/>
    <n v="151.19999999999999"/>
    <x v="3"/>
  </r>
  <r>
    <d v="2022-01-31T00:00:00"/>
    <x v="5"/>
    <n v="5"/>
    <s v="LUNES"/>
    <x v="74"/>
    <x v="58"/>
    <n v="350"/>
    <n v="175"/>
    <n v="308"/>
    <x v="3"/>
  </r>
  <r>
    <d v="2022-02-01T00:00:00"/>
    <x v="8"/>
    <n v="5"/>
    <s v="MARTES"/>
    <x v="30"/>
    <x v="30"/>
    <n v="1250"/>
    <n v="250"/>
    <n v="287.5"/>
    <x v="3"/>
  </r>
  <r>
    <d v="2022-02-01T00:00:00"/>
    <x v="8"/>
    <n v="5"/>
    <s v="MARTES"/>
    <x v="73"/>
    <x v="57"/>
    <n v="1750"/>
    <n v="350"/>
    <n v="402.5"/>
    <x v="3"/>
  </r>
  <r>
    <d v="2022-02-01T00:00:00"/>
    <x v="8"/>
    <n v="5"/>
    <s v="MARTES"/>
    <x v="0"/>
    <x v="0"/>
    <n v="480"/>
    <n v="48"/>
    <n v="192"/>
    <x v="3"/>
  </r>
  <r>
    <d v="2022-02-01T00:00:00"/>
    <x v="8"/>
    <n v="5"/>
    <s v="MARTES"/>
    <x v="24"/>
    <x v="24"/>
    <n v="2000"/>
    <n v="420"/>
    <n v="840"/>
    <x v="3"/>
  </r>
  <r>
    <d v="2022-02-01T00:00:00"/>
    <x v="8"/>
    <n v="5"/>
    <s v="MARTES"/>
    <x v="39"/>
    <x v="39"/>
    <n v="2000"/>
    <n v="420"/>
    <n v="840"/>
    <x v="3"/>
  </r>
  <r>
    <d v="2022-02-01T00:00:00"/>
    <x v="8"/>
    <n v="5"/>
    <s v="MARTES"/>
    <x v="2"/>
    <x v="2"/>
    <n v="1080"/>
    <n v="198"/>
    <n v="183.60000000000002"/>
    <x v="3"/>
  </r>
  <r>
    <d v="2022-02-01T00:00:00"/>
    <x v="8"/>
    <n v="5"/>
    <s v="MARTES"/>
    <x v="17"/>
    <x v="17"/>
    <n v="2400"/>
    <n v="120"/>
    <n v="408.00000000000006"/>
    <x v="3"/>
  </r>
  <r>
    <d v="2022-02-01T00:00:00"/>
    <x v="8"/>
    <n v="5"/>
    <s v="MARTES"/>
    <x v="7"/>
    <x v="7"/>
    <n v="864"/>
    <n v="198"/>
    <n v="146.88000000000002"/>
    <x v="3"/>
  </r>
  <r>
    <d v="2022-02-01T00:00:00"/>
    <x v="8"/>
    <n v="5"/>
    <s v="MARTES"/>
    <x v="8"/>
    <x v="8"/>
    <n v="216"/>
    <n v="198"/>
    <n v="36.720000000000006"/>
    <x v="3"/>
  </r>
  <r>
    <d v="2022-02-01T00:00:00"/>
    <x v="8"/>
    <n v="5"/>
    <s v="MARTES"/>
    <x v="9"/>
    <x v="9"/>
    <n v="1170"/>
    <n v="90"/>
    <n v="198.9"/>
    <x v="3"/>
  </r>
  <r>
    <d v="2022-02-01T00:00:00"/>
    <x v="8"/>
    <n v="5"/>
    <s v="MARTES"/>
    <x v="23"/>
    <x v="23"/>
    <n v="360"/>
    <n v="90"/>
    <n v="61.2"/>
    <x v="3"/>
  </r>
  <r>
    <d v="2022-02-01T00:00:00"/>
    <x v="8"/>
    <n v="5"/>
    <s v="MARTES"/>
    <x v="11"/>
    <x v="11"/>
    <n v="3060"/>
    <n v="90"/>
    <n v="520.20000000000005"/>
    <x v="3"/>
  </r>
  <r>
    <d v="2022-02-01T00:00:00"/>
    <x v="8"/>
    <n v="5"/>
    <s v="MARTES"/>
    <x v="20"/>
    <x v="20"/>
    <n v="180"/>
    <n v="90"/>
    <n v="30.6"/>
    <x v="3"/>
  </r>
  <r>
    <d v="2022-02-01T00:00:00"/>
    <x v="8"/>
    <n v="5"/>
    <s v="MARTES"/>
    <x v="25"/>
    <x v="25"/>
    <n v="2250"/>
    <n v="225"/>
    <n v="945"/>
    <x v="3"/>
  </r>
  <r>
    <d v="2022-02-01T00:00:00"/>
    <x v="8"/>
    <n v="5"/>
    <s v="MARTES"/>
    <x v="12"/>
    <x v="12"/>
    <n v="1350"/>
    <n v="225"/>
    <n v="540"/>
    <x v="3"/>
  </r>
  <r>
    <d v="2022-02-01T00:00:00"/>
    <x v="8"/>
    <n v="5"/>
    <s v="MARTES"/>
    <x v="19"/>
    <x v="19"/>
    <n v="675"/>
    <n v="225"/>
    <n v="270"/>
    <x v="3"/>
  </r>
  <r>
    <d v="2022-02-01T00:00:00"/>
    <x v="8"/>
    <n v="5"/>
    <s v="MARTES"/>
    <x v="42"/>
    <x v="42"/>
    <n v="250"/>
    <n v="420"/>
    <n v="105"/>
    <x v="3"/>
  </r>
  <r>
    <d v="2022-02-01T00:00:00"/>
    <x v="8"/>
    <n v="5"/>
    <s v="MARTES"/>
    <x v="36"/>
    <x v="36"/>
    <n v="540"/>
    <n v="90"/>
    <n v="216"/>
    <x v="3"/>
  </r>
  <r>
    <d v="2022-02-01T00:00:00"/>
    <x v="8"/>
    <n v="5"/>
    <s v="MARTES"/>
    <x v="16"/>
    <x v="16"/>
    <n v="1080"/>
    <n v="180"/>
    <n v="453.59999999999997"/>
    <x v="3"/>
  </r>
  <r>
    <d v="2022-02-01T00:00:00"/>
    <x v="8"/>
    <n v="5"/>
    <s v="MARTES"/>
    <x v="25"/>
    <x v="25"/>
    <n v="450"/>
    <n v="225"/>
    <n v="189"/>
    <x v="3"/>
  </r>
  <r>
    <d v="2022-02-01T00:00:00"/>
    <x v="8"/>
    <n v="5"/>
    <s v="MARTES"/>
    <x v="35"/>
    <x v="35"/>
    <n v="720"/>
    <n v="180"/>
    <n v="302.39999999999998"/>
    <x v="3"/>
  </r>
  <r>
    <d v="2022-02-01T00:00:00"/>
    <x v="8"/>
    <n v="5"/>
    <s v="MARTES"/>
    <x v="30"/>
    <x v="30"/>
    <n v="750"/>
    <n v="250"/>
    <n v="172.5"/>
    <x v="3"/>
  </r>
  <r>
    <d v="2022-02-02T00:00:00"/>
    <x v="8"/>
    <n v="5"/>
    <s v="MIÉRCOLES"/>
    <x v="28"/>
    <x v="28"/>
    <n v="150"/>
    <n v="30"/>
    <n v="34.5"/>
    <x v="3"/>
  </r>
  <r>
    <d v="2022-02-02T00:00:00"/>
    <x v="8"/>
    <n v="5"/>
    <s v="MIÉRCOLES"/>
    <x v="13"/>
    <x v="13"/>
    <n v="150"/>
    <n v="30"/>
    <n v="60"/>
    <x v="3"/>
  </r>
  <r>
    <d v="2022-02-02T00:00:00"/>
    <x v="8"/>
    <n v="5"/>
    <s v="MIÉRCOLES"/>
    <x v="15"/>
    <x v="15"/>
    <n v="200"/>
    <n v="50"/>
    <n v="80"/>
    <x v="3"/>
  </r>
  <r>
    <d v="2022-02-02T00:00:00"/>
    <x v="8"/>
    <n v="5"/>
    <s v="MIÉRCOLES"/>
    <x v="38"/>
    <x v="38"/>
    <n v="448"/>
    <n v="112"/>
    <n v="179.20000000000002"/>
    <x v="3"/>
  </r>
  <r>
    <d v="2022-02-02T00:00:00"/>
    <x v="8"/>
    <n v="5"/>
    <s v="MIÉRCOLES"/>
    <x v="0"/>
    <x v="0"/>
    <n v="2400"/>
    <n v="48"/>
    <n v="960"/>
    <x v="3"/>
  </r>
  <r>
    <d v="2022-02-02T00:00:00"/>
    <x v="8"/>
    <n v="5"/>
    <s v="MIÉRCOLES"/>
    <x v="24"/>
    <x v="24"/>
    <n v="2100"/>
    <n v="420"/>
    <n v="882"/>
    <x v="3"/>
  </r>
  <r>
    <d v="2022-02-02T00:00:00"/>
    <x v="8"/>
    <n v="5"/>
    <s v="MIÉRCOLES"/>
    <x v="32"/>
    <x v="32"/>
    <n v="840"/>
    <n v="420"/>
    <n v="352.8"/>
    <x v="3"/>
  </r>
  <r>
    <d v="2022-02-02T00:00:00"/>
    <x v="8"/>
    <n v="5"/>
    <s v="MIÉRCOLES"/>
    <x v="16"/>
    <x v="16"/>
    <n v="720"/>
    <n v="180"/>
    <n v="302.39999999999998"/>
    <x v="3"/>
  </r>
  <r>
    <d v="2022-02-02T00:00:00"/>
    <x v="8"/>
    <n v="5"/>
    <s v="MIÉRCOLES"/>
    <x v="25"/>
    <x v="25"/>
    <n v="1350"/>
    <n v="225"/>
    <n v="567"/>
    <x v="3"/>
  </r>
  <r>
    <d v="2022-02-02T00:00:00"/>
    <x v="8"/>
    <n v="5"/>
    <s v="MIÉRCOLES"/>
    <x v="19"/>
    <x v="19"/>
    <n v="450"/>
    <n v="225"/>
    <n v="180"/>
    <x v="3"/>
  </r>
  <r>
    <d v="2022-02-02T00:00:00"/>
    <x v="8"/>
    <n v="5"/>
    <s v="MIÉRCOLES"/>
    <x v="43"/>
    <x v="43"/>
    <n v="500"/>
    <n v="420"/>
    <n v="210"/>
    <x v="3"/>
  </r>
  <r>
    <d v="2022-02-02T00:00:00"/>
    <x v="8"/>
    <n v="5"/>
    <s v="MIÉRCOLES"/>
    <x v="69"/>
    <x v="53"/>
    <n v="420"/>
    <n v="60"/>
    <n v="289.79999999999995"/>
    <x v="3"/>
  </r>
  <r>
    <d v="2022-02-02T00:00:00"/>
    <x v="8"/>
    <n v="5"/>
    <s v="MIÉRCOLES"/>
    <x v="72"/>
    <x v="56"/>
    <n v="500"/>
    <n v="250"/>
    <n v="210"/>
    <x v="3"/>
  </r>
  <r>
    <d v="2022-02-02T00:00:00"/>
    <x v="8"/>
    <n v="5"/>
    <s v="MIÉRCOLES"/>
    <x v="36"/>
    <x v="36"/>
    <n v="720"/>
    <n v="90"/>
    <n v="288"/>
    <x v="3"/>
  </r>
  <r>
    <d v="2022-02-02T00:00:00"/>
    <x v="8"/>
    <n v="5"/>
    <s v="MIÉRCOLES"/>
    <x v="35"/>
    <x v="35"/>
    <n v="720"/>
    <n v="180"/>
    <n v="302.39999999999998"/>
    <x v="3"/>
  </r>
  <r>
    <d v="2022-02-02T00:00:00"/>
    <x v="8"/>
    <n v="5"/>
    <s v="MIÉRCOLES"/>
    <x v="30"/>
    <x v="30"/>
    <n v="500"/>
    <n v="250"/>
    <n v="115"/>
    <x v="3"/>
  </r>
  <r>
    <d v="2022-02-02T00:00:00"/>
    <x v="8"/>
    <n v="5"/>
    <s v="MIÉRCOLES"/>
    <x v="73"/>
    <x v="57"/>
    <n v="1750"/>
    <n v="350"/>
    <n v="402.5"/>
    <x v="3"/>
  </r>
  <r>
    <d v="2022-02-02T00:00:00"/>
    <x v="8"/>
    <n v="5"/>
    <s v="MIÉRCOLES"/>
    <x v="66"/>
    <x v="50"/>
    <n v="800"/>
    <n v="200"/>
    <n v="336"/>
    <x v="3"/>
  </r>
  <r>
    <d v="2022-02-02T00:00:00"/>
    <x v="8"/>
    <n v="5"/>
    <s v="MIÉRCOLES"/>
    <x v="71"/>
    <x v="55"/>
    <n v="180"/>
    <n v="60"/>
    <n v="124.19999999999999"/>
    <x v="3"/>
  </r>
  <r>
    <d v="2022-02-02T00:00:00"/>
    <x v="8"/>
    <n v="5"/>
    <s v="MIÉRCOLES"/>
    <x v="69"/>
    <x v="53"/>
    <n v="60"/>
    <n v="60"/>
    <n v="41.4"/>
    <x v="3"/>
  </r>
  <r>
    <d v="2022-02-02T00:00:00"/>
    <x v="8"/>
    <n v="5"/>
    <s v="MIÉRCOLES"/>
    <x v="72"/>
    <x v="56"/>
    <n v="250"/>
    <n v="250"/>
    <n v="105"/>
    <x v="3"/>
  </r>
  <r>
    <d v="2022-02-02T00:00:00"/>
    <x v="8"/>
    <n v="5"/>
    <s v="MIÉRCOLES"/>
    <x v="67"/>
    <x v="51"/>
    <n v="360"/>
    <n v="180"/>
    <n v="151.19999999999999"/>
    <x v="3"/>
  </r>
  <r>
    <d v="2022-02-02T00:00:00"/>
    <x v="8"/>
    <n v="5"/>
    <s v="MIÉRCOLES"/>
    <x v="74"/>
    <x v="58"/>
    <n v="350"/>
    <n v="175"/>
    <n v="308"/>
    <x v="3"/>
  </r>
  <r>
    <d v="2022-02-01T00:00:00"/>
    <x v="8"/>
    <n v="5"/>
    <s v="MARTES"/>
    <x v="66"/>
    <x v="50"/>
    <n v="800"/>
    <n v="200"/>
    <n v="336"/>
    <x v="3"/>
  </r>
  <r>
    <d v="2022-02-01T00:00:00"/>
    <x v="8"/>
    <n v="5"/>
    <s v="MARTES"/>
    <x v="71"/>
    <x v="55"/>
    <n v="180"/>
    <n v="60"/>
    <n v="124.19999999999999"/>
    <x v="3"/>
  </r>
  <r>
    <d v="2022-02-01T00:00:00"/>
    <x v="8"/>
    <n v="5"/>
    <s v="MARTES"/>
    <x v="69"/>
    <x v="53"/>
    <n v="480"/>
    <n v="60"/>
    <n v="331.2"/>
    <x v="3"/>
  </r>
  <r>
    <d v="2022-02-01T00:00:00"/>
    <x v="8"/>
    <n v="5"/>
    <s v="MARTES"/>
    <x v="72"/>
    <x v="56"/>
    <n v="750"/>
    <n v="250"/>
    <n v="315"/>
    <x v="3"/>
  </r>
  <r>
    <d v="2022-02-01T00:00:00"/>
    <x v="8"/>
    <n v="5"/>
    <s v="MARTES"/>
    <x v="67"/>
    <x v="51"/>
    <n v="360"/>
    <n v="180"/>
    <n v="151.19999999999999"/>
    <x v="3"/>
  </r>
  <r>
    <d v="2022-02-01T00:00:00"/>
    <x v="8"/>
    <n v="5"/>
    <s v="MARTES"/>
    <x v="74"/>
    <x v="58"/>
    <n v="350"/>
    <n v="175"/>
    <n v="308"/>
    <x v="3"/>
  </r>
  <r>
    <d v="2022-02-02T00:00:00"/>
    <x v="8"/>
    <n v="5"/>
    <s v="MIÉRCOLES"/>
    <x v="71"/>
    <x v="55"/>
    <n v="60"/>
    <n v="60"/>
    <n v="41.4"/>
    <x v="3"/>
  </r>
  <r>
    <d v="2022-02-03T00:00:00"/>
    <x v="8"/>
    <n v="5"/>
    <s v="JUEVES"/>
    <x v="28"/>
    <x v="28"/>
    <n v="120"/>
    <n v="30"/>
    <n v="27.6"/>
    <x v="3"/>
  </r>
  <r>
    <d v="2022-02-03T00:00:00"/>
    <x v="8"/>
    <n v="5"/>
    <s v="JUEVES"/>
    <x v="33"/>
    <x v="33"/>
    <n v="150"/>
    <n v="40"/>
    <n v="34.5"/>
    <x v="3"/>
  </r>
  <r>
    <d v="2022-02-03T00:00:00"/>
    <x v="8"/>
    <n v="5"/>
    <s v="JUEVES"/>
    <x v="15"/>
    <x v="15"/>
    <n v="300"/>
    <n v="50"/>
    <n v="120"/>
    <x v="3"/>
  </r>
  <r>
    <d v="2022-02-03T00:00:00"/>
    <x v="8"/>
    <n v="5"/>
    <s v="JUEVES"/>
    <x v="40"/>
    <x v="40"/>
    <n v="224"/>
    <n v="240"/>
    <n v="89.600000000000009"/>
    <x v="3"/>
  </r>
  <r>
    <d v="2022-02-03T00:00:00"/>
    <x v="8"/>
    <n v="5"/>
    <s v="JUEVES"/>
    <x v="38"/>
    <x v="38"/>
    <n v="448"/>
    <n v="112"/>
    <n v="179.20000000000002"/>
    <x v="3"/>
  </r>
  <r>
    <d v="2022-02-03T00:00:00"/>
    <x v="8"/>
    <n v="5"/>
    <s v="JUEVES"/>
    <x v="0"/>
    <x v="0"/>
    <n v="2400"/>
    <n v="48"/>
    <n v="960"/>
    <x v="3"/>
  </r>
  <r>
    <d v="2022-02-03T00:00:00"/>
    <x v="8"/>
    <n v="5"/>
    <s v="JUEVES"/>
    <x v="24"/>
    <x v="24"/>
    <n v="2100"/>
    <n v="420"/>
    <n v="882"/>
    <x v="3"/>
  </r>
  <r>
    <d v="2022-02-03T00:00:00"/>
    <x v="8"/>
    <n v="5"/>
    <s v="JUEVES"/>
    <x v="25"/>
    <x v="25"/>
    <n v="900"/>
    <n v="225"/>
    <n v="378"/>
    <x v="3"/>
  </r>
  <r>
    <d v="2022-02-03T00:00:00"/>
    <x v="8"/>
    <n v="5"/>
    <s v="JUEVES"/>
    <x v="19"/>
    <x v="19"/>
    <n v="675"/>
    <n v="225"/>
    <n v="270"/>
    <x v="3"/>
  </r>
  <r>
    <d v="2022-02-03T00:00:00"/>
    <x v="8"/>
    <n v="5"/>
    <s v="JUEVES"/>
    <x v="42"/>
    <x v="42"/>
    <n v="500"/>
    <n v="420"/>
    <n v="210"/>
    <x v="3"/>
  </r>
  <r>
    <d v="2022-02-03T00:00:00"/>
    <x v="8"/>
    <n v="5"/>
    <s v="JUEVES"/>
    <x v="63"/>
    <x v="47"/>
    <n v="5250"/>
    <n v="350"/>
    <n v="1207.5"/>
    <x v="3"/>
  </r>
  <r>
    <d v="2022-02-03T00:00:00"/>
    <x v="8"/>
    <n v="5"/>
    <s v="JUEVES"/>
    <x v="75"/>
    <x v="59"/>
    <n v="900"/>
    <n v="225"/>
    <n v="378"/>
    <x v="3"/>
  </r>
  <r>
    <d v="2022-02-03T00:00:00"/>
    <x v="8"/>
    <n v="5"/>
    <s v="JUEVES"/>
    <x v="74"/>
    <x v="58"/>
    <n v="175"/>
    <n v="175"/>
    <n v="154"/>
    <x v="3"/>
  </r>
  <r>
    <d v="2022-02-03T00:00:00"/>
    <x v="8"/>
    <n v="5"/>
    <s v="JUEVES"/>
    <x v="36"/>
    <x v="36"/>
    <n v="540"/>
    <n v="90"/>
    <n v="216"/>
    <x v="3"/>
  </r>
  <r>
    <d v="2022-02-03T00:00:00"/>
    <x v="8"/>
    <n v="5"/>
    <s v="JUEVES"/>
    <x v="35"/>
    <x v="35"/>
    <n v="720"/>
    <n v="180"/>
    <n v="302.39999999999998"/>
    <x v="3"/>
  </r>
  <r>
    <d v="2022-02-03T00:00:00"/>
    <x v="8"/>
    <n v="5"/>
    <s v="JUEVES"/>
    <x v="76"/>
    <x v="60"/>
    <n v="360"/>
    <n v="180"/>
    <n v="151.19999999999999"/>
    <x v="3"/>
  </r>
  <r>
    <d v="2022-02-03T00:00:00"/>
    <x v="8"/>
    <n v="5"/>
    <s v="JUEVES"/>
    <x v="70"/>
    <x v="54"/>
    <n v="360"/>
    <n v="180"/>
    <n v="151.19999999999999"/>
    <x v="3"/>
  </r>
  <r>
    <d v="2022-02-03T00:00:00"/>
    <x v="8"/>
    <n v="5"/>
    <s v="JUEVES"/>
    <x v="74"/>
    <x v="58"/>
    <n v="175"/>
    <n v="175"/>
    <n v="154"/>
    <x v="3"/>
  </r>
  <r>
    <d v="2022-02-03T00:00:00"/>
    <x v="8"/>
    <n v="5"/>
    <s v="JUEVES"/>
    <x v="77"/>
    <x v="61"/>
    <n v="500"/>
    <n v="125"/>
    <n v="355"/>
    <x v="3"/>
  </r>
  <r>
    <d v="2022-02-05T00:00:00"/>
    <x v="8"/>
    <n v="6"/>
    <s v="SÁBADO"/>
    <x v="19"/>
    <x v="19"/>
    <n v="225"/>
    <n v="225"/>
    <n v="90"/>
    <x v="3"/>
  </r>
  <r>
    <d v="2022-02-05T00:00:00"/>
    <x v="8"/>
    <n v="6"/>
    <s v="SÁBADO"/>
    <x v="33"/>
    <x v="33"/>
    <n v="80"/>
    <n v="40"/>
    <n v="18.400000000000002"/>
    <x v="3"/>
  </r>
  <r>
    <d v="2022-02-05T00:00:00"/>
    <x v="8"/>
    <n v="6"/>
    <s v="SÁBADO"/>
    <x v="13"/>
    <x v="13"/>
    <n v="120"/>
    <n v="30"/>
    <n v="48"/>
    <x v="3"/>
  </r>
  <r>
    <d v="2022-02-05T00:00:00"/>
    <x v="8"/>
    <n v="6"/>
    <s v="SÁBADO"/>
    <x v="36"/>
    <x v="36"/>
    <n v="1440"/>
    <n v="90"/>
    <n v="576"/>
    <x v="3"/>
  </r>
  <r>
    <d v="2022-02-05T00:00:00"/>
    <x v="8"/>
    <n v="6"/>
    <s v="SÁBADO"/>
    <x v="38"/>
    <x v="38"/>
    <n v="224"/>
    <n v="112"/>
    <n v="89.600000000000009"/>
    <x v="3"/>
  </r>
  <r>
    <d v="2022-02-05T00:00:00"/>
    <x v="8"/>
    <n v="6"/>
    <s v="SÁBADO"/>
    <x v="0"/>
    <x v="0"/>
    <n v="1584"/>
    <n v="48"/>
    <n v="633.6"/>
    <x v="3"/>
  </r>
  <r>
    <d v="2022-02-05T00:00:00"/>
    <x v="8"/>
    <n v="6"/>
    <s v="SÁBADO"/>
    <x v="24"/>
    <x v="24"/>
    <n v="4200"/>
    <n v="420"/>
    <n v="1764"/>
    <x v="3"/>
  </r>
  <r>
    <d v="2022-02-05T00:00:00"/>
    <x v="8"/>
    <n v="6"/>
    <s v="SÁBADO"/>
    <x v="39"/>
    <x v="39"/>
    <n v="1260"/>
    <n v="420"/>
    <n v="529.19999999999993"/>
    <x v="3"/>
  </r>
  <r>
    <d v="2022-02-05T00:00:00"/>
    <x v="8"/>
    <n v="6"/>
    <s v="SÁBADO"/>
    <x v="34"/>
    <x v="34"/>
    <n v="216"/>
    <n v="198"/>
    <n v="36.720000000000006"/>
    <x v="3"/>
  </r>
  <r>
    <d v="2022-02-05T00:00:00"/>
    <x v="8"/>
    <n v="6"/>
    <s v="SÁBADO"/>
    <x v="22"/>
    <x v="22"/>
    <n v="792"/>
    <n v="198"/>
    <n v="134.64000000000001"/>
    <x v="3"/>
  </r>
  <r>
    <d v="2022-02-05T00:00:00"/>
    <x v="8"/>
    <n v="6"/>
    <s v="SÁBADO"/>
    <x v="3"/>
    <x v="3"/>
    <n v="1188"/>
    <n v="198"/>
    <n v="201.96"/>
    <x v="3"/>
  </r>
  <r>
    <d v="2022-02-05T00:00:00"/>
    <x v="8"/>
    <n v="6"/>
    <s v="SÁBADO"/>
    <x v="6"/>
    <x v="6"/>
    <n v="3120"/>
    <n v="120"/>
    <n v="530.40000000000009"/>
    <x v="3"/>
  </r>
  <r>
    <d v="2022-02-05T00:00:00"/>
    <x v="8"/>
    <n v="6"/>
    <s v="SÁBADO"/>
    <x v="9"/>
    <x v="9"/>
    <n v="1440"/>
    <n v="90"/>
    <n v="244.8"/>
    <x v="3"/>
  </r>
  <r>
    <d v="2022-02-05T00:00:00"/>
    <x v="8"/>
    <n v="6"/>
    <s v="SÁBADO"/>
    <x v="20"/>
    <x v="20"/>
    <n v="450"/>
    <n v="90"/>
    <n v="76.5"/>
    <x v="3"/>
  </r>
  <r>
    <d v="2022-02-05T00:00:00"/>
    <x v="8"/>
    <n v="6"/>
    <s v="SÁBADO"/>
    <x v="25"/>
    <x v="25"/>
    <n v="900"/>
    <n v="225"/>
    <n v="378"/>
    <x v="3"/>
  </r>
  <r>
    <d v="2022-02-05T00:00:00"/>
    <x v="8"/>
    <n v="6"/>
    <s v="SÁBADO"/>
    <x v="12"/>
    <x v="12"/>
    <n v="450"/>
    <n v="225"/>
    <n v="180"/>
    <x v="3"/>
  </r>
  <r>
    <d v="2022-02-04T00:00:00"/>
    <x v="8"/>
    <n v="5"/>
    <s v="VIERNES"/>
    <x v="23"/>
    <x v="23"/>
    <n v="900"/>
    <n v="90"/>
    <n v="153"/>
    <x v="3"/>
  </r>
  <r>
    <d v="2022-02-04T00:00:00"/>
    <x v="8"/>
    <n v="5"/>
    <s v="VIERNES"/>
    <x v="11"/>
    <x v="11"/>
    <n v="1800"/>
    <n v="90"/>
    <n v="306"/>
    <x v="3"/>
  </r>
  <r>
    <d v="2022-02-04T00:00:00"/>
    <x v="8"/>
    <n v="5"/>
    <s v="VIERNES"/>
    <x v="25"/>
    <x v="25"/>
    <n v="1350"/>
    <n v="225"/>
    <n v="567"/>
    <x v="3"/>
  </r>
  <r>
    <d v="2022-02-04T00:00:00"/>
    <x v="8"/>
    <n v="5"/>
    <s v="VIERNES"/>
    <x v="12"/>
    <x v="12"/>
    <n v="1125"/>
    <n v="225"/>
    <n v="450"/>
    <x v="3"/>
  </r>
  <r>
    <d v="2022-02-04T00:00:00"/>
    <x v="8"/>
    <n v="5"/>
    <s v="VIERNES"/>
    <x v="19"/>
    <x v="19"/>
    <n v="450"/>
    <n v="225"/>
    <n v="180"/>
    <x v="3"/>
  </r>
  <r>
    <d v="2022-02-04T00:00:00"/>
    <x v="8"/>
    <n v="5"/>
    <s v="VIERNES"/>
    <x v="42"/>
    <x v="42"/>
    <n v="750"/>
    <n v="420"/>
    <n v="315"/>
    <x v="3"/>
  </r>
  <r>
    <d v="2022-02-04T00:00:00"/>
    <x v="8"/>
    <n v="5"/>
    <s v="VIERNES"/>
    <x v="43"/>
    <x v="43"/>
    <n v="750"/>
    <n v="420"/>
    <n v="315"/>
    <x v="3"/>
  </r>
  <r>
    <d v="2022-02-04T00:00:00"/>
    <x v="8"/>
    <n v="5"/>
    <s v="VIERNES"/>
    <x v="28"/>
    <x v="28"/>
    <n v="180"/>
    <n v="30"/>
    <n v="41.4"/>
    <x v="3"/>
  </r>
  <r>
    <d v="2022-02-04T00:00:00"/>
    <x v="8"/>
    <n v="5"/>
    <s v="VIERNES"/>
    <x v="13"/>
    <x v="13"/>
    <n v="240"/>
    <n v="30"/>
    <n v="96"/>
    <x v="3"/>
  </r>
  <r>
    <d v="2022-02-04T00:00:00"/>
    <x v="8"/>
    <n v="5"/>
    <s v="VIERNES"/>
    <x v="36"/>
    <x v="36"/>
    <n v="900"/>
    <n v="90"/>
    <n v="360"/>
    <x v="3"/>
  </r>
  <r>
    <d v="2022-02-04T00:00:00"/>
    <x v="8"/>
    <n v="5"/>
    <s v="VIERNES"/>
    <x v="40"/>
    <x v="40"/>
    <n v="336"/>
    <n v="240"/>
    <n v="134.4"/>
    <x v="3"/>
  </r>
  <r>
    <d v="2022-02-04T00:00:00"/>
    <x v="8"/>
    <n v="5"/>
    <s v="VIERNES"/>
    <x v="38"/>
    <x v="38"/>
    <n v="336"/>
    <n v="112"/>
    <n v="134.4"/>
    <x v="3"/>
  </r>
  <r>
    <d v="2022-02-04T00:00:00"/>
    <x v="8"/>
    <n v="5"/>
    <s v="VIERNES"/>
    <x v="0"/>
    <x v="0"/>
    <n v="1920"/>
    <n v="48"/>
    <n v="768"/>
    <x v="3"/>
  </r>
  <r>
    <d v="2022-02-04T00:00:00"/>
    <x v="8"/>
    <n v="5"/>
    <s v="VIERNES"/>
    <x v="24"/>
    <x v="24"/>
    <n v="2100"/>
    <n v="420"/>
    <n v="882"/>
    <x v="3"/>
  </r>
  <r>
    <d v="2022-02-04T00:00:00"/>
    <x v="8"/>
    <n v="5"/>
    <s v="VIERNES"/>
    <x v="16"/>
    <x v="16"/>
    <n v="1080"/>
    <n v="180"/>
    <n v="453.59999999999997"/>
    <x v="3"/>
  </r>
  <r>
    <d v="2022-02-04T00:00:00"/>
    <x v="8"/>
    <n v="5"/>
    <s v="VIERNES"/>
    <x v="1"/>
    <x v="1"/>
    <n v="864"/>
    <n v="198"/>
    <n v="146.88000000000002"/>
    <x v="3"/>
  </r>
  <r>
    <d v="2022-02-04T00:00:00"/>
    <x v="8"/>
    <n v="5"/>
    <s v="VIERNES"/>
    <x v="4"/>
    <x v="4"/>
    <n v="648"/>
    <n v="162"/>
    <n v="110.16000000000001"/>
    <x v="3"/>
  </r>
  <r>
    <d v="2022-02-04T00:00:00"/>
    <x v="8"/>
    <n v="5"/>
    <s v="VIERNES"/>
    <x v="5"/>
    <x v="5"/>
    <n v="810"/>
    <n v="162"/>
    <n v="137.70000000000002"/>
    <x v="3"/>
  </r>
  <r>
    <d v="2022-02-04T00:00:00"/>
    <x v="8"/>
    <n v="5"/>
    <s v="VIERNES"/>
    <x v="17"/>
    <x v="17"/>
    <n v="2400"/>
    <n v="120"/>
    <n v="408.00000000000006"/>
    <x v="3"/>
  </r>
  <r>
    <d v="2022-02-04T00:00:00"/>
    <x v="8"/>
    <n v="5"/>
    <s v="VIERNES"/>
    <x v="7"/>
    <x v="7"/>
    <n v="1296"/>
    <n v="198"/>
    <n v="220.32000000000002"/>
    <x v="3"/>
  </r>
  <r>
    <d v="2022-02-04T00:00:00"/>
    <x v="8"/>
    <n v="5"/>
    <s v="VIERNES"/>
    <x v="9"/>
    <x v="9"/>
    <n v="900"/>
    <n v="90"/>
    <n v="153"/>
    <x v="3"/>
  </r>
  <r>
    <d v="2022-02-04T00:00:00"/>
    <x v="8"/>
    <n v="5"/>
    <s v="VIERNES"/>
    <x v="26"/>
    <x v="26"/>
    <n v="720"/>
    <n v="90"/>
    <n v="122.4"/>
    <x v="3"/>
  </r>
  <r>
    <d v="2022-02-07T00:00:00"/>
    <x v="8"/>
    <n v="6"/>
    <s v="LUNES"/>
    <x v="0"/>
    <x v="0"/>
    <n v="1440"/>
    <n v="48"/>
    <n v="576"/>
    <x v="3"/>
  </r>
  <r>
    <d v="2022-02-07T00:00:00"/>
    <x v="8"/>
    <n v="6"/>
    <s v="LUNES"/>
    <x v="12"/>
    <x v="12"/>
    <n v="225"/>
    <n v="225"/>
    <n v="90"/>
    <x v="3"/>
  </r>
  <r>
    <d v="2022-02-07T00:00:00"/>
    <x v="8"/>
    <n v="6"/>
    <s v="LUNES"/>
    <x v="10"/>
    <x v="10"/>
    <n v="3600"/>
    <n v="120"/>
    <n v="612"/>
    <x v="3"/>
  </r>
  <r>
    <d v="2022-02-07T00:00:00"/>
    <x v="8"/>
    <n v="6"/>
    <s v="LUNES"/>
    <x v="23"/>
    <x v="23"/>
    <n v="720"/>
    <n v="90"/>
    <n v="122.4"/>
    <x v="3"/>
  </r>
  <r>
    <d v="2022-02-07T00:00:00"/>
    <x v="8"/>
    <n v="6"/>
    <s v="LUNES"/>
    <x v="11"/>
    <x v="11"/>
    <n v="2160"/>
    <n v="90"/>
    <n v="367.20000000000005"/>
    <x v="3"/>
  </r>
  <r>
    <d v="2022-02-07T00:00:00"/>
    <x v="8"/>
    <n v="6"/>
    <s v="LUNES"/>
    <x v="46"/>
    <x v="46"/>
    <n v="250"/>
    <n v="250"/>
    <n v="105"/>
    <x v="3"/>
  </r>
  <r>
    <d v="2022-02-07T00:00:00"/>
    <x v="8"/>
    <n v="6"/>
    <s v="LUNES"/>
    <x v="42"/>
    <x v="42"/>
    <n v="750"/>
    <n v="420"/>
    <n v="315"/>
    <x v="3"/>
  </r>
  <r>
    <d v="2022-02-07T00:00:00"/>
    <x v="8"/>
    <n v="6"/>
    <s v="LUNES"/>
    <x v="43"/>
    <x v="43"/>
    <n v="750"/>
    <n v="420"/>
    <n v="315"/>
    <x v="3"/>
  </r>
  <r>
    <d v="2022-02-07T00:00:00"/>
    <x v="8"/>
    <n v="6"/>
    <s v="LUNES"/>
    <x v="28"/>
    <x v="28"/>
    <n v="120"/>
    <n v="30"/>
    <n v="27.6"/>
    <x v="3"/>
  </r>
  <r>
    <d v="2022-02-07T00:00:00"/>
    <x v="8"/>
    <n v="6"/>
    <s v="LUNES"/>
    <x v="33"/>
    <x v="33"/>
    <n v="160"/>
    <n v="40"/>
    <n v="36.800000000000004"/>
    <x v="3"/>
  </r>
  <r>
    <d v="2022-02-07T00:00:00"/>
    <x v="8"/>
    <n v="6"/>
    <s v="LUNES"/>
    <x v="13"/>
    <x v="13"/>
    <n v="120"/>
    <n v="30"/>
    <n v="48"/>
    <x v="3"/>
  </r>
  <r>
    <d v="2022-02-07T00:00:00"/>
    <x v="8"/>
    <n v="6"/>
    <s v="LUNES"/>
    <x v="15"/>
    <x v="15"/>
    <n v="200"/>
    <n v="50"/>
    <n v="80"/>
    <x v="3"/>
  </r>
  <r>
    <d v="2022-02-07T00:00:00"/>
    <x v="8"/>
    <n v="6"/>
    <s v="LUNES"/>
    <x v="36"/>
    <x v="36"/>
    <n v="450"/>
    <n v="90"/>
    <n v="180"/>
    <x v="3"/>
  </r>
  <r>
    <d v="2022-02-07T00:00:00"/>
    <x v="8"/>
    <n v="6"/>
    <s v="LUNES"/>
    <x v="38"/>
    <x v="38"/>
    <n v="336"/>
    <n v="112"/>
    <n v="134.4"/>
    <x v="3"/>
  </r>
  <r>
    <d v="2022-02-07T00:00:00"/>
    <x v="8"/>
    <n v="6"/>
    <s v="LUNES"/>
    <x v="24"/>
    <x v="24"/>
    <n v="4200"/>
    <n v="420"/>
    <n v="1764"/>
    <x v="3"/>
  </r>
  <r>
    <d v="2022-02-07T00:00:00"/>
    <x v="8"/>
    <n v="6"/>
    <s v="LUNES"/>
    <x v="16"/>
    <x v="16"/>
    <n v="900"/>
    <n v="180"/>
    <n v="378"/>
    <x v="3"/>
  </r>
  <r>
    <d v="2022-02-07T00:00:00"/>
    <x v="8"/>
    <n v="6"/>
    <s v="LUNES"/>
    <x v="1"/>
    <x v="1"/>
    <n v="3240"/>
    <n v="198"/>
    <n v="550.80000000000007"/>
    <x v="3"/>
  </r>
  <r>
    <d v="2022-02-07T00:00:00"/>
    <x v="8"/>
    <n v="6"/>
    <s v="LUNES"/>
    <x v="2"/>
    <x v="2"/>
    <n v="3240"/>
    <n v="198"/>
    <n v="550.80000000000007"/>
    <x v="3"/>
  </r>
  <r>
    <d v="2022-02-07T00:00:00"/>
    <x v="8"/>
    <n v="6"/>
    <s v="LUNES"/>
    <x v="5"/>
    <x v="5"/>
    <n v="810"/>
    <n v="162"/>
    <n v="137.70000000000002"/>
    <x v="3"/>
  </r>
  <r>
    <d v="2022-02-07T00:00:00"/>
    <x v="8"/>
    <n v="6"/>
    <s v="LUNES"/>
    <x v="6"/>
    <x v="6"/>
    <n v="3600"/>
    <n v="120"/>
    <n v="612"/>
    <x v="3"/>
  </r>
  <r>
    <d v="2022-02-07T00:00:00"/>
    <x v="8"/>
    <n v="6"/>
    <s v="LUNES"/>
    <x v="17"/>
    <x v="17"/>
    <n v="1800"/>
    <n v="120"/>
    <n v="306"/>
    <x v="3"/>
  </r>
  <r>
    <d v="2022-02-07T00:00:00"/>
    <x v="8"/>
    <n v="6"/>
    <s v="LUNES"/>
    <x v="7"/>
    <x v="7"/>
    <n v="2100"/>
    <n v="198"/>
    <n v="357"/>
    <x v="3"/>
  </r>
  <r>
    <d v="2022-02-07T00:00:00"/>
    <x v="8"/>
    <n v="6"/>
    <s v="LUNES"/>
    <x v="8"/>
    <x v="8"/>
    <n v="1050"/>
    <n v="198"/>
    <n v="178.5"/>
    <x v="3"/>
  </r>
  <r>
    <d v="2022-02-08T00:00:00"/>
    <x v="8"/>
    <n v="6"/>
    <s v="MARTES"/>
    <x v="78"/>
    <x v="62"/>
    <n v="3750"/>
    <n v="250"/>
    <n v="1575"/>
    <x v="3"/>
  </r>
  <r>
    <d v="2022-02-08T00:00:00"/>
    <x v="8"/>
    <n v="6"/>
    <s v="MARTES"/>
    <x v="0"/>
    <x v="0"/>
    <n v="2400"/>
    <n v="48"/>
    <n v="960"/>
    <x v="3"/>
  </r>
  <r>
    <d v="2022-02-08T00:00:00"/>
    <x v="8"/>
    <n v="6"/>
    <s v="MARTES"/>
    <x v="24"/>
    <x v="24"/>
    <n v="4200"/>
    <n v="420"/>
    <n v="1764"/>
    <x v="3"/>
  </r>
  <r>
    <d v="2022-02-08T00:00:00"/>
    <x v="8"/>
    <n v="6"/>
    <s v="MARTES"/>
    <x v="39"/>
    <x v="39"/>
    <n v="2100"/>
    <n v="420"/>
    <n v="882"/>
    <x v="3"/>
  </r>
  <r>
    <d v="2022-02-08T00:00:00"/>
    <x v="8"/>
    <n v="6"/>
    <s v="MARTES"/>
    <x v="1"/>
    <x v="1"/>
    <n v="3240"/>
    <n v="198"/>
    <n v="550.80000000000007"/>
    <x v="3"/>
  </r>
  <r>
    <d v="2022-02-08T00:00:00"/>
    <x v="8"/>
    <n v="6"/>
    <s v="MARTES"/>
    <x v="34"/>
    <x v="34"/>
    <n v="216"/>
    <n v="198"/>
    <n v="36.720000000000006"/>
    <x v="3"/>
  </r>
  <r>
    <d v="2022-02-08T00:00:00"/>
    <x v="8"/>
    <n v="6"/>
    <s v="MARTES"/>
    <x v="9"/>
    <x v="9"/>
    <n v="1440"/>
    <n v="90"/>
    <n v="244.8"/>
    <x v="3"/>
  </r>
  <r>
    <d v="2022-02-08T00:00:00"/>
    <x v="8"/>
    <n v="6"/>
    <s v="MARTES"/>
    <x v="10"/>
    <x v="10"/>
    <n v="3600"/>
    <n v="120"/>
    <n v="612"/>
    <x v="3"/>
  </r>
  <r>
    <d v="2022-02-08T00:00:00"/>
    <x v="8"/>
    <n v="6"/>
    <s v="MARTES"/>
    <x v="11"/>
    <x v="11"/>
    <n v="1440"/>
    <n v="90"/>
    <n v="244.8"/>
    <x v="3"/>
  </r>
  <r>
    <d v="2022-02-08T00:00:00"/>
    <x v="8"/>
    <n v="6"/>
    <s v="MARTES"/>
    <x v="25"/>
    <x v="25"/>
    <n v="1350"/>
    <n v="225"/>
    <n v="567"/>
    <x v="3"/>
  </r>
  <r>
    <d v="2022-02-08T00:00:00"/>
    <x v="8"/>
    <n v="6"/>
    <s v="MARTES"/>
    <x v="19"/>
    <x v="19"/>
    <n v="450"/>
    <n v="225"/>
    <n v="180"/>
    <x v="3"/>
  </r>
  <r>
    <d v="2022-02-08T00:00:00"/>
    <x v="8"/>
    <n v="6"/>
    <s v="MARTES"/>
    <x v="68"/>
    <x v="52"/>
    <n v="1250"/>
    <n v="250"/>
    <n v="525"/>
    <x v="3"/>
  </r>
  <r>
    <d v="2022-02-09T00:00:00"/>
    <x v="8"/>
    <n v="6"/>
    <s v="MIÉRCOLES"/>
    <x v="77"/>
    <x v="61"/>
    <n v="125"/>
    <n v="125"/>
    <n v="88.75"/>
    <x v="3"/>
  </r>
  <r>
    <d v="2022-02-09T00:00:00"/>
    <x v="8"/>
    <n v="6"/>
    <s v="MIÉRCOLES"/>
    <x v="37"/>
    <x v="37"/>
    <n v="1250"/>
    <n v="225"/>
    <n v="525"/>
    <x v="3"/>
  </r>
  <r>
    <d v="2022-02-09T00:00:00"/>
    <x v="8"/>
    <n v="6"/>
    <s v="MIÉRCOLES"/>
    <x v="28"/>
    <x v="28"/>
    <n v="150"/>
    <n v="30"/>
    <n v="34.5"/>
    <x v="3"/>
  </r>
  <r>
    <d v="2022-02-09T00:00:00"/>
    <x v="8"/>
    <n v="6"/>
    <s v="MIÉRCOLES"/>
    <x v="13"/>
    <x v="13"/>
    <n v="150"/>
    <n v="30"/>
    <n v="60"/>
    <x v="3"/>
  </r>
  <r>
    <d v="2022-02-09T00:00:00"/>
    <x v="8"/>
    <n v="6"/>
    <s v="MIÉRCOLES"/>
    <x v="15"/>
    <x v="15"/>
    <n v="350"/>
    <n v="50"/>
    <n v="140"/>
    <x v="3"/>
  </r>
  <r>
    <d v="2022-02-09T00:00:00"/>
    <x v="8"/>
    <n v="6"/>
    <s v="MIÉRCOLES"/>
    <x v="39"/>
    <x v="39"/>
    <n v="3360"/>
    <n v="420"/>
    <n v="1411.2"/>
    <x v="3"/>
  </r>
  <r>
    <d v="2022-02-09T00:00:00"/>
    <x v="8"/>
    <n v="6"/>
    <s v="MIÉRCOLES"/>
    <x v="16"/>
    <x v="16"/>
    <n v="900"/>
    <n v="180"/>
    <n v="378"/>
    <x v="3"/>
  </r>
  <r>
    <d v="2022-02-09T00:00:00"/>
    <x v="8"/>
    <n v="6"/>
    <s v="MIÉRCOLES"/>
    <x v="1"/>
    <x v="1"/>
    <n v="2160"/>
    <n v="198"/>
    <n v="367.20000000000005"/>
    <x v="3"/>
  </r>
  <r>
    <d v="2022-02-09T00:00:00"/>
    <x v="8"/>
    <n v="6"/>
    <s v="MIÉRCOLES"/>
    <x v="2"/>
    <x v="2"/>
    <n v="2160"/>
    <n v="198"/>
    <n v="367.20000000000005"/>
    <x v="3"/>
  </r>
  <r>
    <d v="2022-02-09T00:00:00"/>
    <x v="8"/>
    <n v="6"/>
    <s v="MIÉRCOLES"/>
    <x v="29"/>
    <x v="29"/>
    <n v="216"/>
    <n v="198"/>
    <n v="36.720000000000006"/>
    <x v="3"/>
  </r>
  <r>
    <d v="2022-02-09T00:00:00"/>
    <x v="8"/>
    <n v="6"/>
    <s v="MIÉRCOLES"/>
    <x v="22"/>
    <x v="22"/>
    <n v="1386"/>
    <n v="198"/>
    <n v="235.62"/>
    <x v="3"/>
  </r>
  <r>
    <d v="2022-02-09T00:00:00"/>
    <x v="8"/>
    <n v="6"/>
    <s v="MIÉRCOLES"/>
    <x v="6"/>
    <x v="6"/>
    <n v="3600"/>
    <n v="120"/>
    <n v="612"/>
    <x v="3"/>
  </r>
  <r>
    <d v="2022-02-09T00:00:00"/>
    <x v="8"/>
    <n v="6"/>
    <s v="MIÉRCOLES"/>
    <x v="17"/>
    <x v="17"/>
    <n v="1800"/>
    <n v="120"/>
    <n v="306"/>
    <x v="3"/>
  </r>
  <r>
    <d v="2022-02-09T00:00:00"/>
    <x v="8"/>
    <n v="6"/>
    <s v="MIÉRCOLES"/>
    <x v="7"/>
    <x v="7"/>
    <n v="3240"/>
    <n v="198"/>
    <n v="550.80000000000007"/>
    <x v="3"/>
  </r>
  <r>
    <d v="2022-02-09T00:00:00"/>
    <x v="8"/>
    <n v="6"/>
    <s v="MIÉRCOLES"/>
    <x v="8"/>
    <x v="8"/>
    <n v="2160"/>
    <n v="198"/>
    <n v="367.20000000000005"/>
    <x v="3"/>
  </r>
  <r>
    <d v="2022-02-09T00:00:00"/>
    <x v="8"/>
    <n v="6"/>
    <s v="MIÉRCOLES"/>
    <x v="10"/>
    <x v="10"/>
    <n v="6000"/>
    <n v="120"/>
    <n v="1020.0000000000001"/>
    <x v="3"/>
  </r>
  <r>
    <d v="2022-02-09T00:00:00"/>
    <x v="8"/>
    <n v="6"/>
    <s v="MIÉRCOLES"/>
    <x v="11"/>
    <x v="11"/>
    <n v="2160"/>
    <n v="90"/>
    <n v="367.20000000000005"/>
    <x v="3"/>
  </r>
  <r>
    <d v="2022-02-09T00:00:00"/>
    <x v="8"/>
    <n v="6"/>
    <s v="MIÉRCOLES"/>
    <x v="25"/>
    <x v="25"/>
    <n v="1350"/>
    <n v="225"/>
    <n v="567"/>
    <x v="3"/>
  </r>
  <r>
    <d v="2022-02-09T00:00:00"/>
    <x v="8"/>
    <n v="6"/>
    <s v="MIÉRCOLES"/>
    <x v="19"/>
    <x v="19"/>
    <n v="450"/>
    <n v="225"/>
    <n v="180"/>
    <x v="3"/>
  </r>
  <r>
    <d v="2022-02-09T00:00:00"/>
    <x v="8"/>
    <n v="6"/>
    <s v="MIÉRCOLES"/>
    <x v="37"/>
    <x v="37"/>
    <n v="1250"/>
    <n v="225"/>
    <n v="525"/>
    <x v="3"/>
  </r>
  <r>
    <d v="2022-02-09T00:00:00"/>
    <x v="8"/>
    <n v="6"/>
    <s v="MIÉRCOLES"/>
    <x v="42"/>
    <x v="42"/>
    <n v="500"/>
    <n v="420"/>
    <n v="210"/>
    <x v="3"/>
  </r>
  <r>
    <d v="2022-02-09T00:00:00"/>
    <x v="8"/>
    <n v="6"/>
    <s v="MIÉRCOLES"/>
    <x v="43"/>
    <x v="43"/>
    <n v="750"/>
    <n v="420"/>
    <n v="315"/>
    <x v="3"/>
  </r>
  <r>
    <d v="2022-02-09T00:00:00"/>
    <x v="8"/>
    <n v="6"/>
    <s v="MIÉRCOLES"/>
    <x v="77"/>
    <x v="61"/>
    <n v="500"/>
    <n v="125"/>
    <n v="355"/>
    <x v="3"/>
  </r>
  <r>
    <d v="2022-02-10T00:00:00"/>
    <x v="8"/>
    <n v="6"/>
    <s v="JUEVES"/>
    <x v="12"/>
    <x v="12"/>
    <n v="1125"/>
    <n v="225"/>
    <n v="450"/>
    <x v="3"/>
  </r>
  <r>
    <d v="2022-02-10T00:00:00"/>
    <x v="8"/>
    <n v="6"/>
    <s v="JUEVES"/>
    <x v="37"/>
    <x v="37"/>
    <n v="1250"/>
    <n v="225"/>
    <n v="525"/>
    <x v="3"/>
  </r>
  <r>
    <d v="2022-02-10T00:00:00"/>
    <x v="8"/>
    <n v="6"/>
    <s v="JUEVES"/>
    <x v="42"/>
    <x v="42"/>
    <n v="500"/>
    <n v="420"/>
    <n v="210"/>
    <x v="3"/>
  </r>
  <r>
    <d v="2022-02-10T00:00:00"/>
    <x v="8"/>
    <n v="6"/>
    <s v="JUEVES"/>
    <x v="43"/>
    <x v="43"/>
    <n v="1000"/>
    <n v="420"/>
    <n v="420"/>
    <x v="3"/>
  </r>
  <r>
    <d v="2022-02-10T00:00:00"/>
    <x v="8"/>
    <n v="6"/>
    <s v="JUEVES"/>
    <x v="77"/>
    <x v="61"/>
    <n v="750"/>
    <n v="125"/>
    <n v="532.5"/>
    <x v="3"/>
  </r>
  <r>
    <d v="2022-02-10T00:00:00"/>
    <x v="8"/>
    <n v="6"/>
    <s v="JUEVES"/>
    <x v="15"/>
    <x v="15"/>
    <n v="250"/>
    <n v="50"/>
    <n v="100"/>
    <x v="3"/>
  </r>
  <r>
    <d v="2022-02-10T00:00:00"/>
    <x v="8"/>
    <n v="6"/>
    <s v="JUEVES"/>
    <x v="40"/>
    <x v="40"/>
    <n v="112"/>
    <n v="240"/>
    <n v="44.800000000000004"/>
    <x v="3"/>
  </r>
  <r>
    <d v="2022-02-10T00:00:00"/>
    <x v="8"/>
    <n v="6"/>
    <s v="JUEVES"/>
    <x v="0"/>
    <x v="0"/>
    <n v="960"/>
    <n v="48"/>
    <n v="384"/>
    <x v="3"/>
  </r>
  <r>
    <d v="2022-02-10T00:00:00"/>
    <x v="8"/>
    <n v="6"/>
    <s v="JUEVES"/>
    <x v="24"/>
    <x v="24"/>
    <n v="2100"/>
    <n v="420"/>
    <n v="882"/>
    <x v="3"/>
  </r>
  <r>
    <d v="2022-02-10T00:00:00"/>
    <x v="8"/>
    <n v="6"/>
    <s v="JUEVES"/>
    <x v="16"/>
    <x v="16"/>
    <n v="900"/>
    <n v="180"/>
    <n v="378"/>
    <x v="3"/>
  </r>
  <r>
    <d v="2022-02-10T00:00:00"/>
    <x v="8"/>
    <n v="6"/>
    <s v="JUEVES"/>
    <x v="29"/>
    <x v="29"/>
    <n v="216"/>
    <n v="198"/>
    <n v="36.720000000000006"/>
    <x v="3"/>
  </r>
  <r>
    <d v="2022-02-10T00:00:00"/>
    <x v="8"/>
    <n v="6"/>
    <s v="JUEVES"/>
    <x v="3"/>
    <x v="3"/>
    <n v="990"/>
    <n v="198"/>
    <n v="168.3"/>
    <x v="3"/>
  </r>
  <r>
    <d v="2022-02-10T00:00:00"/>
    <x v="8"/>
    <n v="6"/>
    <s v="JUEVES"/>
    <x v="4"/>
    <x v="4"/>
    <n v="648"/>
    <n v="162"/>
    <n v="110.16000000000001"/>
    <x v="3"/>
  </r>
  <r>
    <d v="2022-02-10T00:00:00"/>
    <x v="8"/>
    <n v="6"/>
    <s v="JUEVES"/>
    <x v="6"/>
    <x v="6"/>
    <n v="3600"/>
    <n v="120"/>
    <n v="612"/>
    <x v="3"/>
  </r>
  <r>
    <d v="2022-02-10T00:00:00"/>
    <x v="8"/>
    <n v="6"/>
    <s v="JUEVES"/>
    <x v="17"/>
    <x v="17"/>
    <n v="2400"/>
    <n v="120"/>
    <n v="408.00000000000006"/>
    <x v="3"/>
  </r>
  <r>
    <d v="2022-02-10T00:00:00"/>
    <x v="8"/>
    <n v="6"/>
    <s v="JUEVES"/>
    <x v="9"/>
    <x v="9"/>
    <n v="900"/>
    <n v="90"/>
    <n v="153"/>
    <x v="3"/>
  </r>
  <r>
    <d v="2022-02-10T00:00:00"/>
    <x v="8"/>
    <n v="6"/>
    <s v="JUEVES"/>
    <x v="10"/>
    <x v="10"/>
    <n v="6000"/>
    <n v="120"/>
    <n v="1020.0000000000001"/>
    <x v="3"/>
  </r>
  <r>
    <d v="2022-02-10T00:00:00"/>
    <x v="8"/>
    <n v="6"/>
    <s v="JUEVES"/>
    <x v="23"/>
    <x v="23"/>
    <n v="900"/>
    <n v="90"/>
    <n v="153"/>
    <x v="3"/>
  </r>
  <r>
    <d v="2022-02-10T00:00:00"/>
    <x v="8"/>
    <n v="6"/>
    <s v="JUEVES"/>
    <x v="20"/>
    <x v="20"/>
    <n v="720"/>
    <n v="90"/>
    <n v="122.4"/>
    <x v="3"/>
  </r>
  <r>
    <d v="2022-02-10T00:00:00"/>
    <x v="8"/>
    <n v="6"/>
    <s v="JUEVES"/>
    <x v="25"/>
    <x v="25"/>
    <n v="900"/>
    <n v="225"/>
    <n v="378"/>
    <x v="3"/>
  </r>
  <r>
    <d v="2022-02-11T00:00:00"/>
    <x v="8"/>
    <n v="6"/>
    <s v="VIERNES"/>
    <x v="33"/>
    <x v="33"/>
    <n v="40"/>
    <n v="40"/>
    <n v="9.2000000000000011"/>
    <x v="3"/>
  </r>
  <r>
    <d v="2022-02-11T00:00:00"/>
    <x v="8"/>
    <n v="6"/>
    <s v="VIERNES"/>
    <x v="38"/>
    <x v="38"/>
    <n v="336"/>
    <n v="112"/>
    <n v="134.4"/>
    <x v="3"/>
  </r>
  <r>
    <d v="2022-02-11T00:00:00"/>
    <x v="8"/>
    <n v="6"/>
    <s v="VIERNES"/>
    <x v="24"/>
    <x v="24"/>
    <n v="2100"/>
    <n v="420"/>
    <n v="882"/>
    <x v="3"/>
  </r>
  <r>
    <d v="2022-02-11T00:00:00"/>
    <x v="8"/>
    <n v="6"/>
    <s v="VIERNES"/>
    <x v="1"/>
    <x v="1"/>
    <n v="3240"/>
    <n v="198"/>
    <n v="550.80000000000007"/>
    <x v="3"/>
  </r>
  <r>
    <d v="2022-02-11T00:00:00"/>
    <x v="8"/>
    <n v="6"/>
    <s v="VIERNES"/>
    <x v="2"/>
    <x v="2"/>
    <n v="1512"/>
    <n v="198"/>
    <n v="257.04000000000002"/>
    <x v="3"/>
  </r>
  <r>
    <d v="2022-02-11T00:00:00"/>
    <x v="8"/>
    <n v="6"/>
    <s v="VIERNES"/>
    <x v="10"/>
    <x v="10"/>
    <n v="7200"/>
    <n v="120"/>
    <n v="1224"/>
    <x v="3"/>
  </r>
  <r>
    <d v="2022-02-11T00:00:00"/>
    <x v="8"/>
    <n v="6"/>
    <s v="VIERNES"/>
    <x v="23"/>
    <x v="23"/>
    <n v="720"/>
    <n v="90"/>
    <n v="122.4"/>
    <x v="3"/>
  </r>
  <r>
    <d v="2022-02-11T00:00:00"/>
    <x v="8"/>
    <n v="6"/>
    <s v="VIERNES"/>
    <x v="11"/>
    <x v="11"/>
    <n v="2880"/>
    <n v="90"/>
    <n v="489.6"/>
    <x v="3"/>
  </r>
  <r>
    <d v="2022-02-11T00:00:00"/>
    <x v="8"/>
    <n v="6"/>
    <s v="VIERNES"/>
    <x v="25"/>
    <x v="25"/>
    <n v="1350"/>
    <n v="225"/>
    <n v="567"/>
    <x v="3"/>
  </r>
  <r>
    <d v="2022-02-11T00:00:00"/>
    <x v="8"/>
    <n v="6"/>
    <s v="VIERNES"/>
    <x v="77"/>
    <x v="61"/>
    <n v="750"/>
    <n v="125"/>
    <n v="532.5"/>
    <x v="3"/>
  </r>
  <r>
    <d v="2022-02-12T00:00:00"/>
    <x v="8"/>
    <n v="7"/>
    <s v="SÁBADO"/>
    <x v="13"/>
    <x v="13"/>
    <n v="150"/>
    <n v="30"/>
    <n v="60"/>
    <x v="3"/>
  </r>
  <r>
    <d v="2022-02-12T00:00:00"/>
    <x v="8"/>
    <n v="7"/>
    <s v="SÁBADO"/>
    <x v="40"/>
    <x v="40"/>
    <n v="112"/>
    <n v="240"/>
    <n v="44.800000000000004"/>
    <x v="3"/>
  </r>
  <r>
    <d v="2022-02-12T00:00:00"/>
    <x v="8"/>
    <n v="7"/>
    <s v="SÁBADO"/>
    <x v="38"/>
    <x v="38"/>
    <n v="448"/>
    <n v="112"/>
    <n v="179.20000000000002"/>
    <x v="3"/>
  </r>
  <r>
    <d v="2022-02-12T00:00:00"/>
    <x v="8"/>
    <n v="7"/>
    <s v="SÁBADO"/>
    <x v="0"/>
    <x v="0"/>
    <n v="1920"/>
    <n v="48"/>
    <n v="768"/>
    <x v="3"/>
  </r>
  <r>
    <d v="2022-02-12T00:00:00"/>
    <x v="8"/>
    <n v="7"/>
    <s v="SÁBADO"/>
    <x v="22"/>
    <x v="22"/>
    <n v="1584"/>
    <n v="198"/>
    <n v="269.28000000000003"/>
    <x v="3"/>
  </r>
  <r>
    <d v="2022-02-12T00:00:00"/>
    <x v="8"/>
    <n v="7"/>
    <s v="SÁBADO"/>
    <x v="6"/>
    <x v="6"/>
    <n v="6000"/>
    <n v="120"/>
    <n v="1020.0000000000001"/>
    <x v="3"/>
  </r>
  <r>
    <d v="2022-02-12T00:00:00"/>
    <x v="8"/>
    <n v="7"/>
    <s v="SÁBADO"/>
    <x v="17"/>
    <x v="17"/>
    <n v="2400"/>
    <n v="120"/>
    <n v="408.00000000000006"/>
    <x v="3"/>
  </r>
  <r>
    <d v="2022-02-12T00:00:00"/>
    <x v="8"/>
    <n v="7"/>
    <s v="SÁBADO"/>
    <x v="10"/>
    <x v="10"/>
    <n v="3600"/>
    <n v="120"/>
    <n v="612"/>
    <x v="3"/>
  </r>
  <r>
    <d v="2022-02-12T00:00:00"/>
    <x v="8"/>
    <n v="7"/>
    <s v="SÁBADO"/>
    <x v="23"/>
    <x v="23"/>
    <n v="720"/>
    <n v="90"/>
    <n v="122.4"/>
    <x v="3"/>
  </r>
  <r>
    <d v="2022-02-12T00:00:00"/>
    <x v="8"/>
    <n v="7"/>
    <s v="SÁBADO"/>
    <x v="12"/>
    <x v="12"/>
    <n v="675"/>
    <n v="225"/>
    <n v="270"/>
    <x v="3"/>
  </r>
  <r>
    <d v="2022-02-12T00:00:00"/>
    <x v="8"/>
    <n v="7"/>
    <s v="SÁBADO"/>
    <x v="19"/>
    <x v="19"/>
    <n v="225"/>
    <n v="225"/>
    <n v="90"/>
    <x v="3"/>
  </r>
  <r>
    <d v="2022-02-12T00:00:00"/>
    <x v="8"/>
    <n v="7"/>
    <s v="SÁBADO"/>
    <x v="46"/>
    <x v="46"/>
    <n v="3000"/>
    <n v="250"/>
    <n v="1260"/>
    <x v="3"/>
  </r>
  <r>
    <d v="2022-02-12T00:00:00"/>
    <x v="8"/>
    <n v="7"/>
    <s v="SÁBADO"/>
    <x v="42"/>
    <x v="42"/>
    <n v="500"/>
    <n v="420"/>
    <n v="210"/>
    <x v="3"/>
  </r>
  <r>
    <d v="2022-02-12T00:00:00"/>
    <x v="8"/>
    <n v="7"/>
    <s v="SÁBADO"/>
    <x v="43"/>
    <x v="43"/>
    <n v="500"/>
    <n v="420"/>
    <n v="210"/>
    <x v="3"/>
  </r>
  <r>
    <d v="2022-02-12T00:00:00"/>
    <x v="8"/>
    <n v="7"/>
    <s v="SÁBADO"/>
    <x v="30"/>
    <x v="30"/>
    <n v="750"/>
    <n v="250"/>
    <n v="172.5"/>
    <x v="3"/>
  </r>
  <r>
    <d v="2022-02-14T00:00:00"/>
    <x v="8"/>
    <n v="7"/>
    <s v="LUNES"/>
    <x v="10"/>
    <x v="10"/>
    <n v="3360"/>
    <n v="120"/>
    <n v="571.20000000000005"/>
    <x v="3"/>
  </r>
  <r>
    <d v="2022-02-14T00:00:00"/>
    <x v="8"/>
    <n v="7"/>
    <s v="LUNES"/>
    <x v="26"/>
    <x v="26"/>
    <n v="450"/>
    <n v="90"/>
    <n v="76.5"/>
    <x v="3"/>
  </r>
  <r>
    <d v="2022-02-14T00:00:00"/>
    <x v="8"/>
    <n v="7"/>
    <s v="LUNES"/>
    <x v="23"/>
    <x v="23"/>
    <n v="900"/>
    <n v="90"/>
    <n v="153"/>
    <x v="3"/>
  </r>
  <r>
    <d v="2022-02-14T00:00:00"/>
    <x v="8"/>
    <n v="7"/>
    <s v="LUNES"/>
    <x v="11"/>
    <x v="11"/>
    <n v="2880"/>
    <n v="90"/>
    <n v="489.6"/>
    <x v="3"/>
  </r>
  <r>
    <d v="2022-02-14T00:00:00"/>
    <x v="8"/>
    <n v="7"/>
    <s v="LUNES"/>
    <x v="20"/>
    <x v="20"/>
    <n v="450"/>
    <n v="90"/>
    <n v="76.5"/>
    <x v="3"/>
  </r>
  <r>
    <d v="2022-02-14T00:00:00"/>
    <x v="8"/>
    <n v="7"/>
    <s v="LUNES"/>
    <x v="25"/>
    <x v="25"/>
    <n v="2250"/>
    <n v="225"/>
    <n v="945"/>
    <x v="3"/>
  </r>
  <r>
    <d v="2022-02-14T00:00:00"/>
    <x v="8"/>
    <n v="7"/>
    <s v="LUNES"/>
    <x v="42"/>
    <x v="42"/>
    <n v="250"/>
    <n v="420"/>
    <n v="105"/>
    <x v="3"/>
  </r>
  <r>
    <d v="2022-02-14T00:00:00"/>
    <x v="8"/>
    <n v="7"/>
    <s v="LUNES"/>
    <x v="43"/>
    <x v="43"/>
    <n v="500"/>
    <n v="420"/>
    <n v="210"/>
    <x v="3"/>
  </r>
  <r>
    <d v="2022-02-14T00:00:00"/>
    <x v="8"/>
    <n v="7"/>
    <s v="LUNES"/>
    <x v="77"/>
    <x v="61"/>
    <n v="750"/>
    <n v="125"/>
    <n v="532.5"/>
    <x v="3"/>
  </r>
  <r>
    <d v="2022-02-14T00:00:00"/>
    <x v="8"/>
    <n v="7"/>
    <s v="LUNES"/>
    <x v="28"/>
    <x v="28"/>
    <n v="270"/>
    <n v="30"/>
    <n v="62.1"/>
    <x v="3"/>
  </r>
  <r>
    <d v="2022-02-14T00:00:00"/>
    <x v="8"/>
    <n v="7"/>
    <s v="LUNES"/>
    <x v="33"/>
    <x v="33"/>
    <n v="120"/>
    <n v="40"/>
    <n v="27.6"/>
    <x v="3"/>
  </r>
  <r>
    <d v="2022-02-14T00:00:00"/>
    <x v="8"/>
    <n v="7"/>
    <s v="LUNES"/>
    <x v="13"/>
    <x v="13"/>
    <n v="300"/>
    <n v="30"/>
    <n v="120"/>
    <x v="3"/>
  </r>
  <r>
    <d v="2022-02-14T00:00:00"/>
    <x v="8"/>
    <n v="7"/>
    <s v="LUNES"/>
    <x v="15"/>
    <x v="15"/>
    <n v="400"/>
    <n v="50"/>
    <n v="160"/>
    <x v="3"/>
  </r>
  <r>
    <d v="2022-02-14T00:00:00"/>
    <x v="8"/>
    <n v="7"/>
    <s v="LUNES"/>
    <x v="0"/>
    <x v="0"/>
    <n v="1920"/>
    <n v="48"/>
    <n v="768"/>
    <x v="3"/>
  </r>
  <r>
    <d v="2022-02-14T00:00:00"/>
    <x v="8"/>
    <n v="7"/>
    <s v="LUNES"/>
    <x v="24"/>
    <x v="24"/>
    <n v="2520"/>
    <n v="420"/>
    <n v="1058.3999999999999"/>
    <x v="3"/>
  </r>
  <r>
    <d v="2022-02-14T00:00:00"/>
    <x v="8"/>
    <n v="7"/>
    <s v="LUNES"/>
    <x v="16"/>
    <x v="16"/>
    <n v="1080"/>
    <n v="180"/>
    <n v="453.59999999999997"/>
    <x v="3"/>
  </r>
  <r>
    <d v="2022-02-14T00:00:00"/>
    <x v="8"/>
    <n v="7"/>
    <s v="LUNES"/>
    <x v="1"/>
    <x v="1"/>
    <n v="4320"/>
    <n v="198"/>
    <n v="734.40000000000009"/>
    <x v="3"/>
  </r>
  <r>
    <d v="2022-02-14T00:00:00"/>
    <x v="8"/>
    <n v="7"/>
    <s v="LUNES"/>
    <x v="34"/>
    <x v="34"/>
    <n v="216"/>
    <n v="198"/>
    <n v="36.720000000000006"/>
    <x v="3"/>
  </r>
  <r>
    <d v="2022-02-14T00:00:00"/>
    <x v="8"/>
    <n v="7"/>
    <s v="LUNES"/>
    <x v="29"/>
    <x v="29"/>
    <n v="216"/>
    <n v="198"/>
    <n v="36.720000000000006"/>
    <x v="3"/>
  </r>
  <r>
    <d v="2022-02-14T00:00:00"/>
    <x v="8"/>
    <n v="7"/>
    <s v="LUNES"/>
    <x v="3"/>
    <x v="3"/>
    <n v="990"/>
    <n v="198"/>
    <n v="168.3"/>
    <x v="3"/>
  </r>
  <r>
    <d v="2022-02-14T00:00:00"/>
    <x v="8"/>
    <n v="7"/>
    <s v="LUNES"/>
    <x v="4"/>
    <x v="4"/>
    <n v="810"/>
    <n v="162"/>
    <n v="137.70000000000002"/>
    <x v="3"/>
  </r>
  <r>
    <d v="2022-02-14T00:00:00"/>
    <x v="8"/>
    <n v="7"/>
    <s v="LUNES"/>
    <x v="5"/>
    <x v="5"/>
    <n v="486"/>
    <n v="162"/>
    <n v="82.62"/>
    <x v="3"/>
  </r>
  <r>
    <d v="2022-02-14T00:00:00"/>
    <x v="8"/>
    <n v="7"/>
    <s v="LUNES"/>
    <x v="6"/>
    <x v="6"/>
    <n v="2400"/>
    <n v="120"/>
    <n v="408.00000000000006"/>
    <x v="3"/>
  </r>
  <r>
    <d v="2022-02-14T00:00:00"/>
    <x v="8"/>
    <n v="7"/>
    <s v="LUNES"/>
    <x v="7"/>
    <x v="7"/>
    <n v="2160"/>
    <n v="198"/>
    <n v="367.20000000000005"/>
    <x v="3"/>
  </r>
  <r>
    <d v="2022-02-15T00:00:00"/>
    <x v="8"/>
    <n v="7"/>
    <s v="MARTES"/>
    <x v="28"/>
    <x v="28"/>
    <n v="120"/>
    <n v="30"/>
    <n v="27.6"/>
    <x v="3"/>
  </r>
  <r>
    <d v="2022-02-15T00:00:00"/>
    <x v="8"/>
    <n v="7"/>
    <s v="MARTES"/>
    <x v="13"/>
    <x v="13"/>
    <n v="150"/>
    <n v="30"/>
    <n v="60"/>
    <x v="3"/>
  </r>
  <r>
    <d v="2022-02-15T00:00:00"/>
    <x v="8"/>
    <n v="7"/>
    <s v="MARTES"/>
    <x v="15"/>
    <x v="15"/>
    <n v="200"/>
    <n v="50"/>
    <n v="80"/>
    <x v="3"/>
  </r>
  <r>
    <d v="2022-02-15T00:00:00"/>
    <x v="8"/>
    <n v="7"/>
    <s v="MARTES"/>
    <x v="38"/>
    <x v="38"/>
    <n v="672"/>
    <n v="112"/>
    <n v="268.8"/>
    <x v="3"/>
  </r>
  <r>
    <d v="2022-02-15T00:00:00"/>
    <x v="8"/>
    <n v="7"/>
    <s v="MARTES"/>
    <x v="0"/>
    <x v="0"/>
    <n v="2400"/>
    <n v="48"/>
    <n v="960"/>
    <x v="3"/>
  </r>
  <r>
    <d v="2022-02-15T00:00:00"/>
    <x v="8"/>
    <n v="7"/>
    <s v="MARTES"/>
    <x v="24"/>
    <x v="24"/>
    <n v="2520"/>
    <n v="420"/>
    <n v="1058.3999999999999"/>
    <x v="3"/>
  </r>
  <r>
    <d v="2022-02-15T00:00:00"/>
    <x v="8"/>
    <n v="7"/>
    <s v="MARTES"/>
    <x v="1"/>
    <x v="1"/>
    <n v="2160"/>
    <n v="198"/>
    <n v="367.20000000000005"/>
    <x v="3"/>
  </r>
  <r>
    <d v="2022-02-15T00:00:00"/>
    <x v="8"/>
    <n v="7"/>
    <s v="MARTES"/>
    <x v="5"/>
    <x v="5"/>
    <n v="648"/>
    <n v="162"/>
    <n v="110.16000000000001"/>
    <x v="3"/>
  </r>
  <r>
    <d v="2022-02-15T00:00:00"/>
    <x v="8"/>
    <n v="7"/>
    <s v="MARTES"/>
    <x v="6"/>
    <x v="6"/>
    <n v="2400"/>
    <n v="120"/>
    <n v="408.00000000000006"/>
    <x v="3"/>
  </r>
  <r>
    <d v="2022-02-15T00:00:00"/>
    <x v="8"/>
    <n v="7"/>
    <s v="MARTES"/>
    <x v="17"/>
    <x v="17"/>
    <n v="2400"/>
    <n v="120"/>
    <n v="408.00000000000006"/>
    <x v="3"/>
  </r>
  <r>
    <d v="2022-02-15T00:00:00"/>
    <x v="8"/>
    <n v="7"/>
    <s v="MARTES"/>
    <x v="7"/>
    <x v="7"/>
    <n v="2160"/>
    <n v="198"/>
    <n v="367.20000000000005"/>
    <x v="3"/>
  </r>
  <r>
    <d v="2022-02-15T00:00:00"/>
    <x v="8"/>
    <n v="7"/>
    <s v="MARTES"/>
    <x v="8"/>
    <x v="8"/>
    <n v="1728"/>
    <n v="198"/>
    <n v="293.76000000000005"/>
    <x v="3"/>
  </r>
  <r>
    <d v="2022-02-15T00:00:00"/>
    <x v="8"/>
    <n v="7"/>
    <s v="MARTES"/>
    <x v="9"/>
    <x v="9"/>
    <n v="900"/>
    <n v="90"/>
    <n v="153"/>
    <x v="3"/>
  </r>
  <r>
    <d v="2022-02-15T00:00:00"/>
    <x v="8"/>
    <n v="7"/>
    <s v="MARTES"/>
    <x v="10"/>
    <x v="10"/>
    <n v="2880"/>
    <n v="120"/>
    <n v="489.6"/>
    <x v="3"/>
  </r>
  <r>
    <d v="2022-02-15T00:00:00"/>
    <x v="8"/>
    <n v="7"/>
    <s v="MARTES"/>
    <x v="23"/>
    <x v="23"/>
    <n v="450"/>
    <n v="90"/>
    <n v="76.5"/>
    <x v="3"/>
  </r>
  <r>
    <d v="2022-02-15T00:00:00"/>
    <x v="8"/>
    <n v="7"/>
    <s v="MARTES"/>
    <x v="36"/>
    <x v="36"/>
    <n v="1350"/>
    <n v="90"/>
    <n v="540"/>
    <x v="3"/>
  </r>
  <r>
    <d v="2022-02-15T00:00:00"/>
    <x v="8"/>
    <n v="7"/>
    <s v="MARTES"/>
    <x v="11"/>
    <x v="11"/>
    <n v="1890"/>
    <n v="90"/>
    <n v="321.3"/>
    <x v="3"/>
  </r>
  <r>
    <d v="2022-02-15T00:00:00"/>
    <x v="8"/>
    <n v="7"/>
    <s v="MARTES"/>
    <x v="25"/>
    <x v="25"/>
    <n v="1350"/>
    <n v="225"/>
    <n v="567"/>
    <x v="3"/>
  </r>
  <r>
    <d v="2022-02-15T00:00:00"/>
    <x v="8"/>
    <n v="7"/>
    <s v="MARTES"/>
    <x v="12"/>
    <x v="12"/>
    <n v="450"/>
    <n v="225"/>
    <n v="180"/>
    <x v="3"/>
  </r>
  <r>
    <d v="2022-02-15T00:00:00"/>
    <x v="8"/>
    <n v="7"/>
    <s v="MARTES"/>
    <x v="42"/>
    <x v="42"/>
    <n v="250"/>
    <n v="420"/>
    <n v="105"/>
    <x v="3"/>
  </r>
  <r>
    <d v="2022-02-15T00:00:00"/>
    <x v="8"/>
    <n v="7"/>
    <s v="MARTES"/>
    <x v="43"/>
    <x v="43"/>
    <n v="250"/>
    <n v="420"/>
    <n v="105"/>
    <x v="3"/>
  </r>
  <r>
    <d v="2022-02-15T00:00:00"/>
    <x v="8"/>
    <n v="7"/>
    <s v="MARTES"/>
    <x v="32"/>
    <x v="32"/>
    <n v="4200"/>
    <n v="420"/>
    <n v="1764"/>
    <x v="3"/>
  </r>
  <r>
    <d v="2022-02-16T00:00:00"/>
    <x v="8"/>
    <n v="7"/>
    <s v="MIÉRCOLES"/>
    <x v="28"/>
    <x v="28"/>
    <n v="270"/>
    <n v="30"/>
    <n v="62.1"/>
    <x v="3"/>
  </r>
  <r>
    <d v="2022-02-16T00:00:00"/>
    <x v="8"/>
    <n v="7"/>
    <s v="MIÉRCOLES"/>
    <x v="33"/>
    <x v="33"/>
    <n v="40"/>
    <n v="40"/>
    <n v="9.2000000000000011"/>
    <x v="3"/>
  </r>
  <r>
    <d v="2022-02-16T00:00:00"/>
    <x v="8"/>
    <n v="7"/>
    <s v="MIÉRCOLES"/>
    <x v="36"/>
    <x v="36"/>
    <n v="1350"/>
    <n v="90"/>
    <n v="540"/>
    <x v="3"/>
  </r>
  <r>
    <d v="2022-02-16T00:00:00"/>
    <x v="8"/>
    <n v="7"/>
    <s v="MIÉRCOLES"/>
    <x v="40"/>
    <x v="40"/>
    <n v="336"/>
    <n v="240"/>
    <n v="134.4"/>
    <x v="3"/>
  </r>
  <r>
    <d v="2022-02-16T00:00:00"/>
    <x v="8"/>
    <n v="7"/>
    <s v="MIÉRCOLES"/>
    <x v="0"/>
    <x v="0"/>
    <n v="2400"/>
    <n v="48"/>
    <n v="960"/>
    <x v="3"/>
  </r>
  <r>
    <d v="2022-02-16T00:00:00"/>
    <x v="8"/>
    <n v="7"/>
    <s v="MIÉRCOLES"/>
    <x v="32"/>
    <x v="32"/>
    <n v="4200"/>
    <n v="420"/>
    <n v="1764"/>
    <x v="3"/>
  </r>
  <r>
    <d v="2022-02-16T00:00:00"/>
    <x v="8"/>
    <n v="7"/>
    <s v="MIÉRCOLES"/>
    <x v="39"/>
    <x v="39"/>
    <n v="2100"/>
    <n v="420"/>
    <n v="882"/>
    <x v="3"/>
  </r>
  <r>
    <d v="2022-02-16T00:00:00"/>
    <x v="8"/>
    <n v="7"/>
    <s v="MIÉRCOLES"/>
    <x v="2"/>
    <x v="2"/>
    <n v="864"/>
    <n v="198"/>
    <n v="146.88000000000002"/>
    <x v="3"/>
  </r>
  <r>
    <d v="2022-02-16T00:00:00"/>
    <x v="8"/>
    <n v="7"/>
    <s v="MIÉRCOLES"/>
    <x v="22"/>
    <x v="22"/>
    <n v="990"/>
    <n v="198"/>
    <n v="168.3"/>
    <x v="3"/>
  </r>
  <r>
    <d v="2022-02-16T00:00:00"/>
    <x v="8"/>
    <n v="7"/>
    <s v="MIÉRCOLES"/>
    <x v="4"/>
    <x v="4"/>
    <n v="648"/>
    <n v="162"/>
    <n v="110.16000000000001"/>
    <x v="3"/>
  </r>
  <r>
    <d v="2022-02-16T00:00:00"/>
    <x v="8"/>
    <n v="7"/>
    <s v="MIÉRCOLES"/>
    <x v="7"/>
    <x v="7"/>
    <n v="2160"/>
    <n v="198"/>
    <n v="367.20000000000005"/>
    <x v="3"/>
  </r>
  <r>
    <d v="2022-02-16T00:00:00"/>
    <x v="8"/>
    <n v="7"/>
    <s v="MIÉRCOLES"/>
    <x v="8"/>
    <x v="8"/>
    <n v="1080"/>
    <n v="198"/>
    <n v="183.60000000000002"/>
    <x v="3"/>
  </r>
  <r>
    <d v="2022-02-16T00:00:00"/>
    <x v="8"/>
    <n v="7"/>
    <s v="MIÉRCOLES"/>
    <x v="9"/>
    <x v="9"/>
    <n v="900"/>
    <n v="90"/>
    <n v="153"/>
    <x v="3"/>
  </r>
  <r>
    <d v="2022-02-16T00:00:00"/>
    <x v="8"/>
    <n v="7"/>
    <s v="MIÉRCOLES"/>
    <x v="11"/>
    <x v="11"/>
    <n v="1440"/>
    <n v="90"/>
    <n v="244.8"/>
    <x v="3"/>
  </r>
  <r>
    <d v="2022-02-16T00:00:00"/>
    <x v="8"/>
    <n v="7"/>
    <s v="MIÉRCOLES"/>
    <x v="20"/>
    <x v="20"/>
    <n v="180"/>
    <n v="90"/>
    <n v="30.6"/>
    <x v="3"/>
  </r>
  <r>
    <d v="2022-02-16T00:00:00"/>
    <x v="8"/>
    <n v="7"/>
    <s v="MIÉRCOLES"/>
    <x v="25"/>
    <x v="25"/>
    <n v="1350"/>
    <n v="225"/>
    <n v="567"/>
    <x v="3"/>
  </r>
  <r>
    <d v="2022-02-16T00:00:00"/>
    <x v="8"/>
    <n v="7"/>
    <s v="MIÉRCOLES"/>
    <x v="43"/>
    <x v="43"/>
    <n v="250"/>
    <n v="420"/>
    <n v="105"/>
    <x v="3"/>
  </r>
  <r>
    <d v="2022-02-17T00:00:00"/>
    <x v="8"/>
    <n v="7"/>
    <s v="JUEVES"/>
    <x v="20"/>
    <x v="20"/>
    <n v="450"/>
    <n v="90"/>
    <n v="76.5"/>
    <x v="3"/>
  </r>
  <r>
    <d v="2022-02-17T00:00:00"/>
    <x v="8"/>
    <n v="7"/>
    <s v="JUEVES"/>
    <x v="25"/>
    <x v="25"/>
    <n v="675"/>
    <n v="225"/>
    <n v="283.5"/>
    <x v="3"/>
  </r>
  <r>
    <d v="2022-02-17T00:00:00"/>
    <x v="8"/>
    <n v="7"/>
    <s v="JUEVES"/>
    <x v="42"/>
    <x v="42"/>
    <n v="250"/>
    <n v="420"/>
    <n v="105"/>
    <x v="3"/>
  </r>
  <r>
    <d v="2022-02-17T00:00:00"/>
    <x v="8"/>
    <n v="7"/>
    <s v="JUEVES"/>
    <x v="64"/>
    <x v="48"/>
    <n v="600"/>
    <n v="30"/>
    <n v="126"/>
    <x v="3"/>
  </r>
  <r>
    <d v="2022-02-17T00:00:00"/>
    <x v="8"/>
    <n v="7"/>
    <s v="JUEVES"/>
    <x v="13"/>
    <x v="13"/>
    <n v="300"/>
    <n v="30"/>
    <n v="120"/>
    <x v="3"/>
  </r>
  <r>
    <d v="2022-02-17T00:00:00"/>
    <x v="8"/>
    <n v="7"/>
    <s v="JUEVES"/>
    <x v="15"/>
    <x v="15"/>
    <n v="400"/>
    <n v="50"/>
    <n v="160"/>
    <x v="3"/>
  </r>
  <r>
    <d v="2022-02-17T00:00:00"/>
    <x v="8"/>
    <n v="7"/>
    <s v="JUEVES"/>
    <x v="36"/>
    <x v="36"/>
    <n v="5400"/>
    <n v="90"/>
    <n v="2160"/>
    <x v="3"/>
  </r>
  <r>
    <d v="2022-02-17T00:00:00"/>
    <x v="8"/>
    <n v="7"/>
    <s v="JUEVES"/>
    <x v="38"/>
    <x v="38"/>
    <n v="448"/>
    <n v="112"/>
    <n v="179.20000000000002"/>
    <x v="3"/>
  </r>
  <r>
    <d v="2022-02-17T00:00:00"/>
    <x v="8"/>
    <n v="7"/>
    <s v="JUEVES"/>
    <x v="0"/>
    <x v="0"/>
    <n v="1920"/>
    <n v="48"/>
    <n v="768"/>
    <x v="3"/>
  </r>
  <r>
    <d v="2022-02-17T00:00:00"/>
    <x v="8"/>
    <n v="7"/>
    <s v="JUEVES"/>
    <x v="34"/>
    <x v="34"/>
    <n v="432"/>
    <n v="198"/>
    <n v="73.440000000000012"/>
    <x v="3"/>
  </r>
  <r>
    <d v="2022-02-17T00:00:00"/>
    <x v="8"/>
    <n v="7"/>
    <s v="JUEVES"/>
    <x v="3"/>
    <x v="3"/>
    <n v="1782"/>
    <n v="198"/>
    <n v="302.94"/>
    <x v="3"/>
  </r>
  <r>
    <d v="2022-02-17T00:00:00"/>
    <x v="8"/>
    <n v="7"/>
    <s v="JUEVES"/>
    <x v="6"/>
    <x v="6"/>
    <n v="4800"/>
    <n v="120"/>
    <n v="816.00000000000011"/>
    <x v="3"/>
  </r>
  <r>
    <d v="2022-02-17T00:00:00"/>
    <x v="8"/>
    <n v="7"/>
    <s v="JUEVES"/>
    <x v="17"/>
    <x v="17"/>
    <n v="2400"/>
    <n v="120"/>
    <n v="408.00000000000006"/>
    <x v="3"/>
  </r>
  <r>
    <d v="2022-02-17T00:00:00"/>
    <x v="8"/>
    <n v="7"/>
    <s v="JUEVES"/>
    <x v="7"/>
    <x v="7"/>
    <n v="1080"/>
    <n v="198"/>
    <n v="183.60000000000002"/>
    <x v="3"/>
  </r>
  <r>
    <d v="2022-02-17T00:00:00"/>
    <x v="8"/>
    <n v="7"/>
    <s v="JUEVES"/>
    <x v="9"/>
    <x v="9"/>
    <n v="900"/>
    <n v="90"/>
    <n v="153"/>
    <x v="3"/>
  </r>
  <r>
    <d v="2022-02-17T00:00:00"/>
    <x v="8"/>
    <n v="7"/>
    <s v="JUEVES"/>
    <x v="10"/>
    <x v="10"/>
    <n v="9120"/>
    <n v="120"/>
    <n v="1550.4"/>
    <x v="3"/>
  </r>
  <r>
    <d v="2022-02-17T00:00:00"/>
    <x v="8"/>
    <n v="7"/>
    <s v="JUEVES"/>
    <x v="26"/>
    <x v="26"/>
    <n v="900"/>
    <n v="90"/>
    <n v="153"/>
    <x v="3"/>
  </r>
  <r>
    <d v="2022-02-17T00:00:00"/>
    <x v="8"/>
    <n v="7"/>
    <s v="JUEVES"/>
    <x v="23"/>
    <x v="23"/>
    <n v="2160"/>
    <n v="90"/>
    <n v="367.20000000000005"/>
    <x v="3"/>
  </r>
  <r>
    <d v="2022-02-17T00:00:00"/>
    <x v="8"/>
    <n v="7"/>
    <s v="JUEVES"/>
    <x v="11"/>
    <x v="11"/>
    <n v="3600"/>
    <n v="90"/>
    <n v="612"/>
    <x v="3"/>
  </r>
  <r>
    <d v="2022-02-16T00:00:00"/>
    <x v="8"/>
    <n v="7"/>
    <s v="MIÉRCOLES"/>
    <x v="1"/>
    <x v="1"/>
    <n v="3240"/>
    <n v="198"/>
    <n v="550.80000000000007"/>
    <x v="3"/>
  </r>
  <r>
    <d v="2022-02-16T00:00:00"/>
    <x v="8"/>
    <n v="7"/>
    <s v="MIÉRCOLES"/>
    <x v="2"/>
    <x v="2"/>
    <n v="1296"/>
    <n v="198"/>
    <n v="220.32000000000002"/>
    <x v="3"/>
  </r>
  <r>
    <d v="2022-02-17T00:00:00"/>
    <x v="8"/>
    <n v="7"/>
    <s v="JUEVES"/>
    <x v="24"/>
    <x v="24"/>
    <n v="2100"/>
    <n v="420"/>
    <n v="882"/>
    <x v="3"/>
  </r>
  <r>
    <d v="2022-02-17T00:00:00"/>
    <x v="8"/>
    <n v="7"/>
    <s v="JUEVES"/>
    <x v="42"/>
    <x v="42"/>
    <n v="750"/>
    <n v="420"/>
    <n v="315"/>
    <x v="3"/>
  </r>
  <r>
    <d v="2022-02-18T00:00:00"/>
    <x v="8"/>
    <n v="7"/>
    <s v="VIERNES"/>
    <x v="25"/>
    <x v="25"/>
    <n v="675"/>
    <n v="225"/>
    <n v="283.5"/>
    <x v="3"/>
  </r>
  <r>
    <d v="2022-02-18T00:00:00"/>
    <x v="8"/>
    <n v="7"/>
    <s v="VIERNES"/>
    <x v="26"/>
    <x v="26"/>
    <n v="720"/>
    <n v="90"/>
    <n v="122.4"/>
    <x v="3"/>
  </r>
  <r>
    <d v="2022-02-18T00:00:00"/>
    <x v="8"/>
    <n v="7"/>
    <s v="VIERNES"/>
    <x v="23"/>
    <x v="23"/>
    <n v="2160"/>
    <n v="90"/>
    <n v="367.20000000000005"/>
    <x v="3"/>
  </r>
  <r>
    <d v="2022-02-18T00:00:00"/>
    <x v="8"/>
    <n v="7"/>
    <s v="VIERNES"/>
    <x v="20"/>
    <x v="20"/>
    <n v="450"/>
    <n v="90"/>
    <n v="76.5"/>
    <x v="3"/>
  </r>
  <r>
    <d v="2022-02-18T00:00:00"/>
    <x v="8"/>
    <n v="7"/>
    <s v="VIERNES"/>
    <x v="25"/>
    <x v="25"/>
    <n v="1350"/>
    <n v="225"/>
    <n v="567"/>
    <x v="3"/>
  </r>
  <r>
    <d v="2022-02-18T00:00:00"/>
    <x v="8"/>
    <n v="7"/>
    <s v="VIERNES"/>
    <x v="12"/>
    <x v="12"/>
    <n v="450"/>
    <n v="225"/>
    <n v="180"/>
    <x v="3"/>
  </r>
  <r>
    <d v="2022-02-18T00:00:00"/>
    <x v="8"/>
    <n v="7"/>
    <s v="VIERNES"/>
    <x v="43"/>
    <x v="43"/>
    <n v="1000"/>
    <n v="420"/>
    <n v="420"/>
    <x v="3"/>
  </r>
  <r>
    <d v="2022-02-18T00:00:00"/>
    <x v="8"/>
    <n v="7"/>
    <s v="VIERNES"/>
    <x v="64"/>
    <x v="48"/>
    <n v="600"/>
    <n v="30"/>
    <n v="126"/>
    <x v="3"/>
  </r>
  <r>
    <d v="2022-02-18T00:00:00"/>
    <x v="8"/>
    <n v="7"/>
    <s v="VIERNES"/>
    <x v="28"/>
    <x v="28"/>
    <n v="300"/>
    <n v="30"/>
    <n v="69"/>
    <x v="3"/>
  </r>
  <r>
    <d v="2022-02-18T00:00:00"/>
    <x v="8"/>
    <n v="7"/>
    <s v="VIERNES"/>
    <x v="33"/>
    <x v="33"/>
    <n v="80"/>
    <n v="40"/>
    <n v="18.400000000000002"/>
    <x v="3"/>
  </r>
  <r>
    <d v="2022-02-18T00:00:00"/>
    <x v="8"/>
    <n v="7"/>
    <s v="VIERNES"/>
    <x v="15"/>
    <x v="15"/>
    <n v="250"/>
    <n v="50"/>
    <n v="100"/>
    <x v="3"/>
  </r>
  <r>
    <d v="2022-02-18T00:00:00"/>
    <x v="8"/>
    <n v="7"/>
    <s v="VIERNES"/>
    <x v="36"/>
    <x v="36"/>
    <n v="900"/>
    <n v="90"/>
    <n v="360"/>
    <x v="3"/>
  </r>
  <r>
    <d v="2022-02-18T00:00:00"/>
    <x v="8"/>
    <n v="7"/>
    <s v="VIERNES"/>
    <x v="40"/>
    <x v="40"/>
    <n v="112"/>
    <n v="240"/>
    <n v="44.800000000000004"/>
    <x v="3"/>
  </r>
  <r>
    <d v="2022-02-18T00:00:00"/>
    <x v="8"/>
    <n v="7"/>
    <s v="VIERNES"/>
    <x v="24"/>
    <x v="24"/>
    <n v="4200"/>
    <n v="420"/>
    <n v="1764"/>
    <x v="3"/>
  </r>
  <r>
    <d v="2022-02-18T00:00:00"/>
    <x v="8"/>
    <n v="7"/>
    <s v="VIERNES"/>
    <x v="39"/>
    <x v="39"/>
    <n v="2100"/>
    <n v="420"/>
    <n v="882"/>
    <x v="3"/>
  </r>
  <r>
    <d v="2022-02-18T00:00:00"/>
    <x v="8"/>
    <n v="7"/>
    <s v="VIERNES"/>
    <x v="16"/>
    <x v="16"/>
    <n v="900"/>
    <n v="180"/>
    <n v="378"/>
    <x v="3"/>
  </r>
  <r>
    <d v="2022-02-18T00:00:00"/>
    <x v="8"/>
    <n v="7"/>
    <s v="VIERNES"/>
    <x v="1"/>
    <x v="1"/>
    <n v="2160"/>
    <n v="198"/>
    <n v="367.20000000000005"/>
    <x v="3"/>
  </r>
  <r>
    <d v="2022-02-18T00:00:00"/>
    <x v="8"/>
    <n v="7"/>
    <s v="VIERNES"/>
    <x v="2"/>
    <x v="2"/>
    <n v="3240"/>
    <n v="198"/>
    <n v="550.80000000000007"/>
    <x v="3"/>
  </r>
  <r>
    <d v="2022-02-18T00:00:00"/>
    <x v="8"/>
    <n v="7"/>
    <s v="VIERNES"/>
    <x v="5"/>
    <x v="5"/>
    <n v="324"/>
    <n v="162"/>
    <n v="55.080000000000005"/>
    <x v="3"/>
  </r>
  <r>
    <d v="2022-02-18T00:00:00"/>
    <x v="8"/>
    <n v="7"/>
    <s v="VIERNES"/>
    <x v="7"/>
    <x v="7"/>
    <n v="3240"/>
    <n v="198"/>
    <n v="550.80000000000007"/>
    <x v="3"/>
  </r>
  <r>
    <d v="2022-02-18T00:00:00"/>
    <x v="8"/>
    <n v="7"/>
    <s v="VIERNES"/>
    <x v="8"/>
    <x v="8"/>
    <n v="1728"/>
    <n v="198"/>
    <n v="293.76000000000005"/>
    <x v="3"/>
  </r>
  <r>
    <d v="2022-02-18T00:00:00"/>
    <x v="8"/>
    <n v="7"/>
    <s v="VIERNES"/>
    <x v="9"/>
    <x v="9"/>
    <n v="1440"/>
    <n v="90"/>
    <n v="244.8"/>
    <x v="3"/>
  </r>
  <r>
    <d v="2022-02-18T00:00:00"/>
    <x v="8"/>
    <n v="7"/>
    <s v="VIERNES"/>
    <x v="10"/>
    <x v="10"/>
    <n v="3600"/>
    <n v="120"/>
    <n v="612"/>
    <x v="3"/>
  </r>
  <r>
    <d v="2022-02-19T00:00:00"/>
    <x v="8"/>
    <n v="8"/>
    <s v="SÁBADO"/>
    <x v="42"/>
    <x v="42"/>
    <n v="500"/>
    <n v="420"/>
    <n v="210"/>
    <x v="3"/>
  </r>
  <r>
    <d v="2022-02-19T00:00:00"/>
    <x v="8"/>
    <n v="8"/>
    <s v="SÁBADO"/>
    <x v="28"/>
    <x v="28"/>
    <n v="150"/>
    <n v="30"/>
    <n v="34.5"/>
    <x v="3"/>
  </r>
  <r>
    <d v="2022-02-19T00:00:00"/>
    <x v="8"/>
    <n v="8"/>
    <s v="SÁBADO"/>
    <x v="13"/>
    <x v="13"/>
    <n v="300"/>
    <n v="30"/>
    <n v="120"/>
    <x v="3"/>
  </r>
  <r>
    <d v="2022-02-19T00:00:00"/>
    <x v="8"/>
    <n v="8"/>
    <s v="SÁBADO"/>
    <x v="24"/>
    <x v="24"/>
    <n v="4200"/>
    <n v="420"/>
    <n v="1764"/>
    <x v="3"/>
  </r>
  <r>
    <d v="2022-02-19T00:00:00"/>
    <x v="8"/>
    <n v="8"/>
    <s v="SÁBADO"/>
    <x v="22"/>
    <x v="22"/>
    <n v="396"/>
    <n v="198"/>
    <n v="67.320000000000007"/>
    <x v="3"/>
  </r>
  <r>
    <d v="2022-02-19T00:00:00"/>
    <x v="8"/>
    <n v="8"/>
    <s v="SÁBADO"/>
    <x v="3"/>
    <x v="3"/>
    <n v="1188"/>
    <n v="198"/>
    <n v="201.96"/>
    <x v="3"/>
  </r>
  <r>
    <d v="2022-02-19T00:00:00"/>
    <x v="8"/>
    <n v="8"/>
    <s v="SÁBADO"/>
    <x v="4"/>
    <x v="4"/>
    <n v="972"/>
    <n v="162"/>
    <n v="165.24"/>
    <x v="3"/>
  </r>
  <r>
    <d v="2022-02-19T00:00:00"/>
    <x v="8"/>
    <n v="8"/>
    <s v="SÁBADO"/>
    <x v="5"/>
    <x v="5"/>
    <n v="324"/>
    <n v="162"/>
    <n v="55.080000000000005"/>
    <x v="3"/>
  </r>
  <r>
    <d v="2022-02-19T00:00:00"/>
    <x v="8"/>
    <n v="8"/>
    <s v="SÁBADO"/>
    <x v="6"/>
    <x v="6"/>
    <n v="2400"/>
    <n v="120"/>
    <n v="408.00000000000006"/>
    <x v="3"/>
  </r>
  <r>
    <d v="2022-02-19T00:00:00"/>
    <x v="8"/>
    <n v="8"/>
    <s v="SÁBADO"/>
    <x v="8"/>
    <x v="8"/>
    <n v="2160"/>
    <n v="198"/>
    <n v="367.20000000000005"/>
    <x v="3"/>
  </r>
  <r>
    <d v="2022-02-19T00:00:00"/>
    <x v="8"/>
    <n v="8"/>
    <s v="SÁBADO"/>
    <x v="10"/>
    <x v="10"/>
    <n v="12000"/>
    <n v="120"/>
    <n v="2040.0000000000002"/>
    <x v="3"/>
  </r>
  <r>
    <d v="2022-02-19T00:00:00"/>
    <x v="8"/>
    <n v="8"/>
    <s v="SÁBADO"/>
    <x v="23"/>
    <x v="23"/>
    <n v="2160"/>
    <n v="90"/>
    <n v="367.20000000000005"/>
    <x v="3"/>
  </r>
  <r>
    <d v="2022-02-19T00:00:00"/>
    <x v="8"/>
    <n v="8"/>
    <s v="SÁBADO"/>
    <x v="11"/>
    <x v="11"/>
    <n v="900"/>
    <n v="90"/>
    <n v="153"/>
    <x v="3"/>
  </r>
  <r>
    <d v="2022-02-19T00:00:00"/>
    <x v="8"/>
    <n v="8"/>
    <s v="SÁBADO"/>
    <x v="25"/>
    <x v="25"/>
    <n v="450"/>
    <n v="225"/>
    <n v="189"/>
    <x v="3"/>
  </r>
  <r>
    <d v="2022-02-19T00:00:00"/>
    <x v="8"/>
    <n v="8"/>
    <s v="SÁBADO"/>
    <x v="19"/>
    <x v="19"/>
    <n v="450"/>
    <n v="225"/>
    <n v="180"/>
    <x v="3"/>
  </r>
  <r>
    <d v="2022-02-19T00:00:00"/>
    <x v="8"/>
    <n v="8"/>
    <s v="SÁBADO"/>
    <x v="37"/>
    <x v="37"/>
    <n v="1500"/>
    <n v="225"/>
    <n v="630"/>
    <x v="3"/>
  </r>
  <r>
    <d v="2022-02-21T00:00:00"/>
    <x v="8"/>
    <n v="8"/>
    <s v="LUNES"/>
    <x v="28"/>
    <x v="28"/>
    <n v="210"/>
    <n v="30"/>
    <n v="48.300000000000004"/>
    <x v="3"/>
  </r>
  <r>
    <d v="2022-02-21T00:00:00"/>
    <x v="8"/>
    <n v="8"/>
    <s v="LUNES"/>
    <x v="13"/>
    <x v="13"/>
    <n v="150"/>
    <n v="30"/>
    <n v="60"/>
    <x v="3"/>
  </r>
  <r>
    <d v="2022-02-21T00:00:00"/>
    <x v="8"/>
    <n v="8"/>
    <s v="LUNES"/>
    <x v="33"/>
    <x v="33"/>
    <n v="120"/>
    <n v="40"/>
    <n v="27.6"/>
    <x v="3"/>
  </r>
  <r>
    <d v="2022-02-21T00:00:00"/>
    <x v="8"/>
    <n v="8"/>
    <s v="LUNES"/>
    <x v="40"/>
    <x v="40"/>
    <n v="224"/>
    <n v="240"/>
    <n v="89.600000000000009"/>
    <x v="3"/>
  </r>
  <r>
    <d v="2022-02-21T00:00:00"/>
    <x v="8"/>
    <n v="8"/>
    <s v="LUNES"/>
    <x v="38"/>
    <x v="38"/>
    <n v="224"/>
    <n v="112"/>
    <n v="89.600000000000009"/>
    <x v="3"/>
  </r>
  <r>
    <d v="2022-02-21T00:00:00"/>
    <x v="8"/>
    <n v="8"/>
    <s v="LUNES"/>
    <x v="39"/>
    <x v="39"/>
    <n v="2100"/>
    <n v="420"/>
    <n v="882"/>
    <x v="3"/>
  </r>
  <r>
    <d v="2022-02-21T00:00:00"/>
    <x v="8"/>
    <n v="8"/>
    <s v="LUNES"/>
    <x v="16"/>
    <x v="16"/>
    <n v="1440"/>
    <n v="180"/>
    <n v="604.79999999999995"/>
    <x v="3"/>
  </r>
  <r>
    <d v="2022-02-21T00:00:00"/>
    <x v="8"/>
    <n v="8"/>
    <s v="LUNES"/>
    <x v="1"/>
    <x v="1"/>
    <n v="4320"/>
    <n v="198"/>
    <n v="734.40000000000009"/>
    <x v="3"/>
  </r>
  <r>
    <d v="2022-02-21T00:00:00"/>
    <x v="8"/>
    <n v="8"/>
    <s v="LUNES"/>
    <x v="2"/>
    <x v="2"/>
    <n v="5400"/>
    <n v="198"/>
    <n v="918.00000000000011"/>
    <x v="3"/>
  </r>
  <r>
    <d v="2022-02-21T00:00:00"/>
    <x v="8"/>
    <n v="8"/>
    <s v="LUNES"/>
    <x v="22"/>
    <x v="22"/>
    <n v="1980"/>
    <n v="198"/>
    <n v="336.6"/>
    <x v="3"/>
  </r>
  <r>
    <d v="2022-02-21T00:00:00"/>
    <x v="8"/>
    <n v="8"/>
    <s v="LUNES"/>
    <x v="3"/>
    <x v="3"/>
    <n v="1980"/>
    <n v="198"/>
    <n v="336.6"/>
    <x v="3"/>
  </r>
  <r>
    <d v="2022-02-21T00:00:00"/>
    <x v="8"/>
    <n v="8"/>
    <s v="LUNES"/>
    <x v="6"/>
    <x v="6"/>
    <n v="3600"/>
    <n v="120"/>
    <n v="612"/>
    <x v="3"/>
  </r>
  <r>
    <d v="2022-02-21T00:00:00"/>
    <x v="8"/>
    <n v="8"/>
    <s v="LUNES"/>
    <x v="7"/>
    <x v="7"/>
    <n v="3240"/>
    <n v="198"/>
    <n v="550.80000000000007"/>
    <x v="3"/>
  </r>
  <r>
    <d v="2022-02-21T00:00:00"/>
    <x v="8"/>
    <n v="8"/>
    <s v="LUNES"/>
    <x v="9"/>
    <x v="9"/>
    <n v="900"/>
    <n v="90"/>
    <n v="153"/>
    <x v="3"/>
  </r>
  <r>
    <d v="2022-02-21T00:00:00"/>
    <x v="8"/>
    <n v="8"/>
    <s v="LUNES"/>
    <x v="10"/>
    <x v="10"/>
    <n v="12000"/>
    <n v="120"/>
    <n v="2040.0000000000002"/>
    <x v="3"/>
  </r>
  <r>
    <d v="2022-02-21T00:00:00"/>
    <x v="8"/>
    <n v="8"/>
    <s v="LUNES"/>
    <x v="26"/>
    <x v="26"/>
    <n v="900"/>
    <n v="90"/>
    <n v="153"/>
    <x v="3"/>
  </r>
  <r>
    <d v="2022-02-21T00:00:00"/>
    <x v="8"/>
    <n v="8"/>
    <s v="LUNES"/>
    <x v="11"/>
    <x v="11"/>
    <n v="1800"/>
    <n v="90"/>
    <n v="306"/>
    <x v="3"/>
  </r>
  <r>
    <d v="2022-02-21T00:00:00"/>
    <x v="8"/>
    <n v="8"/>
    <s v="LUNES"/>
    <x v="20"/>
    <x v="20"/>
    <n v="720"/>
    <n v="90"/>
    <n v="122.4"/>
    <x v="3"/>
  </r>
  <r>
    <d v="2022-02-21T00:00:00"/>
    <x v="8"/>
    <n v="8"/>
    <s v="LUNES"/>
    <x v="25"/>
    <x v="25"/>
    <n v="1350"/>
    <n v="225"/>
    <n v="567"/>
    <x v="3"/>
  </r>
  <r>
    <d v="2022-02-21T00:00:00"/>
    <x v="8"/>
    <n v="8"/>
    <s v="LUNES"/>
    <x v="12"/>
    <x v="12"/>
    <n v="1125"/>
    <n v="225"/>
    <n v="450"/>
    <x v="3"/>
  </r>
  <r>
    <d v="2022-02-21T00:00:00"/>
    <x v="8"/>
    <n v="8"/>
    <s v="LUNES"/>
    <x v="43"/>
    <x v="43"/>
    <n v="500"/>
    <n v="420"/>
    <n v="210"/>
    <x v="3"/>
  </r>
  <r>
    <d v="2022-02-21T00:00:00"/>
    <x v="8"/>
    <n v="8"/>
    <s v="LUNES"/>
    <x v="64"/>
    <x v="48"/>
    <n v="330"/>
    <n v="30"/>
    <n v="69.3"/>
    <x v="3"/>
  </r>
  <r>
    <d v="2022-02-22T00:00:00"/>
    <x v="8"/>
    <n v="8"/>
    <s v="MARTES"/>
    <x v="22"/>
    <x v="22"/>
    <n v="990"/>
    <n v="198"/>
    <n v="168.3"/>
    <x v="3"/>
  </r>
  <r>
    <d v="2022-02-22T00:00:00"/>
    <x v="8"/>
    <n v="8"/>
    <s v="MARTES"/>
    <x v="3"/>
    <x v="3"/>
    <n v="990"/>
    <n v="198"/>
    <n v="168.3"/>
    <x v="3"/>
  </r>
  <r>
    <d v="2022-02-22T00:00:00"/>
    <x v="8"/>
    <n v="8"/>
    <s v="MARTES"/>
    <x v="7"/>
    <x v="7"/>
    <n v="3456"/>
    <n v="198"/>
    <n v="587.5200000000001"/>
    <x v="3"/>
  </r>
  <r>
    <d v="2022-02-22T00:00:00"/>
    <x v="8"/>
    <n v="8"/>
    <s v="MARTES"/>
    <x v="23"/>
    <x v="23"/>
    <n v="900"/>
    <n v="90"/>
    <n v="153"/>
    <x v="3"/>
  </r>
  <r>
    <d v="2022-02-22T00:00:00"/>
    <x v="8"/>
    <n v="8"/>
    <s v="MARTES"/>
    <x v="25"/>
    <x v="25"/>
    <n v="4050"/>
    <n v="225"/>
    <n v="1701"/>
    <x v="3"/>
  </r>
  <r>
    <d v="2022-02-22T00:00:00"/>
    <x v="8"/>
    <n v="8"/>
    <s v="MARTES"/>
    <x v="15"/>
    <x v="15"/>
    <n v="250"/>
    <n v="50"/>
    <n v="100"/>
    <x v="3"/>
  </r>
  <r>
    <d v="2022-02-22T00:00:00"/>
    <x v="8"/>
    <n v="8"/>
    <s v="MARTES"/>
    <x v="36"/>
    <x v="36"/>
    <n v="900"/>
    <n v="90"/>
    <n v="360"/>
    <x v="3"/>
  </r>
  <r>
    <d v="2022-02-22T00:00:00"/>
    <x v="8"/>
    <n v="8"/>
    <s v="MARTES"/>
    <x v="0"/>
    <x v="0"/>
    <n v="1440"/>
    <n v="48"/>
    <n v="576"/>
    <x v="3"/>
  </r>
  <r>
    <d v="2022-02-22T00:00:00"/>
    <x v="8"/>
    <n v="8"/>
    <s v="MARTES"/>
    <x v="1"/>
    <x v="1"/>
    <n v="1728"/>
    <n v="198"/>
    <n v="293.76000000000005"/>
    <x v="3"/>
  </r>
  <r>
    <d v="2022-02-22T00:00:00"/>
    <x v="8"/>
    <n v="8"/>
    <s v="MARTES"/>
    <x v="4"/>
    <x v="4"/>
    <n v="648"/>
    <n v="162"/>
    <n v="110.16000000000001"/>
    <x v="3"/>
  </r>
  <r>
    <d v="2022-02-22T00:00:00"/>
    <x v="8"/>
    <n v="8"/>
    <s v="MARTES"/>
    <x v="6"/>
    <x v="6"/>
    <n v="10800"/>
    <n v="120"/>
    <n v="1836.0000000000002"/>
    <x v="3"/>
  </r>
  <r>
    <d v="2022-02-22T00:00:00"/>
    <x v="8"/>
    <n v="8"/>
    <s v="MARTES"/>
    <x v="17"/>
    <x v="17"/>
    <n v="4800"/>
    <n v="120"/>
    <n v="816.00000000000011"/>
    <x v="3"/>
  </r>
  <r>
    <d v="2022-02-22T00:00:00"/>
    <x v="8"/>
    <n v="8"/>
    <s v="MARTES"/>
    <x v="10"/>
    <x v="10"/>
    <n v="9600"/>
    <n v="120"/>
    <n v="1632.0000000000002"/>
    <x v="3"/>
  </r>
  <r>
    <d v="2022-02-22T00:00:00"/>
    <x v="8"/>
    <n v="8"/>
    <s v="MARTES"/>
    <x v="23"/>
    <x v="23"/>
    <n v="2160"/>
    <n v="90"/>
    <n v="367.20000000000005"/>
    <x v="3"/>
  </r>
  <r>
    <d v="2022-02-22T00:00:00"/>
    <x v="8"/>
    <n v="8"/>
    <s v="MARTES"/>
    <x v="11"/>
    <x v="11"/>
    <n v="2880"/>
    <n v="90"/>
    <n v="489.6"/>
    <x v="3"/>
  </r>
  <r>
    <d v="2022-02-22T00:00:00"/>
    <x v="8"/>
    <n v="8"/>
    <s v="MARTES"/>
    <x v="20"/>
    <x v="20"/>
    <n v="180"/>
    <n v="90"/>
    <n v="30.6"/>
    <x v="3"/>
  </r>
  <r>
    <d v="2022-02-22T00:00:00"/>
    <x v="8"/>
    <n v="8"/>
    <s v="MARTES"/>
    <x v="12"/>
    <x v="12"/>
    <n v="450"/>
    <n v="225"/>
    <n v="180"/>
    <x v="3"/>
  </r>
  <r>
    <d v="2022-02-22T00:00:00"/>
    <x v="8"/>
    <n v="8"/>
    <s v="MARTES"/>
    <x v="19"/>
    <x v="19"/>
    <n v="225"/>
    <n v="225"/>
    <n v="90"/>
    <x v="3"/>
  </r>
  <r>
    <d v="2022-02-22T00:00:00"/>
    <x v="8"/>
    <n v="8"/>
    <s v="MARTES"/>
    <x v="43"/>
    <x v="43"/>
    <n v="250"/>
    <n v="420"/>
    <n v="105"/>
    <x v="3"/>
  </r>
  <r>
    <d v="2022-02-23T00:00:00"/>
    <x v="8"/>
    <n v="8"/>
    <s v="MIÉRCOLES"/>
    <x v="43"/>
    <x v="43"/>
    <n v="750"/>
    <n v="420"/>
    <n v="315"/>
    <x v="3"/>
  </r>
  <r>
    <d v="2022-02-23T00:00:00"/>
    <x v="8"/>
    <n v="8"/>
    <s v="MIÉRCOLES"/>
    <x v="33"/>
    <x v="33"/>
    <n v="160"/>
    <n v="40"/>
    <n v="36.800000000000004"/>
    <x v="3"/>
  </r>
  <r>
    <d v="2022-02-23T00:00:00"/>
    <x v="8"/>
    <n v="8"/>
    <s v="MIÉRCOLES"/>
    <x v="13"/>
    <x v="13"/>
    <n v="300"/>
    <n v="30"/>
    <n v="120"/>
    <x v="3"/>
  </r>
  <r>
    <d v="2022-02-23T00:00:00"/>
    <x v="8"/>
    <n v="8"/>
    <s v="MIÉRCOLES"/>
    <x v="14"/>
    <x v="14"/>
    <n v="120"/>
    <n v="40"/>
    <n v="27.6"/>
    <x v="3"/>
  </r>
  <r>
    <d v="2022-02-23T00:00:00"/>
    <x v="8"/>
    <n v="8"/>
    <s v="MIÉRCOLES"/>
    <x v="40"/>
    <x v="40"/>
    <n v="224"/>
    <n v="240"/>
    <n v="89.600000000000009"/>
    <x v="3"/>
  </r>
  <r>
    <d v="2022-02-23T00:00:00"/>
    <x v="8"/>
    <n v="8"/>
    <s v="MIÉRCOLES"/>
    <x v="24"/>
    <x v="24"/>
    <n v="2940"/>
    <n v="420"/>
    <n v="1234.8"/>
    <x v="3"/>
  </r>
  <r>
    <d v="2022-02-23T00:00:00"/>
    <x v="8"/>
    <n v="8"/>
    <s v="MIÉRCOLES"/>
    <x v="16"/>
    <x v="16"/>
    <n v="900"/>
    <n v="180"/>
    <n v="378"/>
    <x v="3"/>
  </r>
  <r>
    <d v="2022-02-23T00:00:00"/>
    <x v="8"/>
    <n v="8"/>
    <s v="MIÉRCOLES"/>
    <x v="2"/>
    <x v="2"/>
    <n v="2160"/>
    <n v="198"/>
    <n v="367.20000000000005"/>
    <x v="3"/>
  </r>
  <r>
    <d v="2022-02-23T00:00:00"/>
    <x v="8"/>
    <n v="8"/>
    <s v="MIÉRCOLES"/>
    <x v="5"/>
    <x v="5"/>
    <n v="324"/>
    <n v="162"/>
    <n v="55.080000000000005"/>
    <x v="3"/>
  </r>
  <r>
    <d v="2022-02-23T00:00:00"/>
    <x v="8"/>
    <n v="8"/>
    <s v="MIÉRCOLES"/>
    <x v="17"/>
    <x v="17"/>
    <n v="1800"/>
    <n v="120"/>
    <n v="306"/>
    <x v="3"/>
  </r>
  <r>
    <d v="2022-02-23T00:00:00"/>
    <x v="8"/>
    <n v="8"/>
    <s v="MIÉRCOLES"/>
    <x v="8"/>
    <x v="8"/>
    <n v="2160"/>
    <n v="198"/>
    <n v="367.20000000000005"/>
    <x v="3"/>
  </r>
  <r>
    <d v="2022-02-23T00:00:00"/>
    <x v="8"/>
    <n v="8"/>
    <s v="MIÉRCOLES"/>
    <x v="9"/>
    <x v="9"/>
    <n v="450"/>
    <n v="90"/>
    <n v="76.5"/>
    <x v="3"/>
  </r>
  <r>
    <d v="2022-02-23T00:00:00"/>
    <x v="8"/>
    <n v="8"/>
    <s v="MIÉRCOLES"/>
    <x v="10"/>
    <x v="10"/>
    <n v="12000"/>
    <n v="120"/>
    <n v="2040.0000000000002"/>
    <x v="3"/>
  </r>
  <r>
    <d v="2022-02-23T00:00:00"/>
    <x v="8"/>
    <n v="8"/>
    <s v="MIÉRCOLES"/>
    <x v="26"/>
    <x v="26"/>
    <n v="900"/>
    <n v="90"/>
    <n v="153"/>
    <x v="3"/>
  </r>
  <r>
    <d v="2022-02-23T00:00:00"/>
    <x v="8"/>
    <n v="8"/>
    <s v="MIÉRCOLES"/>
    <x v="11"/>
    <x v="11"/>
    <n v="3600"/>
    <n v="90"/>
    <n v="612"/>
    <x v="3"/>
  </r>
  <r>
    <d v="2022-02-23T00:00:00"/>
    <x v="8"/>
    <n v="8"/>
    <s v="MIÉRCOLES"/>
    <x v="42"/>
    <x v="42"/>
    <n v="500"/>
    <n v="420"/>
    <n v="210"/>
    <x v="3"/>
  </r>
  <r>
    <d v="2022-02-24T00:00:00"/>
    <x v="8"/>
    <n v="8"/>
    <s v="JUEVES"/>
    <x v="28"/>
    <x v="28"/>
    <n v="210"/>
    <n v="30"/>
    <n v="48.300000000000004"/>
    <x v="3"/>
  </r>
  <r>
    <d v="2022-02-24T00:00:00"/>
    <x v="8"/>
    <n v="8"/>
    <s v="JUEVES"/>
    <x v="13"/>
    <x v="13"/>
    <n v="60"/>
    <n v="30"/>
    <n v="24"/>
    <x v="3"/>
  </r>
  <r>
    <d v="2022-02-24T00:00:00"/>
    <x v="8"/>
    <n v="8"/>
    <s v="JUEVES"/>
    <x v="15"/>
    <x v="15"/>
    <n v="450"/>
    <n v="50"/>
    <n v="180"/>
    <x v="3"/>
  </r>
  <r>
    <d v="2022-02-24T00:00:00"/>
    <x v="8"/>
    <n v="8"/>
    <s v="JUEVES"/>
    <x v="24"/>
    <x v="24"/>
    <n v="840"/>
    <n v="420"/>
    <n v="352.8"/>
    <x v="3"/>
  </r>
  <r>
    <d v="2022-02-24T00:00:00"/>
    <x v="8"/>
    <n v="8"/>
    <s v="JUEVES"/>
    <x v="2"/>
    <x v="2"/>
    <n v="1296"/>
    <n v="198"/>
    <n v="220.32000000000002"/>
    <x v="3"/>
  </r>
  <r>
    <d v="2022-02-24T00:00:00"/>
    <x v="8"/>
    <n v="8"/>
    <s v="JUEVES"/>
    <x v="6"/>
    <x v="6"/>
    <n v="3600"/>
    <n v="120"/>
    <n v="612"/>
    <x v="3"/>
  </r>
  <r>
    <d v="2022-02-24T00:00:00"/>
    <x v="8"/>
    <n v="8"/>
    <s v="JUEVES"/>
    <x v="17"/>
    <x v="17"/>
    <n v="2400"/>
    <n v="120"/>
    <n v="408.00000000000006"/>
    <x v="3"/>
  </r>
  <r>
    <d v="2022-02-24T00:00:00"/>
    <x v="8"/>
    <n v="8"/>
    <s v="JUEVES"/>
    <x v="9"/>
    <x v="9"/>
    <n v="720"/>
    <n v="90"/>
    <n v="122.4"/>
    <x v="3"/>
  </r>
  <r>
    <d v="2022-02-24T00:00:00"/>
    <x v="8"/>
    <n v="8"/>
    <s v="JUEVES"/>
    <x v="10"/>
    <x v="10"/>
    <n v="12000"/>
    <n v="120"/>
    <n v="2040.0000000000002"/>
    <x v="3"/>
  </r>
  <r>
    <d v="2022-02-24T00:00:00"/>
    <x v="8"/>
    <n v="8"/>
    <s v="JUEVES"/>
    <x v="79"/>
    <x v="63"/>
    <n v="1925"/>
    <n v="175"/>
    <n v="1694"/>
    <x v="3"/>
  </r>
  <r>
    <d v="2022-02-24T00:00:00"/>
    <x v="8"/>
    <n v="8"/>
    <s v="JUEVES"/>
    <x v="25"/>
    <x v="25"/>
    <n v="1350"/>
    <n v="225"/>
    <n v="567"/>
    <x v="3"/>
  </r>
  <r>
    <d v="2022-02-23T00:00:00"/>
    <x v="8"/>
    <n v="8"/>
    <s v="MIÉRCOLES"/>
    <x v="0"/>
    <x v="0"/>
    <n v="1440"/>
    <n v="48"/>
    <n v="576"/>
    <x v="3"/>
  </r>
  <r>
    <d v="2022-02-23T00:00:00"/>
    <x v="8"/>
    <n v="8"/>
    <s v="MIÉRCOLES"/>
    <x v="24"/>
    <x v="24"/>
    <n v="1260"/>
    <n v="420"/>
    <n v="529.19999999999993"/>
    <x v="3"/>
  </r>
  <r>
    <d v="2022-02-23T00:00:00"/>
    <x v="8"/>
    <n v="8"/>
    <s v="MIÉRCOLES"/>
    <x v="32"/>
    <x v="32"/>
    <n v="840"/>
    <n v="420"/>
    <n v="352.8"/>
    <x v="3"/>
  </r>
  <r>
    <d v="2022-02-23T00:00:00"/>
    <x v="8"/>
    <n v="8"/>
    <s v="MIÉRCOLES"/>
    <x v="2"/>
    <x v="2"/>
    <n v="864"/>
    <n v="198"/>
    <n v="146.88000000000002"/>
    <x v="3"/>
  </r>
  <r>
    <d v="2022-02-23T00:00:00"/>
    <x v="8"/>
    <n v="8"/>
    <s v="MIÉRCOLES"/>
    <x v="6"/>
    <x v="6"/>
    <n v="2400"/>
    <n v="120"/>
    <n v="408.00000000000006"/>
    <x v="3"/>
  </r>
  <r>
    <d v="2022-02-23T00:00:00"/>
    <x v="8"/>
    <n v="8"/>
    <s v="MIÉRCOLES"/>
    <x v="26"/>
    <x v="26"/>
    <n v="450"/>
    <n v="90"/>
    <n v="76.5"/>
    <x v="3"/>
  </r>
  <r>
    <d v="2022-02-23T00:00:00"/>
    <x v="8"/>
    <n v="8"/>
    <s v="MIÉRCOLES"/>
    <x v="20"/>
    <x v="20"/>
    <n v="450"/>
    <n v="90"/>
    <n v="76.5"/>
    <x v="3"/>
  </r>
  <r>
    <d v="2022-02-23T00:00:00"/>
    <x v="8"/>
    <n v="8"/>
    <s v="MIÉRCOLES"/>
    <x v="25"/>
    <x v="25"/>
    <n v="675"/>
    <n v="225"/>
    <n v="283.5"/>
    <x v="3"/>
  </r>
  <r>
    <d v="2022-02-23T00:00:00"/>
    <x v="8"/>
    <n v="8"/>
    <s v="MIÉRCOLES"/>
    <x v="42"/>
    <x v="42"/>
    <n v="500"/>
    <n v="420"/>
    <n v="210"/>
    <x v="3"/>
  </r>
  <r>
    <d v="2022-02-23T00:00:00"/>
    <x v="8"/>
    <n v="8"/>
    <s v="MIÉRCOLES"/>
    <x v="43"/>
    <x v="43"/>
    <n v="250"/>
    <n v="420"/>
    <n v="105"/>
    <x v="3"/>
  </r>
  <r>
    <d v="2022-02-25T00:00:00"/>
    <x v="8"/>
    <n v="8"/>
    <s v="VIERNES"/>
    <x v="13"/>
    <x v="13"/>
    <n v="150"/>
    <n v="30"/>
    <n v="60"/>
    <x v="3"/>
  </r>
  <r>
    <d v="2022-02-25T00:00:00"/>
    <x v="8"/>
    <n v="8"/>
    <s v="VIERNES"/>
    <x v="14"/>
    <x v="14"/>
    <n v="80"/>
    <n v="40"/>
    <n v="18.400000000000002"/>
    <x v="3"/>
  </r>
  <r>
    <d v="2022-02-25T00:00:00"/>
    <x v="8"/>
    <n v="8"/>
    <s v="VIERNES"/>
    <x v="15"/>
    <x v="15"/>
    <n v="350"/>
    <n v="50"/>
    <n v="140"/>
    <x v="3"/>
  </r>
  <r>
    <d v="2022-02-25T00:00:00"/>
    <x v="8"/>
    <n v="8"/>
    <s v="VIERNES"/>
    <x v="22"/>
    <x v="22"/>
    <n v="1386"/>
    <n v="198"/>
    <n v="235.62"/>
    <x v="3"/>
  </r>
  <r>
    <d v="2022-02-25T00:00:00"/>
    <x v="8"/>
    <n v="8"/>
    <s v="VIERNES"/>
    <x v="3"/>
    <x v="3"/>
    <n v="396"/>
    <n v="198"/>
    <n v="67.320000000000007"/>
    <x v="3"/>
  </r>
  <r>
    <d v="2022-02-25T00:00:00"/>
    <x v="8"/>
    <n v="8"/>
    <s v="VIERNES"/>
    <x v="7"/>
    <x v="7"/>
    <n v="2376"/>
    <n v="198"/>
    <n v="403.92"/>
    <x v="3"/>
  </r>
  <r>
    <d v="2022-02-25T00:00:00"/>
    <x v="8"/>
    <n v="8"/>
    <s v="VIERNES"/>
    <x v="8"/>
    <x v="8"/>
    <n v="1944"/>
    <n v="198"/>
    <n v="330.48"/>
    <x v="3"/>
  </r>
  <r>
    <d v="2022-02-25T00:00:00"/>
    <x v="8"/>
    <n v="8"/>
    <s v="VIERNES"/>
    <x v="9"/>
    <x v="9"/>
    <n v="360"/>
    <n v="90"/>
    <n v="61.2"/>
    <x v="3"/>
  </r>
  <r>
    <d v="2022-02-25T00:00:00"/>
    <x v="8"/>
    <n v="8"/>
    <s v="VIERNES"/>
    <x v="10"/>
    <x v="10"/>
    <n v="12000"/>
    <n v="120"/>
    <n v="2040.0000000000002"/>
    <x v="3"/>
  </r>
  <r>
    <d v="2022-02-25T00:00:00"/>
    <x v="8"/>
    <n v="8"/>
    <s v="VIERNES"/>
    <x v="26"/>
    <x v="26"/>
    <n v="450"/>
    <n v="90"/>
    <n v="76.5"/>
    <x v="3"/>
  </r>
  <r>
    <d v="2022-02-25T00:00:00"/>
    <x v="8"/>
    <n v="8"/>
    <s v="VIERNES"/>
    <x v="11"/>
    <x v="11"/>
    <n v="1800"/>
    <n v="90"/>
    <n v="306"/>
    <x v="3"/>
  </r>
  <r>
    <d v="2022-02-25T00:00:00"/>
    <x v="8"/>
    <n v="8"/>
    <s v="VIERNES"/>
    <x v="25"/>
    <x v="25"/>
    <n v="2025"/>
    <n v="225"/>
    <n v="850.5"/>
    <x v="3"/>
  </r>
  <r>
    <d v="2022-02-25T00:00:00"/>
    <x v="8"/>
    <n v="8"/>
    <s v="VIERNES"/>
    <x v="12"/>
    <x v="12"/>
    <n v="225"/>
    <n v="225"/>
    <n v="90"/>
    <x v="3"/>
  </r>
  <r>
    <d v="2022-02-25T00:00:00"/>
    <x v="8"/>
    <n v="8"/>
    <s v="VIERNES"/>
    <x v="79"/>
    <x v="63"/>
    <n v="1750"/>
    <n v="175"/>
    <n v="1540"/>
    <x v="3"/>
  </r>
  <r>
    <d v="2022-02-24T00:00:00"/>
    <x v="8"/>
    <n v="8"/>
    <s v="JUEVES"/>
    <x v="16"/>
    <x v="16"/>
    <n v="900"/>
    <n v="180"/>
    <n v="378"/>
    <x v="3"/>
  </r>
  <r>
    <d v="2022-02-24T00:00:00"/>
    <x v="8"/>
    <n v="8"/>
    <s v="JUEVES"/>
    <x v="3"/>
    <x v="3"/>
    <n v="1386"/>
    <n v="198"/>
    <n v="235.62"/>
    <x v="3"/>
  </r>
  <r>
    <d v="2022-02-24T00:00:00"/>
    <x v="8"/>
    <n v="8"/>
    <s v="JUEVES"/>
    <x v="4"/>
    <x v="4"/>
    <n v="648"/>
    <n v="162"/>
    <n v="110.16000000000001"/>
    <x v="3"/>
  </r>
  <r>
    <d v="2022-02-24T00:00:00"/>
    <x v="8"/>
    <n v="8"/>
    <s v="JUEVES"/>
    <x v="5"/>
    <x v="5"/>
    <n v="486"/>
    <n v="162"/>
    <n v="82.62"/>
    <x v="3"/>
  </r>
  <r>
    <d v="2022-02-24T00:00:00"/>
    <x v="8"/>
    <n v="8"/>
    <s v="JUEVES"/>
    <x v="6"/>
    <x v="6"/>
    <n v="2400"/>
    <n v="120"/>
    <n v="408.00000000000006"/>
    <x v="3"/>
  </r>
  <r>
    <d v="2022-02-24T00:00:00"/>
    <x v="8"/>
    <n v="8"/>
    <s v="JUEVES"/>
    <x v="7"/>
    <x v="7"/>
    <n v="864"/>
    <n v="198"/>
    <n v="146.88000000000002"/>
    <x v="3"/>
  </r>
  <r>
    <d v="2022-02-24T00:00:00"/>
    <x v="8"/>
    <n v="8"/>
    <s v="JUEVES"/>
    <x v="9"/>
    <x v="9"/>
    <n v="540"/>
    <n v="90"/>
    <n v="91.800000000000011"/>
    <x v="3"/>
  </r>
  <r>
    <d v="2022-02-24T00:00:00"/>
    <x v="8"/>
    <n v="8"/>
    <s v="JUEVES"/>
    <x v="7"/>
    <x v="7"/>
    <n v="900"/>
    <n v="198"/>
    <n v="153"/>
    <x v="3"/>
  </r>
  <r>
    <d v="2022-02-24T00:00:00"/>
    <x v="8"/>
    <n v="8"/>
    <s v="JUEVES"/>
    <x v="25"/>
    <x v="25"/>
    <n v="1575"/>
    <n v="225"/>
    <n v="661.5"/>
    <x v="3"/>
  </r>
  <r>
    <d v="2022-02-24T00:00:00"/>
    <x v="8"/>
    <n v="8"/>
    <s v="JUEVES"/>
    <x v="12"/>
    <x v="12"/>
    <n v="1350"/>
    <n v="225"/>
    <n v="540"/>
    <x v="3"/>
  </r>
  <r>
    <d v="2022-02-24T00:00:00"/>
    <x v="8"/>
    <n v="8"/>
    <s v="JUEVES"/>
    <x v="42"/>
    <x v="42"/>
    <n v="500"/>
    <n v="420"/>
    <n v="210"/>
    <x v="3"/>
  </r>
  <r>
    <d v="2022-02-25T00:00:00"/>
    <x v="8"/>
    <n v="8"/>
    <s v="VIERNES"/>
    <x v="0"/>
    <x v="0"/>
    <n v="960"/>
    <n v="48"/>
    <n v="384"/>
    <x v="3"/>
  </r>
  <r>
    <d v="2022-02-25T00:00:00"/>
    <x v="8"/>
    <n v="8"/>
    <s v="VIERNES"/>
    <x v="1"/>
    <x v="1"/>
    <n v="3240"/>
    <n v="198"/>
    <n v="550.80000000000007"/>
    <x v="3"/>
  </r>
  <r>
    <d v="2022-02-25T00:00:00"/>
    <x v="8"/>
    <n v="8"/>
    <s v="VIERNES"/>
    <x v="2"/>
    <x v="2"/>
    <n v="432"/>
    <n v="198"/>
    <n v="73.440000000000012"/>
    <x v="3"/>
  </r>
  <r>
    <d v="2022-02-25T00:00:00"/>
    <x v="8"/>
    <n v="8"/>
    <s v="VIERNES"/>
    <x v="10"/>
    <x v="10"/>
    <n v="720"/>
    <n v="120"/>
    <n v="122.4"/>
    <x v="3"/>
  </r>
  <r>
    <d v="2022-02-25T00:00:00"/>
    <x v="8"/>
    <n v="8"/>
    <s v="VIERNES"/>
    <x v="23"/>
    <x v="23"/>
    <n v="2160"/>
    <n v="90"/>
    <n v="367.20000000000005"/>
    <x v="3"/>
  </r>
  <r>
    <d v="2022-02-26T00:00:00"/>
    <x v="8"/>
    <n v="9"/>
    <s v="SÁBADO"/>
    <x v="13"/>
    <x v="13"/>
    <n v="150"/>
    <n v="30"/>
    <n v="60"/>
    <x v="3"/>
  </r>
  <r>
    <d v="2022-02-26T00:00:00"/>
    <x v="8"/>
    <n v="9"/>
    <s v="SÁBADO"/>
    <x v="15"/>
    <x v="15"/>
    <n v="200"/>
    <n v="50"/>
    <n v="80"/>
    <x v="3"/>
  </r>
  <r>
    <d v="2022-02-26T00:00:00"/>
    <x v="8"/>
    <n v="9"/>
    <s v="SÁBADO"/>
    <x v="40"/>
    <x v="40"/>
    <n v="112"/>
    <n v="240"/>
    <n v="44.800000000000004"/>
    <x v="3"/>
  </r>
  <r>
    <d v="2022-02-26T00:00:00"/>
    <x v="8"/>
    <n v="9"/>
    <s v="SÁBADO"/>
    <x v="38"/>
    <x v="38"/>
    <n v="448"/>
    <n v="112"/>
    <n v="179.20000000000002"/>
    <x v="3"/>
  </r>
  <r>
    <d v="2022-02-26T00:00:00"/>
    <x v="8"/>
    <n v="9"/>
    <s v="SÁBADO"/>
    <x v="24"/>
    <x v="24"/>
    <n v="2940"/>
    <n v="420"/>
    <n v="1234.8"/>
    <x v="3"/>
  </r>
  <r>
    <d v="2022-02-26T00:00:00"/>
    <x v="8"/>
    <n v="9"/>
    <s v="SÁBADO"/>
    <x v="2"/>
    <x v="2"/>
    <n v="1728"/>
    <n v="198"/>
    <n v="293.76000000000005"/>
    <x v="3"/>
  </r>
  <r>
    <d v="2022-02-26T00:00:00"/>
    <x v="8"/>
    <n v="9"/>
    <s v="SÁBADO"/>
    <x v="17"/>
    <x v="17"/>
    <n v="2400"/>
    <n v="120"/>
    <n v="408.00000000000006"/>
    <x v="3"/>
  </r>
  <r>
    <d v="2022-02-26T00:00:00"/>
    <x v="8"/>
    <n v="9"/>
    <s v="SÁBADO"/>
    <x v="7"/>
    <x v="7"/>
    <n v="1080"/>
    <n v="198"/>
    <n v="183.60000000000002"/>
    <x v="3"/>
  </r>
  <r>
    <d v="2022-02-26T00:00:00"/>
    <x v="8"/>
    <n v="9"/>
    <s v="SÁBADO"/>
    <x v="9"/>
    <x v="9"/>
    <n v="450"/>
    <n v="90"/>
    <n v="76.5"/>
    <x v="3"/>
  </r>
  <r>
    <d v="2022-02-26T00:00:00"/>
    <x v="8"/>
    <n v="9"/>
    <s v="SÁBADO"/>
    <x v="10"/>
    <x v="10"/>
    <n v="5040"/>
    <n v="120"/>
    <n v="856.80000000000007"/>
    <x v="3"/>
  </r>
  <r>
    <d v="2022-02-26T00:00:00"/>
    <x v="8"/>
    <n v="9"/>
    <s v="SÁBADO"/>
    <x v="23"/>
    <x v="23"/>
    <n v="720"/>
    <n v="90"/>
    <n v="122.4"/>
    <x v="3"/>
  </r>
  <r>
    <d v="2022-02-26T00:00:00"/>
    <x v="8"/>
    <n v="9"/>
    <s v="SÁBADO"/>
    <x v="26"/>
    <x v="26"/>
    <n v="1440"/>
    <n v="90"/>
    <n v="244.8"/>
    <x v="3"/>
  </r>
  <r>
    <d v="2022-02-26T00:00:00"/>
    <x v="8"/>
    <n v="9"/>
    <s v="SÁBADO"/>
    <x v="20"/>
    <x v="20"/>
    <n v="450"/>
    <n v="90"/>
    <n v="76.5"/>
    <x v="3"/>
  </r>
  <r>
    <d v="2022-02-26T00:00:00"/>
    <x v="8"/>
    <n v="9"/>
    <s v="SÁBADO"/>
    <x v="25"/>
    <x v="25"/>
    <n v="3600"/>
    <n v="225"/>
    <n v="1512"/>
    <x v="3"/>
  </r>
  <r>
    <d v="2022-02-26T00:00:00"/>
    <x v="8"/>
    <n v="9"/>
    <s v="SÁBADO"/>
    <x v="19"/>
    <x v="19"/>
    <n v="450"/>
    <n v="225"/>
    <n v="180"/>
    <x v="3"/>
  </r>
  <r>
    <d v="2022-02-26T00:00:00"/>
    <x v="8"/>
    <n v="9"/>
    <s v="SÁBADO"/>
    <x v="79"/>
    <x v="63"/>
    <n v="1750"/>
    <n v="175"/>
    <n v="1540"/>
    <x v="3"/>
  </r>
  <r>
    <d v="2022-02-27T00:00:00"/>
    <x v="8"/>
    <n v="9"/>
    <s v="DOMINGO"/>
    <x v="38"/>
    <x v="38"/>
    <n v="448"/>
    <n v="112"/>
    <n v="179.20000000000002"/>
    <x v="3"/>
  </r>
  <r>
    <d v="2022-02-27T00:00:00"/>
    <x v="8"/>
    <n v="9"/>
    <s v="DOMINGO"/>
    <x v="5"/>
    <x v="5"/>
    <n v="648"/>
    <n v="162"/>
    <n v="110.16000000000001"/>
    <x v="3"/>
  </r>
  <r>
    <d v="2022-02-27T00:00:00"/>
    <x v="8"/>
    <n v="9"/>
    <s v="DOMINGO"/>
    <x v="6"/>
    <x v="6"/>
    <n v="2400"/>
    <n v="120"/>
    <n v="408.00000000000006"/>
    <x v="3"/>
  </r>
  <r>
    <d v="2022-02-27T00:00:00"/>
    <x v="8"/>
    <n v="9"/>
    <s v="DOMINGO"/>
    <x v="9"/>
    <x v="9"/>
    <n v="180"/>
    <n v="90"/>
    <n v="30.6"/>
    <x v="3"/>
  </r>
  <r>
    <d v="2022-02-27T00:00:00"/>
    <x v="8"/>
    <n v="9"/>
    <s v="DOMINGO"/>
    <x v="26"/>
    <x v="26"/>
    <n v="720"/>
    <n v="90"/>
    <n v="122.4"/>
    <x v="3"/>
  </r>
  <r>
    <d v="2022-02-27T00:00:00"/>
    <x v="8"/>
    <n v="9"/>
    <s v="DOMINGO"/>
    <x v="23"/>
    <x v="23"/>
    <n v="1890"/>
    <n v="90"/>
    <n v="321.3"/>
    <x v="3"/>
  </r>
  <r>
    <d v="2022-02-27T00:00:00"/>
    <x v="8"/>
    <n v="9"/>
    <s v="DOMINGO"/>
    <x v="20"/>
    <x v="20"/>
    <n v="180"/>
    <n v="90"/>
    <n v="30.6"/>
    <x v="3"/>
  </r>
  <r>
    <d v="2022-02-27T00:00:00"/>
    <x v="8"/>
    <n v="9"/>
    <s v="DOMINGO"/>
    <x v="19"/>
    <x v="19"/>
    <n v="450"/>
    <n v="225"/>
    <n v="180"/>
    <x v="3"/>
  </r>
  <r>
    <d v="2022-02-27T00:00:00"/>
    <x v="8"/>
    <n v="9"/>
    <s v="DOMINGO"/>
    <x v="42"/>
    <x v="42"/>
    <n v="500"/>
    <n v="420"/>
    <n v="210"/>
    <x v="3"/>
  </r>
  <r>
    <d v="2022-02-27T00:00:00"/>
    <x v="8"/>
    <n v="9"/>
    <s v="DOMINGO"/>
    <x v="43"/>
    <x v="43"/>
    <n v="1000"/>
    <n v="420"/>
    <n v="420"/>
    <x v="3"/>
  </r>
  <r>
    <d v="2022-02-28T00:00:00"/>
    <x v="8"/>
    <n v="9"/>
    <s v="LUNES"/>
    <x v="28"/>
    <x v="28"/>
    <n v="210"/>
    <n v="30"/>
    <n v="48.300000000000004"/>
    <x v="3"/>
  </r>
  <r>
    <d v="2022-02-28T00:00:00"/>
    <x v="8"/>
    <n v="9"/>
    <s v="LUNES"/>
    <x v="13"/>
    <x v="13"/>
    <n v="210"/>
    <n v="30"/>
    <n v="84"/>
    <x v="3"/>
  </r>
  <r>
    <d v="2022-02-28T00:00:00"/>
    <x v="8"/>
    <n v="9"/>
    <s v="LUNES"/>
    <x v="40"/>
    <x v="40"/>
    <n v="224"/>
    <n v="240"/>
    <n v="89.600000000000009"/>
    <x v="3"/>
  </r>
  <r>
    <d v="2022-02-28T00:00:00"/>
    <x v="8"/>
    <n v="9"/>
    <s v="LUNES"/>
    <x v="38"/>
    <x v="38"/>
    <n v="112"/>
    <n v="112"/>
    <n v="44.800000000000004"/>
    <x v="3"/>
  </r>
  <r>
    <d v="2022-02-28T00:00:00"/>
    <x v="8"/>
    <n v="9"/>
    <s v="LUNES"/>
    <x v="16"/>
    <x v="16"/>
    <n v="900"/>
    <n v="180"/>
    <n v="378"/>
    <x v="3"/>
  </r>
  <r>
    <d v="2022-02-28T00:00:00"/>
    <x v="8"/>
    <n v="9"/>
    <s v="LUNES"/>
    <x v="1"/>
    <x v="1"/>
    <n v="2160"/>
    <n v="198"/>
    <n v="367.20000000000005"/>
    <x v="3"/>
  </r>
  <r>
    <d v="2022-02-28T00:00:00"/>
    <x v="8"/>
    <n v="9"/>
    <s v="LUNES"/>
    <x v="4"/>
    <x v="4"/>
    <n v="1296"/>
    <n v="162"/>
    <n v="220.32000000000002"/>
    <x v="3"/>
  </r>
  <r>
    <d v="2022-02-28T00:00:00"/>
    <x v="8"/>
    <n v="9"/>
    <s v="LUNES"/>
    <x v="6"/>
    <x v="6"/>
    <n v="1200"/>
    <n v="120"/>
    <n v="204.00000000000003"/>
    <x v="3"/>
  </r>
  <r>
    <d v="2022-02-28T00:00:00"/>
    <x v="8"/>
    <n v="9"/>
    <s v="LUNES"/>
    <x v="17"/>
    <x v="17"/>
    <n v="1800"/>
    <n v="120"/>
    <n v="306"/>
    <x v="3"/>
  </r>
  <r>
    <d v="2022-02-28T00:00:00"/>
    <x v="8"/>
    <n v="9"/>
    <s v="LUNES"/>
    <x v="7"/>
    <x v="7"/>
    <n v="2160"/>
    <n v="198"/>
    <n v="367.20000000000005"/>
    <x v="3"/>
  </r>
  <r>
    <d v="2022-02-28T00:00:00"/>
    <x v="8"/>
    <n v="9"/>
    <s v="LUNES"/>
    <x v="8"/>
    <x v="8"/>
    <n v="2160"/>
    <n v="198"/>
    <n v="367.20000000000005"/>
    <x v="3"/>
  </r>
  <r>
    <d v="2022-02-28T00:00:00"/>
    <x v="8"/>
    <n v="9"/>
    <s v="LUNES"/>
    <x v="9"/>
    <x v="9"/>
    <n v="540"/>
    <n v="90"/>
    <n v="91.800000000000011"/>
    <x v="3"/>
  </r>
  <r>
    <d v="2022-02-28T00:00:00"/>
    <x v="8"/>
    <n v="9"/>
    <s v="LUNES"/>
    <x v="10"/>
    <x v="10"/>
    <n v="12000"/>
    <n v="120"/>
    <n v="2040.0000000000002"/>
    <x v="3"/>
  </r>
  <r>
    <d v="2022-02-28T00:00:00"/>
    <x v="8"/>
    <n v="9"/>
    <s v="LUNES"/>
    <x v="11"/>
    <x v="11"/>
    <n v="1440"/>
    <n v="90"/>
    <n v="244.8"/>
    <x v="3"/>
  </r>
  <r>
    <d v="2022-02-28T00:00:00"/>
    <x v="8"/>
    <n v="9"/>
    <s v="LUNES"/>
    <x v="79"/>
    <x v="63"/>
    <n v="1750"/>
    <n v="175"/>
    <n v="1540"/>
    <x v="3"/>
  </r>
  <r>
    <d v="2022-03-01T00:00:00"/>
    <x v="9"/>
    <n v="9"/>
    <s v="MARTES"/>
    <x v="2"/>
    <x v="2"/>
    <n v="2160"/>
    <n v="198"/>
    <n v="367.20000000000005"/>
    <x v="3"/>
  </r>
  <r>
    <d v="2022-03-01T00:00:00"/>
    <x v="9"/>
    <n v="9"/>
    <s v="MARTES"/>
    <x v="34"/>
    <x v="34"/>
    <n v="432"/>
    <n v="198"/>
    <n v="73.440000000000012"/>
    <x v="3"/>
  </r>
  <r>
    <d v="2022-03-01T00:00:00"/>
    <x v="9"/>
    <n v="9"/>
    <s v="MARTES"/>
    <x v="29"/>
    <x v="29"/>
    <n v="432"/>
    <n v="198"/>
    <n v="73.440000000000012"/>
    <x v="3"/>
  </r>
  <r>
    <d v="2022-03-01T00:00:00"/>
    <x v="9"/>
    <n v="9"/>
    <s v="MARTES"/>
    <x v="40"/>
    <x v="40"/>
    <n v="224"/>
    <n v="240"/>
    <n v="89.600000000000009"/>
    <x v="3"/>
  </r>
  <r>
    <d v="2022-03-01T00:00:00"/>
    <x v="9"/>
    <n v="9"/>
    <s v="MARTES"/>
    <x v="38"/>
    <x v="38"/>
    <n v="448"/>
    <n v="112"/>
    <n v="179.20000000000002"/>
    <x v="3"/>
  </r>
  <r>
    <d v="2022-03-01T00:00:00"/>
    <x v="9"/>
    <n v="9"/>
    <s v="MARTES"/>
    <x v="16"/>
    <x v="16"/>
    <n v="540"/>
    <n v="180"/>
    <n v="226.79999999999998"/>
    <x v="3"/>
  </r>
  <r>
    <d v="2022-03-01T00:00:00"/>
    <x v="9"/>
    <n v="9"/>
    <s v="MARTES"/>
    <x v="1"/>
    <x v="1"/>
    <n v="2160"/>
    <n v="198"/>
    <n v="367.20000000000005"/>
    <x v="3"/>
  </r>
  <r>
    <d v="2022-03-01T00:00:00"/>
    <x v="9"/>
    <n v="9"/>
    <s v="MARTES"/>
    <x v="22"/>
    <x v="22"/>
    <n v="792"/>
    <n v="198"/>
    <n v="134.64000000000001"/>
    <x v="3"/>
  </r>
  <r>
    <d v="2022-03-01T00:00:00"/>
    <x v="9"/>
    <n v="9"/>
    <s v="MARTES"/>
    <x v="3"/>
    <x v="3"/>
    <n v="990"/>
    <n v="198"/>
    <n v="168.3"/>
    <x v="3"/>
  </r>
  <r>
    <d v="2022-03-01T00:00:00"/>
    <x v="9"/>
    <n v="9"/>
    <s v="MARTES"/>
    <x v="4"/>
    <x v="4"/>
    <n v="324"/>
    <n v="162"/>
    <n v="55.080000000000005"/>
    <x v="3"/>
  </r>
  <r>
    <d v="2022-03-01T00:00:00"/>
    <x v="9"/>
    <n v="9"/>
    <s v="MARTES"/>
    <x v="17"/>
    <x v="17"/>
    <n v="1440"/>
    <n v="120"/>
    <n v="244.8"/>
    <x v="3"/>
  </r>
  <r>
    <d v="2022-03-01T00:00:00"/>
    <x v="9"/>
    <n v="9"/>
    <s v="MARTES"/>
    <x v="7"/>
    <x v="7"/>
    <n v="1080"/>
    <n v="198"/>
    <n v="183.60000000000002"/>
    <x v="3"/>
  </r>
  <r>
    <d v="2022-03-01T00:00:00"/>
    <x v="9"/>
    <n v="9"/>
    <s v="MARTES"/>
    <x v="8"/>
    <x v="8"/>
    <n v="864"/>
    <n v="198"/>
    <n v="146.88000000000002"/>
    <x v="3"/>
  </r>
  <r>
    <d v="2022-03-01T00:00:00"/>
    <x v="9"/>
    <n v="9"/>
    <s v="MARTES"/>
    <x v="43"/>
    <x v="43"/>
    <n v="250"/>
    <n v="420"/>
    <n v="105"/>
    <x v="3"/>
  </r>
  <r>
    <d v="2022-03-01T00:00:00"/>
    <x v="9"/>
    <n v="9"/>
    <s v="MARTES"/>
    <x v="68"/>
    <x v="52"/>
    <n v="1000"/>
    <n v="250"/>
    <n v="420"/>
    <x v="3"/>
  </r>
  <r>
    <d v="2022-03-01T00:00:00"/>
    <x v="9"/>
    <n v="9"/>
    <s v="MARTES"/>
    <x v="77"/>
    <x v="61"/>
    <n v="125"/>
    <n v="125"/>
    <n v="88.75"/>
    <x v="3"/>
  </r>
  <r>
    <d v="2022-03-01T00:00:00"/>
    <x v="9"/>
    <n v="9"/>
    <s v="MARTES"/>
    <x v="4"/>
    <x v="4"/>
    <n v="324"/>
    <n v="162"/>
    <n v="55.080000000000005"/>
    <x v="3"/>
  </r>
  <r>
    <d v="2022-03-01T00:00:00"/>
    <x v="9"/>
    <n v="9"/>
    <s v="MARTES"/>
    <x v="8"/>
    <x v="8"/>
    <n v="1296"/>
    <n v="198"/>
    <n v="220.32000000000002"/>
    <x v="3"/>
  </r>
  <r>
    <d v="2022-03-01T00:00:00"/>
    <x v="9"/>
    <n v="9"/>
    <s v="MARTES"/>
    <x v="9"/>
    <x v="9"/>
    <n v="450"/>
    <n v="90"/>
    <n v="76.5"/>
    <x v="3"/>
  </r>
  <r>
    <d v="2022-03-01T00:00:00"/>
    <x v="9"/>
    <n v="9"/>
    <s v="MARTES"/>
    <x v="10"/>
    <x v="10"/>
    <n v="3840"/>
    <n v="120"/>
    <n v="652.80000000000007"/>
    <x v="3"/>
  </r>
  <r>
    <d v="2022-03-01T00:00:00"/>
    <x v="9"/>
    <n v="9"/>
    <s v="MARTES"/>
    <x v="26"/>
    <x v="26"/>
    <n v="720"/>
    <n v="90"/>
    <n v="122.4"/>
    <x v="3"/>
  </r>
  <r>
    <d v="2022-03-01T00:00:00"/>
    <x v="9"/>
    <n v="9"/>
    <s v="MARTES"/>
    <x v="11"/>
    <x v="11"/>
    <n v="2880"/>
    <n v="90"/>
    <n v="489.6"/>
    <x v="3"/>
  </r>
  <r>
    <d v="2022-03-01T00:00:00"/>
    <x v="9"/>
    <n v="9"/>
    <s v="MARTES"/>
    <x v="20"/>
    <x v="20"/>
    <n v="450"/>
    <n v="90"/>
    <n v="76.5"/>
    <x v="3"/>
  </r>
  <r>
    <d v="2022-03-01T00:00:00"/>
    <x v="9"/>
    <n v="9"/>
    <s v="MARTES"/>
    <x v="64"/>
    <x v="48"/>
    <n v="360"/>
    <n v="30"/>
    <n v="75.599999999999994"/>
    <x v="3"/>
  </r>
  <r>
    <d v="2022-03-01T00:00:00"/>
    <x v="9"/>
    <n v="9"/>
    <s v="MARTES"/>
    <x v="77"/>
    <x v="61"/>
    <n v="625"/>
    <n v="125"/>
    <n v="443.75"/>
    <x v="3"/>
  </r>
  <r>
    <d v="2022-03-01T00:00:00"/>
    <x v="9"/>
    <n v="9"/>
    <s v="MARTES"/>
    <x v="28"/>
    <x v="28"/>
    <n v="150"/>
    <n v="30"/>
    <n v="34.5"/>
    <x v="3"/>
  </r>
  <r>
    <d v="2022-03-01T00:00:00"/>
    <x v="9"/>
    <n v="9"/>
    <s v="MARTES"/>
    <x v="6"/>
    <x v="6"/>
    <n v="4800"/>
    <n v="120"/>
    <n v="816.00000000000011"/>
    <x v="3"/>
  </r>
  <r>
    <d v="2022-03-01T00:00:00"/>
    <x v="9"/>
    <n v="9"/>
    <s v="MARTES"/>
    <x v="17"/>
    <x v="17"/>
    <n v="960"/>
    <n v="120"/>
    <n v="163.20000000000002"/>
    <x v="3"/>
  </r>
  <r>
    <d v="2022-03-01T00:00:00"/>
    <x v="9"/>
    <n v="9"/>
    <s v="MARTES"/>
    <x v="9"/>
    <x v="9"/>
    <n v="450"/>
    <n v="90"/>
    <n v="76.5"/>
    <x v="3"/>
  </r>
  <r>
    <d v="2022-03-01T00:00:00"/>
    <x v="9"/>
    <n v="9"/>
    <s v="MARTES"/>
    <x v="10"/>
    <x v="10"/>
    <n v="3360"/>
    <n v="120"/>
    <n v="571.20000000000005"/>
    <x v="3"/>
  </r>
  <r>
    <d v="2022-03-01T00:00:00"/>
    <x v="9"/>
    <n v="9"/>
    <s v="MARTES"/>
    <x v="64"/>
    <x v="48"/>
    <n v="120"/>
    <n v="30"/>
    <n v="25.2"/>
    <x v="3"/>
  </r>
  <r>
    <d v="2022-03-01T00:00:00"/>
    <x v="9"/>
    <n v="9"/>
    <s v="MARTES"/>
    <x v="77"/>
    <x v="61"/>
    <n v="500"/>
    <n v="125"/>
    <n v="355"/>
    <x v="3"/>
  </r>
  <r>
    <d v="2022-03-01T00:00:00"/>
    <x v="9"/>
    <n v="9"/>
    <s v="MARTES"/>
    <x v="77"/>
    <x v="61"/>
    <n v="250"/>
    <n v="125"/>
    <n v="177.5"/>
    <x v="3"/>
  </r>
  <r>
    <d v="2022-03-01T00:00:00"/>
    <x v="9"/>
    <n v="9"/>
    <s v="MARTES"/>
    <x v="44"/>
    <x v="44"/>
    <n v="1750"/>
    <n v="420"/>
    <n v="735"/>
    <x v="3"/>
  </r>
  <r>
    <d v="2022-03-01T00:00:00"/>
    <x v="9"/>
    <n v="9"/>
    <s v="MARTES"/>
    <x v="1"/>
    <x v="1"/>
    <n v="2808"/>
    <n v="198"/>
    <n v="477.36"/>
    <x v="3"/>
  </r>
  <r>
    <d v="2022-03-01T00:00:00"/>
    <x v="9"/>
    <n v="9"/>
    <s v="MARTES"/>
    <x v="11"/>
    <x v="11"/>
    <n v="720"/>
    <n v="90"/>
    <n v="122.4"/>
    <x v="3"/>
  </r>
  <r>
    <d v="2022-03-01T00:00:00"/>
    <x v="9"/>
    <n v="9"/>
    <s v="MARTES"/>
    <x v="3"/>
    <x v="3"/>
    <n v="396"/>
    <n v="198"/>
    <n v="67.320000000000007"/>
    <x v="3"/>
  </r>
  <r>
    <d v="2022-03-01T00:00:00"/>
    <x v="9"/>
    <n v="9"/>
    <s v="MARTES"/>
    <x v="20"/>
    <x v="20"/>
    <n v="450"/>
    <n v="90"/>
    <n v="76.5"/>
    <x v="3"/>
  </r>
  <r>
    <d v="2022-03-01T00:00:00"/>
    <x v="9"/>
    <n v="9"/>
    <s v="MARTES"/>
    <x v="2"/>
    <x v="2"/>
    <n v="1512"/>
    <n v="198"/>
    <n v="257.04000000000002"/>
    <x v="3"/>
  </r>
  <r>
    <d v="2022-03-01T00:00:00"/>
    <x v="9"/>
    <n v="9"/>
    <s v="MARTES"/>
    <x v="9"/>
    <x v="9"/>
    <n v="180"/>
    <n v="90"/>
    <n v="30.6"/>
    <x v="3"/>
  </r>
  <r>
    <d v="2022-03-01T00:00:00"/>
    <x v="9"/>
    <n v="9"/>
    <s v="MARTES"/>
    <x v="23"/>
    <x v="23"/>
    <n v="180"/>
    <n v="90"/>
    <n v="30.6"/>
    <x v="3"/>
  </r>
  <r>
    <d v="2022-03-02T00:00:00"/>
    <x v="9"/>
    <n v="9"/>
    <s v="MIÉRCOLES"/>
    <x v="0"/>
    <x v="0"/>
    <n v="1392"/>
    <n v="48"/>
    <n v="556.80000000000007"/>
    <x v="3"/>
  </r>
  <r>
    <d v="2022-03-02T00:00:00"/>
    <x v="9"/>
    <n v="9"/>
    <s v="MIÉRCOLES"/>
    <x v="1"/>
    <x v="1"/>
    <n v="432"/>
    <n v="198"/>
    <n v="73.440000000000012"/>
    <x v="3"/>
  </r>
  <r>
    <d v="2022-03-02T00:00:00"/>
    <x v="9"/>
    <n v="9"/>
    <s v="MIÉRCOLES"/>
    <x v="3"/>
    <x v="3"/>
    <n v="396"/>
    <n v="198"/>
    <n v="67.320000000000007"/>
    <x v="3"/>
  </r>
  <r>
    <d v="2022-03-02T00:00:00"/>
    <x v="9"/>
    <n v="9"/>
    <s v="MIÉRCOLES"/>
    <x v="5"/>
    <x v="5"/>
    <n v="810"/>
    <n v="162"/>
    <n v="137.70000000000002"/>
    <x v="3"/>
  </r>
  <r>
    <d v="2022-03-02T00:00:00"/>
    <x v="9"/>
    <n v="9"/>
    <s v="MIÉRCOLES"/>
    <x v="7"/>
    <x v="7"/>
    <n v="1080"/>
    <n v="198"/>
    <n v="183.60000000000002"/>
    <x v="3"/>
  </r>
  <r>
    <d v="2022-03-02T00:00:00"/>
    <x v="9"/>
    <n v="9"/>
    <s v="MIÉRCOLES"/>
    <x v="10"/>
    <x v="10"/>
    <n v="5280"/>
    <n v="120"/>
    <n v="897.6"/>
    <x v="3"/>
  </r>
  <r>
    <d v="2022-03-02T00:00:00"/>
    <x v="9"/>
    <n v="9"/>
    <s v="MIÉRCOLES"/>
    <x v="23"/>
    <x v="23"/>
    <n v="270"/>
    <n v="90"/>
    <n v="45.900000000000006"/>
    <x v="3"/>
  </r>
  <r>
    <d v="2022-03-02T00:00:00"/>
    <x v="9"/>
    <n v="9"/>
    <s v="MIÉRCOLES"/>
    <x v="11"/>
    <x v="11"/>
    <n v="720"/>
    <n v="90"/>
    <n v="122.4"/>
    <x v="3"/>
  </r>
  <r>
    <d v="2022-03-02T00:00:00"/>
    <x v="9"/>
    <n v="9"/>
    <s v="MIÉRCOLES"/>
    <x v="25"/>
    <x v="25"/>
    <n v="900"/>
    <n v="225"/>
    <n v="378"/>
    <x v="3"/>
  </r>
  <r>
    <d v="2022-03-02T00:00:00"/>
    <x v="9"/>
    <n v="9"/>
    <s v="MIÉRCOLES"/>
    <x v="42"/>
    <x v="42"/>
    <n v="250"/>
    <n v="420"/>
    <n v="105"/>
    <x v="3"/>
  </r>
  <r>
    <d v="2022-03-02T00:00:00"/>
    <x v="9"/>
    <n v="9"/>
    <s v="MIÉRCOLES"/>
    <x v="43"/>
    <x v="43"/>
    <n v="1000"/>
    <n v="420"/>
    <n v="420"/>
    <x v="3"/>
  </r>
  <r>
    <d v="2022-03-02T00:00:00"/>
    <x v="9"/>
    <n v="9"/>
    <s v="MIÉRCOLES"/>
    <x v="44"/>
    <x v="44"/>
    <n v="125"/>
    <n v="420"/>
    <n v="52.5"/>
    <x v="3"/>
  </r>
  <r>
    <d v="2022-03-02T00:00:00"/>
    <x v="9"/>
    <n v="9"/>
    <s v="MIÉRCOLES"/>
    <x v="28"/>
    <x v="28"/>
    <n v="150"/>
    <n v="30"/>
    <n v="34.5"/>
    <x v="3"/>
  </r>
  <r>
    <d v="2022-03-02T00:00:00"/>
    <x v="9"/>
    <n v="9"/>
    <s v="MIÉRCOLES"/>
    <x v="33"/>
    <x v="33"/>
    <n v="200"/>
    <n v="40"/>
    <n v="46"/>
    <x v="3"/>
  </r>
  <r>
    <d v="2022-03-02T00:00:00"/>
    <x v="9"/>
    <n v="9"/>
    <s v="MIÉRCOLES"/>
    <x v="14"/>
    <x v="14"/>
    <n v="80"/>
    <n v="40"/>
    <n v="18.400000000000002"/>
    <x v="3"/>
  </r>
  <r>
    <d v="2022-03-02T00:00:00"/>
    <x v="9"/>
    <n v="9"/>
    <s v="MIÉRCOLES"/>
    <x v="15"/>
    <x v="15"/>
    <n v="500"/>
    <n v="50"/>
    <n v="200"/>
    <x v="3"/>
  </r>
  <r>
    <d v="2022-03-02T00:00:00"/>
    <x v="9"/>
    <n v="9"/>
    <s v="MIÉRCOLES"/>
    <x v="0"/>
    <x v="0"/>
    <n v="528"/>
    <n v="48"/>
    <n v="211.20000000000002"/>
    <x v="3"/>
  </r>
  <r>
    <d v="2022-03-02T00:00:00"/>
    <x v="9"/>
    <n v="9"/>
    <s v="MIÉRCOLES"/>
    <x v="10"/>
    <x v="10"/>
    <n v="6720"/>
    <n v="120"/>
    <n v="1142.4000000000001"/>
    <x v="3"/>
  </r>
  <r>
    <d v="2022-03-02T00:00:00"/>
    <x v="9"/>
    <n v="9"/>
    <s v="MIÉRCOLES"/>
    <x v="77"/>
    <x v="61"/>
    <n v="2625"/>
    <n v="125"/>
    <n v="1863.75"/>
    <x v="3"/>
  </r>
  <r>
    <d v="2022-03-03T00:00:00"/>
    <x v="9"/>
    <n v="9"/>
    <s v="JUEVES"/>
    <x v="24"/>
    <x v="24"/>
    <n v="840"/>
    <n v="420"/>
    <n v="352.8"/>
    <x v="3"/>
  </r>
  <r>
    <d v="2022-03-03T00:00:00"/>
    <x v="9"/>
    <n v="9"/>
    <s v="JUEVES"/>
    <x v="9"/>
    <x v="9"/>
    <n v="180"/>
    <n v="90"/>
    <n v="30.6"/>
    <x v="3"/>
  </r>
  <r>
    <d v="2022-03-03T00:00:00"/>
    <x v="9"/>
    <n v="9"/>
    <s v="JUEVES"/>
    <x v="10"/>
    <x v="10"/>
    <n v="8880"/>
    <n v="120"/>
    <n v="1509.6000000000001"/>
    <x v="3"/>
  </r>
  <r>
    <d v="2022-03-03T00:00:00"/>
    <x v="9"/>
    <n v="9"/>
    <s v="JUEVES"/>
    <x v="11"/>
    <x v="11"/>
    <n v="1440"/>
    <n v="90"/>
    <n v="244.8"/>
    <x v="3"/>
  </r>
  <r>
    <d v="2022-03-02T00:00:00"/>
    <x v="9"/>
    <n v="9"/>
    <s v="MIÉRCOLES"/>
    <x v="43"/>
    <x v="43"/>
    <n v="500"/>
    <n v="420"/>
    <n v="210"/>
    <x v="3"/>
  </r>
  <r>
    <d v="2022-03-02T00:00:00"/>
    <x v="9"/>
    <n v="9"/>
    <s v="MIÉRCOLES"/>
    <x v="12"/>
    <x v="12"/>
    <n v="225"/>
    <n v="225"/>
    <n v="90"/>
    <x v="3"/>
  </r>
  <r>
    <d v="2022-03-02T00:00:00"/>
    <x v="9"/>
    <n v="9"/>
    <s v="MIÉRCOLES"/>
    <x v="19"/>
    <x v="19"/>
    <n v="225"/>
    <n v="225"/>
    <n v="90"/>
    <x v="3"/>
  </r>
  <r>
    <d v="2022-03-02T00:00:00"/>
    <x v="9"/>
    <n v="9"/>
    <s v="MIÉRCOLES"/>
    <x v="24"/>
    <x v="24"/>
    <n v="1680"/>
    <n v="420"/>
    <n v="705.6"/>
    <x v="3"/>
  </r>
  <r>
    <d v="2022-03-02T00:00:00"/>
    <x v="9"/>
    <n v="9"/>
    <s v="MIÉRCOLES"/>
    <x v="7"/>
    <x v="7"/>
    <n v="1080"/>
    <n v="198"/>
    <n v="183.60000000000002"/>
    <x v="3"/>
  </r>
  <r>
    <d v="2022-03-02T00:00:00"/>
    <x v="9"/>
    <n v="9"/>
    <s v="MIÉRCOLES"/>
    <x v="17"/>
    <x v="17"/>
    <n v="2400"/>
    <n v="120"/>
    <n v="408.00000000000006"/>
    <x v="3"/>
  </r>
  <r>
    <d v="2022-03-02T00:00:00"/>
    <x v="9"/>
    <n v="9"/>
    <s v="MIÉRCOLES"/>
    <x v="6"/>
    <x v="6"/>
    <n v="2400"/>
    <n v="120"/>
    <n v="408.00000000000006"/>
    <x v="3"/>
  </r>
  <r>
    <d v="2022-03-02T00:00:00"/>
    <x v="9"/>
    <n v="9"/>
    <s v="MIÉRCOLES"/>
    <x v="1"/>
    <x v="1"/>
    <n v="1080"/>
    <n v="198"/>
    <n v="183.60000000000002"/>
    <x v="3"/>
  </r>
  <r>
    <d v="2022-03-02T00:00:00"/>
    <x v="9"/>
    <n v="9"/>
    <s v="MIÉRCOLES"/>
    <x v="8"/>
    <x v="8"/>
    <n v="864"/>
    <n v="198"/>
    <n v="146.88000000000002"/>
    <x v="3"/>
  </r>
  <r>
    <d v="2022-03-02T00:00:00"/>
    <x v="9"/>
    <n v="9"/>
    <s v="MIÉRCOLES"/>
    <x v="2"/>
    <x v="2"/>
    <n v="1080"/>
    <n v="198"/>
    <n v="183.60000000000002"/>
    <x v="3"/>
  </r>
  <r>
    <d v="2022-03-02T00:00:00"/>
    <x v="9"/>
    <n v="9"/>
    <s v="MIÉRCOLES"/>
    <x v="10"/>
    <x v="10"/>
    <n v="240"/>
    <n v="120"/>
    <n v="40.800000000000004"/>
    <x v="3"/>
  </r>
  <r>
    <d v="2022-03-03T00:00:00"/>
    <x v="9"/>
    <n v="9"/>
    <s v="JUEVES"/>
    <x v="13"/>
    <x v="13"/>
    <n v="120"/>
    <n v="30"/>
    <n v="48"/>
    <x v="3"/>
  </r>
  <r>
    <d v="2022-03-03T00:00:00"/>
    <x v="9"/>
    <n v="9"/>
    <s v="JUEVES"/>
    <x v="15"/>
    <x v="15"/>
    <n v="200"/>
    <n v="50"/>
    <n v="80"/>
    <x v="3"/>
  </r>
  <r>
    <d v="2022-03-03T00:00:00"/>
    <x v="9"/>
    <n v="9"/>
    <s v="JUEVES"/>
    <x v="38"/>
    <x v="38"/>
    <n v="560"/>
    <n v="112"/>
    <n v="224"/>
    <x v="3"/>
  </r>
  <r>
    <d v="2022-03-03T00:00:00"/>
    <x v="9"/>
    <n v="9"/>
    <s v="JUEVES"/>
    <x v="24"/>
    <x v="24"/>
    <n v="1680"/>
    <n v="420"/>
    <n v="705.6"/>
    <x v="3"/>
  </r>
  <r>
    <d v="2022-03-03T00:00:00"/>
    <x v="9"/>
    <n v="9"/>
    <s v="JUEVES"/>
    <x v="6"/>
    <x v="6"/>
    <n v="2640"/>
    <n v="120"/>
    <n v="448.8"/>
    <x v="3"/>
  </r>
  <r>
    <d v="2022-03-03T00:00:00"/>
    <x v="9"/>
    <n v="9"/>
    <s v="JUEVES"/>
    <x v="10"/>
    <x v="10"/>
    <n v="2880"/>
    <n v="120"/>
    <n v="489.6"/>
    <x v="3"/>
  </r>
  <r>
    <d v="2022-03-03T00:00:00"/>
    <x v="9"/>
    <n v="9"/>
    <s v="JUEVES"/>
    <x v="26"/>
    <x v="26"/>
    <n v="1440"/>
    <n v="90"/>
    <n v="244.8"/>
    <x v="3"/>
  </r>
  <r>
    <d v="2022-03-03T00:00:00"/>
    <x v="9"/>
    <n v="9"/>
    <s v="JUEVES"/>
    <x v="23"/>
    <x v="23"/>
    <n v="2880"/>
    <n v="90"/>
    <n v="489.6"/>
    <x v="3"/>
  </r>
  <r>
    <d v="2022-03-03T00:00:00"/>
    <x v="9"/>
    <n v="9"/>
    <s v="JUEVES"/>
    <x v="11"/>
    <x v="11"/>
    <n v="720"/>
    <n v="90"/>
    <n v="122.4"/>
    <x v="3"/>
  </r>
  <r>
    <d v="2022-03-03T00:00:00"/>
    <x v="9"/>
    <n v="9"/>
    <s v="JUEVES"/>
    <x v="25"/>
    <x v="25"/>
    <n v="1350"/>
    <n v="225"/>
    <n v="567"/>
    <x v="3"/>
  </r>
  <r>
    <d v="2022-03-04T00:00:00"/>
    <x v="9"/>
    <n v="9"/>
    <s v="VIERNES"/>
    <x v="24"/>
    <x v="24"/>
    <n v="4200"/>
    <n v="420"/>
    <n v="1764"/>
    <x v="3"/>
  </r>
  <r>
    <d v="2022-03-04T00:00:00"/>
    <x v="9"/>
    <n v="9"/>
    <s v="VIERNES"/>
    <x v="1"/>
    <x v="1"/>
    <n v="4320"/>
    <n v="198"/>
    <n v="734.40000000000009"/>
    <x v="3"/>
  </r>
  <r>
    <d v="2022-03-04T00:00:00"/>
    <x v="9"/>
    <n v="9"/>
    <s v="VIERNES"/>
    <x v="8"/>
    <x v="8"/>
    <n v="1080"/>
    <n v="198"/>
    <n v="183.60000000000002"/>
    <x v="3"/>
  </r>
  <r>
    <d v="2022-03-04T00:00:00"/>
    <x v="9"/>
    <n v="9"/>
    <s v="VIERNES"/>
    <x v="9"/>
    <x v="9"/>
    <n v="450"/>
    <n v="90"/>
    <n v="76.5"/>
    <x v="3"/>
  </r>
  <r>
    <d v="2022-03-04T00:00:00"/>
    <x v="9"/>
    <n v="9"/>
    <s v="VIERNES"/>
    <x v="10"/>
    <x v="10"/>
    <n v="3840"/>
    <n v="120"/>
    <n v="652.80000000000007"/>
    <x v="3"/>
  </r>
  <r>
    <d v="2022-03-04T00:00:00"/>
    <x v="9"/>
    <n v="9"/>
    <s v="VIERNES"/>
    <x v="26"/>
    <x v="26"/>
    <n v="450"/>
    <n v="90"/>
    <n v="76.5"/>
    <x v="3"/>
  </r>
  <r>
    <d v="2022-03-04T00:00:00"/>
    <x v="9"/>
    <n v="9"/>
    <s v="VIERNES"/>
    <x v="23"/>
    <x v="23"/>
    <n v="720"/>
    <n v="90"/>
    <n v="122.4"/>
    <x v="3"/>
  </r>
  <r>
    <d v="2022-03-04T00:00:00"/>
    <x v="9"/>
    <n v="9"/>
    <s v="VIERNES"/>
    <x v="11"/>
    <x v="11"/>
    <n v="3600"/>
    <n v="90"/>
    <n v="612"/>
    <x v="3"/>
  </r>
  <r>
    <d v="2022-03-04T00:00:00"/>
    <x v="9"/>
    <n v="9"/>
    <s v="VIERNES"/>
    <x v="42"/>
    <x v="42"/>
    <n v="750"/>
    <n v="420"/>
    <n v="315"/>
    <x v="3"/>
  </r>
  <r>
    <d v="2022-03-03T00:00:00"/>
    <x v="9"/>
    <n v="9"/>
    <s v="JUEVES"/>
    <x v="22"/>
    <x v="22"/>
    <n v="990"/>
    <n v="198"/>
    <n v="168.3"/>
    <x v="3"/>
  </r>
  <r>
    <d v="2022-03-03T00:00:00"/>
    <x v="9"/>
    <n v="9"/>
    <s v="JUEVES"/>
    <x v="3"/>
    <x v="3"/>
    <n v="990"/>
    <n v="198"/>
    <n v="168.3"/>
    <x v="3"/>
  </r>
  <r>
    <d v="2022-03-03T00:00:00"/>
    <x v="9"/>
    <n v="9"/>
    <s v="JUEVES"/>
    <x v="6"/>
    <x v="6"/>
    <n v="2400"/>
    <n v="120"/>
    <n v="408.00000000000006"/>
    <x v="3"/>
  </r>
  <r>
    <d v="2022-03-03T00:00:00"/>
    <x v="9"/>
    <n v="9"/>
    <s v="JUEVES"/>
    <x v="7"/>
    <x v="7"/>
    <n v="2160"/>
    <n v="198"/>
    <n v="367.20000000000005"/>
    <x v="3"/>
  </r>
  <r>
    <d v="2022-03-03T00:00:00"/>
    <x v="9"/>
    <n v="9"/>
    <s v="JUEVES"/>
    <x v="23"/>
    <x v="23"/>
    <n v="180"/>
    <n v="90"/>
    <n v="30.6"/>
    <x v="3"/>
  </r>
  <r>
    <d v="2022-03-03T00:00:00"/>
    <x v="9"/>
    <n v="9"/>
    <s v="JUEVES"/>
    <x v="44"/>
    <x v="44"/>
    <n v="125"/>
    <n v="420"/>
    <n v="52.5"/>
    <x v="3"/>
  </r>
  <r>
    <d v="2022-03-03T00:00:00"/>
    <x v="9"/>
    <n v="9"/>
    <s v="JUEVES"/>
    <x v="44"/>
    <x v="44"/>
    <n v="1875"/>
    <n v="420"/>
    <n v="787.5"/>
    <x v="3"/>
  </r>
  <r>
    <d v="2022-03-04T00:00:00"/>
    <x v="9"/>
    <n v="9"/>
    <s v="VIERNES"/>
    <x v="44"/>
    <x v="44"/>
    <n v="875"/>
    <n v="420"/>
    <n v="367.5"/>
    <x v="3"/>
  </r>
  <r>
    <d v="2022-03-04T00:00:00"/>
    <x v="9"/>
    <n v="9"/>
    <s v="VIERNES"/>
    <x v="10"/>
    <x v="10"/>
    <n v="4560"/>
    <n v="120"/>
    <n v="775.2"/>
    <x v="3"/>
  </r>
  <r>
    <d v="2022-03-04T00:00:00"/>
    <x v="9"/>
    <n v="9"/>
    <s v="VIERNES"/>
    <x v="25"/>
    <x v="25"/>
    <n v="1350"/>
    <n v="225"/>
    <n v="567"/>
    <x v="3"/>
  </r>
  <r>
    <d v="2022-03-04T00:00:00"/>
    <x v="9"/>
    <n v="9"/>
    <s v="VIERNES"/>
    <x v="44"/>
    <x v="44"/>
    <n v="875"/>
    <n v="420"/>
    <n v="367.5"/>
    <x v="3"/>
  </r>
  <r>
    <d v="2022-03-05T00:00:00"/>
    <x v="9"/>
    <n v="10"/>
    <s v="SÁBADO"/>
    <x v="28"/>
    <x v="28"/>
    <n v="120"/>
    <n v="30"/>
    <n v="27.6"/>
    <x v="3"/>
  </r>
  <r>
    <d v="2022-03-05T00:00:00"/>
    <x v="9"/>
    <n v="10"/>
    <s v="SÁBADO"/>
    <x v="13"/>
    <x v="13"/>
    <n v="300"/>
    <n v="30"/>
    <n v="120"/>
    <x v="3"/>
  </r>
  <r>
    <d v="2022-03-05T00:00:00"/>
    <x v="9"/>
    <n v="10"/>
    <s v="SÁBADO"/>
    <x v="15"/>
    <x v="15"/>
    <n v="150"/>
    <n v="50"/>
    <n v="60"/>
    <x v="3"/>
  </r>
  <r>
    <d v="2022-03-05T00:00:00"/>
    <x v="9"/>
    <n v="10"/>
    <s v="SÁBADO"/>
    <x v="24"/>
    <x v="24"/>
    <n v="2100"/>
    <n v="420"/>
    <n v="882"/>
    <x v="3"/>
  </r>
  <r>
    <d v="2022-03-05T00:00:00"/>
    <x v="9"/>
    <n v="10"/>
    <s v="SÁBADO"/>
    <x v="32"/>
    <x v="32"/>
    <n v="1260"/>
    <n v="420"/>
    <n v="529.19999999999993"/>
    <x v="3"/>
  </r>
  <r>
    <d v="2022-03-05T00:00:00"/>
    <x v="9"/>
    <n v="10"/>
    <s v="SÁBADO"/>
    <x v="2"/>
    <x v="2"/>
    <n v="1296"/>
    <n v="198"/>
    <n v="220.32000000000002"/>
    <x v="3"/>
  </r>
  <r>
    <d v="2022-03-05T00:00:00"/>
    <x v="9"/>
    <n v="10"/>
    <s v="SÁBADO"/>
    <x v="4"/>
    <x v="4"/>
    <n v="810"/>
    <n v="162"/>
    <n v="137.70000000000002"/>
    <x v="3"/>
  </r>
  <r>
    <d v="2022-03-05T00:00:00"/>
    <x v="9"/>
    <n v="10"/>
    <s v="SÁBADO"/>
    <x v="5"/>
    <x v="5"/>
    <n v="486"/>
    <n v="162"/>
    <n v="82.62"/>
    <x v="3"/>
  </r>
  <r>
    <d v="2022-03-05T00:00:00"/>
    <x v="9"/>
    <n v="10"/>
    <s v="SÁBADO"/>
    <x v="17"/>
    <x v="17"/>
    <n v="720"/>
    <n v="120"/>
    <n v="122.4"/>
    <x v="3"/>
  </r>
  <r>
    <d v="2022-03-05T00:00:00"/>
    <x v="9"/>
    <n v="10"/>
    <s v="SÁBADO"/>
    <x v="8"/>
    <x v="8"/>
    <n v="1296"/>
    <n v="198"/>
    <n v="220.32000000000002"/>
    <x v="3"/>
  </r>
  <r>
    <d v="2022-03-05T00:00:00"/>
    <x v="9"/>
    <n v="10"/>
    <s v="SÁBADO"/>
    <x v="9"/>
    <x v="9"/>
    <n v="450"/>
    <n v="90"/>
    <n v="76.5"/>
    <x v="3"/>
  </r>
  <r>
    <d v="2022-03-05T00:00:00"/>
    <x v="9"/>
    <n v="10"/>
    <s v="SÁBADO"/>
    <x v="10"/>
    <x v="10"/>
    <n v="7920"/>
    <n v="120"/>
    <n v="1346.4"/>
    <x v="3"/>
  </r>
  <r>
    <d v="2022-03-05T00:00:00"/>
    <x v="9"/>
    <n v="10"/>
    <s v="SÁBADO"/>
    <x v="12"/>
    <x v="12"/>
    <n v="675"/>
    <n v="225"/>
    <n v="270"/>
    <x v="3"/>
  </r>
  <r>
    <d v="2022-03-05T00:00:00"/>
    <x v="9"/>
    <n v="10"/>
    <s v="SÁBADO"/>
    <x v="19"/>
    <x v="19"/>
    <n v="450"/>
    <n v="225"/>
    <n v="180"/>
    <x v="3"/>
  </r>
  <r>
    <d v="2022-03-05T00:00:00"/>
    <x v="9"/>
    <n v="10"/>
    <s v="SÁBADO"/>
    <x v="42"/>
    <x v="42"/>
    <n v="500"/>
    <n v="420"/>
    <n v="210"/>
    <x v="3"/>
  </r>
  <r>
    <d v="2022-03-04T00:00:00"/>
    <x v="9"/>
    <n v="9"/>
    <s v="VIERNES"/>
    <x v="8"/>
    <x v="8"/>
    <n v="864"/>
    <n v="198"/>
    <n v="146.88000000000002"/>
    <x v="3"/>
  </r>
  <r>
    <d v="2022-03-04T00:00:00"/>
    <x v="9"/>
    <n v="9"/>
    <s v="VIERNES"/>
    <x v="17"/>
    <x v="17"/>
    <n v="1680"/>
    <n v="120"/>
    <n v="285.60000000000002"/>
    <x v="3"/>
  </r>
  <r>
    <d v="2022-03-04T00:00:00"/>
    <x v="9"/>
    <n v="9"/>
    <s v="VIERNES"/>
    <x v="20"/>
    <x v="20"/>
    <n v="450"/>
    <n v="90"/>
    <n v="76.5"/>
    <x v="3"/>
  </r>
  <r>
    <d v="2022-03-04T00:00:00"/>
    <x v="9"/>
    <n v="9"/>
    <s v="VIERNES"/>
    <x v="2"/>
    <x v="2"/>
    <n v="1944"/>
    <n v="198"/>
    <n v="330.48"/>
    <x v="3"/>
  </r>
  <r>
    <d v="2022-03-04T00:00:00"/>
    <x v="9"/>
    <n v="9"/>
    <s v="VIERNES"/>
    <x v="44"/>
    <x v="44"/>
    <n v="750"/>
    <n v="420"/>
    <n v="315"/>
    <x v="3"/>
  </r>
  <r>
    <d v="2022-03-04T00:00:00"/>
    <x v="9"/>
    <n v="9"/>
    <s v="VIERNES"/>
    <x v="3"/>
    <x v="3"/>
    <n v="554"/>
    <n v="198"/>
    <n v="94.18"/>
    <x v="3"/>
  </r>
  <r>
    <d v="2022-03-07T00:00:00"/>
    <x v="9"/>
    <n v="10"/>
    <s v="LUNES"/>
    <x v="43"/>
    <x v="43"/>
    <n v="250"/>
    <n v="420"/>
    <n v="105"/>
    <x v="3"/>
  </r>
  <r>
    <d v="2022-03-07T00:00:00"/>
    <x v="9"/>
    <n v="10"/>
    <s v="LUNES"/>
    <x v="40"/>
    <x v="40"/>
    <n v="224"/>
    <n v="240"/>
    <n v="89.600000000000009"/>
    <x v="3"/>
  </r>
  <r>
    <d v="2022-03-07T00:00:00"/>
    <x v="9"/>
    <n v="10"/>
    <s v="LUNES"/>
    <x v="38"/>
    <x v="38"/>
    <n v="336"/>
    <n v="112"/>
    <n v="134.4"/>
    <x v="3"/>
  </r>
  <r>
    <d v="2022-03-07T00:00:00"/>
    <x v="9"/>
    <n v="10"/>
    <s v="LUNES"/>
    <x v="16"/>
    <x v="16"/>
    <n v="540"/>
    <n v="180"/>
    <n v="226.79999999999998"/>
    <x v="3"/>
  </r>
  <r>
    <d v="2022-03-07T00:00:00"/>
    <x v="9"/>
    <n v="10"/>
    <s v="LUNES"/>
    <x v="22"/>
    <x v="22"/>
    <n v="1782"/>
    <n v="198"/>
    <n v="302.94"/>
    <x v="3"/>
  </r>
  <r>
    <d v="2022-03-07T00:00:00"/>
    <x v="9"/>
    <n v="10"/>
    <s v="LUNES"/>
    <x v="3"/>
    <x v="3"/>
    <n v="1980"/>
    <n v="198"/>
    <n v="336.6"/>
    <x v="3"/>
  </r>
  <r>
    <d v="2022-03-07T00:00:00"/>
    <x v="9"/>
    <n v="10"/>
    <s v="LUNES"/>
    <x v="4"/>
    <x v="4"/>
    <n v="1134"/>
    <n v="162"/>
    <n v="192.78"/>
    <x v="3"/>
  </r>
  <r>
    <d v="2022-03-07T00:00:00"/>
    <x v="9"/>
    <n v="10"/>
    <s v="LUNES"/>
    <x v="5"/>
    <x v="5"/>
    <n v="810"/>
    <n v="162"/>
    <n v="137.70000000000002"/>
    <x v="3"/>
  </r>
  <r>
    <d v="2022-03-07T00:00:00"/>
    <x v="9"/>
    <n v="10"/>
    <s v="LUNES"/>
    <x v="6"/>
    <x v="6"/>
    <n v="480"/>
    <n v="120"/>
    <n v="81.600000000000009"/>
    <x v="3"/>
  </r>
  <r>
    <d v="2022-03-07T00:00:00"/>
    <x v="9"/>
    <n v="10"/>
    <s v="LUNES"/>
    <x v="17"/>
    <x v="17"/>
    <n v="1080"/>
    <n v="120"/>
    <n v="183.60000000000002"/>
    <x v="3"/>
  </r>
  <r>
    <d v="2022-03-07T00:00:00"/>
    <x v="9"/>
    <n v="10"/>
    <s v="LUNES"/>
    <x v="7"/>
    <x v="7"/>
    <n v="432"/>
    <n v="198"/>
    <n v="73.440000000000012"/>
    <x v="3"/>
  </r>
  <r>
    <d v="2022-03-07T00:00:00"/>
    <x v="9"/>
    <n v="10"/>
    <s v="LUNES"/>
    <x v="8"/>
    <x v="8"/>
    <n v="2376"/>
    <n v="198"/>
    <n v="403.92"/>
    <x v="3"/>
  </r>
  <r>
    <d v="2022-03-07T00:00:00"/>
    <x v="9"/>
    <n v="10"/>
    <s v="LUNES"/>
    <x v="9"/>
    <x v="9"/>
    <n v="630"/>
    <n v="90"/>
    <n v="107.10000000000001"/>
    <x v="3"/>
  </r>
  <r>
    <d v="2022-03-07T00:00:00"/>
    <x v="9"/>
    <n v="10"/>
    <s v="LUNES"/>
    <x v="25"/>
    <x v="25"/>
    <n v="1350"/>
    <n v="225"/>
    <n v="567"/>
    <x v="3"/>
  </r>
  <r>
    <d v="2022-03-07T00:00:00"/>
    <x v="9"/>
    <n v="10"/>
    <s v="LUNES"/>
    <x v="12"/>
    <x v="12"/>
    <n v="225"/>
    <n v="225"/>
    <n v="90"/>
    <x v="3"/>
  </r>
  <r>
    <d v="2022-03-07T00:00:00"/>
    <x v="9"/>
    <n v="10"/>
    <s v="LUNES"/>
    <x v="42"/>
    <x v="42"/>
    <n v="500"/>
    <n v="420"/>
    <n v="210"/>
    <x v="3"/>
  </r>
  <r>
    <d v="2022-03-07T00:00:00"/>
    <x v="9"/>
    <n v="10"/>
    <s v="LUNES"/>
    <x v="13"/>
    <x v="13"/>
    <n v="150"/>
    <n v="30"/>
    <n v="60"/>
    <x v="3"/>
  </r>
  <r>
    <d v="2022-03-07T00:00:00"/>
    <x v="9"/>
    <n v="10"/>
    <s v="LUNES"/>
    <x v="15"/>
    <x v="15"/>
    <n v="50"/>
    <n v="50"/>
    <n v="20"/>
    <x v="3"/>
  </r>
  <r>
    <d v="2022-03-07T00:00:00"/>
    <x v="9"/>
    <n v="10"/>
    <s v="LUNES"/>
    <x v="10"/>
    <x v="10"/>
    <n v="4320"/>
    <n v="120"/>
    <n v="734.40000000000009"/>
    <x v="3"/>
  </r>
  <r>
    <d v="2022-03-07T00:00:00"/>
    <x v="9"/>
    <n v="10"/>
    <s v="LUNES"/>
    <x v="72"/>
    <x v="56"/>
    <n v="500"/>
    <n v="250"/>
    <n v="210"/>
    <x v="3"/>
  </r>
  <r>
    <d v="2022-03-07T00:00:00"/>
    <x v="9"/>
    <n v="10"/>
    <s v="LUNES"/>
    <x v="28"/>
    <x v="28"/>
    <n v="240"/>
    <n v="30"/>
    <n v="55.2"/>
    <x v="3"/>
  </r>
  <r>
    <d v="2022-03-07T00:00:00"/>
    <x v="9"/>
    <n v="10"/>
    <s v="LUNES"/>
    <x v="15"/>
    <x v="15"/>
    <n v="200"/>
    <n v="50"/>
    <n v="80"/>
    <x v="3"/>
  </r>
  <r>
    <d v="2022-03-07T00:00:00"/>
    <x v="9"/>
    <n v="10"/>
    <s v="LUNES"/>
    <x v="2"/>
    <x v="2"/>
    <n v="432"/>
    <n v="198"/>
    <n v="73.440000000000012"/>
    <x v="3"/>
  </r>
  <r>
    <d v="2022-03-07T00:00:00"/>
    <x v="9"/>
    <n v="10"/>
    <s v="LUNES"/>
    <x v="10"/>
    <x v="10"/>
    <n v="6480"/>
    <n v="120"/>
    <n v="1101.6000000000001"/>
    <x v="3"/>
  </r>
  <r>
    <d v="2022-03-07T00:00:00"/>
    <x v="9"/>
    <n v="10"/>
    <s v="LUNES"/>
    <x v="11"/>
    <x v="11"/>
    <n v="1440"/>
    <n v="90"/>
    <n v="244.8"/>
    <x v="3"/>
  </r>
  <r>
    <d v="2022-03-07T00:00:00"/>
    <x v="9"/>
    <n v="10"/>
    <s v="LUNES"/>
    <x v="12"/>
    <x v="12"/>
    <n v="450"/>
    <n v="225"/>
    <n v="180"/>
    <x v="3"/>
  </r>
  <r>
    <d v="2022-03-07T00:00:00"/>
    <x v="9"/>
    <n v="10"/>
    <s v="LUNES"/>
    <x v="66"/>
    <x v="50"/>
    <n v="800"/>
    <n v="200"/>
    <n v="336"/>
    <x v="3"/>
  </r>
  <r>
    <d v="2022-03-07T00:00:00"/>
    <x v="9"/>
    <n v="10"/>
    <s v="LUNES"/>
    <x v="44"/>
    <x v="44"/>
    <n v="750"/>
    <n v="420"/>
    <n v="315"/>
    <x v="3"/>
  </r>
  <r>
    <d v="2022-03-06T00:00:00"/>
    <x v="9"/>
    <n v="10"/>
    <s v="DOMINGO"/>
    <x v="16"/>
    <x v="16"/>
    <n v="1080"/>
    <n v="180"/>
    <n v="453.59999999999997"/>
    <x v="3"/>
  </r>
  <r>
    <d v="2022-03-06T00:00:00"/>
    <x v="9"/>
    <n v="10"/>
    <s v="DOMINGO"/>
    <x v="1"/>
    <x v="1"/>
    <n v="2160"/>
    <n v="198"/>
    <n v="367.20000000000005"/>
    <x v="3"/>
  </r>
  <r>
    <d v="2022-03-06T00:00:00"/>
    <x v="9"/>
    <n v="10"/>
    <s v="DOMINGO"/>
    <x v="2"/>
    <x v="2"/>
    <n v="648"/>
    <n v="198"/>
    <n v="110.16000000000001"/>
    <x v="3"/>
  </r>
  <r>
    <d v="2022-03-06T00:00:00"/>
    <x v="9"/>
    <n v="10"/>
    <s v="DOMINGO"/>
    <x v="10"/>
    <x v="10"/>
    <n v="1200"/>
    <n v="120"/>
    <n v="204.00000000000003"/>
    <x v="3"/>
  </r>
  <r>
    <d v="2022-03-06T00:00:00"/>
    <x v="9"/>
    <n v="10"/>
    <s v="DOMINGO"/>
    <x v="11"/>
    <x v="11"/>
    <n v="720"/>
    <n v="90"/>
    <n v="122.4"/>
    <x v="3"/>
  </r>
  <r>
    <d v="2022-03-06T00:00:00"/>
    <x v="9"/>
    <n v="10"/>
    <s v="DOMINGO"/>
    <x v="12"/>
    <x v="12"/>
    <n v="225"/>
    <n v="225"/>
    <n v="90"/>
    <x v="3"/>
  </r>
  <r>
    <d v="2022-03-06T00:00:00"/>
    <x v="9"/>
    <n v="10"/>
    <s v="DOMINGO"/>
    <x v="42"/>
    <x v="42"/>
    <n v="250"/>
    <n v="420"/>
    <n v="105"/>
    <x v="3"/>
  </r>
  <r>
    <d v="2022-03-06T00:00:00"/>
    <x v="9"/>
    <n v="10"/>
    <s v="DOMINGO"/>
    <x v="43"/>
    <x v="43"/>
    <n v="750"/>
    <n v="420"/>
    <n v="315"/>
    <x v="3"/>
  </r>
  <r>
    <d v="2022-03-05T00:00:00"/>
    <x v="9"/>
    <n v="10"/>
    <s v="SÁBADO"/>
    <x v="16"/>
    <x v="16"/>
    <n v="720"/>
    <n v="180"/>
    <n v="302.39999999999998"/>
    <x v="3"/>
  </r>
  <r>
    <d v="2022-03-05T00:00:00"/>
    <x v="9"/>
    <n v="10"/>
    <s v="SÁBADO"/>
    <x v="10"/>
    <x v="10"/>
    <n v="2880"/>
    <n v="120"/>
    <n v="489.6"/>
    <x v="3"/>
  </r>
  <r>
    <d v="2022-03-05T00:00:00"/>
    <x v="9"/>
    <n v="10"/>
    <s v="SÁBADO"/>
    <x v="44"/>
    <x v="44"/>
    <n v="1125"/>
    <n v="420"/>
    <n v="472.5"/>
    <x v="3"/>
  </r>
  <r>
    <d v="2022-03-08T00:00:00"/>
    <x v="9"/>
    <n v="10"/>
    <s v="MARTES"/>
    <x v="10"/>
    <x v="10"/>
    <n v="3600"/>
    <n v="120"/>
    <n v="612"/>
    <x v="3"/>
  </r>
  <r>
    <d v="2022-03-08T00:00:00"/>
    <x v="9"/>
    <n v="10"/>
    <s v="MARTES"/>
    <x v="72"/>
    <x v="56"/>
    <n v="500"/>
    <n v="250"/>
    <n v="210"/>
    <x v="3"/>
  </r>
  <r>
    <d v="2022-03-08T00:00:00"/>
    <x v="9"/>
    <n v="10"/>
    <s v="MARTES"/>
    <x v="33"/>
    <x v="33"/>
    <n v="80"/>
    <n v="40"/>
    <n v="18.400000000000002"/>
    <x v="3"/>
  </r>
  <r>
    <d v="2022-03-08T00:00:00"/>
    <x v="9"/>
    <n v="10"/>
    <s v="MARTES"/>
    <x v="13"/>
    <x v="13"/>
    <n v="150"/>
    <n v="30"/>
    <n v="60"/>
    <x v="3"/>
  </r>
  <r>
    <d v="2022-03-08T00:00:00"/>
    <x v="9"/>
    <n v="10"/>
    <s v="MARTES"/>
    <x v="6"/>
    <x v="6"/>
    <n v="4320"/>
    <n v="120"/>
    <n v="734.40000000000009"/>
    <x v="3"/>
  </r>
  <r>
    <d v="2022-03-08T00:00:00"/>
    <x v="9"/>
    <n v="10"/>
    <s v="MARTES"/>
    <x v="17"/>
    <x v="17"/>
    <n v="1320"/>
    <n v="120"/>
    <n v="224.4"/>
    <x v="3"/>
  </r>
  <r>
    <d v="2022-03-08T00:00:00"/>
    <x v="9"/>
    <n v="10"/>
    <s v="MARTES"/>
    <x v="7"/>
    <x v="7"/>
    <n v="2808"/>
    <n v="198"/>
    <n v="477.36"/>
    <x v="3"/>
  </r>
  <r>
    <d v="2022-03-08T00:00:00"/>
    <x v="9"/>
    <n v="10"/>
    <s v="MARTES"/>
    <x v="8"/>
    <x v="8"/>
    <n v="864"/>
    <n v="198"/>
    <n v="146.88000000000002"/>
    <x v="3"/>
  </r>
  <r>
    <d v="2022-03-08T00:00:00"/>
    <x v="9"/>
    <n v="10"/>
    <s v="MARTES"/>
    <x v="9"/>
    <x v="9"/>
    <n v="810"/>
    <n v="90"/>
    <n v="137.70000000000002"/>
    <x v="3"/>
  </r>
  <r>
    <d v="2022-03-08T00:00:00"/>
    <x v="9"/>
    <n v="10"/>
    <s v="MARTES"/>
    <x v="10"/>
    <x v="10"/>
    <n v="10800"/>
    <n v="120"/>
    <n v="1836.0000000000002"/>
    <x v="3"/>
  </r>
  <r>
    <d v="2022-03-08T00:00:00"/>
    <x v="9"/>
    <n v="10"/>
    <s v="MARTES"/>
    <x v="24"/>
    <x v="24"/>
    <n v="1680"/>
    <n v="420"/>
    <n v="705.6"/>
    <x v="3"/>
  </r>
  <r>
    <d v="2022-03-08T00:00:00"/>
    <x v="9"/>
    <n v="10"/>
    <s v="MARTES"/>
    <x v="1"/>
    <x v="1"/>
    <n v="216"/>
    <n v="198"/>
    <n v="36.720000000000006"/>
    <x v="3"/>
  </r>
  <r>
    <d v="2022-03-08T00:00:00"/>
    <x v="9"/>
    <n v="10"/>
    <s v="MARTES"/>
    <x v="2"/>
    <x v="2"/>
    <n v="432"/>
    <n v="198"/>
    <n v="73.440000000000012"/>
    <x v="3"/>
  </r>
  <r>
    <d v="2022-03-08T00:00:00"/>
    <x v="9"/>
    <n v="10"/>
    <s v="MARTES"/>
    <x v="34"/>
    <x v="34"/>
    <n v="432"/>
    <n v="198"/>
    <n v="73.440000000000012"/>
    <x v="3"/>
  </r>
  <r>
    <d v="2022-03-08T00:00:00"/>
    <x v="9"/>
    <n v="10"/>
    <s v="MARTES"/>
    <x v="29"/>
    <x v="29"/>
    <n v="432"/>
    <n v="198"/>
    <n v="73.440000000000012"/>
    <x v="3"/>
  </r>
  <r>
    <d v="2022-03-08T00:00:00"/>
    <x v="9"/>
    <n v="10"/>
    <s v="MARTES"/>
    <x v="6"/>
    <x v="6"/>
    <n v="3600"/>
    <n v="120"/>
    <n v="612"/>
    <x v="3"/>
  </r>
  <r>
    <d v="2022-03-08T00:00:00"/>
    <x v="9"/>
    <n v="10"/>
    <s v="MARTES"/>
    <x v="7"/>
    <x v="7"/>
    <n v="1728"/>
    <n v="198"/>
    <n v="293.76000000000005"/>
    <x v="3"/>
  </r>
  <r>
    <d v="2022-03-08T00:00:00"/>
    <x v="9"/>
    <n v="10"/>
    <s v="MARTES"/>
    <x v="11"/>
    <x v="11"/>
    <n v="900"/>
    <n v="90"/>
    <n v="153"/>
    <x v="3"/>
  </r>
  <r>
    <d v="2022-03-08T00:00:00"/>
    <x v="9"/>
    <n v="10"/>
    <s v="MARTES"/>
    <x v="25"/>
    <x v="25"/>
    <n v="1350"/>
    <n v="225"/>
    <n v="567"/>
    <x v="3"/>
  </r>
  <r>
    <d v="2022-03-08T00:00:00"/>
    <x v="9"/>
    <n v="10"/>
    <s v="MARTES"/>
    <x v="19"/>
    <x v="19"/>
    <n v="225"/>
    <n v="225"/>
    <n v="90"/>
    <x v="3"/>
  </r>
  <r>
    <d v="2022-03-08T00:00:00"/>
    <x v="9"/>
    <n v="10"/>
    <s v="MARTES"/>
    <x v="20"/>
    <x v="20"/>
    <n v="360"/>
    <n v="90"/>
    <n v="61.2"/>
    <x v="3"/>
  </r>
  <r>
    <d v="2022-03-09T00:00:00"/>
    <x v="9"/>
    <n v="10"/>
    <s v="MIÉRCOLES"/>
    <x v="33"/>
    <x v="33"/>
    <n v="80"/>
    <n v="40"/>
    <n v="18.400000000000002"/>
    <x v="3"/>
  </r>
  <r>
    <d v="2022-03-09T00:00:00"/>
    <x v="9"/>
    <n v="10"/>
    <s v="MIÉRCOLES"/>
    <x v="14"/>
    <x v="14"/>
    <n v="120"/>
    <n v="40"/>
    <n v="27.6"/>
    <x v="3"/>
  </r>
  <r>
    <d v="2022-03-09T00:00:00"/>
    <x v="9"/>
    <n v="10"/>
    <s v="MIÉRCOLES"/>
    <x v="15"/>
    <x v="15"/>
    <n v="250"/>
    <n v="50"/>
    <n v="100"/>
    <x v="3"/>
  </r>
  <r>
    <d v="2022-03-09T00:00:00"/>
    <x v="9"/>
    <n v="10"/>
    <s v="MIÉRCOLES"/>
    <x v="1"/>
    <x v="1"/>
    <n v="3024"/>
    <n v="198"/>
    <n v="514.08000000000004"/>
    <x v="3"/>
  </r>
  <r>
    <d v="2022-03-09T00:00:00"/>
    <x v="9"/>
    <n v="10"/>
    <s v="MIÉRCOLES"/>
    <x v="2"/>
    <x v="2"/>
    <n v="1728"/>
    <n v="198"/>
    <n v="293.76000000000005"/>
    <x v="3"/>
  </r>
  <r>
    <d v="2022-03-09T00:00:00"/>
    <x v="9"/>
    <n v="10"/>
    <s v="MIÉRCOLES"/>
    <x v="6"/>
    <x v="6"/>
    <n v="2400"/>
    <n v="120"/>
    <n v="408.00000000000006"/>
    <x v="3"/>
  </r>
  <r>
    <d v="2022-03-09T00:00:00"/>
    <x v="9"/>
    <n v="10"/>
    <s v="MIÉRCOLES"/>
    <x v="17"/>
    <x v="17"/>
    <n v="1200"/>
    <n v="120"/>
    <n v="204.00000000000003"/>
    <x v="3"/>
  </r>
  <r>
    <d v="2022-03-09T00:00:00"/>
    <x v="9"/>
    <n v="10"/>
    <s v="MIÉRCOLES"/>
    <x v="7"/>
    <x v="7"/>
    <n v="432"/>
    <n v="198"/>
    <n v="73.440000000000012"/>
    <x v="3"/>
  </r>
  <r>
    <d v="2022-03-09T00:00:00"/>
    <x v="9"/>
    <n v="10"/>
    <s v="MIÉRCOLES"/>
    <x v="10"/>
    <x v="10"/>
    <n v="10080"/>
    <n v="120"/>
    <n v="1713.6000000000001"/>
    <x v="3"/>
  </r>
  <r>
    <d v="2022-03-09T00:00:00"/>
    <x v="9"/>
    <n v="10"/>
    <s v="MIÉRCOLES"/>
    <x v="11"/>
    <x v="11"/>
    <n v="1260"/>
    <n v="90"/>
    <n v="214.20000000000002"/>
    <x v="3"/>
  </r>
  <r>
    <d v="2022-03-09T00:00:00"/>
    <x v="9"/>
    <n v="10"/>
    <s v="MIÉRCOLES"/>
    <x v="20"/>
    <x v="20"/>
    <n v="360"/>
    <n v="90"/>
    <n v="61.2"/>
    <x v="3"/>
  </r>
  <r>
    <d v="2022-03-09T00:00:00"/>
    <x v="9"/>
    <n v="10"/>
    <s v="MIÉRCOLES"/>
    <x v="2"/>
    <x v="2"/>
    <n v="864"/>
    <n v="198"/>
    <n v="146.88000000000002"/>
    <x v="3"/>
  </r>
  <r>
    <d v="2022-03-09T00:00:00"/>
    <x v="9"/>
    <n v="10"/>
    <s v="MIÉRCOLES"/>
    <x v="5"/>
    <x v="5"/>
    <n v="972"/>
    <n v="162"/>
    <n v="165.24"/>
    <x v="3"/>
  </r>
  <r>
    <d v="2022-03-09T00:00:00"/>
    <x v="9"/>
    <n v="10"/>
    <s v="MIÉRCOLES"/>
    <x v="6"/>
    <x v="6"/>
    <n v="2400"/>
    <n v="120"/>
    <n v="408.00000000000006"/>
    <x v="3"/>
  </r>
  <r>
    <d v="2022-03-09T00:00:00"/>
    <x v="9"/>
    <n v="10"/>
    <s v="MIÉRCOLES"/>
    <x v="17"/>
    <x v="17"/>
    <n v="1200"/>
    <n v="120"/>
    <n v="204.00000000000003"/>
    <x v="3"/>
  </r>
  <r>
    <d v="2022-03-09T00:00:00"/>
    <x v="9"/>
    <n v="10"/>
    <s v="MIÉRCOLES"/>
    <x v="7"/>
    <x v="7"/>
    <n v="1080"/>
    <n v="198"/>
    <n v="183.60000000000002"/>
    <x v="3"/>
  </r>
  <r>
    <d v="2022-03-09T00:00:00"/>
    <x v="9"/>
    <n v="10"/>
    <s v="MIÉRCOLES"/>
    <x v="8"/>
    <x v="8"/>
    <n v="1512"/>
    <n v="198"/>
    <n v="257.04000000000002"/>
    <x v="3"/>
  </r>
  <r>
    <d v="2022-03-09T00:00:00"/>
    <x v="9"/>
    <n v="10"/>
    <s v="MIÉRCOLES"/>
    <x v="9"/>
    <x v="9"/>
    <n v="450"/>
    <n v="90"/>
    <n v="76.5"/>
    <x v="3"/>
  </r>
  <r>
    <d v="2022-03-09T00:00:00"/>
    <x v="9"/>
    <n v="10"/>
    <s v="MIÉRCOLES"/>
    <x v="23"/>
    <x v="23"/>
    <n v="1440"/>
    <n v="90"/>
    <n v="244.8"/>
    <x v="3"/>
  </r>
  <r>
    <d v="2022-03-09T00:00:00"/>
    <x v="9"/>
    <n v="10"/>
    <s v="MIÉRCOLES"/>
    <x v="64"/>
    <x v="48"/>
    <n v="960"/>
    <n v="30"/>
    <n v="201.6"/>
    <x v="3"/>
  </r>
  <r>
    <d v="2022-03-11T00:00:00"/>
    <x v="9"/>
    <n v="10"/>
    <s v="VIERNES"/>
    <x v="1"/>
    <x v="1"/>
    <n v="432"/>
    <n v="198"/>
    <n v="73.440000000000012"/>
    <x v="3"/>
  </r>
  <r>
    <d v="2022-03-11T00:00:00"/>
    <x v="9"/>
    <n v="10"/>
    <s v="VIERNES"/>
    <x v="2"/>
    <x v="2"/>
    <n v="1080"/>
    <n v="198"/>
    <n v="183.60000000000002"/>
    <x v="3"/>
  </r>
  <r>
    <d v="2022-03-11T00:00:00"/>
    <x v="9"/>
    <n v="10"/>
    <s v="VIERNES"/>
    <x v="34"/>
    <x v="34"/>
    <n v="432"/>
    <n v="198"/>
    <n v="73.440000000000012"/>
    <x v="3"/>
  </r>
  <r>
    <d v="2022-03-11T00:00:00"/>
    <x v="9"/>
    <n v="10"/>
    <s v="VIERNES"/>
    <x v="22"/>
    <x v="22"/>
    <n v="792"/>
    <n v="198"/>
    <n v="134.64000000000001"/>
    <x v="3"/>
  </r>
  <r>
    <d v="2022-03-11T00:00:00"/>
    <x v="9"/>
    <n v="10"/>
    <s v="VIERNES"/>
    <x v="3"/>
    <x v="3"/>
    <n v="990"/>
    <n v="198"/>
    <n v="168.3"/>
    <x v="3"/>
  </r>
  <r>
    <d v="2022-03-11T00:00:00"/>
    <x v="9"/>
    <n v="10"/>
    <s v="VIERNES"/>
    <x v="4"/>
    <x v="4"/>
    <n v="972"/>
    <n v="162"/>
    <n v="165.24"/>
    <x v="3"/>
  </r>
  <r>
    <d v="2022-03-11T00:00:00"/>
    <x v="9"/>
    <n v="10"/>
    <s v="VIERNES"/>
    <x v="6"/>
    <x v="6"/>
    <n v="2400"/>
    <n v="120"/>
    <n v="408.00000000000006"/>
    <x v="3"/>
  </r>
  <r>
    <d v="2022-03-11T00:00:00"/>
    <x v="9"/>
    <n v="10"/>
    <s v="VIERNES"/>
    <x v="17"/>
    <x v="17"/>
    <n v="1800"/>
    <n v="120"/>
    <n v="306"/>
    <x v="3"/>
  </r>
  <r>
    <d v="2022-03-11T00:00:00"/>
    <x v="9"/>
    <n v="10"/>
    <s v="VIERNES"/>
    <x v="10"/>
    <x v="10"/>
    <n v="2160"/>
    <n v="120"/>
    <n v="367.20000000000005"/>
    <x v="3"/>
  </r>
  <r>
    <d v="2022-03-11T00:00:00"/>
    <x v="9"/>
    <n v="10"/>
    <s v="VIERNES"/>
    <x v="26"/>
    <x v="26"/>
    <n v="900"/>
    <n v="90"/>
    <n v="153"/>
    <x v="3"/>
  </r>
  <r>
    <d v="2022-03-11T00:00:00"/>
    <x v="9"/>
    <n v="10"/>
    <s v="VIERNES"/>
    <x v="20"/>
    <x v="20"/>
    <n v="450"/>
    <n v="90"/>
    <n v="76.5"/>
    <x v="3"/>
  </r>
  <r>
    <d v="2022-03-11T00:00:00"/>
    <x v="9"/>
    <n v="10"/>
    <s v="VIERNES"/>
    <x v="28"/>
    <x v="28"/>
    <n v="150"/>
    <n v="30"/>
    <n v="34.5"/>
    <x v="3"/>
  </r>
  <r>
    <d v="2022-03-11T00:00:00"/>
    <x v="9"/>
    <n v="10"/>
    <s v="VIERNES"/>
    <x v="33"/>
    <x v="33"/>
    <n v="160"/>
    <n v="40"/>
    <n v="36.800000000000004"/>
    <x v="3"/>
  </r>
  <r>
    <d v="2022-03-11T00:00:00"/>
    <x v="9"/>
    <n v="10"/>
    <s v="VIERNES"/>
    <x v="14"/>
    <x v="14"/>
    <n v="160"/>
    <n v="40"/>
    <n v="36.800000000000004"/>
    <x v="3"/>
  </r>
  <r>
    <d v="2022-03-11T00:00:00"/>
    <x v="9"/>
    <n v="10"/>
    <s v="VIERNES"/>
    <x v="32"/>
    <x v="32"/>
    <n v="840"/>
    <n v="420"/>
    <n v="352.8"/>
    <x v="3"/>
  </r>
  <r>
    <d v="2022-03-11T00:00:00"/>
    <x v="9"/>
    <n v="10"/>
    <s v="VIERNES"/>
    <x v="2"/>
    <x v="2"/>
    <n v="864"/>
    <n v="198"/>
    <n v="146.88000000000002"/>
    <x v="3"/>
  </r>
  <r>
    <d v="2022-03-11T00:00:00"/>
    <x v="9"/>
    <n v="10"/>
    <s v="VIERNES"/>
    <x v="22"/>
    <x v="22"/>
    <n v="396"/>
    <n v="198"/>
    <n v="67.320000000000007"/>
    <x v="3"/>
  </r>
  <r>
    <d v="2022-03-11T00:00:00"/>
    <x v="9"/>
    <n v="10"/>
    <s v="VIERNES"/>
    <x v="3"/>
    <x v="3"/>
    <n v="1188"/>
    <n v="198"/>
    <n v="201.96"/>
    <x v="3"/>
  </r>
  <r>
    <d v="2022-03-11T00:00:00"/>
    <x v="9"/>
    <n v="10"/>
    <s v="VIERNES"/>
    <x v="10"/>
    <x v="10"/>
    <n v="480"/>
    <n v="120"/>
    <n v="81.600000000000009"/>
    <x v="3"/>
  </r>
  <r>
    <d v="2022-03-11T00:00:00"/>
    <x v="9"/>
    <n v="10"/>
    <s v="VIERNES"/>
    <x v="43"/>
    <x v="43"/>
    <n v="750"/>
    <n v="420"/>
    <n v="315"/>
    <x v="3"/>
  </r>
  <r>
    <d v="2022-03-11T00:00:00"/>
    <x v="9"/>
    <n v="10"/>
    <s v="VIERNES"/>
    <x v="70"/>
    <x v="54"/>
    <n v="360"/>
    <n v="180"/>
    <n v="151.19999999999999"/>
    <x v="3"/>
  </r>
  <r>
    <d v="2022-03-11T00:00:00"/>
    <x v="9"/>
    <n v="10"/>
    <s v="VIERNES"/>
    <x v="13"/>
    <x v="13"/>
    <n v="300"/>
    <n v="30"/>
    <n v="120"/>
    <x v="3"/>
  </r>
  <r>
    <d v="2022-03-11T00:00:00"/>
    <x v="9"/>
    <n v="10"/>
    <s v="VIERNES"/>
    <x v="15"/>
    <x v="15"/>
    <n v="150"/>
    <n v="50"/>
    <n v="60"/>
    <x v="3"/>
  </r>
  <r>
    <d v="2022-03-11T00:00:00"/>
    <x v="9"/>
    <n v="10"/>
    <s v="VIERNES"/>
    <x v="24"/>
    <x v="24"/>
    <n v="2100"/>
    <n v="420"/>
    <n v="882"/>
    <x v="3"/>
  </r>
  <r>
    <d v="2022-03-11T00:00:00"/>
    <x v="9"/>
    <n v="10"/>
    <s v="VIERNES"/>
    <x v="32"/>
    <x v="32"/>
    <n v="420"/>
    <n v="420"/>
    <n v="176.4"/>
    <x v="3"/>
  </r>
  <r>
    <d v="2022-03-11T00:00:00"/>
    <x v="9"/>
    <n v="10"/>
    <s v="VIERNES"/>
    <x v="1"/>
    <x v="1"/>
    <n v="432"/>
    <n v="198"/>
    <n v="73.440000000000012"/>
    <x v="3"/>
  </r>
  <r>
    <d v="2022-03-11T00:00:00"/>
    <x v="9"/>
    <n v="10"/>
    <s v="VIERNES"/>
    <x v="2"/>
    <x v="2"/>
    <n v="1296"/>
    <n v="198"/>
    <n v="220.32000000000002"/>
    <x v="3"/>
  </r>
  <r>
    <d v="2022-03-11T00:00:00"/>
    <x v="9"/>
    <n v="10"/>
    <s v="VIERNES"/>
    <x v="6"/>
    <x v="6"/>
    <n v="2400"/>
    <n v="120"/>
    <n v="408.00000000000006"/>
    <x v="3"/>
  </r>
  <r>
    <d v="2022-03-11T00:00:00"/>
    <x v="9"/>
    <n v="10"/>
    <s v="VIERNES"/>
    <x v="7"/>
    <x v="7"/>
    <n v="2596"/>
    <n v="198"/>
    <n v="441.32000000000005"/>
    <x v="3"/>
  </r>
  <r>
    <d v="2022-03-11T00:00:00"/>
    <x v="9"/>
    <n v="10"/>
    <s v="VIERNES"/>
    <x v="8"/>
    <x v="8"/>
    <n v="1728"/>
    <n v="198"/>
    <n v="293.76000000000005"/>
    <x v="3"/>
  </r>
  <r>
    <d v="2022-03-11T00:00:00"/>
    <x v="9"/>
    <n v="10"/>
    <s v="VIERNES"/>
    <x v="10"/>
    <x v="10"/>
    <n v="1440"/>
    <n v="120"/>
    <n v="244.8"/>
    <x v="3"/>
  </r>
  <r>
    <d v="2022-03-11T00:00:00"/>
    <x v="9"/>
    <n v="10"/>
    <s v="VIERNES"/>
    <x v="11"/>
    <x v="11"/>
    <n v="3240"/>
    <n v="90"/>
    <n v="550.80000000000007"/>
    <x v="3"/>
  </r>
  <r>
    <d v="2022-03-10T00:00:00"/>
    <x v="9"/>
    <n v="10"/>
    <s v="JUEVES"/>
    <x v="0"/>
    <x v="0"/>
    <n v="144"/>
    <n v="48"/>
    <n v="57.6"/>
    <x v="3"/>
  </r>
  <r>
    <d v="2022-03-10T00:00:00"/>
    <x v="9"/>
    <n v="10"/>
    <s v="JUEVES"/>
    <x v="1"/>
    <x v="1"/>
    <n v="1728"/>
    <n v="198"/>
    <n v="293.76000000000005"/>
    <x v="3"/>
  </r>
  <r>
    <d v="2022-03-10T00:00:00"/>
    <x v="9"/>
    <n v="10"/>
    <s v="JUEVES"/>
    <x v="2"/>
    <x v="2"/>
    <n v="1080"/>
    <n v="198"/>
    <n v="183.60000000000002"/>
    <x v="3"/>
  </r>
  <r>
    <d v="2022-03-10T00:00:00"/>
    <x v="9"/>
    <n v="10"/>
    <s v="JUEVES"/>
    <x v="7"/>
    <x v="7"/>
    <n v="1728"/>
    <n v="198"/>
    <n v="293.76000000000005"/>
    <x v="3"/>
  </r>
  <r>
    <d v="2022-03-10T00:00:00"/>
    <x v="9"/>
    <n v="10"/>
    <s v="JUEVES"/>
    <x v="8"/>
    <x v="8"/>
    <n v="432"/>
    <n v="198"/>
    <n v="73.440000000000012"/>
    <x v="3"/>
  </r>
  <r>
    <d v="2022-03-10T00:00:00"/>
    <x v="9"/>
    <n v="10"/>
    <s v="JUEVES"/>
    <x v="9"/>
    <x v="9"/>
    <n v="900"/>
    <n v="90"/>
    <n v="153"/>
    <x v="3"/>
  </r>
  <r>
    <d v="2022-03-10T00:00:00"/>
    <x v="9"/>
    <n v="10"/>
    <s v="JUEVES"/>
    <x v="23"/>
    <x v="23"/>
    <n v="500"/>
    <n v="90"/>
    <n v="85"/>
    <x v="3"/>
  </r>
  <r>
    <d v="2022-03-10T00:00:00"/>
    <x v="9"/>
    <n v="10"/>
    <s v="JUEVES"/>
    <x v="11"/>
    <x v="11"/>
    <n v="1260"/>
    <n v="90"/>
    <n v="214.20000000000002"/>
    <x v="3"/>
  </r>
  <r>
    <d v="2022-03-10T00:00:00"/>
    <x v="9"/>
    <n v="10"/>
    <s v="JUEVES"/>
    <x v="15"/>
    <x v="15"/>
    <n v="250"/>
    <n v="50"/>
    <n v="100"/>
    <x v="3"/>
  </r>
  <r>
    <d v="2022-03-10T00:00:00"/>
    <x v="9"/>
    <n v="10"/>
    <s v="JUEVES"/>
    <x v="1"/>
    <x v="1"/>
    <n v="864"/>
    <n v="198"/>
    <n v="146.88000000000002"/>
    <x v="3"/>
  </r>
  <r>
    <d v="2022-03-10T00:00:00"/>
    <x v="9"/>
    <n v="10"/>
    <s v="JUEVES"/>
    <x v="22"/>
    <x v="22"/>
    <n v="594"/>
    <n v="198"/>
    <n v="100.98"/>
    <x v="3"/>
  </r>
  <r>
    <d v="2022-03-10T00:00:00"/>
    <x v="9"/>
    <n v="10"/>
    <s v="JUEVES"/>
    <x v="3"/>
    <x v="3"/>
    <n v="198"/>
    <n v="198"/>
    <n v="33.660000000000004"/>
    <x v="3"/>
  </r>
  <r>
    <d v="2022-03-10T00:00:00"/>
    <x v="9"/>
    <n v="10"/>
    <s v="JUEVES"/>
    <x v="7"/>
    <x v="7"/>
    <n v="648"/>
    <n v="198"/>
    <n v="110.16000000000001"/>
    <x v="3"/>
  </r>
  <r>
    <d v="2022-03-10T00:00:00"/>
    <x v="9"/>
    <n v="10"/>
    <s v="JUEVES"/>
    <x v="9"/>
    <x v="9"/>
    <n v="450"/>
    <n v="90"/>
    <n v="76.5"/>
    <x v="3"/>
  </r>
  <r>
    <d v="2022-03-10T00:00:00"/>
    <x v="9"/>
    <n v="10"/>
    <s v="JUEVES"/>
    <x v="25"/>
    <x v="25"/>
    <n v="1800"/>
    <n v="225"/>
    <n v="756"/>
    <x v="3"/>
  </r>
  <r>
    <d v="2022-03-10T00:00:00"/>
    <x v="9"/>
    <n v="10"/>
    <s v="JUEVES"/>
    <x v="28"/>
    <x v="28"/>
    <n v="150"/>
    <n v="30"/>
    <n v="34.5"/>
    <x v="3"/>
  </r>
  <r>
    <d v="2022-03-10T00:00:00"/>
    <x v="9"/>
    <n v="10"/>
    <s v="JUEVES"/>
    <x v="33"/>
    <x v="33"/>
    <n v="80"/>
    <n v="40"/>
    <n v="18.400000000000002"/>
    <x v="3"/>
  </r>
  <r>
    <d v="2022-03-10T00:00:00"/>
    <x v="9"/>
    <n v="10"/>
    <s v="JUEVES"/>
    <x v="14"/>
    <x v="14"/>
    <n v="80"/>
    <n v="40"/>
    <n v="18.400000000000002"/>
    <x v="3"/>
  </r>
  <r>
    <d v="2022-03-10T00:00:00"/>
    <x v="9"/>
    <n v="10"/>
    <s v="JUEVES"/>
    <x v="40"/>
    <x v="40"/>
    <n v="336"/>
    <n v="240"/>
    <n v="134.4"/>
    <x v="3"/>
  </r>
  <r>
    <d v="2022-03-10T00:00:00"/>
    <x v="9"/>
    <n v="10"/>
    <s v="JUEVES"/>
    <x v="38"/>
    <x v="38"/>
    <n v="224"/>
    <n v="112"/>
    <n v="89.600000000000009"/>
    <x v="3"/>
  </r>
  <r>
    <d v="2022-03-10T00:00:00"/>
    <x v="9"/>
    <n v="10"/>
    <s v="JUEVES"/>
    <x v="32"/>
    <x v="32"/>
    <n v="1680"/>
    <n v="420"/>
    <n v="705.6"/>
    <x v="3"/>
  </r>
  <r>
    <d v="2022-03-10T00:00:00"/>
    <x v="9"/>
    <n v="10"/>
    <s v="JUEVES"/>
    <x v="1"/>
    <x v="1"/>
    <n v="1080"/>
    <n v="198"/>
    <n v="183.60000000000002"/>
    <x v="3"/>
  </r>
  <r>
    <d v="2022-03-10T00:00:00"/>
    <x v="9"/>
    <n v="10"/>
    <s v="JUEVES"/>
    <x v="2"/>
    <x v="2"/>
    <n v="432"/>
    <n v="198"/>
    <n v="73.440000000000012"/>
    <x v="3"/>
  </r>
  <r>
    <d v="2022-03-10T00:00:00"/>
    <x v="9"/>
    <n v="10"/>
    <s v="JUEVES"/>
    <x v="3"/>
    <x v="3"/>
    <n v="396"/>
    <n v="198"/>
    <n v="67.320000000000007"/>
    <x v="3"/>
  </r>
  <r>
    <d v="2022-03-10T00:00:00"/>
    <x v="9"/>
    <n v="10"/>
    <s v="JUEVES"/>
    <x v="4"/>
    <x v="4"/>
    <n v="486"/>
    <n v="162"/>
    <n v="82.62"/>
    <x v="3"/>
  </r>
  <r>
    <d v="2022-03-10T00:00:00"/>
    <x v="9"/>
    <n v="10"/>
    <s v="JUEVES"/>
    <x v="10"/>
    <x v="10"/>
    <n v="12000"/>
    <n v="120"/>
    <n v="2040.0000000000002"/>
    <x v="3"/>
  </r>
  <r>
    <d v="2022-03-10T00:00:00"/>
    <x v="9"/>
    <n v="10"/>
    <s v="JUEVES"/>
    <x v="12"/>
    <x v="12"/>
    <n v="450"/>
    <n v="225"/>
    <n v="180"/>
    <x v="3"/>
  </r>
  <r>
    <d v="2022-03-10T00:00:00"/>
    <x v="9"/>
    <n v="10"/>
    <s v="JUEVES"/>
    <x v="19"/>
    <x v="19"/>
    <n v="675"/>
    <n v="225"/>
    <n v="270"/>
    <x v="3"/>
  </r>
  <r>
    <d v="2022-03-10T00:00:00"/>
    <x v="9"/>
    <n v="10"/>
    <s v="JUEVES"/>
    <x v="42"/>
    <x v="42"/>
    <n v="500"/>
    <n v="420"/>
    <n v="210"/>
    <x v="3"/>
  </r>
  <r>
    <d v="2022-03-12T00:00:00"/>
    <x v="9"/>
    <n v="11"/>
    <s v="SÁBADO"/>
    <x v="13"/>
    <x v="13"/>
    <n v="300"/>
    <n v="30"/>
    <n v="120"/>
    <x v="3"/>
  </r>
  <r>
    <d v="2022-03-12T00:00:00"/>
    <x v="9"/>
    <n v="11"/>
    <s v="SÁBADO"/>
    <x v="24"/>
    <x v="24"/>
    <n v="840"/>
    <n v="420"/>
    <n v="352.8"/>
    <x v="3"/>
  </r>
  <r>
    <d v="2022-03-12T00:00:00"/>
    <x v="9"/>
    <n v="11"/>
    <s v="SÁBADO"/>
    <x v="32"/>
    <x v="32"/>
    <n v="2100"/>
    <n v="420"/>
    <n v="882"/>
    <x v="3"/>
  </r>
  <r>
    <d v="2022-03-12T00:00:00"/>
    <x v="9"/>
    <n v="11"/>
    <s v="SÁBADO"/>
    <x v="1"/>
    <x v="1"/>
    <n v="1728"/>
    <n v="198"/>
    <n v="293.76000000000005"/>
    <x v="3"/>
  </r>
  <r>
    <d v="2022-03-12T00:00:00"/>
    <x v="9"/>
    <n v="11"/>
    <s v="SÁBADO"/>
    <x v="5"/>
    <x v="5"/>
    <n v="648"/>
    <n v="162"/>
    <n v="110.16000000000001"/>
    <x v="3"/>
  </r>
  <r>
    <d v="2022-03-12T00:00:00"/>
    <x v="9"/>
    <n v="11"/>
    <s v="SÁBADO"/>
    <x v="10"/>
    <x v="10"/>
    <n v="12960"/>
    <n v="120"/>
    <n v="2203.2000000000003"/>
    <x v="3"/>
  </r>
  <r>
    <d v="2022-03-12T00:00:00"/>
    <x v="9"/>
    <n v="11"/>
    <s v="SÁBADO"/>
    <x v="12"/>
    <x v="12"/>
    <n v="900"/>
    <n v="225"/>
    <n v="360"/>
    <x v="3"/>
  </r>
  <r>
    <d v="2022-03-12T00:00:00"/>
    <x v="9"/>
    <n v="11"/>
    <s v="SÁBADO"/>
    <x v="19"/>
    <x v="19"/>
    <n v="450"/>
    <n v="225"/>
    <n v="180"/>
    <x v="3"/>
  </r>
  <r>
    <d v="2022-03-12T00:00:00"/>
    <x v="9"/>
    <n v="11"/>
    <s v="SÁBADO"/>
    <x v="40"/>
    <x v="40"/>
    <n v="336"/>
    <n v="240"/>
    <n v="134.4"/>
    <x v="3"/>
  </r>
  <r>
    <d v="2022-03-12T00:00:00"/>
    <x v="9"/>
    <n v="11"/>
    <s v="SÁBADO"/>
    <x v="38"/>
    <x v="38"/>
    <n v="448"/>
    <n v="112"/>
    <n v="179.20000000000002"/>
    <x v="3"/>
  </r>
  <r>
    <d v="2022-03-12T00:00:00"/>
    <x v="9"/>
    <n v="11"/>
    <s v="SÁBADO"/>
    <x v="24"/>
    <x v="24"/>
    <n v="1260"/>
    <n v="420"/>
    <n v="529.19999999999993"/>
    <x v="3"/>
  </r>
  <r>
    <d v="2022-03-12T00:00:00"/>
    <x v="9"/>
    <n v="11"/>
    <s v="SÁBADO"/>
    <x v="16"/>
    <x v="16"/>
    <n v="1260"/>
    <n v="180"/>
    <n v="529.19999999999993"/>
    <x v="3"/>
  </r>
  <r>
    <d v="2022-03-12T00:00:00"/>
    <x v="9"/>
    <n v="11"/>
    <s v="SÁBADO"/>
    <x v="10"/>
    <x v="10"/>
    <n v="2880"/>
    <n v="120"/>
    <n v="489.6"/>
    <x v="3"/>
  </r>
  <r>
    <d v="2022-03-12T00:00:00"/>
    <x v="9"/>
    <n v="11"/>
    <s v="SÁBADO"/>
    <x v="43"/>
    <x v="43"/>
    <n v="500"/>
    <n v="420"/>
    <n v="210"/>
    <x v="3"/>
  </r>
  <r>
    <d v="2022-03-14T00:00:00"/>
    <x v="9"/>
    <n v="11"/>
    <s v="LUNES"/>
    <x v="38"/>
    <x v="38"/>
    <n v="448"/>
    <n v="112"/>
    <n v="179.20000000000002"/>
    <x v="3"/>
  </r>
  <r>
    <d v="2022-03-14T00:00:00"/>
    <x v="9"/>
    <n v="11"/>
    <s v="LUNES"/>
    <x v="16"/>
    <x v="16"/>
    <n v="540"/>
    <n v="180"/>
    <n v="226.79999999999998"/>
    <x v="3"/>
  </r>
  <r>
    <d v="2022-03-14T00:00:00"/>
    <x v="9"/>
    <n v="11"/>
    <s v="LUNES"/>
    <x v="1"/>
    <x v="1"/>
    <n v="2160"/>
    <n v="198"/>
    <n v="367.20000000000005"/>
    <x v="3"/>
  </r>
  <r>
    <d v="2022-03-14T00:00:00"/>
    <x v="9"/>
    <n v="11"/>
    <s v="LUNES"/>
    <x v="2"/>
    <x v="2"/>
    <n v="2160"/>
    <n v="198"/>
    <n v="367.20000000000005"/>
    <x v="3"/>
  </r>
  <r>
    <d v="2022-03-14T00:00:00"/>
    <x v="9"/>
    <n v="11"/>
    <s v="LUNES"/>
    <x v="22"/>
    <x v="22"/>
    <n v="792"/>
    <n v="198"/>
    <n v="134.64000000000001"/>
    <x v="3"/>
  </r>
  <r>
    <d v="2022-03-14T00:00:00"/>
    <x v="9"/>
    <n v="11"/>
    <s v="LUNES"/>
    <x v="3"/>
    <x v="3"/>
    <n v="792"/>
    <n v="198"/>
    <n v="134.64000000000001"/>
    <x v="3"/>
  </r>
  <r>
    <d v="2022-03-14T00:00:00"/>
    <x v="9"/>
    <n v="11"/>
    <s v="LUNES"/>
    <x v="4"/>
    <x v="4"/>
    <n v="324"/>
    <n v="162"/>
    <n v="55.080000000000005"/>
    <x v="3"/>
  </r>
  <r>
    <d v="2022-03-14T00:00:00"/>
    <x v="9"/>
    <n v="11"/>
    <s v="LUNES"/>
    <x v="6"/>
    <x v="6"/>
    <n v="4800"/>
    <n v="120"/>
    <n v="816.00000000000011"/>
    <x v="3"/>
  </r>
  <r>
    <d v="2022-03-14T00:00:00"/>
    <x v="9"/>
    <n v="11"/>
    <s v="LUNES"/>
    <x v="17"/>
    <x v="17"/>
    <n v="840"/>
    <n v="120"/>
    <n v="142.80000000000001"/>
    <x v="3"/>
  </r>
  <r>
    <d v="2022-03-14T00:00:00"/>
    <x v="9"/>
    <n v="11"/>
    <s v="LUNES"/>
    <x v="7"/>
    <x v="7"/>
    <n v="1080"/>
    <n v="198"/>
    <n v="183.60000000000002"/>
    <x v="3"/>
  </r>
  <r>
    <d v="2022-03-14T00:00:00"/>
    <x v="9"/>
    <n v="11"/>
    <s v="LUNES"/>
    <x v="8"/>
    <x v="8"/>
    <n v="1512"/>
    <n v="198"/>
    <n v="257.04000000000002"/>
    <x v="3"/>
  </r>
  <r>
    <d v="2022-03-14T00:00:00"/>
    <x v="9"/>
    <n v="11"/>
    <s v="LUNES"/>
    <x v="23"/>
    <x v="23"/>
    <n v="900"/>
    <n v="90"/>
    <n v="153"/>
    <x v="3"/>
  </r>
  <r>
    <d v="2022-03-14T00:00:00"/>
    <x v="9"/>
    <n v="11"/>
    <s v="LUNES"/>
    <x v="25"/>
    <x v="25"/>
    <n v="1800"/>
    <n v="225"/>
    <n v="756"/>
    <x v="3"/>
  </r>
  <r>
    <d v="2022-03-14T00:00:00"/>
    <x v="9"/>
    <n v="11"/>
    <s v="LUNES"/>
    <x v="43"/>
    <x v="43"/>
    <n v="1000"/>
    <n v="420"/>
    <n v="420"/>
    <x v="3"/>
  </r>
  <r>
    <d v="2022-03-14T00:00:00"/>
    <x v="9"/>
    <n v="11"/>
    <s v="LUNES"/>
    <x v="24"/>
    <x v="24"/>
    <n v="1260"/>
    <n v="420"/>
    <n v="529.19999999999993"/>
    <x v="3"/>
  </r>
  <r>
    <d v="2022-03-13T00:00:00"/>
    <x v="9"/>
    <n v="11"/>
    <s v="DOMINGO"/>
    <x v="25"/>
    <x v="25"/>
    <n v="2250"/>
    <n v="225"/>
    <n v="945"/>
    <x v="3"/>
  </r>
  <r>
    <d v="2022-03-14T00:00:00"/>
    <x v="9"/>
    <n v="11"/>
    <s v="LUNES"/>
    <x v="28"/>
    <x v="28"/>
    <n v="240"/>
    <n v="30"/>
    <n v="55.2"/>
    <x v="3"/>
  </r>
  <r>
    <d v="2022-03-14T00:00:00"/>
    <x v="9"/>
    <n v="11"/>
    <s v="LUNES"/>
    <x v="15"/>
    <x v="15"/>
    <n v="300"/>
    <n v="50"/>
    <n v="120"/>
    <x v="3"/>
  </r>
  <r>
    <d v="2022-03-14T00:00:00"/>
    <x v="9"/>
    <n v="11"/>
    <s v="LUNES"/>
    <x v="0"/>
    <x v="0"/>
    <n v="960"/>
    <n v="48"/>
    <n v="384"/>
    <x v="3"/>
  </r>
  <r>
    <d v="2022-03-14T00:00:00"/>
    <x v="9"/>
    <n v="11"/>
    <s v="LUNES"/>
    <x v="24"/>
    <x v="24"/>
    <n v="840"/>
    <n v="420"/>
    <n v="352.8"/>
    <x v="3"/>
  </r>
  <r>
    <d v="2022-03-14T00:00:00"/>
    <x v="9"/>
    <n v="11"/>
    <s v="LUNES"/>
    <x v="17"/>
    <x v="17"/>
    <n v="360"/>
    <n v="120"/>
    <n v="61.2"/>
    <x v="3"/>
  </r>
  <r>
    <d v="2022-03-14T00:00:00"/>
    <x v="9"/>
    <n v="11"/>
    <s v="LUNES"/>
    <x v="8"/>
    <x v="8"/>
    <n v="648"/>
    <n v="198"/>
    <n v="110.16000000000001"/>
    <x v="3"/>
  </r>
  <r>
    <d v="2022-03-14T00:00:00"/>
    <x v="9"/>
    <n v="11"/>
    <s v="LUNES"/>
    <x v="10"/>
    <x v="10"/>
    <n v="3360"/>
    <n v="120"/>
    <n v="571.20000000000005"/>
    <x v="3"/>
  </r>
  <r>
    <d v="2022-03-14T00:00:00"/>
    <x v="9"/>
    <n v="11"/>
    <s v="LUNES"/>
    <x v="23"/>
    <x v="23"/>
    <n v="900"/>
    <n v="90"/>
    <n v="153"/>
    <x v="3"/>
  </r>
  <r>
    <d v="2022-03-14T00:00:00"/>
    <x v="9"/>
    <n v="11"/>
    <s v="LUNES"/>
    <x v="11"/>
    <x v="11"/>
    <n v="3690"/>
    <n v="90"/>
    <n v="627.30000000000007"/>
    <x v="3"/>
  </r>
  <r>
    <d v="2022-03-14T00:00:00"/>
    <x v="9"/>
    <n v="11"/>
    <s v="LUNES"/>
    <x v="9"/>
    <x v="9"/>
    <n v="900"/>
    <n v="90"/>
    <n v="153"/>
    <x v="3"/>
  </r>
  <r>
    <d v="2022-03-14T00:00:00"/>
    <x v="9"/>
    <n v="11"/>
    <s v="LUNES"/>
    <x v="10"/>
    <x v="10"/>
    <n v="5760"/>
    <n v="120"/>
    <n v="979.2"/>
    <x v="3"/>
  </r>
  <r>
    <d v="2022-03-14T00:00:00"/>
    <x v="9"/>
    <n v="11"/>
    <s v="LUNES"/>
    <x v="11"/>
    <x v="11"/>
    <n v="2160"/>
    <n v="90"/>
    <n v="367.20000000000005"/>
    <x v="3"/>
  </r>
  <r>
    <d v="2022-03-14T00:00:00"/>
    <x v="9"/>
    <n v="11"/>
    <s v="LUNES"/>
    <x v="42"/>
    <x v="42"/>
    <n v="250"/>
    <n v="420"/>
    <n v="105"/>
    <x v="3"/>
  </r>
  <r>
    <d v="2022-03-14T00:00:00"/>
    <x v="9"/>
    <n v="11"/>
    <s v="LUNES"/>
    <x v="11"/>
    <x v="11"/>
    <n v="360"/>
    <n v="90"/>
    <n v="61.2"/>
    <x v="3"/>
  </r>
  <r>
    <d v="2022-03-14T00:00:00"/>
    <x v="9"/>
    <n v="11"/>
    <s v="LUNES"/>
    <x v="25"/>
    <x v="25"/>
    <n v="225"/>
    <n v="225"/>
    <n v="94.5"/>
    <x v="3"/>
  </r>
  <r>
    <d v="2022-03-15T00:00:00"/>
    <x v="9"/>
    <n v="11"/>
    <s v="MARTES"/>
    <x v="40"/>
    <x v="40"/>
    <n v="224"/>
    <n v="240"/>
    <n v="89.600000000000009"/>
    <x v="3"/>
  </r>
  <r>
    <d v="2022-03-15T00:00:00"/>
    <x v="9"/>
    <n v="11"/>
    <s v="MARTES"/>
    <x v="4"/>
    <x v="4"/>
    <n v="648"/>
    <n v="162"/>
    <n v="110.16000000000001"/>
    <x v="3"/>
  </r>
  <r>
    <d v="2022-03-15T00:00:00"/>
    <x v="9"/>
    <n v="11"/>
    <s v="MARTES"/>
    <x v="5"/>
    <x v="5"/>
    <n v="810"/>
    <n v="162"/>
    <n v="137.70000000000002"/>
    <x v="3"/>
  </r>
  <r>
    <d v="2022-03-15T00:00:00"/>
    <x v="9"/>
    <n v="11"/>
    <s v="MARTES"/>
    <x v="6"/>
    <x v="6"/>
    <n v="3000"/>
    <n v="120"/>
    <n v="510.00000000000006"/>
    <x v="3"/>
  </r>
  <r>
    <d v="2022-03-15T00:00:00"/>
    <x v="9"/>
    <n v="11"/>
    <s v="MARTES"/>
    <x v="17"/>
    <x v="17"/>
    <n v="1800"/>
    <n v="120"/>
    <n v="306"/>
    <x v="3"/>
  </r>
  <r>
    <d v="2022-03-15T00:00:00"/>
    <x v="9"/>
    <n v="11"/>
    <s v="MARTES"/>
    <x v="8"/>
    <x v="8"/>
    <n v="1080"/>
    <n v="198"/>
    <n v="183.60000000000002"/>
    <x v="3"/>
  </r>
  <r>
    <d v="2022-03-15T00:00:00"/>
    <x v="9"/>
    <n v="11"/>
    <s v="MARTES"/>
    <x v="9"/>
    <x v="9"/>
    <n v="450"/>
    <n v="90"/>
    <n v="76.5"/>
    <x v="3"/>
  </r>
  <r>
    <d v="2022-03-15T00:00:00"/>
    <x v="9"/>
    <n v="11"/>
    <s v="MARTES"/>
    <x v="23"/>
    <x v="23"/>
    <n v="720"/>
    <n v="90"/>
    <n v="122.4"/>
    <x v="3"/>
  </r>
  <r>
    <d v="2022-03-15T00:00:00"/>
    <x v="9"/>
    <n v="11"/>
    <s v="MARTES"/>
    <x v="11"/>
    <x v="11"/>
    <n v="900"/>
    <n v="90"/>
    <n v="153"/>
    <x v="3"/>
  </r>
  <r>
    <d v="2022-03-15T00:00:00"/>
    <x v="9"/>
    <n v="11"/>
    <s v="MARTES"/>
    <x v="28"/>
    <x v="28"/>
    <n v="240"/>
    <n v="30"/>
    <n v="55.2"/>
    <x v="3"/>
  </r>
  <r>
    <d v="2022-03-15T00:00:00"/>
    <x v="9"/>
    <n v="11"/>
    <s v="MARTES"/>
    <x v="13"/>
    <x v="13"/>
    <n v="300"/>
    <n v="30"/>
    <n v="120"/>
    <x v="3"/>
  </r>
  <r>
    <d v="2022-03-15T00:00:00"/>
    <x v="9"/>
    <n v="11"/>
    <s v="MARTES"/>
    <x v="40"/>
    <x v="40"/>
    <n v="112"/>
    <n v="240"/>
    <n v="44.800000000000004"/>
    <x v="3"/>
  </r>
  <r>
    <d v="2022-03-15T00:00:00"/>
    <x v="9"/>
    <n v="11"/>
    <s v="MARTES"/>
    <x v="0"/>
    <x v="0"/>
    <n v="480"/>
    <n v="48"/>
    <n v="192"/>
    <x v="3"/>
  </r>
  <r>
    <d v="2022-03-15T00:00:00"/>
    <x v="9"/>
    <n v="11"/>
    <s v="MARTES"/>
    <x v="24"/>
    <x v="24"/>
    <n v="3360"/>
    <n v="420"/>
    <n v="1411.2"/>
    <x v="3"/>
  </r>
  <r>
    <d v="2022-03-15T00:00:00"/>
    <x v="9"/>
    <n v="11"/>
    <s v="MARTES"/>
    <x v="9"/>
    <x v="9"/>
    <n v="270"/>
    <n v="90"/>
    <n v="45.900000000000006"/>
    <x v="3"/>
  </r>
  <r>
    <d v="2022-03-15T00:00:00"/>
    <x v="9"/>
    <n v="11"/>
    <s v="MARTES"/>
    <x v="10"/>
    <x v="10"/>
    <n v="4800"/>
    <n v="120"/>
    <n v="816.00000000000011"/>
    <x v="3"/>
  </r>
  <r>
    <d v="2022-03-15T00:00:00"/>
    <x v="9"/>
    <n v="11"/>
    <s v="MARTES"/>
    <x v="24"/>
    <x v="24"/>
    <n v="2940"/>
    <n v="420"/>
    <n v="1234.8"/>
    <x v="3"/>
  </r>
  <r>
    <d v="2022-03-15T00:00:00"/>
    <x v="9"/>
    <n v="11"/>
    <s v="MARTES"/>
    <x v="10"/>
    <x v="10"/>
    <n v="7200"/>
    <n v="120"/>
    <n v="1224"/>
    <x v="3"/>
  </r>
  <r>
    <d v="2022-03-15T00:00:00"/>
    <x v="9"/>
    <n v="11"/>
    <s v="MARTES"/>
    <x v="12"/>
    <x v="12"/>
    <n v="450"/>
    <n v="225"/>
    <n v="180"/>
    <x v="3"/>
  </r>
  <r>
    <d v="2022-03-15T00:00:00"/>
    <x v="9"/>
    <n v="11"/>
    <s v="MARTES"/>
    <x v="19"/>
    <x v="19"/>
    <n v="225"/>
    <n v="225"/>
    <n v="90"/>
    <x v="3"/>
  </r>
  <r>
    <d v="2022-03-15T00:00:00"/>
    <x v="9"/>
    <n v="11"/>
    <s v="MARTES"/>
    <x v="70"/>
    <x v="54"/>
    <n v="540"/>
    <n v="180"/>
    <n v="226.79999999999998"/>
    <x v="3"/>
  </r>
  <r>
    <d v="2022-03-15T00:00:00"/>
    <x v="9"/>
    <n v="11"/>
    <s v="MARTES"/>
    <x v="42"/>
    <x v="42"/>
    <n v="250"/>
    <n v="420"/>
    <n v="105"/>
    <x v="3"/>
  </r>
  <r>
    <d v="2022-03-16T00:00:00"/>
    <x v="9"/>
    <n v="11"/>
    <s v="MIÉRCOLES"/>
    <x v="36"/>
    <x v="36"/>
    <n v="720"/>
    <n v="90"/>
    <n v="288"/>
    <x v="3"/>
  </r>
  <r>
    <d v="2022-03-16T00:00:00"/>
    <x v="9"/>
    <n v="11"/>
    <s v="MIÉRCOLES"/>
    <x v="38"/>
    <x v="38"/>
    <n v="336"/>
    <n v="112"/>
    <n v="134.4"/>
    <x v="3"/>
  </r>
  <r>
    <d v="2022-03-16T00:00:00"/>
    <x v="9"/>
    <n v="11"/>
    <s v="MIÉRCOLES"/>
    <x v="34"/>
    <x v="34"/>
    <n v="216"/>
    <n v="198"/>
    <n v="36.720000000000006"/>
    <x v="3"/>
  </r>
  <r>
    <d v="2022-03-16T00:00:00"/>
    <x v="9"/>
    <n v="11"/>
    <s v="MIÉRCOLES"/>
    <x v="22"/>
    <x v="22"/>
    <n v="990"/>
    <n v="198"/>
    <n v="168.3"/>
    <x v="3"/>
  </r>
  <r>
    <d v="2022-03-16T00:00:00"/>
    <x v="9"/>
    <n v="11"/>
    <s v="MIÉRCOLES"/>
    <x v="3"/>
    <x v="3"/>
    <n v="990"/>
    <n v="198"/>
    <n v="168.3"/>
    <x v="3"/>
  </r>
  <r>
    <d v="2022-03-16T00:00:00"/>
    <x v="9"/>
    <n v="11"/>
    <s v="MIÉRCOLES"/>
    <x v="6"/>
    <x v="6"/>
    <n v="2400"/>
    <n v="120"/>
    <n v="408.00000000000006"/>
    <x v="3"/>
  </r>
  <r>
    <d v="2022-03-16T00:00:00"/>
    <x v="9"/>
    <n v="11"/>
    <s v="MIÉRCOLES"/>
    <x v="7"/>
    <x v="7"/>
    <n v="3240"/>
    <n v="198"/>
    <n v="550.80000000000007"/>
    <x v="3"/>
  </r>
  <r>
    <d v="2022-03-16T00:00:00"/>
    <x v="9"/>
    <n v="11"/>
    <s v="MIÉRCOLES"/>
    <x v="8"/>
    <x v="8"/>
    <n v="1296"/>
    <n v="198"/>
    <n v="220.32000000000002"/>
    <x v="3"/>
  </r>
  <r>
    <d v="2022-03-16T00:00:00"/>
    <x v="9"/>
    <n v="11"/>
    <s v="MIÉRCOLES"/>
    <x v="26"/>
    <x v="26"/>
    <n v="450"/>
    <n v="90"/>
    <n v="76.5"/>
    <x v="3"/>
  </r>
  <r>
    <d v="2022-03-16T00:00:00"/>
    <x v="9"/>
    <n v="11"/>
    <s v="MIÉRCOLES"/>
    <x v="23"/>
    <x v="23"/>
    <n v="450"/>
    <n v="90"/>
    <n v="76.5"/>
    <x v="3"/>
  </r>
  <r>
    <d v="2022-03-16T00:00:00"/>
    <x v="9"/>
    <n v="11"/>
    <s v="MIÉRCOLES"/>
    <x v="20"/>
    <x v="20"/>
    <n v="450"/>
    <n v="90"/>
    <n v="76.5"/>
    <x v="3"/>
  </r>
  <r>
    <d v="2022-03-16T00:00:00"/>
    <x v="9"/>
    <n v="11"/>
    <s v="MIÉRCOLES"/>
    <x v="42"/>
    <x v="42"/>
    <n v="750"/>
    <n v="420"/>
    <n v="315"/>
    <x v="3"/>
  </r>
  <r>
    <d v="2022-03-16T00:00:00"/>
    <x v="9"/>
    <n v="11"/>
    <s v="MIÉRCOLES"/>
    <x v="44"/>
    <x v="44"/>
    <n v="375"/>
    <n v="420"/>
    <n v="157.5"/>
    <x v="3"/>
  </r>
  <r>
    <d v="2022-03-18T00:00:00"/>
    <x v="9"/>
    <n v="11"/>
    <s v="VIERNES"/>
    <x v="28"/>
    <x v="28"/>
    <n v="180"/>
    <n v="30"/>
    <n v="41.4"/>
    <x v="3"/>
  </r>
  <r>
    <d v="2022-03-18T00:00:00"/>
    <x v="9"/>
    <n v="11"/>
    <s v="VIERNES"/>
    <x v="13"/>
    <x v="13"/>
    <n v="180"/>
    <n v="30"/>
    <n v="72"/>
    <x v="3"/>
  </r>
  <r>
    <d v="2022-03-18T00:00:00"/>
    <x v="9"/>
    <n v="11"/>
    <s v="VIERNES"/>
    <x v="36"/>
    <x v="36"/>
    <n v="180"/>
    <n v="90"/>
    <n v="72"/>
    <x v="3"/>
  </r>
  <r>
    <d v="2022-03-18T00:00:00"/>
    <x v="9"/>
    <n v="11"/>
    <s v="VIERNES"/>
    <x v="0"/>
    <x v="0"/>
    <n v="960"/>
    <n v="48"/>
    <n v="384"/>
    <x v="3"/>
  </r>
  <r>
    <d v="2022-03-18T00:00:00"/>
    <x v="9"/>
    <n v="11"/>
    <s v="VIERNES"/>
    <x v="22"/>
    <x v="22"/>
    <n v="396"/>
    <n v="198"/>
    <n v="67.320000000000007"/>
    <x v="3"/>
  </r>
  <r>
    <d v="2022-03-18T00:00:00"/>
    <x v="9"/>
    <n v="11"/>
    <s v="VIERNES"/>
    <x v="3"/>
    <x v="3"/>
    <n v="396"/>
    <n v="198"/>
    <n v="67.320000000000007"/>
    <x v="3"/>
  </r>
  <r>
    <d v="2022-03-18T00:00:00"/>
    <x v="9"/>
    <n v="11"/>
    <s v="VIERNES"/>
    <x v="4"/>
    <x v="4"/>
    <n v="810"/>
    <n v="162"/>
    <n v="137.70000000000002"/>
    <x v="3"/>
  </r>
  <r>
    <d v="2022-03-18T00:00:00"/>
    <x v="9"/>
    <n v="11"/>
    <s v="VIERNES"/>
    <x v="5"/>
    <x v="5"/>
    <n v="324"/>
    <n v="162"/>
    <n v="55.080000000000005"/>
    <x v="3"/>
  </r>
  <r>
    <d v="2022-03-18T00:00:00"/>
    <x v="9"/>
    <n v="11"/>
    <s v="VIERNES"/>
    <x v="17"/>
    <x v="17"/>
    <n v="1800"/>
    <n v="120"/>
    <n v="306"/>
    <x v="3"/>
  </r>
  <r>
    <d v="2022-03-18T00:00:00"/>
    <x v="9"/>
    <n v="11"/>
    <s v="VIERNES"/>
    <x v="7"/>
    <x v="7"/>
    <n v="1440"/>
    <n v="198"/>
    <n v="244.8"/>
    <x v="3"/>
  </r>
  <r>
    <d v="2022-03-18T00:00:00"/>
    <x v="9"/>
    <n v="11"/>
    <s v="VIERNES"/>
    <x v="11"/>
    <x v="11"/>
    <n v="1440"/>
    <n v="90"/>
    <n v="244.8"/>
    <x v="3"/>
  </r>
  <r>
    <d v="2022-03-18T00:00:00"/>
    <x v="9"/>
    <n v="11"/>
    <s v="VIERNES"/>
    <x v="35"/>
    <x v="35"/>
    <n v="1800"/>
    <n v="180"/>
    <n v="756"/>
    <x v="3"/>
  </r>
  <r>
    <d v="2022-03-18T00:00:00"/>
    <x v="9"/>
    <n v="11"/>
    <s v="VIERNES"/>
    <x v="69"/>
    <x v="53"/>
    <n v="180"/>
    <n v="60"/>
    <n v="124.19999999999999"/>
    <x v="3"/>
  </r>
  <r>
    <d v="2022-03-18T00:00:00"/>
    <x v="9"/>
    <n v="11"/>
    <s v="VIERNES"/>
    <x v="36"/>
    <x v="36"/>
    <n v="720"/>
    <n v="90"/>
    <n v="288"/>
    <x v="3"/>
  </r>
  <r>
    <d v="2022-03-18T00:00:00"/>
    <x v="9"/>
    <n v="11"/>
    <s v="VIERNES"/>
    <x v="24"/>
    <x v="24"/>
    <n v="2100"/>
    <n v="420"/>
    <n v="882"/>
    <x v="3"/>
  </r>
  <r>
    <d v="2022-03-18T00:00:00"/>
    <x v="9"/>
    <n v="11"/>
    <s v="VIERNES"/>
    <x v="19"/>
    <x v="19"/>
    <n v="225"/>
    <n v="225"/>
    <n v="90"/>
    <x v="3"/>
  </r>
  <r>
    <d v="2022-03-18T00:00:00"/>
    <x v="9"/>
    <n v="11"/>
    <s v="VIERNES"/>
    <x v="42"/>
    <x v="42"/>
    <n v="750"/>
    <n v="420"/>
    <n v="315"/>
    <x v="3"/>
  </r>
  <r>
    <d v="2022-03-18T00:00:00"/>
    <x v="9"/>
    <n v="11"/>
    <s v="VIERNES"/>
    <x v="69"/>
    <x v="53"/>
    <n v="120"/>
    <n v="60"/>
    <n v="82.8"/>
    <x v="3"/>
  </r>
  <r>
    <d v="2022-03-17T00:00:00"/>
    <x v="9"/>
    <n v="11"/>
    <s v="JUEVES"/>
    <x v="38"/>
    <x v="38"/>
    <n v="560"/>
    <n v="112"/>
    <n v="224"/>
    <x v="3"/>
  </r>
  <r>
    <d v="2022-03-17T00:00:00"/>
    <x v="9"/>
    <n v="11"/>
    <s v="JUEVES"/>
    <x v="32"/>
    <x v="32"/>
    <n v="1260"/>
    <n v="420"/>
    <n v="529.19999999999993"/>
    <x v="3"/>
  </r>
  <r>
    <d v="2022-03-17T00:00:00"/>
    <x v="9"/>
    <n v="11"/>
    <s v="JUEVES"/>
    <x v="16"/>
    <x v="16"/>
    <n v="900"/>
    <n v="180"/>
    <n v="378"/>
    <x v="3"/>
  </r>
  <r>
    <d v="2022-03-17T00:00:00"/>
    <x v="9"/>
    <n v="11"/>
    <s v="JUEVES"/>
    <x v="10"/>
    <x v="10"/>
    <n v="2400"/>
    <n v="120"/>
    <n v="408.00000000000006"/>
    <x v="3"/>
  </r>
  <r>
    <d v="2022-03-17T00:00:00"/>
    <x v="9"/>
    <n v="11"/>
    <s v="JUEVES"/>
    <x v="25"/>
    <x v="25"/>
    <n v="1350"/>
    <n v="225"/>
    <n v="567"/>
    <x v="3"/>
  </r>
  <r>
    <d v="2022-03-17T00:00:00"/>
    <x v="9"/>
    <n v="11"/>
    <s v="JUEVES"/>
    <x v="19"/>
    <x v="19"/>
    <n v="225"/>
    <n v="225"/>
    <n v="90"/>
    <x v="3"/>
  </r>
  <r>
    <d v="2022-03-17T00:00:00"/>
    <x v="9"/>
    <n v="11"/>
    <s v="JUEVES"/>
    <x v="43"/>
    <x v="43"/>
    <n v="1000"/>
    <n v="420"/>
    <n v="420"/>
    <x v="3"/>
  </r>
  <r>
    <d v="2022-03-17T00:00:00"/>
    <x v="9"/>
    <n v="11"/>
    <s v="JUEVES"/>
    <x v="15"/>
    <x v="15"/>
    <n v="200"/>
    <n v="50"/>
    <n v="80"/>
    <x v="3"/>
  </r>
  <r>
    <d v="2022-03-17T00:00:00"/>
    <x v="9"/>
    <n v="11"/>
    <s v="JUEVES"/>
    <x v="1"/>
    <x v="1"/>
    <n v="216"/>
    <n v="198"/>
    <n v="36.720000000000006"/>
    <x v="3"/>
  </r>
  <r>
    <d v="2022-03-17T00:00:00"/>
    <x v="9"/>
    <n v="11"/>
    <s v="JUEVES"/>
    <x v="2"/>
    <x v="2"/>
    <n v="1728"/>
    <n v="198"/>
    <n v="293.76000000000005"/>
    <x v="3"/>
  </r>
  <r>
    <d v="2022-03-17T00:00:00"/>
    <x v="9"/>
    <n v="11"/>
    <s v="JUEVES"/>
    <x v="7"/>
    <x v="7"/>
    <n v="1080"/>
    <n v="198"/>
    <n v="183.60000000000002"/>
    <x v="3"/>
  </r>
  <r>
    <d v="2022-03-17T00:00:00"/>
    <x v="9"/>
    <n v="11"/>
    <s v="JUEVES"/>
    <x v="10"/>
    <x v="10"/>
    <n v="8160"/>
    <n v="120"/>
    <n v="1387.2"/>
    <x v="3"/>
  </r>
  <r>
    <d v="2022-03-17T00:00:00"/>
    <x v="9"/>
    <n v="11"/>
    <s v="JUEVES"/>
    <x v="11"/>
    <x v="11"/>
    <n v="810"/>
    <n v="90"/>
    <n v="137.70000000000002"/>
    <x v="3"/>
  </r>
  <r>
    <d v="2022-03-17T00:00:00"/>
    <x v="9"/>
    <n v="11"/>
    <s v="JUEVES"/>
    <x v="42"/>
    <x v="42"/>
    <n v="250"/>
    <n v="420"/>
    <n v="105"/>
    <x v="3"/>
  </r>
  <r>
    <d v="2022-03-17T00:00:00"/>
    <x v="9"/>
    <n v="11"/>
    <s v="JUEVES"/>
    <x v="64"/>
    <x v="48"/>
    <n v="240"/>
    <n v="30"/>
    <n v="50.4"/>
    <x v="3"/>
  </r>
  <r>
    <d v="2022-03-17T00:00:00"/>
    <x v="9"/>
    <n v="11"/>
    <s v="JUEVES"/>
    <x v="24"/>
    <x v="24"/>
    <n v="1680"/>
    <n v="420"/>
    <n v="705.6"/>
    <x v="3"/>
  </r>
  <r>
    <d v="2022-03-17T00:00:00"/>
    <x v="9"/>
    <n v="11"/>
    <s v="JUEVES"/>
    <x v="25"/>
    <x v="25"/>
    <n v="1800"/>
    <n v="225"/>
    <n v="756"/>
    <x v="3"/>
  </r>
  <r>
    <d v="2022-03-17T00:00:00"/>
    <x v="9"/>
    <n v="11"/>
    <s v="JUEVES"/>
    <x v="43"/>
    <x v="43"/>
    <n v="1000"/>
    <n v="420"/>
    <n v="420"/>
    <x v="3"/>
  </r>
  <r>
    <d v="2022-03-17T00:00:00"/>
    <x v="9"/>
    <n v="11"/>
    <s v="JUEVES"/>
    <x v="24"/>
    <x v="24"/>
    <n v="2520"/>
    <n v="420"/>
    <n v="1058.3999999999999"/>
    <x v="3"/>
  </r>
  <r>
    <d v="2022-03-17T00:00:00"/>
    <x v="9"/>
    <n v="11"/>
    <s v="JUEVES"/>
    <x v="1"/>
    <x v="1"/>
    <n v="3024"/>
    <n v="198"/>
    <n v="514.08000000000004"/>
    <x v="3"/>
  </r>
  <r>
    <d v="2022-03-17T00:00:00"/>
    <x v="9"/>
    <n v="11"/>
    <s v="JUEVES"/>
    <x v="2"/>
    <x v="2"/>
    <n v="432"/>
    <n v="198"/>
    <n v="73.440000000000012"/>
    <x v="3"/>
  </r>
  <r>
    <d v="2022-03-17T00:00:00"/>
    <x v="9"/>
    <n v="11"/>
    <s v="JUEVES"/>
    <x v="6"/>
    <x v="6"/>
    <n v="3600"/>
    <n v="120"/>
    <n v="612"/>
    <x v="3"/>
  </r>
  <r>
    <d v="2022-03-17T00:00:00"/>
    <x v="9"/>
    <n v="11"/>
    <s v="JUEVES"/>
    <x v="17"/>
    <x v="17"/>
    <n v="1800"/>
    <n v="120"/>
    <n v="306"/>
    <x v="3"/>
  </r>
  <r>
    <d v="2022-03-17T00:00:00"/>
    <x v="9"/>
    <n v="11"/>
    <s v="JUEVES"/>
    <x v="9"/>
    <x v="9"/>
    <n v="450"/>
    <n v="90"/>
    <n v="76.5"/>
    <x v="3"/>
  </r>
  <r>
    <d v="2022-03-17T00:00:00"/>
    <x v="9"/>
    <n v="11"/>
    <s v="JUEVES"/>
    <x v="10"/>
    <x v="10"/>
    <n v="1440"/>
    <n v="120"/>
    <n v="244.8"/>
    <x v="3"/>
  </r>
  <r>
    <d v="2022-03-17T00:00:00"/>
    <x v="9"/>
    <n v="11"/>
    <s v="JUEVES"/>
    <x v="26"/>
    <x v="26"/>
    <n v="450"/>
    <n v="90"/>
    <n v="76.5"/>
    <x v="3"/>
  </r>
  <r>
    <d v="2022-03-17T00:00:00"/>
    <x v="9"/>
    <n v="11"/>
    <s v="JUEVES"/>
    <x v="11"/>
    <x v="11"/>
    <n v="1080"/>
    <n v="90"/>
    <n v="183.60000000000002"/>
    <x v="3"/>
  </r>
  <r>
    <d v="2022-03-16T00:00:00"/>
    <x v="9"/>
    <n v="11"/>
    <s v="MIÉRCOLES"/>
    <x v="32"/>
    <x v="32"/>
    <n v="1260"/>
    <n v="420"/>
    <n v="529.19999999999993"/>
    <x v="3"/>
  </r>
  <r>
    <d v="2022-03-16T00:00:00"/>
    <x v="9"/>
    <n v="11"/>
    <s v="MIÉRCOLES"/>
    <x v="39"/>
    <x v="39"/>
    <n v="2100"/>
    <n v="420"/>
    <n v="882"/>
    <x v="3"/>
  </r>
  <r>
    <d v="2022-03-16T00:00:00"/>
    <x v="9"/>
    <n v="11"/>
    <s v="MIÉRCOLES"/>
    <x v="1"/>
    <x v="1"/>
    <n v="864"/>
    <n v="198"/>
    <n v="146.88000000000002"/>
    <x v="3"/>
  </r>
  <r>
    <d v="2022-03-16T00:00:00"/>
    <x v="9"/>
    <n v="11"/>
    <s v="MIÉRCOLES"/>
    <x v="2"/>
    <x v="2"/>
    <n v="864"/>
    <n v="198"/>
    <n v="146.88000000000002"/>
    <x v="3"/>
  </r>
  <r>
    <d v="2022-03-16T00:00:00"/>
    <x v="9"/>
    <n v="11"/>
    <s v="MIÉRCOLES"/>
    <x v="10"/>
    <x v="10"/>
    <n v="1200"/>
    <n v="120"/>
    <n v="204.00000000000003"/>
    <x v="3"/>
  </r>
  <r>
    <d v="2022-03-16T00:00:00"/>
    <x v="9"/>
    <n v="11"/>
    <s v="MIÉRCOLES"/>
    <x v="11"/>
    <x v="11"/>
    <n v="720"/>
    <n v="90"/>
    <n v="122.4"/>
    <x v="3"/>
  </r>
  <r>
    <d v="2022-03-16T00:00:00"/>
    <x v="9"/>
    <n v="11"/>
    <s v="MIÉRCOLES"/>
    <x v="35"/>
    <x v="35"/>
    <n v="900"/>
    <n v="180"/>
    <n v="378"/>
    <x v="3"/>
  </r>
  <r>
    <d v="2022-03-16T00:00:00"/>
    <x v="9"/>
    <n v="11"/>
    <s v="MIÉRCOLES"/>
    <x v="32"/>
    <x v="32"/>
    <n v="840"/>
    <n v="420"/>
    <n v="352.8"/>
    <x v="3"/>
  </r>
  <r>
    <d v="2022-03-16T00:00:00"/>
    <x v="9"/>
    <n v="11"/>
    <s v="MIÉRCOLES"/>
    <x v="16"/>
    <x v="16"/>
    <n v="1440"/>
    <n v="180"/>
    <n v="604.79999999999995"/>
    <x v="3"/>
  </r>
  <r>
    <d v="2022-03-16T00:00:00"/>
    <x v="9"/>
    <n v="11"/>
    <s v="MIÉRCOLES"/>
    <x v="1"/>
    <x v="1"/>
    <n v="1296"/>
    <n v="198"/>
    <n v="220.32000000000002"/>
    <x v="3"/>
  </r>
  <r>
    <d v="2022-03-16T00:00:00"/>
    <x v="9"/>
    <n v="11"/>
    <s v="MIÉRCOLES"/>
    <x v="2"/>
    <x v="2"/>
    <n v="1296"/>
    <n v="198"/>
    <n v="220.32000000000002"/>
    <x v="3"/>
  </r>
  <r>
    <d v="2022-03-16T00:00:00"/>
    <x v="9"/>
    <n v="11"/>
    <s v="MIÉRCOLES"/>
    <x v="9"/>
    <x v="9"/>
    <n v="450"/>
    <n v="90"/>
    <n v="76.5"/>
    <x v="3"/>
  </r>
  <r>
    <d v="2022-03-16T00:00:00"/>
    <x v="9"/>
    <n v="11"/>
    <s v="MIÉRCOLES"/>
    <x v="10"/>
    <x v="10"/>
    <n v="10800"/>
    <n v="120"/>
    <n v="1836.0000000000002"/>
    <x v="3"/>
  </r>
  <r>
    <d v="2022-03-16T00:00:00"/>
    <x v="9"/>
    <n v="11"/>
    <s v="MIÉRCOLES"/>
    <x v="11"/>
    <x v="11"/>
    <n v="1440"/>
    <n v="90"/>
    <n v="244.8"/>
    <x v="3"/>
  </r>
  <r>
    <d v="2022-03-16T00:00:00"/>
    <x v="9"/>
    <n v="11"/>
    <s v="MIÉRCOLES"/>
    <x v="19"/>
    <x v="19"/>
    <n v="450"/>
    <n v="225"/>
    <n v="180"/>
    <x v="3"/>
  </r>
  <r>
    <d v="2022-03-22T00:00:00"/>
    <x v="9"/>
    <n v="12"/>
    <s v="MARTES"/>
    <x v="0"/>
    <x v="0"/>
    <n v="288"/>
    <n v="48"/>
    <n v="115.2"/>
    <x v="3"/>
  </r>
  <r>
    <d v="2022-03-22T00:00:00"/>
    <x v="9"/>
    <n v="12"/>
    <s v="MARTES"/>
    <x v="11"/>
    <x v="11"/>
    <n v="450"/>
    <n v="90"/>
    <n v="76.5"/>
    <x v="3"/>
  </r>
  <r>
    <d v="2022-03-22T00:00:00"/>
    <x v="9"/>
    <n v="12"/>
    <s v="MARTES"/>
    <x v="20"/>
    <x v="20"/>
    <n v="450"/>
    <n v="90"/>
    <n v="76.5"/>
    <x v="3"/>
  </r>
  <r>
    <d v="2022-03-22T00:00:00"/>
    <x v="9"/>
    <n v="12"/>
    <s v="MARTES"/>
    <x v="64"/>
    <x v="48"/>
    <n v="240"/>
    <n v="30"/>
    <n v="50.4"/>
    <x v="3"/>
  </r>
  <r>
    <d v="2022-03-22T00:00:00"/>
    <x v="9"/>
    <n v="12"/>
    <s v="MARTES"/>
    <x v="72"/>
    <x v="56"/>
    <n v="1250"/>
    <n v="250"/>
    <n v="525"/>
    <x v="3"/>
  </r>
  <r>
    <d v="2022-03-22T00:00:00"/>
    <x v="9"/>
    <n v="12"/>
    <s v="MARTES"/>
    <x v="44"/>
    <x v="44"/>
    <n v="750"/>
    <n v="420"/>
    <n v="315"/>
    <x v="3"/>
  </r>
  <r>
    <d v="2022-03-22T00:00:00"/>
    <x v="9"/>
    <n v="12"/>
    <s v="MARTES"/>
    <x v="36"/>
    <x v="36"/>
    <n v="450"/>
    <n v="90"/>
    <n v="180"/>
    <x v="3"/>
  </r>
  <r>
    <d v="2022-03-22T00:00:00"/>
    <x v="9"/>
    <n v="12"/>
    <s v="MARTES"/>
    <x v="0"/>
    <x v="0"/>
    <n v="1152"/>
    <n v="48"/>
    <n v="460.8"/>
    <x v="3"/>
  </r>
  <r>
    <d v="2022-03-22T00:00:00"/>
    <x v="9"/>
    <n v="12"/>
    <s v="MARTES"/>
    <x v="16"/>
    <x v="16"/>
    <n v="540"/>
    <n v="180"/>
    <n v="226.79999999999998"/>
    <x v="3"/>
  </r>
  <r>
    <d v="2022-03-22T00:00:00"/>
    <x v="9"/>
    <n v="12"/>
    <s v="MARTES"/>
    <x v="6"/>
    <x v="6"/>
    <n v="720"/>
    <n v="120"/>
    <n v="122.4"/>
    <x v="3"/>
  </r>
  <r>
    <d v="2022-03-22T00:00:00"/>
    <x v="9"/>
    <n v="12"/>
    <s v="MARTES"/>
    <x v="17"/>
    <x v="17"/>
    <n v="360"/>
    <n v="120"/>
    <n v="61.2"/>
    <x v="3"/>
  </r>
  <r>
    <d v="2022-03-22T00:00:00"/>
    <x v="9"/>
    <n v="12"/>
    <s v="MARTES"/>
    <x v="10"/>
    <x v="10"/>
    <n v="4320"/>
    <n v="120"/>
    <n v="734.40000000000009"/>
    <x v="3"/>
  </r>
  <r>
    <d v="2022-03-22T00:00:00"/>
    <x v="9"/>
    <n v="12"/>
    <s v="MARTES"/>
    <x v="11"/>
    <x v="11"/>
    <n v="1440"/>
    <n v="90"/>
    <n v="244.8"/>
    <x v="3"/>
  </r>
  <r>
    <d v="2022-03-22T00:00:00"/>
    <x v="9"/>
    <n v="12"/>
    <s v="MARTES"/>
    <x v="64"/>
    <x v="48"/>
    <n v="360"/>
    <n v="30"/>
    <n v="75.599999999999994"/>
    <x v="3"/>
  </r>
  <r>
    <d v="2022-03-22T00:00:00"/>
    <x v="9"/>
    <n v="12"/>
    <s v="MARTES"/>
    <x v="66"/>
    <x v="50"/>
    <n v="1200"/>
    <n v="200"/>
    <n v="504"/>
    <x v="3"/>
  </r>
  <r>
    <d v="2022-03-22T00:00:00"/>
    <x v="9"/>
    <n v="12"/>
    <s v="MARTES"/>
    <x v="40"/>
    <x v="40"/>
    <n v="336"/>
    <n v="240"/>
    <n v="134.4"/>
    <x v="3"/>
  </r>
  <r>
    <d v="2022-03-22T00:00:00"/>
    <x v="9"/>
    <n v="12"/>
    <s v="MARTES"/>
    <x v="24"/>
    <x v="24"/>
    <n v="2100"/>
    <n v="420"/>
    <n v="882"/>
    <x v="3"/>
  </r>
  <r>
    <d v="2022-03-22T00:00:00"/>
    <x v="9"/>
    <n v="12"/>
    <s v="MARTES"/>
    <x v="1"/>
    <x v="1"/>
    <n v="1080"/>
    <n v="198"/>
    <n v="183.60000000000002"/>
    <x v="3"/>
  </r>
  <r>
    <d v="2022-03-22T00:00:00"/>
    <x v="9"/>
    <n v="12"/>
    <s v="MARTES"/>
    <x v="4"/>
    <x v="4"/>
    <n v="486"/>
    <n v="162"/>
    <n v="82.62"/>
    <x v="3"/>
  </r>
  <r>
    <d v="2022-03-22T00:00:00"/>
    <x v="9"/>
    <n v="12"/>
    <s v="MARTES"/>
    <x v="5"/>
    <x v="5"/>
    <n v="324"/>
    <n v="162"/>
    <n v="55.080000000000005"/>
    <x v="3"/>
  </r>
  <r>
    <d v="2022-03-22T00:00:00"/>
    <x v="9"/>
    <n v="12"/>
    <s v="MARTES"/>
    <x v="6"/>
    <x v="6"/>
    <n v="2880"/>
    <n v="120"/>
    <n v="489.6"/>
    <x v="3"/>
  </r>
  <r>
    <d v="2022-03-22T00:00:00"/>
    <x v="9"/>
    <n v="12"/>
    <s v="MARTES"/>
    <x v="17"/>
    <x v="17"/>
    <n v="1440"/>
    <n v="120"/>
    <n v="244.8"/>
    <x v="3"/>
  </r>
  <r>
    <d v="2022-03-22T00:00:00"/>
    <x v="9"/>
    <n v="12"/>
    <s v="MARTES"/>
    <x v="7"/>
    <x v="7"/>
    <n v="1080"/>
    <n v="198"/>
    <n v="183.60000000000002"/>
    <x v="3"/>
  </r>
  <r>
    <d v="2022-03-22T00:00:00"/>
    <x v="9"/>
    <n v="12"/>
    <s v="MARTES"/>
    <x v="8"/>
    <x v="8"/>
    <n v="1080"/>
    <n v="198"/>
    <n v="183.60000000000002"/>
    <x v="3"/>
  </r>
  <r>
    <d v="2022-03-22T00:00:00"/>
    <x v="9"/>
    <n v="12"/>
    <s v="MARTES"/>
    <x v="10"/>
    <x v="10"/>
    <n v="2880"/>
    <n v="120"/>
    <n v="489.6"/>
    <x v="3"/>
  </r>
  <r>
    <d v="2022-03-22T00:00:00"/>
    <x v="9"/>
    <n v="12"/>
    <s v="MARTES"/>
    <x v="25"/>
    <x v="25"/>
    <n v="900"/>
    <n v="225"/>
    <n v="378"/>
    <x v="3"/>
  </r>
  <r>
    <d v="2022-03-22T00:00:00"/>
    <x v="9"/>
    <n v="12"/>
    <s v="MARTES"/>
    <x v="12"/>
    <x v="12"/>
    <n v="225"/>
    <n v="225"/>
    <n v="90"/>
    <x v="3"/>
  </r>
  <r>
    <d v="2022-03-22T00:00:00"/>
    <x v="9"/>
    <n v="12"/>
    <s v="MARTES"/>
    <x v="19"/>
    <x v="19"/>
    <n v="450"/>
    <n v="225"/>
    <n v="180"/>
    <x v="3"/>
  </r>
  <r>
    <d v="2022-03-22T00:00:00"/>
    <x v="9"/>
    <n v="12"/>
    <s v="MARTES"/>
    <x v="42"/>
    <x v="42"/>
    <n v="250"/>
    <n v="420"/>
    <n v="105"/>
    <x v="3"/>
  </r>
  <r>
    <d v="2022-03-22T00:00:00"/>
    <x v="9"/>
    <n v="12"/>
    <s v="MARTES"/>
    <x v="43"/>
    <x v="43"/>
    <n v="250"/>
    <n v="420"/>
    <n v="105"/>
    <x v="3"/>
  </r>
  <r>
    <d v="2022-03-21T00:00:00"/>
    <x v="9"/>
    <n v="12"/>
    <s v="LUNES"/>
    <x v="28"/>
    <x v="28"/>
    <n v="120"/>
    <n v="30"/>
    <n v="27.6"/>
    <x v="3"/>
  </r>
  <r>
    <d v="2022-03-21T00:00:00"/>
    <x v="9"/>
    <n v="12"/>
    <s v="LUNES"/>
    <x v="33"/>
    <x v="33"/>
    <n v="80"/>
    <n v="40"/>
    <n v="18.400000000000002"/>
    <x v="3"/>
  </r>
  <r>
    <d v="2022-03-21T00:00:00"/>
    <x v="9"/>
    <n v="12"/>
    <s v="LUNES"/>
    <x v="14"/>
    <x v="14"/>
    <n v="80"/>
    <n v="40"/>
    <n v="18.400000000000002"/>
    <x v="3"/>
  </r>
  <r>
    <d v="2022-03-21T00:00:00"/>
    <x v="9"/>
    <n v="12"/>
    <s v="LUNES"/>
    <x v="15"/>
    <x v="15"/>
    <n v="400"/>
    <n v="50"/>
    <n v="160"/>
    <x v="3"/>
  </r>
  <r>
    <d v="2022-03-21T00:00:00"/>
    <x v="9"/>
    <n v="12"/>
    <s v="LUNES"/>
    <x v="1"/>
    <x v="1"/>
    <n v="1296"/>
    <n v="198"/>
    <n v="220.32000000000002"/>
    <x v="3"/>
  </r>
  <r>
    <d v="2022-03-21T00:00:00"/>
    <x v="9"/>
    <n v="12"/>
    <s v="LUNES"/>
    <x v="3"/>
    <x v="3"/>
    <n v="1950"/>
    <n v="198"/>
    <n v="331.5"/>
    <x v="3"/>
  </r>
  <r>
    <d v="2022-03-21T00:00:00"/>
    <x v="9"/>
    <n v="12"/>
    <s v="LUNES"/>
    <x v="7"/>
    <x v="7"/>
    <n v="1728"/>
    <n v="198"/>
    <n v="293.76000000000005"/>
    <x v="3"/>
  </r>
  <r>
    <d v="2022-03-21T00:00:00"/>
    <x v="9"/>
    <n v="12"/>
    <s v="LUNES"/>
    <x v="8"/>
    <x v="8"/>
    <n v="864"/>
    <n v="198"/>
    <n v="146.88000000000002"/>
    <x v="3"/>
  </r>
  <r>
    <d v="2022-03-21T00:00:00"/>
    <x v="9"/>
    <n v="12"/>
    <s v="LUNES"/>
    <x v="9"/>
    <x v="9"/>
    <n v="450"/>
    <n v="90"/>
    <n v="76.5"/>
    <x v="3"/>
  </r>
  <r>
    <d v="2022-03-21T00:00:00"/>
    <x v="9"/>
    <n v="12"/>
    <s v="LUNES"/>
    <x v="10"/>
    <x v="10"/>
    <n v="4320"/>
    <n v="120"/>
    <n v="734.40000000000009"/>
    <x v="3"/>
  </r>
  <r>
    <d v="2022-03-21T00:00:00"/>
    <x v="9"/>
    <n v="12"/>
    <s v="LUNES"/>
    <x v="26"/>
    <x v="26"/>
    <n v="180"/>
    <n v="90"/>
    <n v="30.6"/>
    <x v="3"/>
  </r>
  <r>
    <d v="2022-03-21T00:00:00"/>
    <x v="9"/>
    <n v="12"/>
    <s v="LUNES"/>
    <x v="11"/>
    <x v="11"/>
    <n v="1440"/>
    <n v="90"/>
    <n v="244.8"/>
    <x v="3"/>
  </r>
  <r>
    <d v="2022-03-21T00:00:00"/>
    <x v="9"/>
    <n v="12"/>
    <s v="LUNES"/>
    <x v="20"/>
    <x v="20"/>
    <n v="180"/>
    <n v="90"/>
    <n v="30.6"/>
    <x v="3"/>
  </r>
  <r>
    <d v="2022-03-21T00:00:00"/>
    <x v="9"/>
    <n v="12"/>
    <s v="LUNES"/>
    <x v="43"/>
    <x v="43"/>
    <n v="500"/>
    <n v="420"/>
    <n v="210"/>
    <x v="3"/>
  </r>
  <r>
    <d v="2022-03-21T00:00:00"/>
    <x v="9"/>
    <n v="12"/>
    <s v="LUNES"/>
    <x v="64"/>
    <x v="48"/>
    <n v="240"/>
    <n v="30"/>
    <n v="50.4"/>
    <x v="3"/>
  </r>
  <r>
    <d v="2022-03-21T00:00:00"/>
    <x v="9"/>
    <n v="12"/>
    <s v="LUNES"/>
    <x v="13"/>
    <x v="13"/>
    <n v="240"/>
    <n v="30"/>
    <n v="96"/>
    <x v="3"/>
  </r>
  <r>
    <d v="2022-03-21T00:00:00"/>
    <x v="9"/>
    <n v="12"/>
    <s v="LUNES"/>
    <x v="16"/>
    <x v="16"/>
    <n v="900"/>
    <n v="180"/>
    <n v="378"/>
    <x v="3"/>
  </r>
  <r>
    <d v="2022-03-21T00:00:00"/>
    <x v="9"/>
    <n v="12"/>
    <s v="LUNES"/>
    <x v="1"/>
    <x v="1"/>
    <n v="1944"/>
    <n v="198"/>
    <n v="330.48"/>
    <x v="3"/>
  </r>
  <r>
    <d v="2022-03-21T00:00:00"/>
    <x v="9"/>
    <n v="12"/>
    <s v="LUNES"/>
    <x v="2"/>
    <x v="2"/>
    <n v="1728"/>
    <n v="198"/>
    <n v="293.76000000000005"/>
    <x v="3"/>
  </r>
  <r>
    <d v="2022-03-21T00:00:00"/>
    <x v="9"/>
    <n v="12"/>
    <s v="LUNES"/>
    <x v="22"/>
    <x v="22"/>
    <n v="990"/>
    <n v="198"/>
    <n v="168.3"/>
    <x v="3"/>
  </r>
  <r>
    <d v="2022-03-21T00:00:00"/>
    <x v="9"/>
    <n v="12"/>
    <s v="LUNES"/>
    <x v="7"/>
    <x v="7"/>
    <n v="432"/>
    <n v="198"/>
    <n v="73.440000000000012"/>
    <x v="3"/>
  </r>
  <r>
    <d v="2022-03-21T00:00:00"/>
    <x v="9"/>
    <n v="12"/>
    <s v="LUNES"/>
    <x v="8"/>
    <x v="8"/>
    <n v="1296"/>
    <n v="198"/>
    <n v="220.32000000000002"/>
    <x v="3"/>
  </r>
  <r>
    <d v="2022-03-21T00:00:00"/>
    <x v="9"/>
    <n v="12"/>
    <s v="LUNES"/>
    <x v="9"/>
    <x v="9"/>
    <n v="990"/>
    <n v="90"/>
    <n v="168.3"/>
    <x v="3"/>
  </r>
  <r>
    <d v="2022-03-21T00:00:00"/>
    <x v="9"/>
    <n v="12"/>
    <s v="LUNES"/>
    <x v="23"/>
    <x v="23"/>
    <n v="720"/>
    <n v="90"/>
    <n v="122.4"/>
    <x v="3"/>
  </r>
  <r>
    <d v="2022-03-21T00:00:00"/>
    <x v="9"/>
    <n v="12"/>
    <s v="LUNES"/>
    <x v="11"/>
    <x v="11"/>
    <n v="1440"/>
    <n v="90"/>
    <n v="244.8"/>
    <x v="3"/>
  </r>
  <r>
    <d v="2022-03-21T00:00:00"/>
    <x v="9"/>
    <n v="12"/>
    <s v="LUNES"/>
    <x v="20"/>
    <x v="20"/>
    <n v="720"/>
    <n v="90"/>
    <n v="122.4"/>
    <x v="3"/>
  </r>
  <r>
    <d v="2022-03-21T00:00:00"/>
    <x v="9"/>
    <n v="12"/>
    <s v="LUNES"/>
    <x v="12"/>
    <x v="12"/>
    <n v="1125"/>
    <n v="225"/>
    <n v="450"/>
    <x v="3"/>
  </r>
  <r>
    <d v="2022-03-21T00:00:00"/>
    <x v="9"/>
    <n v="12"/>
    <s v="LUNES"/>
    <x v="19"/>
    <x v="19"/>
    <n v="225"/>
    <n v="225"/>
    <n v="90"/>
    <x v="3"/>
  </r>
  <r>
    <d v="2022-03-21T00:00:00"/>
    <x v="9"/>
    <n v="12"/>
    <s v="LUNES"/>
    <x v="42"/>
    <x v="42"/>
    <n v="750"/>
    <n v="420"/>
    <n v="315"/>
    <x v="3"/>
  </r>
  <r>
    <d v="2022-03-21T00:00:00"/>
    <x v="9"/>
    <n v="12"/>
    <s v="LUNES"/>
    <x v="43"/>
    <x v="43"/>
    <n v="500"/>
    <n v="420"/>
    <n v="210"/>
    <x v="3"/>
  </r>
  <r>
    <d v="2022-03-21T00:00:00"/>
    <x v="9"/>
    <n v="12"/>
    <s v="LUNES"/>
    <x v="24"/>
    <x v="24"/>
    <n v="4200"/>
    <n v="420"/>
    <n v="1764"/>
    <x v="3"/>
  </r>
  <r>
    <d v="2022-03-21T00:00:00"/>
    <x v="9"/>
    <n v="12"/>
    <s v="LUNES"/>
    <x v="9"/>
    <x v="9"/>
    <n v="720"/>
    <n v="90"/>
    <n v="122.4"/>
    <x v="3"/>
  </r>
  <r>
    <d v="2022-03-21T00:00:00"/>
    <x v="9"/>
    <n v="12"/>
    <s v="LUNES"/>
    <x v="26"/>
    <x v="26"/>
    <n v="720"/>
    <n v="90"/>
    <n v="122.4"/>
    <x v="3"/>
  </r>
  <r>
    <d v="2022-03-21T00:00:00"/>
    <x v="9"/>
    <n v="12"/>
    <s v="LUNES"/>
    <x v="23"/>
    <x v="23"/>
    <n v="1440"/>
    <n v="90"/>
    <n v="244.8"/>
    <x v="3"/>
  </r>
  <r>
    <d v="2022-03-21T00:00:00"/>
    <x v="9"/>
    <n v="12"/>
    <s v="LUNES"/>
    <x v="25"/>
    <x v="25"/>
    <n v="2250"/>
    <n v="225"/>
    <n v="945"/>
    <x v="3"/>
  </r>
  <r>
    <d v="2022-03-21T00:00:00"/>
    <x v="9"/>
    <n v="12"/>
    <s v="LUNES"/>
    <x v="19"/>
    <x v="19"/>
    <n v="225"/>
    <n v="225"/>
    <n v="90"/>
    <x v="3"/>
  </r>
  <r>
    <d v="2022-03-19T00:00:00"/>
    <x v="9"/>
    <n v="12"/>
    <s v="SÁBADO"/>
    <x v="15"/>
    <x v="15"/>
    <n v="100"/>
    <n v="50"/>
    <n v="40"/>
    <x v="3"/>
  </r>
  <r>
    <d v="2022-03-19T00:00:00"/>
    <x v="9"/>
    <n v="12"/>
    <s v="SÁBADO"/>
    <x v="36"/>
    <x v="36"/>
    <n v="1350"/>
    <n v="90"/>
    <n v="540"/>
    <x v="3"/>
  </r>
  <r>
    <d v="2022-03-19T00:00:00"/>
    <x v="9"/>
    <n v="12"/>
    <s v="SÁBADO"/>
    <x v="0"/>
    <x v="0"/>
    <n v="960"/>
    <n v="48"/>
    <n v="384"/>
    <x v="3"/>
  </r>
  <r>
    <d v="2022-03-19T00:00:00"/>
    <x v="9"/>
    <n v="12"/>
    <s v="SÁBADO"/>
    <x v="1"/>
    <x v="1"/>
    <n v="2160"/>
    <n v="198"/>
    <n v="367.20000000000005"/>
    <x v="3"/>
  </r>
  <r>
    <d v="2022-03-19T00:00:00"/>
    <x v="9"/>
    <n v="12"/>
    <s v="SÁBADO"/>
    <x v="2"/>
    <x v="2"/>
    <n v="1512"/>
    <n v="198"/>
    <n v="257.04000000000002"/>
    <x v="3"/>
  </r>
  <r>
    <d v="2022-03-19T00:00:00"/>
    <x v="9"/>
    <n v="12"/>
    <s v="SÁBADO"/>
    <x v="34"/>
    <x v="34"/>
    <n v="432"/>
    <n v="198"/>
    <n v="73.440000000000012"/>
    <x v="3"/>
  </r>
  <r>
    <d v="2022-03-19T00:00:00"/>
    <x v="9"/>
    <n v="12"/>
    <s v="SÁBADO"/>
    <x v="22"/>
    <x v="22"/>
    <n v="792"/>
    <n v="198"/>
    <n v="134.64000000000001"/>
    <x v="3"/>
  </r>
  <r>
    <d v="2022-03-19T00:00:00"/>
    <x v="9"/>
    <n v="12"/>
    <s v="SÁBADO"/>
    <x v="3"/>
    <x v="3"/>
    <n v="990"/>
    <n v="198"/>
    <n v="168.3"/>
    <x v="3"/>
  </r>
  <r>
    <d v="2022-03-19T00:00:00"/>
    <x v="9"/>
    <n v="12"/>
    <s v="SÁBADO"/>
    <x v="4"/>
    <x v="4"/>
    <n v="1134"/>
    <n v="162"/>
    <n v="192.78"/>
    <x v="3"/>
  </r>
  <r>
    <d v="2022-03-19T00:00:00"/>
    <x v="9"/>
    <n v="12"/>
    <s v="SÁBADO"/>
    <x v="5"/>
    <x v="5"/>
    <n v="972"/>
    <n v="162"/>
    <n v="165.24"/>
    <x v="3"/>
  </r>
  <r>
    <d v="2022-03-19T00:00:00"/>
    <x v="9"/>
    <n v="12"/>
    <s v="SÁBADO"/>
    <x v="17"/>
    <x v="17"/>
    <n v="3000"/>
    <n v="120"/>
    <n v="510.00000000000006"/>
    <x v="3"/>
  </r>
  <r>
    <d v="2022-03-19T00:00:00"/>
    <x v="9"/>
    <n v="12"/>
    <s v="SÁBADO"/>
    <x v="7"/>
    <x v="7"/>
    <n v="1080"/>
    <n v="198"/>
    <n v="183.60000000000002"/>
    <x v="3"/>
  </r>
  <r>
    <d v="2022-03-19T00:00:00"/>
    <x v="9"/>
    <n v="12"/>
    <s v="SÁBADO"/>
    <x v="8"/>
    <x v="8"/>
    <n v="1080"/>
    <n v="198"/>
    <n v="183.60000000000002"/>
    <x v="3"/>
  </r>
  <r>
    <d v="2022-03-19T00:00:00"/>
    <x v="9"/>
    <n v="12"/>
    <s v="SÁBADO"/>
    <x v="9"/>
    <x v="9"/>
    <n v="900"/>
    <n v="90"/>
    <n v="153"/>
    <x v="3"/>
  </r>
  <r>
    <d v="2022-03-19T00:00:00"/>
    <x v="9"/>
    <n v="12"/>
    <s v="SÁBADO"/>
    <x v="26"/>
    <x v="26"/>
    <n v="900"/>
    <n v="90"/>
    <n v="153"/>
    <x v="3"/>
  </r>
  <r>
    <d v="2022-03-19T00:00:00"/>
    <x v="9"/>
    <n v="12"/>
    <s v="SÁBADO"/>
    <x v="23"/>
    <x v="23"/>
    <n v="1170"/>
    <n v="90"/>
    <n v="198.9"/>
    <x v="3"/>
  </r>
  <r>
    <d v="2022-03-19T00:00:00"/>
    <x v="9"/>
    <n v="12"/>
    <s v="SÁBADO"/>
    <x v="11"/>
    <x v="11"/>
    <n v="2340"/>
    <n v="90"/>
    <n v="397.8"/>
    <x v="3"/>
  </r>
  <r>
    <d v="2022-03-19T00:00:00"/>
    <x v="9"/>
    <n v="12"/>
    <s v="SÁBADO"/>
    <x v="20"/>
    <x v="20"/>
    <n v="450"/>
    <n v="90"/>
    <n v="76.5"/>
    <x v="3"/>
  </r>
  <r>
    <d v="2022-03-19T00:00:00"/>
    <x v="9"/>
    <n v="12"/>
    <s v="SÁBADO"/>
    <x v="25"/>
    <x v="25"/>
    <n v="2250"/>
    <n v="225"/>
    <n v="945"/>
    <x v="3"/>
  </r>
  <r>
    <d v="2022-03-19T00:00:00"/>
    <x v="9"/>
    <n v="12"/>
    <s v="SÁBADO"/>
    <x v="12"/>
    <x v="12"/>
    <n v="450"/>
    <n v="225"/>
    <n v="180"/>
    <x v="3"/>
  </r>
  <r>
    <d v="2022-03-19T00:00:00"/>
    <x v="9"/>
    <n v="12"/>
    <s v="SÁBADO"/>
    <x v="69"/>
    <x v="53"/>
    <n v="480"/>
    <n v="60"/>
    <n v="331.2"/>
    <x v="3"/>
  </r>
  <r>
    <d v="2022-03-18T00:00:00"/>
    <x v="9"/>
    <n v="11"/>
    <s v="VIERNES"/>
    <x v="20"/>
    <x v="20"/>
    <n v="180"/>
    <n v="90"/>
    <n v="30.6"/>
    <x v="3"/>
  </r>
  <r>
    <d v="2022-03-18T00:00:00"/>
    <x v="9"/>
    <n v="11"/>
    <s v="VIERNES"/>
    <x v="25"/>
    <x v="25"/>
    <n v="1350"/>
    <n v="225"/>
    <n v="567"/>
    <x v="3"/>
  </r>
  <r>
    <d v="2022-03-18T00:00:00"/>
    <x v="9"/>
    <n v="11"/>
    <s v="VIERNES"/>
    <x v="69"/>
    <x v="53"/>
    <n v="660"/>
    <n v="60"/>
    <n v="455.4"/>
    <x v="3"/>
  </r>
  <r>
    <d v="2022-03-18T00:00:00"/>
    <x v="9"/>
    <n v="11"/>
    <s v="VIERNES"/>
    <x v="3"/>
    <x v="3"/>
    <n v="594"/>
    <n v="198"/>
    <n v="100.98"/>
    <x v="3"/>
  </r>
  <r>
    <d v="2022-03-18T00:00:00"/>
    <x v="9"/>
    <n v="11"/>
    <s v="VIERNES"/>
    <x v="28"/>
    <x v="28"/>
    <n v="180"/>
    <n v="30"/>
    <n v="41.4"/>
    <x v="3"/>
  </r>
  <r>
    <d v="2022-03-18T00:00:00"/>
    <x v="9"/>
    <n v="11"/>
    <s v="VIERNES"/>
    <x v="33"/>
    <x v="33"/>
    <n v="120"/>
    <n v="40"/>
    <n v="27.6"/>
    <x v="3"/>
  </r>
  <r>
    <d v="2022-03-18T00:00:00"/>
    <x v="9"/>
    <n v="11"/>
    <s v="VIERNES"/>
    <x v="13"/>
    <x v="13"/>
    <n v="210"/>
    <n v="30"/>
    <n v="84"/>
    <x v="3"/>
  </r>
  <r>
    <d v="2022-03-18T00:00:00"/>
    <x v="9"/>
    <n v="11"/>
    <s v="VIERNES"/>
    <x v="14"/>
    <x v="14"/>
    <n v="120"/>
    <n v="40"/>
    <n v="27.6"/>
    <x v="3"/>
  </r>
  <r>
    <d v="2022-03-18T00:00:00"/>
    <x v="9"/>
    <n v="11"/>
    <s v="VIERNES"/>
    <x v="15"/>
    <x v="15"/>
    <n v="250"/>
    <n v="50"/>
    <n v="100"/>
    <x v="3"/>
  </r>
  <r>
    <d v="2022-03-18T00:00:00"/>
    <x v="9"/>
    <n v="11"/>
    <s v="VIERNES"/>
    <x v="0"/>
    <x v="0"/>
    <n v="480"/>
    <n v="48"/>
    <n v="192"/>
    <x v="3"/>
  </r>
  <r>
    <d v="2022-03-18T00:00:00"/>
    <x v="9"/>
    <n v="11"/>
    <s v="VIERNES"/>
    <x v="24"/>
    <x v="24"/>
    <n v="4200"/>
    <n v="420"/>
    <n v="1764"/>
    <x v="3"/>
  </r>
  <r>
    <d v="2022-03-18T00:00:00"/>
    <x v="9"/>
    <n v="11"/>
    <s v="VIERNES"/>
    <x v="32"/>
    <x v="32"/>
    <n v="840"/>
    <n v="420"/>
    <n v="352.8"/>
    <x v="3"/>
  </r>
  <r>
    <d v="2022-03-18T00:00:00"/>
    <x v="9"/>
    <n v="11"/>
    <s v="VIERNES"/>
    <x v="1"/>
    <x v="1"/>
    <n v="2160"/>
    <n v="198"/>
    <n v="367.20000000000005"/>
    <x v="3"/>
  </r>
  <r>
    <d v="2022-03-18T00:00:00"/>
    <x v="9"/>
    <n v="11"/>
    <s v="VIERNES"/>
    <x v="2"/>
    <x v="2"/>
    <n v="1728"/>
    <n v="198"/>
    <n v="293.76000000000005"/>
    <x v="3"/>
  </r>
  <r>
    <d v="2022-03-18T00:00:00"/>
    <x v="9"/>
    <n v="11"/>
    <s v="VIERNES"/>
    <x v="22"/>
    <x v="22"/>
    <n v="198"/>
    <n v="198"/>
    <n v="33.660000000000004"/>
    <x v="3"/>
  </r>
  <r>
    <d v="2022-03-18T00:00:00"/>
    <x v="9"/>
    <n v="11"/>
    <s v="VIERNES"/>
    <x v="7"/>
    <x v="7"/>
    <n v="216"/>
    <n v="198"/>
    <n v="36.720000000000006"/>
    <x v="3"/>
  </r>
  <r>
    <d v="2022-03-18T00:00:00"/>
    <x v="9"/>
    <n v="11"/>
    <s v="VIERNES"/>
    <x v="9"/>
    <x v="9"/>
    <n v="720"/>
    <n v="90"/>
    <n v="122.4"/>
    <x v="3"/>
  </r>
  <r>
    <d v="2022-03-18T00:00:00"/>
    <x v="9"/>
    <n v="11"/>
    <s v="VIERNES"/>
    <x v="26"/>
    <x v="26"/>
    <n v="450"/>
    <n v="90"/>
    <n v="76.5"/>
    <x v="3"/>
  </r>
  <r>
    <d v="2022-03-18T00:00:00"/>
    <x v="9"/>
    <n v="11"/>
    <s v="VIERNES"/>
    <x v="23"/>
    <x v="23"/>
    <n v="450"/>
    <n v="90"/>
    <n v="76.5"/>
    <x v="3"/>
  </r>
  <r>
    <d v="2022-03-22T00:00:00"/>
    <x v="9"/>
    <n v="12"/>
    <s v="MARTES"/>
    <x v="44"/>
    <x v="44"/>
    <n v="500"/>
    <n v="420"/>
    <n v="210"/>
    <x v="3"/>
  </r>
  <r>
    <d v="2022-03-23T00:00:00"/>
    <x v="9"/>
    <n v="12"/>
    <s v="MIÉRCOLES"/>
    <x v="40"/>
    <x v="40"/>
    <n v="448"/>
    <n v="240"/>
    <n v="179.20000000000002"/>
    <x v="3"/>
  </r>
  <r>
    <d v="2022-03-23T00:00:00"/>
    <x v="9"/>
    <n v="12"/>
    <s v="MIÉRCOLES"/>
    <x v="38"/>
    <x v="38"/>
    <n v="448"/>
    <n v="112"/>
    <n v="179.20000000000002"/>
    <x v="3"/>
  </r>
  <r>
    <d v="2022-03-23T00:00:00"/>
    <x v="9"/>
    <n v="12"/>
    <s v="MIÉRCOLES"/>
    <x v="0"/>
    <x v="0"/>
    <n v="480"/>
    <n v="48"/>
    <n v="192"/>
    <x v="3"/>
  </r>
  <r>
    <d v="2022-03-23T00:00:00"/>
    <x v="9"/>
    <n v="12"/>
    <s v="MIÉRCOLES"/>
    <x v="4"/>
    <x v="4"/>
    <n v="810"/>
    <n v="162"/>
    <n v="137.70000000000002"/>
    <x v="3"/>
  </r>
  <r>
    <d v="2022-03-23T00:00:00"/>
    <x v="9"/>
    <n v="12"/>
    <s v="MIÉRCOLES"/>
    <x v="5"/>
    <x v="5"/>
    <n v="486"/>
    <n v="162"/>
    <n v="82.62"/>
    <x v="3"/>
  </r>
  <r>
    <d v="2022-03-23T00:00:00"/>
    <x v="9"/>
    <n v="12"/>
    <s v="MIÉRCOLES"/>
    <x v="6"/>
    <x v="6"/>
    <n v="2640"/>
    <n v="120"/>
    <n v="448.8"/>
    <x v="3"/>
  </r>
  <r>
    <d v="2022-03-23T00:00:00"/>
    <x v="9"/>
    <n v="12"/>
    <s v="MIÉRCOLES"/>
    <x v="11"/>
    <x v="11"/>
    <n v="2160"/>
    <n v="90"/>
    <n v="367.20000000000005"/>
    <x v="3"/>
  </r>
  <r>
    <d v="2022-03-23T00:00:00"/>
    <x v="9"/>
    <n v="12"/>
    <s v="MIÉRCOLES"/>
    <x v="25"/>
    <x v="25"/>
    <n v="1350"/>
    <n v="225"/>
    <n v="567"/>
    <x v="3"/>
  </r>
  <r>
    <d v="2022-03-24T00:00:00"/>
    <x v="9"/>
    <n v="12"/>
    <s v="JUEVES"/>
    <x v="33"/>
    <x v="33"/>
    <n v="80"/>
    <n v="40"/>
    <n v="18.400000000000002"/>
    <x v="3"/>
  </r>
  <r>
    <d v="2022-03-24T00:00:00"/>
    <x v="9"/>
    <n v="12"/>
    <s v="JUEVES"/>
    <x v="15"/>
    <x v="15"/>
    <n v="250"/>
    <n v="50"/>
    <n v="100"/>
    <x v="3"/>
  </r>
  <r>
    <d v="2022-03-24T00:00:00"/>
    <x v="9"/>
    <n v="12"/>
    <s v="JUEVES"/>
    <x v="3"/>
    <x v="3"/>
    <n v="396"/>
    <n v="198"/>
    <n v="67.320000000000007"/>
    <x v="3"/>
  </r>
  <r>
    <d v="2022-03-24T00:00:00"/>
    <x v="9"/>
    <n v="12"/>
    <s v="JUEVES"/>
    <x v="6"/>
    <x v="6"/>
    <n v="480"/>
    <n v="120"/>
    <n v="81.600000000000009"/>
    <x v="3"/>
  </r>
  <r>
    <d v="2022-03-24T00:00:00"/>
    <x v="9"/>
    <n v="12"/>
    <s v="JUEVES"/>
    <x v="8"/>
    <x v="8"/>
    <n v="1080"/>
    <n v="198"/>
    <n v="183.60000000000002"/>
    <x v="3"/>
  </r>
  <r>
    <d v="2022-03-24T00:00:00"/>
    <x v="9"/>
    <n v="12"/>
    <s v="JUEVES"/>
    <x v="10"/>
    <x v="10"/>
    <n v="7200"/>
    <n v="120"/>
    <n v="1224"/>
    <x v="3"/>
  </r>
  <r>
    <d v="2022-03-24T00:00:00"/>
    <x v="9"/>
    <n v="12"/>
    <s v="JUEVES"/>
    <x v="26"/>
    <x v="26"/>
    <n v="450"/>
    <n v="90"/>
    <n v="76.5"/>
    <x v="3"/>
  </r>
  <r>
    <d v="2022-03-24T00:00:00"/>
    <x v="9"/>
    <n v="12"/>
    <s v="JUEVES"/>
    <x v="23"/>
    <x v="23"/>
    <n v="900"/>
    <n v="90"/>
    <n v="153"/>
    <x v="3"/>
  </r>
  <r>
    <d v="2022-03-24T00:00:00"/>
    <x v="9"/>
    <n v="12"/>
    <s v="JUEVES"/>
    <x v="11"/>
    <x v="11"/>
    <n v="3960"/>
    <n v="90"/>
    <n v="673.2"/>
    <x v="3"/>
  </r>
  <r>
    <d v="2022-03-24T00:00:00"/>
    <x v="9"/>
    <n v="12"/>
    <s v="JUEVES"/>
    <x v="20"/>
    <x v="20"/>
    <n v="450"/>
    <n v="90"/>
    <n v="76.5"/>
    <x v="3"/>
  </r>
  <r>
    <d v="2022-03-24T00:00:00"/>
    <x v="9"/>
    <n v="12"/>
    <s v="JUEVES"/>
    <x v="64"/>
    <x v="48"/>
    <n v="120"/>
    <n v="30"/>
    <n v="25.2"/>
    <x v="3"/>
  </r>
  <r>
    <d v="2022-03-24T00:00:00"/>
    <x v="9"/>
    <n v="12"/>
    <s v="JUEVES"/>
    <x v="38"/>
    <x v="38"/>
    <n v="896"/>
    <n v="112"/>
    <n v="358.40000000000003"/>
    <x v="3"/>
  </r>
  <r>
    <d v="2022-03-24T00:00:00"/>
    <x v="9"/>
    <n v="12"/>
    <s v="JUEVES"/>
    <x v="1"/>
    <x v="1"/>
    <n v="2160"/>
    <n v="198"/>
    <n v="367.20000000000005"/>
    <x v="3"/>
  </r>
  <r>
    <d v="2022-03-24T00:00:00"/>
    <x v="9"/>
    <n v="12"/>
    <s v="JUEVES"/>
    <x v="2"/>
    <x v="2"/>
    <n v="2160"/>
    <n v="198"/>
    <n v="367.20000000000005"/>
    <x v="3"/>
  </r>
  <r>
    <d v="2022-03-24T00:00:00"/>
    <x v="9"/>
    <n v="12"/>
    <s v="JUEVES"/>
    <x v="22"/>
    <x v="22"/>
    <n v="792"/>
    <n v="198"/>
    <n v="134.64000000000001"/>
    <x v="3"/>
  </r>
  <r>
    <d v="2022-03-24T00:00:00"/>
    <x v="9"/>
    <n v="12"/>
    <s v="JUEVES"/>
    <x v="6"/>
    <x v="6"/>
    <n v="5520"/>
    <n v="120"/>
    <n v="938.40000000000009"/>
    <x v="3"/>
  </r>
  <r>
    <d v="2022-03-24T00:00:00"/>
    <x v="9"/>
    <n v="12"/>
    <s v="JUEVES"/>
    <x v="7"/>
    <x v="7"/>
    <n v="1080"/>
    <n v="198"/>
    <n v="183.60000000000002"/>
    <x v="3"/>
  </r>
  <r>
    <d v="2022-03-24T00:00:00"/>
    <x v="9"/>
    <n v="12"/>
    <s v="JUEVES"/>
    <x v="10"/>
    <x v="10"/>
    <n v="480"/>
    <n v="120"/>
    <n v="81.600000000000009"/>
    <x v="3"/>
  </r>
  <r>
    <d v="2022-03-24T00:00:00"/>
    <x v="9"/>
    <n v="12"/>
    <s v="JUEVES"/>
    <x v="11"/>
    <x v="11"/>
    <n v="540"/>
    <n v="90"/>
    <n v="91.800000000000011"/>
    <x v="3"/>
  </r>
  <r>
    <d v="2022-03-24T00:00:00"/>
    <x v="9"/>
    <n v="12"/>
    <s v="JUEVES"/>
    <x v="25"/>
    <x v="25"/>
    <n v="1350"/>
    <n v="225"/>
    <n v="567"/>
    <x v="3"/>
  </r>
  <r>
    <d v="2022-03-23T00:00:00"/>
    <x v="9"/>
    <n v="12"/>
    <s v="MIÉRCOLES"/>
    <x v="13"/>
    <x v="13"/>
    <n v="240"/>
    <n v="30"/>
    <n v="96"/>
    <x v="3"/>
  </r>
  <r>
    <d v="2022-03-23T00:00:00"/>
    <x v="9"/>
    <n v="12"/>
    <s v="MIÉRCOLES"/>
    <x v="36"/>
    <x v="36"/>
    <n v="270"/>
    <n v="90"/>
    <n v="108"/>
    <x v="3"/>
  </r>
  <r>
    <d v="2022-03-23T00:00:00"/>
    <x v="9"/>
    <n v="12"/>
    <s v="MIÉRCOLES"/>
    <x v="0"/>
    <x v="0"/>
    <n v="336"/>
    <n v="48"/>
    <n v="134.4"/>
    <x v="3"/>
  </r>
  <r>
    <d v="2022-03-23T00:00:00"/>
    <x v="9"/>
    <n v="12"/>
    <s v="MIÉRCOLES"/>
    <x v="10"/>
    <x v="10"/>
    <n v="4320"/>
    <n v="120"/>
    <n v="734.40000000000009"/>
    <x v="3"/>
  </r>
  <r>
    <d v="2022-03-23T00:00:00"/>
    <x v="9"/>
    <n v="12"/>
    <s v="MIÉRCOLES"/>
    <x v="64"/>
    <x v="48"/>
    <n v="450"/>
    <n v="30"/>
    <n v="94.5"/>
    <x v="3"/>
  </r>
  <r>
    <d v="2022-03-23T00:00:00"/>
    <x v="9"/>
    <n v="12"/>
    <s v="MIÉRCOLES"/>
    <x v="28"/>
    <x v="28"/>
    <n v="300"/>
    <n v="30"/>
    <n v="69"/>
    <x v="3"/>
  </r>
  <r>
    <d v="2022-03-23T00:00:00"/>
    <x v="9"/>
    <n v="12"/>
    <s v="MIÉRCOLES"/>
    <x v="36"/>
    <x v="36"/>
    <n v="810"/>
    <n v="90"/>
    <n v="324"/>
    <x v="3"/>
  </r>
  <r>
    <d v="2022-03-23T00:00:00"/>
    <x v="9"/>
    <n v="12"/>
    <s v="MIÉRCOLES"/>
    <x v="0"/>
    <x v="0"/>
    <n v="1104"/>
    <n v="48"/>
    <n v="441.6"/>
    <x v="3"/>
  </r>
  <r>
    <d v="2022-03-23T00:00:00"/>
    <x v="9"/>
    <n v="12"/>
    <s v="MIÉRCOLES"/>
    <x v="6"/>
    <x v="6"/>
    <n v="3360"/>
    <n v="120"/>
    <n v="571.20000000000005"/>
    <x v="3"/>
  </r>
  <r>
    <d v="2022-03-23T00:00:00"/>
    <x v="9"/>
    <n v="12"/>
    <s v="MIÉRCOLES"/>
    <x v="10"/>
    <x v="10"/>
    <n v="7680"/>
    <n v="120"/>
    <n v="1305.6000000000001"/>
    <x v="3"/>
  </r>
  <r>
    <d v="2022-03-23T00:00:00"/>
    <x v="9"/>
    <n v="12"/>
    <s v="MIÉRCOLES"/>
    <x v="64"/>
    <x v="48"/>
    <n v="510"/>
    <n v="30"/>
    <n v="107.1"/>
    <x v="3"/>
  </r>
  <r>
    <d v="2022-03-24T00:00:00"/>
    <x v="9"/>
    <n v="12"/>
    <s v="JUEVES"/>
    <x v="8"/>
    <x v="8"/>
    <n v="1080"/>
    <n v="198"/>
    <n v="183.60000000000002"/>
    <x v="3"/>
  </r>
  <r>
    <d v="2022-03-24T00:00:00"/>
    <x v="9"/>
    <n v="12"/>
    <s v="JUEVES"/>
    <x v="10"/>
    <x v="10"/>
    <n v="4320"/>
    <n v="120"/>
    <n v="734.40000000000009"/>
    <x v="3"/>
  </r>
  <r>
    <d v="2022-03-24T00:00:00"/>
    <x v="9"/>
    <n v="12"/>
    <s v="JUEVES"/>
    <x v="64"/>
    <x v="48"/>
    <n v="360"/>
    <n v="30"/>
    <n v="75.599999999999994"/>
    <x v="3"/>
  </r>
  <r>
    <d v="2022-03-25T00:00:00"/>
    <x v="9"/>
    <n v="12"/>
    <s v="VIERNES"/>
    <x v="32"/>
    <x v="32"/>
    <n v="2100"/>
    <n v="420"/>
    <n v="882"/>
    <x v="3"/>
  </r>
  <r>
    <d v="2022-03-25T00:00:00"/>
    <x v="9"/>
    <n v="12"/>
    <s v="VIERNES"/>
    <x v="39"/>
    <x v="39"/>
    <n v="420"/>
    <n v="420"/>
    <n v="176.4"/>
    <x v="3"/>
  </r>
  <r>
    <d v="2022-03-25T00:00:00"/>
    <x v="9"/>
    <n v="12"/>
    <s v="VIERNES"/>
    <x v="1"/>
    <x v="1"/>
    <n v="3240"/>
    <n v="198"/>
    <n v="550.80000000000007"/>
    <x v="3"/>
  </r>
  <r>
    <d v="2022-03-25T00:00:00"/>
    <x v="9"/>
    <n v="12"/>
    <s v="VIERNES"/>
    <x v="2"/>
    <x v="2"/>
    <n v="3024"/>
    <n v="198"/>
    <n v="514.08000000000004"/>
    <x v="3"/>
  </r>
  <r>
    <d v="2022-03-25T00:00:00"/>
    <x v="9"/>
    <n v="12"/>
    <s v="VIERNES"/>
    <x v="22"/>
    <x v="22"/>
    <n v="198"/>
    <n v="198"/>
    <n v="33.660000000000004"/>
    <x v="3"/>
  </r>
  <r>
    <d v="2022-03-25T00:00:00"/>
    <x v="9"/>
    <n v="12"/>
    <s v="VIERNES"/>
    <x v="3"/>
    <x v="3"/>
    <n v="1782"/>
    <n v="198"/>
    <n v="302.94"/>
    <x v="3"/>
  </r>
  <r>
    <d v="2022-03-25T00:00:00"/>
    <x v="9"/>
    <n v="12"/>
    <s v="VIERNES"/>
    <x v="17"/>
    <x v="17"/>
    <n v="2400"/>
    <n v="120"/>
    <n v="408.00000000000006"/>
    <x v="3"/>
  </r>
  <r>
    <d v="2022-03-25T00:00:00"/>
    <x v="9"/>
    <n v="12"/>
    <s v="VIERNES"/>
    <x v="7"/>
    <x v="7"/>
    <n v="1728"/>
    <n v="198"/>
    <n v="293.76000000000005"/>
    <x v="3"/>
  </r>
  <r>
    <d v="2022-03-25T00:00:00"/>
    <x v="9"/>
    <n v="12"/>
    <s v="VIERNES"/>
    <x v="8"/>
    <x v="8"/>
    <n v="216"/>
    <n v="198"/>
    <n v="36.720000000000006"/>
    <x v="3"/>
  </r>
  <r>
    <d v="2022-03-25T00:00:00"/>
    <x v="9"/>
    <n v="12"/>
    <s v="VIERNES"/>
    <x v="33"/>
    <x v="33"/>
    <n v="80"/>
    <n v="40"/>
    <n v="18.400000000000002"/>
    <x v="3"/>
  </r>
  <r>
    <d v="2022-03-25T00:00:00"/>
    <x v="9"/>
    <n v="12"/>
    <s v="VIERNES"/>
    <x v="13"/>
    <x v="13"/>
    <n v="300"/>
    <n v="30"/>
    <n v="120"/>
    <x v="3"/>
  </r>
  <r>
    <d v="2022-03-25T00:00:00"/>
    <x v="9"/>
    <n v="12"/>
    <s v="VIERNES"/>
    <x v="14"/>
    <x v="14"/>
    <n v="160"/>
    <n v="40"/>
    <n v="36.800000000000004"/>
    <x v="3"/>
  </r>
  <r>
    <d v="2022-03-25T00:00:00"/>
    <x v="9"/>
    <n v="12"/>
    <s v="VIERNES"/>
    <x v="15"/>
    <x v="15"/>
    <n v="500"/>
    <n v="50"/>
    <n v="200"/>
    <x v="3"/>
  </r>
  <r>
    <d v="2022-03-25T00:00:00"/>
    <x v="9"/>
    <n v="12"/>
    <s v="VIERNES"/>
    <x v="36"/>
    <x v="36"/>
    <n v="180"/>
    <n v="90"/>
    <n v="72"/>
    <x v="3"/>
  </r>
  <r>
    <d v="2022-03-25T00:00:00"/>
    <x v="9"/>
    <n v="12"/>
    <s v="VIERNES"/>
    <x v="24"/>
    <x v="24"/>
    <n v="2520"/>
    <n v="420"/>
    <n v="1058.3999999999999"/>
    <x v="3"/>
  </r>
  <r>
    <d v="2022-03-25T00:00:00"/>
    <x v="9"/>
    <n v="12"/>
    <s v="VIERNES"/>
    <x v="39"/>
    <x v="39"/>
    <n v="1260"/>
    <n v="420"/>
    <n v="529.19999999999993"/>
    <x v="3"/>
  </r>
  <r>
    <d v="2022-03-25T00:00:00"/>
    <x v="9"/>
    <n v="12"/>
    <s v="VIERNES"/>
    <x v="6"/>
    <x v="6"/>
    <n v="3600"/>
    <n v="120"/>
    <n v="612"/>
    <x v="3"/>
  </r>
  <r>
    <d v="2022-03-25T00:00:00"/>
    <x v="9"/>
    <n v="12"/>
    <s v="VIERNES"/>
    <x v="17"/>
    <x v="17"/>
    <n v="120"/>
    <n v="120"/>
    <n v="20.400000000000002"/>
    <x v="3"/>
  </r>
  <r>
    <d v="2022-03-25T00:00:00"/>
    <x v="9"/>
    <n v="12"/>
    <s v="VIERNES"/>
    <x v="7"/>
    <x v="7"/>
    <n v="1080"/>
    <n v="198"/>
    <n v="183.60000000000002"/>
    <x v="3"/>
  </r>
  <r>
    <d v="2022-03-25T00:00:00"/>
    <x v="9"/>
    <n v="12"/>
    <s v="VIERNES"/>
    <x v="8"/>
    <x v="8"/>
    <n v="864"/>
    <n v="198"/>
    <n v="146.88000000000002"/>
    <x v="3"/>
  </r>
  <r>
    <d v="2022-03-25T00:00:00"/>
    <x v="9"/>
    <n v="12"/>
    <s v="VIERNES"/>
    <x v="9"/>
    <x v="9"/>
    <n v="540"/>
    <n v="90"/>
    <n v="91.800000000000011"/>
    <x v="3"/>
  </r>
  <r>
    <d v="2022-03-25T00:00:00"/>
    <x v="9"/>
    <n v="12"/>
    <s v="VIERNES"/>
    <x v="23"/>
    <x v="23"/>
    <n v="360"/>
    <n v="90"/>
    <n v="61.2"/>
    <x v="3"/>
  </r>
  <r>
    <d v="2022-03-25T00:00:00"/>
    <x v="9"/>
    <n v="12"/>
    <s v="VIERNES"/>
    <x v="25"/>
    <x v="25"/>
    <n v="900"/>
    <n v="225"/>
    <n v="378"/>
    <x v="3"/>
  </r>
  <r>
    <d v="2022-03-25T00:00:00"/>
    <x v="9"/>
    <n v="12"/>
    <s v="VIERNES"/>
    <x v="36"/>
    <x v="36"/>
    <n v="360"/>
    <n v="90"/>
    <n v="144"/>
    <x v="3"/>
  </r>
  <r>
    <d v="2022-03-25T00:00:00"/>
    <x v="9"/>
    <n v="12"/>
    <s v="VIERNES"/>
    <x v="40"/>
    <x v="40"/>
    <n v="336"/>
    <n v="240"/>
    <n v="134.4"/>
    <x v="3"/>
  </r>
  <r>
    <d v="2022-03-25T00:00:00"/>
    <x v="9"/>
    <n v="12"/>
    <s v="VIERNES"/>
    <x v="39"/>
    <x v="39"/>
    <n v="420"/>
    <n v="420"/>
    <n v="176.4"/>
    <x v="3"/>
  </r>
  <r>
    <d v="2022-03-25T00:00:00"/>
    <x v="9"/>
    <n v="12"/>
    <s v="VIERNES"/>
    <x v="16"/>
    <x v="16"/>
    <n v="900"/>
    <n v="180"/>
    <n v="378"/>
    <x v="3"/>
  </r>
  <r>
    <d v="2022-03-25T00:00:00"/>
    <x v="9"/>
    <n v="12"/>
    <s v="VIERNES"/>
    <x v="22"/>
    <x v="22"/>
    <n v="792"/>
    <n v="198"/>
    <n v="134.64000000000001"/>
    <x v="3"/>
  </r>
  <r>
    <d v="2022-03-25T00:00:00"/>
    <x v="9"/>
    <n v="12"/>
    <s v="VIERNES"/>
    <x v="17"/>
    <x v="17"/>
    <n v="480"/>
    <n v="120"/>
    <n v="81.600000000000009"/>
    <x v="3"/>
  </r>
  <r>
    <d v="2022-03-25T00:00:00"/>
    <x v="9"/>
    <n v="12"/>
    <s v="VIERNES"/>
    <x v="7"/>
    <x v="7"/>
    <n v="2592"/>
    <n v="198"/>
    <n v="440.64000000000004"/>
    <x v="3"/>
  </r>
  <r>
    <d v="2022-03-25T00:00:00"/>
    <x v="9"/>
    <n v="12"/>
    <s v="VIERNES"/>
    <x v="8"/>
    <x v="8"/>
    <n v="2160"/>
    <n v="198"/>
    <n v="367.20000000000005"/>
    <x v="3"/>
  </r>
  <r>
    <d v="2022-03-25T00:00:00"/>
    <x v="9"/>
    <n v="12"/>
    <s v="VIERNES"/>
    <x v="9"/>
    <x v="9"/>
    <n v="1800"/>
    <n v="90"/>
    <n v="306"/>
    <x v="3"/>
  </r>
  <r>
    <d v="2022-03-25T00:00:00"/>
    <x v="9"/>
    <n v="12"/>
    <s v="VIERNES"/>
    <x v="26"/>
    <x v="26"/>
    <n v="720"/>
    <n v="90"/>
    <n v="122.4"/>
    <x v="3"/>
  </r>
  <r>
    <d v="2022-03-25T00:00:00"/>
    <x v="9"/>
    <n v="12"/>
    <s v="VIERNES"/>
    <x v="23"/>
    <x v="23"/>
    <n v="1080"/>
    <n v="90"/>
    <n v="183.60000000000002"/>
    <x v="3"/>
  </r>
  <r>
    <d v="2022-03-25T00:00:00"/>
    <x v="9"/>
    <n v="12"/>
    <s v="VIERNES"/>
    <x v="25"/>
    <x v="25"/>
    <n v="450"/>
    <n v="225"/>
    <n v="189"/>
    <x v="3"/>
  </r>
  <r>
    <d v="2022-03-25T00:00:00"/>
    <x v="9"/>
    <n v="12"/>
    <s v="VIERNES"/>
    <x v="12"/>
    <x v="12"/>
    <n v="675"/>
    <n v="225"/>
    <n v="270"/>
    <x v="3"/>
  </r>
  <r>
    <d v="2022-03-25T00:00:00"/>
    <x v="9"/>
    <n v="12"/>
    <s v="VIERNES"/>
    <x v="19"/>
    <x v="19"/>
    <n v="450"/>
    <n v="225"/>
    <n v="180"/>
    <x v="3"/>
  </r>
  <r>
    <d v="2022-03-25T00:00:00"/>
    <x v="9"/>
    <n v="12"/>
    <s v="VIERNES"/>
    <x v="42"/>
    <x v="42"/>
    <n v="750"/>
    <n v="420"/>
    <n v="315"/>
    <x v="3"/>
  </r>
  <r>
    <d v="2022-03-25T00:00:00"/>
    <x v="9"/>
    <n v="12"/>
    <s v="VIERNES"/>
    <x v="36"/>
    <x v="36"/>
    <n v="360"/>
    <n v="90"/>
    <n v="144"/>
    <x v="3"/>
  </r>
  <r>
    <d v="2022-03-25T00:00:00"/>
    <x v="9"/>
    <n v="12"/>
    <s v="VIERNES"/>
    <x v="40"/>
    <x v="40"/>
    <n v="336"/>
    <n v="240"/>
    <n v="134.4"/>
    <x v="3"/>
  </r>
  <r>
    <d v="2022-03-25T00:00:00"/>
    <x v="9"/>
    <n v="12"/>
    <s v="VIERNES"/>
    <x v="39"/>
    <x v="39"/>
    <n v="420"/>
    <n v="420"/>
    <n v="176.4"/>
    <x v="3"/>
  </r>
  <r>
    <d v="2022-03-25T00:00:00"/>
    <x v="9"/>
    <n v="12"/>
    <s v="VIERNES"/>
    <x v="16"/>
    <x v="16"/>
    <n v="900"/>
    <n v="180"/>
    <n v="378"/>
    <x v="3"/>
  </r>
  <r>
    <d v="2022-03-25T00:00:00"/>
    <x v="9"/>
    <n v="12"/>
    <s v="VIERNES"/>
    <x v="22"/>
    <x v="22"/>
    <n v="792"/>
    <n v="198"/>
    <n v="134.64000000000001"/>
    <x v="3"/>
  </r>
  <r>
    <d v="2022-03-25T00:00:00"/>
    <x v="9"/>
    <n v="12"/>
    <s v="VIERNES"/>
    <x v="17"/>
    <x v="17"/>
    <n v="480"/>
    <n v="120"/>
    <n v="81.600000000000009"/>
    <x v="3"/>
  </r>
  <r>
    <d v="2022-03-25T00:00:00"/>
    <x v="9"/>
    <n v="12"/>
    <s v="VIERNES"/>
    <x v="7"/>
    <x v="7"/>
    <n v="2592"/>
    <n v="198"/>
    <n v="440.64000000000004"/>
    <x v="3"/>
  </r>
  <r>
    <d v="2022-03-25T00:00:00"/>
    <x v="9"/>
    <n v="12"/>
    <s v="VIERNES"/>
    <x v="8"/>
    <x v="8"/>
    <n v="2160"/>
    <n v="198"/>
    <n v="367.20000000000005"/>
    <x v="3"/>
  </r>
  <r>
    <d v="2022-03-25T00:00:00"/>
    <x v="9"/>
    <n v="12"/>
    <s v="VIERNES"/>
    <x v="9"/>
    <x v="9"/>
    <n v="1800"/>
    <n v="90"/>
    <n v="306"/>
    <x v="3"/>
  </r>
  <r>
    <d v="2022-03-25T00:00:00"/>
    <x v="9"/>
    <n v="12"/>
    <s v="VIERNES"/>
    <x v="26"/>
    <x v="26"/>
    <n v="720"/>
    <n v="90"/>
    <n v="122.4"/>
    <x v="3"/>
  </r>
  <r>
    <d v="2022-03-25T00:00:00"/>
    <x v="9"/>
    <n v="12"/>
    <s v="VIERNES"/>
    <x v="23"/>
    <x v="23"/>
    <n v="1080"/>
    <n v="90"/>
    <n v="183.60000000000002"/>
    <x v="3"/>
  </r>
  <r>
    <d v="2022-03-25T00:00:00"/>
    <x v="9"/>
    <n v="12"/>
    <s v="VIERNES"/>
    <x v="25"/>
    <x v="25"/>
    <n v="450"/>
    <n v="225"/>
    <n v="189"/>
    <x v="3"/>
  </r>
  <r>
    <d v="2022-03-25T00:00:00"/>
    <x v="9"/>
    <n v="12"/>
    <s v="VIERNES"/>
    <x v="12"/>
    <x v="12"/>
    <n v="675"/>
    <n v="225"/>
    <n v="270"/>
    <x v="3"/>
  </r>
  <r>
    <d v="2022-03-25T00:00:00"/>
    <x v="9"/>
    <n v="12"/>
    <s v="VIERNES"/>
    <x v="19"/>
    <x v="19"/>
    <n v="450"/>
    <n v="225"/>
    <n v="180"/>
    <x v="3"/>
  </r>
  <r>
    <d v="2022-03-25T00:00:00"/>
    <x v="9"/>
    <n v="12"/>
    <s v="VIERNES"/>
    <x v="42"/>
    <x v="42"/>
    <n v="750"/>
    <n v="420"/>
    <n v="315"/>
    <x v="3"/>
  </r>
  <r>
    <d v="2022-03-25T00:00:00"/>
    <x v="9"/>
    <n v="12"/>
    <s v="VIERNES"/>
    <x v="2"/>
    <x v="2"/>
    <n v="1296"/>
    <n v="198"/>
    <n v="220.32000000000002"/>
    <x v="3"/>
  </r>
  <r>
    <d v="2022-03-26T00:00:00"/>
    <x v="9"/>
    <n v="13"/>
    <s v="SÁBADO"/>
    <x v="38"/>
    <x v="38"/>
    <n v="560"/>
    <n v="112"/>
    <n v="224"/>
    <x v="3"/>
  </r>
  <r>
    <d v="2022-03-26T00:00:00"/>
    <x v="9"/>
    <n v="13"/>
    <s v="SÁBADO"/>
    <x v="22"/>
    <x v="22"/>
    <n v="594"/>
    <n v="198"/>
    <n v="100.98"/>
    <x v="3"/>
  </r>
  <r>
    <d v="2022-03-26T00:00:00"/>
    <x v="9"/>
    <n v="13"/>
    <s v="SÁBADO"/>
    <x v="4"/>
    <x v="4"/>
    <n v="1296"/>
    <n v="162"/>
    <n v="220.32000000000002"/>
    <x v="3"/>
  </r>
  <r>
    <d v="2022-03-26T00:00:00"/>
    <x v="9"/>
    <n v="13"/>
    <s v="SÁBADO"/>
    <x v="5"/>
    <x v="5"/>
    <n v="162"/>
    <n v="162"/>
    <n v="27.540000000000003"/>
    <x v="3"/>
  </r>
  <r>
    <d v="2022-03-26T00:00:00"/>
    <x v="9"/>
    <n v="13"/>
    <s v="SÁBADO"/>
    <x v="6"/>
    <x v="6"/>
    <n v="960"/>
    <n v="120"/>
    <n v="163.20000000000002"/>
    <x v="3"/>
  </r>
  <r>
    <d v="2022-03-26T00:00:00"/>
    <x v="9"/>
    <n v="13"/>
    <s v="SÁBADO"/>
    <x v="8"/>
    <x v="8"/>
    <n v="864"/>
    <n v="198"/>
    <n v="146.88000000000002"/>
    <x v="3"/>
  </r>
  <r>
    <d v="2022-03-26T00:00:00"/>
    <x v="9"/>
    <n v="13"/>
    <s v="SÁBADO"/>
    <x v="26"/>
    <x v="26"/>
    <n v="900"/>
    <n v="90"/>
    <n v="153"/>
    <x v="3"/>
  </r>
  <r>
    <d v="2022-03-26T00:00:00"/>
    <x v="9"/>
    <n v="13"/>
    <s v="SÁBADO"/>
    <x v="23"/>
    <x v="23"/>
    <n v="900"/>
    <n v="90"/>
    <n v="153"/>
    <x v="3"/>
  </r>
  <r>
    <d v="2022-03-26T00:00:00"/>
    <x v="9"/>
    <n v="13"/>
    <s v="SÁBADO"/>
    <x v="11"/>
    <x v="11"/>
    <n v="1800"/>
    <n v="90"/>
    <n v="306"/>
    <x v="3"/>
  </r>
  <r>
    <d v="2022-03-26T00:00:00"/>
    <x v="9"/>
    <n v="13"/>
    <s v="SÁBADO"/>
    <x v="25"/>
    <x v="25"/>
    <n v="225"/>
    <n v="225"/>
    <n v="94.5"/>
    <x v="3"/>
  </r>
  <r>
    <d v="2022-03-26T00:00:00"/>
    <x v="9"/>
    <n v="13"/>
    <s v="SÁBADO"/>
    <x v="12"/>
    <x v="12"/>
    <n v="450"/>
    <n v="225"/>
    <n v="180"/>
    <x v="3"/>
  </r>
  <r>
    <d v="2022-03-26T00:00:00"/>
    <x v="9"/>
    <n v="13"/>
    <s v="SÁBADO"/>
    <x v="19"/>
    <x v="19"/>
    <n v="225"/>
    <n v="225"/>
    <n v="90"/>
    <x v="3"/>
  </r>
  <r>
    <d v="2022-03-26T00:00:00"/>
    <x v="9"/>
    <n v="13"/>
    <s v="SÁBADO"/>
    <x v="43"/>
    <x v="43"/>
    <n v="750"/>
    <n v="420"/>
    <n v="315"/>
    <x v="3"/>
  </r>
  <r>
    <d v="2022-03-26T00:00:00"/>
    <x v="9"/>
    <n v="13"/>
    <s v="SÁBADO"/>
    <x v="33"/>
    <x v="33"/>
    <n v="120"/>
    <n v="40"/>
    <n v="27.6"/>
    <x v="3"/>
  </r>
  <r>
    <d v="2022-03-26T00:00:00"/>
    <x v="9"/>
    <n v="13"/>
    <s v="SÁBADO"/>
    <x v="14"/>
    <x v="14"/>
    <n v="320"/>
    <n v="40"/>
    <n v="73.600000000000009"/>
    <x v="3"/>
  </r>
  <r>
    <d v="2022-03-26T00:00:00"/>
    <x v="9"/>
    <n v="13"/>
    <s v="SÁBADO"/>
    <x v="36"/>
    <x v="36"/>
    <n v="540"/>
    <n v="90"/>
    <n v="216"/>
    <x v="3"/>
  </r>
  <r>
    <d v="2022-03-26T00:00:00"/>
    <x v="9"/>
    <n v="13"/>
    <s v="SÁBADO"/>
    <x v="24"/>
    <x v="24"/>
    <n v="1260"/>
    <n v="420"/>
    <n v="529.19999999999993"/>
    <x v="3"/>
  </r>
  <r>
    <d v="2022-03-26T00:00:00"/>
    <x v="9"/>
    <n v="13"/>
    <s v="SÁBADO"/>
    <x v="22"/>
    <x v="22"/>
    <n v="396"/>
    <n v="198"/>
    <n v="67.320000000000007"/>
    <x v="3"/>
  </r>
  <r>
    <d v="2022-03-26T00:00:00"/>
    <x v="9"/>
    <n v="13"/>
    <s v="SÁBADO"/>
    <x v="5"/>
    <x v="5"/>
    <n v="648"/>
    <n v="162"/>
    <n v="110.16000000000001"/>
    <x v="3"/>
  </r>
  <r>
    <d v="2022-03-26T00:00:00"/>
    <x v="9"/>
    <n v="13"/>
    <s v="SÁBADO"/>
    <x v="6"/>
    <x v="6"/>
    <n v="3840"/>
    <n v="120"/>
    <n v="652.80000000000007"/>
    <x v="3"/>
  </r>
  <r>
    <d v="2022-03-26T00:00:00"/>
    <x v="9"/>
    <n v="13"/>
    <s v="SÁBADO"/>
    <x v="8"/>
    <x v="8"/>
    <n v="1296"/>
    <n v="198"/>
    <n v="220.32000000000002"/>
    <x v="3"/>
  </r>
  <r>
    <d v="2022-03-26T00:00:00"/>
    <x v="9"/>
    <n v="13"/>
    <s v="SÁBADO"/>
    <x v="10"/>
    <x v="10"/>
    <n v="1440"/>
    <n v="120"/>
    <n v="244.8"/>
    <x v="3"/>
  </r>
  <r>
    <d v="2022-03-26T00:00:00"/>
    <x v="9"/>
    <n v="13"/>
    <s v="SÁBADO"/>
    <x v="25"/>
    <x v="25"/>
    <n v="2025"/>
    <n v="225"/>
    <n v="850.5"/>
    <x v="3"/>
  </r>
  <r>
    <d v="2022-03-26T00:00:00"/>
    <x v="9"/>
    <n v="13"/>
    <s v="SÁBADO"/>
    <x v="11"/>
    <x v="11"/>
    <n v="1080"/>
    <n v="90"/>
    <n v="183.60000000000002"/>
    <x v="3"/>
  </r>
  <r>
    <d v="2022-03-26T00:00:00"/>
    <x v="9"/>
    <n v="13"/>
    <s v="SÁBADO"/>
    <x v="24"/>
    <x v="24"/>
    <n v="840"/>
    <n v="420"/>
    <n v="352.8"/>
    <x v="3"/>
  </r>
  <r>
    <d v="2022-03-26T00:00:00"/>
    <x v="9"/>
    <n v="13"/>
    <s v="SÁBADO"/>
    <x v="32"/>
    <x v="32"/>
    <n v="1680"/>
    <n v="420"/>
    <n v="705.6"/>
    <x v="3"/>
  </r>
  <r>
    <d v="2022-03-26T00:00:00"/>
    <x v="9"/>
    <n v="13"/>
    <s v="SÁBADO"/>
    <x v="39"/>
    <x v="39"/>
    <n v="2100"/>
    <n v="420"/>
    <n v="882"/>
    <x v="3"/>
  </r>
  <r>
    <d v="2022-03-26T00:00:00"/>
    <x v="9"/>
    <n v="13"/>
    <s v="SÁBADO"/>
    <x v="10"/>
    <x v="10"/>
    <n v="480"/>
    <n v="120"/>
    <n v="81.600000000000009"/>
    <x v="3"/>
  </r>
  <r>
    <d v="2022-03-26T00:00:00"/>
    <x v="9"/>
    <n v="13"/>
    <s v="SÁBADO"/>
    <x v="20"/>
    <x v="20"/>
    <n v="180"/>
    <n v="90"/>
    <n v="30.6"/>
    <x v="3"/>
  </r>
  <r>
    <d v="2022-03-28T00:00:00"/>
    <x v="9"/>
    <n v="13"/>
    <s v="LUNES"/>
    <x v="13"/>
    <x v="13"/>
    <n v="60"/>
    <n v="30"/>
    <n v="24"/>
    <x v="3"/>
  </r>
  <r>
    <d v="2022-03-28T00:00:00"/>
    <x v="9"/>
    <n v="13"/>
    <s v="LUNES"/>
    <x v="16"/>
    <x v="16"/>
    <n v="360"/>
    <n v="180"/>
    <n v="151.19999999999999"/>
    <x v="3"/>
  </r>
  <r>
    <d v="2022-03-28T00:00:00"/>
    <x v="9"/>
    <n v="13"/>
    <s v="LUNES"/>
    <x v="10"/>
    <x v="10"/>
    <n v="6480"/>
    <n v="120"/>
    <n v="1101.6000000000001"/>
    <x v="3"/>
  </r>
  <r>
    <d v="2022-03-28T00:00:00"/>
    <x v="9"/>
    <n v="13"/>
    <s v="LUNES"/>
    <x v="23"/>
    <x v="23"/>
    <n v="720"/>
    <n v="90"/>
    <n v="122.4"/>
    <x v="3"/>
  </r>
  <r>
    <d v="2022-03-28T00:00:00"/>
    <x v="9"/>
    <n v="13"/>
    <s v="LUNES"/>
    <x v="11"/>
    <x v="11"/>
    <n v="2520"/>
    <n v="90"/>
    <n v="428.40000000000003"/>
    <x v="3"/>
  </r>
  <r>
    <d v="2022-03-28T00:00:00"/>
    <x v="9"/>
    <n v="13"/>
    <s v="LUNES"/>
    <x v="38"/>
    <x v="38"/>
    <n v="448"/>
    <n v="112"/>
    <n v="179.20000000000002"/>
    <x v="3"/>
  </r>
  <r>
    <d v="2022-03-28T00:00:00"/>
    <x v="9"/>
    <n v="13"/>
    <s v="LUNES"/>
    <x v="16"/>
    <x v="16"/>
    <n v="540"/>
    <n v="180"/>
    <n v="226.79999999999998"/>
    <x v="3"/>
  </r>
  <r>
    <d v="2022-03-28T00:00:00"/>
    <x v="9"/>
    <n v="13"/>
    <s v="LUNES"/>
    <x v="1"/>
    <x v="1"/>
    <n v="1296"/>
    <n v="198"/>
    <n v="220.32000000000002"/>
    <x v="3"/>
  </r>
  <r>
    <d v="2022-03-28T00:00:00"/>
    <x v="9"/>
    <n v="13"/>
    <s v="LUNES"/>
    <x v="34"/>
    <x v="34"/>
    <n v="216"/>
    <n v="198"/>
    <n v="36.720000000000006"/>
    <x v="3"/>
  </r>
  <r>
    <d v="2022-03-28T00:00:00"/>
    <x v="9"/>
    <n v="13"/>
    <s v="LUNES"/>
    <x v="22"/>
    <x v="22"/>
    <n v="396"/>
    <n v="198"/>
    <n v="67.320000000000007"/>
    <x v="3"/>
  </r>
  <r>
    <d v="2022-03-28T00:00:00"/>
    <x v="9"/>
    <n v="13"/>
    <s v="LUNES"/>
    <x v="3"/>
    <x v="3"/>
    <n v="792"/>
    <n v="198"/>
    <n v="134.64000000000001"/>
    <x v="3"/>
  </r>
  <r>
    <d v="2022-03-28T00:00:00"/>
    <x v="9"/>
    <n v="13"/>
    <s v="LUNES"/>
    <x v="6"/>
    <x v="6"/>
    <n v="3600"/>
    <n v="120"/>
    <n v="612"/>
    <x v="3"/>
  </r>
  <r>
    <d v="2022-03-28T00:00:00"/>
    <x v="9"/>
    <n v="13"/>
    <s v="LUNES"/>
    <x v="26"/>
    <x v="26"/>
    <n v="540"/>
    <n v="90"/>
    <n v="91.800000000000011"/>
    <x v="3"/>
  </r>
  <r>
    <d v="2022-03-28T00:00:00"/>
    <x v="9"/>
    <n v="13"/>
    <s v="LUNES"/>
    <x v="23"/>
    <x v="23"/>
    <n v="540"/>
    <n v="90"/>
    <n v="91.800000000000011"/>
    <x v="3"/>
  </r>
  <r>
    <d v="2022-03-28T00:00:00"/>
    <x v="9"/>
    <n v="13"/>
    <s v="LUNES"/>
    <x v="11"/>
    <x v="11"/>
    <n v="900"/>
    <n v="90"/>
    <n v="153"/>
    <x v="3"/>
  </r>
  <r>
    <d v="2022-03-28T00:00:00"/>
    <x v="9"/>
    <n v="13"/>
    <s v="LUNES"/>
    <x v="19"/>
    <x v="19"/>
    <n v="450"/>
    <n v="225"/>
    <n v="180"/>
    <x v="3"/>
  </r>
  <r>
    <d v="2022-03-27T00:00:00"/>
    <x v="9"/>
    <n v="13"/>
    <s v="DOMINGO"/>
    <x v="24"/>
    <x v="24"/>
    <n v="2940"/>
    <n v="420"/>
    <n v="1234.8"/>
    <x v="3"/>
  </r>
  <r>
    <d v="2022-03-27T00:00:00"/>
    <x v="9"/>
    <n v="13"/>
    <s v="DOMINGO"/>
    <x v="1"/>
    <x v="1"/>
    <n v="1728"/>
    <n v="198"/>
    <n v="293.76000000000005"/>
    <x v="3"/>
  </r>
  <r>
    <d v="2022-03-27T00:00:00"/>
    <x v="9"/>
    <n v="13"/>
    <s v="DOMINGO"/>
    <x v="2"/>
    <x v="2"/>
    <n v="1512"/>
    <n v="198"/>
    <n v="257.04000000000002"/>
    <x v="3"/>
  </r>
  <r>
    <d v="2022-03-27T00:00:00"/>
    <x v="9"/>
    <n v="13"/>
    <s v="DOMINGO"/>
    <x v="5"/>
    <x v="5"/>
    <n v="162"/>
    <n v="162"/>
    <n v="27.540000000000003"/>
    <x v="3"/>
  </r>
  <r>
    <d v="2022-03-27T00:00:00"/>
    <x v="9"/>
    <n v="13"/>
    <s v="DOMINGO"/>
    <x v="6"/>
    <x v="6"/>
    <n v="2400"/>
    <n v="120"/>
    <n v="408.00000000000006"/>
    <x v="3"/>
  </r>
  <r>
    <d v="2022-03-27T00:00:00"/>
    <x v="9"/>
    <n v="13"/>
    <s v="DOMINGO"/>
    <x v="17"/>
    <x v="17"/>
    <n v="1200"/>
    <n v="120"/>
    <n v="204.00000000000003"/>
    <x v="3"/>
  </r>
  <r>
    <d v="2022-03-27T00:00:00"/>
    <x v="9"/>
    <n v="13"/>
    <s v="DOMINGO"/>
    <x v="7"/>
    <x v="7"/>
    <n v="3456"/>
    <n v="198"/>
    <n v="587.5200000000001"/>
    <x v="3"/>
  </r>
  <r>
    <d v="2022-03-27T00:00:00"/>
    <x v="9"/>
    <n v="13"/>
    <s v="DOMINGO"/>
    <x v="10"/>
    <x v="10"/>
    <n v="1440"/>
    <n v="120"/>
    <n v="244.8"/>
    <x v="3"/>
  </r>
  <r>
    <d v="2022-03-28T00:00:00"/>
    <x v="9"/>
    <n v="13"/>
    <s v="LUNES"/>
    <x v="28"/>
    <x v="28"/>
    <n v="300"/>
    <n v="30"/>
    <n v="69"/>
    <x v="3"/>
  </r>
  <r>
    <d v="2022-03-28T00:00:00"/>
    <x v="9"/>
    <n v="13"/>
    <s v="LUNES"/>
    <x v="13"/>
    <x v="13"/>
    <n v="90"/>
    <n v="30"/>
    <n v="36"/>
    <x v="3"/>
  </r>
  <r>
    <d v="2022-03-28T00:00:00"/>
    <x v="9"/>
    <n v="13"/>
    <s v="LUNES"/>
    <x v="15"/>
    <x v="15"/>
    <n v="250"/>
    <n v="50"/>
    <n v="100"/>
    <x v="3"/>
  </r>
  <r>
    <d v="2022-03-28T00:00:00"/>
    <x v="9"/>
    <n v="13"/>
    <s v="LUNES"/>
    <x v="36"/>
    <x v="36"/>
    <n v="450"/>
    <n v="90"/>
    <n v="180"/>
    <x v="3"/>
  </r>
  <r>
    <d v="2022-03-28T00:00:00"/>
    <x v="9"/>
    <n v="13"/>
    <s v="LUNES"/>
    <x v="24"/>
    <x v="24"/>
    <n v="840"/>
    <n v="420"/>
    <n v="352.8"/>
    <x v="3"/>
  </r>
  <r>
    <d v="2022-03-28T00:00:00"/>
    <x v="9"/>
    <n v="13"/>
    <s v="LUNES"/>
    <x v="1"/>
    <x v="1"/>
    <n v="2592"/>
    <n v="198"/>
    <n v="440.64000000000004"/>
    <x v="3"/>
  </r>
  <r>
    <d v="2022-03-28T00:00:00"/>
    <x v="9"/>
    <n v="13"/>
    <s v="LUNES"/>
    <x v="2"/>
    <x v="2"/>
    <n v="1728"/>
    <n v="198"/>
    <n v="293.76000000000005"/>
    <x v="3"/>
  </r>
  <r>
    <d v="2022-03-28T00:00:00"/>
    <x v="9"/>
    <n v="13"/>
    <s v="LUNES"/>
    <x v="7"/>
    <x v="7"/>
    <n v="864"/>
    <n v="198"/>
    <n v="146.88000000000002"/>
    <x v="3"/>
  </r>
  <r>
    <d v="2022-03-28T00:00:00"/>
    <x v="9"/>
    <n v="13"/>
    <s v="LUNES"/>
    <x v="10"/>
    <x v="10"/>
    <n v="3600"/>
    <n v="120"/>
    <n v="612"/>
    <x v="3"/>
  </r>
  <r>
    <d v="2022-03-28T00:00:00"/>
    <x v="9"/>
    <n v="13"/>
    <s v="LUNES"/>
    <x v="7"/>
    <x v="7"/>
    <n v="1440"/>
    <n v="198"/>
    <n v="244.8"/>
    <x v="3"/>
  </r>
  <r>
    <d v="2022-03-28T00:00:00"/>
    <x v="9"/>
    <n v="13"/>
    <s v="LUNES"/>
    <x v="11"/>
    <x v="11"/>
    <n v="720"/>
    <n v="90"/>
    <n v="122.4"/>
    <x v="3"/>
  </r>
  <r>
    <d v="2022-03-28T00:00:00"/>
    <x v="9"/>
    <n v="13"/>
    <s v="LUNES"/>
    <x v="24"/>
    <x v="24"/>
    <n v="420"/>
    <n v="420"/>
    <n v="176.4"/>
    <x v="3"/>
  </r>
  <r>
    <d v="2022-03-28T00:00:00"/>
    <x v="9"/>
    <n v="13"/>
    <s v="LUNES"/>
    <x v="16"/>
    <x v="16"/>
    <n v="540"/>
    <n v="180"/>
    <n v="226.79999999999998"/>
    <x v="3"/>
  </r>
  <r>
    <d v="2022-03-28T00:00:00"/>
    <x v="9"/>
    <n v="13"/>
    <s v="LUNES"/>
    <x v="10"/>
    <x v="10"/>
    <n v="480"/>
    <n v="120"/>
    <n v="81.600000000000009"/>
    <x v="3"/>
  </r>
  <r>
    <d v="2022-03-28T00:00:00"/>
    <x v="9"/>
    <n v="13"/>
    <s v="LUNES"/>
    <x v="11"/>
    <x v="11"/>
    <n v="360"/>
    <n v="90"/>
    <n v="61.2"/>
    <x v="3"/>
  </r>
  <r>
    <d v="2022-03-29T00:00:00"/>
    <x v="9"/>
    <n v="13"/>
    <s v="MARTES"/>
    <x v="36"/>
    <x v="36"/>
    <n v="810"/>
    <n v="90"/>
    <n v="324"/>
    <x v="3"/>
  </r>
  <r>
    <d v="2022-03-29T00:00:00"/>
    <x v="9"/>
    <n v="13"/>
    <s v="MARTES"/>
    <x v="32"/>
    <x v="32"/>
    <n v="2100"/>
    <n v="420"/>
    <n v="882"/>
    <x v="3"/>
  </r>
  <r>
    <d v="2022-03-29T00:00:00"/>
    <x v="9"/>
    <n v="13"/>
    <s v="MARTES"/>
    <x v="22"/>
    <x v="22"/>
    <n v="396"/>
    <n v="198"/>
    <n v="67.320000000000007"/>
    <x v="3"/>
  </r>
  <r>
    <d v="2022-03-29T00:00:00"/>
    <x v="9"/>
    <n v="13"/>
    <s v="MARTES"/>
    <x v="3"/>
    <x v="3"/>
    <n v="396"/>
    <n v="198"/>
    <n v="67.320000000000007"/>
    <x v="3"/>
  </r>
  <r>
    <d v="2022-03-29T00:00:00"/>
    <x v="9"/>
    <n v="13"/>
    <s v="MARTES"/>
    <x v="9"/>
    <x v="9"/>
    <n v="450"/>
    <n v="90"/>
    <n v="76.5"/>
    <x v="3"/>
  </r>
  <r>
    <d v="2022-03-29T00:00:00"/>
    <x v="9"/>
    <n v="13"/>
    <s v="MARTES"/>
    <x v="10"/>
    <x v="10"/>
    <n v="4320"/>
    <n v="120"/>
    <n v="734.40000000000009"/>
    <x v="3"/>
  </r>
  <r>
    <d v="2022-03-29T00:00:00"/>
    <x v="9"/>
    <n v="13"/>
    <s v="MARTES"/>
    <x v="26"/>
    <x v="26"/>
    <n v="180"/>
    <n v="90"/>
    <n v="30.6"/>
    <x v="3"/>
  </r>
  <r>
    <d v="2022-03-29T00:00:00"/>
    <x v="9"/>
    <n v="13"/>
    <s v="MARTES"/>
    <x v="23"/>
    <x v="23"/>
    <n v="360"/>
    <n v="90"/>
    <n v="61.2"/>
    <x v="3"/>
  </r>
  <r>
    <d v="2022-03-29T00:00:00"/>
    <x v="9"/>
    <n v="13"/>
    <s v="MARTES"/>
    <x v="11"/>
    <x v="11"/>
    <n v="1980"/>
    <n v="90"/>
    <n v="336.6"/>
    <x v="3"/>
  </r>
  <r>
    <d v="2022-03-29T00:00:00"/>
    <x v="9"/>
    <n v="13"/>
    <s v="MARTES"/>
    <x v="20"/>
    <x v="20"/>
    <n v="450"/>
    <n v="90"/>
    <n v="76.5"/>
    <x v="3"/>
  </r>
  <r>
    <d v="2022-03-29T00:00:00"/>
    <x v="9"/>
    <n v="13"/>
    <s v="MARTES"/>
    <x v="42"/>
    <x v="42"/>
    <n v="750"/>
    <n v="420"/>
    <n v="315"/>
    <x v="3"/>
  </r>
  <r>
    <d v="2022-03-29T00:00:00"/>
    <x v="9"/>
    <n v="13"/>
    <s v="MARTES"/>
    <x v="43"/>
    <x v="43"/>
    <n v="1000"/>
    <n v="420"/>
    <n v="420"/>
    <x v="3"/>
  </r>
  <r>
    <d v="2022-03-29T00:00:00"/>
    <x v="9"/>
    <n v="13"/>
    <s v="MARTES"/>
    <x v="38"/>
    <x v="38"/>
    <n v="112"/>
    <n v="112"/>
    <n v="44.800000000000004"/>
    <x v="3"/>
  </r>
  <r>
    <d v="2022-03-29T00:00:00"/>
    <x v="9"/>
    <n v="13"/>
    <s v="MARTES"/>
    <x v="1"/>
    <x v="1"/>
    <n v="864"/>
    <n v="198"/>
    <n v="146.88000000000002"/>
    <x v="3"/>
  </r>
  <r>
    <d v="2022-03-29T00:00:00"/>
    <x v="9"/>
    <n v="13"/>
    <s v="MARTES"/>
    <x v="2"/>
    <x v="2"/>
    <n v="1080"/>
    <n v="198"/>
    <n v="183.60000000000002"/>
    <x v="3"/>
  </r>
  <r>
    <d v="2022-03-29T00:00:00"/>
    <x v="9"/>
    <n v="13"/>
    <s v="MARTES"/>
    <x v="29"/>
    <x v="29"/>
    <n v="432"/>
    <n v="198"/>
    <n v="73.440000000000012"/>
    <x v="3"/>
  </r>
  <r>
    <d v="2022-03-29T00:00:00"/>
    <x v="9"/>
    <n v="13"/>
    <s v="MARTES"/>
    <x v="10"/>
    <x v="10"/>
    <n v="11520"/>
    <n v="120"/>
    <n v="1958.4"/>
    <x v="3"/>
  </r>
  <r>
    <d v="2022-03-29T00:00:00"/>
    <x v="9"/>
    <n v="13"/>
    <s v="MARTES"/>
    <x v="25"/>
    <x v="25"/>
    <n v="900"/>
    <n v="225"/>
    <n v="378"/>
    <x v="3"/>
  </r>
  <r>
    <d v="2022-03-30T00:00:00"/>
    <x v="9"/>
    <n v="13"/>
    <s v="MIÉRCOLES"/>
    <x v="36"/>
    <x v="36"/>
    <n v="720"/>
    <n v="90"/>
    <n v="288"/>
    <x v="3"/>
  </r>
  <r>
    <d v="2022-03-30T00:00:00"/>
    <x v="9"/>
    <n v="13"/>
    <s v="MIÉRCOLES"/>
    <x v="38"/>
    <x v="38"/>
    <n v="336"/>
    <n v="112"/>
    <n v="134.4"/>
    <x v="3"/>
  </r>
  <r>
    <d v="2022-03-30T00:00:00"/>
    <x v="9"/>
    <n v="13"/>
    <s v="MIÉRCOLES"/>
    <x v="0"/>
    <x v="0"/>
    <n v="480"/>
    <n v="48"/>
    <n v="192"/>
    <x v="3"/>
  </r>
  <r>
    <d v="2022-03-30T00:00:00"/>
    <x v="9"/>
    <n v="13"/>
    <s v="MIÉRCOLES"/>
    <x v="6"/>
    <x v="6"/>
    <n v="2400"/>
    <n v="120"/>
    <n v="408.00000000000006"/>
    <x v="3"/>
  </r>
  <r>
    <d v="2022-03-30T00:00:00"/>
    <x v="9"/>
    <n v="13"/>
    <s v="MIÉRCOLES"/>
    <x v="17"/>
    <x v="17"/>
    <n v="1800"/>
    <n v="120"/>
    <n v="306"/>
    <x v="3"/>
  </r>
  <r>
    <d v="2022-03-30T00:00:00"/>
    <x v="9"/>
    <n v="13"/>
    <s v="MIÉRCOLES"/>
    <x v="26"/>
    <x v="26"/>
    <n v="900"/>
    <n v="90"/>
    <n v="153"/>
    <x v="3"/>
  </r>
  <r>
    <d v="2022-03-30T00:00:00"/>
    <x v="9"/>
    <n v="13"/>
    <s v="MIÉRCOLES"/>
    <x v="23"/>
    <x v="23"/>
    <n v="1440"/>
    <n v="90"/>
    <n v="244.8"/>
    <x v="3"/>
  </r>
  <r>
    <d v="2022-03-30T00:00:00"/>
    <x v="9"/>
    <n v="13"/>
    <s v="MIÉRCOLES"/>
    <x v="11"/>
    <x v="11"/>
    <n v="900"/>
    <n v="90"/>
    <n v="153"/>
    <x v="3"/>
  </r>
  <r>
    <d v="2022-03-30T00:00:00"/>
    <x v="9"/>
    <n v="13"/>
    <s v="MIÉRCOLES"/>
    <x v="42"/>
    <x v="42"/>
    <n v="500"/>
    <n v="420"/>
    <n v="210"/>
    <x v="3"/>
  </r>
  <r>
    <d v="2022-03-29T00:00:00"/>
    <x v="9"/>
    <n v="13"/>
    <s v="MARTES"/>
    <x v="24"/>
    <x v="24"/>
    <n v="1260"/>
    <n v="420"/>
    <n v="529.19999999999993"/>
    <x v="3"/>
  </r>
  <r>
    <d v="2022-03-29T00:00:00"/>
    <x v="9"/>
    <n v="13"/>
    <s v="MARTES"/>
    <x v="32"/>
    <x v="32"/>
    <n v="1260"/>
    <n v="420"/>
    <n v="529.19999999999993"/>
    <x v="3"/>
  </r>
  <r>
    <d v="2022-03-29T00:00:00"/>
    <x v="9"/>
    <n v="13"/>
    <s v="MARTES"/>
    <x v="39"/>
    <x v="39"/>
    <n v="840"/>
    <n v="420"/>
    <n v="352.8"/>
    <x v="3"/>
  </r>
  <r>
    <d v="2022-03-29T00:00:00"/>
    <x v="9"/>
    <n v="13"/>
    <s v="MARTES"/>
    <x v="4"/>
    <x v="4"/>
    <n v="486"/>
    <n v="162"/>
    <n v="82.62"/>
    <x v="3"/>
  </r>
  <r>
    <d v="2022-03-29T00:00:00"/>
    <x v="9"/>
    <n v="13"/>
    <s v="MARTES"/>
    <x v="5"/>
    <x v="5"/>
    <n v="648"/>
    <n v="162"/>
    <n v="110.16000000000001"/>
    <x v="3"/>
  </r>
  <r>
    <d v="2022-03-29T00:00:00"/>
    <x v="9"/>
    <n v="13"/>
    <s v="MARTES"/>
    <x v="7"/>
    <x v="7"/>
    <n v="1296"/>
    <n v="198"/>
    <n v="220.32000000000002"/>
    <x v="3"/>
  </r>
  <r>
    <d v="2022-03-29T00:00:00"/>
    <x v="9"/>
    <n v="13"/>
    <s v="MARTES"/>
    <x v="8"/>
    <x v="8"/>
    <n v="1728"/>
    <n v="198"/>
    <n v="293.76000000000005"/>
    <x v="3"/>
  </r>
  <r>
    <d v="2022-03-29T00:00:00"/>
    <x v="9"/>
    <n v="13"/>
    <s v="MARTES"/>
    <x v="9"/>
    <x v="9"/>
    <n v="900"/>
    <n v="90"/>
    <n v="153"/>
    <x v="3"/>
  </r>
  <r>
    <d v="2022-03-29T00:00:00"/>
    <x v="9"/>
    <n v="13"/>
    <s v="MARTES"/>
    <x v="10"/>
    <x v="10"/>
    <n v="6240"/>
    <n v="120"/>
    <n v="1060.8000000000002"/>
    <x v="3"/>
  </r>
  <r>
    <d v="2022-03-29T00:00:00"/>
    <x v="9"/>
    <n v="13"/>
    <s v="MARTES"/>
    <x v="12"/>
    <x v="12"/>
    <n v="450"/>
    <n v="225"/>
    <n v="180"/>
    <x v="3"/>
  </r>
  <r>
    <d v="2022-03-30T00:00:00"/>
    <x v="9"/>
    <n v="13"/>
    <s v="MIÉRCOLES"/>
    <x v="13"/>
    <x v="13"/>
    <n v="90"/>
    <n v="30"/>
    <n v="36"/>
    <x v="3"/>
  </r>
  <r>
    <d v="2022-03-30T00:00:00"/>
    <x v="9"/>
    <n v="13"/>
    <s v="MIÉRCOLES"/>
    <x v="15"/>
    <x v="15"/>
    <n v="200"/>
    <n v="50"/>
    <n v="80"/>
    <x v="3"/>
  </r>
  <r>
    <d v="2022-03-30T00:00:00"/>
    <x v="9"/>
    <n v="13"/>
    <s v="MIÉRCOLES"/>
    <x v="0"/>
    <x v="0"/>
    <n v="1152"/>
    <n v="48"/>
    <n v="460.8"/>
    <x v="3"/>
  </r>
  <r>
    <d v="2022-03-30T00:00:00"/>
    <x v="9"/>
    <n v="13"/>
    <s v="MIÉRCOLES"/>
    <x v="24"/>
    <x v="24"/>
    <n v="840"/>
    <n v="420"/>
    <n v="352.8"/>
    <x v="3"/>
  </r>
  <r>
    <d v="2022-03-30T00:00:00"/>
    <x v="9"/>
    <n v="13"/>
    <s v="MIÉRCOLES"/>
    <x v="39"/>
    <x v="39"/>
    <n v="420"/>
    <n v="420"/>
    <n v="176.4"/>
    <x v="3"/>
  </r>
  <r>
    <d v="2022-03-30T00:00:00"/>
    <x v="9"/>
    <n v="13"/>
    <s v="MIÉRCOLES"/>
    <x v="10"/>
    <x v="10"/>
    <n v="4560"/>
    <n v="120"/>
    <n v="775.2"/>
    <x v="3"/>
  </r>
  <r>
    <d v="2022-03-30T00:00:00"/>
    <x v="9"/>
    <n v="13"/>
    <s v="MIÉRCOLES"/>
    <x v="64"/>
    <x v="48"/>
    <n v="390"/>
    <n v="30"/>
    <n v="81.899999999999991"/>
    <x v="3"/>
  </r>
  <r>
    <d v="2022-03-30T00:00:00"/>
    <x v="9"/>
    <n v="13"/>
    <s v="MIÉRCOLES"/>
    <x v="13"/>
    <x v="13"/>
    <n v="180"/>
    <n v="30"/>
    <n v="72"/>
    <x v="3"/>
  </r>
  <r>
    <d v="2022-03-30T00:00:00"/>
    <x v="9"/>
    <n v="13"/>
    <s v="MIÉRCOLES"/>
    <x v="10"/>
    <x v="10"/>
    <n v="1200"/>
    <n v="120"/>
    <n v="204.00000000000003"/>
    <x v="3"/>
  </r>
  <r>
    <d v="2022-03-30T00:00:00"/>
    <x v="9"/>
    <n v="13"/>
    <s v="MIÉRCOLES"/>
    <x v="26"/>
    <x v="26"/>
    <n v="1440"/>
    <n v="90"/>
    <n v="244.8"/>
    <x v="3"/>
  </r>
  <r>
    <d v="2022-03-30T00:00:00"/>
    <x v="9"/>
    <n v="13"/>
    <s v="MIÉRCOLES"/>
    <x v="64"/>
    <x v="48"/>
    <n v="210"/>
    <n v="30"/>
    <n v="44.1"/>
    <x v="3"/>
  </r>
  <r>
    <d v="2022-03-31T00:00:00"/>
    <x v="9"/>
    <n v="13"/>
    <s v="JUEVES"/>
    <x v="28"/>
    <x v="28"/>
    <n v="120"/>
    <n v="30"/>
    <n v="27.6"/>
    <x v="3"/>
  </r>
  <r>
    <d v="2022-03-31T00:00:00"/>
    <x v="9"/>
    <n v="13"/>
    <s v="JUEVES"/>
    <x v="15"/>
    <x v="15"/>
    <n v="100"/>
    <n v="50"/>
    <n v="40"/>
    <x v="3"/>
  </r>
  <r>
    <d v="2022-03-31T00:00:00"/>
    <x v="9"/>
    <n v="13"/>
    <s v="JUEVES"/>
    <x v="24"/>
    <x v="24"/>
    <n v="2100"/>
    <n v="420"/>
    <n v="882"/>
    <x v="3"/>
  </r>
  <r>
    <d v="2022-03-31T00:00:00"/>
    <x v="9"/>
    <n v="13"/>
    <s v="JUEVES"/>
    <x v="64"/>
    <x v="48"/>
    <n v="360"/>
    <n v="30"/>
    <n v="75.599999999999994"/>
    <x v="3"/>
  </r>
  <r>
    <d v="2022-04-01T00:00:00"/>
    <x v="10"/>
    <n v="13"/>
    <s v="VIERNES"/>
    <x v="10"/>
    <x v="10"/>
    <n v="6000"/>
    <n v="120"/>
    <n v="1020.0000000000001"/>
    <x v="3"/>
  </r>
  <r>
    <d v="2022-03-31T00:00:00"/>
    <x v="9"/>
    <n v="13"/>
    <s v="JUEVES"/>
    <x v="0"/>
    <x v="0"/>
    <n v="576"/>
    <n v="48"/>
    <n v="230.4"/>
    <x v="3"/>
  </r>
  <r>
    <d v="2022-03-31T00:00:00"/>
    <x v="9"/>
    <n v="13"/>
    <s v="JUEVES"/>
    <x v="1"/>
    <x v="1"/>
    <n v="5184"/>
    <n v="198"/>
    <n v="881.28000000000009"/>
    <x v="3"/>
  </r>
  <r>
    <d v="2022-03-31T00:00:00"/>
    <x v="9"/>
    <n v="13"/>
    <s v="JUEVES"/>
    <x v="2"/>
    <x v="2"/>
    <n v="3456"/>
    <n v="198"/>
    <n v="587.5200000000001"/>
    <x v="3"/>
  </r>
  <r>
    <d v="2022-03-31T00:00:00"/>
    <x v="9"/>
    <n v="13"/>
    <s v="JUEVES"/>
    <x v="22"/>
    <x v="22"/>
    <n v="594"/>
    <n v="198"/>
    <n v="100.98"/>
    <x v="3"/>
  </r>
  <r>
    <d v="2022-03-31T00:00:00"/>
    <x v="9"/>
    <n v="13"/>
    <s v="JUEVES"/>
    <x v="7"/>
    <x v="7"/>
    <n v="1728"/>
    <n v="198"/>
    <n v="293.76000000000005"/>
    <x v="3"/>
  </r>
  <r>
    <d v="2022-03-31T00:00:00"/>
    <x v="9"/>
    <n v="13"/>
    <s v="JUEVES"/>
    <x v="8"/>
    <x v="8"/>
    <n v="1080"/>
    <n v="198"/>
    <n v="183.60000000000002"/>
    <x v="3"/>
  </r>
  <r>
    <d v="2022-03-31T00:00:00"/>
    <x v="9"/>
    <n v="13"/>
    <s v="JUEVES"/>
    <x v="43"/>
    <x v="43"/>
    <n v="500"/>
    <n v="420"/>
    <n v="210"/>
    <x v="3"/>
  </r>
  <r>
    <d v="2022-04-01T00:00:00"/>
    <x v="10"/>
    <n v="13"/>
    <s v="VIERNES"/>
    <x v="28"/>
    <x v="28"/>
    <n v="180"/>
    <n v="30"/>
    <n v="41.4"/>
    <x v="3"/>
  </r>
  <r>
    <d v="2022-04-01T00:00:00"/>
    <x v="10"/>
    <n v="13"/>
    <s v="VIERNES"/>
    <x v="33"/>
    <x v="33"/>
    <n v="80"/>
    <n v="40"/>
    <n v="18.400000000000002"/>
    <x v="3"/>
  </r>
  <r>
    <d v="2022-04-01T00:00:00"/>
    <x v="10"/>
    <n v="13"/>
    <s v="VIERNES"/>
    <x v="15"/>
    <x v="15"/>
    <n v="300"/>
    <n v="50"/>
    <n v="120"/>
    <x v="3"/>
  </r>
  <r>
    <d v="2022-04-01T00:00:00"/>
    <x v="10"/>
    <n v="13"/>
    <s v="VIERNES"/>
    <x v="16"/>
    <x v="16"/>
    <n v="900"/>
    <n v="180"/>
    <n v="378"/>
    <x v="3"/>
  </r>
  <r>
    <d v="2022-04-01T00:00:00"/>
    <x v="10"/>
    <n v="13"/>
    <s v="VIERNES"/>
    <x v="1"/>
    <x v="1"/>
    <n v="432"/>
    <n v="198"/>
    <n v="73.440000000000012"/>
    <x v="3"/>
  </r>
  <r>
    <d v="2022-04-01T00:00:00"/>
    <x v="10"/>
    <n v="13"/>
    <s v="VIERNES"/>
    <x v="5"/>
    <x v="5"/>
    <n v="324"/>
    <n v="162"/>
    <n v="55.080000000000005"/>
    <x v="3"/>
  </r>
  <r>
    <d v="2022-04-01T00:00:00"/>
    <x v="10"/>
    <n v="13"/>
    <s v="VIERNES"/>
    <x v="8"/>
    <x v="8"/>
    <n v="1728"/>
    <n v="198"/>
    <n v="293.76000000000005"/>
    <x v="3"/>
  </r>
  <r>
    <d v="2022-04-01T00:00:00"/>
    <x v="10"/>
    <n v="13"/>
    <s v="VIERNES"/>
    <x v="20"/>
    <x v="20"/>
    <n v="450"/>
    <n v="90"/>
    <n v="76.5"/>
    <x v="3"/>
  </r>
  <r>
    <d v="2022-04-01T00:00:00"/>
    <x v="10"/>
    <n v="13"/>
    <s v="VIERNES"/>
    <x v="25"/>
    <x v="25"/>
    <n v="1800"/>
    <n v="225"/>
    <n v="756"/>
    <x v="3"/>
  </r>
  <r>
    <d v="2022-04-01T00:00:00"/>
    <x v="10"/>
    <n v="13"/>
    <s v="VIERNES"/>
    <x v="28"/>
    <x v="28"/>
    <n v="30"/>
    <n v="30"/>
    <n v="6.9"/>
    <x v="3"/>
  </r>
  <r>
    <d v="2022-04-01T00:00:00"/>
    <x v="10"/>
    <n v="13"/>
    <s v="VIERNES"/>
    <x v="10"/>
    <x v="10"/>
    <n v="4320"/>
    <n v="120"/>
    <n v="734.40000000000009"/>
    <x v="3"/>
  </r>
  <r>
    <d v="2022-04-01T00:00:00"/>
    <x v="10"/>
    <n v="13"/>
    <s v="VIERNES"/>
    <x v="36"/>
    <x v="36"/>
    <n v="540"/>
    <n v="90"/>
    <n v="216"/>
    <x v="3"/>
  </r>
  <r>
    <d v="2022-04-01T00:00:00"/>
    <x v="10"/>
    <n v="13"/>
    <s v="VIERNES"/>
    <x v="40"/>
    <x v="40"/>
    <n v="224"/>
    <n v="240"/>
    <n v="89.600000000000009"/>
    <x v="3"/>
  </r>
  <r>
    <d v="2022-04-01T00:00:00"/>
    <x v="10"/>
    <n v="13"/>
    <s v="VIERNES"/>
    <x v="10"/>
    <x v="10"/>
    <n v="1680"/>
    <n v="120"/>
    <n v="285.60000000000002"/>
    <x v="3"/>
  </r>
  <r>
    <d v="2022-04-01T00:00:00"/>
    <x v="10"/>
    <n v="13"/>
    <s v="VIERNES"/>
    <x v="42"/>
    <x v="42"/>
    <n v="250"/>
    <n v="420"/>
    <n v="105"/>
    <x v="3"/>
  </r>
  <r>
    <d v="2022-04-01T00:00:00"/>
    <x v="10"/>
    <n v="13"/>
    <s v="VIERNES"/>
    <x v="43"/>
    <x v="43"/>
    <n v="250"/>
    <n v="420"/>
    <n v="105"/>
    <x v="3"/>
  </r>
  <r>
    <d v="2022-04-01T00:00:00"/>
    <x v="10"/>
    <n v="13"/>
    <s v="VIERNES"/>
    <x v="24"/>
    <x v="24"/>
    <n v="4200"/>
    <n v="420"/>
    <n v="1764"/>
    <x v="3"/>
  </r>
  <r>
    <d v="2022-04-01T00:00:00"/>
    <x v="10"/>
    <n v="13"/>
    <s v="VIERNES"/>
    <x v="16"/>
    <x v="16"/>
    <n v="180"/>
    <n v="180"/>
    <n v="75.599999999999994"/>
    <x v="3"/>
  </r>
  <r>
    <d v="2022-04-01T00:00:00"/>
    <x v="10"/>
    <n v="13"/>
    <s v="VIERNES"/>
    <x v="5"/>
    <x v="5"/>
    <n v="162"/>
    <n v="162"/>
    <n v="27.540000000000003"/>
    <x v="3"/>
  </r>
  <r>
    <d v="2022-04-01T00:00:00"/>
    <x v="10"/>
    <n v="13"/>
    <s v="VIERNES"/>
    <x v="6"/>
    <x v="6"/>
    <n v="2880"/>
    <n v="120"/>
    <n v="489.6"/>
    <x v="3"/>
  </r>
  <r>
    <d v="2022-04-01T00:00:00"/>
    <x v="10"/>
    <n v="13"/>
    <s v="VIERNES"/>
    <x v="17"/>
    <x v="17"/>
    <n v="720"/>
    <n v="120"/>
    <n v="122.4"/>
    <x v="3"/>
  </r>
  <r>
    <d v="2022-04-01T00:00:00"/>
    <x v="10"/>
    <n v="13"/>
    <s v="VIERNES"/>
    <x v="10"/>
    <x v="10"/>
    <n v="720"/>
    <n v="120"/>
    <n v="122.4"/>
    <x v="3"/>
  </r>
  <r>
    <d v="2022-04-01T00:00:00"/>
    <x v="10"/>
    <n v="13"/>
    <s v="VIERNES"/>
    <x v="23"/>
    <x v="23"/>
    <n v="1800"/>
    <n v="90"/>
    <n v="306"/>
    <x v="3"/>
  </r>
  <r>
    <d v="2022-04-01T00:00:00"/>
    <x v="10"/>
    <n v="13"/>
    <s v="VIERNES"/>
    <x v="11"/>
    <x v="11"/>
    <n v="1440"/>
    <n v="90"/>
    <n v="244.8"/>
    <x v="3"/>
  </r>
  <r>
    <d v="2022-04-02T00:00:00"/>
    <x v="10"/>
    <n v="14"/>
    <s v="SÁBADO"/>
    <x v="10"/>
    <x v="10"/>
    <n v="3840"/>
    <n v="120"/>
    <n v="652.80000000000007"/>
    <x v="3"/>
  </r>
  <r>
    <d v="2022-04-02T00:00:00"/>
    <x v="10"/>
    <n v="14"/>
    <s v="SÁBADO"/>
    <x v="10"/>
    <x v="10"/>
    <n v="960"/>
    <n v="120"/>
    <n v="163.20000000000002"/>
    <x v="3"/>
  </r>
  <r>
    <d v="2022-04-02T00:00:00"/>
    <x v="10"/>
    <n v="14"/>
    <s v="SÁBADO"/>
    <x v="28"/>
    <x v="28"/>
    <n v="120"/>
    <n v="30"/>
    <n v="27.6"/>
    <x v="3"/>
  </r>
  <r>
    <d v="2022-04-02T00:00:00"/>
    <x v="10"/>
    <n v="14"/>
    <s v="SÁBADO"/>
    <x v="13"/>
    <x v="13"/>
    <n v="180"/>
    <n v="30"/>
    <n v="72"/>
    <x v="3"/>
  </r>
  <r>
    <d v="2022-04-02T00:00:00"/>
    <x v="10"/>
    <n v="14"/>
    <s v="SÁBADO"/>
    <x v="15"/>
    <x v="15"/>
    <n v="100"/>
    <n v="50"/>
    <n v="40"/>
    <x v="3"/>
  </r>
  <r>
    <d v="2022-04-02T00:00:00"/>
    <x v="10"/>
    <n v="14"/>
    <s v="SÁBADO"/>
    <x v="22"/>
    <x v="22"/>
    <n v="792"/>
    <n v="198"/>
    <n v="134.64000000000001"/>
    <x v="3"/>
  </r>
  <r>
    <d v="2022-04-02T00:00:00"/>
    <x v="10"/>
    <n v="14"/>
    <s v="SÁBADO"/>
    <x v="4"/>
    <x v="4"/>
    <n v="486"/>
    <n v="162"/>
    <n v="82.62"/>
    <x v="3"/>
  </r>
  <r>
    <d v="2022-04-02T00:00:00"/>
    <x v="10"/>
    <n v="14"/>
    <s v="SÁBADO"/>
    <x v="5"/>
    <x v="5"/>
    <n v="324"/>
    <n v="162"/>
    <n v="55.080000000000005"/>
    <x v="3"/>
  </r>
  <r>
    <d v="2022-04-02T00:00:00"/>
    <x v="10"/>
    <n v="14"/>
    <s v="SÁBADO"/>
    <x v="6"/>
    <x v="6"/>
    <n v="120"/>
    <n v="120"/>
    <n v="20.400000000000002"/>
    <x v="3"/>
  </r>
  <r>
    <d v="2022-04-02T00:00:00"/>
    <x v="10"/>
    <n v="14"/>
    <s v="SÁBADO"/>
    <x v="17"/>
    <x v="17"/>
    <n v="1080"/>
    <n v="120"/>
    <n v="183.60000000000002"/>
    <x v="3"/>
  </r>
  <r>
    <d v="2022-04-02T00:00:00"/>
    <x v="10"/>
    <n v="14"/>
    <s v="SÁBADO"/>
    <x v="10"/>
    <x v="10"/>
    <n v="2880"/>
    <n v="120"/>
    <n v="489.6"/>
    <x v="3"/>
  </r>
  <r>
    <d v="2022-04-02T00:00:00"/>
    <x v="10"/>
    <n v="14"/>
    <s v="SÁBADO"/>
    <x v="23"/>
    <x v="23"/>
    <n v="90"/>
    <n v="90"/>
    <n v="15.3"/>
    <x v="3"/>
  </r>
  <r>
    <d v="2022-04-02T00:00:00"/>
    <x v="10"/>
    <n v="14"/>
    <s v="SÁBADO"/>
    <x v="11"/>
    <x v="11"/>
    <n v="900"/>
    <n v="90"/>
    <n v="153"/>
    <x v="3"/>
  </r>
  <r>
    <d v="2022-04-04T00:00:00"/>
    <x v="10"/>
    <n v="14"/>
    <s v="LUNES"/>
    <x v="40"/>
    <x v="40"/>
    <n v="112"/>
    <n v="240"/>
    <n v="44.800000000000004"/>
    <x v="3"/>
  </r>
  <r>
    <d v="2022-04-04T00:00:00"/>
    <x v="10"/>
    <n v="14"/>
    <s v="LUNES"/>
    <x v="38"/>
    <x v="38"/>
    <n v="224"/>
    <n v="112"/>
    <n v="89.600000000000009"/>
    <x v="3"/>
  </r>
  <r>
    <d v="2022-04-04T00:00:00"/>
    <x v="10"/>
    <n v="14"/>
    <s v="LUNES"/>
    <x v="0"/>
    <x v="0"/>
    <n v="960"/>
    <n v="48"/>
    <n v="384"/>
    <x v="3"/>
  </r>
  <r>
    <d v="2022-04-04T00:00:00"/>
    <x v="10"/>
    <n v="14"/>
    <s v="LUNES"/>
    <x v="16"/>
    <x v="16"/>
    <n v="1080"/>
    <n v="180"/>
    <n v="453.59999999999997"/>
    <x v="3"/>
  </r>
  <r>
    <d v="2022-04-04T00:00:00"/>
    <x v="10"/>
    <n v="14"/>
    <s v="LUNES"/>
    <x v="1"/>
    <x v="1"/>
    <n v="1080"/>
    <n v="198"/>
    <n v="183.60000000000002"/>
    <x v="3"/>
  </r>
  <r>
    <d v="2022-04-04T00:00:00"/>
    <x v="10"/>
    <n v="14"/>
    <s v="LUNES"/>
    <x v="2"/>
    <x v="2"/>
    <n v="2160"/>
    <n v="198"/>
    <n v="367.20000000000005"/>
    <x v="3"/>
  </r>
  <r>
    <d v="2022-04-04T00:00:00"/>
    <x v="10"/>
    <n v="14"/>
    <s v="LUNES"/>
    <x v="6"/>
    <x v="6"/>
    <n v="1680"/>
    <n v="120"/>
    <n v="285.60000000000002"/>
    <x v="3"/>
  </r>
  <r>
    <d v="2022-04-04T00:00:00"/>
    <x v="10"/>
    <n v="14"/>
    <s v="LUNES"/>
    <x v="7"/>
    <x v="7"/>
    <n v="1080"/>
    <n v="198"/>
    <n v="183.60000000000002"/>
    <x v="3"/>
  </r>
  <r>
    <d v="2022-04-04T00:00:00"/>
    <x v="10"/>
    <n v="14"/>
    <s v="LUNES"/>
    <x v="8"/>
    <x v="8"/>
    <n v="1080"/>
    <n v="198"/>
    <n v="183.60000000000002"/>
    <x v="3"/>
  </r>
  <r>
    <d v="2022-04-04T00:00:00"/>
    <x v="10"/>
    <n v="14"/>
    <s v="LUNES"/>
    <x v="10"/>
    <x v="10"/>
    <n v="240"/>
    <n v="120"/>
    <n v="40.800000000000004"/>
    <x v="3"/>
  </r>
  <r>
    <d v="2022-04-04T00:00:00"/>
    <x v="10"/>
    <n v="14"/>
    <s v="LUNES"/>
    <x v="12"/>
    <x v="12"/>
    <n v="450"/>
    <n v="225"/>
    <n v="180"/>
    <x v="3"/>
  </r>
  <r>
    <d v="2022-04-04T00:00:00"/>
    <x v="10"/>
    <n v="14"/>
    <s v="LUNES"/>
    <x v="33"/>
    <x v="33"/>
    <n v="120"/>
    <n v="40"/>
    <n v="27.6"/>
    <x v="3"/>
  </r>
  <r>
    <d v="2022-04-04T00:00:00"/>
    <x v="10"/>
    <n v="14"/>
    <s v="LUNES"/>
    <x v="13"/>
    <x v="13"/>
    <n v="210"/>
    <n v="30"/>
    <n v="84"/>
    <x v="3"/>
  </r>
  <r>
    <d v="2022-04-04T00:00:00"/>
    <x v="10"/>
    <n v="14"/>
    <s v="LUNES"/>
    <x v="14"/>
    <x v="14"/>
    <n v="80"/>
    <n v="40"/>
    <n v="18.400000000000002"/>
    <x v="3"/>
  </r>
  <r>
    <d v="2022-04-04T00:00:00"/>
    <x v="10"/>
    <n v="14"/>
    <s v="LUNES"/>
    <x v="15"/>
    <x v="15"/>
    <n v="350"/>
    <n v="50"/>
    <n v="140"/>
    <x v="3"/>
  </r>
  <r>
    <d v="2022-04-04T00:00:00"/>
    <x v="10"/>
    <n v="14"/>
    <s v="LUNES"/>
    <x v="24"/>
    <x v="24"/>
    <n v="2100"/>
    <n v="420"/>
    <n v="882"/>
    <x v="3"/>
  </r>
  <r>
    <d v="2022-04-04T00:00:00"/>
    <x v="10"/>
    <n v="14"/>
    <s v="LUNES"/>
    <x v="16"/>
    <x v="16"/>
    <n v="180"/>
    <n v="180"/>
    <n v="75.599999999999994"/>
    <x v="3"/>
  </r>
  <r>
    <d v="2022-04-04T00:00:00"/>
    <x v="10"/>
    <n v="14"/>
    <s v="LUNES"/>
    <x v="4"/>
    <x v="4"/>
    <n v="486"/>
    <n v="162"/>
    <n v="82.62"/>
    <x v="3"/>
  </r>
  <r>
    <d v="2022-04-04T00:00:00"/>
    <x v="10"/>
    <n v="14"/>
    <s v="LUNES"/>
    <x v="6"/>
    <x v="6"/>
    <n v="720"/>
    <n v="120"/>
    <n v="122.4"/>
    <x v="3"/>
  </r>
  <r>
    <d v="2022-04-04T00:00:00"/>
    <x v="10"/>
    <n v="14"/>
    <s v="LUNES"/>
    <x v="9"/>
    <x v="9"/>
    <n v="900"/>
    <n v="90"/>
    <n v="153"/>
    <x v="3"/>
  </r>
  <r>
    <d v="2022-04-04T00:00:00"/>
    <x v="10"/>
    <n v="14"/>
    <s v="LUNES"/>
    <x v="10"/>
    <x v="10"/>
    <n v="960"/>
    <n v="120"/>
    <n v="163.20000000000002"/>
    <x v="3"/>
  </r>
  <r>
    <d v="2022-04-04T00:00:00"/>
    <x v="10"/>
    <n v="14"/>
    <s v="LUNES"/>
    <x v="26"/>
    <x v="26"/>
    <n v="900"/>
    <n v="90"/>
    <n v="153"/>
    <x v="3"/>
  </r>
  <r>
    <d v="2022-04-04T00:00:00"/>
    <x v="10"/>
    <n v="14"/>
    <s v="LUNES"/>
    <x v="20"/>
    <x v="20"/>
    <n v="450"/>
    <n v="90"/>
    <n v="76.5"/>
    <x v="3"/>
  </r>
  <r>
    <d v="2022-04-04T00:00:00"/>
    <x v="10"/>
    <n v="14"/>
    <s v="LUNES"/>
    <x v="25"/>
    <x v="25"/>
    <n v="1350"/>
    <n v="225"/>
    <n v="567"/>
    <x v="3"/>
  </r>
  <r>
    <d v="2022-04-06T00:00:00"/>
    <x v="10"/>
    <n v="14"/>
    <s v="MIÉRCOLES"/>
    <x v="10"/>
    <x v="10"/>
    <n v="6000"/>
    <n v="120"/>
    <n v="1020.0000000000001"/>
    <x v="3"/>
  </r>
  <r>
    <d v="2022-04-05T00:00:00"/>
    <x v="10"/>
    <n v="14"/>
    <s v="MARTES"/>
    <x v="25"/>
    <x v="25"/>
    <n v="900"/>
    <n v="225"/>
    <n v="378"/>
    <x v="3"/>
  </r>
  <r>
    <d v="2022-04-05T00:00:00"/>
    <x v="10"/>
    <n v="14"/>
    <s v="MARTES"/>
    <x v="42"/>
    <x v="42"/>
    <n v="500"/>
    <n v="420"/>
    <n v="210"/>
    <x v="3"/>
  </r>
  <r>
    <d v="2022-04-05T00:00:00"/>
    <x v="10"/>
    <n v="14"/>
    <s v="MARTES"/>
    <x v="43"/>
    <x v="43"/>
    <n v="750"/>
    <n v="420"/>
    <n v="315"/>
    <x v="3"/>
  </r>
  <r>
    <d v="2022-04-05T00:00:00"/>
    <x v="10"/>
    <n v="14"/>
    <s v="MARTES"/>
    <x v="64"/>
    <x v="48"/>
    <n v="360"/>
    <n v="30"/>
    <n v="75.599999999999994"/>
    <x v="3"/>
  </r>
  <r>
    <d v="2022-04-05T00:00:00"/>
    <x v="10"/>
    <n v="14"/>
    <s v="MARTES"/>
    <x v="13"/>
    <x v="13"/>
    <n v="210"/>
    <n v="30"/>
    <n v="84"/>
    <x v="3"/>
  </r>
  <r>
    <d v="2022-04-05T00:00:00"/>
    <x v="10"/>
    <n v="14"/>
    <s v="MARTES"/>
    <x v="36"/>
    <x v="36"/>
    <n v="900"/>
    <n v="90"/>
    <n v="360"/>
    <x v="3"/>
  </r>
  <r>
    <d v="2022-04-05T00:00:00"/>
    <x v="10"/>
    <n v="14"/>
    <s v="MARTES"/>
    <x v="38"/>
    <x v="38"/>
    <n v="560"/>
    <n v="112"/>
    <n v="224"/>
    <x v="3"/>
  </r>
  <r>
    <d v="2022-04-05T00:00:00"/>
    <x v="10"/>
    <n v="14"/>
    <s v="MARTES"/>
    <x v="0"/>
    <x v="0"/>
    <n v="960"/>
    <n v="48"/>
    <n v="384"/>
    <x v="3"/>
  </r>
  <r>
    <d v="2022-04-05T00:00:00"/>
    <x v="10"/>
    <n v="14"/>
    <s v="MARTES"/>
    <x v="24"/>
    <x v="24"/>
    <n v="840"/>
    <n v="420"/>
    <n v="352.8"/>
    <x v="3"/>
  </r>
  <r>
    <d v="2022-04-05T00:00:00"/>
    <x v="10"/>
    <n v="14"/>
    <s v="MARTES"/>
    <x v="32"/>
    <x v="32"/>
    <n v="420"/>
    <n v="420"/>
    <n v="176.4"/>
    <x v="3"/>
  </r>
  <r>
    <d v="2022-04-05T00:00:00"/>
    <x v="10"/>
    <n v="14"/>
    <s v="MARTES"/>
    <x v="1"/>
    <x v="1"/>
    <n v="1080"/>
    <n v="198"/>
    <n v="183.60000000000002"/>
    <x v="3"/>
  </r>
  <r>
    <d v="2022-04-05T00:00:00"/>
    <x v="10"/>
    <n v="14"/>
    <s v="MARTES"/>
    <x v="22"/>
    <x v="22"/>
    <n v="792"/>
    <n v="198"/>
    <n v="134.64000000000001"/>
    <x v="3"/>
  </r>
  <r>
    <d v="2022-04-05T00:00:00"/>
    <x v="10"/>
    <n v="14"/>
    <s v="MARTES"/>
    <x v="5"/>
    <x v="5"/>
    <n v="648"/>
    <n v="162"/>
    <n v="110.16000000000001"/>
    <x v="3"/>
  </r>
  <r>
    <d v="2022-04-05T00:00:00"/>
    <x v="10"/>
    <n v="14"/>
    <s v="MARTES"/>
    <x v="7"/>
    <x v="7"/>
    <n v="2160"/>
    <n v="198"/>
    <n v="367.20000000000005"/>
    <x v="3"/>
  </r>
  <r>
    <d v="2022-04-05T00:00:00"/>
    <x v="10"/>
    <n v="14"/>
    <s v="MARTES"/>
    <x v="8"/>
    <x v="8"/>
    <n v="1080"/>
    <n v="198"/>
    <n v="183.60000000000002"/>
    <x v="3"/>
  </r>
  <r>
    <d v="2022-04-05T00:00:00"/>
    <x v="10"/>
    <n v="14"/>
    <s v="MARTES"/>
    <x v="9"/>
    <x v="9"/>
    <n v="720"/>
    <n v="90"/>
    <n v="122.4"/>
    <x v="3"/>
  </r>
  <r>
    <d v="2022-04-05T00:00:00"/>
    <x v="10"/>
    <n v="14"/>
    <s v="MARTES"/>
    <x v="26"/>
    <x v="26"/>
    <n v="720"/>
    <n v="90"/>
    <n v="122.4"/>
    <x v="3"/>
  </r>
  <r>
    <d v="2022-04-05T00:00:00"/>
    <x v="10"/>
    <n v="14"/>
    <s v="MARTES"/>
    <x v="23"/>
    <x v="23"/>
    <n v="1440"/>
    <n v="90"/>
    <n v="244.8"/>
    <x v="3"/>
  </r>
  <r>
    <d v="2022-04-05T00:00:00"/>
    <x v="10"/>
    <n v="14"/>
    <s v="MARTES"/>
    <x v="20"/>
    <x v="20"/>
    <n v="450"/>
    <n v="90"/>
    <n v="76.5"/>
    <x v="3"/>
  </r>
  <r>
    <d v="2022-04-06T00:00:00"/>
    <x v="10"/>
    <n v="14"/>
    <s v="MIÉRCOLES"/>
    <x v="22"/>
    <x v="22"/>
    <n v="396"/>
    <n v="198"/>
    <n v="67.320000000000007"/>
    <x v="3"/>
  </r>
  <r>
    <d v="2022-04-06T00:00:00"/>
    <x v="10"/>
    <n v="14"/>
    <s v="MIÉRCOLES"/>
    <x v="6"/>
    <x v="6"/>
    <n v="2520"/>
    <n v="120"/>
    <n v="428.40000000000003"/>
    <x v="3"/>
  </r>
  <r>
    <d v="2022-04-06T00:00:00"/>
    <x v="10"/>
    <n v="14"/>
    <s v="MIÉRCOLES"/>
    <x v="17"/>
    <x v="17"/>
    <n v="3000"/>
    <n v="120"/>
    <n v="510.00000000000006"/>
    <x v="3"/>
  </r>
  <r>
    <d v="2022-04-06T00:00:00"/>
    <x v="10"/>
    <n v="14"/>
    <s v="MIÉRCOLES"/>
    <x v="10"/>
    <x v="10"/>
    <n v="6000"/>
    <n v="120"/>
    <n v="1020.0000000000001"/>
    <x v="3"/>
  </r>
  <r>
    <d v="2022-04-06T00:00:00"/>
    <x v="10"/>
    <n v="14"/>
    <s v="MIÉRCOLES"/>
    <x v="11"/>
    <x v="11"/>
    <n v="1800"/>
    <n v="90"/>
    <n v="306"/>
    <x v="3"/>
  </r>
  <r>
    <d v="2022-04-07T00:00:00"/>
    <x v="10"/>
    <n v="14"/>
    <s v="JUEVES"/>
    <x v="28"/>
    <x v="28"/>
    <n v="180"/>
    <n v="30"/>
    <n v="41.4"/>
    <x v="3"/>
  </r>
  <r>
    <d v="2022-04-07T00:00:00"/>
    <x v="10"/>
    <n v="14"/>
    <s v="JUEVES"/>
    <x v="13"/>
    <x v="13"/>
    <n v="120"/>
    <n v="30"/>
    <n v="48"/>
    <x v="3"/>
  </r>
  <r>
    <d v="2022-04-07T00:00:00"/>
    <x v="10"/>
    <n v="14"/>
    <s v="JUEVES"/>
    <x v="15"/>
    <x v="15"/>
    <n v="250"/>
    <n v="50"/>
    <n v="100"/>
    <x v="3"/>
  </r>
  <r>
    <d v="2022-04-07T00:00:00"/>
    <x v="10"/>
    <n v="14"/>
    <s v="JUEVES"/>
    <x v="2"/>
    <x v="2"/>
    <n v="1296"/>
    <n v="198"/>
    <n v="220.32000000000002"/>
    <x v="3"/>
  </r>
  <r>
    <d v="2022-04-07T00:00:00"/>
    <x v="10"/>
    <n v="14"/>
    <s v="JUEVES"/>
    <x v="9"/>
    <x v="9"/>
    <n v="1260"/>
    <n v="90"/>
    <n v="214.20000000000002"/>
    <x v="3"/>
  </r>
  <r>
    <d v="2022-04-07T00:00:00"/>
    <x v="10"/>
    <n v="14"/>
    <s v="JUEVES"/>
    <x v="28"/>
    <x v="28"/>
    <n v="120"/>
    <n v="30"/>
    <n v="27.6"/>
    <x v="3"/>
  </r>
  <r>
    <d v="2022-04-07T00:00:00"/>
    <x v="10"/>
    <n v="14"/>
    <s v="JUEVES"/>
    <x v="13"/>
    <x v="13"/>
    <n v="120"/>
    <n v="30"/>
    <n v="48"/>
    <x v="3"/>
  </r>
  <r>
    <d v="2022-04-07T00:00:00"/>
    <x v="10"/>
    <n v="14"/>
    <s v="JUEVES"/>
    <x v="0"/>
    <x v="0"/>
    <n v="960"/>
    <n v="48"/>
    <n v="384"/>
    <x v="3"/>
  </r>
  <r>
    <d v="2022-04-07T00:00:00"/>
    <x v="10"/>
    <n v="14"/>
    <s v="JUEVES"/>
    <x v="2"/>
    <x v="2"/>
    <n v="864"/>
    <n v="198"/>
    <n v="146.88000000000002"/>
    <x v="3"/>
  </r>
  <r>
    <d v="2022-04-07T00:00:00"/>
    <x v="10"/>
    <n v="14"/>
    <s v="JUEVES"/>
    <x v="34"/>
    <x v="34"/>
    <n v="216"/>
    <n v="198"/>
    <n v="36.720000000000006"/>
    <x v="3"/>
  </r>
  <r>
    <d v="2022-04-07T00:00:00"/>
    <x v="10"/>
    <n v="14"/>
    <s v="JUEVES"/>
    <x v="3"/>
    <x v="3"/>
    <n v="1584"/>
    <n v="198"/>
    <n v="269.28000000000003"/>
    <x v="3"/>
  </r>
  <r>
    <d v="2022-04-07T00:00:00"/>
    <x v="10"/>
    <n v="14"/>
    <s v="JUEVES"/>
    <x v="4"/>
    <x v="4"/>
    <n v="810"/>
    <n v="162"/>
    <n v="137.70000000000002"/>
    <x v="3"/>
  </r>
  <r>
    <d v="2022-04-07T00:00:00"/>
    <x v="10"/>
    <n v="14"/>
    <s v="JUEVES"/>
    <x v="7"/>
    <x v="7"/>
    <n v="1728"/>
    <n v="198"/>
    <n v="293.76000000000005"/>
    <x v="3"/>
  </r>
  <r>
    <d v="2022-04-07T00:00:00"/>
    <x v="10"/>
    <n v="14"/>
    <s v="JUEVES"/>
    <x v="9"/>
    <x v="9"/>
    <n v="1080"/>
    <n v="90"/>
    <n v="183.60000000000002"/>
    <x v="3"/>
  </r>
  <r>
    <d v="2022-04-07T00:00:00"/>
    <x v="10"/>
    <n v="14"/>
    <s v="JUEVES"/>
    <x v="23"/>
    <x v="23"/>
    <n v="3600"/>
    <n v="90"/>
    <n v="612"/>
    <x v="3"/>
  </r>
  <r>
    <d v="2022-04-07T00:00:00"/>
    <x v="10"/>
    <n v="14"/>
    <s v="JUEVES"/>
    <x v="25"/>
    <x v="25"/>
    <n v="2250"/>
    <n v="225"/>
    <n v="945"/>
    <x v="3"/>
  </r>
  <r>
    <d v="2022-04-07T00:00:00"/>
    <x v="10"/>
    <n v="14"/>
    <s v="JUEVES"/>
    <x v="43"/>
    <x v="43"/>
    <n v="500"/>
    <n v="420"/>
    <n v="210"/>
    <x v="3"/>
  </r>
  <r>
    <d v="2022-04-06T00:00:00"/>
    <x v="10"/>
    <n v="14"/>
    <s v="MIÉRCOLES"/>
    <x v="22"/>
    <x v="22"/>
    <n v="792"/>
    <n v="198"/>
    <n v="134.64000000000001"/>
    <x v="3"/>
  </r>
  <r>
    <d v="2022-04-06T00:00:00"/>
    <x v="10"/>
    <n v="14"/>
    <s v="MIÉRCOLES"/>
    <x v="6"/>
    <x v="6"/>
    <n v="480"/>
    <n v="120"/>
    <n v="81.600000000000009"/>
    <x v="3"/>
  </r>
  <r>
    <d v="2022-04-06T00:00:00"/>
    <x v="10"/>
    <n v="14"/>
    <s v="MIÉRCOLES"/>
    <x v="8"/>
    <x v="8"/>
    <n v="1080"/>
    <n v="198"/>
    <n v="183.60000000000002"/>
    <x v="3"/>
  </r>
  <r>
    <d v="2022-04-06T00:00:00"/>
    <x v="10"/>
    <n v="14"/>
    <s v="MIÉRCOLES"/>
    <x v="23"/>
    <x v="23"/>
    <n v="900"/>
    <n v="90"/>
    <n v="153"/>
    <x v="3"/>
  </r>
  <r>
    <d v="2022-04-06T00:00:00"/>
    <x v="10"/>
    <n v="14"/>
    <s v="MIÉRCOLES"/>
    <x v="11"/>
    <x v="11"/>
    <n v="3690"/>
    <n v="90"/>
    <n v="627.30000000000007"/>
    <x v="3"/>
  </r>
  <r>
    <d v="2022-04-06T00:00:00"/>
    <x v="10"/>
    <n v="14"/>
    <s v="MIÉRCOLES"/>
    <x v="12"/>
    <x v="12"/>
    <n v="900"/>
    <n v="225"/>
    <n v="360"/>
    <x v="3"/>
  </r>
  <r>
    <d v="2022-04-07T00:00:00"/>
    <x v="10"/>
    <n v="14"/>
    <s v="JUEVES"/>
    <x v="0"/>
    <x v="0"/>
    <n v="480"/>
    <n v="48"/>
    <n v="192"/>
    <x v="3"/>
  </r>
  <r>
    <d v="2022-04-07T00:00:00"/>
    <x v="10"/>
    <n v="14"/>
    <s v="JUEVES"/>
    <x v="1"/>
    <x v="1"/>
    <n v="5400"/>
    <n v="198"/>
    <n v="918.00000000000011"/>
    <x v="3"/>
  </r>
  <r>
    <d v="2022-04-07T00:00:00"/>
    <x v="10"/>
    <n v="14"/>
    <s v="JUEVES"/>
    <x v="7"/>
    <x v="7"/>
    <n v="1728"/>
    <n v="198"/>
    <n v="293.76000000000005"/>
    <x v="3"/>
  </r>
  <r>
    <d v="2022-04-07T00:00:00"/>
    <x v="10"/>
    <n v="14"/>
    <s v="JUEVES"/>
    <x v="8"/>
    <x v="8"/>
    <n v="648"/>
    <n v="198"/>
    <n v="110.16000000000001"/>
    <x v="3"/>
  </r>
  <r>
    <d v="2022-04-07T00:00:00"/>
    <x v="10"/>
    <n v="14"/>
    <s v="JUEVES"/>
    <x v="26"/>
    <x v="26"/>
    <n v="1800"/>
    <n v="90"/>
    <n v="306"/>
    <x v="3"/>
  </r>
  <r>
    <d v="2022-04-07T00:00:00"/>
    <x v="10"/>
    <n v="14"/>
    <s v="JUEVES"/>
    <x v="20"/>
    <x v="20"/>
    <n v="720"/>
    <n v="90"/>
    <n v="122.4"/>
    <x v="3"/>
  </r>
  <r>
    <d v="2022-04-08T00:00:00"/>
    <x v="10"/>
    <n v="14"/>
    <s v="VIERNES"/>
    <x v="15"/>
    <x v="15"/>
    <n v="200"/>
    <n v="50"/>
    <n v="80"/>
    <x v="3"/>
  </r>
  <r>
    <d v="2022-04-08T00:00:00"/>
    <x v="10"/>
    <n v="14"/>
    <s v="VIERNES"/>
    <x v="36"/>
    <x v="36"/>
    <n v="900"/>
    <n v="90"/>
    <n v="360"/>
    <x v="3"/>
  </r>
  <r>
    <d v="2022-04-08T00:00:00"/>
    <x v="10"/>
    <n v="14"/>
    <s v="VIERNES"/>
    <x v="0"/>
    <x v="0"/>
    <n v="480"/>
    <n v="48"/>
    <n v="192"/>
    <x v="3"/>
  </r>
  <r>
    <d v="2022-04-08T00:00:00"/>
    <x v="10"/>
    <n v="14"/>
    <s v="VIERNES"/>
    <x v="24"/>
    <x v="24"/>
    <n v="1680"/>
    <n v="420"/>
    <n v="705.6"/>
    <x v="3"/>
  </r>
  <r>
    <d v="2022-04-08T00:00:00"/>
    <x v="10"/>
    <n v="14"/>
    <s v="VIERNES"/>
    <x v="2"/>
    <x v="2"/>
    <n v="3240"/>
    <n v="198"/>
    <n v="550.80000000000007"/>
    <x v="3"/>
  </r>
  <r>
    <d v="2022-04-08T00:00:00"/>
    <x v="10"/>
    <n v="14"/>
    <s v="VIERNES"/>
    <x v="3"/>
    <x v="3"/>
    <n v="594"/>
    <n v="198"/>
    <n v="100.98"/>
    <x v="3"/>
  </r>
  <r>
    <d v="2022-04-08T00:00:00"/>
    <x v="10"/>
    <n v="14"/>
    <s v="VIERNES"/>
    <x v="4"/>
    <x v="4"/>
    <n v="648"/>
    <n v="162"/>
    <n v="110.16000000000001"/>
    <x v="3"/>
  </r>
  <r>
    <d v="2022-04-08T00:00:00"/>
    <x v="10"/>
    <n v="14"/>
    <s v="VIERNES"/>
    <x v="7"/>
    <x v="7"/>
    <n v="2592"/>
    <n v="198"/>
    <n v="440.64000000000004"/>
    <x v="3"/>
  </r>
  <r>
    <d v="2022-04-08T00:00:00"/>
    <x v="10"/>
    <n v="14"/>
    <s v="VIERNES"/>
    <x v="8"/>
    <x v="8"/>
    <n v="864"/>
    <n v="198"/>
    <n v="146.88000000000002"/>
    <x v="3"/>
  </r>
  <r>
    <d v="2022-04-08T00:00:00"/>
    <x v="10"/>
    <n v="14"/>
    <s v="VIERNES"/>
    <x v="20"/>
    <x v="20"/>
    <n v="720"/>
    <n v="90"/>
    <n v="122.4"/>
    <x v="3"/>
  </r>
  <r>
    <d v="2022-04-08T00:00:00"/>
    <x v="10"/>
    <n v="14"/>
    <s v="VIERNES"/>
    <x v="12"/>
    <x v="12"/>
    <n v="450"/>
    <n v="225"/>
    <n v="180"/>
    <x v="3"/>
  </r>
  <r>
    <d v="2022-04-08T00:00:00"/>
    <x v="10"/>
    <n v="14"/>
    <s v="VIERNES"/>
    <x v="19"/>
    <x v="19"/>
    <n v="450"/>
    <n v="225"/>
    <n v="180"/>
    <x v="3"/>
  </r>
  <r>
    <d v="2022-04-08T00:00:00"/>
    <x v="10"/>
    <n v="14"/>
    <s v="VIERNES"/>
    <x v="42"/>
    <x v="42"/>
    <n v="750"/>
    <n v="420"/>
    <n v="315"/>
    <x v="3"/>
  </r>
  <r>
    <d v="2022-04-08T00:00:00"/>
    <x v="10"/>
    <n v="14"/>
    <s v="VIERNES"/>
    <x v="40"/>
    <x v="40"/>
    <n v="224"/>
    <n v="240"/>
    <n v="89.600000000000009"/>
    <x v="3"/>
  </r>
  <r>
    <d v="2022-04-08T00:00:00"/>
    <x v="10"/>
    <n v="14"/>
    <s v="VIERNES"/>
    <x v="38"/>
    <x v="38"/>
    <n v="448"/>
    <n v="112"/>
    <n v="179.20000000000002"/>
    <x v="3"/>
  </r>
  <r>
    <d v="2022-04-08T00:00:00"/>
    <x v="10"/>
    <n v="14"/>
    <s v="VIERNES"/>
    <x v="16"/>
    <x v="16"/>
    <n v="720"/>
    <n v="180"/>
    <n v="302.39999999999998"/>
    <x v="3"/>
  </r>
  <r>
    <d v="2022-04-08T00:00:00"/>
    <x v="10"/>
    <n v="14"/>
    <s v="VIERNES"/>
    <x v="3"/>
    <x v="3"/>
    <n v="1188"/>
    <n v="198"/>
    <n v="201.96"/>
    <x v="3"/>
  </r>
  <r>
    <d v="2022-04-08T00:00:00"/>
    <x v="10"/>
    <n v="14"/>
    <s v="VIERNES"/>
    <x v="8"/>
    <x v="8"/>
    <n v="1728"/>
    <n v="198"/>
    <n v="293.76000000000005"/>
    <x v="3"/>
  </r>
  <r>
    <d v="2022-04-08T00:00:00"/>
    <x v="10"/>
    <n v="14"/>
    <s v="VIERNES"/>
    <x v="40"/>
    <x v="40"/>
    <n v="224"/>
    <n v="240"/>
    <n v="89.600000000000009"/>
    <x v="3"/>
  </r>
  <r>
    <d v="2022-04-08T00:00:00"/>
    <x v="10"/>
    <n v="14"/>
    <s v="VIERNES"/>
    <x v="38"/>
    <x v="38"/>
    <n v="336"/>
    <n v="112"/>
    <n v="134.4"/>
    <x v="3"/>
  </r>
  <r>
    <d v="2022-04-08T00:00:00"/>
    <x v="10"/>
    <n v="14"/>
    <s v="VIERNES"/>
    <x v="24"/>
    <x v="24"/>
    <n v="2520"/>
    <n v="420"/>
    <n v="1058.3999999999999"/>
    <x v="3"/>
  </r>
  <r>
    <d v="2022-04-08T00:00:00"/>
    <x v="10"/>
    <n v="14"/>
    <s v="VIERNES"/>
    <x v="4"/>
    <x v="4"/>
    <n v="810"/>
    <n v="162"/>
    <n v="137.70000000000002"/>
    <x v="3"/>
  </r>
  <r>
    <d v="2022-04-08T00:00:00"/>
    <x v="10"/>
    <n v="14"/>
    <s v="VIERNES"/>
    <x v="5"/>
    <x v="5"/>
    <n v="810"/>
    <n v="162"/>
    <n v="137.70000000000002"/>
    <x v="3"/>
  </r>
  <r>
    <d v="2022-04-08T00:00:00"/>
    <x v="10"/>
    <n v="14"/>
    <s v="VIERNES"/>
    <x v="10"/>
    <x v="10"/>
    <n v="6000"/>
    <n v="120"/>
    <n v="1020.0000000000001"/>
    <x v="3"/>
  </r>
  <r>
    <d v="2022-04-08T00:00:00"/>
    <x v="10"/>
    <n v="14"/>
    <s v="VIERNES"/>
    <x v="26"/>
    <x v="26"/>
    <n v="720"/>
    <n v="90"/>
    <n v="122.4"/>
    <x v="3"/>
  </r>
  <r>
    <d v="2022-04-08T00:00:00"/>
    <x v="10"/>
    <n v="14"/>
    <s v="VIERNES"/>
    <x v="23"/>
    <x v="23"/>
    <n v="900"/>
    <n v="90"/>
    <n v="153"/>
    <x v="3"/>
  </r>
  <r>
    <d v="2022-04-08T00:00:00"/>
    <x v="10"/>
    <n v="14"/>
    <s v="VIERNES"/>
    <x v="12"/>
    <x v="12"/>
    <n v="225"/>
    <n v="225"/>
    <n v="90"/>
    <x v="3"/>
  </r>
  <r>
    <d v="2022-04-09T00:00:00"/>
    <x v="10"/>
    <n v="15"/>
    <s v="SÁBADO"/>
    <x v="36"/>
    <x v="36"/>
    <n v="450"/>
    <n v="90"/>
    <n v="180"/>
    <x v="3"/>
  </r>
  <r>
    <d v="2022-04-09T00:00:00"/>
    <x v="10"/>
    <n v="15"/>
    <s v="SÁBADO"/>
    <x v="0"/>
    <x v="0"/>
    <n v="960"/>
    <n v="48"/>
    <n v="384"/>
    <x v="3"/>
  </r>
  <r>
    <d v="2022-04-09T00:00:00"/>
    <x v="10"/>
    <n v="15"/>
    <s v="SÁBADO"/>
    <x v="22"/>
    <x v="22"/>
    <n v="1584"/>
    <n v="198"/>
    <n v="269.28000000000003"/>
    <x v="3"/>
  </r>
  <r>
    <d v="2022-04-09T00:00:00"/>
    <x v="10"/>
    <n v="15"/>
    <s v="SÁBADO"/>
    <x v="3"/>
    <x v="3"/>
    <n v="2376"/>
    <n v="198"/>
    <n v="403.92"/>
    <x v="3"/>
  </r>
  <r>
    <d v="2022-04-09T00:00:00"/>
    <x v="10"/>
    <n v="15"/>
    <s v="SÁBADO"/>
    <x v="7"/>
    <x v="7"/>
    <n v="1080"/>
    <n v="198"/>
    <n v="183.60000000000002"/>
    <x v="3"/>
  </r>
  <r>
    <d v="2022-04-09T00:00:00"/>
    <x v="10"/>
    <n v="15"/>
    <s v="SÁBADO"/>
    <x v="8"/>
    <x v="8"/>
    <n v="1296"/>
    <n v="198"/>
    <n v="220.32000000000002"/>
    <x v="3"/>
  </r>
  <r>
    <d v="2022-04-09T00:00:00"/>
    <x v="10"/>
    <n v="15"/>
    <s v="SÁBADO"/>
    <x v="43"/>
    <x v="43"/>
    <n v="500"/>
    <n v="420"/>
    <n v="210"/>
    <x v="3"/>
  </r>
  <r>
    <d v="2022-04-09T00:00:00"/>
    <x v="10"/>
    <n v="15"/>
    <s v="SÁBADO"/>
    <x v="68"/>
    <x v="52"/>
    <n v="250"/>
    <n v="250"/>
    <n v="105"/>
    <x v="3"/>
  </r>
  <r>
    <d v="2022-04-09T00:00:00"/>
    <x v="10"/>
    <n v="15"/>
    <s v="SÁBADO"/>
    <x v="19"/>
    <x v="19"/>
    <n v="675"/>
    <n v="225"/>
    <n v="270"/>
    <x v="3"/>
  </r>
  <r>
    <d v="2022-04-09T00:00:00"/>
    <x v="10"/>
    <n v="15"/>
    <s v="SÁBADO"/>
    <x v="12"/>
    <x v="12"/>
    <n v="450"/>
    <n v="225"/>
    <n v="180"/>
    <x v="3"/>
  </r>
  <r>
    <d v="2022-04-09T00:00:00"/>
    <x v="10"/>
    <n v="15"/>
    <s v="SÁBADO"/>
    <x v="8"/>
    <x v="8"/>
    <n v="864"/>
    <n v="198"/>
    <n v="146.88000000000002"/>
    <x v="3"/>
  </r>
  <r>
    <d v="2022-04-09T00:00:00"/>
    <x v="10"/>
    <n v="15"/>
    <s v="SÁBADO"/>
    <x v="10"/>
    <x v="10"/>
    <n v="4800"/>
    <n v="120"/>
    <n v="816.00000000000011"/>
    <x v="3"/>
  </r>
  <r>
    <d v="2022-04-09T00:00:00"/>
    <x v="10"/>
    <n v="15"/>
    <s v="SÁBADO"/>
    <x v="43"/>
    <x v="43"/>
    <n v="500"/>
    <n v="420"/>
    <n v="210"/>
    <x v="3"/>
  </r>
  <r>
    <d v="2022-04-09T00:00:00"/>
    <x v="10"/>
    <n v="15"/>
    <s v="SÁBADO"/>
    <x v="68"/>
    <x v="52"/>
    <n v="500"/>
    <n v="250"/>
    <n v="210"/>
    <x v="3"/>
  </r>
  <r>
    <d v="2022-04-11T00:00:00"/>
    <x v="10"/>
    <n v="15"/>
    <s v="LUNES"/>
    <x v="36"/>
    <x v="36"/>
    <n v="630"/>
    <n v="90"/>
    <n v="252"/>
    <x v="3"/>
  </r>
  <r>
    <d v="2022-04-11T00:00:00"/>
    <x v="10"/>
    <n v="15"/>
    <s v="LUNES"/>
    <x v="0"/>
    <x v="0"/>
    <n v="1248"/>
    <n v="48"/>
    <n v="499.20000000000005"/>
    <x v="3"/>
  </r>
  <r>
    <d v="2022-04-11T00:00:00"/>
    <x v="10"/>
    <n v="15"/>
    <s v="LUNES"/>
    <x v="2"/>
    <x v="2"/>
    <n v="2592"/>
    <n v="198"/>
    <n v="440.64000000000004"/>
    <x v="3"/>
  </r>
  <r>
    <d v="2022-04-11T00:00:00"/>
    <x v="10"/>
    <n v="15"/>
    <s v="LUNES"/>
    <x v="34"/>
    <x v="34"/>
    <n v="216"/>
    <n v="198"/>
    <n v="36.720000000000006"/>
    <x v="3"/>
  </r>
  <r>
    <d v="2022-04-11T00:00:00"/>
    <x v="10"/>
    <n v="15"/>
    <s v="LUNES"/>
    <x v="22"/>
    <x v="22"/>
    <n v="792"/>
    <n v="198"/>
    <n v="134.64000000000001"/>
    <x v="3"/>
  </r>
  <r>
    <d v="2022-04-11T00:00:00"/>
    <x v="10"/>
    <n v="15"/>
    <s v="LUNES"/>
    <x v="3"/>
    <x v="3"/>
    <n v="792"/>
    <n v="198"/>
    <n v="134.64000000000001"/>
    <x v="3"/>
  </r>
  <r>
    <d v="2022-04-11T00:00:00"/>
    <x v="10"/>
    <n v="15"/>
    <s v="LUNES"/>
    <x v="6"/>
    <x v="6"/>
    <n v="360"/>
    <n v="120"/>
    <n v="61.2"/>
    <x v="3"/>
  </r>
  <r>
    <d v="2022-04-11T00:00:00"/>
    <x v="10"/>
    <n v="15"/>
    <s v="LUNES"/>
    <x v="17"/>
    <x v="17"/>
    <n v="120"/>
    <n v="120"/>
    <n v="20.400000000000002"/>
    <x v="3"/>
  </r>
  <r>
    <d v="2022-04-11T00:00:00"/>
    <x v="10"/>
    <n v="15"/>
    <s v="LUNES"/>
    <x v="7"/>
    <x v="7"/>
    <n v="864"/>
    <n v="198"/>
    <n v="146.88000000000002"/>
    <x v="3"/>
  </r>
  <r>
    <d v="2022-04-11T00:00:00"/>
    <x v="10"/>
    <n v="15"/>
    <s v="LUNES"/>
    <x v="8"/>
    <x v="8"/>
    <n v="648"/>
    <n v="198"/>
    <n v="110.16000000000001"/>
    <x v="3"/>
  </r>
  <r>
    <d v="2022-04-11T00:00:00"/>
    <x v="10"/>
    <n v="15"/>
    <s v="LUNES"/>
    <x v="9"/>
    <x v="9"/>
    <n v="1260"/>
    <n v="90"/>
    <n v="214.20000000000002"/>
    <x v="3"/>
  </r>
  <r>
    <d v="2022-04-11T00:00:00"/>
    <x v="10"/>
    <n v="15"/>
    <s v="LUNES"/>
    <x v="23"/>
    <x v="23"/>
    <n v="900"/>
    <n v="90"/>
    <n v="153"/>
    <x v="3"/>
  </r>
  <r>
    <d v="2022-04-11T00:00:00"/>
    <x v="10"/>
    <n v="15"/>
    <s v="LUNES"/>
    <x v="42"/>
    <x v="42"/>
    <n v="500"/>
    <n v="420"/>
    <n v="210"/>
    <x v="3"/>
  </r>
  <r>
    <d v="2022-04-11T00:00:00"/>
    <x v="10"/>
    <n v="15"/>
    <s v="LUNES"/>
    <x v="43"/>
    <x v="43"/>
    <n v="250"/>
    <n v="420"/>
    <n v="105"/>
    <x v="3"/>
  </r>
  <r>
    <d v="2022-04-11T00:00:00"/>
    <x v="10"/>
    <n v="15"/>
    <s v="LUNES"/>
    <x v="68"/>
    <x v="52"/>
    <n v="1000"/>
    <n v="250"/>
    <n v="420"/>
    <x v="3"/>
  </r>
  <r>
    <d v="2022-04-11T00:00:00"/>
    <x v="10"/>
    <n v="15"/>
    <s v="LUNES"/>
    <x v="26"/>
    <x v="26"/>
    <n v="1440"/>
    <n v="90"/>
    <n v="244.8"/>
    <x v="3"/>
  </r>
  <r>
    <d v="2022-04-11T00:00:00"/>
    <x v="10"/>
    <n v="15"/>
    <s v="LUNES"/>
    <x v="23"/>
    <x v="23"/>
    <n v="1440"/>
    <n v="90"/>
    <n v="244.8"/>
    <x v="3"/>
  </r>
  <r>
    <d v="2022-04-11T00:00:00"/>
    <x v="10"/>
    <n v="15"/>
    <s v="LUNES"/>
    <x v="33"/>
    <x v="33"/>
    <n v="80"/>
    <n v="40"/>
    <n v="18.400000000000002"/>
    <x v="3"/>
  </r>
  <r>
    <d v="2022-04-11T00:00:00"/>
    <x v="10"/>
    <n v="15"/>
    <s v="LUNES"/>
    <x v="14"/>
    <x v="14"/>
    <n v="160"/>
    <n v="40"/>
    <n v="36.800000000000004"/>
    <x v="3"/>
  </r>
  <r>
    <d v="2022-04-11T00:00:00"/>
    <x v="10"/>
    <n v="15"/>
    <s v="LUNES"/>
    <x v="15"/>
    <x v="15"/>
    <n v="250"/>
    <n v="50"/>
    <n v="100"/>
    <x v="3"/>
  </r>
  <r>
    <d v="2022-04-11T00:00:00"/>
    <x v="10"/>
    <n v="15"/>
    <s v="LUNES"/>
    <x v="2"/>
    <x v="2"/>
    <n v="648"/>
    <n v="198"/>
    <n v="110.16000000000001"/>
    <x v="3"/>
  </r>
  <r>
    <d v="2022-04-11T00:00:00"/>
    <x v="10"/>
    <n v="15"/>
    <s v="LUNES"/>
    <x v="3"/>
    <x v="3"/>
    <n v="396"/>
    <n v="198"/>
    <n v="67.320000000000007"/>
    <x v="3"/>
  </r>
  <r>
    <d v="2022-04-11T00:00:00"/>
    <x v="10"/>
    <n v="15"/>
    <s v="LUNES"/>
    <x v="9"/>
    <x v="9"/>
    <n v="360"/>
    <n v="90"/>
    <n v="61.2"/>
    <x v="3"/>
  </r>
  <r>
    <d v="2022-04-11T00:00:00"/>
    <x v="10"/>
    <n v="15"/>
    <s v="LUNES"/>
    <x v="42"/>
    <x v="42"/>
    <n v="250"/>
    <n v="420"/>
    <n v="105"/>
    <x v="3"/>
  </r>
  <r>
    <d v="2022-04-11T00:00:00"/>
    <x v="10"/>
    <n v="15"/>
    <s v="LUNES"/>
    <x v="68"/>
    <x v="52"/>
    <n v="750"/>
    <n v="250"/>
    <n v="315"/>
    <x v="3"/>
  </r>
  <r>
    <d v="2022-04-12T00:00:00"/>
    <x v="10"/>
    <n v="15"/>
    <s v="MARTES"/>
    <x v="28"/>
    <x v="28"/>
    <n v="210"/>
    <n v="30"/>
    <n v="48.300000000000004"/>
    <x v="3"/>
  </r>
  <r>
    <d v="2022-04-12T00:00:00"/>
    <x v="10"/>
    <n v="15"/>
    <s v="MARTES"/>
    <x v="13"/>
    <x v="13"/>
    <n v="150"/>
    <n v="30"/>
    <n v="60"/>
    <x v="3"/>
  </r>
  <r>
    <d v="2022-04-12T00:00:00"/>
    <x v="10"/>
    <n v="15"/>
    <s v="MARTES"/>
    <x v="15"/>
    <x v="15"/>
    <n v="250"/>
    <n v="50"/>
    <n v="100"/>
    <x v="3"/>
  </r>
  <r>
    <d v="2022-04-12T00:00:00"/>
    <x v="10"/>
    <n v="15"/>
    <s v="MARTES"/>
    <x v="22"/>
    <x v="22"/>
    <n v="396"/>
    <n v="198"/>
    <n v="67.320000000000007"/>
    <x v="3"/>
  </r>
  <r>
    <d v="2022-04-12T00:00:00"/>
    <x v="10"/>
    <n v="15"/>
    <s v="MARTES"/>
    <x v="3"/>
    <x v="3"/>
    <n v="198"/>
    <n v="198"/>
    <n v="33.660000000000004"/>
    <x v="3"/>
  </r>
  <r>
    <d v="2022-04-12T00:00:00"/>
    <x v="10"/>
    <n v="15"/>
    <s v="MARTES"/>
    <x v="5"/>
    <x v="5"/>
    <n v="162"/>
    <n v="162"/>
    <n v="27.540000000000003"/>
    <x v="3"/>
  </r>
  <r>
    <d v="2022-04-12T00:00:00"/>
    <x v="10"/>
    <n v="15"/>
    <s v="MARTES"/>
    <x v="7"/>
    <x v="7"/>
    <n v="864"/>
    <n v="198"/>
    <n v="146.88000000000002"/>
    <x v="3"/>
  </r>
  <r>
    <d v="2022-04-12T00:00:00"/>
    <x v="10"/>
    <n v="15"/>
    <s v="MARTES"/>
    <x v="8"/>
    <x v="8"/>
    <n v="1080"/>
    <n v="198"/>
    <n v="183.60000000000002"/>
    <x v="3"/>
  </r>
  <r>
    <d v="2022-04-12T00:00:00"/>
    <x v="10"/>
    <n v="15"/>
    <s v="MARTES"/>
    <x v="10"/>
    <x v="10"/>
    <n v="480"/>
    <n v="120"/>
    <n v="81.600000000000009"/>
    <x v="3"/>
  </r>
  <r>
    <d v="2022-04-12T00:00:00"/>
    <x v="10"/>
    <n v="15"/>
    <s v="MARTES"/>
    <x v="23"/>
    <x v="23"/>
    <n v="1440"/>
    <n v="90"/>
    <n v="244.8"/>
    <x v="3"/>
  </r>
  <r>
    <d v="2022-04-12T00:00:00"/>
    <x v="10"/>
    <n v="15"/>
    <s v="MARTES"/>
    <x v="11"/>
    <x v="11"/>
    <n v="2880"/>
    <n v="90"/>
    <n v="489.6"/>
    <x v="3"/>
  </r>
  <r>
    <d v="2022-04-12T00:00:00"/>
    <x v="10"/>
    <n v="15"/>
    <s v="MARTES"/>
    <x v="25"/>
    <x v="25"/>
    <n v="900"/>
    <n v="225"/>
    <n v="378"/>
    <x v="3"/>
  </r>
  <r>
    <d v="2022-04-12T00:00:00"/>
    <x v="10"/>
    <n v="15"/>
    <s v="MARTES"/>
    <x v="71"/>
    <x v="55"/>
    <n v="450"/>
    <n v="60"/>
    <n v="310.5"/>
    <x v="3"/>
  </r>
  <r>
    <d v="2022-04-12T00:00:00"/>
    <x v="10"/>
    <n v="15"/>
    <s v="MARTES"/>
    <x v="10"/>
    <x v="10"/>
    <n v="2400"/>
    <n v="120"/>
    <n v="408.00000000000006"/>
    <x v="3"/>
  </r>
  <r>
    <d v="2022-04-12T00:00:00"/>
    <x v="10"/>
    <n v="15"/>
    <s v="MARTES"/>
    <x v="26"/>
    <x v="26"/>
    <n v="900"/>
    <n v="90"/>
    <n v="153"/>
    <x v="3"/>
  </r>
  <r>
    <d v="2022-04-12T00:00:00"/>
    <x v="10"/>
    <n v="15"/>
    <s v="MARTES"/>
    <x v="23"/>
    <x v="23"/>
    <n v="900"/>
    <n v="90"/>
    <n v="153"/>
    <x v="3"/>
  </r>
  <r>
    <d v="2022-04-12T00:00:00"/>
    <x v="10"/>
    <n v="15"/>
    <s v="MARTES"/>
    <x v="68"/>
    <x v="52"/>
    <n v="1500"/>
    <n v="250"/>
    <n v="630"/>
    <x v="3"/>
  </r>
  <r>
    <d v="2022-04-11T00:00:00"/>
    <x v="10"/>
    <n v="15"/>
    <s v="LUNES"/>
    <x v="68"/>
    <x v="52"/>
    <n v="2500"/>
    <n v="250"/>
    <n v="1050"/>
    <x v="3"/>
  </r>
  <r>
    <d v="2022-04-11T00:00:00"/>
    <x v="10"/>
    <n v="15"/>
    <s v="LUNES"/>
    <x v="0"/>
    <x v="0"/>
    <n v="192"/>
    <n v="48"/>
    <n v="76.800000000000011"/>
    <x v="3"/>
  </r>
  <r>
    <d v="2022-04-11T00:00:00"/>
    <x v="10"/>
    <n v="15"/>
    <s v="LUNES"/>
    <x v="1"/>
    <x v="1"/>
    <n v="5400"/>
    <n v="198"/>
    <n v="918.00000000000011"/>
    <x v="3"/>
  </r>
  <r>
    <d v="2022-04-11T00:00:00"/>
    <x v="10"/>
    <n v="15"/>
    <s v="LUNES"/>
    <x v="6"/>
    <x v="6"/>
    <n v="1440"/>
    <n v="120"/>
    <n v="244.8"/>
    <x v="3"/>
  </r>
  <r>
    <d v="2022-04-11T00:00:00"/>
    <x v="10"/>
    <n v="15"/>
    <s v="LUNES"/>
    <x v="17"/>
    <x v="17"/>
    <n v="1680"/>
    <n v="120"/>
    <n v="285.60000000000002"/>
    <x v="3"/>
  </r>
  <r>
    <d v="2022-04-11T00:00:00"/>
    <x v="10"/>
    <n v="15"/>
    <s v="LUNES"/>
    <x v="7"/>
    <x v="7"/>
    <n v="216"/>
    <n v="198"/>
    <n v="36.720000000000006"/>
    <x v="3"/>
  </r>
  <r>
    <d v="2022-04-11T00:00:00"/>
    <x v="10"/>
    <n v="15"/>
    <s v="LUNES"/>
    <x v="9"/>
    <x v="9"/>
    <n v="180"/>
    <n v="90"/>
    <n v="30.6"/>
    <x v="3"/>
  </r>
  <r>
    <d v="2022-04-12T00:00:00"/>
    <x v="10"/>
    <n v="15"/>
    <s v="MARTES"/>
    <x v="10"/>
    <x v="10"/>
    <n v="1920"/>
    <n v="120"/>
    <n v="326.40000000000003"/>
    <x v="3"/>
  </r>
  <r>
    <d v="2022-04-12T00:00:00"/>
    <x v="10"/>
    <n v="15"/>
    <s v="MARTES"/>
    <x v="2"/>
    <x v="2"/>
    <n v="1296"/>
    <n v="198"/>
    <n v="220.32000000000002"/>
    <x v="3"/>
  </r>
  <r>
    <d v="2022-04-12T00:00:00"/>
    <x v="10"/>
    <n v="15"/>
    <s v="MARTES"/>
    <x v="3"/>
    <x v="3"/>
    <n v="792"/>
    <n v="198"/>
    <n v="134.64000000000001"/>
    <x v="3"/>
  </r>
  <r>
    <d v="2022-04-12T00:00:00"/>
    <x v="10"/>
    <n v="15"/>
    <s v="MARTES"/>
    <x v="4"/>
    <x v="4"/>
    <n v="1296"/>
    <n v="162"/>
    <n v="220.32000000000002"/>
    <x v="3"/>
  </r>
  <r>
    <d v="2022-04-12T00:00:00"/>
    <x v="10"/>
    <n v="15"/>
    <s v="MARTES"/>
    <x v="5"/>
    <x v="5"/>
    <n v="972"/>
    <n v="162"/>
    <n v="165.24"/>
    <x v="3"/>
  </r>
  <r>
    <d v="2022-04-12T00:00:00"/>
    <x v="10"/>
    <n v="15"/>
    <s v="MARTES"/>
    <x v="7"/>
    <x v="7"/>
    <n v="1296"/>
    <n v="198"/>
    <n v="220.32000000000002"/>
    <x v="3"/>
  </r>
  <r>
    <d v="2022-04-12T00:00:00"/>
    <x v="10"/>
    <n v="15"/>
    <s v="MARTES"/>
    <x v="23"/>
    <x v="23"/>
    <n v="450"/>
    <n v="90"/>
    <n v="76.5"/>
    <x v="3"/>
  </r>
  <r>
    <d v="2022-04-12T00:00:00"/>
    <x v="10"/>
    <n v="15"/>
    <s v="MARTES"/>
    <x v="25"/>
    <x v="25"/>
    <n v="2025"/>
    <n v="225"/>
    <n v="850.5"/>
    <x v="3"/>
  </r>
  <r>
    <d v="2022-04-14T00:00:00"/>
    <x v="10"/>
    <n v="15"/>
    <s v="JUEVES"/>
    <x v="34"/>
    <x v="34"/>
    <n v="216"/>
    <n v="198"/>
    <n v="36.720000000000006"/>
    <x v="3"/>
  </r>
  <r>
    <d v="2022-04-14T00:00:00"/>
    <x v="10"/>
    <n v="15"/>
    <s v="JUEVES"/>
    <x v="29"/>
    <x v="29"/>
    <n v="216"/>
    <n v="198"/>
    <n v="36.720000000000006"/>
    <x v="3"/>
  </r>
  <r>
    <d v="2022-04-14T00:00:00"/>
    <x v="10"/>
    <n v="15"/>
    <s v="JUEVES"/>
    <x v="3"/>
    <x v="3"/>
    <n v="594"/>
    <n v="198"/>
    <n v="100.98"/>
    <x v="3"/>
  </r>
  <r>
    <d v="2022-04-14T00:00:00"/>
    <x v="10"/>
    <n v="15"/>
    <s v="JUEVES"/>
    <x v="4"/>
    <x v="4"/>
    <n v="1134"/>
    <n v="162"/>
    <n v="192.78"/>
    <x v="3"/>
  </r>
  <r>
    <d v="2022-04-14T00:00:00"/>
    <x v="10"/>
    <n v="15"/>
    <s v="JUEVES"/>
    <x v="5"/>
    <x v="5"/>
    <n v="648"/>
    <n v="162"/>
    <n v="110.16000000000001"/>
    <x v="3"/>
  </r>
  <r>
    <d v="2022-04-14T00:00:00"/>
    <x v="10"/>
    <n v="15"/>
    <s v="JUEVES"/>
    <x v="8"/>
    <x v="8"/>
    <n v="2160"/>
    <n v="198"/>
    <n v="367.20000000000005"/>
    <x v="3"/>
  </r>
  <r>
    <d v="2022-04-14T00:00:00"/>
    <x v="10"/>
    <n v="15"/>
    <s v="JUEVES"/>
    <x v="10"/>
    <x v="10"/>
    <n v="720"/>
    <n v="120"/>
    <n v="122.4"/>
    <x v="3"/>
  </r>
  <r>
    <d v="2022-04-14T00:00:00"/>
    <x v="10"/>
    <n v="15"/>
    <s v="JUEVES"/>
    <x v="20"/>
    <x v="20"/>
    <n v="450"/>
    <n v="90"/>
    <n v="76.5"/>
    <x v="3"/>
  </r>
  <r>
    <d v="2022-04-14T00:00:00"/>
    <x v="10"/>
    <n v="15"/>
    <s v="JUEVES"/>
    <x v="42"/>
    <x v="42"/>
    <n v="250"/>
    <n v="420"/>
    <n v="105"/>
    <x v="3"/>
  </r>
  <r>
    <d v="2022-04-14T00:00:00"/>
    <x v="10"/>
    <n v="15"/>
    <s v="JUEVES"/>
    <x v="40"/>
    <x v="40"/>
    <n v="224"/>
    <n v="240"/>
    <n v="89.600000000000009"/>
    <x v="3"/>
  </r>
  <r>
    <d v="2022-04-14T00:00:00"/>
    <x v="10"/>
    <n v="15"/>
    <s v="JUEVES"/>
    <x v="24"/>
    <x v="24"/>
    <n v="2100"/>
    <n v="420"/>
    <n v="882"/>
    <x v="3"/>
  </r>
  <r>
    <d v="2022-04-14T00:00:00"/>
    <x v="10"/>
    <n v="15"/>
    <s v="JUEVES"/>
    <x v="25"/>
    <x v="25"/>
    <n v="1800"/>
    <n v="225"/>
    <n v="756"/>
    <x v="3"/>
  </r>
  <r>
    <d v="2022-04-13T00:00:00"/>
    <x v="10"/>
    <n v="15"/>
    <s v="MIÉRCOLES"/>
    <x v="33"/>
    <x v="33"/>
    <n v="200"/>
    <n v="40"/>
    <n v="46"/>
    <x v="3"/>
  </r>
  <r>
    <d v="2022-04-13T00:00:00"/>
    <x v="10"/>
    <n v="15"/>
    <s v="MIÉRCOLES"/>
    <x v="13"/>
    <x v="13"/>
    <n v="240"/>
    <n v="30"/>
    <n v="96"/>
    <x v="3"/>
  </r>
  <r>
    <d v="2022-04-13T00:00:00"/>
    <x v="10"/>
    <n v="15"/>
    <s v="MIÉRCOLES"/>
    <x v="14"/>
    <x v="14"/>
    <n v="160"/>
    <n v="40"/>
    <n v="36.800000000000004"/>
    <x v="3"/>
  </r>
  <r>
    <d v="2022-04-13T00:00:00"/>
    <x v="10"/>
    <n v="15"/>
    <s v="MIÉRCOLES"/>
    <x v="38"/>
    <x v="38"/>
    <n v="224"/>
    <n v="112"/>
    <n v="89.600000000000009"/>
    <x v="3"/>
  </r>
  <r>
    <d v="2022-04-13T00:00:00"/>
    <x v="10"/>
    <n v="15"/>
    <s v="MIÉRCOLES"/>
    <x v="0"/>
    <x v="0"/>
    <n v="672"/>
    <n v="48"/>
    <n v="268.8"/>
    <x v="3"/>
  </r>
  <r>
    <d v="2022-04-13T00:00:00"/>
    <x v="10"/>
    <n v="15"/>
    <s v="MIÉRCOLES"/>
    <x v="2"/>
    <x v="2"/>
    <n v="3024"/>
    <n v="198"/>
    <n v="514.08000000000004"/>
    <x v="3"/>
  </r>
  <r>
    <d v="2022-04-13T00:00:00"/>
    <x v="10"/>
    <n v="15"/>
    <s v="MIÉRCOLES"/>
    <x v="10"/>
    <x v="10"/>
    <n v="1920"/>
    <n v="120"/>
    <n v="326.40000000000003"/>
    <x v="3"/>
  </r>
  <r>
    <d v="2022-04-13T00:00:00"/>
    <x v="10"/>
    <n v="15"/>
    <s v="MIÉRCOLES"/>
    <x v="11"/>
    <x v="11"/>
    <n v="720"/>
    <n v="90"/>
    <n v="122.4"/>
    <x v="3"/>
  </r>
  <r>
    <d v="2022-04-13T00:00:00"/>
    <x v="10"/>
    <n v="15"/>
    <s v="MIÉRCOLES"/>
    <x v="12"/>
    <x v="12"/>
    <n v="450"/>
    <n v="225"/>
    <n v="180"/>
    <x v="3"/>
  </r>
  <r>
    <d v="2022-04-13T00:00:00"/>
    <x v="10"/>
    <n v="15"/>
    <s v="MIÉRCOLES"/>
    <x v="19"/>
    <x v="19"/>
    <n v="675"/>
    <n v="225"/>
    <n v="270"/>
    <x v="3"/>
  </r>
  <r>
    <d v="2022-04-13T00:00:00"/>
    <x v="10"/>
    <n v="15"/>
    <s v="MIÉRCOLES"/>
    <x v="38"/>
    <x v="38"/>
    <n v="448"/>
    <n v="112"/>
    <n v="179.20000000000002"/>
    <x v="3"/>
  </r>
  <r>
    <d v="2022-04-13T00:00:00"/>
    <x v="10"/>
    <n v="15"/>
    <s v="MIÉRCOLES"/>
    <x v="0"/>
    <x v="0"/>
    <n v="288"/>
    <n v="48"/>
    <n v="115.2"/>
    <x v="3"/>
  </r>
  <r>
    <d v="2022-04-13T00:00:00"/>
    <x v="10"/>
    <n v="15"/>
    <s v="MIÉRCOLES"/>
    <x v="1"/>
    <x v="1"/>
    <n v="216"/>
    <n v="198"/>
    <n v="36.720000000000006"/>
    <x v="3"/>
  </r>
  <r>
    <d v="2022-04-13T00:00:00"/>
    <x v="10"/>
    <n v="15"/>
    <s v="MIÉRCOLES"/>
    <x v="2"/>
    <x v="2"/>
    <n v="864"/>
    <n v="198"/>
    <n v="146.88000000000002"/>
    <x v="3"/>
  </r>
  <r>
    <d v="2022-04-13T00:00:00"/>
    <x v="10"/>
    <n v="15"/>
    <s v="MIÉRCOLES"/>
    <x v="4"/>
    <x v="4"/>
    <n v="162"/>
    <n v="162"/>
    <n v="27.540000000000003"/>
    <x v="3"/>
  </r>
  <r>
    <d v="2022-04-13T00:00:00"/>
    <x v="10"/>
    <n v="15"/>
    <s v="MIÉRCOLES"/>
    <x v="7"/>
    <x v="7"/>
    <n v="1296"/>
    <n v="198"/>
    <n v="220.32000000000002"/>
    <x v="3"/>
  </r>
  <r>
    <d v="2022-04-13T00:00:00"/>
    <x v="10"/>
    <n v="15"/>
    <s v="MIÉRCOLES"/>
    <x v="10"/>
    <x v="10"/>
    <n v="960"/>
    <n v="120"/>
    <n v="163.20000000000002"/>
    <x v="3"/>
  </r>
  <r>
    <d v="2022-04-13T00:00:00"/>
    <x v="10"/>
    <n v="15"/>
    <s v="MIÉRCOLES"/>
    <x v="11"/>
    <x v="11"/>
    <n v="2880"/>
    <n v="90"/>
    <n v="489.6"/>
    <x v="3"/>
  </r>
  <r>
    <d v="2022-04-13T00:00:00"/>
    <x v="10"/>
    <n v="15"/>
    <s v="MIÉRCOLES"/>
    <x v="20"/>
    <x v="20"/>
    <n v="450"/>
    <n v="90"/>
    <n v="76.5"/>
    <x v="3"/>
  </r>
  <r>
    <d v="2022-04-13T00:00:00"/>
    <x v="10"/>
    <n v="15"/>
    <s v="MIÉRCOLES"/>
    <x v="12"/>
    <x v="12"/>
    <n v="450"/>
    <n v="225"/>
    <n v="180"/>
    <x v="3"/>
  </r>
  <r>
    <d v="2022-04-13T00:00:00"/>
    <x v="10"/>
    <n v="15"/>
    <s v="MIÉRCOLES"/>
    <x v="43"/>
    <x v="43"/>
    <n v="1000"/>
    <n v="420"/>
    <n v="420"/>
    <x v="3"/>
  </r>
  <r>
    <d v="2022-04-13T00:00:00"/>
    <x v="10"/>
    <n v="15"/>
    <s v="MIÉRCOLES"/>
    <x v="42"/>
    <x v="42"/>
    <n v="500"/>
    <n v="420"/>
    <n v="210"/>
    <x v="3"/>
  </r>
  <r>
    <d v="2022-04-13T00:00:00"/>
    <x v="10"/>
    <n v="15"/>
    <s v="MIÉRCOLES"/>
    <x v="40"/>
    <x v="40"/>
    <n v="224"/>
    <n v="240"/>
    <n v="89.600000000000009"/>
    <x v="3"/>
  </r>
  <r>
    <d v="2022-04-13T00:00:00"/>
    <x v="10"/>
    <n v="15"/>
    <s v="MIÉRCOLES"/>
    <x v="38"/>
    <x v="38"/>
    <n v="112"/>
    <n v="112"/>
    <n v="44.800000000000004"/>
    <x v="3"/>
  </r>
  <r>
    <d v="2022-04-13T00:00:00"/>
    <x v="10"/>
    <n v="15"/>
    <s v="MIÉRCOLES"/>
    <x v="25"/>
    <x v="25"/>
    <n v="1125"/>
    <n v="225"/>
    <n v="472.5"/>
    <x v="3"/>
  </r>
  <r>
    <d v="2022-04-13T00:00:00"/>
    <x v="10"/>
    <n v="15"/>
    <s v="MIÉRCOLES"/>
    <x v="42"/>
    <x v="42"/>
    <n v="250"/>
    <n v="420"/>
    <n v="105"/>
    <x v="3"/>
  </r>
  <r>
    <d v="2022-04-13T00:00:00"/>
    <x v="10"/>
    <n v="15"/>
    <s v="MIÉRCOLES"/>
    <x v="1"/>
    <x v="1"/>
    <n v="5184"/>
    <n v="198"/>
    <n v="881.28000000000009"/>
    <x v="3"/>
  </r>
  <r>
    <d v="2022-04-13T00:00:00"/>
    <x v="10"/>
    <n v="15"/>
    <s v="MIÉRCOLES"/>
    <x v="2"/>
    <x v="2"/>
    <n v="432"/>
    <n v="198"/>
    <n v="73.440000000000012"/>
    <x v="3"/>
  </r>
  <r>
    <d v="2022-04-13T00:00:00"/>
    <x v="10"/>
    <n v="15"/>
    <s v="MIÉRCOLES"/>
    <x v="7"/>
    <x v="7"/>
    <n v="1296"/>
    <n v="198"/>
    <n v="220.32000000000002"/>
    <x v="3"/>
  </r>
  <r>
    <d v="2022-04-13T00:00:00"/>
    <x v="10"/>
    <n v="15"/>
    <s v="MIÉRCOLES"/>
    <x v="10"/>
    <x v="10"/>
    <n v="960"/>
    <n v="120"/>
    <n v="163.20000000000002"/>
    <x v="3"/>
  </r>
  <r>
    <d v="2022-04-14T00:00:00"/>
    <x v="10"/>
    <n v="15"/>
    <s v="JUEVES"/>
    <x v="0"/>
    <x v="0"/>
    <n v="960"/>
    <n v="48"/>
    <n v="384"/>
    <x v="3"/>
  </r>
  <r>
    <d v="2022-04-14T00:00:00"/>
    <x v="10"/>
    <n v="15"/>
    <s v="JUEVES"/>
    <x v="24"/>
    <x v="24"/>
    <n v="1680"/>
    <n v="420"/>
    <n v="705.6"/>
    <x v="3"/>
  </r>
  <r>
    <d v="2022-04-14T00:00:00"/>
    <x v="10"/>
    <n v="15"/>
    <s v="JUEVES"/>
    <x v="16"/>
    <x v="16"/>
    <n v="180"/>
    <n v="180"/>
    <n v="75.599999999999994"/>
    <x v="3"/>
  </r>
  <r>
    <d v="2022-04-14T00:00:00"/>
    <x v="10"/>
    <n v="15"/>
    <s v="JUEVES"/>
    <x v="10"/>
    <x v="10"/>
    <n v="4320"/>
    <n v="120"/>
    <n v="734.40000000000009"/>
    <x v="3"/>
  </r>
  <r>
    <d v="2022-04-14T00:00:00"/>
    <x v="10"/>
    <n v="15"/>
    <s v="JUEVES"/>
    <x v="26"/>
    <x v="26"/>
    <n v="450"/>
    <n v="90"/>
    <n v="76.5"/>
    <x v="3"/>
  </r>
  <r>
    <d v="2022-04-14T00:00:00"/>
    <x v="10"/>
    <n v="15"/>
    <s v="JUEVES"/>
    <x v="11"/>
    <x v="11"/>
    <n v="2880"/>
    <n v="90"/>
    <n v="489.6"/>
    <x v="3"/>
  </r>
  <r>
    <d v="2022-04-14T00:00:00"/>
    <x v="10"/>
    <n v="15"/>
    <s v="JUEVES"/>
    <x v="12"/>
    <x v="12"/>
    <n v="1125"/>
    <n v="225"/>
    <n v="450"/>
    <x v="3"/>
  </r>
  <r>
    <d v="2022-04-14T00:00:00"/>
    <x v="10"/>
    <n v="15"/>
    <s v="JUEVES"/>
    <x v="19"/>
    <x v="19"/>
    <n v="900"/>
    <n v="225"/>
    <n v="360"/>
    <x v="3"/>
  </r>
  <r>
    <d v="2022-04-14T00:00:00"/>
    <x v="10"/>
    <n v="15"/>
    <s v="JUEVES"/>
    <x v="42"/>
    <x v="42"/>
    <n v="750"/>
    <n v="420"/>
    <n v="315"/>
    <x v="3"/>
  </r>
  <r>
    <d v="2022-04-14T00:00:00"/>
    <x v="10"/>
    <n v="15"/>
    <s v="JUEVES"/>
    <x v="43"/>
    <x v="43"/>
    <n v="750"/>
    <n v="420"/>
    <n v="315"/>
    <x v="3"/>
  </r>
  <r>
    <d v="2022-04-14T00:00:00"/>
    <x v="10"/>
    <n v="15"/>
    <s v="JUEVES"/>
    <x v="36"/>
    <x v="36"/>
    <n v="450"/>
    <n v="90"/>
    <n v="180"/>
    <x v="3"/>
  </r>
  <r>
    <d v="2022-04-14T00:00:00"/>
    <x v="10"/>
    <n v="15"/>
    <s v="JUEVES"/>
    <x v="38"/>
    <x v="38"/>
    <n v="448"/>
    <n v="112"/>
    <n v="179.20000000000002"/>
    <x v="3"/>
  </r>
  <r>
    <d v="2022-04-14T00:00:00"/>
    <x v="10"/>
    <n v="15"/>
    <s v="JUEVES"/>
    <x v="24"/>
    <x v="24"/>
    <n v="420"/>
    <n v="420"/>
    <n v="176.4"/>
    <x v="3"/>
  </r>
  <r>
    <d v="2022-04-14T00:00:00"/>
    <x v="10"/>
    <n v="15"/>
    <s v="JUEVES"/>
    <x v="16"/>
    <x v="16"/>
    <n v="900"/>
    <n v="180"/>
    <n v="378"/>
    <x v="3"/>
  </r>
  <r>
    <d v="2022-04-14T00:00:00"/>
    <x v="10"/>
    <n v="15"/>
    <s v="JUEVES"/>
    <x v="9"/>
    <x v="9"/>
    <n v="720"/>
    <n v="90"/>
    <n v="122.4"/>
    <x v="3"/>
  </r>
  <r>
    <d v="2022-04-14T00:00:00"/>
    <x v="10"/>
    <n v="15"/>
    <s v="JUEVES"/>
    <x v="11"/>
    <x v="11"/>
    <n v="720"/>
    <n v="90"/>
    <n v="122.4"/>
    <x v="3"/>
  </r>
  <r>
    <d v="2022-04-16T00:00:00"/>
    <x v="10"/>
    <n v="16"/>
    <s v="SÁBADO"/>
    <x v="28"/>
    <x v="28"/>
    <n v="150"/>
    <n v="30"/>
    <n v="34.5"/>
    <x v="3"/>
  </r>
  <r>
    <d v="2022-04-16T00:00:00"/>
    <x v="10"/>
    <n v="16"/>
    <s v="SÁBADO"/>
    <x v="33"/>
    <x v="33"/>
    <n v="80"/>
    <n v="40"/>
    <n v="18.400000000000002"/>
    <x v="3"/>
  </r>
  <r>
    <d v="2022-04-16T00:00:00"/>
    <x v="10"/>
    <n v="16"/>
    <s v="SÁBADO"/>
    <x v="13"/>
    <x v="13"/>
    <n v="150"/>
    <n v="30"/>
    <n v="60"/>
    <x v="3"/>
  </r>
  <r>
    <d v="2022-04-16T00:00:00"/>
    <x v="10"/>
    <n v="16"/>
    <s v="SÁBADO"/>
    <x v="14"/>
    <x v="14"/>
    <n v="160"/>
    <n v="40"/>
    <n v="36.800000000000004"/>
    <x v="3"/>
  </r>
  <r>
    <d v="2022-04-16T00:00:00"/>
    <x v="10"/>
    <n v="16"/>
    <s v="SÁBADO"/>
    <x v="15"/>
    <x v="15"/>
    <n v="250"/>
    <n v="50"/>
    <n v="100"/>
    <x v="3"/>
  </r>
  <r>
    <d v="2022-04-16T00:00:00"/>
    <x v="10"/>
    <n v="16"/>
    <s v="SÁBADO"/>
    <x v="36"/>
    <x v="36"/>
    <n v="450"/>
    <n v="90"/>
    <n v="180"/>
    <x v="3"/>
  </r>
  <r>
    <d v="2022-04-16T00:00:00"/>
    <x v="10"/>
    <n v="16"/>
    <s v="SÁBADO"/>
    <x v="0"/>
    <x v="0"/>
    <n v="480"/>
    <n v="48"/>
    <n v="192"/>
    <x v="3"/>
  </r>
  <r>
    <d v="2022-04-16T00:00:00"/>
    <x v="10"/>
    <n v="16"/>
    <s v="SÁBADO"/>
    <x v="1"/>
    <x v="1"/>
    <n v="2160"/>
    <n v="198"/>
    <n v="367.20000000000005"/>
    <x v="3"/>
  </r>
  <r>
    <d v="2022-04-16T00:00:00"/>
    <x v="10"/>
    <n v="16"/>
    <s v="SÁBADO"/>
    <x v="2"/>
    <x v="2"/>
    <n v="1080"/>
    <n v="198"/>
    <n v="183.60000000000002"/>
    <x v="3"/>
  </r>
  <r>
    <d v="2022-04-16T00:00:00"/>
    <x v="10"/>
    <n v="16"/>
    <s v="SÁBADO"/>
    <x v="22"/>
    <x v="22"/>
    <n v="990"/>
    <n v="198"/>
    <n v="168.3"/>
    <x v="3"/>
  </r>
  <r>
    <d v="2022-04-16T00:00:00"/>
    <x v="10"/>
    <n v="16"/>
    <s v="SÁBADO"/>
    <x v="5"/>
    <x v="5"/>
    <n v="486"/>
    <n v="162"/>
    <n v="82.62"/>
    <x v="3"/>
  </r>
  <r>
    <d v="2022-04-16T00:00:00"/>
    <x v="10"/>
    <n v="16"/>
    <s v="SÁBADO"/>
    <x v="9"/>
    <x v="9"/>
    <n v="450"/>
    <n v="90"/>
    <n v="76.5"/>
    <x v="3"/>
  </r>
  <r>
    <d v="2022-04-16T00:00:00"/>
    <x v="10"/>
    <n v="16"/>
    <s v="SÁBADO"/>
    <x v="10"/>
    <x v="10"/>
    <n v="2400"/>
    <n v="120"/>
    <n v="408.00000000000006"/>
    <x v="3"/>
  </r>
  <r>
    <d v="2022-04-16T00:00:00"/>
    <x v="10"/>
    <n v="16"/>
    <s v="SÁBADO"/>
    <x v="26"/>
    <x v="26"/>
    <n v="900"/>
    <n v="90"/>
    <n v="153"/>
    <x v="3"/>
  </r>
  <r>
    <d v="2022-04-16T00:00:00"/>
    <x v="10"/>
    <n v="16"/>
    <s v="SÁBADO"/>
    <x v="23"/>
    <x v="23"/>
    <n v="1440"/>
    <n v="90"/>
    <n v="244.8"/>
    <x v="3"/>
  </r>
  <r>
    <d v="2022-04-16T00:00:00"/>
    <x v="10"/>
    <n v="16"/>
    <s v="SÁBADO"/>
    <x v="28"/>
    <x v="28"/>
    <n v="120"/>
    <n v="30"/>
    <n v="27.6"/>
    <x v="3"/>
  </r>
  <r>
    <d v="2022-04-16T00:00:00"/>
    <x v="10"/>
    <n v="16"/>
    <s v="SÁBADO"/>
    <x v="13"/>
    <x v="13"/>
    <n v="180"/>
    <n v="30"/>
    <n v="72"/>
    <x v="3"/>
  </r>
  <r>
    <d v="2022-04-16T00:00:00"/>
    <x v="10"/>
    <n v="16"/>
    <s v="SÁBADO"/>
    <x v="11"/>
    <x v="11"/>
    <n v="3600"/>
    <n v="90"/>
    <n v="612"/>
    <x v="3"/>
  </r>
  <r>
    <d v="2022-04-16T00:00:00"/>
    <x v="10"/>
    <n v="16"/>
    <s v="SÁBADO"/>
    <x v="25"/>
    <x v="25"/>
    <n v="2250"/>
    <n v="225"/>
    <n v="945"/>
    <x v="3"/>
  </r>
  <r>
    <d v="2022-04-16T00:00:00"/>
    <x v="10"/>
    <n v="16"/>
    <s v="SÁBADO"/>
    <x v="42"/>
    <x v="42"/>
    <n v="750"/>
    <n v="420"/>
    <n v="315"/>
    <x v="3"/>
  </r>
  <r>
    <d v="2022-04-16T00:00:00"/>
    <x v="10"/>
    <n v="16"/>
    <s v="SÁBADO"/>
    <x v="43"/>
    <x v="43"/>
    <n v="500"/>
    <n v="420"/>
    <n v="210"/>
    <x v="3"/>
  </r>
  <r>
    <d v="2022-04-16T00:00:00"/>
    <x v="10"/>
    <n v="16"/>
    <s v="SÁBADO"/>
    <x v="68"/>
    <x v="52"/>
    <n v="7250"/>
    <n v="250"/>
    <n v="3045"/>
    <x v="3"/>
  </r>
  <r>
    <d v="2022-04-16T00:00:00"/>
    <x v="10"/>
    <n v="16"/>
    <s v="SÁBADO"/>
    <x v="66"/>
    <x v="50"/>
    <n v="1200"/>
    <n v="200"/>
    <n v="504"/>
    <x v="3"/>
  </r>
  <r>
    <d v="2022-04-18T00:00:00"/>
    <x v="10"/>
    <n v="16"/>
    <s v="LUNES"/>
    <x v="0"/>
    <x v="0"/>
    <n v="144"/>
    <n v="48"/>
    <n v="57.6"/>
    <x v="3"/>
  </r>
  <r>
    <d v="2022-04-18T00:00:00"/>
    <x v="10"/>
    <n v="16"/>
    <s v="LUNES"/>
    <x v="24"/>
    <x v="24"/>
    <n v="2100"/>
    <n v="420"/>
    <n v="882"/>
    <x v="3"/>
  </r>
  <r>
    <d v="2022-04-18T00:00:00"/>
    <x v="10"/>
    <n v="16"/>
    <s v="LUNES"/>
    <x v="22"/>
    <x v="22"/>
    <n v="792"/>
    <n v="198"/>
    <n v="134.64000000000001"/>
    <x v="3"/>
  </r>
  <r>
    <d v="2022-04-18T00:00:00"/>
    <x v="10"/>
    <n v="16"/>
    <s v="LUNES"/>
    <x v="4"/>
    <x v="4"/>
    <n v="972"/>
    <n v="162"/>
    <n v="165.24"/>
    <x v="3"/>
  </r>
  <r>
    <d v="2022-04-18T00:00:00"/>
    <x v="10"/>
    <n v="16"/>
    <s v="LUNES"/>
    <x v="5"/>
    <x v="5"/>
    <n v="486"/>
    <n v="162"/>
    <n v="82.62"/>
    <x v="3"/>
  </r>
  <r>
    <d v="2022-04-18T00:00:00"/>
    <x v="10"/>
    <n v="16"/>
    <s v="LUNES"/>
    <x v="23"/>
    <x v="23"/>
    <n v="900"/>
    <n v="90"/>
    <n v="153"/>
    <x v="3"/>
  </r>
  <r>
    <d v="2022-04-18T00:00:00"/>
    <x v="10"/>
    <n v="16"/>
    <s v="LUNES"/>
    <x v="11"/>
    <x v="11"/>
    <n v="900"/>
    <n v="90"/>
    <n v="153"/>
    <x v="3"/>
  </r>
  <r>
    <d v="2022-04-18T00:00:00"/>
    <x v="10"/>
    <n v="16"/>
    <s v="LUNES"/>
    <x v="25"/>
    <x v="25"/>
    <n v="1350"/>
    <n v="225"/>
    <n v="567"/>
    <x v="3"/>
  </r>
  <r>
    <d v="2022-04-18T00:00:00"/>
    <x v="10"/>
    <n v="16"/>
    <s v="LUNES"/>
    <x v="42"/>
    <x v="42"/>
    <n v="750"/>
    <n v="420"/>
    <n v="315"/>
    <x v="3"/>
  </r>
  <r>
    <d v="2022-04-18T00:00:00"/>
    <x v="10"/>
    <n v="16"/>
    <s v="LUNES"/>
    <x v="43"/>
    <x v="43"/>
    <n v="750"/>
    <n v="420"/>
    <n v="315"/>
    <x v="3"/>
  </r>
  <r>
    <d v="2022-04-18T00:00:00"/>
    <x v="10"/>
    <n v="16"/>
    <s v="LUNES"/>
    <x v="0"/>
    <x v="0"/>
    <n v="2256"/>
    <n v="48"/>
    <n v="902.40000000000009"/>
    <x v="3"/>
  </r>
  <r>
    <d v="2022-04-18T00:00:00"/>
    <x v="10"/>
    <n v="16"/>
    <s v="LUNES"/>
    <x v="1"/>
    <x v="1"/>
    <n v="2160"/>
    <n v="198"/>
    <n v="367.20000000000005"/>
    <x v="3"/>
  </r>
  <r>
    <d v="2022-04-18T00:00:00"/>
    <x v="10"/>
    <n v="16"/>
    <s v="LUNES"/>
    <x v="7"/>
    <x v="7"/>
    <n v="2160"/>
    <n v="198"/>
    <n v="367.20000000000005"/>
    <x v="3"/>
  </r>
  <r>
    <d v="2022-04-18T00:00:00"/>
    <x v="10"/>
    <n v="16"/>
    <s v="LUNES"/>
    <x v="20"/>
    <x v="20"/>
    <n v="1170"/>
    <n v="90"/>
    <n v="198.9"/>
    <x v="3"/>
  </r>
  <r>
    <d v="2022-04-18T00:00:00"/>
    <x v="10"/>
    <n v="16"/>
    <s v="LUNES"/>
    <x v="25"/>
    <x v="25"/>
    <n v="1350"/>
    <n v="225"/>
    <n v="567"/>
    <x v="3"/>
  </r>
  <r>
    <d v="2022-04-18T00:00:00"/>
    <x v="10"/>
    <n v="16"/>
    <s v="LUNES"/>
    <x v="68"/>
    <x v="52"/>
    <n v="2500"/>
    <n v="250"/>
    <n v="1050"/>
    <x v="3"/>
  </r>
  <r>
    <d v="2022-04-18T00:00:00"/>
    <x v="10"/>
    <n v="16"/>
    <s v="LUNES"/>
    <x v="24"/>
    <x v="24"/>
    <n v="840"/>
    <n v="420"/>
    <n v="352.8"/>
    <x v="3"/>
  </r>
  <r>
    <d v="2022-04-18T00:00:00"/>
    <x v="10"/>
    <n v="16"/>
    <s v="LUNES"/>
    <x v="2"/>
    <x v="2"/>
    <n v="2160"/>
    <n v="198"/>
    <n v="367.20000000000005"/>
    <x v="3"/>
  </r>
  <r>
    <d v="2022-04-18T00:00:00"/>
    <x v="10"/>
    <n v="16"/>
    <s v="LUNES"/>
    <x v="4"/>
    <x v="4"/>
    <n v="810"/>
    <n v="162"/>
    <n v="137.70000000000002"/>
    <x v="3"/>
  </r>
  <r>
    <d v="2022-04-18T00:00:00"/>
    <x v="10"/>
    <n v="16"/>
    <s v="LUNES"/>
    <x v="5"/>
    <x v="5"/>
    <n v="810"/>
    <n v="162"/>
    <n v="137.70000000000002"/>
    <x v="3"/>
  </r>
  <r>
    <d v="2022-04-18T00:00:00"/>
    <x v="10"/>
    <n v="16"/>
    <s v="LUNES"/>
    <x v="11"/>
    <x v="11"/>
    <n v="1440"/>
    <n v="90"/>
    <n v="244.8"/>
    <x v="3"/>
  </r>
  <r>
    <d v="2022-04-19T00:00:00"/>
    <x v="10"/>
    <n v="16"/>
    <s v="MARTES"/>
    <x v="40"/>
    <x v="40"/>
    <n v="336"/>
    <n v="240"/>
    <n v="134.4"/>
    <x v="3"/>
  </r>
  <r>
    <d v="2022-04-19T00:00:00"/>
    <x v="10"/>
    <n v="16"/>
    <s v="MARTES"/>
    <x v="38"/>
    <x v="38"/>
    <n v="560"/>
    <n v="112"/>
    <n v="224"/>
    <x v="3"/>
  </r>
  <r>
    <d v="2022-04-19T00:00:00"/>
    <x v="10"/>
    <n v="16"/>
    <s v="MARTES"/>
    <x v="24"/>
    <x v="24"/>
    <n v="1680"/>
    <n v="420"/>
    <n v="705.6"/>
    <x v="3"/>
  </r>
  <r>
    <d v="2022-04-19T00:00:00"/>
    <x v="10"/>
    <n v="16"/>
    <s v="MARTES"/>
    <x v="16"/>
    <x v="16"/>
    <n v="1080"/>
    <n v="180"/>
    <n v="453.59999999999997"/>
    <x v="3"/>
  </r>
  <r>
    <d v="2022-04-19T00:00:00"/>
    <x v="10"/>
    <n v="16"/>
    <s v="MARTES"/>
    <x v="34"/>
    <x v="34"/>
    <n v="216"/>
    <n v="198"/>
    <n v="36.720000000000006"/>
    <x v="3"/>
  </r>
  <r>
    <d v="2022-04-19T00:00:00"/>
    <x v="10"/>
    <n v="16"/>
    <s v="MARTES"/>
    <x v="29"/>
    <x v="29"/>
    <n v="216"/>
    <n v="198"/>
    <n v="36.720000000000006"/>
    <x v="3"/>
  </r>
  <r>
    <d v="2022-04-19T00:00:00"/>
    <x v="10"/>
    <n v="16"/>
    <s v="MARTES"/>
    <x v="6"/>
    <x v="6"/>
    <n v="2160"/>
    <n v="120"/>
    <n v="367.20000000000005"/>
    <x v="3"/>
  </r>
  <r>
    <d v="2022-04-19T00:00:00"/>
    <x v="10"/>
    <n v="16"/>
    <s v="MARTES"/>
    <x v="10"/>
    <x v="10"/>
    <n v="1680"/>
    <n v="120"/>
    <n v="285.60000000000002"/>
    <x v="3"/>
  </r>
  <r>
    <d v="2022-04-19T00:00:00"/>
    <x v="10"/>
    <n v="16"/>
    <s v="MARTES"/>
    <x v="23"/>
    <x v="23"/>
    <n v="1440"/>
    <n v="90"/>
    <n v="244.8"/>
    <x v="3"/>
  </r>
  <r>
    <d v="2022-04-19T00:00:00"/>
    <x v="10"/>
    <n v="16"/>
    <s v="MARTES"/>
    <x v="40"/>
    <x v="40"/>
    <n v="224"/>
    <n v="240"/>
    <n v="89.600000000000009"/>
    <x v="3"/>
  </r>
  <r>
    <d v="2022-04-19T00:00:00"/>
    <x v="10"/>
    <n v="16"/>
    <s v="MARTES"/>
    <x v="38"/>
    <x v="38"/>
    <n v="224"/>
    <n v="112"/>
    <n v="89.600000000000009"/>
    <x v="3"/>
  </r>
  <r>
    <d v="2022-04-19T00:00:00"/>
    <x v="10"/>
    <n v="16"/>
    <s v="MARTES"/>
    <x v="16"/>
    <x v="16"/>
    <n v="540"/>
    <n v="180"/>
    <n v="226.79999999999998"/>
    <x v="3"/>
  </r>
  <r>
    <d v="2022-04-19T00:00:00"/>
    <x v="10"/>
    <n v="16"/>
    <s v="MARTES"/>
    <x v="42"/>
    <x v="42"/>
    <n v="500"/>
    <n v="420"/>
    <n v="210"/>
    <x v="3"/>
  </r>
  <r>
    <d v="2022-04-19T00:00:00"/>
    <x v="10"/>
    <n v="16"/>
    <s v="MARTES"/>
    <x v="64"/>
    <x v="48"/>
    <n v="720"/>
    <n v="30"/>
    <n v="151.19999999999999"/>
    <x v="3"/>
  </r>
  <r>
    <d v="2022-04-19T00:00:00"/>
    <x v="10"/>
    <n v="16"/>
    <s v="MARTES"/>
    <x v="72"/>
    <x v="56"/>
    <n v="500"/>
    <n v="250"/>
    <n v="210"/>
    <x v="3"/>
  </r>
  <r>
    <d v="2022-04-20T00:00:00"/>
    <x v="10"/>
    <n v="16"/>
    <s v="MIÉRCOLES"/>
    <x v="10"/>
    <x v="10"/>
    <n v="4800"/>
    <n v="120"/>
    <n v="816.00000000000011"/>
    <x v="3"/>
  </r>
  <r>
    <d v="2022-04-20T00:00:00"/>
    <x v="10"/>
    <n v="16"/>
    <s v="MIÉRCOLES"/>
    <x v="72"/>
    <x v="56"/>
    <n v="750"/>
    <n v="250"/>
    <n v="315"/>
    <x v="3"/>
  </r>
  <r>
    <d v="2022-04-19T00:00:00"/>
    <x v="10"/>
    <n v="16"/>
    <s v="MARTES"/>
    <x v="10"/>
    <x v="10"/>
    <n v="240"/>
    <n v="120"/>
    <n v="40.800000000000004"/>
    <x v="3"/>
  </r>
  <r>
    <d v="2022-04-19T00:00:00"/>
    <x v="10"/>
    <n v="16"/>
    <s v="MARTES"/>
    <x v="28"/>
    <x v="28"/>
    <n v="120"/>
    <n v="30"/>
    <n v="27.6"/>
    <x v="3"/>
  </r>
  <r>
    <d v="2022-04-19T00:00:00"/>
    <x v="10"/>
    <n v="16"/>
    <s v="MARTES"/>
    <x v="33"/>
    <x v="33"/>
    <n v="80"/>
    <n v="40"/>
    <n v="18.400000000000002"/>
    <x v="3"/>
  </r>
  <r>
    <d v="2022-04-19T00:00:00"/>
    <x v="10"/>
    <n v="16"/>
    <s v="MARTES"/>
    <x v="15"/>
    <x v="15"/>
    <n v="250"/>
    <n v="50"/>
    <n v="100"/>
    <x v="3"/>
  </r>
  <r>
    <d v="2022-04-19T00:00:00"/>
    <x v="10"/>
    <n v="16"/>
    <s v="MARTES"/>
    <x v="16"/>
    <x v="16"/>
    <n v="540"/>
    <n v="180"/>
    <n v="226.79999999999998"/>
    <x v="3"/>
  </r>
  <r>
    <d v="2022-04-19T00:00:00"/>
    <x v="10"/>
    <n v="16"/>
    <s v="MARTES"/>
    <x v="3"/>
    <x v="3"/>
    <n v="990"/>
    <n v="198"/>
    <n v="168.3"/>
    <x v="3"/>
  </r>
  <r>
    <d v="2022-04-19T00:00:00"/>
    <x v="10"/>
    <n v="16"/>
    <s v="MARTES"/>
    <x v="6"/>
    <x v="6"/>
    <n v="1440"/>
    <n v="120"/>
    <n v="244.8"/>
    <x v="3"/>
  </r>
  <r>
    <d v="2022-04-19T00:00:00"/>
    <x v="10"/>
    <n v="16"/>
    <s v="MARTES"/>
    <x v="9"/>
    <x v="9"/>
    <n v="900"/>
    <n v="90"/>
    <n v="153"/>
    <x v="3"/>
  </r>
  <r>
    <d v="2022-04-19T00:00:00"/>
    <x v="10"/>
    <n v="16"/>
    <s v="MARTES"/>
    <x v="10"/>
    <x v="10"/>
    <n v="4080"/>
    <n v="120"/>
    <n v="693.6"/>
    <x v="3"/>
  </r>
  <r>
    <d v="2022-04-19T00:00:00"/>
    <x v="10"/>
    <n v="16"/>
    <s v="MARTES"/>
    <x v="26"/>
    <x v="26"/>
    <n v="450"/>
    <n v="90"/>
    <n v="76.5"/>
    <x v="3"/>
  </r>
  <r>
    <d v="2022-04-19T00:00:00"/>
    <x v="10"/>
    <n v="16"/>
    <s v="MARTES"/>
    <x v="7"/>
    <x v="7"/>
    <n v="450"/>
    <n v="198"/>
    <n v="76.5"/>
    <x v="3"/>
  </r>
  <r>
    <d v="2022-04-19T00:00:00"/>
    <x v="10"/>
    <n v="16"/>
    <s v="MARTES"/>
    <x v="20"/>
    <x v="20"/>
    <n v="450"/>
    <n v="90"/>
    <n v="76.5"/>
    <x v="3"/>
  </r>
  <r>
    <d v="2022-04-20T00:00:00"/>
    <x v="10"/>
    <n v="16"/>
    <s v="MIÉRCOLES"/>
    <x v="36"/>
    <x v="36"/>
    <n v="810"/>
    <n v="90"/>
    <n v="324"/>
    <x v="3"/>
  </r>
  <r>
    <d v="2022-04-20T00:00:00"/>
    <x v="10"/>
    <n v="16"/>
    <s v="MIÉRCOLES"/>
    <x v="16"/>
    <x v="16"/>
    <n v="180"/>
    <n v="180"/>
    <n v="75.599999999999994"/>
    <x v="3"/>
  </r>
  <r>
    <d v="2022-04-20T00:00:00"/>
    <x v="10"/>
    <n v="16"/>
    <s v="MIÉRCOLES"/>
    <x v="1"/>
    <x v="1"/>
    <n v="432"/>
    <n v="198"/>
    <n v="73.440000000000012"/>
    <x v="3"/>
  </r>
  <r>
    <d v="2022-04-20T00:00:00"/>
    <x v="10"/>
    <n v="16"/>
    <s v="MIÉRCOLES"/>
    <x v="22"/>
    <x v="22"/>
    <n v="990"/>
    <n v="198"/>
    <n v="168.3"/>
    <x v="3"/>
  </r>
  <r>
    <d v="2022-04-20T00:00:00"/>
    <x v="10"/>
    <n v="16"/>
    <s v="MIÉRCOLES"/>
    <x v="8"/>
    <x v="8"/>
    <n v="3240"/>
    <n v="198"/>
    <n v="550.80000000000007"/>
    <x v="3"/>
  </r>
  <r>
    <d v="2022-04-20T00:00:00"/>
    <x v="10"/>
    <n v="16"/>
    <s v="MIÉRCOLES"/>
    <x v="9"/>
    <x v="9"/>
    <n v="450"/>
    <n v="90"/>
    <n v="76.5"/>
    <x v="3"/>
  </r>
  <r>
    <d v="2022-04-20T00:00:00"/>
    <x v="10"/>
    <n v="16"/>
    <s v="MIÉRCOLES"/>
    <x v="10"/>
    <x v="10"/>
    <n v="3360"/>
    <n v="120"/>
    <n v="571.20000000000005"/>
    <x v="3"/>
  </r>
  <r>
    <d v="2022-04-20T00:00:00"/>
    <x v="10"/>
    <n v="16"/>
    <s v="MIÉRCOLES"/>
    <x v="26"/>
    <x v="26"/>
    <n v="900"/>
    <n v="90"/>
    <n v="153"/>
    <x v="3"/>
  </r>
  <r>
    <d v="2022-04-20T00:00:00"/>
    <x v="10"/>
    <n v="16"/>
    <s v="MIÉRCOLES"/>
    <x v="23"/>
    <x v="23"/>
    <n v="1440"/>
    <n v="90"/>
    <n v="244.8"/>
    <x v="3"/>
  </r>
  <r>
    <d v="2022-04-20T00:00:00"/>
    <x v="10"/>
    <n v="16"/>
    <s v="MIÉRCOLES"/>
    <x v="43"/>
    <x v="43"/>
    <n v="250"/>
    <n v="420"/>
    <n v="105"/>
    <x v="3"/>
  </r>
  <r>
    <d v="2022-04-20T00:00:00"/>
    <x v="10"/>
    <n v="16"/>
    <s v="MIÉRCOLES"/>
    <x v="72"/>
    <x v="56"/>
    <n v="250"/>
    <n v="250"/>
    <n v="105"/>
    <x v="3"/>
  </r>
  <r>
    <d v="2022-04-20T00:00:00"/>
    <x v="10"/>
    <n v="16"/>
    <s v="MIÉRCOLES"/>
    <x v="28"/>
    <x v="28"/>
    <n v="240"/>
    <n v="30"/>
    <n v="55.2"/>
    <x v="3"/>
  </r>
  <r>
    <d v="2022-04-20T00:00:00"/>
    <x v="10"/>
    <n v="16"/>
    <s v="MIÉRCOLES"/>
    <x v="13"/>
    <x v="13"/>
    <n v="240"/>
    <n v="30"/>
    <n v="96"/>
    <x v="3"/>
  </r>
  <r>
    <d v="2022-04-20T00:00:00"/>
    <x v="10"/>
    <n v="16"/>
    <s v="MIÉRCOLES"/>
    <x v="15"/>
    <x v="15"/>
    <n v="250"/>
    <n v="50"/>
    <n v="100"/>
    <x v="3"/>
  </r>
  <r>
    <d v="2022-04-20T00:00:00"/>
    <x v="10"/>
    <n v="16"/>
    <s v="MIÉRCOLES"/>
    <x v="16"/>
    <x v="16"/>
    <n v="180"/>
    <n v="180"/>
    <n v="75.599999999999994"/>
    <x v="3"/>
  </r>
  <r>
    <d v="2022-04-20T00:00:00"/>
    <x v="10"/>
    <n v="16"/>
    <s v="MIÉRCOLES"/>
    <x v="1"/>
    <x v="1"/>
    <n v="1728"/>
    <n v="198"/>
    <n v="293.76000000000005"/>
    <x v="3"/>
  </r>
  <r>
    <d v="2022-04-20T00:00:00"/>
    <x v="10"/>
    <n v="16"/>
    <s v="MIÉRCOLES"/>
    <x v="9"/>
    <x v="9"/>
    <n v="1260"/>
    <n v="90"/>
    <n v="214.20000000000002"/>
    <x v="3"/>
  </r>
  <r>
    <d v="2022-04-20T00:00:00"/>
    <x v="10"/>
    <n v="16"/>
    <s v="MIÉRCOLES"/>
    <x v="10"/>
    <x v="10"/>
    <n v="3840"/>
    <n v="120"/>
    <n v="652.80000000000007"/>
    <x v="3"/>
  </r>
  <r>
    <d v="2022-04-20T00:00:00"/>
    <x v="10"/>
    <n v="16"/>
    <s v="MIÉRCOLES"/>
    <x v="20"/>
    <x v="20"/>
    <n v="360"/>
    <n v="90"/>
    <n v="61.2"/>
    <x v="3"/>
  </r>
  <r>
    <d v="2022-04-20T00:00:00"/>
    <x v="10"/>
    <n v="16"/>
    <s v="MIÉRCOLES"/>
    <x v="43"/>
    <x v="43"/>
    <n v="250"/>
    <n v="420"/>
    <n v="105"/>
    <x v="3"/>
  </r>
  <r>
    <d v="2022-04-20T00:00:00"/>
    <x v="10"/>
    <n v="16"/>
    <s v="MIÉRCOLES"/>
    <x v="76"/>
    <x v="60"/>
    <n v="360"/>
    <n v="180"/>
    <n v="151.19999999999999"/>
    <x v="3"/>
  </r>
  <r>
    <d v="2022-04-20T00:00:00"/>
    <x v="10"/>
    <n v="16"/>
    <s v="MIÉRCOLES"/>
    <x v="70"/>
    <x v="54"/>
    <n v="360"/>
    <n v="180"/>
    <n v="151.19999999999999"/>
    <x v="3"/>
  </r>
  <r>
    <d v="2022-04-20T00:00:00"/>
    <x v="10"/>
    <n v="16"/>
    <s v="MIÉRCOLES"/>
    <x v="75"/>
    <x v="59"/>
    <n v="450"/>
    <n v="225"/>
    <n v="189"/>
    <x v="3"/>
  </r>
  <r>
    <d v="2022-04-21T00:00:00"/>
    <x v="10"/>
    <n v="16"/>
    <s v="JUEVES"/>
    <x v="68"/>
    <x v="52"/>
    <n v="1250"/>
    <n v="250"/>
    <n v="525"/>
    <x v="3"/>
  </r>
  <r>
    <d v="2022-04-21T00:00:00"/>
    <x v="10"/>
    <n v="16"/>
    <s v="JUEVES"/>
    <x v="76"/>
    <x v="60"/>
    <n v="360"/>
    <n v="180"/>
    <n v="151.19999999999999"/>
    <x v="3"/>
  </r>
  <r>
    <d v="2022-04-21T00:00:00"/>
    <x v="10"/>
    <n v="16"/>
    <s v="JUEVES"/>
    <x v="70"/>
    <x v="54"/>
    <n v="360"/>
    <n v="180"/>
    <n v="151.19999999999999"/>
    <x v="3"/>
  </r>
  <r>
    <d v="2022-04-21T00:00:00"/>
    <x v="10"/>
    <n v="16"/>
    <s v="JUEVES"/>
    <x v="4"/>
    <x v="4"/>
    <n v="1134"/>
    <n v="162"/>
    <n v="192.78"/>
    <x v="3"/>
  </r>
  <r>
    <d v="2022-04-21T00:00:00"/>
    <x v="10"/>
    <n v="16"/>
    <s v="JUEVES"/>
    <x v="6"/>
    <x v="6"/>
    <n v="2400"/>
    <n v="120"/>
    <n v="408.00000000000006"/>
    <x v="3"/>
  </r>
  <r>
    <d v="2022-04-21T00:00:00"/>
    <x v="10"/>
    <n v="16"/>
    <s v="JUEVES"/>
    <x v="17"/>
    <x v="17"/>
    <n v="1200"/>
    <n v="120"/>
    <n v="204.00000000000003"/>
    <x v="3"/>
  </r>
  <r>
    <d v="2022-04-21T00:00:00"/>
    <x v="10"/>
    <n v="16"/>
    <s v="JUEVES"/>
    <x v="10"/>
    <x v="10"/>
    <n v="480"/>
    <n v="120"/>
    <n v="81.600000000000009"/>
    <x v="3"/>
  </r>
  <r>
    <d v="2022-04-22T00:00:00"/>
    <x v="10"/>
    <n v="16"/>
    <s v="VIERNES"/>
    <x v="34"/>
    <x v="34"/>
    <n v="216"/>
    <n v="198"/>
    <n v="36.720000000000006"/>
    <x v="3"/>
  </r>
  <r>
    <d v="2022-04-22T00:00:00"/>
    <x v="10"/>
    <n v="16"/>
    <s v="VIERNES"/>
    <x v="29"/>
    <x v="29"/>
    <n v="216"/>
    <n v="198"/>
    <n v="36.720000000000006"/>
    <x v="3"/>
  </r>
  <r>
    <d v="2022-04-22T00:00:00"/>
    <x v="10"/>
    <n v="16"/>
    <s v="VIERNES"/>
    <x v="3"/>
    <x v="3"/>
    <n v="198"/>
    <n v="198"/>
    <n v="33.660000000000004"/>
    <x v="3"/>
  </r>
  <r>
    <d v="2022-04-22T00:00:00"/>
    <x v="10"/>
    <n v="16"/>
    <s v="VIERNES"/>
    <x v="26"/>
    <x v="26"/>
    <n v="450"/>
    <n v="90"/>
    <n v="76.5"/>
    <x v="3"/>
  </r>
  <r>
    <d v="2022-04-22T00:00:00"/>
    <x v="10"/>
    <n v="16"/>
    <s v="VIERNES"/>
    <x v="23"/>
    <x v="23"/>
    <n v="900"/>
    <n v="90"/>
    <n v="153"/>
    <x v="3"/>
  </r>
  <r>
    <d v="2022-04-22T00:00:00"/>
    <x v="10"/>
    <n v="16"/>
    <s v="VIERNES"/>
    <x v="11"/>
    <x v="11"/>
    <n v="1440"/>
    <n v="90"/>
    <n v="244.8"/>
    <x v="3"/>
  </r>
  <r>
    <d v="2022-04-22T00:00:00"/>
    <x v="10"/>
    <n v="16"/>
    <s v="VIERNES"/>
    <x v="25"/>
    <x v="25"/>
    <n v="1800"/>
    <n v="225"/>
    <n v="756"/>
    <x v="3"/>
  </r>
  <r>
    <d v="2022-04-22T00:00:00"/>
    <x v="10"/>
    <n v="16"/>
    <s v="VIERNES"/>
    <x v="42"/>
    <x v="42"/>
    <n v="250"/>
    <n v="420"/>
    <n v="105"/>
    <x v="3"/>
  </r>
  <r>
    <d v="2022-04-21T00:00:00"/>
    <x v="10"/>
    <n v="16"/>
    <s v="JUEVES"/>
    <x v="28"/>
    <x v="28"/>
    <n v="180"/>
    <n v="30"/>
    <n v="41.4"/>
    <x v="3"/>
  </r>
  <r>
    <d v="2022-04-21T00:00:00"/>
    <x v="10"/>
    <n v="16"/>
    <s v="JUEVES"/>
    <x v="13"/>
    <x v="13"/>
    <n v="30"/>
    <n v="30"/>
    <n v="12"/>
    <x v="3"/>
  </r>
  <r>
    <d v="2022-04-21T00:00:00"/>
    <x v="10"/>
    <n v="16"/>
    <s v="JUEVES"/>
    <x v="14"/>
    <x v="14"/>
    <n v="80"/>
    <n v="40"/>
    <n v="18.400000000000002"/>
    <x v="3"/>
  </r>
  <r>
    <d v="2022-04-21T00:00:00"/>
    <x v="10"/>
    <n v="16"/>
    <s v="JUEVES"/>
    <x v="36"/>
    <x v="36"/>
    <n v="810"/>
    <n v="90"/>
    <n v="324"/>
    <x v="3"/>
  </r>
  <r>
    <d v="2022-04-21T00:00:00"/>
    <x v="10"/>
    <n v="16"/>
    <s v="JUEVES"/>
    <x v="40"/>
    <x v="40"/>
    <n v="224"/>
    <n v="240"/>
    <n v="89.600000000000009"/>
    <x v="3"/>
  </r>
  <r>
    <d v="2022-04-21T00:00:00"/>
    <x v="10"/>
    <n v="16"/>
    <s v="JUEVES"/>
    <x v="38"/>
    <x v="38"/>
    <n v="448"/>
    <n v="112"/>
    <n v="179.20000000000002"/>
    <x v="3"/>
  </r>
  <r>
    <d v="2022-04-21T00:00:00"/>
    <x v="10"/>
    <n v="16"/>
    <s v="JUEVES"/>
    <x v="5"/>
    <x v="5"/>
    <n v="162"/>
    <n v="162"/>
    <n v="27.540000000000003"/>
    <x v="3"/>
  </r>
  <r>
    <d v="2022-04-21T00:00:00"/>
    <x v="10"/>
    <n v="16"/>
    <s v="JUEVES"/>
    <x v="7"/>
    <x v="7"/>
    <n v="3024"/>
    <n v="198"/>
    <n v="514.08000000000004"/>
    <x v="3"/>
  </r>
  <r>
    <d v="2022-04-21T00:00:00"/>
    <x v="10"/>
    <n v="16"/>
    <s v="JUEVES"/>
    <x v="10"/>
    <x v="10"/>
    <n v="3600"/>
    <n v="120"/>
    <n v="612"/>
    <x v="3"/>
  </r>
  <r>
    <d v="2022-04-21T00:00:00"/>
    <x v="10"/>
    <n v="16"/>
    <s v="JUEVES"/>
    <x v="26"/>
    <x v="26"/>
    <n v="720"/>
    <n v="90"/>
    <n v="122.4"/>
    <x v="3"/>
  </r>
  <r>
    <d v="2022-04-21T00:00:00"/>
    <x v="10"/>
    <n v="16"/>
    <s v="JUEVES"/>
    <x v="23"/>
    <x v="23"/>
    <n v="450"/>
    <n v="90"/>
    <n v="76.5"/>
    <x v="3"/>
  </r>
  <r>
    <d v="2022-04-21T00:00:00"/>
    <x v="10"/>
    <n v="16"/>
    <s v="JUEVES"/>
    <x v="11"/>
    <x v="11"/>
    <n v="1890"/>
    <n v="90"/>
    <n v="321.3"/>
    <x v="3"/>
  </r>
  <r>
    <d v="2022-04-21T00:00:00"/>
    <x v="10"/>
    <n v="16"/>
    <s v="JUEVES"/>
    <x v="12"/>
    <x v="12"/>
    <n v="675"/>
    <n v="225"/>
    <n v="270"/>
    <x v="3"/>
  </r>
  <r>
    <d v="2022-04-21T00:00:00"/>
    <x v="10"/>
    <n v="16"/>
    <s v="JUEVES"/>
    <x v="19"/>
    <x v="19"/>
    <n v="225"/>
    <n v="225"/>
    <n v="90"/>
    <x v="3"/>
  </r>
  <r>
    <d v="2022-04-21T00:00:00"/>
    <x v="10"/>
    <n v="16"/>
    <s v="JUEVES"/>
    <x v="40"/>
    <x v="40"/>
    <n v="224"/>
    <n v="240"/>
    <n v="89.600000000000009"/>
    <x v="3"/>
  </r>
  <r>
    <d v="2022-04-21T00:00:00"/>
    <x v="10"/>
    <n v="16"/>
    <s v="JUEVES"/>
    <x v="5"/>
    <x v="5"/>
    <n v="648"/>
    <n v="162"/>
    <n v="110.16000000000001"/>
    <x v="3"/>
  </r>
  <r>
    <d v="2022-04-21T00:00:00"/>
    <x v="10"/>
    <n v="16"/>
    <s v="JUEVES"/>
    <x v="7"/>
    <x v="7"/>
    <n v="1296"/>
    <n v="198"/>
    <n v="220.32000000000002"/>
    <x v="3"/>
  </r>
  <r>
    <d v="2022-04-21T00:00:00"/>
    <x v="10"/>
    <n v="16"/>
    <s v="JUEVES"/>
    <x v="10"/>
    <x v="10"/>
    <n v="5520"/>
    <n v="120"/>
    <n v="938.40000000000009"/>
    <x v="3"/>
  </r>
  <r>
    <d v="2022-04-21T00:00:00"/>
    <x v="10"/>
    <n v="16"/>
    <s v="JUEVES"/>
    <x v="68"/>
    <x v="52"/>
    <n v="500"/>
    <n v="250"/>
    <n v="210"/>
    <x v="3"/>
  </r>
  <r>
    <d v="2022-04-22T00:00:00"/>
    <x v="10"/>
    <n v="16"/>
    <s v="VIERNES"/>
    <x v="13"/>
    <x v="13"/>
    <n v="180"/>
    <n v="30"/>
    <n v="72"/>
    <x v="3"/>
  </r>
  <r>
    <d v="2022-04-22T00:00:00"/>
    <x v="10"/>
    <n v="16"/>
    <s v="VIERNES"/>
    <x v="15"/>
    <x v="15"/>
    <n v="50"/>
    <n v="50"/>
    <n v="20"/>
    <x v="3"/>
  </r>
  <r>
    <d v="2022-04-22T00:00:00"/>
    <x v="10"/>
    <n v="16"/>
    <s v="VIERNES"/>
    <x v="0"/>
    <x v="0"/>
    <n v="672"/>
    <n v="48"/>
    <n v="268.8"/>
    <x v="3"/>
  </r>
  <r>
    <d v="2022-04-22T00:00:00"/>
    <x v="10"/>
    <n v="16"/>
    <s v="VIERNES"/>
    <x v="1"/>
    <x v="1"/>
    <n v="3240"/>
    <n v="198"/>
    <n v="550.80000000000007"/>
    <x v="3"/>
  </r>
  <r>
    <d v="2022-04-22T00:00:00"/>
    <x v="10"/>
    <n v="16"/>
    <s v="VIERNES"/>
    <x v="2"/>
    <x v="2"/>
    <n v="2160"/>
    <n v="198"/>
    <n v="367.20000000000005"/>
    <x v="3"/>
  </r>
  <r>
    <d v="2022-04-22T00:00:00"/>
    <x v="10"/>
    <n v="16"/>
    <s v="VIERNES"/>
    <x v="22"/>
    <x v="22"/>
    <n v="792"/>
    <n v="198"/>
    <n v="134.64000000000001"/>
    <x v="3"/>
  </r>
  <r>
    <d v="2022-04-22T00:00:00"/>
    <x v="10"/>
    <n v="16"/>
    <s v="VIERNES"/>
    <x v="8"/>
    <x v="8"/>
    <n v="648"/>
    <n v="198"/>
    <n v="110.16000000000001"/>
    <x v="3"/>
  </r>
  <r>
    <d v="2022-04-22T00:00:00"/>
    <x v="10"/>
    <n v="16"/>
    <s v="VIERNES"/>
    <x v="9"/>
    <x v="9"/>
    <n v="1440"/>
    <n v="90"/>
    <n v="244.8"/>
    <x v="3"/>
  </r>
  <r>
    <d v="2022-04-22T00:00:00"/>
    <x v="10"/>
    <n v="16"/>
    <s v="VIERNES"/>
    <x v="11"/>
    <x v="11"/>
    <n v="2160"/>
    <n v="90"/>
    <n v="367.20000000000005"/>
    <x v="3"/>
  </r>
  <r>
    <d v="2022-04-22T00:00:00"/>
    <x v="10"/>
    <n v="16"/>
    <s v="VIERNES"/>
    <x v="25"/>
    <x v="25"/>
    <n v="2700"/>
    <n v="225"/>
    <n v="1134"/>
    <x v="3"/>
  </r>
  <r>
    <d v="2022-04-22T00:00:00"/>
    <x v="10"/>
    <n v="16"/>
    <s v="VIERNES"/>
    <x v="12"/>
    <x v="12"/>
    <n v="450"/>
    <n v="225"/>
    <n v="180"/>
    <x v="3"/>
  </r>
  <r>
    <d v="2022-04-22T00:00:00"/>
    <x v="10"/>
    <n v="16"/>
    <s v="VIERNES"/>
    <x v="19"/>
    <x v="19"/>
    <n v="450"/>
    <n v="225"/>
    <n v="180"/>
    <x v="3"/>
  </r>
  <r>
    <d v="2022-04-22T00:00:00"/>
    <x v="10"/>
    <n v="16"/>
    <s v="VIERNES"/>
    <x v="13"/>
    <x v="13"/>
    <n v="120"/>
    <n v="30"/>
    <n v="48"/>
    <x v="3"/>
  </r>
  <r>
    <d v="2022-04-22T00:00:00"/>
    <x v="10"/>
    <n v="16"/>
    <s v="VIERNES"/>
    <x v="15"/>
    <x v="15"/>
    <n v="350"/>
    <n v="50"/>
    <n v="140"/>
    <x v="3"/>
  </r>
  <r>
    <d v="2022-04-22T00:00:00"/>
    <x v="10"/>
    <n v="16"/>
    <s v="VIERNES"/>
    <x v="0"/>
    <x v="0"/>
    <n v="288"/>
    <n v="48"/>
    <n v="115.2"/>
    <x v="3"/>
  </r>
  <r>
    <d v="2022-04-22T00:00:00"/>
    <x v="10"/>
    <n v="16"/>
    <s v="VIERNES"/>
    <x v="3"/>
    <x v="3"/>
    <n v="1782"/>
    <n v="198"/>
    <n v="302.94"/>
    <x v="3"/>
  </r>
  <r>
    <d v="2022-04-22T00:00:00"/>
    <x v="10"/>
    <n v="16"/>
    <s v="VIERNES"/>
    <x v="8"/>
    <x v="8"/>
    <n v="1512"/>
    <n v="198"/>
    <n v="257.04000000000002"/>
    <x v="3"/>
  </r>
  <r>
    <d v="2022-04-22T00:00:00"/>
    <x v="10"/>
    <n v="16"/>
    <s v="VIERNES"/>
    <x v="25"/>
    <x v="25"/>
    <n v="450"/>
    <n v="225"/>
    <n v="189"/>
    <x v="3"/>
  </r>
  <r>
    <d v="2022-04-22T00:00:00"/>
    <x v="10"/>
    <n v="16"/>
    <s v="VIERNES"/>
    <x v="12"/>
    <x v="12"/>
    <n v="1800"/>
    <n v="225"/>
    <n v="720"/>
    <x v="3"/>
  </r>
  <r>
    <d v="2022-04-22T00:00:00"/>
    <x v="10"/>
    <n v="16"/>
    <s v="VIERNES"/>
    <x v="64"/>
    <x v="48"/>
    <n v="330"/>
    <n v="30"/>
    <n v="69.3"/>
    <x v="3"/>
  </r>
  <r>
    <d v="2022-04-23T00:00:00"/>
    <x v="10"/>
    <n v="17"/>
    <s v="SÁBADO"/>
    <x v="16"/>
    <x v="16"/>
    <n v="1440"/>
    <n v="180"/>
    <n v="604.79999999999995"/>
    <x v="3"/>
  </r>
  <r>
    <d v="2022-04-23T00:00:00"/>
    <x v="10"/>
    <n v="17"/>
    <s v="SÁBADO"/>
    <x v="19"/>
    <x v="19"/>
    <n v="3150"/>
    <n v="225"/>
    <n v="1260"/>
    <x v="3"/>
  </r>
  <r>
    <d v="2022-04-23T00:00:00"/>
    <x v="10"/>
    <n v="17"/>
    <s v="SÁBADO"/>
    <x v="64"/>
    <x v="48"/>
    <n v="630"/>
    <n v="30"/>
    <n v="132.29999999999998"/>
    <x v="3"/>
  </r>
  <r>
    <d v="2022-04-23T00:00:00"/>
    <x v="10"/>
    <n v="17"/>
    <s v="SÁBADO"/>
    <x v="68"/>
    <x v="52"/>
    <n v="2000"/>
    <n v="250"/>
    <n v="840"/>
    <x v="3"/>
  </r>
  <r>
    <d v="2022-04-23T00:00:00"/>
    <x v="10"/>
    <n v="17"/>
    <s v="SÁBADO"/>
    <x v="12"/>
    <x v="12"/>
    <n v="1350"/>
    <n v="225"/>
    <n v="540"/>
    <x v="3"/>
  </r>
  <r>
    <d v="2022-04-23T00:00:00"/>
    <x v="10"/>
    <n v="17"/>
    <s v="SÁBADO"/>
    <x v="28"/>
    <x v="28"/>
    <n v="270"/>
    <n v="30"/>
    <n v="62.1"/>
    <x v="3"/>
  </r>
  <r>
    <d v="2022-04-23T00:00:00"/>
    <x v="10"/>
    <n v="17"/>
    <s v="SÁBADO"/>
    <x v="14"/>
    <x v="14"/>
    <n v="80"/>
    <n v="40"/>
    <n v="18.400000000000002"/>
    <x v="3"/>
  </r>
  <r>
    <d v="2022-04-23T00:00:00"/>
    <x v="10"/>
    <n v="17"/>
    <s v="SÁBADO"/>
    <x v="38"/>
    <x v="38"/>
    <n v="336"/>
    <n v="112"/>
    <n v="134.4"/>
    <x v="3"/>
  </r>
  <r>
    <d v="2022-04-23T00:00:00"/>
    <x v="10"/>
    <n v="17"/>
    <s v="SÁBADO"/>
    <x v="0"/>
    <x v="0"/>
    <n v="960"/>
    <n v="48"/>
    <n v="384"/>
    <x v="3"/>
  </r>
  <r>
    <d v="2022-04-23T00:00:00"/>
    <x v="10"/>
    <n v="17"/>
    <s v="SÁBADO"/>
    <x v="16"/>
    <x v="16"/>
    <n v="1080"/>
    <n v="180"/>
    <n v="453.59999999999997"/>
    <x v="3"/>
  </r>
  <r>
    <d v="2022-04-23T00:00:00"/>
    <x v="10"/>
    <n v="17"/>
    <s v="SÁBADO"/>
    <x v="1"/>
    <x v="1"/>
    <n v="1944"/>
    <n v="198"/>
    <n v="330.48"/>
    <x v="3"/>
  </r>
  <r>
    <d v="2022-04-23T00:00:00"/>
    <x v="10"/>
    <n v="17"/>
    <s v="SÁBADO"/>
    <x v="2"/>
    <x v="2"/>
    <n v="2160"/>
    <n v="198"/>
    <n v="367.20000000000005"/>
    <x v="3"/>
  </r>
  <r>
    <d v="2022-04-23T00:00:00"/>
    <x v="10"/>
    <n v="17"/>
    <s v="SÁBADO"/>
    <x v="34"/>
    <x v="34"/>
    <n v="432"/>
    <n v="198"/>
    <n v="73.440000000000012"/>
    <x v="3"/>
  </r>
  <r>
    <d v="2022-04-23T00:00:00"/>
    <x v="10"/>
    <n v="17"/>
    <s v="SÁBADO"/>
    <x v="29"/>
    <x v="29"/>
    <n v="432"/>
    <n v="198"/>
    <n v="73.440000000000012"/>
    <x v="3"/>
  </r>
  <r>
    <d v="2022-04-23T00:00:00"/>
    <x v="10"/>
    <n v="17"/>
    <s v="SÁBADO"/>
    <x v="22"/>
    <x v="22"/>
    <n v="396"/>
    <n v="198"/>
    <n v="67.320000000000007"/>
    <x v="3"/>
  </r>
  <r>
    <d v="2022-04-23T00:00:00"/>
    <x v="10"/>
    <n v="17"/>
    <s v="SÁBADO"/>
    <x v="3"/>
    <x v="3"/>
    <n v="1386"/>
    <n v="198"/>
    <n v="235.62"/>
    <x v="3"/>
  </r>
  <r>
    <d v="2022-04-23T00:00:00"/>
    <x v="10"/>
    <n v="17"/>
    <s v="SÁBADO"/>
    <x v="17"/>
    <x v="17"/>
    <n v="960"/>
    <n v="120"/>
    <n v="163.20000000000002"/>
    <x v="3"/>
  </r>
  <r>
    <d v="2022-04-23T00:00:00"/>
    <x v="10"/>
    <n v="17"/>
    <s v="SÁBADO"/>
    <x v="26"/>
    <x v="26"/>
    <n v="900"/>
    <n v="90"/>
    <n v="153"/>
    <x v="3"/>
  </r>
  <r>
    <d v="2022-04-23T00:00:00"/>
    <x v="10"/>
    <n v="17"/>
    <s v="SÁBADO"/>
    <x v="23"/>
    <x v="23"/>
    <n v="1800"/>
    <n v="90"/>
    <n v="306"/>
    <x v="3"/>
  </r>
  <r>
    <d v="2022-04-23T00:00:00"/>
    <x v="10"/>
    <n v="17"/>
    <s v="SÁBADO"/>
    <x v="12"/>
    <x v="12"/>
    <n v="675"/>
    <n v="225"/>
    <n v="270"/>
    <x v="3"/>
  </r>
  <r>
    <d v="2022-04-23T00:00:00"/>
    <x v="10"/>
    <n v="17"/>
    <s v="SÁBADO"/>
    <x v="42"/>
    <x v="42"/>
    <n v="750"/>
    <n v="420"/>
    <n v="315"/>
    <x v="3"/>
  </r>
  <r>
    <d v="2022-04-23T00:00:00"/>
    <x v="10"/>
    <n v="17"/>
    <s v="SÁBADO"/>
    <x v="43"/>
    <x v="43"/>
    <n v="500"/>
    <n v="420"/>
    <n v="210"/>
    <x v="3"/>
  </r>
  <r>
    <d v="2022-04-23T00:00:00"/>
    <x v="10"/>
    <n v="17"/>
    <s v="SÁBADO"/>
    <x v="1"/>
    <x v="1"/>
    <n v="1296"/>
    <n v="198"/>
    <n v="220.32000000000002"/>
    <x v="3"/>
  </r>
  <r>
    <d v="2022-04-23T00:00:00"/>
    <x v="10"/>
    <n v="17"/>
    <s v="SÁBADO"/>
    <x v="22"/>
    <x v="22"/>
    <n v="1188"/>
    <n v="198"/>
    <n v="201.96"/>
    <x v="3"/>
  </r>
  <r>
    <d v="2022-04-23T00:00:00"/>
    <x v="10"/>
    <n v="17"/>
    <s v="SÁBADO"/>
    <x v="6"/>
    <x v="6"/>
    <n v="2400"/>
    <n v="120"/>
    <n v="408.00000000000006"/>
    <x v="3"/>
  </r>
  <r>
    <d v="2022-04-23T00:00:00"/>
    <x v="10"/>
    <n v="17"/>
    <s v="SÁBADO"/>
    <x v="17"/>
    <x v="17"/>
    <n v="480"/>
    <n v="120"/>
    <n v="81.600000000000009"/>
    <x v="3"/>
  </r>
  <r>
    <d v="2022-04-23T00:00:00"/>
    <x v="10"/>
    <n v="17"/>
    <s v="SÁBADO"/>
    <x v="68"/>
    <x v="52"/>
    <n v="2000"/>
    <n v="250"/>
    <n v="840"/>
    <x v="3"/>
  </r>
  <r>
    <d v="2022-04-24T00:00:00"/>
    <x v="10"/>
    <n v="17"/>
    <s v="DOMINGO"/>
    <x v="64"/>
    <x v="48"/>
    <n v="960"/>
    <n v="30"/>
    <n v="201.6"/>
    <x v="3"/>
  </r>
  <r>
    <d v="2022-04-24T00:00:00"/>
    <x v="10"/>
    <n v="17"/>
    <s v="DOMINGO"/>
    <x v="68"/>
    <x v="52"/>
    <n v="500"/>
    <n v="250"/>
    <n v="210"/>
    <x v="3"/>
  </r>
  <r>
    <d v="2022-04-24T00:00:00"/>
    <x v="10"/>
    <n v="17"/>
    <s v="DOMINGO"/>
    <x v="69"/>
    <x v="53"/>
    <n v="300"/>
    <n v="60"/>
    <n v="206.99999999999997"/>
    <x v="3"/>
  </r>
  <r>
    <d v="2022-04-24T00:00:00"/>
    <x v="10"/>
    <n v="17"/>
    <s v="DOMINGO"/>
    <x v="17"/>
    <x v="17"/>
    <n v="2400"/>
    <n v="120"/>
    <n v="408.00000000000006"/>
    <x v="3"/>
  </r>
  <r>
    <d v="2022-04-24T00:00:00"/>
    <x v="10"/>
    <n v="17"/>
    <s v="DOMINGO"/>
    <x v="10"/>
    <x v="10"/>
    <n v="1440"/>
    <n v="120"/>
    <n v="244.8"/>
    <x v="3"/>
  </r>
  <r>
    <d v="2022-04-24T00:00:00"/>
    <x v="10"/>
    <n v="17"/>
    <s v="DOMINGO"/>
    <x v="26"/>
    <x v="26"/>
    <n v="1890"/>
    <n v="90"/>
    <n v="321.3"/>
    <x v="3"/>
  </r>
  <r>
    <d v="2022-04-24T00:00:00"/>
    <x v="10"/>
    <n v="17"/>
    <s v="DOMINGO"/>
    <x v="23"/>
    <x v="23"/>
    <n v="3600"/>
    <n v="90"/>
    <n v="612"/>
    <x v="3"/>
  </r>
  <r>
    <d v="2022-04-25T00:00:00"/>
    <x v="10"/>
    <n v="17"/>
    <s v="LUNES"/>
    <x v="0"/>
    <x v="0"/>
    <n v="768"/>
    <n v="48"/>
    <n v="307.20000000000005"/>
    <x v="3"/>
  </r>
  <r>
    <d v="2022-04-25T00:00:00"/>
    <x v="10"/>
    <n v="17"/>
    <s v="LUNES"/>
    <x v="1"/>
    <x v="1"/>
    <n v="2160"/>
    <n v="198"/>
    <n v="367.20000000000005"/>
    <x v="3"/>
  </r>
  <r>
    <d v="2022-04-25T00:00:00"/>
    <x v="10"/>
    <n v="17"/>
    <s v="LUNES"/>
    <x v="2"/>
    <x v="2"/>
    <n v="594"/>
    <n v="198"/>
    <n v="100.98"/>
    <x v="3"/>
  </r>
  <r>
    <d v="2022-04-25T00:00:00"/>
    <x v="10"/>
    <n v="17"/>
    <s v="LUNES"/>
    <x v="22"/>
    <x v="22"/>
    <n v="594"/>
    <n v="198"/>
    <n v="100.98"/>
    <x v="3"/>
  </r>
  <r>
    <d v="2022-04-25T00:00:00"/>
    <x v="10"/>
    <n v="17"/>
    <s v="LUNES"/>
    <x v="3"/>
    <x v="3"/>
    <n v="1458"/>
    <n v="198"/>
    <n v="247.86"/>
    <x v="3"/>
  </r>
  <r>
    <d v="2022-04-25T00:00:00"/>
    <x v="10"/>
    <n v="17"/>
    <s v="LUNES"/>
    <x v="4"/>
    <x v="4"/>
    <n v="486"/>
    <n v="162"/>
    <n v="82.62"/>
    <x v="3"/>
  </r>
  <r>
    <d v="2022-04-25T00:00:00"/>
    <x v="10"/>
    <n v="17"/>
    <s v="LUNES"/>
    <x v="5"/>
    <x v="5"/>
    <n v="2160"/>
    <n v="162"/>
    <n v="367.20000000000005"/>
    <x v="3"/>
  </r>
  <r>
    <d v="2022-04-25T00:00:00"/>
    <x v="10"/>
    <n v="17"/>
    <s v="LUNES"/>
    <x v="7"/>
    <x v="7"/>
    <n v="2400"/>
    <n v="198"/>
    <n v="408.00000000000006"/>
    <x v="3"/>
  </r>
  <r>
    <d v="2022-04-25T00:00:00"/>
    <x v="10"/>
    <n v="17"/>
    <s v="LUNES"/>
    <x v="10"/>
    <x v="10"/>
    <n v="2500"/>
    <n v="120"/>
    <n v="425.00000000000006"/>
    <x v="3"/>
  </r>
  <r>
    <d v="2022-04-25T00:00:00"/>
    <x v="10"/>
    <n v="17"/>
    <s v="LUNES"/>
    <x v="68"/>
    <x v="52"/>
    <m/>
    <n v="250"/>
    <n v="0"/>
    <x v="3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5"/>
    <n v="1"/>
    <s v="SÁBADO"/>
    <x v="80"/>
    <x v="21"/>
    <m/>
    <n v="0"/>
    <n v="0"/>
    <x v="1"/>
  </r>
  <r>
    <m/>
    <x v="11"/>
    <m/>
    <m/>
    <x v="80"/>
    <x v="64"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859">
        <item m="1" x="590"/>
        <item m="1" x="1382"/>
        <item m="1" x="624"/>
        <item m="1" x="1416"/>
        <item m="1" x="653"/>
        <item m="1" x="1443"/>
        <item m="1" x="677"/>
        <item m="1" x="1473"/>
        <item m="1" x="1505"/>
        <item m="1" x="735"/>
        <item m="1" x="1538"/>
        <item m="1" x="767"/>
        <item m="1" x="1570"/>
        <item m="1" x="797"/>
        <item m="1" x="470"/>
        <item m="1" x="1254"/>
        <item m="1" x="492"/>
        <item m="1" x="1275"/>
        <item m="1" x="515"/>
        <item m="1" x="1303"/>
        <item m="1" x="1328"/>
        <item m="1" x="564"/>
        <item m="1" x="1357"/>
        <item m="1" x="596"/>
        <item m="1" x="1388"/>
        <item m="1" x="630"/>
        <item m="1" x="1477"/>
        <item m="1" x="709"/>
        <item m="1" x="1509"/>
        <item m="1" x="1541"/>
        <item m="1" x="1572"/>
        <item m="1" x="1602"/>
        <item m="1" x="833"/>
        <item m="1" x="861"/>
        <item m="1" x="1667"/>
        <item m="1" x="1281"/>
        <item m="1" x="1308"/>
        <item m="1" x="543"/>
        <item m="1" x="569"/>
        <item m="1" x="1362"/>
        <item m="1" x="602"/>
        <item m="1" x="1392"/>
        <item m="1" x="634"/>
        <item m="1" x="1425"/>
        <item m="1" x="1451"/>
        <item m="1" x="684"/>
        <item m="1" x="1481"/>
        <item m="1" x="713"/>
        <item m="1" x="1514"/>
        <item m="1" x="743"/>
        <item m="1" x="771"/>
        <item m="1" x="1574"/>
        <item m="1" x="801"/>
        <item m="1" x="1604"/>
        <item m="1" x="835"/>
        <item m="1" x="1633"/>
        <item m="1" x="1669"/>
        <item m="1" x="894"/>
        <item m="1" x="1702"/>
        <item m="1" x="925"/>
        <item m="1" x="1338"/>
        <item m="1" x="574"/>
        <item m="1" x="607"/>
        <item m="1" x="1396"/>
        <item m="1" x="637"/>
        <item m="1" x="1429"/>
        <item m="1" x="665"/>
        <item m="1" x="1456"/>
        <item m="1" x="1486"/>
        <item m="1" x="717"/>
        <item m="1" x="1517"/>
        <item m="1" x="747"/>
        <item m="1" x="1549"/>
        <item m="1" x="776"/>
        <item m="1" x="806"/>
        <item m="1" x="1606"/>
        <item m="1" x="838"/>
        <item m="1" x="1636"/>
        <item m="1" x="865"/>
        <item m="1" x="1672"/>
        <item m="1" x="1704"/>
        <item m="1" x="927"/>
        <item m="1" x="1732"/>
        <item m="1" x="955"/>
        <item m="1" x="1760"/>
        <item m="1" x="979"/>
        <item m="1" x="1400"/>
        <item m="1" x="641"/>
        <item m="1" x="1434"/>
        <item m="1" x="669"/>
        <item m="1" x="1461"/>
        <item m="1" x="693"/>
        <item m="1" x="721"/>
        <item m="1" x="1521"/>
        <item m="1" x="752"/>
        <item m="1" x="1553"/>
        <item m="1" x="781"/>
        <item m="1" x="1583"/>
        <item m="1" x="1611"/>
        <item m="1" x="842"/>
        <item m="1" x="1641"/>
        <item m="1" x="869"/>
        <item m="1" x="1677"/>
        <item m="1" x="899"/>
        <item m="1" x="1706"/>
        <item m="1" x="930"/>
        <item m="1" x="1734"/>
        <item m="1" x="957"/>
        <item m="1" x="1762"/>
        <item m="1" x="981"/>
        <item m="1" x="1787"/>
        <item m="1" x="1005"/>
        <item m="1" x="1813"/>
        <item m="1" x="1029"/>
        <item m="1" x="1835"/>
        <item m="1" x="1466"/>
        <item m="1" x="697"/>
        <item m="1" x="1495"/>
        <item m="1" x="726"/>
        <item m="1" x="1526"/>
        <item m="1" x="756"/>
        <item m="1" x="1557"/>
        <item m="1" x="786"/>
        <item m="1" x="1587"/>
        <item m="1" x="815"/>
        <item m="1" x="1616"/>
        <item m="1" x="847"/>
        <item m="1" x="1645"/>
        <item m="1" x="873"/>
        <item m="1" x="1682"/>
        <item m="1" x="903"/>
        <item m="1" x="1710"/>
        <item m="1" x="935"/>
        <item m="1" x="1738"/>
        <item m="1" x="959"/>
        <item m="1" x="1764"/>
        <item m="1" x="985"/>
        <item m="1" x="1791"/>
        <item m="1" x="1007"/>
        <item m="1" x="1815"/>
        <item m="1" x="1031"/>
        <item m="1" x="1837"/>
        <item m="1" x="1050"/>
        <item m="1" x="293"/>
        <item m="1" x="1069"/>
        <item m="1" x="1530"/>
        <item m="1" x="761"/>
        <item m="1" x="1561"/>
        <item m="1" x="790"/>
        <item m="1" x="1592"/>
        <item m="1" x="820"/>
        <item m="1" x="1620"/>
        <item m="1" x="851"/>
        <item m="1" x="1650"/>
        <item m="1" x="877"/>
        <item m="1" x="1686"/>
        <item m="1" x="908"/>
        <item m="1" x="1715"/>
        <item m="1" x="939"/>
        <item m="1" x="1743"/>
        <item m="1" x="963"/>
        <item m="1" x="1768"/>
        <item m="1" x="989"/>
        <item m="1" x="1796"/>
        <item m="1" x="1011"/>
        <item m="1" x="1819"/>
        <item m="1" x="1033"/>
        <item m="1" x="1841"/>
        <item m="1" x="1052"/>
        <item m="1" x="295"/>
        <item m="1" x="1071"/>
        <item m="1" x="310"/>
        <item m="1" x="1087"/>
        <item m="1" x="324"/>
        <item m="1" x="1100"/>
        <item m="1" x="343"/>
        <item m="1" x="1596"/>
        <item m="1" x="825"/>
        <item m="1" x="1625"/>
        <item m="1" x="855"/>
        <item m="1" x="1655"/>
        <item m="1" x="882"/>
        <item m="1" x="1690"/>
        <item m="1" x="912"/>
        <item m="1" x="1720"/>
        <item m="1" x="944"/>
        <item m="1" x="1747"/>
        <item m="1" x="968"/>
        <item m="1" x="1773"/>
        <item m="1" x="993"/>
        <item m="1" x="1800"/>
        <item m="1" x="1016"/>
        <item m="1" x="1824"/>
        <item m="1" x="1037"/>
        <item m="1" x="1846"/>
        <item m="1" x="1056"/>
        <item m="1" x="298"/>
        <item m="1" x="1074"/>
        <item m="1" x="312"/>
        <item m="1" x="1089"/>
        <item m="1" x="326"/>
        <item m="1" x="1102"/>
        <item m="1" x="345"/>
        <item m="1" x="1118"/>
        <item m="1" x="363"/>
        <item m="1" x="1136"/>
        <item m="1" x="1659"/>
        <item m="1" x="886"/>
        <item m="1" x="1695"/>
        <item m="1" x="917"/>
        <item m="1" x="1723"/>
        <item m="1" x="948"/>
        <item m="1" x="1752"/>
        <item m="1" x="972"/>
        <item m="1" x="1778"/>
        <item m="1" x="998"/>
        <item m="1" x="1805"/>
        <item m="1" x="1020"/>
        <item m="1" x="1828"/>
        <item m="1" x="1042"/>
        <item m="1" x="1850"/>
        <item m="1" x="1061"/>
        <item m="1" x="303"/>
        <item m="1" x="1079"/>
        <item m="1" x="315"/>
        <item m="1" x="1092"/>
        <item m="1" x="330"/>
        <item m="1" x="1106"/>
        <item m="1" x="349"/>
        <item m="1" x="1120"/>
        <item m="1" x="365"/>
        <item m="1" x="1138"/>
        <item m="1" x="376"/>
        <item m="1" x="1154"/>
        <item m="1" x="389"/>
        <item m="1" x="1173"/>
        <item m="1" x="407"/>
        <item m="1" x="1099"/>
        <item m="1" x="338"/>
        <item m="1" x="1114"/>
        <item m="1" x="358"/>
        <item m="1" x="1127"/>
        <item m="1" x="368"/>
        <item m="1" x="1146"/>
        <item m="1" x="380"/>
        <item m="1" x="1159"/>
        <item m="1" x="393"/>
        <item m="1" x="1178"/>
        <item m="1" x="411"/>
        <item m="1" x="1191"/>
        <item m="1" x="425"/>
        <item m="1" x="1206"/>
        <item m="1" x="441"/>
        <item m="1" x="1223"/>
        <item m="1" x="458"/>
        <item m="1" x="1242"/>
        <item m="1" x="480"/>
        <item m="1" x="1263"/>
        <item m="1" x="502"/>
        <item m="1" x="1289"/>
        <item m="1" x="525"/>
        <item m="1" x="1316"/>
        <item m="1" x="552"/>
        <item m="1" x="1345"/>
        <item m="1" x="583"/>
        <item m="1" x="1374"/>
        <item m="1" x="616"/>
        <item m="1" x="1408"/>
        <item m="1" x="1129"/>
        <item m="1" x="370"/>
        <item m="1" x="1147"/>
        <item m="1" x="382"/>
        <item m="1" x="1161"/>
        <item m="1" x="395"/>
        <item m="1" x="1180"/>
        <item m="1" x="413"/>
        <item m="1" x="1193"/>
        <item m="1" x="426"/>
        <item m="1" x="1208"/>
        <item m="1" x="443"/>
        <item m="1" x="1225"/>
        <item m="1" x="460"/>
        <item m="1" x="1244"/>
        <item m="1" x="482"/>
        <item m="1" x="1264"/>
        <item m="1" x="504"/>
        <item m="1" x="1291"/>
        <item m="1" x="527"/>
        <item m="1" x="1318"/>
        <item m="1" x="554"/>
        <item m="1" x="1347"/>
        <item m="1" x="584"/>
        <item m="1" x="1376"/>
        <item m="1" x="618"/>
        <item m="1" x="1410"/>
        <item m="1" x="649"/>
        <item m="1" x="1165"/>
        <item m="1" x="399"/>
        <item m="1" x="1184"/>
        <item m="1" x="416"/>
        <item m="1" x="1196"/>
        <item m="1" x="430"/>
        <item m="1" x="1211"/>
        <item m="1" x="447"/>
        <item m="1" x="1229"/>
        <item m="1" x="464"/>
        <item m="1" x="1247"/>
        <item m="1" x="485"/>
        <item m="1" x="1268"/>
        <item m="1" x="507"/>
        <item m="1" x="1295"/>
        <item m="1" x="531"/>
        <item m="1" x="1322"/>
        <item m="1" x="557"/>
        <item m="1" x="1350"/>
        <item m="1" x="588"/>
        <item m="1" x="1379"/>
        <item m="1" x="622"/>
        <item m="1" x="1414"/>
        <item m="1" x="651"/>
        <item m="1" x="1442"/>
        <item m="1" x="676"/>
        <item m="1" x="1472"/>
        <item m="1" x="705"/>
        <item m="1" x="1504"/>
        <item m="1" x="734"/>
        <item m="1" x="1537"/>
        <item m="1" x="1200"/>
        <item m="1" x="434"/>
        <item m="1" x="1216"/>
        <item m="1" x="452"/>
        <item m="1" x="1233"/>
        <item m="1" x="469"/>
        <item m="1" x="1251"/>
        <item m="1" x="489"/>
        <item m="1" x="1272"/>
        <item m="1" x="512"/>
        <item m="1" x="1300"/>
        <item m="1" x="535"/>
        <item m="1" x="1327"/>
        <item m="1" x="561"/>
        <item m="1" x="1354"/>
        <item m="1" x="593"/>
        <item m="1" x="1385"/>
        <item m="1" x="627"/>
        <item m="1" x="1419"/>
        <item m="1" x="656"/>
        <item m="1" x="1445"/>
        <item m="1" x="679"/>
        <item m="1" x="1475"/>
        <item m="1" x="707"/>
        <item m="1" x="1507"/>
        <item m="1" x="736"/>
        <item m="1" x="1540"/>
        <item m="1" x="768"/>
        <item m="1" x="1571"/>
        <item m="1" x="798"/>
        <item m="1" x="1238"/>
        <item m="1" x="473"/>
        <item m="1" x="1257"/>
        <item m="1" x="494"/>
        <item m="1" x="1278"/>
        <item m="1" x="518"/>
        <item m="1" x="1305"/>
        <item m="1" x="540"/>
        <item m="1" x="1331"/>
        <item m="1" x="567"/>
        <item m="1" x="1359"/>
        <item m="1" x="599"/>
        <item m="1" x="1390"/>
        <item m="1" x="632"/>
        <item m="1" x="1423"/>
        <item m="1" x="658"/>
        <item m="1" x="1449"/>
        <item m="1" x="681"/>
        <item m="1" x="1478"/>
        <item m="1" x="711"/>
        <item m="1" x="1511"/>
        <item m="1" x="740"/>
        <item m="1" x="1543"/>
        <item m="1" x="770"/>
        <item m="1" x="1573"/>
        <item m="1" x="800"/>
        <item m="1" x="1603"/>
        <item m="1" x="834"/>
        <item m="1" x="1632"/>
        <item m="1" x="862"/>
        <item m="1" x="1668"/>
        <item m="1" x="1283"/>
        <item m="1" x="520"/>
        <item m="1" x="1311"/>
        <item m="1" x="545"/>
        <item m="1" x="1336"/>
        <item m="1" x="572"/>
        <item m="1" x="1365"/>
        <item m="1" x="605"/>
        <item m="1" x="1394"/>
        <item m="1" x="636"/>
        <item m="1" x="1427"/>
        <item m="1" x="663"/>
        <item m="1" x="1454"/>
        <item m="1" x="687"/>
        <item m="1" x="1484"/>
        <item m="1" x="715"/>
        <item m="1" x="1516"/>
        <item m="1" x="745"/>
        <item m="1" x="1548"/>
        <item m="1" x="774"/>
        <item m="1" x="1577"/>
        <item m="1" x="804"/>
        <item m="1" x="1605"/>
        <item m="1" x="837"/>
        <item m="1" x="1635"/>
        <item m="1" x="864"/>
        <item m="1" x="1671"/>
        <item m="1" x="895"/>
        <item m="1" x="1703"/>
        <item m="1" x="926"/>
        <item x="292"/>
        <item m="1" x="1340"/>
        <item m="1" x="576"/>
        <item m="1" x="1368"/>
        <item m="1" x="609"/>
        <item m="1" x="1398"/>
        <item m="1" x="638"/>
        <item m="1" x="1431"/>
        <item m="1" x="667"/>
        <item m="1" x="1458"/>
        <item m="1" x="690"/>
        <item m="1" x="1488"/>
        <item m="1" x="719"/>
        <item m="1" x="1518"/>
        <item m="1" x="749"/>
        <item m="1" x="1551"/>
        <item m="1" x="778"/>
        <item m="1" x="1580"/>
        <item m="1" x="808"/>
        <item m="1" x="1608"/>
        <item m="1" x="839"/>
        <item m="1" x="1638"/>
        <item m="1" x="867"/>
        <item m="1" x="1674"/>
        <item m="1" x="897"/>
        <item m="1" x="1705"/>
        <item m="1" x="929"/>
        <item m="1" x="1733"/>
        <item m="1" x="956"/>
        <item m="1" x="1761"/>
        <item m="1" x="980"/>
        <item m="1" x="1786"/>
        <item m="1" x="1403"/>
        <item m="1" x="644"/>
        <item m="1" x="1437"/>
        <item m="1" x="671"/>
        <item m="1" x="1464"/>
        <item m="1" x="695"/>
        <item m="1" x="1493"/>
        <item m="1" x="724"/>
        <item m="1" x="1524"/>
        <item m="1" x="755"/>
        <item m="1" x="1555"/>
        <item m="1" x="784"/>
        <item m="1" x="1585"/>
        <item m="1" x="813"/>
        <item m="1" x="1614"/>
        <item m="1" x="845"/>
        <item m="1" x="1644"/>
        <item m="1" x="871"/>
        <item m="1" x="1680"/>
        <item m="1" x="901"/>
        <item m="1" x="1708"/>
        <item m="1" x="933"/>
        <item m="1" x="1736"/>
        <item m="1" x="958"/>
        <item m="1" x="1763"/>
        <item m="1" x="983"/>
        <item m="1" x="1789"/>
        <item m="1" x="1006"/>
        <item m="1" x="1814"/>
        <item m="1" x="1030"/>
        <item m="1" x="1836"/>
        <item m="1" x="1468"/>
        <item m="1" x="700"/>
        <item m="1" x="1498"/>
        <item m="1" x="728"/>
        <item m="1" x="1528"/>
        <item m="1" x="759"/>
        <item m="1" x="1560"/>
        <item m="1" x="788"/>
        <item m="1" x="1590"/>
        <item m="1" x="818"/>
        <item m="1" x="1618"/>
        <item m="1" x="849"/>
        <item m="1" x="1648"/>
        <item m="1" x="876"/>
        <item m="1" x="1684"/>
        <item m="1" x="906"/>
        <item m="1" x="1713"/>
        <item m="1" x="937"/>
        <item m="1" x="1741"/>
        <item m="1" x="961"/>
        <item m="1" x="1767"/>
        <item m="1" x="987"/>
        <item m="1" x="1794"/>
        <item m="1" x="1009"/>
        <item m="1" x="1817"/>
        <item m="1" x="1032"/>
        <item m="1" x="1839"/>
        <item m="1" x="1051"/>
        <item m="1" x="294"/>
        <item m="1" x="1070"/>
        <item m="1" x="1532"/>
        <item m="1" x="762"/>
        <item m="1" x="1564"/>
        <item m="1" x="793"/>
        <item m="1" x="1594"/>
        <item m="1" x="823"/>
        <item m="1" x="1623"/>
        <item m="1" x="853"/>
        <item m="1" x="1653"/>
        <item m="1" x="880"/>
        <item m="1" x="1689"/>
        <item m="1" x="910"/>
        <item m="1" x="1718"/>
        <item m="1" x="942"/>
        <item m="1" x="1745"/>
        <item m="1" x="966"/>
        <item m="1" x="1771"/>
        <item m="1" x="992"/>
        <item m="1" x="1798"/>
        <item m="1" x="1014"/>
        <item m="1" x="1822"/>
        <item m="1" x="1035"/>
        <item m="1" x="1844"/>
        <item m="1" x="1054"/>
        <item m="1" x="297"/>
        <item m="1" x="1072"/>
        <item m="1" x="311"/>
        <item m="1" x="1088"/>
        <item m="1" x="325"/>
        <item m="1" x="1101"/>
        <item m="1" x="344"/>
        <item m="1" x="1599"/>
        <item m="1" x="828"/>
        <item m="1" x="1627"/>
        <item m="1" x="857"/>
        <item m="1" x="1657"/>
        <item m="1" x="884"/>
        <item m="1" x="1693"/>
        <item m="1" x="915"/>
        <item m="1" x="1722"/>
        <item m="1" x="946"/>
        <item m="1" x="1750"/>
        <item m="1" x="970"/>
        <item m="1" x="1776"/>
        <item m="1" x="996"/>
        <item m="1" x="1803"/>
        <item m="1" x="1019"/>
        <item m="1" x="1826"/>
        <item m="1" x="1040"/>
        <item m="1" x="1848"/>
        <item m="1" x="1059"/>
        <item m="1" x="301"/>
        <item m="1" x="1077"/>
        <item m="1" x="314"/>
        <item m="1" x="1090"/>
        <item m="1" x="328"/>
        <item m="1" x="1104"/>
        <item m="1" x="347"/>
        <item m="1" x="1119"/>
        <item m="1" x="364"/>
        <item m="1" x="1137"/>
        <item m="1" x="1662"/>
        <item m="1" x="889"/>
        <item m="1" x="920"/>
        <item m="1" x="1726"/>
        <item m="1" x="951"/>
        <item m="1" x="1754"/>
        <item m="1" x="1781"/>
        <item m="1" x="1808"/>
        <item m="1" x="1023"/>
        <item m="1" x="1831"/>
        <item m="1" x="1044"/>
        <item m="1" x="1853"/>
        <item m="1" x="1064"/>
        <item m="1" x="1082"/>
        <item m="1" x="318"/>
        <item m="1" x="1095"/>
        <item m="1" x="332"/>
        <item m="1" x="1109"/>
        <item m="1" x="352"/>
        <item m="1" x="1140"/>
        <item m="1" x="377"/>
        <item m="1" x="1155"/>
        <item m="1" x="390"/>
        <item m="1" x="1174"/>
        <item m="1" x="339"/>
        <item m="1" x="1115"/>
        <item m="1" x="359"/>
        <item m="1" x="1128"/>
        <item m="1" x="369"/>
        <item m="1" x="381"/>
        <item m="1" x="1160"/>
        <item m="1" x="394"/>
        <item m="1" x="1179"/>
        <item m="1" x="412"/>
        <item m="1" x="1192"/>
        <item m="1" x="1207"/>
        <item m="1" x="442"/>
        <item m="1" x="1224"/>
        <item m="1" x="459"/>
        <item m="1" x="1243"/>
        <item m="1" x="481"/>
        <item m="1" x="503"/>
        <item m="1" x="1290"/>
        <item m="1" x="526"/>
        <item m="1" x="1317"/>
        <item m="1" x="553"/>
        <item m="1" x="1346"/>
        <item m="1" x="1375"/>
        <item m="1" x="617"/>
        <item m="1" x="1409"/>
        <item m="1" x="1131"/>
        <item m="1" x="371"/>
        <item m="1" x="1149"/>
        <item m="1" x="1163"/>
        <item m="1" x="397"/>
        <item m="1" x="1182"/>
        <item m="1" x="415"/>
        <item m="1" x="1194"/>
        <item m="1" x="428"/>
        <item m="1" x="445"/>
        <item m="1" x="1227"/>
        <item m="1" x="462"/>
        <item m="1" x="1246"/>
        <item m="1" x="483"/>
        <item m="1" x="1266"/>
        <item m="1" x="1293"/>
        <item m="1" x="529"/>
        <item m="1" x="1320"/>
        <item m="1" x="556"/>
        <item m="1" x="1348"/>
        <item m="1" x="586"/>
        <item m="1" x="620"/>
        <item m="1" x="1412"/>
        <item m="1" x="650"/>
        <item m="1" x="1168"/>
        <item m="1" x="401"/>
        <item m="1" x="1187"/>
        <item m="1" x="419"/>
        <item m="1" x="1199"/>
        <item m="1" x="432"/>
        <item m="1" x="1214"/>
        <item m="1" x="450"/>
        <item m="1" x="1231"/>
        <item m="1" x="467"/>
        <item m="1" x="488"/>
        <item m="1" x="1270"/>
        <item m="1" x="510"/>
        <item m="1" x="1298"/>
        <item m="1" x="533"/>
        <item m="1" x="1325"/>
        <item m="1" x="1353"/>
        <item m="1" x="591"/>
        <item m="1" x="1383"/>
        <item m="1" x="625"/>
        <item m="1" x="1417"/>
        <item m="1" x="654"/>
        <item m="1" x="678"/>
        <item m="1" x="1474"/>
        <item m="1" x="706"/>
        <item m="1" x="1506"/>
        <item m="1" x="1539"/>
        <item m="1" x="437"/>
        <item m="1" x="1219"/>
        <item m="1" x="455"/>
        <item m="1" x="1236"/>
        <item m="1" x="471"/>
        <item m="1" x="1255"/>
        <item m="1" x="1276"/>
        <item m="1" x="516"/>
        <item m="1" x="1304"/>
        <item m="1" x="538"/>
        <item m="1" x="1329"/>
        <item m="1" x="565"/>
        <item m="1" x="597"/>
        <item m="1" x="1389"/>
        <item m="1" x="631"/>
        <item m="1" x="1422"/>
        <item m="1" x="657"/>
        <item m="1" x="1447"/>
        <item m="1" x="710"/>
        <item m="1" x="1510"/>
        <item m="1" x="738"/>
        <item m="1" x="1542"/>
        <item m="1" x="769"/>
        <item m="1" x="799"/>
        <item m="1" x="476"/>
        <item m="1" x="1259"/>
        <item m="1" x="497"/>
        <item m="1" x="1282"/>
        <item m="1" x="1309"/>
        <item m="1" x="635"/>
        <item m="1" x="544"/>
        <item m="1" x="1334"/>
        <item m="1" x="570"/>
        <item m="1" x="1363"/>
        <item m="1" x="603"/>
        <item m="1" x="1426"/>
        <item m="1" x="661"/>
        <item m="1" x="1452"/>
        <item m="1" x="685"/>
        <item m="1" x="1482"/>
        <item m="1" x="1515"/>
        <item m="1" x="744"/>
        <item m="1" x="1546"/>
        <item m="1" x="772"/>
        <item m="1" x="1575"/>
        <item m="1" x="802"/>
        <item m="1" x="836"/>
        <item m="1" x="1634"/>
        <item m="1" x="863"/>
        <item m="1" x="1670"/>
        <item m="1" x="521"/>
        <item m="1" x="547"/>
        <item m="1" x="1339"/>
        <item m="1" x="575"/>
        <item m="1" x="1367"/>
        <item m="1" x="608"/>
        <item m="1" x="1397"/>
        <item m="1" x="1430"/>
        <item m="1" x="666"/>
        <item m="1" x="1457"/>
        <item m="1" x="689"/>
        <item m="1" x="1487"/>
        <item m="1" x="718"/>
        <item m="1" x="748"/>
        <item m="1" x="1550"/>
        <item m="1" x="777"/>
        <item m="1" x="1579"/>
        <item m="1" x="807"/>
        <item m="1" x="1607"/>
        <item m="1" x="1637"/>
        <item m="1" x="866"/>
        <item m="1" x="1673"/>
        <item m="1" x="896"/>
        <item m="1" x="928"/>
        <item m="1" x="579"/>
        <item m="1" x="1371"/>
        <item m="1" x="612"/>
        <item m="1" x="1401"/>
        <item m="1" x="642"/>
        <item m="1" x="1435"/>
        <item m="1" x="1462"/>
        <item m="1" x="694"/>
        <item m="1" x="1491"/>
        <item m="1" x="722"/>
        <item m="1" x="1522"/>
        <item m="1" x="753"/>
        <item m="1" x="782"/>
        <item m="1" x="1584"/>
        <item m="1" x="811"/>
        <item m="1" x="1612"/>
        <item m="1" x="843"/>
        <item m="1" x="1642"/>
        <item m="1" x="1678"/>
        <item m="1" x="900"/>
        <item m="1" x="1707"/>
        <item m="1" x="931"/>
        <item m="1" x="1735"/>
        <item m="1" x="982"/>
        <item m="1" x="1788"/>
        <item m="1" x="1405"/>
        <item m="1" x="646"/>
        <item m="1" x="1438"/>
        <item m="1" x="673"/>
        <item m="1" x="698"/>
        <item m="1" x="1496"/>
        <item m="1" x="727"/>
        <item m="1" x="1527"/>
        <item m="1" x="757"/>
        <item m="1" x="1558"/>
        <item m="1" x="1588"/>
        <item m="1" x="816"/>
        <item m="1" x="1617"/>
        <item m="1" x="848"/>
        <item m="1" x="1646"/>
        <item m="1" x="874"/>
        <item m="1" x="904"/>
        <item m="1" x="1711"/>
        <item m="1" x="936"/>
        <item m="1" x="1739"/>
        <item m="1" x="960"/>
        <item m="1" x="1765"/>
        <item m="1" x="1792"/>
        <item m="1" x="1008"/>
        <item m="1" x="1816"/>
        <item m="1" x="1838"/>
        <item m="1" x="1470"/>
        <item m="1" x="1500"/>
        <item m="1" x="730"/>
        <item m="1" x="1531"/>
        <item m="1" x="1562"/>
        <item m="1" x="791"/>
        <item m="1" x="821"/>
        <item m="1" x="1621"/>
        <item m="1" x="852"/>
        <item m="1" x="1651"/>
        <item m="1" x="878"/>
        <item m="1" x="1687"/>
        <item m="1" x="1716"/>
        <item m="1" x="940"/>
        <item m="1" x="1744"/>
        <item m="1" x="964"/>
        <item m="1" x="1769"/>
        <item m="1" x="990"/>
        <item m="1" x="1012"/>
        <item m="1" x="1820"/>
        <item m="1" x="1034"/>
        <item m="1" x="1842"/>
        <item m="1" x="1053"/>
        <item m="1" x="296"/>
        <item m="1" x="764"/>
        <item m="1" x="1566"/>
        <item m="1" x="794"/>
        <item m="1" x="1597"/>
        <item m="1" x="826"/>
        <item m="1" x="1656"/>
        <item m="1" x="883"/>
        <item m="1" x="1691"/>
        <item m="1" x="913"/>
        <item m="1" x="1721"/>
        <item m="1" x="1748"/>
        <item m="1" x="969"/>
        <item m="1" x="1774"/>
        <item m="1" x="994"/>
        <item m="1" x="1801"/>
        <item m="1" x="1017"/>
        <item m="1" x="1038"/>
        <item m="1" x="1847"/>
        <item m="1" x="1057"/>
        <item m="1" x="299"/>
        <item m="1" x="1075"/>
        <item m="1" x="313"/>
        <item m="1" x="327"/>
        <item m="1" x="1103"/>
        <item m="1" x="346"/>
        <item m="1" x="829"/>
        <item m="1" x="1629"/>
        <item m="1" x="1660"/>
        <item m="1" x="887"/>
        <item m="1" x="1696"/>
        <item m="1" x="918"/>
        <item m="1" x="1724"/>
        <item m="1" x="949"/>
        <item m="1" x="973"/>
        <item m="1" x="1779"/>
        <item m="1" x="999"/>
        <item m="1" x="1806"/>
        <item m="1" x="1021"/>
        <item m="1" x="1829"/>
        <item m="1" x="1851"/>
        <item m="1" x="1062"/>
        <item m="1" x="304"/>
        <item m="1" x="1080"/>
        <item m="1" x="316"/>
        <item m="1" x="1093"/>
        <item m="1" x="1107"/>
        <item m="1" x="350"/>
        <item m="1" x="1121"/>
        <item m="1" x="366"/>
        <item m="1" x="1139"/>
        <item m="1" x="922"/>
        <item m="1" x="1728"/>
        <item m="1" x="952"/>
        <item m="1" x="1756"/>
        <item m="1" x="978"/>
        <item m="1" x="976"/>
        <item m="1" x="1001"/>
        <item m="1" x="1810"/>
        <item m="1" x="1025"/>
        <item m="1" x="1832"/>
        <item m="1" x="1046"/>
        <item m="1" x="1855"/>
        <item m="1" x="306"/>
        <item m="1" x="1084"/>
        <item m="1" x="320"/>
        <item m="1" x="1096"/>
        <item m="1" x="334"/>
        <item m="1" x="1111"/>
        <item m="1" x="354"/>
        <item m="1" x="1123"/>
        <item m="1" x="1142"/>
        <item m="1" x="378"/>
        <item m="1" x="1156"/>
        <item m="1" x="1664"/>
        <item m="1" x="1698"/>
        <item m="1" x="391"/>
        <item m="1" x="1175"/>
        <item m="1" x="408"/>
        <item m="1" x="340"/>
        <item m="1" x="1116"/>
        <item m="1" x="360"/>
        <item m="1" x="1130"/>
        <item m="1" x="1148"/>
        <item m="1" x="383"/>
        <item m="1" x="1162"/>
        <item m="1" x="396"/>
        <item m="1" x="1181"/>
        <item m="1" x="414"/>
        <item m="1" x="427"/>
        <item m="1" x="1209"/>
        <item m="1" x="444"/>
        <item m="1" x="1226"/>
        <item m="1" x="461"/>
        <item m="1" x="1245"/>
        <item m="1" x="1265"/>
        <item m="1" x="505"/>
        <item m="1" x="1292"/>
        <item m="1" x="528"/>
        <item m="1" x="1319"/>
        <item m="1" x="555"/>
        <item m="1" x="585"/>
        <item m="1" x="1377"/>
        <item m="1" x="385"/>
        <item m="1" x="1166"/>
        <item m="1" x="400"/>
        <item m="1" x="1185"/>
        <item m="1" x="417"/>
        <item m="1" x="1197"/>
        <item m="1" x="508"/>
        <item m="1" x="619"/>
        <item m="1" x="1411"/>
        <item m="1" x="1132"/>
        <item m="1" x="373"/>
        <item m="1" x="1212"/>
        <item m="1" x="448"/>
        <item m="1" x="1296"/>
        <item m="1" x="532"/>
        <item m="1" x="1323"/>
        <item m="1" x="1230"/>
        <item m="1" x="465"/>
        <item m="1" x="1248"/>
        <item m="1" x="486"/>
        <item m="1" x="558"/>
        <item m="1" x="1351"/>
        <item m="1" x="1380"/>
        <item m="1" x="1415"/>
        <item m="1" x="652"/>
        <item m="1" x="1170"/>
        <item m="1" x="403"/>
        <item m="1" x="421"/>
        <item m="1" x="1201"/>
        <item m="1" x="435"/>
        <item m="1" x="1217"/>
        <item m="1" x="453"/>
        <item m="1" x="1234"/>
        <item m="1" x="1252"/>
        <item m="1" x="490"/>
        <item m="1" x="1273"/>
        <item m="1" x="513"/>
        <item m="1" x="1301"/>
        <item m="1" x="536"/>
        <item m="1" x="562"/>
        <item m="1" x="1355"/>
        <item m="1" x="594"/>
        <item m="1" x="1386"/>
        <item m="1" x="628"/>
        <item m="1" x="1420"/>
        <item m="1" x="1446"/>
        <item m="1" x="680"/>
        <item m="1" x="1476"/>
        <item m="1" x="708"/>
        <item m="1" x="1508"/>
        <item m="1" x="737"/>
        <item m="1" x="1204"/>
        <item m="1" x="439"/>
        <item m="1" x="1221"/>
        <item m="1" x="456"/>
        <item m="1" x="1239"/>
        <item m="1" x="474"/>
        <item m="1" x="495"/>
        <item m="1" x="1279"/>
        <item m="1" x="519"/>
        <item m="1" x="1306"/>
        <item m="1" x="541"/>
        <item m="1" x="1332"/>
        <item m="1" x="1360"/>
        <item m="1" x="600"/>
        <item m="1" x="1391"/>
        <item m="1" x="659"/>
        <item m="1" x="682"/>
        <item m="1" x="1479"/>
        <item m="1" x="712"/>
        <item m="1" x="1512"/>
        <item m="1" x="741"/>
        <item m="1" x="1544"/>
        <item m="1" x="1286"/>
        <item m="1" x="1313"/>
        <item m="1" x="549"/>
        <item m="1" x="1341"/>
        <item m="1" x="577"/>
        <item m="1" x="1369"/>
        <item m="1" x="610"/>
        <item m="1" x="639"/>
        <item m="1" x="1432"/>
        <item m="1" x="668"/>
        <item m="1" x="1459"/>
        <item m="1" x="691"/>
        <item m="1" x="1489"/>
        <item m="1" x="1519"/>
        <item m="1" x="750"/>
        <item m="1" x="1552"/>
        <item m="1" x="779"/>
        <item m="1" x="1581"/>
        <item m="1" x="809"/>
        <item m="1" x="1609"/>
        <item m="1" x="840"/>
        <item m="1" x="1639"/>
        <item m="1" x="868"/>
        <item m="1" x="1675"/>
        <item m="1" x="898"/>
        <item m="1" x="1343"/>
        <item m="1" x="581"/>
        <item m="1" x="1372"/>
        <item m="1" x="614"/>
        <item m="1" x="1404"/>
        <item m="1" x="645"/>
        <item m="1" x="672"/>
        <item m="1" x="1465"/>
        <item m="1" x="696"/>
        <item m="1" x="1494"/>
        <item m="1" x="725"/>
        <item m="1" x="1525"/>
        <item m="1" x="1556"/>
        <item m="1" x="785"/>
        <item m="1" x="1586"/>
        <item m="1" x="814"/>
        <item m="1" x="1615"/>
        <item m="1" x="846"/>
        <item m="1" x="872"/>
        <item m="1" x="1681"/>
        <item m="1" x="902"/>
        <item m="1" x="1709"/>
        <item m="1" x="934"/>
        <item m="1" x="1737"/>
        <item m="1" x="984"/>
        <item m="1" x="1790"/>
        <item m="1" x="1406"/>
        <item m="1" x="648"/>
        <item m="1" x="1440"/>
        <item m="1" x="1469"/>
        <item m="1" x="701"/>
        <item m="1" x="1499"/>
        <item m="1" x="729"/>
        <item m="1" x="1529"/>
        <item m="1" x="760"/>
        <item m="1" x="789"/>
        <item m="1" x="1591"/>
        <item m="1" x="819"/>
        <item m="1" x="1619"/>
        <item m="1" x="850"/>
        <item m="1" x="1649"/>
        <item m="1" x="1685"/>
        <item m="1" x="907"/>
        <item m="1" x="1714"/>
        <item m="1" x="938"/>
        <item m="1" x="1742"/>
        <item m="1" x="962"/>
        <item m="1" x="988"/>
        <item m="1" x="1795"/>
        <item m="1" x="1010"/>
        <item m="1" x="1818"/>
        <item m="1" x="1840"/>
        <item m="1" x="703"/>
        <item m="1" x="1502"/>
        <item m="1" x="732"/>
        <item m="1" x="1533"/>
        <item m="1" x="763"/>
        <item m="1" x="1565"/>
        <item m="1" x="1595"/>
        <item m="1" x="824"/>
        <item m="1" x="1624"/>
        <item m="1" x="854"/>
        <item m="1" x="1654"/>
        <item m="1" x="881"/>
        <item m="1" x="911"/>
        <item m="1" x="943"/>
        <item m="1" x="1746"/>
        <item m="1" x="967"/>
        <item m="1" x="1772"/>
        <item m="1" x="1799"/>
        <item m="1" x="1015"/>
        <item m="1" x="1823"/>
        <item m="1" x="1036"/>
        <item m="1" x="1845"/>
        <item m="1" x="1055"/>
        <item m="1" x="1073"/>
        <item m="1" x="1719"/>
        <item m="1" x="1535"/>
        <item m="1" x="765"/>
        <item m="1" x="1568"/>
        <item m="1" x="796"/>
        <item m="1" x="1600"/>
        <item m="1" x="1628"/>
        <item m="1" x="1658"/>
        <item m="1" x="885"/>
        <item m="1" x="1694"/>
        <item m="1" x="916"/>
        <item m="1" x="947"/>
        <item m="1" x="1751"/>
        <item m="1" x="971"/>
        <item m="1" x="1777"/>
        <item m="1" x="997"/>
        <item m="1" x="1804"/>
        <item m="1" x="1827"/>
        <item m="1" x="1041"/>
        <item m="1" x="1849"/>
        <item m="1" x="1060"/>
        <item m="1" x="302"/>
        <item m="1" x="1078"/>
        <item m="1" x="1091"/>
        <item m="1" x="329"/>
        <item m="1" x="1105"/>
        <item m="1" x="348"/>
        <item m="1" x="831"/>
        <item m="1" x="859"/>
        <item m="1" x="1663"/>
        <item m="1" x="890"/>
        <item m="1" x="1697"/>
        <item m="1" x="921"/>
        <item m="1" x="1727"/>
        <item m="1" x="1755"/>
        <item m="1" x="975"/>
        <item m="1" x="1782"/>
        <item m="1" x="1000"/>
        <item m="1" x="1809"/>
        <item m="1" x="1024"/>
        <item m="1" x="1045"/>
        <item m="1" x="1854"/>
        <item m="1" x="1065"/>
        <item m="1" x="305"/>
        <item m="1" x="1083"/>
        <item m="1" x="319"/>
        <item m="1" x="333"/>
        <item m="1" x="1110"/>
        <item m="1" x="353"/>
        <item m="1" x="1122"/>
        <item m="1" x="367"/>
        <item m="1" x="1141"/>
        <item m="1" x="892"/>
        <item m="1" x="1700"/>
        <item m="1" x="923"/>
        <item m="1" x="1730"/>
        <item m="1" x="954"/>
        <item m="1" x="1758"/>
        <item m="1" x="1784"/>
        <item m="1" x="1003"/>
        <item m="1" x="1811"/>
        <item m="1" x="1027"/>
        <item m="1" x="1834"/>
        <item m="1" x="1048"/>
        <item m="1" x="1067"/>
        <item m="1" x="308"/>
        <item m="1" x="1085"/>
        <item m="1" x="322"/>
        <item m="1" x="1098"/>
        <item m="1" x="336"/>
        <item m="1" x="356"/>
        <item m="1" x="1125"/>
        <item m="1" x="1144"/>
        <item m="1" x="379"/>
        <item m="1" x="1157"/>
        <item m="1" x="1176"/>
        <item m="1" x="409"/>
        <item m="1" x="341"/>
        <item m="1" x="1117"/>
        <item m="1" x="361"/>
        <item m="1" x="372"/>
        <item m="1" x="1150"/>
        <item m="1" x="384"/>
        <item m="1" x="1164"/>
        <item m="1" x="398"/>
        <item m="1" x="1183"/>
        <item m="1" x="1195"/>
        <item m="1" x="429"/>
        <item m="1" x="1210"/>
        <item m="1" x="446"/>
        <item m="1" x="1228"/>
        <item m="1" x="463"/>
        <item m="1" x="484"/>
        <item m="1" x="1267"/>
        <item m="1" x="506"/>
        <item m="1" x="1294"/>
        <item m="1" x="530"/>
        <item m="1" x="1321"/>
        <item m="1" x="1349"/>
        <item m="1" x="587"/>
        <item m="1" x="1378"/>
        <item m="1" x="621"/>
        <item m="1" x="1413"/>
        <item m="1" x="1134"/>
        <item m="1" x="1152"/>
        <item m="1" x="387"/>
        <item m="1" x="1169"/>
        <item m="1" x="402"/>
        <item m="1" x="1188"/>
        <item m="1" x="420"/>
        <item m="1" x="433"/>
        <item m="1" x="1215"/>
        <item m="1" x="451"/>
        <item m="1" x="1232"/>
        <item m="1" x="468"/>
        <item m="1" x="1271"/>
        <item m="1" x="511"/>
        <item m="1" x="1299"/>
        <item m="1" x="534"/>
        <item m="1" x="1326"/>
        <item m="1" x="560"/>
        <item m="1" x="592"/>
        <item m="1" x="1384"/>
        <item m="1" x="626"/>
        <item m="1" x="1418"/>
        <item m="1" x="655"/>
        <item m="1" x="1444"/>
        <item m="1" x="405"/>
        <item m="1" x="1189"/>
        <item m="1" x="423"/>
        <item m="1" x="1203"/>
        <item m="1" x="438"/>
        <item m="1" x="1220"/>
        <item m="1" x="1237"/>
        <item m="1" x="472"/>
        <item m="1" x="1256"/>
        <item m="1" x="493"/>
        <item m="1" x="1277"/>
        <item m="1" x="1250"/>
        <item m="1" x="517"/>
        <item m="1" x="539"/>
        <item m="1" x="1330"/>
        <item m="1" x="566"/>
        <item m="1" x="1358"/>
        <item m="1" x="598"/>
        <item m="1" x="1448"/>
        <item m="1" x="739"/>
        <item m="1" x="477"/>
        <item m="1" x="1260"/>
        <item m="1" x="498"/>
        <item m="1" x="1310"/>
        <item m="1" x="1335"/>
        <item m="1" x="571"/>
        <item m="1" x="1364"/>
        <item m="1" x="604"/>
        <item m="1" x="1393"/>
        <item m="1" x="662"/>
        <item m="1" x="1453"/>
        <item m="1" x="686"/>
        <item m="1" x="1483"/>
        <item m="1" x="714"/>
        <item m="1" x="1547"/>
        <item m="1" x="773"/>
        <item m="1" x="1576"/>
        <item m="1" x="803"/>
        <item m="1" x="479"/>
        <item m="1" x="500"/>
        <item m="1" x="1285"/>
        <item m="1" x="522"/>
        <item m="1" x="1312"/>
        <item m="1" x="548"/>
        <item m="1" x="1288"/>
        <item m="1" x="524"/>
        <item m="1" x="1315"/>
        <item m="1" x="551"/>
        <item m="1" x="1342"/>
        <item m="1" x="580"/>
        <item m="1" x="613"/>
        <item m="1" x="1402"/>
        <item m="1" x="643"/>
        <item m="1" x="1436"/>
        <item m="1" x="670"/>
        <item m="1" x="1463"/>
        <item m="1" x="1492"/>
        <item m="1" x="723"/>
        <item m="1" x="1523"/>
        <item m="1" x="754"/>
        <item m="1" x="1554"/>
        <item m="1" x="783"/>
        <item m="1" x="812"/>
        <item m="1" x="1613"/>
        <item m="1" x="844"/>
        <item m="1" x="1643"/>
        <item m="1" x="870"/>
        <item m="1" x="1679"/>
        <item m="1" x="932"/>
        <item m="1" x="1344"/>
        <item m="1" x="582"/>
        <item m="1" x="1373"/>
        <item m="1" x="615"/>
        <item m="1" x="647"/>
        <item m="1" x="1439"/>
        <item m="1" x="674"/>
        <item m="1" x="1467"/>
        <item m="1" x="699"/>
        <item m="1" x="1497"/>
        <item m="1" x="758"/>
        <item m="1" x="1559"/>
        <item m="1" x="787"/>
        <item m="1" x="1589"/>
        <item m="1" x="817"/>
        <item m="1" x="1647"/>
        <item m="1" x="875"/>
        <item m="1" x="1683"/>
        <item m="1" x="905"/>
        <item m="1" x="1712"/>
        <item m="1" x="1740"/>
        <item m="1" x="1766"/>
        <item m="1" x="986"/>
        <item m="1" x="1793"/>
        <item m="1" x="1407"/>
        <item m="1" x="1441"/>
        <item m="1" x="675"/>
        <item m="1" x="1471"/>
        <item m="1" x="702"/>
        <item m="1" x="1501"/>
        <item m="1" x="731"/>
        <item m="1" x="1563"/>
        <item m="1" x="792"/>
        <item m="1" x="1593"/>
        <item m="1" x="822"/>
        <item m="1" x="1622"/>
        <item m="1" x="1652"/>
        <item m="1" x="879"/>
        <item m="1" x="1688"/>
        <item m="1" x="909"/>
        <item m="1" x="1717"/>
        <item m="1" x="941"/>
        <item m="1" x="965"/>
        <item m="1" x="1770"/>
        <item m="1" x="991"/>
        <item m="1" x="1797"/>
        <item m="1" x="1013"/>
        <item m="1" x="1821"/>
        <item m="1" x="1843"/>
        <item m="1" x="704"/>
        <item m="1" x="1503"/>
        <item m="1" x="733"/>
        <item m="1" x="1567"/>
        <item m="1" x="795"/>
        <item m="1" x="1598"/>
        <item m="1" x="827"/>
        <item m="1" x="1626"/>
        <item m="1" x="856"/>
        <item m="1" x="1692"/>
        <item m="1" x="914"/>
        <item m="1" x="945"/>
        <item m="1" x="1749"/>
        <item m="1" x="1775"/>
        <item m="1" x="995"/>
        <item m="1" x="1802"/>
        <item m="1" x="1018"/>
        <item m="1" x="1825"/>
        <item m="1" x="1039"/>
        <item m="1" x="1058"/>
        <item m="1" x="300"/>
        <item m="1" x="1076"/>
        <item m="1" x="1536"/>
        <item m="1" x="766"/>
        <item m="1" x="1569"/>
        <item m="1" x="1601"/>
        <item m="1" x="830"/>
        <item m="1" x="1630"/>
        <item m="1" x="858"/>
        <item m="1" x="1661"/>
        <item m="1" x="888"/>
        <item m="1" x="919"/>
        <item m="1" x="1725"/>
        <item m="1" x="950"/>
        <item m="1" x="1753"/>
        <item m="1" x="974"/>
        <item m="1" x="1780"/>
        <item m="1" x="1807"/>
        <item m="1" x="1022"/>
        <item m="1" x="1830"/>
        <item m="1" x="1043"/>
        <item m="1" x="1852"/>
        <item m="1" x="1063"/>
        <item m="1" x="1081"/>
        <item m="1" x="317"/>
        <item m="1" x="1094"/>
        <item m="1" x="331"/>
        <item m="1" x="1108"/>
        <item m="1" x="351"/>
        <item m="1" x="832"/>
        <item m="1" x="1631"/>
        <item m="1" x="860"/>
        <item m="1" x="1665"/>
        <item m="1" x="891"/>
        <item m="1" x="1699"/>
        <item m="1" x="1729"/>
        <item m="1" x="953"/>
        <item m="1" x="1757"/>
        <item m="1" x="977"/>
        <item m="1" x="1783"/>
        <item m="1" x="1002"/>
        <item m="1" x="1026"/>
        <item m="1" x="1833"/>
        <item m="1" x="1047"/>
        <item m="1" x="1856"/>
        <item m="1" x="1066"/>
        <item m="1" x="307"/>
        <item m="1" x="321"/>
        <item m="1" x="1097"/>
        <item m="1" x="335"/>
        <item m="1" x="1112"/>
        <item m="1" x="355"/>
        <item m="1" x="1124"/>
        <item m="1" x="1143"/>
        <item m="1" x="1666"/>
        <item m="1" x="893"/>
        <item m="1" x="1701"/>
        <item m="1" x="924"/>
        <item m="1" x="1731"/>
        <item m="1" x="1759"/>
        <item m="1" x="1785"/>
        <item m="1" x="1004"/>
        <item m="1" x="1812"/>
        <item m="1" x="1028"/>
        <item m="1" x="1049"/>
        <item m="1" x="1857"/>
        <item m="1" x="1068"/>
        <item m="1" x="309"/>
        <item m="1" x="1086"/>
        <item m="1" x="323"/>
        <item m="1" x="337"/>
        <item m="1" x="1113"/>
        <item m="1" x="357"/>
        <item m="1" x="1126"/>
        <item m="1" x="1145"/>
        <item m="1" x="1158"/>
        <item m="1" x="392"/>
        <item m="1" x="1177"/>
        <item m="1" x="410"/>
        <item x="163"/>
        <item m="1" x="342"/>
        <item m="1" x="362"/>
        <item m="1" x="1133"/>
        <item m="1" x="374"/>
        <item m="1" x="1151"/>
        <item m="1" x="386"/>
        <item m="1" x="1167"/>
        <item m="1" x="1186"/>
        <item m="1" x="418"/>
        <item m="1" x="1198"/>
        <item m="1" x="431"/>
        <item m="1" x="1213"/>
        <item m="1" x="449"/>
        <item m="1" x="466"/>
        <item m="1" x="1249"/>
        <item m="1" x="487"/>
        <item m="1" x="1269"/>
        <item m="1" x="509"/>
        <item m="1" x="1297"/>
        <item m="1" x="1324"/>
        <item m="1" x="559"/>
        <item m="1" x="1352"/>
        <item m="1" x="589"/>
        <item m="1" x="1381"/>
        <item m="1" x="623"/>
        <item m="1" x="1135"/>
        <item m="1" x="375"/>
        <item m="1" x="1153"/>
        <item m="1" x="388"/>
        <item m="1" x="1171"/>
        <item m="1" x="404"/>
        <item m="1" x="422"/>
        <item m="1" x="1202"/>
        <item m="1" x="436"/>
        <item m="1" x="1218"/>
        <item m="1" x="454"/>
        <item m="1" x="1235"/>
        <item m="1" x="1253"/>
        <item m="1" x="491"/>
        <item m="1" x="1274"/>
        <item m="1" x="514"/>
        <item m="1" x="1302"/>
        <item m="1" x="537"/>
        <item m="1" x="563"/>
        <item m="1" x="1356"/>
        <item m="1" x="595"/>
        <item m="1" x="1387"/>
        <item m="1" x="629"/>
        <item m="1" x="1421"/>
        <item m="1" x="1172"/>
        <item m="1" x="406"/>
        <item m="1" x="1190"/>
        <item m="1" x="424"/>
        <item m="1" x="1205"/>
        <item m="1" x="440"/>
        <item m="1" x="457"/>
        <item m="1" x="1240"/>
        <item m="1" x="475"/>
        <item m="1" x="1258"/>
        <item m="1" x="496"/>
        <item m="1" x="1280"/>
        <item m="1" x="1307"/>
        <item m="1" x="542"/>
        <item m="1" x="1333"/>
        <item m="1" x="568"/>
        <item m="1" x="1361"/>
        <item m="1" x="601"/>
        <item m="1" x="633"/>
        <item m="1" x="1424"/>
        <item m="1" x="660"/>
        <item m="1" x="1450"/>
        <item m="1" x="683"/>
        <item m="1" x="1480"/>
        <item m="1" x="1513"/>
        <item m="1" x="742"/>
        <item m="1" x="1545"/>
        <item m="1" x="1222"/>
        <item m="1" x="1241"/>
        <item m="1" x="478"/>
        <item m="1" x="1261"/>
        <item m="1" x="499"/>
        <item m="1" x="1284"/>
        <item m="1" x="546"/>
        <item m="1" x="1337"/>
        <item m="1" x="573"/>
        <item m="1" x="1366"/>
        <item m="1" x="606"/>
        <item m="1" x="1395"/>
        <item m="1" x="1428"/>
        <item m="1" x="664"/>
        <item m="1" x="1455"/>
        <item m="1" x="688"/>
        <item m="1" x="1485"/>
        <item m="1" x="716"/>
        <item m="1" x="746"/>
        <item m="1" x="775"/>
        <item m="1" x="1578"/>
        <item m="1" x="805"/>
        <item m="1" x="1262"/>
        <item m="1" x="501"/>
        <item m="1" x="1287"/>
        <item m="1" x="523"/>
        <item m="1" x="1314"/>
        <item m="1" x="550"/>
        <item m="1" x="578"/>
        <item m="1" x="1370"/>
        <item m="1" x="611"/>
        <item m="1" x="1399"/>
        <item m="1" x="640"/>
        <item m="1" x="1433"/>
        <item m="1" x="1460"/>
        <item m="1" x="692"/>
        <item m="1" x="1490"/>
        <item m="1" x="720"/>
        <item m="1" x="1520"/>
        <item m="1" x="751"/>
        <item m="1" x="780"/>
        <item m="1" x="1582"/>
        <item m="1" x="810"/>
        <item m="1" x="1610"/>
        <item m="1" x="841"/>
        <item m="1" x="1640"/>
        <item m="1" x="167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3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0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18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axis="axisPage" multipleItemSelectionAllowed="1" showAll="0">
      <items count="56">
        <item h="1" x="22"/>
        <item h="1" x="48"/>
        <item h="1" m="1" x="51"/>
        <item h="1" m="1" x="49"/>
        <item h="1" m="1" x="53"/>
        <item h="1" m="1" x="52"/>
        <item h="1" m="1" x="5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6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4"/>
        <item h="1" m="1" x="5"/>
        <item h="1" x="2"/>
        <item h="1" x="0"/>
        <item h="1" m="1" x="7"/>
        <item h="1" x="3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54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m="1" x="51"/>
        <item h="1" m="1" x="49"/>
        <item h="1" m="1" x="53"/>
        <item h="1" m="1" x="52"/>
        <item h="1" m="1" x="5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6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4"/>
        <item h="1" m="1" x="5"/>
        <item h="1" x="2"/>
        <item h="1" x="0"/>
        <item h="1" m="1" x="7"/>
        <item h="1" x="3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m="1" x="51"/>
        <item h="1" m="1" x="49"/>
        <item h="1" m="1" x="53"/>
        <item h="1" m="1" x="52"/>
        <item h="1" m="1" x="50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4"/>
        <item h="1" m="1" x="5"/>
        <item h="1" x="2"/>
        <item h="1" x="0"/>
        <item h="1" m="1" x="7"/>
        <item h="1" x="3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859">
        <item m="1" x="590"/>
        <item m="1" x="1382"/>
        <item m="1" x="624"/>
        <item m="1" x="1416"/>
        <item m="1" x="653"/>
        <item m="1" x="1443"/>
        <item m="1" x="677"/>
        <item m="1" x="1473"/>
        <item m="1" x="1505"/>
        <item m="1" x="735"/>
        <item m="1" x="1538"/>
        <item m="1" x="767"/>
        <item m="1" x="1570"/>
        <item m="1" x="797"/>
        <item m="1" x="470"/>
        <item m="1" x="1254"/>
        <item m="1" x="492"/>
        <item m="1" x="1275"/>
        <item m="1" x="515"/>
        <item m="1" x="1303"/>
        <item m="1" x="1328"/>
        <item m="1" x="564"/>
        <item m="1" x="1357"/>
        <item m="1" x="596"/>
        <item m="1" x="1388"/>
        <item m="1" x="630"/>
        <item m="1" x="1477"/>
        <item m="1" x="709"/>
        <item m="1" x="1509"/>
        <item m="1" x="1541"/>
        <item m="1" x="1572"/>
        <item m="1" x="1602"/>
        <item m="1" x="833"/>
        <item m="1" x="861"/>
        <item m="1" x="1667"/>
        <item m="1" x="1281"/>
        <item m="1" x="1308"/>
        <item m="1" x="543"/>
        <item m="1" x="569"/>
        <item m="1" x="1362"/>
        <item m="1" x="602"/>
        <item m="1" x="1392"/>
        <item m="1" x="634"/>
        <item m="1" x="1425"/>
        <item m="1" x="1451"/>
        <item m="1" x="684"/>
        <item m="1" x="1481"/>
        <item m="1" x="713"/>
        <item m="1" x="1514"/>
        <item m="1" x="743"/>
        <item m="1" x="771"/>
        <item m="1" x="1574"/>
        <item m="1" x="801"/>
        <item m="1" x="1604"/>
        <item m="1" x="835"/>
        <item m="1" x="1633"/>
        <item m="1" x="1669"/>
        <item m="1" x="894"/>
        <item m="1" x="1702"/>
        <item m="1" x="925"/>
        <item m="1" x="1338"/>
        <item m="1" x="574"/>
        <item m="1" x="607"/>
        <item m="1" x="1396"/>
        <item m="1" x="637"/>
        <item m="1" x="1429"/>
        <item m="1" x="665"/>
        <item m="1" x="1456"/>
        <item m="1" x="1486"/>
        <item m="1" x="717"/>
        <item m="1" x="1517"/>
        <item m="1" x="747"/>
        <item m="1" x="1549"/>
        <item m="1" x="776"/>
        <item m="1" x="806"/>
        <item m="1" x="1606"/>
        <item m="1" x="838"/>
        <item m="1" x="1636"/>
        <item m="1" x="865"/>
        <item m="1" x="1672"/>
        <item m="1" x="1704"/>
        <item m="1" x="927"/>
        <item m="1" x="1732"/>
        <item m="1" x="955"/>
        <item m="1" x="1760"/>
        <item m="1" x="979"/>
        <item m="1" x="1400"/>
        <item m="1" x="641"/>
        <item m="1" x="1434"/>
        <item m="1" x="669"/>
        <item m="1" x="1461"/>
        <item m="1" x="693"/>
        <item m="1" x="721"/>
        <item m="1" x="1521"/>
        <item m="1" x="752"/>
        <item m="1" x="1553"/>
        <item m="1" x="781"/>
        <item m="1" x="1583"/>
        <item m="1" x="1611"/>
        <item m="1" x="842"/>
        <item m="1" x="1641"/>
        <item m="1" x="869"/>
        <item m="1" x="1677"/>
        <item m="1" x="899"/>
        <item m="1" x="1706"/>
        <item m="1" x="930"/>
        <item m="1" x="1734"/>
        <item m="1" x="957"/>
        <item m="1" x="1762"/>
        <item m="1" x="981"/>
        <item m="1" x="1787"/>
        <item m="1" x="1005"/>
        <item m="1" x="1813"/>
        <item m="1" x="1029"/>
        <item m="1" x="1835"/>
        <item m="1" x="1466"/>
        <item m="1" x="697"/>
        <item m="1" x="1495"/>
        <item m="1" x="726"/>
        <item m="1" x="1526"/>
        <item m="1" x="756"/>
        <item m="1" x="1557"/>
        <item m="1" x="786"/>
        <item m="1" x="1587"/>
        <item m="1" x="815"/>
        <item m="1" x="1616"/>
        <item m="1" x="847"/>
        <item m="1" x="1645"/>
        <item m="1" x="873"/>
        <item m="1" x="1682"/>
        <item m="1" x="903"/>
        <item m="1" x="1710"/>
        <item m="1" x="935"/>
        <item m="1" x="1738"/>
        <item m="1" x="959"/>
        <item m="1" x="1764"/>
        <item m="1" x="985"/>
        <item m="1" x="1791"/>
        <item m="1" x="1007"/>
        <item m="1" x="1815"/>
        <item m="1" x="1031"/>
        <item m="1" x="1837"/>
        <item m="1" x="1050"/>
        <item m="1" x="293"/>
        <item m="1" x="1069"/>
        <item m="1" x="1530"/>
        <item m="1" x="761"/>
        <item m="1" x="1561"/>
        <item m="1" x="790"/>
        <item m="1" x="1592"/>
        <item m="1" x="820"/>
        <item m="1" x="1620"/>
        <item m="1" x="851"/>
        <item m="1" x="1650"/>
        <item m="1" x="877"/>
        <item m="1" x="1686"/>
        <item m="1" x="908"/>
        <item m="1" x="1715"/>
        <item m="1" x="939"/>
        <item m="1" x="1743"/>
        <item m="1" x="963"/>
        <item m="1" x="1768"/>
        <item m="1" x="989"/>
        <item m="1" x="1796"/>
        <item m="1" x="1011"/>
        <item m="1" x="1819"/>
        <item m="1" x="1033"/>
        <item m="1" x="1841"/>
        <item m="1" x="1052"/>
        <item m="1" x="295"/>
        <item m="1" x="1071"/>
        <item m="1" x="310"/>
        <item m="1" x="1087"/>
        <item m="1" x="324"/>
        <item m="1" x="1100"/>
        <item m="1" x="343"/>
        <item m="1" x="1596"/>
        <item m="1" x="825"/>
        <item m="1" x="1625"/>
        <item m="1" x="855"/>
        <item m="1" x="1655"/>
        <item m="1" x="882"/>
        <item m="1" x="1690"/>
        <item m="1" x="912"/>
        <item m="1" x="1720"/>
        <item m="1" x="944"/>
        <item m="1" x="1747"/>
        <item m="1" x="968"/>
        <item m="1" x="1773"/>
        <item m="1" x="993"/>
        <item m="1" x="1800"/>
        <item m="1" x="1016"/>
        <item m="1" x="1824"/>
        <item m="1" x="1037"/>
        <item m="1" x="1846"/>
        <item m="1" x="1056"/>
        <item m="1" x="298"/>
        <item m="1" x="1074"/>
        <item m="1" x="312"/>
        <item m="1" x="1089"/>
        <item m="1" x="326"/>
        <item m="1" x="1102"/>
        <item m="1" x="345"/>
        <item m="1" x="1118"/>
        <item m="1" x="363"/>
        <item m="1" x="1136"/>
        <item m="1" x="1659"/>
        <item m="1" x="886"/>
        <item m="1" x="1695"/>
        <item m="1" x="917"/>
        <item m="1" x="1723"/>
        <item m="1" x="948"/>
        <item m="1" x="1752"/>
        <item m="1" x="972"/>
        <item m="1" x="1778"/>
        <item m="1" x="998"/>
        <item m="1" x="1805"/>
        <item m="1" x="1020"/>
        <item m="1" x="1828"/>
        <item m="1" x="1042"/>
        <item m="1" x="1850"/>
        <item m="1" x="1061"/>
        <item m="1" x="303"/>
        <item m="1" x="1079"/>
        <item m="1" x="315"/>
        <item m="1" x="1092"/>
        <item m="1" x="330"/>
        <item m="1" x="1106"/>
        <item m="1" x="349"/>
        <item m="1" x="1120"/>
        <item m="1" x="365"/>
        <item m="1" x="1138"/>
        <item m="1" x="376"/>
        <item m="1" x="1154"/>
        <item m="1" x="389"/>
        <item m="1" x="1173"/>
        <item m="1" x="407"/>
        <item m="1" x="1099"/>
        <item m="1" x="338"/>
        <item m="1" x="1114"/>
        <item m="1" x="358"/>
        <item m="1" x="1127"/>
        <item m="1" x="368"/>
        <item m="1" x="1146"/>
        <item m="1" x="380"/>
        <item m="1" x="1159"/>
        <item m="1" x="393"/>
        <item m="1" x="1178"/>
        <item m="1" x="411"/>
        <item m="1" x="1191"/>
        <item m="1" x="425"/>
        <item m="1" x="1206"/>
        <item m="1" x="441"/>
        <item m="1" x="1223"/>
        <item m="1" x="458"/>
        <item m="1" x="1242"/>
        <item m="1" x="480"/>
        <item m="1" x="1263"/>
        <item m="1" x="502"/>
        <item m="1" x="1289"/>
        <item m="1" x="525"/>
        <item m="1" x="1316"/>
        <item m="1" x="552"/>
        <item m="1" x="1345"/>
        <item m="1" x="583"/>
        <item m="1" x="1374"/>
        <item m="1" x="616"/>
        <item m="1" x="1408"/>
        <item m="1" x="1129"/>
        <item m="1" x="370"/>
        <item m="1" x="1147"/>
        <item m="1" x="382"/>
        <item m="1" x="1161"/>
        <item m="1" x="395"/>
        <item m="1" x="1180"/>
        <item m="1" x="413"/>
        <item m="1" x="1193"/>
        <item m="1" x="426"/>
        <item m="1" x="1208"/>
        <item m="1" x="443"/>
        <item m="1" x="1225"/>
        <item m="1" x="460"/>
        <item m="1" x="1244"/>
        <item m="1" x="482"/>
        <item m="1" x="1264"/>
        <item m="1" x="504"/>
        <item m="1" x="1291"/>
        <item m="1" x="527"/>
        <item m="1" x="1318"/>
        <item m="1" x="554"/>
        <item m="1" x="1347"/>
        <item m="1" x="584"/>
        <item m="1" x="1376"/>
        <item m="1" x="618"/>
        <item m="1" x="1410"/>
        <item m="1" x="649"/>
        <item m="1" x="1165"/>
        <item m="1" x="399"/>
        <item m="1" x="1184"/>
        <item m="1" x="416"/>
        <item m="1" x="1196"/>
        <item m="1" x="430"/>
        <item m="1" x="1211"/>
        <item m="1" x="447"/>
        <item m="1" x="1229"/>
        <item m="1" x="464"/>
        <item m="1" x="1247"/>
        <item m="1" x="485"/>
        <item m="1" x="1268"/>
        <item m="1" x="507"/>
        <item m="1" x="1295"/>
        <item m="1" x="531"/>
        <item m="1" x="1322"/>
        <item m="1" x="557"/>
        <item m="1" x="1350"/>
        <item m="1" x="588"/>
        <item m="1" x="1379"/>
        <item m="1" x="622"/>
        <item m="1" x="1414"/>
        <item m="1" x="651"/>
        <item m="1" x="1442"/>
        <item m="1" x="676"/>
        <item m="1" x="1472"/>
        <item m="1" x="705"/>
        <item m="1" x="1504"/>
        <item m="1" x="734"/>
        <item m="1" x="1537"/>
        <item m="1" x="1200"/>
        <item m="1" x="434"/>
        <item m="1" x="1216"/>
        <item m="1" x="452"/>
        <item m="1" x="1233"/>
        <item m="1" x="469"/>
        <item m="1" x="1251"/>
        <item m="1" x="489"/>
        <item m="1" x="1272"/>
        <item m="1" x="512"/>
        <item m="1" x="1300"/>
        <item m="1" x="535"/>
        <item m="1" x="1327"/>
        <item m="1" x="561"/>
        <item m="1" x="1354"/>
        <item m="1" x="593"/>
        <item m="1" x="1385"/>
        <item m="1" x="627"/>
        <item m="1" x="1419"/>
        <item m="1" x="656"/>
        <item m="1" x="1445"/>
        <item m="1" x="679"/>
        <item m="1" x="1475"/>
        <item m="1" x="707"/>
        <item m="1" x="1507"/>
        <item m="1" x="736"/>
        <item m="1" x="1540"/>
        <item m="1" x="768"/>
        <item m="1" x="1571"/>
        <item m="1" x="798"/>
        <item m="1" x="1238"/>
        <item m="1" x="473"/>
        <item m="1" x="1257"/>
        <item m="1" x="494"/>
        <item m="1" x="1278"/>
        <item m="1" x="518"/>
        <item m="1" x="1305"/>
        <item m="1" x="540"/>
        <item m="1" x="1331"/>
        <item m="1" x="567"/>
        <item m="1" x="1359"/>
        <item m="1" x="599"/>
        <item x="292"/>
        <item m="1" x="1390"/>
        <item m="1" x="632"/>
        <item m="1" x="1423"/>
        <item m="1" x="658"/>
        <item m="1" x="1449"/>
        <item m="1" x="681"/>
        <item m="1" x="1478"/>
        <item m="1" x="711"/>
        <item m="1" x="1511"/>
        <item m="1" x="740"/>
        <item m="1" x="1543"/>
        <item m="1" x="770"/>
        <item m="1" x="1573"/>
        <item m="1" x="800"/>
        <item m="1" x="1603"/>
        <item m="1" x="834"/>
        <item m="1" x="1632"/>
        <item m="1" x="862"/>
        <item m="1" x="1668"/>
        <item m="1" x="1283"/>
        <item m="1" x="520"/>
        <item m="1" x="1311"/>
        <item m="1" x="545"/>
        <item m="1" x="1336"/>
        <item m="1" x="572"/>
        <item m="1" x="1365"/>
        <item m="1" x="605"/>
        <item m="1" x="1394"/>
        <item m="1" x="636"/>
        <item m="1" x="1427"/>
        <item m="1" x="663"/>
        <item m="1" x="1454"/>
        <item m="1" x="687"/>
        <item m="1" x="1484"/>
        <item m="1" x="715"/>
        <item m="1" x="1516"/>
        <item m="1" x="745"/>
        <item m="1" x="1548"/>
        <item m="1" x="774"/>
        <item m="1" x="1577"/>
        <item m="1" x="804"/>
        <item m="1" x="1605"/>
        <item m="1" x="837"/>
        <item m="1" x="1635"/>
        <item m="1" x="864"/>
        <item m="1" x="1671"/>
        <item m="1" x="895"/>
        <item m="1" x="1703"/>
        <item m="1" x="926"/>
        <item m="1" x="1340"/>
        <item m="1" x="576"/>
        <item m="1" x="1368"/>
        <item m="1" x="609"/>
        <item m="1" x="1398"/>
        <item m="1" x="638"/>
        <item m="1" x="1431"/>
        <item m="1" x="667"/>
        <item m="1" x="1458"/>
        <item m="1" x="690"/>
        <item m="1" x="1488"/>
        <item m="1" x="719"/>
        <item m="1" x="1518"/>
        <item m="1" x="749"/>
        <item m="1" x="1551"/>
        <item m="1" x="778"/>
        <item m="1" x="1580"/>
        <item m="1" x="808"/>
        <item m="1" x="1608"/>
        <item m="1" x="839"/>
        <item m="1" x="1638"/>
        <item m="1" x="867"/>
        <item m="1" x="1674"/>
        <item m="1" x="897"/>
        <item m="1" x="1705"/>
        <item m="1" x="929"/>
        <item m="1" x="1733"/>
        <item m="1" x="956"/>
        <item m="1" x="1761"/>
        <item m="1" x="980"/>
        <item m="1" x="1786"/>
        <item m="1" x="1403"/>
        <item m="1" x="644"/>
        <item m="1" x="1437"/>
        <item m="1" x="671"/>
        <item m="1" x="1464"/>
        <item m="1" x="695"/>
        <item m="1" x="1493"/>
        <item m="1" x="724"/>
        <item m="1" x="1524"/>
        <item m="1" x="755"/>
        <item m="1" x="1555"/>
        <item m="1" x="784"/>
        <item m="1" x="1585"/>
        <item m="1" x="813"/>
        <item m="1" x="1614"/>
        <item m="1" x="845"/>
        <item m="1" x="1644"/>
        <item m="1" x="871"/>
        <item m="1" x="1680"/>
        <item m="1" x="901"/>
        <item m="1" x="1708"/>
        <item m="1" x="933"/>
        <item m="1" x="1736"/>
        <item m="1" x="958"/>
        <item m="1" x="1763"/>
        <item m="1" x="983"/>
        <item m="1" x="1789"/>
        <item m="1" x="1006"/>
        <item m="1" x="1814"/>
        <item m="1" x="1030"/>
        <item m="1" x="1836"/>
        <item m="1" x="1468"/>
        <item m="1" x="700"/>
        <item m="1" x="1498"/>
        <item m="1" x="728"/>
        <item m="1" x="1528"/>
        <item m="1" x="759"/>
        <item m="1" x="1560"/>
        <item m="1" x="788"/>
        <item m="1" x="1590"/>
        <item m="1" x="818"/>
        <item m="1" x="1618"/>
        <item m="1" x="849"/>
        <item m="1" x="1648"/>
        <item m="1" x="876"/>
        <item m="1" x="1684"/>
        <item m="1" x="906"/>
        <item m="1" x="1713"/>
        <item m="1" x="937"/>
        <item m="1" x="1741"/>
        <item m="1" x="961"/>
        <item m="1" x="1767"/>
        <item m="1" x="987"/>
        <item m="1" x="1794"/>
        <item m="1" x="1009"/>
        <item m="1" x="1817"/>
        <item m="1" x="1032"/>
        <item m="1" x="1839"/>
        <item m="1" x="1051"/>
        <item m="1" x="294"/>
        <item m="1" x="1070"/>
        <item m="1" x="1532"/>
        <item m="1" x="762"/>
        <item m="1" x="1564"/>
        <item m="1" x="793"/>
        <item m="1" x="1594"/>
        <item m="1" x="823"/>
        <item m="1" x="1623"/>
        <item m="1" x="853"/>
        <item m="1" x="1653"/>
        <item m="1" x="880"/>
        <item m="1" x="1689"/>
        <item m="1" x="910"/>
        <item m="1" x="1718"/>
        <item m="1" x="942"/>
        <item m="1" x="1745"/>
        <item m="1" x="966"/>
        <item m="1" x="1771"/>
        <item m="1" x="992"/>
        <item m="1" x="1798"/>
        <item m="1" x="1014"/>
        <item m="1" x="1822"/>
        <item m="1" x="1035"/>
        <item m="1" x="1844"/>
        <item m="1" x="1054"/>
        <item m="1" x="297"/>
        <item m="1" x="1072"/>
        <item m="1" x="311"/>
        <item m="1" x="1088"/>
        <item m="1" x="325"/>
        <item m="1" x="1101"/>
        <item m="1" x="344"/>
        <item m="1" x="1599"/>
        <item m="1" x="828"/>
        <item m="1" x="1627"/>
        <item m="1" x="857"/>
        <item m="1" x="1657"/>
        <item m="1" x="884"/>
        <item m="1" x="1693"/>
        <item m="1" x="915"/>
        <item m="1" x="1722"/>
        <item m="1" x="946"/>
        <item m="1" x="1750"/>
        <item m="1" x="970"/>
        <item m="1" x="1776"/>
        <item m="1" x="996"/>
        <item m="1" x="1803"/>
        <item m="1" x="1019"/>
        <item m="1" x="1826"/>
        <item m="1" x="1040"/>
        <item m="1" x="1848"/>
        <item m="1" x="1059"/>
        <item m="1" x="301"/>
        <item m="1" x="1077"/>
        <item m="1" x="314"/>
        <item m="1" x="1090"/>
        <item m="1" x="328"/>
        <item m="1" x="1104"/>
        <item m="1" x="347"/>
        <item m="1" x="1119"/>
        <item m="1" x="364"/>
        <item m="1" x="1137"/>
        <item m="1" x="1662"/>
        <item m="1" x="889"/>
        <item m="1" x="920"/>
        <item m="1" x="1726"/>
        <item m="1" x="951"/>
        <item m="1" x="1754"/>
        <item m="1" x="1781"/>
        <item m="1" x="1808"/>
        <item m="1" x="1023"/>
        <item m="1" x="1831"/>
        <item m="1" x="1044"/>
        <item m="1" x="1853"/>
        <item m="1" x="1064"/>
        <item m="1" x="1082"/>
        <item m="1" x="318"/>
        <item m="1" x="1095"/>
        <item m="1" x="332"/>
        <item m="1" x="1109"/>
        <item m="1" x="352"/>
        <item m="1" x="1140"/>
        <item m="1" x="377"/>
        <item m="1" x="1155"/>
        <item m="1" x="390"/>
        <item m="1" x="1174"/>
        <item m="1" x="339"/>
        <item m="1" x="1115"/>
        <item m="1" x="359"/>
        <item m="1" x="1128"/>
        <item m="1" x="369"/>
        <item m="1" x="381"/>
        <item m="1" x="1160"/>
        <item m="1" x="394"/>
        <item m="1" x="1179"/>
        <item m="1" x="412"/>
        <item m="1" x="1192"/>
        <item m="1" x="1207"/>
        <item m="1" x="442"/>
        <item m="1" x="1224"/>
        <item m="1" x="459"/>
        <item m="1" x="1243"/>
        <item m="1" x="481"/>
        <item m="1" x="503"/>
        <item m="1" x="1290"/>
        <item m="1" x="526"/>
        <item m="1" x="1317"/>
        <item m="1" x="553"/>
        <item m="1" x="1346"/>
        <item m="1" x="1375"/>
        <item m="1" x="617"/>
        <item m="1" x="1409"/>
        <item m="1" x="1131"/>
        <item m="1" x="371"/>
        <item m="1" x="1149"/>
        <item m="1" x="1163"/>
        <item m="1" x="397"/>
        <item m="1" x="1182"/>
        <item m="1" x="415"/>
        <item m="1" x="1194"/>
        <item m="1" x="428"/>
        <item m="1" x="445"/>
        <item m="1" x="1227"/>
        <item m="1" x="462"/>
        <item m="1" x="1246"/>
        <item m="1" x="483"/>
        <item m="1" x="1266"/>
        <item m="1" x="1293"/>
        <item m="1" x="529"/>
        <item m="1" x="1320"/>
        <item m="1" x="556"/>
        <item m="1" x="1348"/>
        <item m="1" x="586"/>
        <item m="1" x="620"/>
        <item m="1" x="1412"/>
        <item m="1" x="650"/>
        <item m="1" x="1168"/>
        <item m="1" x="401"/>
        <item m="1" x="1187"/>
        <item m="1" x="419"/>
        <item m="1" x="1199"/>
        <item m="1" x="432"/>
        <item m="1" x="1214"/>
        <item m="1" x="450"/>
        <item m="1" x="1231"/>
        <item m="1" x="467"/>
        <item m="1" x="488"/>
        <item m="1" x="1270"/>
        <item m="1" x="510"/>
        <item m="1" x="1298"/>
        <item m="1" x="533"/>
        <item m="1" x="1325"/>
        <item m="1" x="1353"/>
        <item m="1" x="591"/>
        <item m="1" x="1383"/>
        <item m="1" x="625"/>
        <item m="1" x="1417"/>
        <item m="1" x="654"/>
        <item m="1" x="678"/>
        <item m="1" x="1474"/>
        <item m="1" x="706"/>
        <item m="1" x="1506"/>
        <item m="1" x="1539"/>
        <item m="1" x="437"/>
        <item m="1" x="1219"/>
        <item m="1" x="455"/>
        <item m="1" x="1236"/>
        <item m="1" x="471"/>
        <item m="1" x="1255"/>
        <item m="1" x="1276"/>
        <item m="1" x="516"/>
        <item m="1" x="1304"/>
        <item m="1" x="538"/>
        <item m="1" x="1329"/>
        <item m="1" x="565"/>
        <item m="1" x="597"/>
        <item m="1" x="1389"/>
        <item m="1" x="631"/>
        <item m="1" x="1422"/>
        <item m="1" x="657"/>
        <item m="1" x="1447"/>
        <item m="1" x="710"/>
        <item m="1" x="1510"/>
        <item m="1" x="738"/>
        <item m="1" x="1542"/>
        <item m="1" x="769"/>
        <item m="1" x="799"/>
        <item m="1" x="476"/>
        <item m="1" x="1259"/>
        <item m="1" x="497"/>
        <item m="1" x="1282"/>
        <item m="1" x="1309"/>
        <item m="1" x="635"/>
        <item m="1" x="544"/>
        <item m="1" x="1334"/>
        <item m="1" x="570"/>
        <item m="1" x="1363"/>
        <item m="1" x="603"/>
        <item m="1" x="1426"/>
        <item m="1" x="661"/>
        <item m="1" x="1452"/>
        <item m="1" x="685"/>
        <item m="1" x="1482"/>
        <item m="1" x="1515"/>
        <item m="1" x="744"/>
        <item m="1" x="1546"/>
        <item m="1" x="772"/>
        <item m="1" x="1575"/>
        <item m="1" x="802"/>
        <item m="1" x="836"/>
        <item m="1" x="1634"/>
        <item m="1" x="863"/>
        <item m="1" x="1670"/>
        <item m="1" x="521"/>
        <item m="1" x="547"/>
        <item m="1" x="1339"/>
        <item m="1" x="575"/>
        <item m="1" x="1367"/>
        <item m="1" x="608"/>
        <item m="1" x="1397"/>
        <item m="1" x="1430"/>
        <item m="1" x="666"/>
        <item m="1" x="1457"/>
        <item m="1" x="689"/>
        <item m="1" x="1487"/>
        <item m="1" x="718"/>
        <item m="1" x="748"/>
        <item m="1" x="1550"/>
        <item m="1" x="777"/>
        <item m="1" x="1579"/>
        <item m="1" x="807"/>
        <item m="1" x="1607"/>
        <item m="1" x="1637"/>
        <item m="1" x="866"/>
        <item m="1" x="1673"/>
        <item m="1" x="896"/>
        <item m="1" x="928"/>
        <item m="1" x="579"/>
        <item m="1" x="1371"/>
        <item m="1" x="612"/>
        <item m="1" x="1401"/>
        <item m="1" x="642"/>
        <item m="1" x="1435"/>
        <item m="1" x="1462"/>
        <item m="1" x="694"/>
        <item m="1" x="1491"/>
        <item m="1" x="722"/>
        <item m="1" x="1522"/>
        <item m="1" x="753"/>
        <item m="1" x="782"/>
        <item m="1" x="1584"/>
        <item m="1" x="811"/>
        <item m="1" x="1612"/>
        <item m="1" x="843"/>
        <item m="1" x="1642"/>
        <item m="1" x="1678"/>
        <item m="1" x="900"/>
        <item m="1" x="1707"/>
        <item m="1" x="931"/>
        <item m="1" x="1735"/>
        <item m="1" x="982"/>
        <item m="1" x="1788"/>
        <item m="1" x="1405"/>
        <item m="1" x="646"/>
        <item m="1" x="1438"/>
        <item m="1" x="673"/>
        <item m="1" x="698"/>
        <item m="1" x="1496"/>
        <item m="1" x="727"/>
        <item m="1" x="1527"/>
        <item m="1" x="757"/>
        <item m="1" x="1558"/>
        <item m="1" x="1588"/>
        <item m="1" x="816"/>
        <item m="1" x="1617"/>
        <item m="1" x="848"/>
        <item m="1" x="1646"/>
        <item m="1" x="874"/>
        <item m="1" x="904"/>
        <item m="1" x="1711"/>
        <item m="1" x="936"/>
        <item m="1" x="1739"/>
        <item m="1" x="960"/>
        <item m="1" x="1765"/>
        <item m="1" x="1792"/>
        <item m="1" x="1008"/>
        <item m="1" x="1816"/>
        <item m="1" x="1838"/>
        <item m="1" x="1470"/>
        <item m="1" x="1500"/>
        <item m="1" x="730"/>
        <item m="1" x="1531"/>
        <item m="1" x="1562"/>
        <item m="1" x="791"/>
        <item m="1" x="821"/>
        <item m="1" x="1621"/>
        <item m="1" x="852"/>
        <item m="1" x="1651"/>
        <item m="1" x="878"/>
        <item m="1" x="1687"/>
        <item m="1" x="1716"/>
        <item m="1" x="940"/>
        <item m="1" x="1744"/>
        <item m="1" x="964"/>
        <item m="1" x="1769"/>
        <item m="1" x="990"/>
        <item m="1" x="1012"/>
        <item m="1" x="1820"/>
        <item m="1" x="1034"/>
        <item m="1" x="1842"/>
        <item m="1" x="1053"/>
        <item m="1" x="296"/>
        <item m="1" x="764"/>
        <item m="1" x="1566"/>
        <item m="1" x="794"/>
        <item m="1" x="1597"/>
        <item m="1" x="826"/>
        <item m="1" x="1656"/>
        <item m="1" x="883"/>
        <item m="1" x="1691"/>
        <item m="1" x="913"/>
        <item m="1" x="1721"/>
        <item m="1" x="1748"/>
        <item m="1" x="969"/>
        <item m="1" x="1774"/>
        <item m="1" x="994"/>
        <item m="1" x="1801"/>
        <item m="1" x="1017"/>
        <item m="1" x="1038"/>
        <item m="1" x="1847"/>
        <item m="1" x="1057"/>
        <item m="1" x="299"/>
        <item m="1" x="1075"/>
        <item m="1" x="313"/>
        <item m="1" x="327"/>
        <item m="1" x="1103"/>
        <item m="1" x="346"/>
        <item m="1" x="829"/>
        <item m="1" x="1629"/>
        <item m="1" x="1660"/>
        <item m="1" x="887"/>
        <item m="1" x="1696"/>
        <item m="1" x="918"/>
        <item m="1" x="1724"/>
        <item m="1" x="949"/>
        <item m="1" x="973"/>
        <item m="1" x="1779"/>
        <item m="1" x="999"/>
        <item m="1" x="1806"/>
        <item m="1" x="1021"/>
        <item m="1" x="1829"/>
        <item m="1" x="1851"/>
        <item m="1" x="1062"/>
        <item m="1" x="304"/>
        <item m="1" x="1080"/>
        <item m="1" x="316"/>
        <item m="1" x="1093"/>
        <item m="1" x="1107"/>
        <item m="1" x="350"/>
        <item m="1" x="1121"/>
        <item m="1" x="366"/>
        <item m="1" x="1139"/>
        <item m="1" x="922"/>
        <item m="1" x="1728"/>
        <item m="1" x="952"/>
        <item m="1" x="1756"/>
        <item m="1" x="978"/>
        <item m="1" x="976"/>
        <item m="1" x="1001"/>
        <item m="1" x="1810"/>
        <item m="1" x="1025"/>
        <item m="1" x="1832"/>
        <item m="1" x="1046"/>
        <item m="1" x="1855"/>
        <item m="1" x="306"/>
        <item m="1" x="1084"/>
        <item m="1" x="320"/>
        <item m="1" x="1096"/>
        <item m="1" x="334"/>
        <item m="1" x="1111"/>
        <item m="1" x="354"/>
        <item m="1" x="1123"/>
        <item m="1" x="1142"/>
        <item m="1" x="378"/>
        <item m="1" x="1156"/>
        <item m="1" x="1664"/>
        <item m="1" x="1698"/>
        <item m="1" x="391"/>
        <item m="1" x="1175"/>
        <item m="1" x="408"/>
        <item m="1" x="340"/>
        <item m="1" x="1116"/>
        <item m="1" x="360"/>
        <item m="1" x="1130"/>
        <item m="1" x="1148"/>
        <item m="1" x="383"/>
        <item m="1" x="1162"/>
        <item m="1" x="396"/>
        <item m="1" x="1181"/>
        <item m="1" x="414"/>
        <item m="1" x="427"/>
        <item m="1" x="1209"/>
        <item m="1" x="444"/>
        <item m="1" x="1226"/>
        <item m="1" x="461"/>
        <item m="1" x="1245"/>
        <item m="1" x="1265"/>
        <item m="1" x="505"/>
        <item m="1" x="1292"/>
        <item m="1" x="528"/>
        <item m="1" x="1319"/>
        <item m="1" x="555"/>
        <item m="1" x="585"/>
        <item m="1" x="1377"/>
        <item m="1" x="385"/>
        <item m="1" x="1166"/>
        <item m="1" x="400"/>
        <item m="1" x="1185"/>
        <item m="1" x="417"/>
        <item m="1" x="1197"/>
        <item m="1" x="508"/>
        <item m="1" x="619"/>
        <item m="1" x="1411"/>
        <item m="1" x="1132"/>
        <item m="1" x="373"/>
        <item m="1" x="1212"/>
        <item m="1" x="448"/>
        <item m="1" x="1296"/>
        <item m="1" x="532"/>
        <item m="1" x="1323"/>
        <item m="1" x="1230"/>
        <item m="1" x="465"/>
        <item m="1" x="1248"/>
        <item m="1" x="486"/>
        <item m="1" x="558"/>
        <item m="1" x="1351"/>
        <item m="1" x="1380"/>
        <item m="1" x="1415"/>
        <item m="1" x="652"/>
        <item m="1" x="1170"/>
        <item m="1" x="403"/>
        <item m="1" x="421"/>
        <item m="1" x="1201"/>
        <item m="1" x="435"/>
        <item m="1" x="1217"/>
        <item m="1" x="453"/>
        <item m="1" x="1234"/>
        <item m="1" x="1252"/>
        <item m="1" x="490"/>
        <item m="1" x="1273"/>
        <item m="1" x="513"/>
        <item m="1" x="1301"/>
        <item m="1" x="536"/>
        <item m="1" x="562"/>
        <item m="1" x="1355"/>
        <item m="1" x="594"/>
        <item m="1" x="1386"/>
        <item m="1" x="628"/>
        <item m="1" x="1420"/>
        <item m="1" x="1446"/>
        <item m="1" x="680"/>
        <item m="1" x="1476"/>
        <item m="1" x="708"/>
        <item m="1" x="1508"/>
        <item m="1" x="737"/>
        <item m="1" x="1204"/>
        <item m="1" x="439"/>
        <item m="1" x="1221"/>
        <item m="1" x="456"/>
        <item m="1" x="1239"/>
        <item m="1" x="474"/>
        <item m="1" x="495"/>
        <item m="1" x="1279"/>
        <item m="1" x="519"/>
        <item m="1" x="1306"/>
        <item m="1" x="541"/>
        <item m="1" x="1332"/>
        <item m="1" x="1360"/>
        <item m="1" x="600"/>
        <item m="1" x="1391"/>
        <item m="1" x="659"/>
        <item m="1" x="682"/>
        <item m="1" x="1479"/>
        <item m="1" x="712"/>
        <item m="1" x="1512"/>
        <item m="1" x="741"/>
        <item m="1" x="1544"/>
        <item m="1" x="1286"/>
        <item m="1" x="1313"/>
        <item m="1" x="549"/>
        <item m="1" x="1341"/>
        <item m="1" x="577"/>
        <item m="1" x="1369"/>
        <item m="1" x="610"/>
        <item m="1" x="639"/>
        <item m="1" x="1432"/>
        <item m="1" x="668"/>
        <item m="1" x="1459"/>
        <item m="1" x="691"/>
        <item m="1" x="1489"/>
        <item m="1" x="1519"/>
        <item m="1" x="750"/>
        <item m="1" x="1552"/>
        <item m="1" x="779"/>
        <item m="1" x="1581"/>
        <item m="1" x="809"/>
        <item m="1" x="1609"/>
        <item m="1" x="840"/>
        <item m="1" x="1639"/>
        <item m="1" x="868"/>
        <item m="1" x="1675"/>
        <item m="1" x="898"/>
        <item m="1" x="1343"/>
        <item m="1" x="581"/>
        <item m="1" x="1372"/>
        <item m="1" x="614"/>
        <item m="1" x="1404"/>
        <item m="1" x="645"/>
        <item m="1" x="672"/>
        <item m="1" x="1465"/>
        <item m="1" x="696"/>
        <item m="1" x="1494"/>
        <item m="1" x="725"/>
        <item m="1" x="1525"/>
        <item m="1" x="1556"/>
        <item m="1" x="785"/>
        <item m="1" x="1586"/>
        <item m="1" x="814"/>
        <item m="1" x="1615"/>
        <item m="1" x="846"/>
        <item m="1" x="872"/>
        <item m="1" x="1681"/>
        <item m="1" x="902"/>
        <item m="1" x="1709"/>
        <item m="1" x="934"/>
        <item m="1" x="1737"/>
        <item m="1" x="984"/>
        <item m="1" x="1790"/>
        <item m="1" x="1406"/>
        <item m="1" x="648"/>
        <item m="1" x="1440"/>
        <item m="1" x="1469"/>
        <item m="1" x="701"/>
        <item m="1" x="1499"/>
        <item m="1" x="729"/>
        <item m="1" x="1529"/>
        <item m="1" x="760"/>
        <item m="1" x="789"/>
        <item m="1" x="1591"/>
        <item m="1" x="819"/>
        <item m="1" x="1619"/>
        <item m="1" x="850"/>
        <item m="1" x="1649"/>
        <item m="1" x="1685"/>
        <item m="1" x="907"/>
        <item m="1" x="1714"/>
        <item m="1" x="938"/>
        <item m="1" x="1742"/>
        <item m="1" x="962"/>
        <item m="1" x="988"/>
        <item m="1" x="1795"/>
        <item m="1" x="1010"/>
        <item m="1" x="1818"/>
        <item m="1" x="1840"/>
        <item m="1" x="703"/>
        <item m="1" x="1502"/>
        <item m="1" x="732"/>
        <item m="1" x="1533"/>
        <item m="1" x="763"/>
        <item m="1" x="1565"/>
        <item m="1" x="1595"/>
        <item m="1" x="824"/>
        <item m="1" x="1624"/>
        <item m="1" x="854"/>
        <item m="1" x="1654"/>
        <item m="1" x="881"/>
        <item m="1" x="911"/>
        <item m="1" x="943"/>
        <item m="1" x="1746"/>
        <item m="1" x="967"/>
        <item m="1" x="1772"/>
        <item m="1" x="1799"/>
        <item m="1" x="1015"/>
        <item m="1" x="1823"/>
        <item m="1" x="1036"/>
        <item m="1" x="1845"/>
        <item m="1" x="1055"/>
        <item m="1" x="1073"/>
        <item m="1" x="1719"/>
        <item m="1" x="1535"/>
        <item m="1" x="765"/>
        <item m="1" x="1568"/>
        <item m="1" x="796"/>
        <item m="1" x="1600"/>
        <item m="1" x="1628"/>
        <item m="1" x="1658"/>
        <item m="1" x="885"/>
        <item m="1" x="1694"/>
        <item m="1" x="916"/>
        <item m="1" x="947"/>
        <item m="1" x="1751"/>
        <item m="1" x="971"/>
        <item m="1" x="1777"/>
        <item m="1" x="997"/>
        <item m="1" x="1804"/>
        <item m="1" x="1827"/>
        <item m="1" x="1041"/>
        <item m="1" x="1849"/>
        <item m="1" x="1060"/>
        <item m="1" x="302"/>
        <item m="1" x="1078"/>
        <item m="1" x="1091"/>
        <item m="1" x="329"/>
        <item m="1" x="1105"/>
        <item m="1" x="348"/>
        <item m="1" x="831"/>
        <item m="1" x="859"/>
        <item m="1" x="1663"/>
        <item m="1" x="890"/>
        <item m="1" x="1697"/>
        <item m="1" x="921"/>
        <item m="1" x="1727"/>
        <item m="1" x="1755"/>
        <item m="1" x="975"/>
        <item m="1" x="1782"/>
        <item m="1" x="1000"/>
        <item m="1" x="1809"/>
        <item m="1" x="1024"/>
        <item m="1" x="1045"/>
        <item m="1" x="1854"/>
        <item m="1" x="1065"/>
        <item m="1" x="305"/>
        <item m="1" x="1083"/>
        <item m="1" x="319"/>
        <item m="1" x="333"/>
        <item m="1" x="1110"/>
        <item m="1" x="353"/>
        <item m="1" x="1122"/>
        <item m="1" x="367"/>
        <item m="1" x="1141"/>
        <item m="1" x="892"/>
        <item m="1" x="1700"/>
        <item m="1" x="923"/>
        <item m="1" x="1730"/>
        <item m="1" x="954"/>
        <item m="1" x="1758"/>
        <item m="1" x="1784"/>
        <item m="1" x="1003"/>
        <item m="1" x="1811"/>
        <item m="1" x="1027"/>
        <item m="1" x="1834"/>
        <item m="1" x="1048"/>
        <item m="1" x="1067"/>
        <item m="1" x="308"/>
        <item m="1" x="1085"/>
        <item m="1" x="322"/>
        <item m="1" x="1098"/>
        <item m="1" x="336"/>
        <item m="1" x="356"/>
        <item m="1" x="1125"/>
        <item m="1" x="1144"/>
        <item m="1" x="379"/>
        <item m="1" x="1157"/>
        <item m="1" x="1176"/>
        <item m="1" x="409"/>
        <item m="1" x="341"/>
        <item m="1" x="1117"/>
        <item m="1" x="361"/>
        <item m="1" x="372"/>
        <item m="1" x="1150"/>
        <item m="1" x="384"/>
        <item m="1" x="1164"/>
        <item m="1" x="398"/>
        <item m="1" x="1183"/>
        <item m="1" x="1195"/>
        <item m="1" x="429"/>
        <item m="1" x="1210"/>
        <item m="1" x="446"/>
        <item m="1" x="1228"/>
        <item m="1" x="463"/>
        <item m="1" x="484"/>
        <item m="1" x="1267"/>
        <item m="1" x="506"/>
        <item m="1" x="1294"/>
        <item m="1" x="530"/>
        <item m="1" x="1321"/>
        <item m="1" x="1349"/>
        <item m="1" x="587"/>
        <item m="1" x="1378"/>
        <item m="1" x="621"/>
        <item m="1" x="1413"/>
        <item m="1" x="1134"/>
        <item m="1" x="1152"/>
        <item m="1" x="387"/>
        <item m="1" x="1169"/>
        <item m="1" x="402"/>
        <item m="1" x="1188"/>
        <item m="1" x="420"/>
        <item m="1" x="433"/>
        <item m="1" x="1215"/>
        <item m="1" x="451"/>
        <item m="1" x="1232"/>
        <item m="1" x="468"/>
        <item m="1" x="1271"/>
        <item m="1" x="511"/>
        <item m="1" x="1299"/>
        <item m="1" x="534"/>
        <item m="1" x="1326"/>
        <item m="1" x="560"/>
        <item m="1" x="592"/>
        <item m="1" x="1384"/>
        <item m="1" x="626"/>
        <item m="1" x="1418"/>
        <item m="1" x="655"/>
        <item m="1" x="1444"/>
        <item m="1" x="405"/>
        <item m="1" x="1189"/>
        <item m="1" x="423"/>
        <item m="1" x="1203"/>
        <item m="1" x="438"/>
        <item m="1" x="1220"/>
        <item m="1" x="1237"/>
        <item m="1" x="472"/>
        <item m="1" x="1256"/>
        <item m="1" x="493"/>
        <item m="1" x="1277"/>
        <item m="1" x="1250"/>
        <item m="1" x="517"/>
        <item m="1" x="539"/>
        <item m="1" x="1330"/>
        <item m="1" x="566"/>
        <item m="1" x="1358"/>
        <item m="1" x="598"/>
        <item m="1" x="1448"/>
        <item m="1" x="739"/>
        <item m="1" x="477"/>
        <item m="1" x="1260"/>
        <item m="1" x="498"/>
        <item m="1" x="1310"/>
        <item m="1" x="1335"/>
        <item m="1" x="571"/>
        <item m="1" x="1364"/>
        <item m="1" x="604"/>
        <item m="1" x="1393"/>
        <item m="1" x="662"/>
        <item m="1" x="1453"/>
        <item m="1" x="686"/>
        <item m="1" x="1483"/>
        <item m="1" x="714"/>
        <item m="1" x="1547"/>
        <item m="1" x="773"/>
        <item m="1" x="1576"/>
        <item m="1" x="803"/>
        <item m="1" x="479"/>
        <item m="1" x="500"/>
        <item m="1" x="1285"/>
        <item m="1" x="522"/>
        <item m="1" x="1312"/>
        <item m="1" x="548"/>
        <item m="1" x="1288"/>
        <item m="1" x="524"/>
        <item m="1" x="1315"/>
        <item m="1" x="551"/>
        <item m="1" x="1342"/>
        <item m="1" x="580"/>
        <item m="1" x="613"/>
        <item m="1" x="1402"/>
        <item m="1" x="643"/>
        <item m="1" x="1436"/>
        <item m="1" x="670"/>
        <item m="1" x="1463"/>
        <item m="1" x="1492"/>
        <item m="1" x="723"/>
        <item m="1" x="1523"/>
        <item m="1" x="754"/>
        <item m="1" x="1554"/>
        <item m="1" x="783"/>
        <item m="1" x="812"/>
        <item m="1" x="1613"/>
        <item m="1" x="844"/>
        <item m="1" x="1643"/>
        <item m="1" x="870"/>
        <item m="1" x="1679"/>
        <item m="1" x="932"/>
        <item m="1" x="1344"/>
        <item m="1" x="582"/>
        <item m="1" x="1373"/>
        <item m="1" x="615"/>
        <item m="1" x="647"/>
        <item m="1" x="1439"/>
        <item m="1" x="674"/>
        <item m="1" x="1467"/>
        <item m="1" x="699"/>
        <item m="1" x="1497"/>
        <item m="1" x="758"/>
        <item m="1" x="1559"/>
        <item m="1" x="787"/>
        <item m="1" x="1589"/>
        <item m="1" x="817"/>
        <item m="1" x="1647"/>
        <item m="1" x="875"/>
        <item m="1" x="1683"/>
        <item m="1" x="905"/>
        <item m="1" x="1712"/>
        <item m="1" x="1740"/>
        <item m="1" x="1766"/>
        <item m="1" x="986"/>
        <item m="1" x="1793"/>
        <item m="1" x="1407"/>
        <item m="1" x="1441"/>
        <item m="1" x="675"/>
        <item m="1" x="1471"/>
        <item m="1" x="702"/>
        <item m="1" x="1501"/>
        <item m="1" x="731"/>
        <item m="1" x="1563"/>
        <item m="1" x="792"/>
        <item m="1" x="1593"/>
        <item m="1" x="822"/>
        <item m="1" x="1622"/>
        <item m="1" x="1652"/>
        <item m="1" x="879"/>
        <item m="1" x="1688"/>
        <item m="1" x="909"/>
        <item m="1" x="1717"/>
        <item m="1" x="941"/>
        <item m="1" x="965"/>
        <item m="1" x="1770"/>
        <item m="1" x="991"/>
        <item m="1" x="1797"/>
        <item m="1" x="1013"/>
        <item m="1" x="1821"/>
        <item m="1" x="1843"/>
        <item m="1" x="704"/>
        <item m="1" x="1503"/>
        <item m="1" x="733"/>
        <item m="1" x="1567"/>
        <item m="1" x="795"/>
        <item m="1" x="1598"/>
        <item m="1" x="827"/>
        <item m="1" x="1626"/>
        <item m="1" x="856"/>
        <item m="1" x="1692"/>
        <item m="1" x="914"/>
        <item m="1" x="945"/>
        <item m="1" x="1749"/>
        <item m="1" x="1775"/>
        <item m="1" x="995"/>
        <item m="1" x="1802"/>
        <item m="1" x="1018"/>
        <item m="1" x="1825"/>
        <item m="1" x="1039"/>
        <item m="1" x="1058"/>
        <item m="1" x="300"/>
        <item m="1" x="1076"/>
        <item m="1" x="1536"/>
        <item m="1" x="766"/>
        <item m="1" x="1569"/>
        <item m="1" x="1601"/>
        <item m="1" x="830"/>
        <item m="1" x="1630"/>
        <item m="1" x="858"/>
        <item m="1" x="1661"/>
        <item m="1" x="888"/>
        <item m="1" x="919"/>
        <item m="1" x="1725"/>
        <item m="1" x="950"/>
        <item m="1" x="1753"/>
        <item m="1" x="974"/>
        <item m="1" x="1780"/>
        <item m="1" x="1807"/>
        <item m="1" x="1022"/>
        <item m="1" x="1830"/>
        <item m="1" x="1043"/>
        <item m="1" x="1852"/>
        <item m="1" x="1063"/>
        <item m="1" x="1081"/>
        <item m="1" x="317"/>
        <item m="1" x="1094"/>
        <item m="1" x="331"/>
        <item m="1" x="1108"/>
        <item m="1" x="351"/>
        <item m="1" x="832"/>
        <item m="1" x="1631"/>
        <item m="1" x="860"/>
        <item m="1" x="1665"/>
        <item m="1" x="891"/>
        <item m="1" x="1699"/>
        <item m="1" x="1729"/>
        <item m="1" x="953"/>
        <item m="1" x="1757"/>
        <item m="1" x="977"/>
        <item m="1" x="1783"/>
        <item m="1" x="1002"/>
        <item m="1" x="1026"/>
        <item m="1" x="1833"/>
        <item m="1" x="1047"/>
        <item m="1" x="1856"/>
        <item m="1" x="1066"/>
        <item m="1" x="307"/>
        <item m="1" x="321"/>
        <item m="1" x="1097"/>
        <item m="1" x="335"/>
        <item m="1" x="1112"/>
        <item m="1" x="355"/>
        <item m="1" x="1124"/>
        <item m="1" x="1143"/>
        <item m="1" x="1666"/>
        <item m="1" x="893"/>
        <item m="1" x="1701"/>
        <item m="1" x="924"/>
        <item m="1" x="1731"/>
        <item m="1" x="1759"/>
        <item m="1" x="1785"/>
        <item m="1" x="1004"/>
        <item m="1" x="1812"/>
        <item m="1" x="1028"/>
        <item m="1" x="1049"/>
        <item m="1" x="1857"/>
        <item m="1" x="1068"/>
        <item m="1" x="309"/>
        <item m="1" x="1086"/>
        <item m="1" x="323"/>
        <item m="1" x="337"/>
        <item m="1" x="1113"/>
        <item m="1" x="357"/>
        <item m="1" x="1126"/>
        <item m="1" x="1145"/>
        <item m="1" x="1158"/>
        <item m="1" x="392"/>
        <item m="1" x="1177"/>
        <item m="1" x="410"/>
        <item x="163"/>
        <item m="1" x="342"/>
        <item m="1" x="362"/>
        <item m="1" x="1133"/>
        <item m="1" x="374"/>
        <item m="1" x="1151"/>
        <item m="1" x="386"/>
        <item m="1" x="1167"/>
        <item m="1" x="1186"/>
        <item m="1" x="418"/>
        <item m="1" x="1198"/>
        <item m="1" x="431"/>
        <item m="1" x="1213"/>
        <item m="1" x="449"/>
        <item m="1" x="466"/>
        <item m="1" x="1249"/>
        <item m="1" x="487"/>
        <item m="1" x="1269"/>
        <item m="1" x="509"/>
        <item m="1" x="1297"/>
        <item m="1" x="1324"/>
        <item m="1" x="559"/>
        <item m="1" x="1352"/>
        <item m="1" x="589"/>
        <item m="1" x="1381"/>
        <item m="1" x="623"/>
        <item m="1" x="1135"/>
        <item m="1" x="375"/>
        <item m="1" x="1153"/>
        <item m="1" x="388"/>
        <item m="1" x="1171"/>
        <item m="1" x="404"/>
        <item m="1" x="422"/>
        <item m="1" x="1202"/>
        <item m="1" x="436"/>
        <item m="1" x="1218"/>
        <item m="1" x="454"/>
        <item m="1" x="1235"/>
        <item m="1" x="1253"/>
        <item m="1" x="491"/>
        <item m="1" x="1274"/>
        <item m="1" x="514"/>
        <item m="1" x="1302"/>
        <item m="1" x="537"/>
        <item m="1" x="563"/>
        <item m="1" x="1356"/>
        <item m="1" x="595"/>
        <item m="1" x="1387"/>
        <item m="1" x="629"/>
        <item m="1" x="1421"/>
        <item m="1" x="1172"/>
        <item m="1" x="406"/>
        <item m="1" x="1190"/>
        <item m="1" x="424"/>
        <item m="1" x="1205"/>
        <item m="1" x="440"/>
        <item m="1" x="457"/>
        <item m="1" x="1240"/>
        <item m="1" x="475"/>
        <item m="1" x="1258"/>
        <item m="1" x="496"/>
        <item m="1" x="1280"/>
        <item m="1" x="1307"/>
        <item m="1" x="542"/>
        <item m="1" x="1333"/>
        <item m="1" x="568"/>
        <item m="1" x="1361"/>
        <item m="1" x="601"/>
        <item m="1" x="633"/>
        <item m="1" x="1424"/>
        <item m="1" x="660"/>
        <item m="1" x="1450"/>
        <item m="1" x="683"/>
        <item m="1" x="1480"/>
        <item m="1" x="1513"/>
        <item m="1" x="742"/>
        <item m="1" x="1545"/>
        <item m="1" x="1222"/>
        <item m="1" x="1241"/>
        <item m="1" x="478"/>
        <item m="1" x="1261"/>
        <item m="1" x="499"/>
        <item m="1" x="1284"/>
        <item m="1" x="546"/>
        <item m="1" x="1337"/>
        <item m="1" x="573"/>
        <item m="1" x="1366"/>
        <item m="1" x="606"/>
        <item m="1" x="1395"/>
        <item m="1" x="1428"/>
        <item m="1" x="664"/>
        <item m="1" x="1455"/>
        <item m="1" x="688"/>
        <item m="1" x="1485"/>
        <item m="1" x="716"/>
        <item m="1" x="746"/>
        <item m="1" x="775"/>
        <item m="1" x="1578"/>
        <item m="1" x="805"/>
        <item m="1" x="1262"/>
        <item m="1" x="501"/>
        <item m="1" x="1287"/>
        <item m="1" x="523"/>
        <item m="1" x="1314"/>
        <item m="1" x="550"/>
        <item m="1" x="578"/>
        <item m="1" x="1370"/>
        <item m="1" x="611"/>
        <item m="1" x="1399"/>
        <item m="1" x="640"/>
        <item m="1" x="1433"/>
        <item m="1" x="1460"/>
        <item m="1" x="692"/>
        <item m="1" x="1490"/>
        <item m="1" x="720"/>
        <item m="1" x="1520"/>
        <item m="1" x="751"/>
        <item m="1" x="780"/>
        <item m="1" x="1582"/>
        <item m="1" x="810"/>
        <item m="1" x="1610"/>
        <item m="1" x="841"/>
        <item m="1" x="1640"/>
        <item m="1" x="167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3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0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20"/>
        <item x="221"/>
        <item x="222"/>
        <item x="218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showAll="0"/>
    <pivotField axis="axisPage" multipleItemSelectionAllowed="1" showAll="0">
      <items count="56">
        <item h="1" x="48"/>
        <item h="1" m="1" x="51"/>
        <item h="1" m="1" x="49"/>
        <item h="1" m="1" x="53"/>
        <item h="1" m="1" x="52"/>
        <item h="1" m="1" x="5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6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4"/>
        <item h="1" m="1" x="5"/>
        <item h="1" x="2"/>
        <item h="1" x="0"/>
        <item h="1" m="1" x="7"/>
        <item h="1" x="3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55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3" applyNumberFormats="0" applyBorderFormats="0" applyFontFormats="0" applyPatternFormats="0" applyAlignmentFormats="0" applyWidthHeightFormats="1" dataCaption="Valores" grandTotalCaption="TOTAL" updatedVersion="7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3">
        <item x="5"/>
        <item x="0"/>
        <item x="1"/>
        <item x="2"/>
        <item x="11"/>
        <item x="3"/>
        <item x="4"/>
        <item x="6"/>
        <item x="7"/>
        <item x="8"/>
        <item x="9"/>
        <item x="10"/>
        <item t="default"/>
      </items>
    </pivotField>
    <pivotField showAll="0"/>
    <pivotField showAll="0"/>
    <pivotField axis="axisPage" multipleItemSelectionAllowed="1" showAll="0">
      <items count="8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0"/>
        <item h="1" x="39"/>
        <item h="1" x="42"/>
        <item h="1" x="43"/>
        <item h="1" x="40"/>
        <item h="1" x="41"/>
        <item h="1" m="1" x="8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82"/>
        <item t="default"/>
      </items>
    </pivotField>
    <pivotField axis="axisRow" showAll="0">
      <items count="6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6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4"/>
        <item h="1" x="2"/>
        <item h="1" x="3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5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5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50">
      <pivotArea outline="0" collapsedLevelsAreSubtotals="1" fieldPosition="0"/>
    </format>
    <format dxfId="64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13:D51" firstHeaderRow="0" firstDataRow="1" firstDataCol="2" rowPageCount="1" colPageCount="1"/>
  <pivotFields count="10">
    <pivotField compact="0" outline="0" showAll="0" defaultSubtotal="0"/>
    <pivotField axis="axisPage" compact="0" outline="0" multipleItemSelectionAllowed="1" showAll="0" defaultSubtotal="0">
      <items count="12">
        <item h="1" x="5"/>
        <item x="0"/>
        <item h="1" x="11"/>
        <item h="1" x="1"/>
        <item h="1" x="2"/>
        <item h="1" x="3"/>
        <item h="1" x="4"/>
        <item h="1" x="6"/>
        <item h="1" x="7"/>
        <item h="1" x="8"/>
        <item h="1" x="9"/>
        <item h="1" x="1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83">
        <item x="1"/>
        <item x="0"/>
        <item x="21"/>
        <item x="35"/>
        <item x="16"/>
        <item x="36"/>
        <item x="2"/>
        <item x="27"/>
        <item x="30"/>
        <item x="15"/>
        <item x="14"/>
        <item x="13"/>
        <item x="33"/>
        <item x="28"/>
        <item x="6"/>
        <item x="34"/>
        <item x="29"/>
        <item x="5"/>
        <item x="22"/>
        <item x="3"/>
        <item x="9"/>
        <item x="4"/>
        <item x="7"/>
        <item x="8"/>
        <item x="17"/>
        <item x="10"/>
        <item x="11"/>
        <item x="23"/>
        <item x="26"/>
        <item x="18"/>
        <item x="20"/>
        <item x="31"/>
        <item x="25"/>
        <item x="12"/>
        <item x="19"/>
        <item x="24"/>
        <item x="32"/>
        <item h="1" x="80"/>
        <item h="1" x="37"/>
        <item h="1" x="38"/>
        <item h="1" x="39"/>
        <item h="1" x="42"/>
        <item h="1" x="43"/>
        <item h="1" x="40"/>
        <item h="1" x="41"/>
        <item h="1" m="1" x="8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82"/>
      </items>
    </pivotField>
    <pivotField axis="axisRow" compact="0" outline="0" showAll="0" defaultSubtotal="0">
      <items count="65">
        <item x="21"/>
        <item x="31"/>
        <item x="28"/>
        <item x="33"/>
        <item x="7"/>
        <item x="4"/>
        <item x="1"/>
        <item x="27"/>
        <item x="8"/>
        <item x="5"/>
        <item x="6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64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</items>
    </pivotField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</pivotFields>
  <rowFields count="2">
    <field x="4"/>
    <field x="5"/>
  </rowFields>
  <rowItems count="38">
    <i>
      <x/>
      <x v="6"/>
    </i>
    <i>
      <x v="1"/>
      <x v="23"/>
    </i>
    <i>
      <x v="2"/>
      <x/>
    </i>
    <i>
      <x v="3"/>
      <x v="21"/>
    </i>
    <i>
      <x v="4"/>
      <x v="20"/>
    </i>
    <i>
      <x v="5"/>
      <x v="22"/>
    </i>
    <i>
      <x v="6"/>
      <x v="12"/>
    </i>
    <i>
      <x v="7"/>
      <x v="7"/>
    </i>
    <i>
      <x v="8"/>
      <x v="11"/>
    </i>
    <i>
      <x v="9"/>
      <x v="15"/>
    </i>
    <i>
      <x v="10"/>
      <x v="14"/>
    </i>
    <i>
      <x v="11"/>
      <x v="13"/>
    </i>
    <i>
      <x v="12"/>
      <x v="3"/>
    </i>
    <i>
      <x v="13"/>
      <x v="2"/>
    </i>
    <i>
      <x v="14"/>
      <x v="10"/>
    </i>
    <i>
      <x v="15"/>
      <x v="31"/>
    </i>
    <i>
      <x v="16"/>
      <x v="33"/>
    </i>
    <i>
      <x v="17"/>
      <x v="9"/>
    </i>
    <i>
      <x v="18"/>
      <x v="34"/>
    </i>
    <i>
      <x v="19"/>
      <x v="35"/>
    </i>
    <i>
      <x v="20"/>
      <x v="28"/>
    </i>
    <i>
      <x v="21"/>
      <x v="5"/>
    </i>
    <i>
      <x v="22"/>
      <x v="4"/>
    </i>
    <i>
      <x v="23"/>
      <x v="8"/>
    </i>
    <i>
      <x v="24"/>
      <x v="32"/>
    </i>
    <i>
      <x v="25"/>
      <x v="30"/>
    </i>
    <i>
      <x v="26"/>
      <x v="24"/>
    </i>
    <i>
      <x v="27"/>
      <x v="27"/>
    </i>
    <i>
      <x v="28"/>
      <x v="26"/>
    </i>
    <i>
      <x v="29"/>
      <x v="29"/>
    </i>
    <i>
      <x v="30"/>
      <x v="25"/>
    </i>
    <i>
      <x v="31"/>
      <x v="1"/>
    </i>
    <i>
      <x v="32"/>
      <x v="18"/>
    </i>
    <i>
      <x v="33"/>
      <x v="19"/>
    </i>
    <i>
      <x v="34"/>
      <x v="45"/>
    </i>
    <i>
      <x v="35"/>
      <x v="16"/>
    </i>
    <i>
      <x v="36"/>
      <x v="1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ROD DIARIA (PAQ)" fld="6" baseField="5" baseItem="7" numFmtId="3"/>
    <dataField name="VENTA TOTAL" fld="8" baseField="5" baseItem="7" numFmtId="169"/>
  </dataFields>
  <formats count="18">
    <format dxfId="66">
      <pivotArea outline="0" fieldPosition="0">
        <references count="1">
          <reference field="4294967294" count="1" selected="0">
            <x v="0"/>
          </reference>
        </references>
      </pivotArea>
    </format>
    <format dxfId="65">
      <pivotArea outline="0" fieldPosition="0">
        <references count="1">
          <reference field="4294967294" count="1" selected="0">
            <x v="1"/>
          </reference>
        </references>
      </pivotArea>
    </format>
    <format dxfId="64">
      <pivotArea dataOnly="0" labelOnly="1" outline="0" fieldPosition="0">
        <references count="1">
          <reference field="4" count="0"/>
        </references>
      </pivotArea>
    </format>
    <format dxfId="63">
      <pivotArea dataOnly="0" labelOnly="1" grandRow="1" outline="0" fieldPosition="0"/>
    </format>
    <format dxfId="62">
      <pivotArea field="4" type="button" dataOnly="0" labelOnly="1" outline="0" axis="axisRow" fieldPosition="0"/>
    </format>
    <format dxfId="61">
      <pivotArea field="5" type="button" dataOnly="0" labelOnly="1" outline="0" axis="axisRow" fieldPosition="1"/>
    </format>
    <format dxfId="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">
      <pivotArea field="4" type="button" dataOnly="0" labelOnly="1" outline="0" axis="axisRow" fieldPosition="0"/>
    </format>
    <format dxfId="58">
      <pivotArea field="5" type="button" dataOnly="0" labelOnly="1" outline="0" axis="axisRow" fieldPosition="1"/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field="4" type="button" dataOnly="0" labelOnly="1" outline="0" axis="axisRow" fieldPosition="0"/>
    </format>
    <format dxfId="55">
      <pivotArea field="5" type="button" dataOnly="0" labelOnly="1" outline="0" axis="axisRow" fieldPosition="1"/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outline="0" collapsedLevelsAreSubtotals="1" fieldPosition="0"/>
    </format>
    <format dxfId="52">
      <pivotArea field="1" type="button" dataOnly="0" labelOnly="1" outline="0" axis="axisPage" fieldPosition="0"/>
    </format>
    <format dxfId="51">
      <pivotArea dataOnly="0" labelOnly="1" outline="0" fieldPosition="0">
        <references count="1">
          <reference field="1" count="0"/>
        </references>
      </pivotArea>
    </format>
    <format dxfId="50">
      <pivotArea dataOnly="0" labelOnly="1" outline="0" fieldPosition="0">
        <references count="1">
          <reference field="1" count="0"/>
        </references>
      </pivotArea>
    </format>
    <format dxfId="49">
      <pivotArea dataOnly="0" labelOnly="1" outline="0" fieldPosition="0">
        <references count="1">
          <reference field="1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Tabla dinámica6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M4:N4" firstHeaderRow="1" firstDataRow="1" firstDataCol="1" rowPageCount="1" colPageCount="1"/>
  <pivotFields count="9">
    <pivotField axis="axisPage" multipleItemSelectionAllowed="1" showAll="0" defaultSubtotal="0">
      <items count="1775">
        <item h="1" m="1" x="579"/>
        <item h="1" m="1" x="611"/>
        <item h="1" m="1" x="1358"/>
        <item h="1" m="1" x="638"/>
        <item h="1" m="1" x="1383"/>
        <item h="1" m="1" x="662"/>
        <item h="1" m="1" x="1413"/>
        <item h="1" m="1" x="1442"/>
        <item h="1" m="1" x="1473"/>
        <item h="1" m="1" x="748"/>
        <item h="1" m="1" x="1505"/>
        <item h="1" m="1" x="778"/>
        <item h="1" m="1" x="462"/>
        <item h="1" m="1" x="1201"/>
        <item h="1" m="1" x="483"/>
        <item h="1" m="1" x="1222"/>
        <item h="1" m="1" x="506"/>
        <item h="1" m="1" x="1249"/>
        <item h="1" m="1" x="1273"/>
        <item h="1" m="1" x="584"/>
        <item h="1" m="1" x="617"/>
        <item h="1" m="1" x="1416"/>
        <item h="1" m="1" x="694"/>
        <item h="1" m="1" x="1446"/>
        <item h="1" m="1" x="1476"/>
        <item h="1" m="1" x="1507"/>
        <item h="1" m="1" x="1535"/>
        <item h="1" m="1" x="812"/>
        <item h="1" m="1" x="837"/>
        <item h="1" m="1" x="1596"/>
        <item h="1" m="1" x="1228"/>
        <item h="1" m="1" x="1253"/>
        <item h="1" m="1" x="535"/>
        <item h="1" m="1" x="559"/>
        <item h="1" m="1" x="1306"/>
        <item h="1" m="1" x="590"/>
        <item h="1" m="1" x="1333"/>
        <item h="1" m="1" x="620"/>
        <item h="1" m="1" x="1367"/>
        <item h="1" m="1" x="1391"/>
        <item h="1" m="1" x="669"/>
        <item h="1" m="1" x="1420"/>
        <item h="1" m="1" x="698"/>
        <item h="1" m="1" x="1450"/>
        <item h="1" m="1" x="726"/>
        <item h="1" m="1" x="752"/>
        <item h="1" m="1" x="1510"/>
        <item h="1" m="1" x="782"/>
        <item h="1" m="1" x="1537"/>
        <item h="1" m="1" x="813"/>
        <item h="1" m="1" x="1565"/>
        <item h="1" m="1" x="1598"/>
        <item h="1" m="1" x="869"/>
        <item h="1" m="1" x="898"/>
        <item h="1" m="1" x="1284"/>
        <item h="1" m="1" x="565"/>
        <item h="1" m="1" x="595"/>
        <item h="1" m="1" x="1338"/>
        <item h="1" m="1" x="624"/>
        <item h="1" m="1" x="651"/>
        <item h="1" m="1" x="1397"/>
        <item h="1" m="1" x="1425"/>
        <item h="1" m="1" x="702"/>
        <item h="1" m="1" x="1453"/>
        <item h="1" m="1" x="729"/>
        <item h="1" m="1" x="1484"/>
        <item h="1" m="1" x="758"/>
        <item h="1" m="1" x="787"/>
        <item h="1" m="1" x="1539"/>
        <item h="1" m="1" x="816"/>
        <item h="1" m="1" x="1567"/>
        <item h="1" m="1" x="841"/>
        <item h="1" m="1" x="1601"/>
        <item h="1" m="1" x="1631"/>
        <item h="1" m="1" x="900"/>
        <item h="1" m="1" x="1658"/>
        <item h="1" m="1" x="945"/>
        <item h="1" m="1" x="1342"/>
        <item h="1" m="1" x="627"/>
        <item h="1" m="1" x="1375"/>
        <item h="1" m="1" x="655"/>
        <item h="1" m="1" x="1401"/>
        <item h="1" m="1" x="679"/>
        <item h="1" m="1" x="706"/>
        <item h="1" m="1" x="1457"/>
        <item h="1" m="1" x="734"/>
        <item h="1" m="1" x="1488"/>
        <item h="1" m="1" x="762"/>
        <item h="1" m="1" x="1519"/>
        <item h="1" m="1" x="1544"/>
        <item h="1" m="1" x="820"/>
        <item h="1" m="1" x="1572"/>
        <item h="1" m="1" x="845"/>
        <item h="1" m="1" x="1605"/>
        <item h="1" m="1" x="874"/>
        <item h="1" m="1" x="1633"/>
        <item h="1" m="1" x="903"/>
        <item h="1" m="1" x="1660"/>
        <item h="1" m="1" x="927"/>
        <item h="1" m="1" x="1685"/>
        <item h="1" m="1" x="946"/>
        <item h="1" m="1" x="1709"/>
        <item h="1" m="1" x="1733"/>
        <item h="1" m="1" x="1754"/>
        <item h="1" m="1" x="1406"/>
        <item h="1" m="1" x="682"/>
        <item h="1" m="1" x="1462"/>
        <item h="1" m="1" x="738"/>
        <item h="1" m="1" x="1492"/>
        <item h="1" m="1" x="767"/>
        <item h="1" m="1" x="1522"/>
        <item h="1" m="1" x="825"/>
        <item h="1" m="1" x="1576"/>
        <item h="1" m="1" x="849"/>
        <item h="1" m="1" x="1610"/>
        <item h="1" m="1" x="877"/>
        <item h="1" m="1" x="1637"/>
        <item h="1" m="1" x="1664"/>
        <item h="1" m="1" x="929"/>
        <item h="1" m="1" x="1687"/>
        <item h="1" m="1" x="950"/>
        <item h="1" m="1" x="1712"/>
        <item h="1" m="1" x="971"/>
        <item h="1" m="1" x="992"/>
        <item h="1" m="1" x="1756"/>
        <item h="1" m="1" x="1009"/>
        <item h="1" m="1" x="293"/>
        <item h="1" m="1" x="1027"/>
        <item h="1" m="1" x="1466"/>
        <item h="1" m="1" x="1496"/>
        <item h="1" m="1" x="771"/>
        <item h="1" m="1" x="1527"/>
        <item h="1" m="1" x="799"/>
        <item h="1" m="1" x="1552"/>
        <item h="1" m="1" x="853"/>
        <item h="1" m="1" x="1614"/>
        <item h="1" m="1" x="882"/>
        <item h="1" m="1" x="1641"/>
        <item h="1" m="1" x="911"/>
        <item h="1" m="1" x="1669"/>
        <item h="1" m="1" x="1691"/>
        <item h="1" m="1" x="954"/>
        <item h="1" m="1" x="1717"/>
        <item h="1" m="1" x="974"/>
        <item h="1" m="1" x="1738"/>
        <item h="1" m="1" x="994"/>
        <item h="1" m="1" x="1011"/>
        <item h="1" m="1" x="295"/>
        <item h="1" m="1" x="1029"/>
        <item h="1" m="1" x="310"/>
        <item h="1" m="1" x="1044"/>
        <item h="1" m="1" x="324"/>
        <item h="1" m="1" x="342"/>
        <item h="1" m="1" x="804"/>
        <item h="1" m="1" x="1557"/>
        <item h="1" m="1" x="831"/>
        <item h="1" m="1" x="1585"/>
        <item h="1" m="1" x="1618"/>
        <item h="1" m="1" x="886"/>
        <item h="1" m="1" x="1646"/>
        <item h="1" m="1" x="916"/>
        <item h="1" m="1" x="1672"/>
        <item h="1" m="1" x="937"/>
        <item h="1" m="1" x="958"/>
        <item h="1" m="1" x="1721"/>
        <item h="1" m="1" x="979"/>
        <item h="1" m="1" x="1743"/>
        <item h="1" m="1" x="997"/>
        <item h="1" m="1" x="1764"/>
        <item h="1" m="1" x="298"/>
        <item h="1" m="1" x="1032"/>
        <item h="1" m="1" x="312"/>
        <item h="1" m="1" x="1046"/>
        <item h="1" m="1" x="325"/>
        <item h="1" m="1" x="1057"/>
        <item h="1" m="1" x="1072"/>
        <item h="1" m="1" x="361"/>
        <item h="1" m="1" x="1090"/>
        <item h="1" m="1" x="1588"/>
        <item h="1" m="1" x="861"/>
        <item h="1" m="1" x="1623"/>
        <item h="1" m="1" x="1649"/>
        <item h="1" m="1" x="920"/>
        <item h="1" m="1" x="1677"/>
        <item h="1" m="1" x="1700"/>
        <item h="1" m="1" x="963"/>
        <item h="1" m="1" x="983"/>
        <item h="1" m="1" x="1747"/>
        <item h="1" m="1" x="1001"/>
        <item h="1" m="1" x="1767"/>
        <item h="1" m="1" x="1019"/>
        <item h="1" m="1" x="303"/>
        <item h="1" m="1" x="315"/>
        <item h="1" m="1" x="1049"/>
        <item h="1" m="1" x="329"/>
        <item h="1" m="1" x="1060"/>
        <item h="1" m="1" x="347"/>
        <item h="1" m="1" x="1074"/>
        <item h="1" m="1" x="1092"/>
        <item h="1" m="1" x="373"/>
        <item h="1" m="1" x="1108"/>
        <item h="1" m="1" x="385"/>
        <item h="1" m="1" x="402"/>
        <item h="1" m="1" x="337"/>
        <item h="1" m="1" x="1068"/>
        <item h="1" m="1" x="356"/>
        <item h="1" m="1" x="1081"/>
        <item h="1" m="1" x="365"/>
        <item h="1" m="1" x="1100"/>
        <item h="1" m="1" x="1113"/>
        <item h="1" m="1" x="389"/>
        <item h="1" m="1" x="1130"/>
        <item h="1" m="1" x="406"/>
        <item h="1" m="1" x="1142"/>
        <item h="1" m="1" x="419"/>
        <item h="1" m="1" x="434"/>
        <item h="1" m="1" x="1171"/>
        <item h="1" m="1" x="450"/>
        <item h="1" m="1" x="1189"/>
        <item h="1" m="1" x="473"/>
        <item h="1" m="1" x="1211"/>
        <item h="1" m="1" x="1236"/>
        <item h="1" m="1" x="517"/>
        <item h="1" m="1" x="1261"/>
        <item h="1" m="1" x="544"/>
        <item h="1" m="1" x="1291"/>
        <item h="1" m="1" x="573"/>
        <item h="1" m="1" x="604"/>
        <item h="1" m="1" x="1350"/>
        <item h="1" m="1" x="1083"/>
        <item h="1" m="1" x="367"/>
        <item h="1" m="1" x="1101"/>
        <item h="1" m="1" x="378"/>
        <item h="1" m="1" x="391"/>
        <item h="1" m="1" x="1132"/>
        <item h="1" m="1" x="1144"/>
        <item h="1" m="1" x="420"/>
        <item h="1" m="1" x="1157"/>
        <item h="1" m="1" x="1173"/>
        <item h="1" m="1" x="452"/>
        <item h="1" m="1" x="1191"/>
        <item h="1" m="1" x="475"/>
        <item h="1" m="1" x="1212"/>
        <item h="1" m="1" x="495"/>
        <item h="1" m="1" x="519"/>
        <item h="1" m="1" x="1263"/>
        <item h="1" m="1" x="546"/>
        <item h="1" m="1" x="1293"/>
        <item h="1" m="1" x="574"/>
        <item h="1" m="1" x="1320"/>
        <item h="1" m="1" x="1352"/>
        <item h="1" m="1" x="635"/>
        <item h="1" m="1" x="1118"/>
        <item h="1" m="1" x="410"/>
        <item h="1" m="1" x="424"/>
        <item h="1" m="1" x="1160"/>
        <item h="1" m="1" x="439"/>
        <item h="1" m="1" x="1177"/>
        <item h="1" m="1" x="456"/>
        <item h="1" m="1" x="1194"/>
        <item h="1" m="1" x="1216"/>
        <item h="1" m="1" x="498"/>
        <item h="1" m="1" x="1241"/>
        <item h="1" m="1" x="523"/>
        <item h="1" m="1" x="1267"/>
        <item h="1" m="1" x="549"/>
        <item h="1" m="1" x="609"/>
        <item h="1" m="1" x="1356"/>
        <item h="1" m="1" x="1412"/>
        <item h="1" m="1" x="690"/>
        <item h="1" m="1" x="1441"/>
        <item h="1" m="1" x="718"/>
        <item h="1" m="1" x="1472"/>
        <item h="1" m="1" x="1150"/>
        <item h="1" m="1" x="444"/>
        <item h="1" m="1" x="1181"/>
        <item h="1" m="1" x="461"/>
        <item h="1" m="1" x="1198"/>
        <item h="1" m="1" x="503"/>
        <item h="1" m="1" x="1246"/>
        <item h="1" m="1" x="527"/>
        <item h="1" m="1" x="1272"/>
        <item h="1" m="1" x="1299"/>
        <item h="1" m="1" x="1327"/>
        <item h="1" m="1" x="614"/>
        <item h="1" m="1" x="1361"/>
        <item h="1" m="1" x="641"/>
        <item h="1" m="1" x="1385"/>
        <item h="1" m="1" x="664"/>
        <item h="1" m="1" x="692"/>
        <item h="1" m="1" x="1444"/>
        <item h="1" m="1" x="719"/>
        <item h="1" m="1" x="1475"/>
        <item h="1" m="1" x="749"/>
        <item h="1" m="1" x="1506"/>
        <item h="1" m="1" x="465"/>
        <item h="1" m="1" x="1204"/>
        <item h="1" m="1" x="485"/>
        <item h="1" m="1" x="1225"/>
        <item h="1" m="1" x="509"/>
        <item h="1" m="1" x="532"/>
        <item h="1" m="1" x="1276"/>
        <item h="1" m="1" x="557"/>
        <item h="1" m="1" x="1303"/>
        <item h="1" m="1" x="587"/>
        <item h="1" m="1" x="1331"/>
        <item h="1" m="1" x="1365"/>
        <item h="1" m="1" x="643"/>
        <item h="1" m="1" x="1389"/>
        <item h="1" m="1" x="666"/>
        <item h="1" m="1" x="1417"/>
        <item h="1" m="1" x="696"/>
        <item h="1" m="1" x="723"/>
        <item h="1" m="1" x="1478"/>
        <item h="1" m="1" x="751"/>
        <item h="1" m="1" x="1508"/>
        <item h="1" m="1" x="780"/>
        <item h="1" m="1" x="1536"/>
        <item h="1" m="1" x="1564"/>
        <item h="1" m="1" x="838"/>
        <item h="1" m="1" x="1597"/>
        <item h="1" m="1" x="1230"/>
        <item h="1" m="1" x="511"/>
        <item h="1" m="1" x="1281"/>
        <item h="1" m="1" x="562"/>
        <item h="1" m="1" x="1309"/>
        <item h="1" m="1" x="593"/>
        <item h="1" m="1" x="1335"/>
        <item h="1" m="1" x="622"/>
        <item h="1" m="1" x="648"/>
        <item h="1" m="1" x="1394"/>
        <item h="1" m="1" x="672"/>
        <item h="1" m="1" x="1423"/>
        <item h="1" m="1" x="700"/>
        <item h="1" m="1" x="1452"/>
        <item h="1" m="1" x="1483"/>
        <item h="1" m="1" x="755"/>
        <item h="1" m="1" x="1513"/>
        <item h="1" m="1" x="785"/>
        <item h="1" m="1" x="1538"/>
        <item h="1" m="1" x="815"/>
        <item h="1" m="1" x="840"/>
        <item h="1" m="1" x="1600"/>
        <item h="1" m="1" x="870"/>
        <item h="1" m="1" x="1630"/>
        <item h="1" m="1" x="899"/>
        <item h="1" m="1" x="1286"/>
        <item h="1" m="1" x="1313"/>
        <item h="1" m="1" x="597"/>
        <item h="1" m="1" x="1340"/>
        <item h="1" m="1" x="1372"/>
        <item h="1" m="1" x="653"/>
        <item h="1" m="1" x="676"/>
        <item h="1" m="1" x="1427"/>
        <item h="1" m="1" x="704"/>
        <item h="1" m="1" x="1454"/>
        <item h="1" m="1" x="731"/>
        <item h="1" m="1" x="1486"/>
        <item h="1" m="1" x="1516"/>
        <item h="1" m="1" x="789"/>
        <item h="1" m="1" x="1541"/>
        <item h="1" m="1" x="817"/>
        <item h="1" m="1" x="1569"/>
        <item h="1" m="1" x="843"/>
        <item h="1" m="1" x="872"/>
        <item h="1" m="1" x="1632"/>
        <item h="1" m="1" x="902"/>
        <item h="1" m="1" x="1659"/>
        <item h="1" m="1" x="1708"/>
        <item h="1" m="1" x="1345"/>
        <item h="1" m="1" x="630"/>
        <item h="1" m="1" x="1378"/>
        <item h="1" m="1" x="657"/>
        <item h="1" m="1" x="1404"/>
        <item h="1" m="1" x="1432"/>
        <item h="1" m="1" x="709"/>
        <item h="1" m="1" x="1460"/>
        <item h="1" m="1" x="737"/>
        <item h="1" m="1" x="1490"/>
        <item h="1" m="1" x="765"/>
        <item h="1" m="1" x="794"/>
        <item h="1" m="1" x="1547"/>
        <item h="1" m="1" x="823"/>
        <item h="1" m="1" x="1575"/>
        <item h="1" m="1" x="847"/>
        <item h="1" m="1" x="1608"/>
        <item h="1" m="1" x="1635"/>
        <item h="1" m="1" x="906"/>
        <item h="1" m="1" x="1662"/>
        <item h="1" m="1" x="928"/>
        <item h="1" m="1" x="1686"/>
        <item h="1" m="1" x="948"/>
        <item h="1" m="1" x="970"/>
        <item h="1" m="1" x="1734"/>
        <item h="1" m="1" x="1755"/>
        <item h="1" m="1" x="1408"/>
        <item h="1" m="1" x="685"/>
        <item h="1" m="1" x="712"/>
        <item h="1" m="1" x="1464"/>
        <item h="1" m="1" x="741"/>
        <item h="1" m="1" x="1495"/>
        <item h="1" m="1" x="769"/>
        <item h="1" m="1" x="1525"/>
        <item h="1" m="1" x="1550"/>
        <item h="1" m="1" x="827"/>
        <item h="1" m="1" x="1579"/>
        <item h="1" m="1" x="852"/>
        <item h="1" m="1" x="1612"/>
        <item h="1" m="1" x="880"/>
        <item h="1" m="1" x="909"/>
        <item h="1" m="1" x="1667"/>
        <item h="1" m="1" x="931"/>
        <item h="1" m="1" x="1690"/>
        <item h="1" m="1" x="952"/>
        <item h="1" m="1" x="1715"/>
        <item h="1" m="1" x="1736"/>
        <item h="1" m="1" x="993"/>
        <item h="1" m="1" x="1758"/>
        <item h="1" m="1" x="1010"/>
        <item h="1" m="1" x="294"/>
        <item h="1" m="1" x="1028"/>
        <item h="1" m="1" x="743"/>
        <item h="1" m="1" x="1499"/>
        <item h="1" m="1" x="774"/>
        <item h="1" m="1" x="1529"/>
        <item h="1" m="1" x="802"/>
        <item h="1" m="1" x="1555"/>
        <item h="1" m="1" x="1583"/>
        <item h="1" m="1" x="856"/>
        <item h="1" m="1" x="1617"/>
        <item h="1" m="1" x="884"/>
        <item h="1" m="1" x="1644"/>
        <item h="1" m="1" x="914"/>
        <item h="1" m="1" x="935"/>
        <item h="1" m="1" x="1694"/>
        <item h="1" m="1" x="957"/>
        <item h="1" m="1" x="1719"/>
        <item h="1" m="1" x="977"/>
        <item h="1" m="1" x="1741"/>
        <item h="1" m="1" x="1762"/>
        <item h="1" m="1" x="1013"/>
        <item h="1" m="1" x="297"/>
        <item h="1" m="1" x="1030"/>
        <item h="1" m="1" x="311"/>
        <item h="1" m="1" x="1045"/>
        <item h="1" m="1" x="1056"/>
        <item h="1" m="1" x="343"/>
        <item h="1" m="1" x="807"/>
        <item h="1" m="1" x="1559"/>
        <item h="1" m="1" x="833"/>
        <item h="1" m="1" x="859"/>
        <item h="1" m="1" x="1621"/>
        <item h="1" m="1" x="889"/>
        <item h="1" m="1" x="1648"/>
        <item h="1" m="1" x="918"/>
        <item h="1" m="1" x="1675"/>
        <item h="1" m="1" x="1698"/>
        <item h="1" m="1" x="961"/>
        <item h="1" m="1" x="1724"/>
        <item h="1" m="1" x="982"/>
        <item h="1" m="1" x="1745"/>
        <item h="1" m="1" x="1017"/>
        <item h="1" m="1" x="301"/>
        <item h="1" m="1" x="1035"/>
        <item h="1" m="1" x="314"/>
        <item h="1" m="1" x="1047"/>
        <item h="1" m="1" x="327"/>
        <item h="1" m="1" x="345"/>
        <item h="1" m="1" x="1073"/>
        <item h="1" m="1" x="362"/>
        <item h="1" m="1" x="1091"/>
        <item h="1" m="1" x="1591"/>
        <item h="1" m="1" x="864"/>
        <item h="1" m="1" x="893"/>
        <item h="1" m="1" x="1652"/>
        <item h="1" m="1" x="923"/>
        <item h="1" m="1" x="1679"/>
        <item h="1" m="1" x="1703"/>
        <item h="1" m="1" x="1728"/>
        <item h="1" m="1" x="986"/>
        <item h="1" m="1" x="1750"/>
        <item h="1" m="1" x="1003"/>
        <item h="1" m="1" x="1770"/>
        <item h="1" m="1" x="1022"/>
        <item h="1" m="1" x="1039"/>
        <item h="1" m="1" x="318"/>
        <item h="1" m="1" x="1052"/>
        <item h="1" m="1" x="331"/>
        <item h="1" m="1" x="1063"/>
        <item h="1" m="1" x="350"/>
        <item h="1" m="1" x="1094"/>
        <item h="1" m="1" x="374"/>
        <item h="1" m="1" x="1109"/>
        <item h="1" m="1" x="386"/>
        <item h="1" m="1" x="1126"/>
        <item h="1" m="1" x="338"/>
        <item h="1" m="1" x="1069"/>
        <item h="1" m="1" x="357"/>
        <item h="1" m="1" x="1082"/>
        <item h="1" m="1" x="366"/>
        <item h="1" m="1" x="377"/>
        <item h="1" m="1" x="1114"/>
        <item h="1" m="1" x="390"/>
        <item h="1" m="1" x="1131"/>
        <item h="1" m="1" x="407"/>
        <item h="1" m="1" x="1143"/>
        <item h="1" m="1" x="1156"/>
        <item h="1" m="1" x="435"/>
        <item h="1" m="1" x="1172"/>
        <item h="1" m="1" x="451"/>
        <item h="1" m="1" x="1190"/>
        <item h="1" m="1" x="474"/>
        <item h="1" m="1" x="494"/>
        <item h="1" m="1" x="1237"/>
        <item h="1" m="1" x="518"/>
        <item h="1" m="1" x="1262"/>
        <item h="1" m="1" x="545"/>
        <item h="1" m="1" x="1292"/>
        <item h="1" m="1" x="1319"/>
        <item h="1" m="1" x="605"/>
        <item h="1" m="1" x="1351"/>
        <item h="1" m="1" x="1085"/>
        <item h="1" m="1" x="368"/>
        <item h="1" m="1" x="1103"/>
        <item h="1" m="1" x="1116"/>
        <item h="1" m="1" x="393"/>
        <item h="1" m="1" x="1134"/>
        <item h="1" m="1" x="409"/>
        <item h="1" m="1" x="1145"/>
        <item h="1" m="1" x="422"/>
        <item h="1" m="1" x="437"/>
        <item h="1" m="1" x="1175"/>
        <item h="1" m="1" x="454"/>
        <item h="1" m="1" x="1193"/>
        <item h="1" m="1" x="476"/>
        <item h="1" m="1" x="1214"/>
        <item h="1" m="1" x="1239"/>
        <item h="1" m="1" x="521"/>
        <item h="1" m="1" x="1265"/>
        <item h="1" m="1" x="548"/>
        <item h="1" m="1" x="1294"/>
        <item h="1" m="1" x="576"/>
        <item h="1" m="1" x="607"/>
        <item h="1" m="1" x="1354"/>
        <item h="1" m="1" x="636"/>
        <item h="1" m="1" x="1121"/>
        <item h="1" m="1" x="396"/>
        <item h="1" m="1" x="1138"/>
        <item h="1" m="1" x="413"/>
        <item h="1" m="1" x="1149"/>
        <item h="1" m="1" x="426"/>
        <item h="1" m="1" x="1163"/>
        <item h="1" m="1" x="442"/>
        <item h="1" m="1" x="1179"/>
        <item h="1" m="1" x="459"/>
        <item h="1" m="1" x="480"/>
        <item h="1" m="1" x="1218"/>
        <item h="1" m="1" x="501"/>
        <item h="1" m="1" x="1244"/>
        <item h="1" m="1" x="525"/>
        <item h="1" m="1" x="1270"/>
        <item h="1" m="1" x="1298"/>
        <item h="1" m="1" x="580"/>
        <item h="1" m="1" x="1325"/>
        <item h="1" m="1" x="612"/>
        <item h="1" m="1" x="1359"/>
        <item h="1" m="1" x="639"/>
        <item h="1" m="1" x="663"/>
        <item h="1" m="1" x="1414"/>
        <item h="1" m="1" x="691"/>
        <item h="1" m="1" x="1443"/>
        <item h="1" m="1" x="1474"/>
        <item h="1" m="1" x="430"/>
        <item h="1" m="1" x="1167"/>
        <item h="1" m="1" x="447"/>
        <item h="1" m="1" x="1184"/>
        <item h="1" m="1" x="463"/>
        <item h="1" m="1" x="1202"/>
        <item h="1" m="1" x="1223"/>
        <item h="1" m="1" x="507"/>
        <item h="1" m="1" x="1250"/>
        <item h="1" m="1" x="530"/>
        <item h="1" m="1" x="1274"/>
        <item h="1" m="1" x="555"/>
        <item h="1" m="1" x="585"/>
        <item h="1" m="1" x="1330"/>
        <item h="1" m="1" x="618"/>
        <item h="1" m="1" x="1364"/>
        <item h="1" m="1" x="642"/>
        <item h="1" m="1" x="1387"/>
        <item h="1" m="1" x="695"/>
        <item h="1" m="1" x="1447"/>
        <item h="1" m="1" x="721"/>
        <item h="1" m="1" x="1477"/>
        <item h="1" m="1" x="750"/>
        <item h="1" m="1" x="779"/>
        <item h="1" m="1" x="468"/>
        <item h="1" m="1" x="1206"/>
        <item h="1" m="1" x="488"/>
        <item h="1" m="1" x="1229"/>
        <item h="1" m="1" x="1254"/>
        <item h="1" m="1" x="536"/>
        <item h="1" m="1" x="1279"/>
        <item h="1" m="1" x="560"/>
        <item h="1" m="1" x="1307"/>
        <item h="1" m="1" x="591"/>
        <item h="1" m="1" x="621"/>
        <item h="1" m="1" x="1368"/>
        <item h="1" m="1" x="646"/>
        <item h="1" m="1" x="1392"/>
        <item h="1" m="1" x="670"/>
        <item h="1" m="1" x="1421"/>
        <item h="1" m="1" x="1451"/>
        <item h="1" m="1" x="727"/>
        <item h="1" m="1" x="1481"/>
        <item h="1" m="1" x="753"/>
        <item h="1" m="1" x="1511"/>
        <item h="1" m="1" x="783"/>
        <item h="1" m="1" x="814"/>
        <item h="1" m="1" x="1566"/>
        <item h="1" m="1" x="839"/>
        <item h="1" m="1" x="1599"/>
        <item h="1" m="1" x="513"/>
        <item h="1" m="1" x="539"/>
        <item h="1" m="1" x="1285"/>
        <item h="1" m="1" x="566"/>
        <item h="1" m="1" x="1312"/>
        <item h="1" m="1" x="596"/>
        <item h="1" m="1" x="1339"/>
        <item h="1" m="1" x="1371"/>
        <item h="1" m="1" x="652"/>
        <item h="1" m="1" x="1398"/>
        <item h="1" m="1" x="675"/>
        <item h="1" m="1" x="1426"/>
        <item h="1" m="1" x="703"/>
        <item h="1" m="1" x="730"/>
        <item h="1" m="1" x="1485"/>
        <item h="1" m="1" x="759"/>
        <item h="1" m="1" x="1515"/>
        <item h="1" m="1" x="788"/>
        <item h="1" m="1" x="1540"/>
        <item h="1" m="1" x="1568"/>
        <item h="1" m="1" x="842"/>
        <item h="1" m="1" x="1602"/>
        <item h="1" m="1" x="871"/>
        <item h="1" m="1" x="901"/>
        <item h="1" m="1" x="569"/>
        <item h="1" m="1" x="1316"/>
        <item h="1" m="1" x="600"/>
        <item h="1" m="1" x="1343"/>
        <item h="1" m="1" x="628"/>
        <item h="1" m="1" x="1376"/>
        <item h="1" m="1" x="1402"/>
        <item h="1" m="1" x="680"/>
        <item h="1" m="1" x="1430"/>
        <item h="1" m="1" x="707"/>
        <item h="1" m="1" x="1458"/>
        <item h="1" m="1" x="735"/>
        <item h="1" m="1" x="763"/>
        <item h="1" m="1" x="1520"/>
        <item h="1" m="1" x="792"/>
        <item h="1" m="1" x="1545"/>
        <item h="1" m="1" x="821"/>
        <item h="1" m="1" x="1573"/>
        <item h="1" m="1" x="1606"/>
        <item h="1" m="1" x="875"/>
        <item h="1" m="1" x="1634"/>
        <item h="1" m="1" x="904"/>
        <item h="1" m="1" x="1661"/>
        <item h="1" m="1" x="947"/>
        <item h="1" m="1" x="1710"/>
        <item h="1" m="1" x="1347"/>
        <item h="1" m="1" x="632"/>
        <item h="1" m="1" x="1379"/>
        <item h="1" m="1" x="659"/>
        <item h="1" m="1" x="683"/>
        <item h="1" m="1" x="1434"/>
        <item h="1" m="1" x="711"/>
        <item h="1" m="1" x="1463"/>
        <item h="1" m="1" x="739"/>
        <item h="1" m="1" x="1493"/>
        <item h="1" m="1" x="1523"/>
        <item h="1" m="1" x="796"/>
        <item h="1" m="1" x="1549"/>
        <item h="1" m="1" x="826"/>
        <item h="1" m="1" x="1577"/>
        <item h="1" m="1" x="850"/>
        <item h="1" m="1" x="878"/>
        <item h="1" m="1" x="1638"/>
        <item h="1" m="1" x="908"/>
        <item h="1" m="1" x="1665"/>
        <item h="1" m="1" x="930"/>
        <item h="1" m="1" x="1688"/>
        <item h="1" m="1" x="1713"/>
        <item h="1" m="1" x="972"/>
        <item h="1" m="1" x="1735"/>
        <item h="1" m="1" x="1757"/>
        <item h="1" m="1" x="1410"/>
        <item h="1" m="1" x="1437"/>
        <item h="1" m="1" x="714"/>
        <item h="1" m="1" x="1467"/>
        <item h="1" m="1" x="1497"/>
        <item h="1" m="1" x="772"/>
        <item h="1" m="1" x="800"/>
        <item h="1" m="1" x="1553"/>
        <item h="1" m="1" x="829"/>
        <item h="1" m="1" x="1581"/>
        <item h="1" m="1" x="854"/>
        <item h="1" m="1" x="1615"/>
        <item h="1" m="1" x="1642"/>
        <item h="1" m="1" x="912"/>
        <item h="1" m="1" x="1670"/>
        <item h="1" m="1" x="933"/>
        <item h="1" m="1" x="1692"/>
        <item h="1" m="1" x="955"/>
        <item h="1" m="1" x="975"/>
        <item h="1" m="1" x="1739"/>
        <item h="1" m="1" x="995"/>
        <item h="1" m="1" x="1760"/>
        <item h="1" m="1" x="1012"/>
        <item h="1" m="1" x="296"/>
        <item h="1" m="1" x="745"/>
        <item h="1" m="1" x="1501"/>
        <item h="1" m="1" x="775"/>
        <item h="1" m="1" x="1531"/>
        <item h="1" m="1" x="805"/>
        <item h="1" m="1" x="1586"/>
        <item h="1" m="1" x="858"/>
        <item h="1" m="1" x="1619"/>
        <item h="1" m="1" x="887"/>
        <item h="1" m="1" x="1647"/>
        <item h="1" m="1" x="1673"/>
        <item h="1" m="1" x="938"/>
        <item h="1" m="1" x="1696"/>
        <item h="1" m="1" x="959"/>
        <item h="1" m="1" x="1722"/>
        <item h="1" m="1" x="980"/>
        <item h="1" m="1" x="998"/>
        <item h="1" m="1" x="1765"/>
        <item h="1" m="1" x="1015"/>
        <item h="1" m="1" x="299"/>
        <item h="1" m="1" x="1033"/>
        <item h="1" m="1" x="313"/>
        <item h="1" m="1" x="326"/>
        <item h="1" m="1" x="1058"/>
        <item h="1" m="1" x="344"/>
        <item h="1" m="1" x="808"/>
        <item h="1" m="1" x="1561"/>
        <item h="1" m="1" x="1589"/>
        <item h="1" m="1" x="862"/>
        <item h="1" m="1" x="1624"/>
        <item h="1" m="1" x="891"/>
        <item h="1" m="1" x="1650"/>
        <item h="1" m="1" x="921"/>
        <item h="1" m="1" x="940"/>
        <item h="1" m="1" x="1701"/>
        <item h="1" m="1" x="964"/>
        <item h="1" m="1" x="1726"/>
        <item h="1" m="1" x="984"/>
        <item h="1" m="1" x="1748"/>
        <item h="1" m="1" x="1768"/>
        <item h="1" m="1" x="1020"/>
        <item h="1" m="1" x="304"/>
        <item h="1" m="1" x="1037"/>
        <item h="1" m="1" x="316"/>
        <item h="1" m="1" x="1050"/>
        <item h="1" m="1" x="1061"/>
        <item h="1" m="1" x="348"/>
        <item h="1" m="1" x="1075"/>
        <item h="1" m="1" x="363"/>
        <item h="1" m="1" x="1093"/>
        <item h="1" m="1" x="1593"/>
        <item h="1" m="1" x="1626"/>
        <item h="1" m="1" x="895"/>
        <item h="1" m="1" x="1654"/>
        <item h="1" m="1" x="924"/>
        <item h="1" m="1" x="1681"/>
        <item h="1" m="1" x="943"/>
        <item h="1" m="1" x="966"/>
        <item h="1" m="1" x="1730"/>
        <item h="1" m="1" x="988"/>
        <item h="1" m="1" x="1751"/>
        <item h="1" m="1" x="1005"/>
        <item h="1" m="1" x="1772"/>
        <item h="1" m="1" x="306"/>
        <item h="1" m="1" x="1041"/>
        <item h="1" m="1" x="320"/>
        <item h="1" m="1" x="1053"/>
        <item h="1" m="1" x="333"/>
        <item h="1" m="1" x="1065"/>
        <item h="1" m="1" x="352"/>
        <item h="1" m="1" x="1077"/>
        <item h="1" m="1" x="1096"/>
        <item h="1" m="1" x="375"/>
        <item h="1" m="1" x="1110"/>
        <item h="1" m="1" x="387"/>
        <item h="1" m="1" x="1127"/>
        <item h="1" m="1" x="403"/>
        <item h="1" m="1" x="339"/>
        <item h="1" m="1" x="1070"/>
        <item h="1" m="1" x="358"/>
        <item h="1" m="1" x="1084"/>
        <item h="1" m="1" x="1102"/>
        <item h="1" m="1" x="379"/>
        <item h="1" m="1" x="1115"/>
        <item h="1" m="1" x="392"/>
        <item h="1" m="1" x="1133"/>
        <item h="1" m="1" x="408"/>
        <item h="1" m="1" x="421"/>
        <item h="1" m="1" x="1158"/>
        <item h="1" m="1" x="436"/>
        <item h="1" m="1" x="1174"/>
        <item h="1" m="1" x="453"/>
        <item h="1" m="1" x="1192"/>
        <item h="1" m="1" x="1213"/>
        <item h="1" m="1" x="496"/>
        <item h="1" m="1" x="1238"/>
        <item h="1" m="1" x="520"/>
        <item h="1" m="1" x="1264"/>
        <item h="1" m="1" x="547"/>
        <item h="1" m="1" x="575"/>
        <item h="1" m="1" x="1321"/>
        <item h="1" m="1" x="606"/>
        <item h="1" m="1" x="1353"/>
        <item h="1" m="1" x="1086"/>
        <item h="1" m="1" x="370"/>
        <item h="1" m="1" x="381"/>
        <item h="1" m="1" x="1119"/>
        <item h="1" m="1" x="395"/>
        <item h="1" m="1" x="1136"/>
        <item h="1" m="1" x="411"/>
        <item h="1" m="1" x="1147"/>
        <item h="1" m="1" x="1161"/>
        <item h="1" m="1" x="440"/>
        <item h="1" m="1" x="1178"/>
        <item h="1" m="1" x="457"/>
        <item h="1" m="1" x="1195"/>
        <item h="1" m="1" x="478"/>
        <item h="1" m="1" x="499"/>
        <item h="1" m="1" x="1242"/>
        <item h="1" m="1" x="524"/>
        <item h="1" m="1" x="1268"/>
        <item h="1" m="1" x="550"/>
        <item h="1" m="1" x="1296"/>
        <item h="1" m="1" x="1323"/>
        <item h="1" m="1" x="1357"/>
        <item h="1" m="1" x="637"/>
        <item h="1" m="1" x="1123"/>
        <item h="1" m="1" x="398"/>
        <item h="1" m="1" x="415"/>
        <item h="1" m="1" x="1151"/>
        <item h="1" m="1" x="428"/>
        <item h="1" m="1" x="1165"/>
        <item h="1" m="1" x="445"/>
        <item h="1" m="1" x="1182"/>
        <item h="1" m="1" x="1199"/>
        <item h="1" m="1" x="481"/>
        <item h="1" m="1" x="1220"/>
        <item h="1" m="1" x="504"/>
        <item h="1" m="1" x="1247"/>
        <item h="1" x="292"/>
        <item h="1" m="1" x="528"/>
        <item h="1" m="1" x="553"/>
        <item h="1" m="1" x="1300"/>
        <item h="1" m="1" x="582"/>
        <item h="1" m="1" x="1328"/>
        <item h="1" m="1" x="615"/>
        <item h="1" m="1" x="1362"/>
        <item h="1" m="1" x="1386"/>
        <item h="1" m="1" x="665"/>
        <item h="1" m="1" x="1154"/>
        <item h="1" m="1" x="432"/>
        <item h="1" m="1" x="1169"/>
        <item h="1" m="1" x="1415"/>
        <item h="1" m="1" x="693"/>
        <item h="1" m="1" x="1445"/>
        <item h="1" m="1" x="720"/>
        <item h="1" m="1" x="448"/>
        <item h="1" m="1" x="1186"/>
        <item h="1" m="1" x="466"/>
        <item h="1" m="1" x="486"/>
        <item h="1" m="1" x="1226"/>
        <item h="1" m="1" x="510"/>
        <item h="1" m="1" x="1251"/>
        <item h="1" m="1" x="533"/>
        <item h="1" m="1" x="1277"/>
        <item h="1" m="1" x="1304"/>
        <item h="1" m="1" x="588"/>
        <item h="1" m="1" x="1332"/>
        <item h="1" m="1" x="644"/>
        <item h="1" m="1" x="667"/>
        <item h="1" m="1" x="1418"/>
        <item h="1" m="1" x="697"/>
        <item h="1" m="1" x="1448"/>
        <item h="1" m="1" x="724"/>
        <item h="1" m="1" x="1479"/>
        <item h="1" m="1" x="1509"/>
        <item h="1" m="1" x="781"/>
        <item m="1" x="470"/>
        <item m="1" x="1208"/>
        <item m="1" x="490"/>
        <item m="1" x="512"/>
        <item m="1" x="1256"/>
        <item m="1" x="537"/>
        <item m="1" x="1282"/>
        <item m="1" x="563"/>
        <item m="1" x="1310"/>
        <item m="1" x="1336"/>
        <item m="1" x="623"/>
        <item m="1" x="1369"/>
        <item m="1" x="649"/>
        <item m="1" x="1395"/>
        <item m="1" x="673"/>
        <item h="1" m="1" x="756"/>
        <item h="1" m="1" x="1233"/>
        <item h="1" m="1" x="1258"/>
        <item h="1" m="1" x="541"/>
        <item h="1" m="1" x="1287"/>
        <item h="1" m="1" x="567"/>
        <item h="1" m="1" x="1314"/>
        <item h="1" m="1" x="598"/>
        <item h="1" m="1" x="625"/>
        <item h="1" m="1" x="1373"/>
        <item h="1" m="1" x="654"/>
        <item h="1" m="1" x="1399"/>
        <item h="1" m="1" x="677"/>
        <item h="1" m="1" x="1428"/>
        <item h="1" m="1" x="1455"/>
        <item h="1" m="1" x="732"/>
        <item h="1" m="1" x="1487"/>
        <item h="1" m="1" x="760"/>
        <item h="1" m="1" x="1517"/>
        <item h="1" m="1" x="790"/>
        <item h="1" m="1" x="1542"/>
        <item h="1" m="1" x="818"/>
        <item h="1" m="1" x="1570"/>
        <item h="1" m="1" x="844"/>
        <item h="1" m="1" x="1603"/>
        <item h="1" m="1" x="873"/>
        <item h="1" m="1" x="1289"/>
        <item h="1" m="1" x="571"/>
        <item h="1" m="1" x="1317"/>
        <item h="1" m="1" x="602"/>
        <item h="1" m="1" x="1346"/>
        <item h="1" m="1" x="631"/>
        <item h="1" m="1" x="658"/>
        <item h="1" m="1" x="1405"/>
        <item h="1" m="1" x="681"/>
        <item h="1" m="1" x="1433"/>
        <item h="1" m="1" x="710"/>
        <item h="1" m="1" x="1461"/>
        <item h="1" m="1" x="1491"/>
        <item h="1" m="1" x="766"/>
        <item h="1" m="1" x="1521"/>
        <item h="1" m="1" x="795"/>
        <item h="1" m="1" x="1548"/>
        <item h="1" m="1" x="824"/>
        <item h="1" m="1" x="848"/>
        <item h="1" m="1" x="1609"/>
        <item h="1" m="1" x="876"/>
        <item h="1" m="1" x="1636"/>
        <item h="1" m="1" x="907"/>
        <item h="1" m="1" x="1663"/>
        <item h="1" m="1" x="949"/>
        <item h="1" m="1" x="1711"/>
        <item h="1" m="1" x="1348"/>
        <item h="1" m="1" x="634"/>
        <item h="1" m="1" x="1381"/>
        <item h="1" m="1" x="1409"/>
        <item h="1" m="1" x="686"/>
        <item h="1" m="1" x="1436"/>
        <item h="1" m="1" x="713"/>
        <item h="1" m="1" x="1465"/>
        <item h="1" m="1" x="742"/>
        <item h="1" m="1" x="770"/>
        <item h="1" m="1" x="1526"/>
        <item h="1" m="1" x="798"/>
        <item h="1" m="1" x="1551"/>
        <item h="1" m="1" x="828"/>
        <item h="1" m="1" x="1580"/>
        <item h="1" m="1" x="1613"/>
        <item h="1" m="1" x="881"/>
        <item h="1" m="1" x="1640"/>
        <item h="1" m="1" x="910"/>
        <item h="1" m="1" x="1668"/>
        <item h="1" m="1" x="932"/>
        <item h="1" m="1" x="953"/>
        <item h="1" m="1" x="1716"/>
        <item h="1" m="1" x="973"/>
        <item h="1" m="1" x="1737"/>
        <item h="1" m="1" x="1759"/>
        <item h="1" m="1" x="688"/>
        <item h="1" m="1" x="1439"/>
        <item h="1" m="1" x="716"/>
        <item h="1" m="1" x="1468"/>
        <item h="1" m="1" x="744"/>
        <item h="1" m="1" x="1500"/>
        <item h="1" m="1" x="1530"/>
        <item h="1" m="1" x="803"/>
        <item h="1" m="1" x="1556"/>
        <item h="1" m="1" x="830"/>
        <item h="1" m="1" x="1584"/>
        <item h="1" m="1" x="857"/>
        <item h="1" m="1" x="885"/>
        <item h="1" m="1" x="915"/>
        <item h="1" m="1" x="1671"/>
        <item h="1" m="1" x="936"/>
        <item h="1" m="1" x="1695"/>
        <item h="1" m="1" x="1720"/>
        <item h="1" m="1" x="978"/>
        <item h="1" m="1" x="1742"/>
        <item h="1" m="1" x="996"/>
        <item h="1" m="1" x="1763"/>
        <item h="1" m="1" x="1014"/>
        <item h="1" m="1" x="1031"/>
        <item h="1" m="1" x="1645"/>
        <item h="1" m="1" x="1470"/>
        <item h="1" m="1" x="746"/>
        <item h="1" m="1" x="1503"/>
        <item h="1" m="1" x="777"/>
        <item h="1" m="1" x="1533"/>
        <item h="1" m="1" x="1560"/>
        <item h="1" m="1" x="1587"/>
        <item h="1" m="1" x="860"/>
        <item h="1" m="1" x="1622"/>
        <item h="1" m="1" x="890"/>
        <item h="1" m="1" x="919"/>
        <item h="1" m="1" x="1676"/>
        <item h="1" m="1" x="939"/>
        <item h="1" m="1" x="1699"/>
        <item h="1" m="1" x="962"/>
        <item h="1" m="1" x="1725"/>
        <item h="1" m="1" x="1746"/>
        <item h="1" m="1" x="1000"/>
        <item h="1" m="1" x="1766"/>
        <item h="1" m="1" x="1018"/>
        <item h="1" m="1" x="302"/>
        <item h="1" m="1" x="1036"/>
        <item h="1" m="1" x="1048"/>
        <item h="1" m="1" x="328"/>
        <item h="1" m="1" x="1059"/>
        <item h="1" m="1" x="346"/>
        <item h="1" m="1" x="810"/>
        <item h="1" m="1" x="835"/>
        <item h="1" m="1" x="1592"/>
        <item h="1" m="1" x="865"/>
        <item h="1" m="1" x="1625"/>
        <item h="1" m="1" x="894"/>
        <item h="1" m="1" x="1653"/>
        <item h="1" m="1" x="1680"/>
        <item h="1" m="1" x="942"/>
        <item h="1" m="1" x="1704"/>
        <item h="1" m="1" x="965"/>
        <item h="1" m="1" x="1729"/>
        <item h="1" m="1" x="987"/>
        <item h="1" m="1" x="1004"/>
        <item h="1" m="1" x="1771"/>
        <item h="1" m="1" x="1023"/>
        <item h="1" m="1" x="305"/>
        <item h="1" m="1" x="1040"/>
        <item h="1" m="1" x="319"/>
        <item h="1" m="1" x="332"/>
        <item h="1" m="1" x="1064"/>
        <item h="1" m="1" x="351"/>
        <item h="1" m="1" x="1076"/>
        <item h="1" m="1" x="364"/>
        <item h="1" m="1" x="1095"/>
        <item h="1" m="1" x="867"/>
        <item h="1" m="1" x="1628"/>
        <item h="1" m="1" x="896"/>
        <item h="1" m="1" x="1656"/>
        <item h="1" m="1" x="926"/>
        <item h="1" m="1" x="1683"/>
        <item h="1" m="1" x="1706"/>
        <item h="1" m="1" x="968"/>
        <item h="1" m="1" x="1731"/>
        <item h="1" m="1" x="990"/>
        <item h="1" m="1" x="1753"/>
        <item h="1" m="1" x="1007"/>
        <item h="1" m="1" x="1025"/>
        <item h="1" m="1" x="308"/>
        <item h="1" m="1" x="1042"/>
        <item h="1" m="1" x="322"/>
        <item h="1" m="1" x="1055"/>
        <item h="1" m="1" x="335"/>
        <item h="1" m="1" x="354"/>
        <item h="1" m="1" x="1079"/>
        <item h="1" m="1" x="1098"/>
        <item h="1" m="1" x="376"/>
        <item h="1" m="1" x="1111"/>
        <item h="1" m="1" x="1128"/>
        <item h="1" m="1" x="404"/>
        <item h="1" m="1" x="340"/>
        <item h="1" m="1" x="1071"/>
        <item h="1" m="1" x="359"/>
        <item h="1" m="1" x="369"/>
        <item h="1" m="1" x="1104"/>
        <item h="1" m="1" x="380"/>
        <item h="1" m="1" x="1117"/>
        <item h="1" m="1" x="394"/>
        <item h="1" m="1" x="1135"/>
        <item h="1" m="1" x="1146"/>
        <item h="1" m="1" x="423"/>
        <item h="1" m="1" x="1159"/>
        <item h="1" m="1" x="438"/>
        <item h="1" m="1" x="1176"/>
        <item h="1" m="1" x="455"/>
        <item h="1" m="1" x="477"/>
        <item h="1" m="1" x="1215"/>
        <item h="1" m="1" x="497"/>
        <item h="1" m="1" x="1240"/>
        <item h="1" m="1" x="522"/>
        <item h="1" m="1" x="1266"/>
        <item h="1" m="1" x="1295"/>
        <item h="1" m="1" x="577"/>
        <item h="1" m="1" x="1322"/>
        <item h="1" m="1" x="608"/>
        <item h="1" m="1" x="1355"/>
        <item h="1" m="1" x="1088"/>
        <item h="1" m="1" x="1106"/>
        <item h="1" m="1" x="383"/>
        <item h="1" m="1" x="1122"/>
        <item h="1" m="1" x="397"/>
        <item h="1" m="1" x="1139"/>
        <item h="1" m="1" x="414"/>
        <item h="1" m="1" x="427"/>
        <item h="1" m="1" x="1164"/>
        <item h="1" m="1" x="443"/>
        <item h="1" m="1" x="1180"/>
        <item h="1" m="1" x="460"/>
        <item h="1" m="1" x="1219"/>
        <item h="1" m="1" x="502"/>
        <item h="1" m="1" x="1245"/>
        <item h="1" m="1" x="526"/>
        <item h="1" m="1" x="1271"/>
        <item h="1" m="1" x="552"/>
        <item h="1" m="1" x="581"/>
        <item h="1" m="1" x="1326"/>
        <item h="1" m="1" x="613"/>
        <item h="1" m="1" x="1360"/>
        <item h="1" m="1" x="640"/>
        <item h="1" m="1" x="1384"/>
        <item h="1" m="1" x="400"/>
        <item h="1" m="1" x="1140"/>
        <item h="1" m="1" x="417"/>
        <item h="1" m="1" x="1153"/>
        <item h="1" m="1" x="431"/>
        <item h="1" m="1" x="1168"/>
        <item h="1" m="1" x="1185"/>
        <item h="1" m="1" x="464"/>
        <item h="1" m="1" x="1203"/>
        <item h="1" m="1" x="484"/>
        <item h="1" m="1" x="1224"/>
        <item h="1" m="1" x="1197"/>
        <item h="1" m="1" x="508"/>
        <item h="1" m="1" x="531"/>
        <item h="1" m="1" x="1275"/>
        <item h="1" m="1" x="556"/>
        <item h="1" m="1" x="1302"/>
        <item h="1" m="1" x="586"/>
        <item h="1" m="1" x="1388"/>
        <item h="1" m="1" x="722"/>
        <item h="1" m="1" x="469"/>
        <item h="1" m="1" x="1207"/>
        <item h="1" m="1" x="489"/>
        <item h="1" m="1" x="1255"/>
        <item h="1" m="1" x="1280"/>
        <item h="1" m="1" x="561"/>
        <item h="1" m="1" x="1308"/>
        <item h="1" m="1" x="592"/>
        <item h="1" m="1" x="1334"/>
        <item h="1" m="1" x="647"/>
        <item h="1" m="1" x="1393"/>
        <item h="1" m="1" x="671"/>
        <item h="1" m="1" x="1422"/>
        <item h="1" m="1" x="699"/>
        <item h="1" m="1" x="1482"/>
        <item h="1" m="1" x="754"/>
        <item h="1" m="1" x="1512"/>
        <item h="1" m="1" x="784"/>
        <item h="1" m="1" x="472"/>
        <item h="1" m="1" x="492"/>
        <item h="1" m="1" x="1232"/>
        <item h="1" m="1" x="514"/>
        <item h="1" m="1" x="1257"/>
        <item h="1" m="1" x="540"/>
        <item h="1" m="1" x="1235"/>
        <item h="1" m="1" x="516"/>
        <item h="1" m="1" x="1260"/>
        <item h="1" m="1" x="543"/>
        <item h="1" m="1" x="1288"/>
        <item h="1" m="1" x="570"/>
        <item h="1" m="1" x="601"/>
        <item h="1" m="1" x="1344"/>
        <item h="1" m="1" x="629"/>
        <item h="1" m="1" x="1377"/>
        <item h="1" m="1" x="656"/>
        <item h="1" m="1" x="1403"/>
        <item h="1" m="1" x="1431"/>
        <item h="1" m="1" x="708"/>
        <item h="1" m="1" x="1459"/>
        <item h="1" m="1" x="736"/>
        <item h="1" m="1" x="1489"/>
        <item h="1" m="1" x="764"/>
        <item h="1" m="1" x="793"/>
        <item h="1" m="1" x="1546"/>
        <item h="1" m="1" x="822"/>
        <item h="1" m="1" x="1574"/>
        <item h="1" m="1" x="846"/>
        <item h="1" m="1" x="1607"/>
        <item h="1" m="1" x="905"/>
        <item h="1" m="1" x="1290"/>
        <item h="1" m="1" x="572"/>
        <item h="1" m="1" x="1318"/>
        <item h="1" m="1" x="603"/>
        <item h="1" m="1" x="633"/>
        <item h="1" m="1" x="1380"/>
        <item h="1" m="1" x="660"/>
        <item h="1" m="1" x="1407"/>
        <item h="1" m="1" x="684"/>
        <item h="1" m="1" x="1435"/>
        <item h="1" m="1" x="740"/>
        <item h="1" m="1" x="1494"/>
        <item h="1" m="1" x="768"/>
        <item h="1" m="1" x="1524"/>
        <item h="1" m="1" x="797"/>
        <item h="1" m="1" x="1578"/>
        <item h="1" m="1" x="851"/>
        <item h="1" m="1" x="1611"/>
        <item h="1" m="1" x="879"/>
        <item h="1" m="1" x="1639"/>
        <item h="1" m="1" x="1666"/>
        <item h="1" m="1" x="1689"/>
        <item h="1" m="1" x="951"/>
        <item h="1" m="1" x="1714"/>
        <item h="1" m="1" x="1349"/>
        <item h="1" m="1" x="1382"/>
        <item h="1" m="1" x="661"/>
        <item h="1" m="1" x="1411"/>
        <item h="1" m="1" x="687"/>
        <item h="1" m="1" x="1438"/>
        <item h="1" m="1" x="715"/>
        <item h="1" m="1" x="1498"/>
        <item h="1" m="1" x="773"/>
        <item h="1" m="1" x="1528"/>
        <item h="1" m="1" x="801"/>
        <item h="1" m="1" x="1554"/>
        <item h="1" m="1" x="1582"/>
        <item h="1" m="1" x="855"/>
        <item h="1" m="1" x="1616"/>
        <item h="1" m="1" x="883"/>
        <item h="1" m="1" x="1643"/>
        <item h="1" m="1" x="913"/>
        <item h="1" m="1" x="934"/>
        <item h="1" m="1" x="1693"/>
        <item h="1" m="1" x="956"/>
        <item h="1" m="1" x="1718"/>
        <item h="1" m="1" x="976"/>
        <item h="1" m="1" x="1740"/>
        <item h="1" m="1" x="1761"/>
        <item h="1" m="1" x="689"/>
        <item h="1" m="1" x="1440"/>
        <item h="1" m="1" x="717"/>
        <item h="1" m="1" x="1502"/>
        <item h="1" m="1" x="776"/>
        <item h="1" m="1" x="1532"/>
        <item h="1" m="1" x="806"/>
        <item h="1" m="1" x="1558"/>
        <item h="1" m="1" x="832"/>
        <item h="1" m="1" x="1620"/>
        <item h="1" m="1" x="888"/>
        <item h="1" m="1" x="917"/>
        <item h="1" m="1" x="1674"/>
        <item h="1" m="1" x="1697"/>
        <item h="1" m="1" x="960"/>
        <item h="1" m="1" x="1723"/>
        <item h="1" m="1" x="981"/>
        <item h="1" m="1" x="1744"/>
        <item h="1" m="1" x="999"/>
        <item h="1" m="1" x="1016"/>
        <item h="1" m="1" x="300"/>
        <item h="1" m="1" x="1034"/>
        <item h="1" m="1" x="1471"/>
        <item h="1" m="1" x="747"/>
        <item h="1" m="1" x="1504"/>
        <item h="1" m="1" x="1534"/>
        <item h="1" m="1" x="809"/>
        <item h="1" m="1" x="1562"/>
        <item h="1" m="1" x="834"/>
        <item h="1" m="1" x="1590"/>
        <item h="1" m="1" x="863"/>
        <item h="1" m="1" x="892"/>
        <item h="1" m="1" x="1651"/>
        <item h="1" m="1" x="922"/>
        <item h="1" m="1" x="1678"/>
        <item h="1" m="1" x="941"/>
        <item h="1" m="1" x="1702"/>
        <item h="1" m="1" x="1727"/>
        <item h="1" m="1" x="985"/>
        <item h="1" m="1" x="1749"/>
        <item h="1" m="1" x="1002"/>
        <item h="1" m="1" x="1769"/>
        <item h="1" m="1" x="1021"/>
        <item h="1" m="1" x="1038"/>
        <item h="1" m="1" x="317"/>
        <item h="1" m="1" x="1051"/>
        <item h="1" m="1" x="330"/>
        <item h="1" m="1" x="1062"/>
        <item h="1" m="1" x="349"/>
        <item h="1" m="1" x="811"/>
        <item h="1" m="1" x="1563"/>
        <item h="1" m="1" x="836"/>
        <item h="1" m="1" x="1594"/>
        <item h="1" m="1" x="866"/>
        <item h="1" m="1" x="1627"/>
        <item h="1" m="1" x="1655"/>
        <item h="1" m="1" x="925"/>
        <item h="1" m="1" x="1682"/>
        <item h="1" m="1" x="944"/>
        <item h="1" m="1" x="1705"/>
        <item h="1" m="1" x="967"/>
        <item h="1" m="1" x="989"/>
        <item h="1" m="1" x="1752"/>
        <item h="1" m="1" x="1006"/>
        <item h="1" m="1" x="1773"/>
        <item h="1" m="1" x="1024"/>
        <item h="1" m="1" x="307"/>
        <item h="1" m="1" x="321"/>
        <item h="1" m="1" x="1054"/>
        <item h="1" m="1" x="334"/>
        <item h="1" m="1" x="1066"/>
        <item h="1" m="1" x="353"/>
        <item h="1" m="1" x="1078"/>
        <item h="1" m="1" x="1097"/>
        <item h="1" m="1" x="1595"/>
        <item h="1" m="1" x="868"/>
        <item h="1" m="1" x="1629"/>
        <item h="1" m="1" x="897"/>
        <item h="1" m="1" x="1657"/>
        <item h="1" m="1" x="1684"/>
        <item h="1" m="1" x="1707"/>
        <item h="1" m="1" x="969"/>
        <item h="1" m="1" x="1732"/>
        <item h="1" m="1" x="991"/>
        <item h="1" m="1" x="1008"/>
        <item h="1" m="1" x="1774"/>
        <item h="1" m="1" x="1026"/>
        <item h="1" m="1" x="309"/>
        <item h="1" m="1" x="1043"/>
        <item h="1" m="1" x="323"/>
        <item h="1" m="1" x="336"/>
        <item h="1" m="1" x="1067"/>
        <item h="1" m="1" x="355"/>
        <item h="1" m="1" x="1080"/>
        <item h="1" m="1" x="1099"/>
        <item h="1" m="1" x="1112"/>
        <item h="1" m="1" x="388"/>
        <item h="1" m="1" x="1129"/>
        <item h="1" m="1" x="405"/>
        <item h="1" x="163"/>
        <item h="1" m="1" x="341"/>
        <item h="1" m="1" x="360"/>
        <item h="1" m="1" x="1087"/>
        <item h="1" m="1" x="371"/>
        <item h="1" m="1" x="1105"/>
        <item h="1" m="1" x="382"/>
        <item h="1" m="1" x="1120"/>
        <item h="1" m="1" x="1137"/>
        <item h="1" m="1" x="412"/>
        <item h="1" m="1" x="1148"/>
        <item h="1" m="1" x="425"/>
        <item h="1" m="1" x="1162"/>
        <item h="1" m="1" x="441"/>
        <item h="1" m="1" x="458"/>
        <item h="1" m="1" x="1196"/>
        <item h="1" m="1" x="479"/>
        <item h="1" m="1" x="1217"/>
        <item h="1" m="1" x="500"/>
        <item h="1" m="1" x="1243"/>
        <item h="1" m="1" x="1269"/>
        <item h="1" m="1" x="551"/>
        <item h="1" m="1" x="1297"/>
        <item h="1" m="1" x="578"/>
        <item h="1" m="1" x="1324"/>
        <item h="1" m="1" x="610"/>
        <item h="1" m="1" x="1089"/>
        <item h="1" m="1" x="372"/>
        <item h="1" m="1" x="1107"/>
        <item h="1" m="1" x="384"/>
        <item h="1" m="1" x="1124"/>
        <item h="1" m="1" x="399"/>
        <item h="1" m="1" x="416"/>
        <item h="1" m="1" x="1152"/>
        <item h="1" m="1" x="429"/>
        <item h="1" m="1" x="1166"/>
        <item h="1" m="1" x="446"/>
        <item h="1" m="1" x="1183"/>
        <item h="1" m="1" x="1200"/>
        <item h="1" m="1" x="482"/>
        <item h="1" m="1" x="1221"/>
        <item h="1" m="1" x="505"/>
        <item h="1" m="1" x="1248"/>
        <item h="1" m="1" x="529"/>
        <item h="1" m="1" x="554"/>
        <item h="1" m="1" x="1301"/>
        <item h="1" m="1" x="583"/>
        <item h="1" m="1" x="1329"/>
        <item h="1" m="1" x="616"/>
        <item h="1" m="1" x="1363"/>
        <item h="1" m="1" x="1125"/>
        <item h="1" m="1" x="401"/>
        <item h="1" m="1" x="1141"/>
        <item h="1" m="1" x="418"/>
        <item h="1" m="1" x="1155"/>
        <item h="1" m="1" x="433"/>
        <item h="1" m="1" x="449"/>
        <item h="1" m="1" x="1187"/>
        <item h="1" m="1" x="467"/>
        <item h="1" m="1" x="1205"/>
        <item h="1" m="1" x="487"/>
        <item h="1" m="1" x="1227"/>
        <item h="1" m="1" x="1252"/>
        <item h="1" m="1" x="534"/>
        <item h="1" m="1" x="1278"/>
        <item h="1" m="1" x="558"/>
        <item h="1" m="1" x="1305"/>
        <item h="1" m="1" x="589"/>
        <item h="1" m="1" x="619"/>
        <item h="1" m="1" x="1366"/>
        <item h="1" m="1" x="645"/>
        <item h="1" m="1" x="1390"/>
        <item h="1" m="1" x="668"/>
        <item h="1" m="1" x="1419"/>
        <item h="1" m="1" x="1449"/>
        <item h="1" m="1" x="725"/>
        <item h="1" m="1" x="1480"/>
        <item h="1" m="1" x="1170"/>
        <item h="1" m="1" x="1188"/>
        <item h="1" m="1" x="471"/>
        <item h="1" m="1" x="1209"/>
        <item h="1" m="1" x="491"/>
        <item h="1" m="1" x="1231"/>
        <item h="1" m="1" x="538"/>
        <item h="1" m="1" x="1283"/>
        <item h="1" m="1" x="564"/>
        <item h="1" m="1" x="1311"/>
        <item h="1" m="1" x="594"/>
        <item h="1" m="1" x="1337"/>
        <item h="1" m="1" x="1370"/>
        <item h="1" m="1" x="650"/>
        <item h="1" m="1" x="1396"/>
        <item h="1" m="1" x="674"/>
        <item h="1" m="1" x="1424"/>
        <item h="1" m="1" x="701"/>
        <item h="1" m="1" x="728"/>
        <item h="1" m="1" x="757"/>
        <item h="1" m="1" x="1514"/>
        <item h="1" m="1" x="786"/>
        <item h="1" m="1" x="1210"/>
        <item h="1" m="1" x="493"/>
        <item h="1" m="1" x="1234"/>
        <item h="1" m="1" x="515"/>
        <item h="1" m="1" x="1259"/>
        <item h="1" m="1" x="542"/>
        <item h="1" m="1" x="568"/>
        <item h="1" m="1" x="1315"/>
        <item h="1" m="1" x="599"/>
        <item h="1" m="1" x="1341"/>
        <item h="1" m="1" x="626"/>
        <item h="1" m="1" x="1374"/>
        <item h="1" m="1" x="1400"/>
        <item h="1" m="1" x="678"/>
        <item h="1" m="1" x="1429"/>
        <item h="1" m="1" x="705"/>
        <item h="1" m="1" x="1456"/>
        <item h="1" m="1" x="733"/>
        <item h="1" m="1" x="761"/>
        <item h="1" m="1" x="1518"/>
        <item h="1" m="1" x="791"/>
        <item h="1" m="1" x="1543"/>
        <item h="1" m="1" x="819"/>
        <item h="1" m="1" x="1571"/>
        <item h="1" m="1" x="160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2"/>
        <item h="1" x="13"/>
        <item h="1" x="14"/>
        <item h="1" x="15"/>
        <item h="1" x="16"/>
        <item h="1" x="11"/>
        <item h="1" m="1" x="1469"/>
        <item h="1" x="18"/>
        <item h="1" x="17"/>
        <item h="1" x="21"/>
        <item h="1" x="20"/>
        <item h="1" x="19"/>
        <item h="1" x="22"/>
        <item h="1" x="23"/>
        <item h="1" x="24"/>
        <item h="1" x="32"/>
        <item h="1" x="31"/>
        <item h="1" x="28"/>
        <item h="1" x="27"/>
        <item h="1" x="30"/>
        <item h="1" x="26"/>
        <item h="1" x="25"/>
        <item h="1" x="39"/>
        <item h="1" x="41"/>
        <item h="1" x="40"/>
        <item h="1" x="38"/>
        <item h="1" x="37"/>
        <item h="1" x="42"/>
        <item h="1" x="43"/>
        <item h="1" x="44"/>
        <item h="1" x="45"/>
        <item h="1" x="46"/>
        <item h="1" x="48"/>
        <item h="1" x="47"/>
        <item h="1" x="51"/>
        <item h="1" x="52"/>
        <item h="1" x="50"/>
        <item h="1" x="49"/>
        <item h="1" x="53"/>
        <item h="1" x="29"/>
        <item h="1" x="33"/>
        <item h="1" x="34"/>
        <item h="1" x="35"/>
        <item h="1" x="36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73"/>
        <item h="1" x="74"/>
        <item h="1" x="75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63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2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1"/>
        <item h="1" x="160"/>
        <item h="1" x="162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20"/>
        <item h="1" x="221"/>
        <item h="1" x="222"/>
        <item h="1" x="218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ascending" defaultSubtotal="0">
      <items count="140">
        <item m="1" x="81"/>
        <item h="1" x="57"/>
        <item m="1" x="111"/>
        <item x="46"/>
        <item h="1" x="61"/>
        <item m="1" x="128"/>
        <item h="1" m="1" x="109"/>
        <item m="1" x="136"/>
        <item m="1" x="88"/>
        <item x="1"/>
        <item h="1" x="0"/>
        <item h="1" x="21"/>
        <item h="1" m="1" x="120"/>
        <item m="1" x="126"/>
        <item h="1" x="62"/>
        <item x="35"/>
        <item h="1" x="16"/>
        <item h="1" x="60"/>
        <item h="1" x="51"/>
        <item m="1" x="133"/>
        <item h="1" x="36"/>
        <item m="1" x="114"/>
        <item h="1" m="1" x="122"/>
        <item h="1" x="49"/>
        <item h="1" x="40"/>
        <item m="1" x="127"/>
        <item m="1" x="89"/>
        <item m="1" x="90"/>
        <item m="1" x="95"/>
        <item m="1" x="97"/>
        <item m="1" x="98"/>
        <item x="37"/>
        <item x="2"/>
        <item x="78"/>
        <item m="1" x="106"/>
        <item m="1" x="108"/>
        <item m="1" x="112"/>
        <item m="1" x="117"/>
        <item m="1" x="124"/>
        <item m="1" x="134"/>
        <item m="1" x="138"/>
        <item h="1" m="1" x="91"/>
        <item m="1" x="92"/>
        <item m="1" x="94"/>
        <item m="1" x="105"/>
        <item m="1" x="118"/>
        <item m="1" x="125"/>
        <item m="1" x="131"/>
        <item m="1" x="135"/>
        <item m="1" x="139"/>
        <item m="1" x="96"/>
        <item m="1" x="116"/>
        <item x="27"/>
        <item m="1" x="107"/>
        <item m="1" x="110"/>
        <item x="65"/>
        <item x="30"/>
        <item m="1" x="93"/>
        <item m="1" x="123"/>
        <item m="1" x="83"/>
        <item m="1" x="84"/>
        <item m="1" x="85"/>
        <item m="1" x="86"/>
        <item m="1" x="99"/>
        <item m="1" x="100"/>
        <item x="63"/>
        <item m="1" x="113"/>
        <item x="73"/>
        <item m="1" x="115"/>
        <item h="1" x="68"/>
        <item m="1" x="82"/>
        <item h="1" x="15"/>
        <item h="1" x="14"/>
        <item h="1" x="13"/>
        <item h="1" x="33"/>
        <item h="1" x="28"/>
        <item m="1" x="102"/>
        <item m="1" x="104"/>
        <item m="1" x="119"/>
        <item m="1" x="121"/>
        <item x="6"/>
        <item x="34"/>
        <item x="29"/>
        <item x="41"/>
        <item m="1" x="129"/>
        <item m="1" x="130"/>
        <item m="1" x="132"/>
        <item m="1" x="137"/>
        <item h="1" x="56"/>
        <item h="1" x="52"/>
        <item h="1" x="50"/>
        <item h="1" x="58"/>
        <item h="1" x="5"/>
        <item h="1" x="59"/>
        <item h="1" m="1" x="87"/>
        <item h="1" x="22"/>
        <item h="1" x="3"/>
        <item h="1" x="48"/>
        <item h="1" m="1" x="101"/>
        <item h="1" m="1" x="103"/>
        <item h="1" x="9"/>
        <item h="1" x="54"/>
        <item h="1" x="53"/>
        <item h="1" x="4"/>
        <item h="1" x="47"/>
        <item h="1" x="55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h="1" x="42"/>
        <item h="1" x="43"/>
        <item h="1" x="45"/>
        <item h="1" x="44"/>
        <item h="1" x="64"/>
        <item h="1" x="76"/>
        <item h="1" x="75"/>
        <item h="1" x="77"/>
        <item h="1" x="79"/>
        <item h="1" x="24"/>
        <item h="1" x="32"/>
        <item h="1" x="39"/>
        <item h="1" x="66"/>
        <item h="1" x="71"/>
        <item h="1" x="69"/>
        <item h="1" x="72"/>
        <item h="1" x="74"/>
        <item h="1" x="67"/>
        <item h="1" x="70"/>
        <item x="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colItems count="1">
    <i/>
  </colItems>
  <pageFields count="1">
    <pageField fld="0" hier="-1"/>
  </pageFields>
  <dataFields count="1">
    <dataField name="Suma de PROD DIARIA (PAQ)" fld="6" baseField="5" baseItem="2"/>
  </dataFields>
  <formats count="33">
    <format dxfId="32">
      <pivotArea dataOnly="0" labelOnly="1" fieldPosition="0">
        <references count="1">
          <reference field="4" count="1">
            <x v="29"/>
          </reference>
        </references>
      </pivotArea>
    </format>
    <format dxfId="31">
      <pivotArea collapsedLevelsAreSubtotals="1" fieldPosition="0">
        <references count="1">
          <reference field="4" count="7">
            <x v="52"/>
            <x v="55"/>
            <x v="66"/>
            <x v="67"/>
            <x v="68"/>
            <x v="78"/>
            <x v="79"/>
          </reference>
        </references>
      </pivotArea>
    </format>
    <format dxfId="30">
      <pivotArea dataOnly="0" labelOnly="1" fieldPosition="0">
        <references count="1">
          <reference field="4" count="7">
            <x v="52"/>
            <x v="55"/>
            <x v="66"/>
            <x v="67"/>
            <x v="68"/>
            <x v="78"/>
            <x v="79"/>
          </reference>
        </references>
      </pivotArea>
    </format>
    <format dxfId="29">
      <pivotArea collapsedLevelsAreSubtotals="1" fieldPosition="0">
        <references count="1">
          <reference field="4" count="1">
            <x v="52"/>
          </reference>
        </references>
      </pivotArea>
    </format>
    <format dxfId="28">
      <pivotArea collapsedLevelsAreSubtotals="1" fieldPosition="0">
        <references count="1">
          <reference field="4" count="27">
            <x v="2"/>
            <x v="3"/>
            <x v="5"/>
            <x v="7"/>
            <x v="19"/>
            <x v="25"/>
            <x v="29"/>
            <x v="31"/>
            <x v="37"/>
            <x v="39"/>
            <x v="40"/>
            <x v="41"/>
            <x v="55"/>
            <x v="56"/>
            <x v="65"/>
            <x v="66"/>
            <x v="67"/>
            <x v="68"/>
            <x v="78"/>
            <x v="79"/>
            <x v="80"/>
            <x v="81"/>
            <x v="82"/>
            <x v="83"/>
            <x v="84"/>
            <x v="85"/>
            <x v="86"/>
          </reference>
        </references>
      </pivotArea>
    </format>
    <format dxfId="27">
      <pivotArea collapsedLevelsAreSubtotals="1" fieldPosition="0">
        <references count="1">
          <reference field="4" count="1">
            <x v="2"/>
          </reference>
        </references>
      </pivotArea>
    </format>
    <format dxfId="26">
      <pivotArea collapsedLevelsAreSubtotals="1" fieldPosition="0">
        <references count="1">
          <reference field="4" count="1">
            <x v="3"/>
          </reference>
        </references>
      </pivotArea>
    </format>
    <format dxfId="25">
      <pivotArea collapsedLevelsAreSubtotals="1" fieldPosition="0">
        <references count="1">
          <reference field="4" count="1">
            <x v="5"/>
          </reference>
        </references>
      </pivotArea>
    </format>
    <format dxfId="24">
      <pivotArea collapsedLevelsAreSubtotals="1" fieldPosition="0">
        <references count="1">
          <reference field="4" count="1">
            <x v="7"/>
          </reference>
        </references>
      </pivotArea>
    </format>
    <format dxfId="23">
      <pivotArea collapsedLevelsAreSubtotals="1" fieldPosition="0">
        <references count="1">
          <reference field="4" count="1">
            <x v="19"/>
          </reference>
        </references>
      </pivotArea>
    </format>
    <format dxfId="22">
      <pivotArea collapsedLevelsAreSubtotals="1" fieldPosition="0">
        <references count="1">
          <reference field="4" count="1">
            <x v="25"/>
          </reference>
        </references>
      </pivotArea>
    </format>
    <format dxfId="21">
      <pivotArea collapsedLevelsAreSubtotals="1" fieldPosition="0">
        <references count="1">
          <reference field="4" count="1">
            <x v="29"/>
          </reference>
        </references>
      </pivotArea>
    </format>
    <format dxfId="20">
      <pivotArea collapsedLevelsAreSubtotals="1" fieldPosition="0">
        <references count="1">
          <reference field="4" count="1">
            <x v="31"/>
          </reference>
        </references>
      </pivotArea>
    </format>
    <format dxfId="19">
      <pivotArea collapsedLevelsAreSubtotals="1" fieldPosition="0">
        <references count="1">
          <reference field="4" count="1">
            <x v="37"/>
          </reference>
        </references>
      </pivotArea>
    </format>
    <format dxfId="18">
      <pivotArea collapsedLevelsAreSubtotals="1" fieldPosition="0">
        <references count="1">
          <reference field="4" count="1">
            <x v="39"/>
          </reference>
        </references>
      </pivotArea>
    </format>
    <format dxfId="17">
      <pivotArea collapsedLevelsAreSubtotals="1" fieldPosition="0">
        <references count="1">
          <reference field="4" count="1">
            <x v="40"/>
          </reference>
        </references>
      </pivotArea>
    </format>
    <format dxfId="16">
      <pivotArea collapsedLevelsAreSubtotals="1" fieldPosition="0">
        <references count="1">
          <reference field="4" count="1">
            <x v="41"/>
          </reference>
        </references>
      </pivotArea>
    </format>
    <format dxfId="15">
      <pivotArea collapsedLevelsAreSubtotals="1" fieldPosition="0">
        <references count="1">
          <reference field="4" count="1">
            <x v="41"/>
          </reference>
        </references>
      </pivotArea>
    </format>
    <format dxfId="14">
      <pivotArea collapsedLevelsAreSubtotals="1" fieldPosition="0">
        <references count="1">
          <reference field="4" count="1">
            <x v="55"/>
          </reference>
        </references>
      </pivotArea>
    </format>
    <format dxfId="13">
      <pivotArea collapsedLevelsAreSubtotals="1" fieldPosition="0">
        <references count="1">
          <reference field="4" count="1">
            <x v="56"/>
          </reference>
        </references>
      </pivotArea>
    </format>
    <format dxfId="12">
      <pivotArea collapsedLevelsAreSubtotals="1" fieldPosition="0">
        <references count="1">
          <reference field="4" count="1">
            <x v="56"/>
          </reference>
        </references>
      </pivotArea>
    </format>
    <format dxfId="11">
      <pivotArea collapsedLevelsAreSubtotals="1" fieldPosition="0">
        <references count="1">
          <reference field="4" count="1">
            <x v="55"/>
          </reference>
        </references>
      </pivotArea>
    </format>
    <format dxfId="10">
      <pivotArea collapsedLevelsAreSubtotals="1" fieldPosition="0">
        <references count="1">
          <reference field="4" count="1">
            <x v="65"/>
          </reference>
        </references>
      </pivotArea>
    </format>
    <format dxfId="9">
      <pivotArea collapsedLevelsAreSubtotals="1" fieldPosition="0">
        <references count="1">
          <reference field="4" count="1">
            <x v="66"/>
          </reference>
        </references>
      </pivotArea>
    </format>
    <format dxfId="8">
      <pivotArea collapsedLevelsAreSubtotals="1" fieldPosition="0">
        <references count="1">
          <reference field="4" count="1">
            <x v="67"/>
          </reference>
        </references>
      </pivotArea>
    </format>
    <format dxfId="7">
      <pivotArea collapsedLevelsAreSubtotals="1" fieldPosition="0">
        <references count="1">
          <reference field="4" count="1">
            <x v="67"/>
          </reference>
        </references>
      </pivotArea>
    </format>
    <format dxfId="6">
      <pivotArea collapsedLevelsAreSubtotals="1" fieldPosition="0">
        <references count="1">
          <reference field="4" count="1">
            <x v="68"/>
          </reference>
        </references>
      </pivotArea>
    </format>
    <format dxfId="5">
      <pivotArea collapsedLevelsAreSubtotals="1" fieldPosition="0">
        <references count="1">
          <reference field="4" count="1">
            <x v="78"/>
          </reference>
        </references>
      </pivotArea>
    </format>
    <format dxfId="4">
      <pivotArea collapsedLevelsAreSubtotals="1" fieldPosition="0">
        <references count="1">
          <reference field="4" count="1">
            <x v="79"/>
          </reference>
        </references>
      </pivotArea>
    </format>
    <format dxfId="3">
      <pivotArea collapsedLevelsAreSubtotals="1" fieldPosition="0">
        <references count="1">
          <reference field="4" count="1">
            <x v="80"/>
          </reference>
        </references>
      </pivotArea>
    </format>
    <format dxfId="2">
      <pivotArea collapsedLevelsAreSubtotals="1" fieldPosition="0">
        <references count="1">
          <reference field="4" count="3">
            <x v="81"/>
            <x v="82"/>
            <x v="83"/>
          </reference>
        </references>
      </pivotArea>
    </format>
    <format dxfId="1">
      <pivotArea collapsedLevelsAreSubtotals="1" fieldPosition="0">
        <references count="1">
          <reference field="4" count="5">
            <x v="83"/>
            <x v="84"/>
            <x v="85"/>
            <x v="86"/>
            <x v="87"/>
          </reference>
        </references>
      </pivotArea>
    </format>
    <format dxfId="0">
      <pivotArea collapsedLevelsAreSubtotals="1" fieldPosition="0">
        <references count="1">
          <reference field="4" count="1">
            <x v="4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 dinámica2" cacheId="2" applyNumberFormats="0" applyBorderFormats="0" applyFontFormats="0" applyPatternFormats="0" applyAlignmentFormats="0" applyWidthHeightFormats="1" dataCaption="Valores" grandTotalCaption="TOTAL" updatedVersion="7" minRefreshableVersion="3" useAutoFormatting="1" itemPrintTitles="1" createdVersion="5" indent="0" outline="1" outlineData="1" multipleFieldFilters="0" rowHeaderCaption="FECHA">
  <location ref="B8:D26" firstHeaderRow="0" firstDataRow="1" firstDataCol="1" rowPageCount="5" colPageCount="1"/>
  <pivotFields count="10">
    <pivotField axis="axisRow" numFmtId="14" showAll="0" sortType="ascending">
      <items count="1795">
        <item h="1" x="129"/>
        <item h="1" m="1" x="580"/>
        <item h="1" m="1" x="612"/>
        <item h="1" m="1" x="1368"/>
        <item h="1" m="1" x="639"/>
        <item h="1" m="1" x="1394"/>
        <item h="1" m="1" x="663"/>
        <item h="1" m="1" x="1425"/>
        <item h="1" m="1" x="1455"/>
        <item h="1" m="1" x="1487"/>
        <item h="1" m="1" x="751"/>
        <item h="1" m="1" x="1520"/>
        <item h="1" m="1" x="781"/>
        <item h="1" m="1" x="462"/>
        <item h="1" m="1" x="1210"/>
        <item h="1" m="1" x="484"/>
        <item h="1" m="1" x="1231"/>
        <item h="1" m="1" x="507"/>
        <item h="1" m="1" x="1258"/>
        <item h="1" m="1" x="1283"/>
        <item h="1" m="1" x="585"/>
        <item h="1" m="1" x="618"/>
        <item h="1" m="1" x="1428"/>
        <item h="1" m="1" x="695"/>
        <item h="1" m="1" x="1459"/>
        <item h="1" m="1" x="1490"/>
        <item h="1" m="1" x="1522"/>
        <item h="1" m="1" x="1551"/>
        <item h="1" m="1" x="816"/>
        <item h="1" m="1" x="843"/>
        <item h="1" m="1" x="1614"/>
        <item h="1" m="1" x="1237"/>
        <item h="1" m="1" x="1262"/>
        <item h="1" m="1" x="536"/>
        <item h="1" m="1" x="560"/>
        <item h="1" m="1" x="1316"/>
        <item h="1" m="1" x="591"/>
        <item h="1" m="1" x="1343"/>
        <item h="1" m="1" x="621"/>
        <item h="1" m="1" x="1377"/>
        <item h="1" m="1" x="1403"/>
        <item h="1" m="1" x="670"/>
        <item h="1" m="1" x="1432"/>
        <item h="1" m="1" x="699"/>
        <item h="1" m="1" x="1463"/>
        <item h="1" m="1" x="728"/>
        <item h="1" m="1" x="755"/>
        <item h="1" m="1" x="1525"/>
        <item h="1" m="1" x="785"/>
        <item h="1" m="1" x="1553"/>
        <item h="1" m="1" x="817"/>
        <item h="1" m="1" x="1582"/>
        <item h="1" m="1" x="1616"/>
        <item h="1" m="1" x="876"/>
        <item h="1" m="1" x="905"/>
        <item h="1" m="1" x="1294"/>
        <item h="1" m="1" x="566"/>
        <item h="1" m="1" x="596"/>
        <item h="1" m="1" x="1348"/>
        <item h="1" m="1" x="625"/>
        <item h="1" m="1" x="652"/>
        <item h="1" m="1" x="1409"/>
        <item h="1" m="1" x="1437"/>
        <item h="1" m="1" x="704"/>
        <item h="1" m="1" x="1467"/>
        <item h="1" m="1" x="732"/>
        <item h="1" m="1" x="1499"/>
        <item h="1" m="1" x="761"/>
        <item h="1" m="1" x="790"/>
        <item h="1" m="1" x="1556"/>
        <item h="1" m="1" x="821"/>
        <item h="1" m="1" x="1585"/>
        <item h="1" m="1" x="848"/>
        <item h="1" m="1" x="1619"/>
        <item h="1" m="1" x="1649"/>
        <item h="1" m="1" x="907"/>
        <item h="1" m="1" x="1676"/>
        <item h="1" m="1" x="953"/>
        <item h="1" m="1" x="1352"/>
        <item h="1" m="1" x="628"/>
        <item h="1" m="1" x="1385"/>
        <item h="1" m="1" x="656"/>
        <item h="1" m="1" x="1413"/>
        <item h="1" m="1" x="680"/>
        <item h="1" m="1" x="708"/>
        <item h="1" m="1" x="1471"/>
        <item h="1" m="1" x="737"/>
        <item h="1" m="1" x="1503"/>
        <item h="1" m="1" x="765"/>
        <item h="1" m="1" x="1535"/>
        <item h="1" m="1" x="1561"/>
        <item h="1" m="1" x="825"/>
        <item h="1" m="1" x="1590"/>
        <item h="1" m="1" x="852"/>
        <item h="1" m="1" x="1623"/>
        <item h="1" m="1" x="881"/>
        <item h="1" m="1" x="1651"/>
        <item h="1" m="1" x="910"/>
        <item h="1" m="1" x="1678"/>
        <item h="1" m="1" x="934"/>
        <item h="1" m="1" x="1704"/>
        <item h="1" m="1" x="954"/>
        <item h="1" m="1" x="1728"/>
        <item h="1" m="1" x="1752"/>
        <item h="1" m="1" x="1773"/>
        <item h="1" m="1" x="1418"/>
        <item h="1" m="1" x="683"/>
        <item h="1" m="1" x="1446"/>
        <item h="1" m="1" x="1476"/>
        <item h="1" m="1" x="741"/>
        <item h="1" m="1" x="1507"/>
        <item h="1" m="1" x="770"/>
        <item h="1" m="1" x="1538"/>
        <item h="1" m="1" x="799"/>
        <item h="1" m="1" x="830"/>
        <item h="1" m="1" x="1594"/>
        <item h="1" m="1" x="856"/>
        <item h="1" m="1" x="1628"/>
        <item h="1" m="1" x="884"/>
        <item h="1" m="1" x="1655"/>
        <item h="1" m="1" x="1682"/>
        <item h="1" m="1" x="936"/>
        <item h="1" m="1" x="1706"/>
        <item h="1" m="1" x="958"/>
        <item h="1" m="1" x="1731"/>
        <item h="1" m="1" x="979"/>
        <item h="1" m="1" x="1000"/>
        <item h="1" m="1" x="1775"/>
        <item h="1" m="1" x="1018"/>
        <item h="1" m="1" x="293"/>
        <item h="1" m="1" x="1036"/>
        <item h="1" m="1" x="1480"/>
        <item h="1" m="1" x="1511"/>
        <item h="1" m="1" x="774"/>
        <item h="1" m="1" x="1543"/>
        <item h="1" m="1" x="803"/>
        <item h="1" m="1" x="1569"/>
        <item h="1" m="1" x="834"/>
        <item h="1" m="1" x="860"/>
        <item h="1" m="1" x="1632"/>
        <item h="1" m="1" x="889"/>
        <item h="1" m="1" x="1659"/>
        <item h="1" m="1" x="918"/>
        <item h="1" m="1" x="1687"/>
        <item h="1" m="1" x="1710"/>
        <item h="1" m="1" x="962"/>
        <item h="1" m="1" x="1736"/>
        <item h="1" m="1" x="982"/>
        <item h="1" m="1" x="1757"/>
        <item h="1" m="1" x="1002"/>
        <item h="1" m="1" x="1020"/>
        <item h="1" m="1" x="295"/>
        <item h="1" m="1" x="1038"/>
        <item h="1" m="1" x="310"/>
        <item h="1" m="1" x="1053"/>
        <item h="1" m="1" x="324"/>
        <item h="1" m="1" x="342"/>
        <item h="1" m="1" x="808"/>
        <item h="1" m="1" x="1574"/>
        <item h="1" m="1" x="837"/>
        <item h="1" m="1" x="1603"/>
        <item h="1" m="1" x="1636"/>
        <item h="1" m="1" x="893"/>
        <item h="1" m="1" x="1664"/>
        <item h="1" m="1" x="923"/>
        <item h="1" m="1" x="1690"/>
        <item h="1" m="1" x="944"/>
        <item h="1" m="1" x="966"/>
        <item h="1" m="1" x="1740"/>
        <item h="1" m="1" x="987"/>
        <item h="1" m="1" x="1762"/>
        <item h="1" m="1" x="1005"/>
        <item h="1" m="1" x="1783"/>
        <item h="1" m="1" x="298"/>
        <item h="1" m="1" x="1041"/>
        <item h="1" m="1" x="312"/>
        <item h="1" m="1" x="1055"/>
        <item h="1" m="1" x="325"/>
        <item h="1" m="1" x="1066"/>
        <item h="1" m="1" x="1081"/>
        <item h="1" m="1" x="361"/>
        <item h="1" m="1" x="1099"/>
        <item h="1" m="1" x="1606"/>
        <item h="1" m="1" x="868"/>
        <item h="1" m="1" x="1641"/>
        <item h="1" m="1" x="1667"/>
        <item h="1" m="1" x="927"/>
        <item h="1" m="1" x="1695"/>
        <item h="1" m="1" x="1719"/>
        <item h="1" m="1" x="971"/>
        <item h="1" m="1" x="991"/>
        <item h="1" m="1" x="1766"/>
        <item h="1" m="1" x="1010"/>
        <item h="1" m="1" x="1786"/>
        <item h="1" m="1" x="1028"/>
        <item h="1" m="1" x="303"/>
        <item h="1" m="1" x="315"/>
        <item h="1" m="1" x="1058"/>
        <item h="1" m="1" x="329"/>
        <item h="1" m="1" x="1069"/>
        <item h="1" m="1" x="347"/>
        <item h="1" m="1" x="1083"/>
        <item h="1" m="1" x="1101"/>
        <item h="1" m="1" x="373"/>
        <item h="1" m="1" x="1117"/>
        <item h="1" m="1" x="385"/>
        <item h="1" m="1" x="402"/>
        <item h="1" m="1" x="337"/>
        <item h="1" m="1" x="1077"/>
        <item h="1" m="1" x="356"/>
        <item h="1" m="1" x="1090"/>
        <item h="1" m="1" x="365"/>
        <item h="1" m="1" x="1109"/>
        <item h="1" m="1" x="1122"/>
        <item h="1" m="1" x="389"/>
        <item h="1" m="1" x="1139"/>
        <item h="1" m="1" x="406"/>
        <item h="1" m="1" x="1151"/>
        <item h="1" m="1" x="419"/>
        <item h="1" m="1" x="434"/>
        <item h="1" m="1" x="1180"/>
        <item h="1" m="1" x="450"/>
        <item h="1" m="1" x="1198"/>
        <item h="1" m="1" x="473"/>
        <item h="1" m="1" x="1220"/>
        <item h="1" m="1" x="1245"/>
        <item h="1" m="1" x="518"/>
        <item h="1" m="1" x="1271"/>
        <item h="1" m="1" x="545"/>
        <item h="1" m="1" x="1301"/>
        <item h="1" m="1" x="574"/>
        <item h="1" m="1" x="605"/>
        <item h="1" m="1" x="1360"/>
        <item h="1" m="1" x="1092"/>
        <item h="1" m="1" x="367"/>
        <item h="1" m="1" x="1110"/>
        <item h="1" m="1" x="378"/>
        <item h="1" m="1" x="391"/>
        <item h="1" m="1" x="1141"/>
        <item h="1" m="1" x="1153"/>
        <item h="1" m="1" x="420"/>
        <item h="1" m="1" x="1166"/>
        <item h="1" m="1" x="1182"/>
        <item h="1" m="1" x="452"/>
        <item h="1" m="1" x="1200"/>
        <item h="1" m="1" x="475"/>
        <item h="1" m="1" x="1221"/>
        <item h="1" m="1" x="496"/>
        <item h="1" m="1" x="520"/>
        <item h="1" m="1" x="1273"/>
        <item h="1" m="1" x="547"/>
        <item h="1" m="1" x="1303"/>
        <item h="1" m="1" x="575"/>
        <item h="1" m="1" x="1330"/>
        <item h="1" m="1" x="1362"/>
        <item h="1" m="1" x="636"/>
        <item h="1" m="1" x="1127"/>
        <item h="1" m="1" x="410"/>
        <item h="1" m="1" x="424"/>
        <item h="1" m="1" x="1169"/>
        <item h="1" m="1" x="439"/>
        <item h="1" m="1" x="1186"/>
        <item h="1" m="1" x="456"/>
        <item h="1" m="1" x="1203"/>
        <item h="1" m="1" x="1225"/>
        <item h="1" m="1" x="499"/>
        <item h="1" m="1" x="1250"/>
        <item h="1" m="1" x="524"/>
        <item h="1" m="1" x="1277"/>
        <item h="1" m="1" x="550"/>
        <item h="1" m="1" x="610"/>
        <item h="1" m="1" x="1366"/>
        <item h="1" m="1" x="1393"/>
        <item h="1" m="1" x="1424"/>
        <item h="1" m="1" x="691"/>
        <item h="1" m="1" x="1454"/>
        <item h="1" m="1" x="720"/>
        <item h="1" m="1" x="1486"/>
        <item h="1" m="1" x="1159"/>
        <item h="1" m="1" x="444"/>
        <item h="1" m="1" x="1190"/>
        <item h="1" m="1" x="461"/>
        <item h="1" m="1" x="1207"/>
        <item h="1" m="1" x="481"/>
        <item h="1" m="1" x="504"/>
        <item h="1" m="1" x="1255"/>
        <item h="1" m="1" x="528"/>
        <item h="1" m="1" x="1282"/>
        <item h="1" m="1" x="1309"/>
        <item h="1" m="1" x="1337"/>
        <item h="1" m="1" x="615"/>
        <item h="1" m="1" x="1371"/>
        <item h="1" m="1" x="642"/>
        <item h="1" m="1" x="1397"/>
        <item h="1" m="1" x="665"/>
        <item h="1" m="1" x="693"/>
        <item h="1" m="1" x="1457"/>
        <item h="1" m="1" x="721"/>
        <item h="1" m="1" x="1489"/>
        <item h="1" m="1" x="752"/>
        <item h="1" m="1" x="1521"/>
        <item h="1" m="1" x="465"/>
        <item h="1" m="1" x="1213"/>
        <item h="1" m="1" x="486"/>
        <item h="1" m="1" x="1234"/>
        <item h="1" m="1" x="510"/>
        <item h="1" m="1" x="533"/>
        <item h="1" m="1" x="1286"/>
        <item h="1" m="1" x="558"/>
        <item h="1" m="1" x="1313"/>
        <item h="1" m="1" x="588"/>
        <item h="1" m="1" x="1341"/>
        <item h="1" m="1" x="1375"/>
        <item h="1" m="1" x="644"/>
        <item h="1" m="1" x="1401"/>
        <item h="1" m="1" x="667"/>
        <item h="1" m="1" x="1429"/>
        <item h="1" m="1" x="697"/>
        <item h="1" m="1" x="725"/>
        <item h="1" m="1" x="1492"/>
        <item h="1" m="1" x="754"/>
        <item h="1" m="1" x="1523"/>
        <item h="1" m="1" x="783"/>
        <item h="1" m="1" x="1552"/>
        <item h="1" m="1" x="1581"/>
        <item h="1" m="1" x="844"/>
        <item h="1" m="1" x="1615"/>
        <item h="1" m="1" x="1239"/>
        <item h="1" m="1" x="512"/>
        <item h="1" m="1" x="1265"/>
        <item h="1" m="1" x="1291"/>
        <item h="1" m="1" x="563"/>
        <item h="1" m="1" x="1319"/>
        <item h="1" m="1" x="594"/>
        <item h="1" m="1" x="1345"/>
        <item h="1" m="1" x="623"/>
        <item h="1" m="1" x="649"/>
        <item h="1" m="1" x="1406"/>
        <item h="1" m="1" x="673"/>
        <item h="1" m="1" x="1435"/>
        <item h="1" m="1" x="701"/>
        <item h="1" m="1" x="1465"/>
        <item h="1" m="1" x="1497"/>
        <item h="1" m="1" x="758"/>
        <item h="1" m="1" x="1528"/>
        <item h="1" m="1" x="788"/>
        <item h="1" m="1" x="1554"/>
        <item h="1" m="1" x="819"/>
        <item h="1" m="1" x="846"/>
        <item h="1" m="1" x="1618"/>
        <item h="1" m="1" x="877"/>
        <item h="1" m="1" x="1648"/>
        <item h="1" m="1" x="906"/>
        <item h="1" m="1" x="1296"/>
        <item h="1" m="1" x="1323"/>
        <item h="1" m="1" x="598"/>
        <item h="1" m="1" x="1350"/>
        <item h="1" m="1" x="1382"/>
        <item h="1" m="1" x="654"/>
        <item h="1" m="1" x="677"/>
        <item h="1" m="1" x="1439"/>
        <item h="1" m="1" x="706"/>
        <item h="1" m="1" x="1468"/>
        <item h="1" m="1" x="734"/>
        <item h="1" m="1" x="1501"/>
        <item h="1" m="1" x="1532"/>
        <item h="1" m="1" x="792"/>
        <item h="1" m="1" x="1558"/>
        <item h="1" m="1" x="822"/>
        <item h="1" m="1" x="1587"/>
        <item h="1" m="1" x="850"/>
        <item h="1" m="1" x="879"/>
        <item h="1" m="1" x="1650"/>
        <item h="1" m="1" x="909"/>
        <item h="1" m="1" x="1677"/>
        <item h="1" m="1" x="1703"/>
        <item h="1" m="1" x="1727"/>
        <item h="1" m="1" x="1355"/>
        <item h="1" m="1" x="631"/>
        <item h="1" m="1" x="1388"/>
        <item h="1" m="1" x="658"/>
        <item h="1" m="1" x="1416"/>
        <item h="1" m="1" x="1444"/>
        <item h="1" m="1" x="711"/>
        <item h="1" m="1" x="1474"/>
        <item h="1" m="1" x="740"/>
        <item h="1" m="1" x="1505"/>
        <item h="1" m="1" x="768"/>
        <item h="1" m="1" x="797"/>
        <item h="1" m="1" x="1564"/>
        <item h="1" m="1" x="828"/>
        <item h="1" m="1" x="1593"/>
        <item h="1" m="1" x="854"/>
        <item h="1" m="1" x="1626"/>
        <item h="1" m="1" x="1653"/>
        <item h="1" m="1" x="913"/>
        <item h="1" m="1" x="1680"/>
        <item h="1" m="1" x="935"/>
        <item h="1" m="1" x="1705"/>
        <item h="1" m="1" x="956"/>
        <item h="1" m="1" x="978"/>
        <item h="1" m="1" x="1753"/>
        <item h="1" m="1" x="1774"/>
        <item h="1" m="1" x="1420"/>
        <item h="1" m="1" x="686"/>
        <item h="1" m="1" x="714"/>
        <item h="1" m="1" x="1478"/>
        <item h="1" m="1" x="744"/>
        <item h="1" m="1" x="1510"/>
        <item h="1" m="1" x="772"/>
        <item h="1" m="1" x="1541"/>
        <item h="1" m="1" x="1567"/>
        <item h="1" m="1" x="832"/>
        <item h="1" m="1" x="1597"/>
        <item h="1" m="1" x="859"/>
        <item h="1" m="1" x="1630"/>
        <item h="1" m="1" x="887"/>
        <item h="1" m="1" x="916"/>
        <item h="1" m="1" x="1685"/>
        <item h="1" m="1" x="938"/>
        <item h="1" m="1" x="1709"/>
        <item h="1" m="1" x="960"/>
        <item h="1" m="1" x="1734"/>
        <item h="1" m="1" x="1755"/>
        <item h="1" m="1" x="1001"/>
        <item h="1" m="1" x="1777"/>
        <item h="1" m="1" x="1019"/>
        <item h="1" m="1" x="294"/>
        <item h="1" m="1" x="1037"/>
        <item h="1" m="1" x="746"/>
        <item h="1" m="1" x="1514"/>
        <item h="1" m="1" x="777"/>
        <item h="1" m="1" x="1545"/>
        <item h="1" m="1" x="806"/>
        <item h="1" m="1" x="1572"/>
        <item h="1" m="1" x="1601"/>
        <item h="1" m="1" x="863"/>
        <item h="1" m="1" x="1635"/>
        <item h="1" m="1" x="891"/>
        <item h="1" m="1" x="1662"/>
        <item h="1" m="1" x="921"/>
        <item h="1" m="1" x="942"/>
        <item h="1" m="1" x="1713"/>
        <item h="1" m="1" x="965"/>
        <item h="1" m="1" x="1738"/>
        <item h="1" m="1" x="985"/>
        <item h="1" m="1" x="1760"/>
        <item h="1" m="1" x="1781"/>
        <item h="1" m="1" x="1022"/>
        <item h="1" m="1" x="297"/>
        <item h="1" m="1" x="1039"/>
        <item h="1" m="1" x="311"/>
        <item h="1" m="1" x="1054"/>
        <item h="1" m="1" x="1065"/>
        <item h="1" m="1" x="343"/>
        <item h="1" m="1" x="811"/>
        <item h="1" m="1" x="1576"/>
        <item h="1" m="1" x="839"/>
        <item h="1" m="1" x="866"/>
        <item h="1" m="1" x="1639"/>
        <item h="1" m="1" x="896"/>
        <item h="1" m="1" x="1666"/>
        <item h="1" m="1" x="925"/>
        <item h="1" m="1" x="1693"/>
        <item h="1" m="1" x="1717"/>
        <item h="1" m="1" x="969"/>
        <item h="1" m="1" x="1743"/>
        <item h="1" m="1" x="990"/>
        <item h="1" m="1" x="1764"/>
        <item h="1" m="1" x="1008"/>
        <item h="1" m="1" x="1026"/>
        <item h="1" m="1" x="301"/>
        <item h="1" m="1" x="1044"/>
        <item h="1" m="1" x="314"/>
        <item h="1" m="1" x="1056"/>
        <item h="1" m="1" x="327"/>
        <item h="1" m="1" x="345"/>
        <item h="1" m="1" x="1082"/>
        <item h="1" m="1" x="362"/>
        <item h="1" m="1" x="1100"/>
        <item h="1" m="1" x="1609"/>
        <item h="1" m="1" x="871"/>
        <item h="1" m="1" x="900"/>
        <item h="1" m="1" x="1670"/>
        <item h="1" m="1" x="930"/>
        <item h="1" m="1" x="1697"/>
        <item h="1" m="1" x="1722"/>
        <item h="1" m="1" x="1747"/>
        <item h="1" m="1" x="994"/>
        <item h="1" m="1" x="1769"/>
        <item h="1" m="1" x="1012"/>
        <item h="1" m="1" x="1789"/>
        <item h="1" m="1" x="1031"/>
        <item h="1" m="1" x="1048"/>
        <item h="1" m="1" x="318"/>
        <item h="1" m="1" x="1061"/>
        <item h="1" m="1" x="331"/>
        <item h="1" m="1" x="1072"/>
        <item h="1" m="1" x="350"/>
        <item h="1" m="1" x="1103"/>
        <item h="1" m="1" x="374"/>
        <item h="1" m="1" x="1118"/>
        <item h="1" m="1" x="386"/>
        <item h="1" m="1" x="1135"/>
        <item h="1" m="1" x="338"/>
        <item h="1" m="1" x="1078"/>
        <item h="1" m="1" x="357"/>
        <item h="1" m="1" x="1091"/>
        <item h="1" m="1" x="366"/>
        <item h="1" m="1" x="377"/>
        <item h="1" m="1" x="1123"/>
        <item h="1" m="1" x="390"/>
        <item h="1" m="1" x="1140"/>
        <item h="1" m="1" x="407"/>
        <item h="1" m="1" x="1152"/>
        <item h="1" m="1" x="1165"/>
        <item h="1" m="1" x="435"/>
        <item h="1" m="1" x="1181"/>
        <item h="1" m="1" x="451"/>
        <item h="1" m="1" x="1199"/>
        <item h="1" m="1" x="474"/>
        <item h="1" m="1" x="495"/>
        <item h="1" m="1" x="1246"/>
        <item h="1" m="1" x="519"/>
        <item h="1" m="1" x="1272"/>
        <item h="1" m="1" x="546"/>
        <item h="1" m="1" x="1302"/>
        <item h="1" m="1" x="1329"/>
        <item h="1" m="1" x="606"/>
        <item h="1" m="1" x="1361"/>
        <item h="1" m="1" x="1094"/>
        <item h="1" m="1" x="368"/>
        <item h="1" m="1" x="1112"/>
        <item h="1" m="1" x="1125"/>
        <item h="1" m="1" x="393"/>
        <item h="1" m="1" x="1143"/>
        <item h="1" m="1" x="409"/>
        <item h="1" m="1" x="1154"/>
        <item h="1" m="1" x="422"/>
        <item h="1" m="1" x="437"/>
        <item h="1" m="1" x="1184"/>
        <item h="1" m="1" x="454"/>
        <item h="1" m="1" x="1202"/>
        <item h="1" m="1" x="476"/>
        <item h="1" m="1" x="1223"/>
        <item h="1" m="1" x="1248"/>
        <item h="1" m="1" x="522"/>
        <item h="1" m="1" x="1275"/>
        <item h="1" m="1" x="549"/>
        <item h="1" m="1" x="1304"/>
        <item h="1" m="1" x="577"/>
        <item h="1" m="1" x="608"/>
        <item h="1" m="1" x="1364"/>
        <item h="1" m="1" x="637"/>
        <item h="1" m="1" x="1130"/>
        <item h="1" m="1" x="396"/>
        <item h="1" m="1" x="1147"/>
        <item h="1" m="1" x="413"/>
        <item h="1" m="1" x="1158"/>
        <item h="1" m="1" x="426"/>
        <item h="1" m="1" x="1172"/>
        <item h="1" m="1" x="442"/>
        <item h="1" m="1" x="1188"/>
        <item h="1" m="1" x="459"/>
        <item h="1" m="1" x="480"/>
        <item h="1" m="1" x="1227"/>
        <item h="1" m="1" x="502"/>
        <item h="1" m="1" x="1253"/>
        <item h="1" m="1" x="526"/>
        <item h="1" m="1" x="1280"/>
        <item h="1" m="1" x="1308"/>
        <item h="1" m="1" x="581"/>
        <item h="1" m="1" x="1335"/>
        <item h="1" m="1" x="613"/>
        <item h="1" m="1" x="1369"/>
        <item h="1" m="1" x="640"/>
        <item h="1" m="1" x="1395"/>
        <item h="1" m="1" x="664"/>
        <item h="1" m="1" x="1426"/>
        <item h="1" m="1" x="692"/>
        <item h="1" m="1" x="1456"/>
        <item h="1" m="1" x="1488"/>
        <item h="1" m="1" x="430"/>
        <item h="1" m="1" x="1176"/>
        <item h="1" m="1" x="447"/>
        <item h="1" m="1" x="1193"/>
        <item h="1" m="1" x="463"/>
        <item h="1" m="1" x="1211"/>
        <item h="1" m="1" x="1232"/>
        <item h="1" m="1" x="508"/>
        <item h="1" m="1" x="1259"/>
        <item h="1" m="1" x="531"/>
        <item h="1" m="1" x="1284"/>
        <item h="1" m="1" x="556"/>
        <item h="1" m="1" x="586"/>
        <item h="1" m="1" x="1340"/>
        <item h="1" m="1" x="619"/>
        <item h="1" m="1" x="1374"/>
        <item h="1" m="1" x="643"/>
        <item h="1" m="1" x="1399"/>
        <item h="1" m="1" x="696"/>
        <item h="1" m="1" x="1460"/>
        <item h="1" m="1" x="723"/>
        <item h="1" m="1" x="1491"/>
        <item h="1" m="1" x="753"/>
        <item h="1" m="1" x="782"/>
        <item h="1" m="1" x="468"/>
        <item h="1" m="1" x="1215"/>
        <item h="1" m="1" x="489"/>
        <item h="1" m="1" x="1238"/>
        <item h="1" m="1" x="1263"/>
        <item h="1" m="1" x="537"/>
        <item h="1" m="1" x="1289"/>
        <item h="1" m="1" x="561"/>
        <item h="1" m="1" x="1317"/>
        <item h="1" m="1" x="592"/>
        <item h="1" m="1" x="622"/>
        <item h="1" m="1" x="1378"/>
        <item h="1" m="1" x="647"/>
        <item h="1" m="1" x="1404"/>
        <item h="1" m="1" x="671"/>
        <item h="1" m="1" x="1433"/>
        <item h="1" m="1" x="1464"/>
        <item h="1" m="1" x="729"/>
        <item h="1" m="1" x="1495"/>
        <item h="1" m="1" x="756"/>
        <item h="1" m="1" x="1526"/>
        <item h="1" m="1" x="786"/>
        <item h="1" m="1" x="818"/>
        <item h="1" m="1" x="1583"/>
        <item h="1" m="1" x="845"/>
        <item h="1" m="1" x="1617"/>
        <item h="1" m="1" x="514"/>
        <item h="1" m="1" x="540"/>
        <item h="1" m="1" x="1295"/>
        <item h="1" m="1" x="567"/>
        <item h="1" m="1" x="1322"/>
        <item h="1" m="1" x="597"/>
        <item h="1" m="1" x="1349"/>
        <item h="1" m="1" x="1381"/>
        <item h="1" m="1" x="653"/>
        <item h="1" m="1" x="1410"/>
        <item h="1" m="1" x="676"/>
        <item h="1" m="1" x="1438"/>
        <item h="1" m="1" x="705"/>
        <item h="1" m="1" x="733"/>
        <item h="1" m="1" x="1500"/>
        <item h="1" m="1" x="762"/>
        <item h="1" m="1" x="1531"/>
        <item h="1" m="1" x="791"/>
        <item h="1" m="1" x="1557"/>
        <item h="1" m="1" x="1586"/>
        <item h="1" m="1" x="849"/>
        <item h="1" m="1" x="1620"/>
        <item h="1" m="1" x="878"/>
        <item h="1" m="1" x="908"/>
        <item h="1" m="1" x="570"/>
        <item h="1" m="1" x="1326"/>
        <item h="1" m="1" x="601"/>
        <item h="1" m="1" x="1353"/>
        <item h="1" m="1" x="629"/>
        <item h="1" m="1" x="1386"/>
        <item h="1" m="1" x="1414"/>
        <item h="1" m="1" x="681"/>
        <item h="1" m="1" x="1442"/>
        <item h="1" m="1" x="709"/>
        <item h="1" m="1" x="1472"/>
        <item h="1" m="1" x="738"/>
        <item h="1" m="1" x="766"/>
        <item h="1" m="1" x="1536"/>
        <item h="1" m="1" x="795"/>
        <item h="1" m="1" x="1562"/>
        <item h="1" m="1" x="826"/>
        <item h="1" m="1" x="1591"/>
        <item h="1" m="1" x="1624"/>
        <item h="1" m="1" x="882"/>
        <item h="1" m="1" x="1652"/>
        <item h="1" m="1" x="911"/>
        <item h="1" m="1" x="1679"/>
        <item h="1" m="1" x="955"/>
        <item h="1" m="1" x="1729"/>
        <item h="1" m="1" x="1357"/>
        <item h="1" m="1" x="633"/>
        <item h="1" m="1" x="1389"/>
        <item h="1" m="1" x="660"/>
        <item h="1" m="1" x="684"/>
        <item h="1" m="1" x="1447"/>
        <item h="1" m="1" x="713"/>
        <item h="1" m="1" x="1477"/>
        <item h="1" m="1" x="742"/>
        <item h="1" m="1" x="1508"/>
        <item h="1" m="1" x="1539"/>
        <item h="1" m="1" x="800"/>
        <item h="1" m="1" x="1566"/>
        <item h="1" m="1" x="831"/>
        <item h="1" m="1" x="1595"/>
        <item h="1" m="1" x="857"/>
        <item h="1" m="1" x="885"/>
        <item h="1" m="1" x="1656"/>
        <item h="1" m="1" x="915"/>
        <item h="1" m="1" x="1683"/>
        <item h="1" m="1" x="937"/>
        <item h="1" m="1" x="1707"/>
        <item h="1" m="1" x="1732"/>
        <item h="1" m="1" x="980"/>
        <item h="1" m="1" x="1754"/>
        <item h="1" m="1" x="1776"/>
        <item h="1" m="1" x="1422"/>
        <item h="1" m="1" x="1450"/>
        <item h="1" m="1" x="716"/>
        <item h="1" m="1" x="1481"/>
        <item h="1" m="1" x="1512"/>
        <item h="1" m="1" x="775"/>
        <item h="1" m="1" x="804"/>
        <item h="1" m="1" x="1570"/>
        <item h="1" m="1" x="835"/>
        <item h="1" m="1" x="1599"/>
        <item h="1" m="1" x="861"/>
        <item h="1" m="1" x="1633"/>
        <item h="1" m="1" x="1660"/>
        <item h="1" m="1" x="919"/>
        <item h="1" m="1" x="1688"/>
        <item h="1" m="1" x="940"/>
        <item h="1" m="1" x="1711"/>
        <item h="1" m="1" x="963"/>
        <item h="1" m="1" x="983"/>
        <item h="1" m="1" x="1758"/>
        <item h="1" m="1" x="1003"/>
        <item h="1" m="1" x="1779"/>
        <item h="1" m="1" x="1021"/>
        <item h="1" m="1" x="296"/>
        <item h="1" m="1" x="748"/>
        <item h="1" m="1" x="1516"/>
        <item h="1" m="1" x="778"/>
        <item h="1" m="1" x="1547"/>
        <item h="1" m="1" x="809"/>
        <item h="1" m="1" x="1604"/>
        <item h="1" m="1" x="865"/>
        <item h="1" m="1" x="1637"/>
        <item h="1" m="1" x="894"/>
        <item h="1" m="1" x="1665"/>
        <item h="1" m="1" x="1691"/>
        <item h="1" m="1" x="945"/>
        <item h="1" m="1" x="1715"/>
        <item h="1" m="1" x="967"/>
        <item h="1" m="1" x="1741"/>
        <item h="1" m="1" x="988"/>
        <item h="1" m="1" x="1006"/>
        <item h="1" m="1" x="1784"/>
        <item h="1" m="1" x="1024"/>
        <item h="1" m="1" x="299"/>
        <item h="1" m="1" x="1042"/>
        <item h="1" m="1" x="313"/>
        <item h="1" m="1" x="326"/>
        <item h="1" m="1" x="1067"/>
        <item h="1" m="1" x="344"/>
        <item h="1" m="1" x="812"/>
        <item h="1" m="1" x="1578"/>
        <item h="1" m="1" x="1607"/>
        <item h="1" m="1" x="869"/>
        <item h="1" m="1" x="1642"/>
        <item h="1" m="1" x="898"/>
        <item h="1" m="1" x="1668"/>
        <item h="1" m="1" x="928"/>
        <item h="1" m="1" x="947"/>
        <item h="1" m="1" x="1720"/>
        <item h="1" m="1" x="972"/>
        <item h="1" m="1" x="1745"/>
        <item h="1" m="1" x="992"/>
        <item h="1" m="1" x="1767"/>
        <item h="1" m="1" x="1787"/>
        <item h="1" m="1" x="1029"/>
        <item h="1" m="1" x="304"/>
        <item h="1" m="1" x="1046"/>
        <item h="1" m="1" x="316"/>
        <item h="1" m="1" x="1059"/>
        <item h="1" m="1" x="1070"/>
        <item h="1" m="1" x="348"/>
        <item h="1" m="1" x="1084"/>
        <item h="1" m="1" x="363"/>
        <item h="1" m="1" x="1102"/>
        <item h="1" m="1" x="1611"/>
        <item h="1" m="1" x="1644"/>
        <item h="1" m="1" x="902"/>
        <item h="1" m="1" x="1672"/>
        <item h="1" m="1" x="931"/>
        <item h="1" m="1" x="1699"/>
        <item h="1" m="1" x="950"/>
        <item h="1" m="1" x="974"/>
        <item h="1" m="1" x="1749"/>
        <item h="1" m="1" x="996"/>
        <item h="1" m="1" x="1770"/>
        <item h="1" m="1" x="1014"/>
        <item h="1" m="1" x="1791"/>
        <item h="1" m="1" x="306"/>
        <item h="1" m="1" x="1050"/>
        <item h="1" m="1" x="320"/>
        <item h="1" m="1" x="1062"/>
        <item h="1" m="1" x="333"/>
        <item h="1" m="1" x="1074"/>
        <item h="1" m="1" x="352"/>
        <item h="1" m="1" x="1086"/>
        <item h="1" m="1" x="1105"/>
        <item h="1" m="1" x="375"/>
        <item h="1" m="1" x="1119"/>
        <item h="1" m="1" x="387"/>
        <item h="1" m="1" x="1136"/>
        <item h="1" m="1" x="403"/>
        <item h="1" m="1" x="339"/>
        <item h="1" m="1" x="1079"/>
        <item h="1" m="1" x="358"/>
        <item h="1" m="1" x="1093"/>
        <item h="1" m="1" x="1111"/>
        <item h="1" m="1" x="379"/>
        <item h="1" m="1" x="1124"/>
        <item h="1" m="1" x="392"/>
        <item h="1" m="1" x="1142"/>
        <item h="1" m="1" x="408"/>
        <item h="1" m="1" x="421"/>
        <item h="1" m="1" x="1167"/>
        <item h="1" m="1" x="436"/>
        <item h="1" m="1" x="1183"/>
        <item h="1" m="1" x="453"/>
        <item h="1" m="1" x="1201"/>
        <item h="1" m="1" x="1222"/>
        <item h="1" m="1" x="497"/>
        <item h="1" m="1" x="1247"/>
        <item h="1" m="1" x="521"/>
        <item h="1" m="1" x="1274"/>
        <item h="1" m="1" x="548"/>
        <item h="1" m="1" x="576"/>
        <item h="1" m="1" x="1331"/>
        <item h="1" m="1" x="607"/>
        <item h="1" m="1" x="1363"/>
        <item h="1" m="1" x="1095"/>
        <item h="1" m="1" x="370"/>
        <item h="1" m="1" x="381"/>
        <item h="1" m="1" x="1128"/>
        <item h="1" m="1" x="395"/>
        <item h="1" m="1" x="1145"/>
        <item h="1" m="1" x="411"/>
        <item h="1" m="1" x="1156"/>
        <item h="1" m="1" x="1170"/>
        <item h="1" m="1" x="440"/>
        <item h="1" m="1" x="1187"/>
        <item h="1" m="1" x="457"/>
        <item h="1" m="1" x="1204"/>
        <item h="1" m="1" x="478"/>
        <item h="1" m="1" x="500"/>
        <item h="1" m="1" x="1251"/>
        <item h="1" m="1" x="525"/>
        <item h="1" m="1" x="1278"/>
        <item h="1" m="1" x="551"/>
        <item h="1" m="1" x="1306"/>
        <item h="1" m="1" x="1333"/>
        <item h="1" m="1" x="1367"/>
        <item h="1" m="1" x="638"/>
        <item h="1" m="1" x="1132"/>
        <item h="1" m="1" x="398"/>
        <item h="1" m="1" x="415"/>
        <item h="1" m="1" x="1160"/>
        <item h="1" m="1" x="428"/>
        <item h="1" m="1" x="1174"/>
        <item h="1" m="1" x="445"/>
        <item h="1" m="1" x="1191"/>
        <item h="1" m="1" x="1208"/>
        <item h="1" m="1" x="482"/>
        <item h="1" m="1" x="1229"/>
        <item h="1" m="1" x="505"/>
        <item h="1" m="1" x="1256"/>
        <item h="1" m="1" x="529"/>
        <item h="1" m="1" x="554"/>
        <item h="1" m="1" x="1310"/>
        <item h="1" m="1" x="583"/>
        <item h="1" m="1" x="1338"/>
        <item h="1" m="1" x="616"/>
        <item h="1" m="1" x="1372"/>
        <item h="1" m="1" x="1398"/>
        <item h="1" m="1" x="666"/>
        <item h="1" m="1" x="1427"/>
        <item h="1" m="1" x="694"/>
        <item h="1" m="1" x="1458"/>
        <item h="1" m="1" x="722"/>
        <item h="1" m="1" x="1163"/>
        <item h="1" m="1" x="432"/>
        <item h="1" m="1" x="1178"/>
        <item h="1" m="1" x="448"/>
        <item h="1" m="1" x="1195"/>
        <item h="1" m="1" x="466"/>
        <item h="1" m="1" x="487"/>
        <item h="1" m="1" x="1235"/>
        <item h="1" m="1" x="511"/>
        <item h="1" m="1" x="1260"/>
        <item h="1" m="1" x="534"/>
        <item h="1" m="1" x="1287"/>
        <item h="1" m="1" x="1314"/>
        <item h="1" m="1" x="589"/>
        <item h="1" m="1" x="1342"/>
        <item h="1" m="1" x="645"/>
        <item h="1" m="1" x="668"/>
        <item h="1" m="1" x="1430"/>
        <item h="1" m="1" x="698"/>
        <item h="1" m="1" x="1461"/>
        <item h="1" m="1" x="726"/>
        <item h="1" m="1" x="1493"/>
        <item h="1" m="1" x="1524"/>
        <item h="1" m="1" x="784"/>
        <item h="1" m="1" x="470"/>
        <item h="1" m="1" x="1217"/>
        <item h="1" m="1" x="491"/>
        <item h="1" m="1" x="513"/>
        <item h="1" m="1" x="1266"/>
        <item h="1" m="1" x="538"/>
        <item h="1" m="1" x="1292"/>
        <item h="1" m="1" x="564"/>
        <item h="1" m="1" x="1320"/>
        <item h="1" m="1" x="1346"/>
        <item h="1" m="1" x="624"/>
        <item h="1" m="1" x="1379"/>
        <item h="1" m="1" x="650"/>
        <item h="1" m="1" x="1407"/>
        <item h="1" m="1" x="674"/>
        <item h="1" m="1" x="702"/>
        <item h="1" m="1" x="1466"/>
        <item h="1" m="1" x="730"/>
        <item h="1" m="1" x="1498"/>
        <item h="1" m="1" x="759"/>
        <item h="1" m="1" x="1529"/>
        <item h="1" m="1" x="1555"/>
        <item h="1" m="1" x="820"/>
        <item h="1" m="1" x="1584"/>
        <item h="1" m="1" x="847"/>
        <item h="1" m="1" x="1242"/>
        <item h="1" m="1" x="1268"/>
        <item h="1" m="1" x="542"/>
        <item h="1" m="1" x="1297"/>
        <item h="1" m="1" x="568"/>
        <item h="1" m="1" x="1324"/>
        <item h="1" m="1" x="599"/>
        <item h="1" m="1" x="626"/>
        <item h="1" m="1" x="1383"/>
        <item h="1" m="1" x="655"/>
        <item h="1" m="1" x="1411"/>
        <item h="1" m="1" x="678"/>
        <item h="1" m="1" x="1440"/>
        <item h="1" m="1" x="1469"/>
        <item h="1" m="1" x="735"/>
        <item h="1" m="1" x="1502"/>
        <item h="1" m="1" x="763"/>
        <item h="1" m="1" x="1533"/>
        <item h="1" m="1" x="793"/>
        <item h="1" m="1" x="1559"/>
        <item h="1" m="1" x="823"/>
        <item h="1" m="1" x="1588"/>
        <item h="1" m="1" x="851"/>
        <item h="1" m="1" x="1621"/>
        <item h="1" m="1" x="880"/>
        <item h="1" m="1" x="1299"/>
        <item h="1" m="1" x="572"/>
        <item h="1" m="1" x="1327"/>
        <item h="1" m="1" x="603"/>
        <item h="1" m="1" x="1356"/>
        <item h="1" m="1" x="632"/>
        <item h="1" m="1" x="659"/>
        <item h="1" m="1" x="1417"/>
        <item h="1" m="1" x="682"/>
        <item h="1" m="1" x="1445"/>
        <item h="1" m="1" x="712"/>
        <item h="1" m="1" x="1475"/>
        <item h="1" m="1" x="1506"/>
        <item h="1" m="1" x="769"/>
        <item h="1" m="1" x="1537"/>
        <item h="1" m="1" x="798"/>
        <item h="1" m="1" x="1565"/>
        <item h="1" m="1" x="829"/>
        <item h="1" m="1" x="855"/>
        <item h="1" m="1" x="1627"/>
        <item h="1" m="1" x="883"/>
        <item h="1" m="1" x="1654"/>
        <item h="1" m="1" x="914"/>
        <item h="1" m="1" x="1681"/>
        <item h="1" m="1" x="957"/>
        <item h="1" m="1" x="1730"/>
        <item h="1" m="1" x="1358"/>
        <item h="1" m="1" x="635"/>
        <item h="1" m="1" x="1391"/>
        <item h="1" m="1" x="1421"/>
        <item h="1" m="1" x="687"/>
        <item h="1" m="1" x="1449"/>
        <item h="1" m="1" x="715"/>
        <item h="1" m="1" x="1479"/>
        <item h="1" m="1" x="745"/>
        <item h="1" m="1" x="773"/>
        <item h="1" m="1" x="1542"/>
        <item h="1" m="1" x="802"/>
        <item h="1" m="1" x="1568"/>
        <item h="1" m="1" x="833"/>
        <item h="1" m="1" x="1598"/>
        <item h="1" m="1" x="1631"/>
        <item h="1" m="1" x="888"/>
        <item h="1" m="1" x="1658"/>
        <item h="1" m="1" x="917"/>
        <item h="1" m="1" x="1686"/>
        <item h="1" m="1" x="939"/>
        <item h="1" m="1" x="961"/>
        <item h="1" m="1" x="1735"/>
        <item h="1" m="1" x="981"/>
        <item h="1" m="1" x="1756"/>
        <item h="1" m="1" x="1778"/>
        <item h="1" m="1" x="689"/>
        <item h="1" m="1" x="1452"/>
        <item h="1" m="1" x="718"/>
        <item h="1" m="1" x="1482"/>
        <item h="1" m="1" x="747"/>
        <item h="1" m="1" x="1515"/>
        <item h="1" m="1" x="1546"/>
        <item h="1" m="1" x="807"/>
        <item h="1" m="1" x="1573"/>
        <item h="1" m="1" x="836"/>
        <item h="1" m="1" x="1602"/>
        <item h="1" m="1" x="864"/>
        <item h="1" m="1" x="892"/>
        <item h="1" m="1" x="1663"/>
        <item h="1" m="1" x="922"/>
        <item h="1" m="1" x="1689"/>
        <item h="1" m="1" x="943"/>
        <item h="1" m="1" x="1714"/>
        <item h="1" m="1" x="1739"/>
        <item h="1" m="1" x="986"/>
        <item h="1" m="1" x="1761"/>
        <item h="1" m="1" x="1004"/>
        <item h="1" m="1" x="1782"/>
        <item h="1" m="1" x="1023"/>
        <item h="1" m="1" x="1040"/>
        <item h="1" m="1" x="1484"/>
        <item h="1" m="1" x="749"/>
        <item h="1" m="1" x="1518"/>
        <item h="1" m="1" x="780"/>
        <item h="1" m="1" x="1549"/>
        <item h="1" m="1" x="1577"/>
        <item h="1" m="1" x="1605"/>
        <item h="1" m="1" x="867"/>
        <item h="1" m="1" x="1640"/>
        <item h="1" m="1" x="897"/>
        <item h="1" m="1" x="926"/>
        <item h="1" m="1" x="1694"/>
        <item h="1" m="1" x="946"/>
        <item h="1" m="1" x="1718"/>
        <item h="1" m="1" x="970"/>
        <item h="1" m="1" x="1744"/>
        <item h="1" m="1" x="1765"/>
        <item h="1" m="1" x="1009"/>
        <item h="1" m="1" x="1785"/>
        <item h="1" m="1" x="1027"/>
        <item h="1" m="1" x="302"/>
        <item h="1" m="1" x="1045"/>
        <item h="1" m="1" x="1057"/>
        <item h="1" m="1" x="328"/>
        <item h="1" m="1" x="1068"/>
        <item h="1" m="1" x="346"/>
        <item h="1" m="1" x="814"/>
        <item h="1" m="1" x="841"/>
        <item h="1" m="1" x="1610"/>
        <item h="1" m="1" x="872"/>
        <item h="1" m="1" x="1643"/>
        <item h="1" m="1" x="901"/>
        <item h="1" m="1" x="1671"/>
        <item h="1" m="1" x="1698"/>
        <item h="1" m="1" x="949"/>
        <item h="1" m="1" x="1723"/>
        <item h="1" m="1" x="973"/>
        <item h="1" m="1" x="1748"/>
        <item h="1" m="1" x="995"/>
        <item h="1" m="1" x="1013"/>
        <item h="1" m="1" x="1790"/>
        <item h="1" m="1" x="1032"/>
        <item h="1" m="1" x="305"/>
        <item h="1" m="1" x="1049"/>
        <item h="1" m="1" x="319"/>
        <item h="1" m="1" x="332"/>
        <item h="1" m="1" x="1073"/>
        <item h="1" m="1" x="351"/>
        <item h="1" m="1" x="1085"/>
        <item h="1" m="1" x="364"/>
        <item h="1" m="1" x="1104"/>
        <item h="1" m="1" x="874"/>
        <item h="1" m="1" x="1646"/>
        <item h="1" m="1" x="903"/>
        <item h="1" m="1" x="1674"/>
        <item h="1" m="1" x="933"/>
        <item h="1" m="1" x="1701"/>
        <item h="1" m="1" x="952"/>
        <item h="1" m="1" x="1725"/>
        <item h="1" m="1" x="976"/>
        <item h="1" m="1" x="1750"/>
        <item h="1" m="1" x="998"/>
        <item h="1" m="1" x="1772"/>
        <item h="1" m="1" x="1016"/>
        <item h="1" m="1" x="1034"/>
        <item h="1" m="1" x="308"/>
        <item h="1" m="1" x="1051"/>
        <item h="1" m="1" x="322"/>
        <item h="1" m="1" x="1064"/>
        <item h="1" m="1" x="335"/>
        <item h="1" m="1" x="354"/>
        <item h="1" m="1" x="1088"/>
        <item h="1" m="1" x="1107"/>
        <item h="1" m="1" x="376"/>
        <item h="1" m="1" x="1120"/>
        <item h="1" m="1" x="1137"/>
        <item h="1" m="1" x="404"/>
        <item h="1" m="1" x="340"/>
        <item h="1" m="1" x="1080"/>
        <item h="1" m="1" x="359"/>
        <item h="1" m="1" x="369"/>
        <item h="1" m="1" x="1113"/>
        <item h="1" m="1" x="380"/>
        <item h="1" m="1" x="1126"/>
        <item h="1" m="1" x="394"/>
        <item h="1" m="1" x="1144"/>
        <item h="1" m="1" x="1155"/>
        <item h="1" m="1" x="423"/>
        <item h="1" m="1" x="1168"/>
        <item h="1" m="1" x="438"/>
        <item h="1" m="1" x="1185"/>
        <item h="1" m="1" x="455"/>
        <item h="1" m="1" x="477"/>
        <item h="1" m="1" x="1224"/>
        <item h="1" m="1" x="498"/>
        <item h="1" m="1" x="1249"/>
        <item h="1" m="1" x="523"/>
        <item h="1" m="1" x="1276"/>
        <item h="1" m="1" x="1305"/>
        <item h="1" m="1" x="578"/>
        <item h="1" m="1" x="1332"/>
        <item h="1" m="1" x="609"/>
        <item h="1" m="1" x="1365"/>
        <item h="1" m="1" x="1097"/>
        <item h="1" m="1" x="1115"/>
        <item h="1" m="1" x="383"/>
        <item h="1" m="1" x="1131"/>
        <item h="1" m="1" x="397"/>
        <item h="1" m="1" x="1148"/>
        <item h="1" m="1" x="414"/>
        <item h="1" m="1" x="427"/>
        <item h="1" m="1" x="1173"/>
        <item h="1" m="1" x="443"/>
        <item h="1" m="1" x="1189"/>
        <item h="1" m="1" x="460"/>
        <item h="1" m="1" x="1206"/>
        <item h="1" m="1" x="1228"/>
        <item h="1" m="1" x="503"/>
        <item h="1" m="1" x="1254"/>
        <item h="1" m="1" x="527"/>
        <item h="1" m="1" x="1281"/>
        <item h="1" m="1" x="553"/>
        <item h="1" m="1" x="582"/>
        <item h="1" m="1" x="1336"/>
        <item h="1" m="1" x="614"/>
        <item h="1" m="1" x="1370"/>
        <item h="1" m="1" x="641"/>
        <item h="1" m="1" x="1396"/>
        <item h="1" m="1" x="400"/>
        <item h="1" m="1" x="1149"/>
        <item h="1" m="1" x="417"/>
        <item h="1" m="1" x="1162"/>
        <item h="1" m="1" x="431"/>
        <item h="1" m="1" x="1177"/>
        <item h="1" m="1" x="1194"/>
        <item h="1" m="1" x="464"/>
        <item h="1" m="1" x="1212"/>
        <item h="1" m="1" x="485"/>
        <item h="1" m="1" x="1233"/>
        <item h="1" m="1" x="509"/>
        <item h="1" m="1" x="532"/>
        <item h="1" m="1" x="1285"/>
        <item h="1" m="1" x="557"/>
        <item h="1" m="1" x="1312"/>
        <item h="1" m="1" x="587"/>
        <item h="1" m="1" x="1400"/>
        <item h="1" m="1" x="724"/>
        <item h="1" m="1" x="469"/>
        <item h="1" m="1" x="1216"/>
        <item h="1" m="1" x="490"/>
        <item h="1" m="1" x="1264"/>
        <item h="1" m="1" x="1290"/>
        <item h="1" m="1" x="562"/>
        <item h="1" m="1" x="1318"/>
        <item h="1" m="1" x="593"/>
        <item h="1" m="1" x="1344"/>
        <item h="1" m="1" x="648"/>
        <item h="1" m="1" x="1405"/>
        <item h="1" m="1" x="672"/>
        <item h="1" m="1" x="1434"/>
        <item h="1" m="1" x="700"/>
        <item h="1" m="1" x="1496"/>
        <item h="1" m="1" x="757"/>
        <item h="1" m="1" x="1527"/>
        <item h="1" m="1" x="787"/>
        <item h="1" m="1" x="472"/>
        <item h="1" m="1" x="493"/>
        <item h="1" m="1" x="1241"/>
        <item h="1" m="1" x="515"/>
        <item h="1" m="1" x="1267"/>
        <item h="1" m="1" x="541"/>
        <item h="1" m="1" x="1244"/>
        <item h="1" m="1" x="517"/>
        <item h="1" m="1" x="1270"/>
        <item h="1" m="1" x="544"/>
        <item h="1" m="1" x="1298"/>
        <item h="1" m="1" x="571"/>
        <item h="1" m="1" x="602"/>
        <item h="1" m="1" x="1354"/>
        <item h="1" m="1" x="630"/>
        <item h="1" m="1" x="1387"/>
        <item h="1" m="1" x="657"/>
        <item h="1" m="1" x="1415"/>
        <item h="1" m="1" x="1443"/>
        <item h="1" m="1" x="710"/>
        <item h="1" m="1" x="1473"/>
        <item h="1" m="1" x="739"/>
        <item h="1" m="1" x="1504"/>
        <item h="1" m="1" x="767"/>
        <item h="1" m="1" x="796"/>
        <item h="1" m="1" x="1563"/>
        <item h="1" m="1" x="827"/>
        <item h="1" m="1" x="1592"/>
        <item h="1" m="1" x="853"/>
        <item h="1" m="1" x="1625"/>
        <item h="1" m="1" x="912"/>
        <item h="1" m="1" x="1300"/>
        <item h="1" m="1" x="573"/>
        <item h="1" m="1" x="1328"/>
        <item h="1" m="1" x="604"/>
        <item h="1" m="1" x="634"/>
        <item h="1" m="1" x="1390"/>
        <item h="1" m="1" x="661"/>
        <item h="1" m="1" x="1419"/>
        <item h="1" m="1" x="685"/>
        <item h="1" m="1" x="1448"/>
        <item h="1" m="1" x="743"/>
        <item h="1" m="1" x="1509"/>
        <item h="1" m="1" x="771"/>
        <item h="1" m="1" x="1540"/>
        <item h="1" m="1" x="801"/>
        <item h="1" m="1" x="1596"/>
        <item h="1" m="1" x="858"/>
        <item h="1" m="1" x="1629"/>
        <item h="1" m="1" x="886"/>
        <item h="1" m="1" x="1657"/>
        <item h="1" m="1" x="1684"/>
        <item h="1" m="1" x="1708"/>
        <item h="1" m="1" x="959"/>
        <item h="1" m="1" x="1733"/>
        <item h="1" m="1" x="1359"/>
        <item h="1" m="1" x="1392"/>
        <item h="1" m="1" x="662"/>
        <item h="1" m="1" x="1423"/>
        <item h="1" m="1" x="688"/>
        <item h="1" m="1" x="1451"/>
        <item h="1" m="1" x="717"/>
        <item h="1" m="1" x="1513"/>
        <item h="1" m="1" x="776"/>
        <item h="1" m="1" x="1544"/>
        <item h="1" m="1" x="805"/>
        <item h="1" m="1" x="1571"/>
        <item h="1" m="1" x="1600"/>
        <item h="1" m="1" x="862"/>
        <item h="1" m="1" x="1634"/>
        <item h="1" m="1" x="890"/>
        <item h="1" m="1" x="1661"/>
        <item h="1" m="1" x="920"/>
        <item h="1" m="1" x="941"/>
        <item h="1" m="1" x="1712"/>
        <item h="1" m="1" x="964"/>
        <item h="1" m="1" x="1737"/>
        <item h="1" m="1" x="984"/>
        <item h="1" m="1" x="1759"/>
        <item h="1" m="1" x="1780"/>
        <item h="1" m="1" x="690"/>
        <item h="1" m="1" x="1453"/>
        <item h="1" m="1" x="719"/>
        <item h="1" m="1" x="1517"/>
        <item h="1" m="1" x="779"/>
        <item h="1" m="1" x="1548"/>
        <item h="1" m="1" x="810"/>
        <item h="1" m="1" x="1575"/>
        <item h="1" m="1" x="838"/>
        <item h="1" m="1" x="1638"/>
        <item h="1" m="1" x="895"/>
        <item h="1" m="1" x="924"/>
        <item h="1" m="1" x="1692"/>
        <item h="1" m="1" x="1716"/>
        <item h="1" m="1" x="968"/>
        <item h="1" m="1" x="1742"/>
        <item h="1" m="1" x="989"/>
        <item h="1" m="1" x="1763"/>
        <item h="1" m="1" x="1007"/>
        <item h="1" m="1" x="1025"/>
        <item h="1" m="1" x="300"/>
        <item h="1" m="1" x="1043"/>
        <item h="1" m="1" x="1485"/>
        <item h="1" m="1" x="750"/>
        <item h="1" m="1" x="1519"/>
        <item h="1" m="1" x="1550"/>
        <item h="1" m="1" x="813"/>
        <item h="1" m="1" x="1579"/>
        <item h="1" m="1" x="840"/>
        <item h="1" m="1" x="1608"/>
        <item h="1" m="1" x="870"/>
        <item h="1" m="1" x="899"/>
        <item h="1" m="1" x="1669"/>
        <item h="1" m="1" x="929"/>
        <item h="1" m="1" x="1696"/>
        <item h="1" m="1" x="948"/>
        <item h="1" m="1" x="1721"/>
        <item h="1" m="1" x="1746"/>
        <item h="1" m="1" x="993"/>
        <item h="1" m="1" x="1768"/>
        <item h="1" m="1" x="1011"/>
        <item h="1" m="1" x="1788"/>
        <item h="1" m="1" x="1030"/>
        <item h="1" m="1" x="1047"/>
        <item h="1" m="1" x="317"/>
        <item h="1" m="1" x="1060"/>
        <item h="1" m="1" x="330"/>
        <item h="1" m="1" x="1071"/>
        <item h="1" m="1" x="349"/>
        <item h="1" m="1" x="815"/>
        <item h="1" m="1" x="1580"/>
        <item h="1" m="1" x="842"/>
        <item h="1" m="1" x="1612"/>
        <item h="1" m="1" x="873"/>
        <item h="1" m="1" x="1645"/>
        <item h="1" m="1" x="1673"/>
        <item h="1" m="1" x="932"/>
        <item h="1" m="1" x="1700"/>
        <item h="1" m="1" x="951"/>
        <item h="1" m="1" x="1724"/>
        <item h="1" m="1" x="975"/>
        <item h="1" m="1" x="997"/>
        <item h="1" m="1" x="1771"/>
        <item h="1" m="1" x="1015"/>
        <item h="1" m="1" x="1792"/>
        <item h="1" m="1" x="1033"/>
        <item h="1" m="1" x="307"/>
        <item h="1" m="1" x="321"/>
        <item h="1" m="1" x="1063"/>
        <item h="1" m="1" x="334"/>
        <item h="1" m="1" x="1075"/>
        <item h="1" m="1" x="353"/>
        <item h="1" m="1" x="1087"/>
        <item h="1" x="160"/>
        <item h="1" m="1" x="1106"/>
        <item h="1" m="1" x="1613"/>
        <item h="1" m="1" x="875"/>
        <item h="1" m="1" x="1647"/>
        <item h="1" m="1" x="904"/>
        <item h="1" m="1" x="1675"/>
        <item h="1" m="1" x="1702"/>
        <item h="1" m="1" x="1726"/>
        <item h="1" m="1" x="977"/>
        <item h="1" m="1" x="1751"/>
        <item h="1" m="1" x="999"/>
        <item h="1" m="1" x="1017"/>
        <item h="1" m="1" x="1793"/>
        <item h="1" m="1" x="1035"/>
        <item h="1" m="1" x="309"/>
        <item h="1" m="1" x="1052"/>
        <item h="1" m="1" x="323"/>
        <item h="1" m="1" x="336"/>
        <item h="1" m="1" x="1076"/>
        <item h="1" m="1" x="355"/>
        <item h="1" m="1" x="1089"/>
        <item h="1" m="1" x="1108"/>
        <item h="1" m="1" x="1121"/>
        <item h="1" m="1" x="388"/>
        <item h="1" m="1" x="1138"/>
        <item h="1" m="1" x="405"/>
        <item h="1" m="1" x="341"/>
        <item h="1" m="1" x="360"/>
        <item h="1" m="1" x="1096"/>
        <item h="1" m="1" x="371"/>
        <item h="1" m="1" x="1114"/>
        <item h="1" m="1" x="382"/>
        <item h="1" m="1" x="1129"/>
        <item h="1" m="1" x="1146"/>
        <item h="1" m="1" x="412"/>
        <item h="1" m="1" x="1157"/>
        <item h="1" m="1" x="425"/>
        <item h="1" m="1" x="1171"/>
        <item h="1" m="1" x="441"/>
        <item h="1" m="1" x="458"/>
        <item h="1" m="1" x="1205"/>
        <item h="1" m="1" x="479"/>
        <item h="1" m="1" x="1226"/>
        <item h="1" m="1" x="501"/>
        <item h="1" m="1" x="1252"/>
        <item h="1" m="1" x="1279"/>
        <item h="1" m="1" x="552"/>
        <item h="1" m="1" x="1307"/>
        <item h="1" m="1" x="579"/>
        <item h="1" m="1" x="1334"/>
        <item h="1" m="1" x="611"/>
        <item h="1" m="1" x="1098"/>
        <item h="1" m="1" x="372"/>
        <item h="1" m="1" x="1116"/>
        <item h="1" m="1" x="384"/>
        <item h="1" m="1" x="1133"/>
        <item h="1" m="1" x="399"/>
        <item h="1" m="1" x="416"/>
        <item h="1" m="1" x="1161"/>
        <item h="1" m="1" x="429"/>
        <item h="1" m="1" x="1175"/>
        <item h="1" m="1" x="446"/>
        <item h="1" m="1" x="1192"/>
        <item h="1" m="1" x="1209"/>
        <item h="1" m="1" x="483"/>
        <item h="1" m="1" x="1230"/>
        <item h="1" m="1" x="506"/>
        <item h="1" m="1" x="1257"/>
        <item h="1" m="1" x="530"/>
        <item h="1" m="1" x="555"/>
        <item h="1" m="1" x="1311"/>
        <item h="1" m="1" x="584"/>
        <item h="1" m="1" x="1339"/>
        <item h="1" m="1" x="617"/>
        <item h="1" m="1" x="1373"/>
        <item h="1" m="1" x="1134"/>
        <item h="1" m="1" x="401"/>
        <item h="1" m="1" x="1150"/>
        <item h="1" m="1" x="418"/>
        <item h="1" m="1" x="1164"/>
        <item h="1" m="1" x="433"/>
        <item h="1" m="1" x="449"/>
        <item h="1" m="1" x="1196"/>
        <item h="1" m="1" x="467"/>
        <item h="1" m="1" x="1214"/>
        <item h="1" m="1" x="488"/>
        <item h="1" m="1" x="1236"/>
        <item h="1" m="1" x="1261"/>
        <item h="1" m="1" x="535"/>
        <item h="1" m="1" x="1288"/>
        <item h="1" m="1" x="559"/>
        <item h="1" m="1" x="1315"/>
        <item h="1" m="1" x="590"/>
        <item h="1" m="1" x="620"/>
        <item h="1" m="1" x="1376"/>
        <item h="1" m="1" x="646"/>
        <item h="1" m="1" x="1402"/>
        <item h="1" m="1" x="669"/>
        <item h="1" m="1" x="1431"/>
        <item h="1" m="1" x="1462"/>
        <item h="1" m="1" x="727"/>
        <item h="1" m="1" x="1494"/>
        <item h="1" m="1" x="1179"/>
        <item h="1" m="1" x="1197"/>
        <item h="1" m="1" x="471"/>
        <item h="1" m="1" x="1218"/>
        <item h="1" m="1" x="492"/>
        <item h="1" m="1" x="1240"/>
        <item h="1" m="1" x="539"/>
        <item h="1" m="1" x="1293"/>
        <item h="1" m="1" x="565"/>
        <item h="1" m="1" x="1321"/>
        <item h="1" m="1" x="595"/>
        <item h="1" m="1" x="1347"/>
        <item h="1" m="1" x="1380"/>
        <item h="1" m="1" x="651"/>
        <item h="1" m="1" x="1408"/>
        <item h="1" m="1" x="675"/>
        <item h="1" m="1" x="1436"/>
        <item h="1" m="1" x="703"/>
        <item h="1" m="1" x="731"/>
        <item h="1" m="1" x="760"/>
        <item h="1" m="1" x="1530"/>
        <item h="1" m="1" x="789"/>
        <item h="1" m="1" x="1219"/>
        <item h="1" m="1" x="494"/>
        <item h="1" m="1" x="1243"/>
        <item h="1" m="1" x="516"/>
        <item h="1" m="1" x="1269"/>
        <item h="1" m="1" x="543"/>
        <item h="1" m="1" x="569"/>
        <item h="1" m="1" x="1325"/>
        <item h="1" m="1" x="600"/>
        <item h="1" m="1" x="1351"/>
        <item h="1" m="1" x="627"/>
        <item h="1" m="1" x="1384"/>
        <item h="1" m="1" x="1412"/>
        <item h="1" m="1" x="679"/>
        <item h="1" m="1" x="1441"/>
        <item h="1" m="1" x="707"/>
        <item h="1" m="1" x="1470"/>
        <item h="1" m="1" x="736"/>
        <item h="1" m="1" x="764"/>
        <item h="1" m="1" x="1534"/>
        <item h="1" m="1" x="794"/>
        <item h="1" m="1" x="1560"/>
        <item h="1" m="1" x="824"/>
        <item h="1" m="1" x="1589"/>
        <item h="1" m="1" x="1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8"/>
        <item h="1" x="207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20"/>
        <item h="1" x="219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7"/>
        <item h="1" x="246"/>
        <item h="1" x="248"/>
        <item h="1" x="249"/>
        <item h="1" x="251"/>
        <item h="1" x="250"/>
        <item h="1" x="252"/>
        <item h="1" x="254"/>
        <item h="1" x="253"/>
        <item h="1" x="255"/>
        <item h="1" x="256"/>
        <item h="1" x="258"/>
        <item h="1" x="257"/>
        <item h="1" x="261"/>
        <item h="1" x="260"/>
        <item h="1" x="259"/>
        <item h="1" x="262"/>
        <item h="1" x="263"/>
        <item h="1" x="264"/>
        <item h="1" x="265"/>
        <item x="267"/>
        <item x="266"/>
        <item x="268"/>
        <item x="269"/>
        <item x="270"/>
        <item x="271"/>
        <item x="272"/>
        <item x="273"/>
        <item x="275"/>
        <item x="274"/>
        <item x="276"/>
        <item x="277"/>
        <item x="278"/>
        <item x="279"/>
        <item x="280"/>
        <item x="282"/>
        <item x="281"/>
        <item x="283"/>
        <item x="284"/>
        <item x="285"/>
        <item x="286"/>
        <item x="287"/>
        <item h="1" x="288"/>
        <item h="1" x="289"/>
        <item h="1" x="290"/>
        <item h="1" x="291"/>
        <item h="1" m="1" x="1483"/>
        <item h="1" x="292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h="1" m="1" x="12"/>
        <item h="1" x="0"/>
        <item h="1" x="1"/>
        <item h="1" x="2"/>
        <item h="1" m="1" x="13"/>
        <item h="1" x="4"/>
        <item h="1" x="6"/>
        <item h="1" x="7"/>
        <item h="1" m="1" x="11"/>
        <item h="1" x="3"/>
        <item t="default"/>
      </items>
    </pivotField>
    <pivotField axis="axisPage" multipleItemSelectionAllowed="1" showAll="0">
      <items count="50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showAll="0"/>
    <pivotField axis="axisPage" multipleItemSelectionAllowed="1" showAll="0">
      <items count="100">
        <item x="46"/>
        <item m="1" x="95"/>
        <item m="1" x="91"/>
        <item x="37"/>
        <item m="1" x="88"/>
        <item m="1" x="96"/>
        <item m="1" x="98"/>
        <item m="1" x="87"/>
        <item x="27"/>
        <item x="65"/>
        <item x="30"/>
        <item x="63"/>
        <item m="1" x="85"/>
        <item x="73"/>
        <item m="1" x="86"/>
        <item x="6"/>
        <item x="34"/>
        <item x="29"/>
        <item x="41"/>
        <item m="1" x="92"/>
        <item m="1" x="93"/>
        <item m="1" x="94"/>
        <item m="1" x="97"/>
        <item x="5"/>
        <item x="22"/>
        <item x="3"/>
        <item m="1" x="82"/>
        <item m="1" x="83"/>
        <item x="80"/>
        <item x="15"/>
        <item x="14"/>
        <item x="33"/>
        <item x="18"/>
        <item x="9"/>
        <item x="19"/>
        <item x="12"/>
        <item x="25"/>
        <item x="0"/>
        <item x="1"/>
        <item x="2"/>
        <item x="4"/>
        <item x="7"/>
        <item x="8"/>
        <item x="10"/>
        <item x="11"/>
        <item x="13"/>
        <item x="16"/>
        <item x="17"/>
        <item x="26"/>
        <item m="1" x="84"/>
        <item x="20"/>
        <item x="28"/>
        <item x="21"/>
        <item x="23"/>
        <item x="31"/>
        <item m="1" x="89"/>
        <item x="35"/>
        <item x="36"/>
        <item x="24"/>
        <item x="32"/>
        <item x="38"/>
        <item x="39"/>
        <item x="42"/>
        <item x="43"/>
        <item x="40"/>
        <item h="1" m="1" x="81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6"/>
        <item x="68"/>
        <item x="67"/>
        <item x="69"/>
        <item x="70"/>
        <item x="71"/>
        <item x="72"/>
        <item x="74"/>
        <item x="75"/>
        <item x="76"/>
        <item x="77"/>
        <item x="78"/>
        <item x="79"/>
        <item h="1" m="1" x="90"/>
        <item t="default"/>
      </items>
    </pivotField>
    <pivotField axis="axisPage" multipleItemSelectionAllowed="1" showAll="0">
      <items count="6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10">
        <item h="1" m="1" x="6"/>
        <item h="1" m="1" x="8"/>
        <item h="1" x="1"/>
        <item h="1" m="1" x="4"/>
        <item h="1" m="1" x="5"/>
        <item h="1" x="2"/>
        <item h="1" x="0"/>
        <item h="1" m="1" x="7"/>
        <item x="3"/>
        <item t="default"/>
      </items>
    </pivotField>
  </pivotFields>
  <rowFields count="1">
    <field x="0"/>
  </rowFields>
  <rowItems count="18"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2" hier="-1"/>
    <pageField fld="1" hier="-1"/>
    <pageField fld="5" hier="-1"/>
    <pageField fld="4" hier="-1"/>
  </pageFields>
  <dataFields count="2">
    <dataField name=" PROD DIARIA (PAQ)" fld="6" baseField="0" baseItem="1045" numFmtId="3"/>
    <dataField name=" COSTO TOTAL" fld="8" baseField="0" baseItem="1045" numFmtId="2"/>
  </dataFields>
  <formats count="11">
    <format dxfId="43">
      <pivotArea outline="0" collapsedLevelsAreSubtotals="1" fieldPosition="0"/>
    </format>
    <format dxfId="4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1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1"/>
          </reference>
          <reference field="0" count="6">
            <x v="1552"/>
            <x v="1553"/>
            <x v="1554"/>
            <x v="1555"/>
            <x v="1556"/>
            <x v="1557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1"/>
          </reference>
          <reference field="0" count="23">
            <x v="1553"/>
            <x v="1554"/>
            <x v="1555"/>
            <x v="1556"/>
            <x v="1557"/>
            <x v="1559"/>
            <x v="1560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3"/>
            <x v="1574"/>
            <x v="1575"/>
            <x v="1576"/>
            <x v="1577"/>
            <x v="1578"/>
          </reference>
        </references>
      </pivotArea>
    </format>
    <format dxfId="3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2000000}" name="Tabla dinámica8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5" indent="0" outline="1" outlineData="1" multipleFieldFilters="0">
  <location ref="P4:Q5" firstHeaderRow="1" firstDataRow="1" firstDataCol="1" rowPageCount="1" colPageCount="1"/>
  <pivotFields count="9">
    <pivotField axis="axisRow" showAll="0">
      <items count="1776">
        <item h="1" m="1" x="579"/>
        <item h="1" m="1" x="611"/>
        <item h="1" m="1" x="1358"/>
        <item h="1" m="1" x="638"/>
        <item h="1" m="1" x="1383"/>
        <item h="1" m="1" x="662"/>
        <item h="1" m="1" x="1413"/>
        <item h="1" m="1" x="1442"/>
        <item h="1" m="1" x="1473"/>
        <item h="1" m="1" x="748"/>
        <item h="1" m="1" x="1505"/>
        <item h="1" m="1" x="778"/>
        <item h="1" m="1" x="462"/>
        <item h="1" m="1" x="1201"/>
        <item h="1" m="1" x="483"/>
        <item h="1" m="1" x="1222"/>
        <item h="1" m="1" x="506"/>
        <item h="1" m="1" x="1249"/>
        <item h="1" m="1" x="1273"/>
        <item h="1" m="1" x="584"/>
        <item h="1" m="1" x="617"/>
        <item h="1" m="1" x="1416"/>
        <item h="1" m="1" x="694"/>
        <item h="1" m="1" x="1446"/>
        <item h="1" m="1" x="1476"/>
        <item h="1" m="1" x="1507"/>
        <item h="1" m="1" x="1535"/>
        <item h="1" m="1" x="812"/>
        <item h="1" m="1" x="837"/>
        <item h="1" m="1" x="1596"/>
        <item h="1" m="1" x="1228"/>
        <item h="1" m="1" x="1253"/>
        <item h="1" m="1" x="535"/>
        <item h="1" m="1" x="559"/>
        <item h="1" m="1" x="1306"/>
        <item h="1" m="1" x="590"/>
        <item h="1" m="1" x="1333"/>
        <item h="1" m="1" x="620"/>
        <item h="1" m="1" x="1367"/>
        <item h="1" m="1" x="1391"/>
        <item h="1" m="1" x="669"/>
        <item h="1" m="1" x="1420"/>
        <item h="1" m="1" x="698"/>
        <item h="1" m="1" x="1450"/>
        <item h="1" m="1" x="726"/>
        <item h="1" m="1" x="752"/>
        <item h="1" m="1" x="1510"/>
        <item h="1" m="1" x="782"/>
        <item h="1" m="1" x="1537"/>
        <item h="1" m="1" x="813"/>
        <item h="1" m="1" x="1565"/>
        <item h="1" m="1" x="1598"/>
        <item h="1" m="1" x="869"/>
        <item h="1" m="1" x="898"/>
        <item h="1" m="1" x="1284"/>
        <item h="1" m="1" x="565"/>
        <item h="1" m="1" x="595"/>
        <item h="1" m="1" x="1338"/>
        <item h="1" m="1" x="624"/>
        <item h="1" m="1" x="651"/>
        <item h="1" m="1" x="1397"/>
        <item h="1" m="1" x="1425"/>
        <item h="1" m="1" x="702"/>
        <item h="1" m="1" x="1453"/>
        <item h="1" m="1" x="729"/>
        <item h="1" m="1" x="1484"/>
        <item h="1" m="1" x="758"/>
        <item h="1" m="1" x="787"/>
        <item h="1" m="1" x="1539"/>
        <item h="1" m="1" x="816"/>
        <item h="1" m="1" x="1567"/>
        <item h="1" m="1" x="841"/>
        <item h="1" m="1" x="1601"/>
        <item h="1" m="1" x="1631"/>
        <item h="1" m="1" x="900"/>
        <item h="1" m="1" x="1658"/>
        <item h="1" m="1" x="945"/>
        <item h="1" m="1" x="1342"/>
        <item h="1" m="1" x="627"/>
        <item h="1" m="1" x="1375"/>
        <item h="1" m="1" x="655"/>
        <item h="1" m="1" x="1401"/>
        <item h="1" m="1" x="679"/>
        <item h="1" m="1" x="706"/>
        <item h="1" m="1" x="1457"/>
        <item h="1" m="1" x="734"/>
        <item h="1" m="1" x="1488"/>
        <item h="1" m="1" x="762"/>
        <item h="1" m="1" x="1519"/>
        <item h="1" m="1" x="1544"/>
        <item h="1" m="1" x="820"/>
        <item h="1" m="1" x="1572"/>
        <item h="1" m="1" x="845"/>
        <item h="1" m="1" x="1605"/>
        <item h="1" m="1" x="874"/>
        <item h="1" m="1" x="1633"/>
        <item h="1" m="1" x="903"/>
        <item h="1" m="1" x="1660"/>
        <item h="1" m="1" x="927"/>
        <item h="1" m="1" x="1685"/>
        <item h="1" m="1" x="946"/>
        <item h="1" m="1" x="1709"/>
        <item h="1" m="1" x="1733"/>
        <item h="1" m="1" x="1754"/>
        <item h="1" m="1" x="1406"/>
        <item h="1" m="1" x="682"/>
        <item h="1" m="1" x="1462"/>
        <item h="1" m="1" x="738"/>
        <item h="1" m="1" x="1492"/>
        <item h="1" m="1" x="767"/>
        <item h="1" m="1" x="1522"/>
        <item h="1" m="1" x="825"/>
        <item h="1" m="1" x="1576"/>
        <item h="1" m="1" x="849"/>
        <item h="1" m="1" x="1610"/>
        <item h="1" m="1" x="877"/>
        <item h="1" m="1" x="1637"/>
        <item h="1" m="1" x="1664"/>
        <item h="1" m="1" x="929"/>
        <item h="1" m="1" x="1687"/>
        <item h="1" m="1" x="950"/>
        <item h="1" m="1" x="1712"/>
        <item h="1" m="1" x="971"/>
        <item h="1" m="1" x="992"/>
        <item h="1" m="1" x="1756"/>
        <item h="1" m="1" x="1009"/>
        <item h="1" m="1" x="293"/>
        <item h="1" m="1" x="1027"/>
        <item h="1" m="1" x="1466"/>
        <item h="1" m="1" x="1496"/>
        <item h="1" m="1" x="771"/>
        <item h="1" m="1" x="1527"/>
        <item h="1" m="1" x="799"/>
        <item h="1" m="1" x="1552"/>
        <item h="1" m="1" x="853"/>
        <item h="1" m="1" x="1614"/>
        <item h="1" m="1" x="882"/>
        <item h="1" m="1" x="1641"/>
        <item h="1" m="1" x="911"/>
        <item h="1" m="1" x="1669"/>
        <item h="1" m="1" x="1691"/>
        <item h="1" m="1" x="954"/>
        <item h="1" m="1" x="1717"/>
        <item h="1" m="1" x="974"/>
        <item h="1" m="1" x="1738"/>
        <item h="1" m="1" x="994"/>
        <item h="1" m="1" x="1011"/>
        <item h="1" m="1" x="295"/>
        <item h="1" m="1" x="1029"/>
        <item h="1" m="1" x="310"/>
        <item h="1" m="1" x="1044"/>
        <item h="1" m="1" x="324"/>
        <item h="1" m="1" x="342"/>
        <item h="1" m="1" x="804"/>
        <item h="1" m="1" x="1557"/>
        <item h="1" m="1" x="831"/>
        <item h="1" m="1" x="1585"/>
        <item h="1" m="1" x="1618"/>
        <item h="1" m="1" x="886"/>
        <item h="1" m="1" x="1646"/>
        <item h="1" m="1" x="916"/>
        <item h="1" m="1" x="1672"/>
        <item h="1" m="1" x="937"/>
        <item h="1" m="1" x="958"/>
        <item h="1" m="1" x="1721"/>
        <item h="1" m="1" x="979"/>
        <item h="1" m="1" x="1743"/>
        <item h="1" m="1" x="997"/>
        <item h="1" m="1" x="1764"/>
        <item h="1" m="1" x="298"/>
        <item h="1" m="1" x="1032"/>
        <item h="1" m="1" x="312"/>
        <item h="1" m="1" x="1046"/>
        <item h="1" m="1" x="325"/>
        <item h="1" m="1" x="1057"/>
        <item h="1" m="1" x="1072"/>
        <item h="1" m="1" x="361"/>
        <item h="1" m="1" x="1090"/>
        <item h="1" m="1" x="1588"/>
        <item h="1" m="1" x="861"/>
        <item h="1" m="1" x="1623"/>
        <item h="1" m="1" x="1649"/>
        <item h="1" m="1" x="920"/>
        <item h="1" m="1" x="1677"/>
        <item h="1" m="1" x="1700"/>
        <item h="1" m="1" x="963"/>
        <item h="1" m="1" x="983"/>
        <item h="1" m="1" x="1747"/>
        <item h="1" m="1" x="1001"/>
        <item h="1" m="1" x="1767"/>
        <item h="1" m="1" x="1019"/>
        <item h="1" m="1" x="303"/>
        <item h="1" m="1" x="315"/>
        <item h="1" m="1" x="1049"/>
        <item h="1" m="1" x="329"/>
        <item h="1" m="1" x="1060"/>
        <item h="1" m="1" x="347"/>
        <item h="1" m="1" x="1074"/>
        <item h="1" m="1" x="1092"/>
        <item h="1" m="1" x="373"/>
        <item h="1" m="1" x="1108"/>
        <item h="1" m="1" x="385"/>
        <item h="1" m="1" x="402"/>
        <item h="1" m="1" x="337"/>
        <item h="1" m="1" x="1068"/>
        <item h="1" m="1" x="356"/>
        <item h="1" m="1" x="1081"/>
        <item h="1" m="1" x="365"/>
        <item h="1" m="1" x="1100"/>
        <item h="1" m="1" x="1113"/>
        <item h="1" m="1" x="389"/>
        <item h="1" m="1" x="1130"/>
        <item h="1" m="1" x="406"/>
        <item h="1" m="1" x="1142"/>
        <item h="1" m="1" x="419"/>
        <item h="1" m="1" x="434"/>
        <item h="1" m="1" x="1171"/>
        <item h="1" m="1" x="450"/>
        <item h="1" m="1" x="1189"/>
        <item h="1" m="1" x="473"/>
        <item h="1" m="1" x="1211"/>
        <item h="1" m="1" x="1236"/>
        <item h="1" m="1" x="517"/>
        <item h="1" m="1" x="1261"/>
        <item h="1" m="1" x="544"/>
        <item h="1" m="1" x="1291"/>
        <item h="1" m="1" x="573"/>
        <item h="1" m="1" x="604"/>
        <item h="1" m="1" x="1350"/>
        <item h="1" m="1" x="1083"/>
        <item h="1" m="1" x="367"/>
        <item h="1" m="1" x="1101"/>
        <item h="1" m="1" x="378"/>
        <item h="1" m="1" x="391"/>
        <item h="1" m="1" x="1132"/>
        <item h="1" m="1" x="1144"/>
        <item h="1" m="1" x="420"/>
        <item h="1" m="1" x="1157"/>
        <item h="1" m="1" x="1173"/>
        <item h="1" m="1" x="452"/>
        <item h="1" m="1" x="1191"/>
        <item h="1" m="1" x="475"/>
        <item h="1" m="1" x="1212"/>
        <item h="1" m="1" x="495"/>
        <item h="1" m="1" x="519"/>
        <item h="1" m="1" x="1263"/>
        <item h="1" m="1" x="546"/>
        <item h="1" m="1" x="1293"/>
        <item h="1" m="1" x="574"/>
        <item h="1" m="1" x="1320"/>
        <item h="1" m="1" x="1352"/>
        <item h="1" m="1" x="635"/>
        <item h="1" m="1" x="1118"/>
        <item h="1" m="1" x="410"/>
        <item h="1" m="1" x="424"/>
        <item h="1" m="1" x="1160"/>
        <item h="1" m="1" x="439"/>
        <item h="1" m="1" x="1177"/>
        <item h="1" m="1" x="456"/>
        <item h="1" m="1" x="1194"/>
        <item h="1" m="1" x="1216"/>
        <item h="1" m="1" x="498"/>
        <item h="1" m="1" x="1241"/>
        <item h="1" m="1" x="523"/>
        <item h="1" m="1" x="1267"/>
        <item h="1" m="1" x="549"/>
        <item h="1" m="1" x="609"/>
        <item h="1" m="1" x="1356"/>
        <item h="1" m="1" x="1412"/>
        <item h="1" m="1" x="690"/>
        <item h="1" m="1" x="1441"/>
        <item h="1" m="1" x="718"/>
        <item h="1" m="1" x="1472"/>
        <item h="1" m="1" x="1150"/>
        <item h="1" m="1" x="444"/>
        <item h="1" m="1" x="1181"/>
        <item h="1" m="1" x="461"/>
        <item h="1" m="1" x="1198"/>
        <item h="1" m="1" x="503"/>
        <item h="1" m="1" x="1246"/>
        <item h="1" m="1" x="527"/>
        <item h="1" m="1" x="1272"/>
        <item h="1" m="1" x="1299"/>
        <item h="1" m="1" x="1327"/>
        <item h="1" m="1" x="614"/>
        <item h="1" m="1" x="1361"/>
        <item h="1" m="1" x="641"/>
        <item h="1" m="1" x="1385"/>
        <item h="1" m="1" x="664"/>
        <item h="1" m="1" x="692"/>
        <item h="1" m="1" x="1444"/>
        <item h="1" m="1" x="719"/>
        <item h="1" m="1" x="1475"/>
        <item h="1" m="1" x="749"/>
        <item h="1" m="1" x="1506"/>
        <item h="1" m="1" x="465"/>
        <item h="1" m="1" x="1204"/>
        <item h="1" m="1" x="485"/>
        <item h="1" m="1" x="1225"/>
        <item h="1" m="1" x="509"/>
        <item h="1" m="1" x="532"/>
        <item h="1" m="1" x="1276"/>
        <item h="1" m="1" x="557"/>
        <item h="1" m="1" x="1303"/>
        <item h="1" m="1" x="587"/>
        <item h="1" m="1" x="1331"/>
        <item h="1" m="1" x="1365"/>
        <item h="1" m="1" x="643"/>
        <item h="1" m="1" x="1389"/>
        <item h="1" m="1" x="666"/>
        <item h="1" m="1" x="1417"/>
        <item h="1" m="1" x="696"/>
        <item h="1" m="1" x="723"/>
        <item h="1" m="1" x="1478"/>
        <item h="1" m="1" x="751"/>
        <item h="1" m="1" x="1508"/>
        <item h="1" m="1" x="780"/>
        <item h="1" m="1" x="1536"/>
        <item h="1" m="1" x="1564"/>
        <item h="1" m="1" x="838"/>
        <item h="1" m="1" x="1597"/>
        <item h="1" m="1" x="1230"/>
        <item h="1" m="1" x="511"/>
        <item h="1" m="1" x="1281"/>
        <item h="1" m="1" x="562"/>
        <item h="1" m="1" x="1309"/>
        <item h="1" m="1" x="593"/>
        <item h="1" m="1" x="1335"/>
        <item h="1" m="1" x="622"/>
        <item h="1" m="1" x="648"/>
        <item h="1" m="1" x="1394"/>
        <item h="1" m="1" x="672"/>
        <item h="1" m="1" x="1423"/>
        <item h="1" m="1" x="700"/>
        <item h="1" m="1" x="1452"/>
        <item h="1" m="1" x="1483"/>
        <item h="1" m="1" x="755"/>
        <item h="1" m="1" x="1513"/>
        <item h="1" m="1" x="785"/>
        <item h="1" m="1" x="1538"/>
        <item h="1" m="1" x="815"/>
        <item h="1" m="1" x="840"/>
        <item h="1" m="1" x="1600"/>
        <item h="1" m="1" x="870"/>
        <item h="1" m="1" x="1630"/>
        <item h="1" m="1" x="899"/>
        <item h="1" m="1" x="1286"/>
        <item h="1" m="1" x="1313"/>
        <item h="1" m="1" x="597"/>
        <item h="1" m="1" x="1340"/>
        <item h="1" m="1" x="1372"/>
        <item h="1" m="1" x="653"/>
        <item h="1" m="1" x="676"/>
        <item h="1" m="1" x="1427"/>
        <item h="1" m="1" x="704"/>
        <item h="1" m="1" x="1454"/>
        <item h="1" m="1" x="731"/>
        <item h="1" m="1" x="1486"/>
        <item h="1" m="1" x="1516"/>
        <item h="1" m="1" x="789"/>
        <item h="1" m="1" x="1541"/>
        <item h="1" m="1" x="817"/>
        <item h="1" m="1" x="1569"/>
        <item h="1" m="1" x="843"/>
        <item h="1" m="1" x="872"/>
        <item h="1" m="1" x="1632"/>
        <item h="1" m="1" x="902"/>
        <item h="1" m="1" x="1659"/>
        <item h="1" m="1" x="1708"/>
        <item h="1" m="1" x="1345"/>
        <item h="1" m="1" x="630"/>
        <item h="1" m="1" x="1378"/>
        <item h="1" m="1" x="657"/>
        <item h="1" m="1" x="1404"/>
        <item h="1" m="1" x="1432"/>
        <item h="1" m="1" x="709"/>
        <item h="1" m="1" x="1460"/>
        <item h="1" m="1" x="737"/>
        <item h="1" m="1" x="1490"/>
        <item h="1" m="1" x="765"/>
        <item h="1" m="1" x="794"/>
        <item h="1" m="1" x="1547"/>
        <item h="1" m="1" x="823"/>
        <item h="1" m="1" x="1575"/>
        <item h="1" m="1" x="847"/>
        <item h="1" m="1" x="1608"/>
        <item h="1" m="1" x="1635"/>
        <item h="1" m="1" x="906"/>
        <item h="1" m="1" x="1662"/>
        <item h="1" m="1" x="928"/>
        <item h="1" m="1" x="1686"/>
        <item h="1" m="1" x="948"/>
        <item h="1" m="1" x="970"/>
        <item h="1" m="1" x="1734"/>
        <item h="1" m="1" x="1755"/>
        <item h="1" m="1" x="1408"/>
        <item h="1" m="1" x="685"/>
        <item h="1" m="1" x="712"/>
        <item h="1" m="1" x="1464"/>
        <item h="1" m="1" x="741"/>
        <item h="1" m="1" x="1495"/>
        <item h="1" m="1" x="769"/>
        <item h="1" m="1" x="1525"/>
        <item h="1" m="1" x="1550"/>
        <item h="1" m="1" x="827"/>
        <item h="1" m="1" x="1579"/>
        <item h="1" m="1" x="852"/>
        <item h="1" m="1" x="1612"/>
        <item h="1" m="1" x="880"/>
        <item h="1" m="1" x="909"/>
        <item h="1" m="1" x="1667"/>
        <item h="1" m="1" x="931"/>
        <item h="1" m="1" x="1690"/>
        <item h="1" m="1" x="952"/>
        <item h="1" m="1" x="1715"/>
        <item h="1" m="1" x="1736"/>
        <item h="1" m="1" x="993"/>
        <item h="1" m="1" x="1758"/>
        <item h="1" m="1" x="1010"/>
        <item h="1" m="1" x="294"/>
        <item h="1" m="1" x="1028"/>
        <item h="1" m="1" x="743"/>
        <item h="1" m="1" x="1499"/>
        <item h="1" m="1" x="774"/>
        <item h="1" m="1" x="1529"/>
        <item h="1" m="1" x="802"/>
        <item h="1" m="1" x="1555"/>
        <item h="1" m="1" x="1583"/>
        <item h="1" m="1" x="856"/>
        <item h="1" m="1" x="1617"/>
        <item h="1" m="1" x="884"/>
        <item h="1" m="1" x="1644"/>
        <item h="1" m="1" x="914"/>
        <item h="1" m="1" x="935"/>
        <item h="1" m="1" x="1694"/>
        <item h="1" m="1" x="957"/>
        <item h="1" m="1" x="1719"/>
        <item h="1" m="1" x="977"/>
        <item h="1" m="1" x="1741"/>
        <item h="1" m="1" x="1762"/>
        <item h="1" m="1" x="1013"/>
        <item h="1" m="1" x="297"/>
        <item h="1" m="1" x="1030"/>
        <item h="1" m="1" x="311"/>
        <item h="1" m="1" x="1045"/>
        <item h="1" m="1" x="1056"/>
        <item h="1" m="1" x="343"/>
        <item h="1" m="1" x="807"/>
        <item h="1" m="1" x="1559"/>
        <item h="1" m="1" x="833"/>
        <item h="1" m="1" x="859"/>
        <item h="1" m="1" x="1621"/>
        <item h="1" m="1" x="889"/>
        <item h="1" m="1" x="1648"/>
        <item h="1" m="1" x="918"/>
        <item h="1" m="1" x="1675"/>
        <item h="1" m="1" x="1698"/>
        <item h="1" m="1" x="961"/>
        <item h="1" m="1" x="1724"/>
        <item h="1" m="1" x="982"/>
        <item h="1" m="1" x="1745"/>
        <item h="1" m="1" x="1017"/>
        <item h="1" m="1" x="301"/>
        <item h="1" m="1" x="1035"/>
        <item h="1" m="1" x="314"/>
        <item h="1" m="1" x="1047"/>
        <item h="1" m="1" x="327"/>
        <item h="1" m="1" x="345"/>
        <item h="1" m="1" x="1073"/>
        <item h="1" m="1" x="362"/>
        <item h="1" m="1" x="1091"/>
        <item h="1" m="1" x="1591"/>
        <item h="1" m="1" x="864"/>
        <item h="1" m="1" x="893"/>
        <item h="1" m="1" x="1652"/>
        <item h="1" m="1" x="923"/>
        <item h="1" m="1" x="1679"/>
        <item h="1" m="1" x="1703"/>
        <item h="1" m="1" x="1728"/>
        <item h="1" m="1" x="986"/>
        <item h="1" m="1" x="1750"/>
        <item h="1" m="1" x="1003"/>
        <item h="1" m="1" x="1770"/>
        <item h="1" m="1" x="1022"/>
        <item h="1" m="1" x="1039"/>
        <item h="1" m="1" x="318"/>
        <item h="1" m="1" x="1052"/>
        <item h="1" m="1" x="331"/>
        <item h="1" m="1" x="1063"/>
        <item h="1" m="1" x="350"/>
        <item h="1" m="1" x="1094"/>
        <item h="1" m="1" x="374"/>
        <item h="1" m="1" x="1109"/>
        <item h="1" m="1" x="386"/>
        <item h="1" m="1" x="1126"/>
        <item h="1" m="1" x="338"/>
        <item h="1" m="1" x="1069"/>
        <item h="1" m="1" x="357"/>
        <item h="1" m="1" x="1082"/>
        <item h="1" m="1" x="366"/>
        <item h="1" m="1" x="377"/>
        <item h="1" m="1" x="1114"/>
        <item h="1" m="1" x="390"/>
        <item h="1" m="1" x="1131"/>
        <item h="1" m="1" x="407"/>
        <item h="1" m="1" x="1143"/>
        <item h="1" m="1" x="1156"/>
        <item h="1" m="1" x="435"/>
        <item h="1" m="1" x="1172"/>
        <item h="1" m="1" x="451"/>
        <item h="1" m="1" x="1190"/>
        <item h="1" m="1" x="474"/>
        <item h="1" m="1" x="494"/>
        <item h="1" m="1" x="1237"/>
        <item h="1" m="1" x="518"/>
        <item h="1" m="1" x="1262"/>
        <item h="1" m="1" x="545"/>
        <item h="1" m="1" x="1292"/>
        <item h="1" m="1" x="1319"/>
        <item h="1" m="1" x="605"/>
        <item h="1" m="1" x="1351"/>
        <item h="1" m="1" x="1085"/>
        <item h="1" m="1" x="368"/>
        <item h="1" m="1" x="1103"/>
        <item h="1" m="1" x="1116"/>
        <item h="1" m="1" x="393"/>
        <item h="1" m="1" x="1134"/>
        <item h="1" m="1" x="409"/>
        <item h="1" m="1" x="1145"/>
        <item h="1" m="1" x="422"/>
        <item h="1" m="1" x="437"/>
        <item h="1" m="1" x="1175"/>
        <item h="1" m="1" x="454"/>
        <item h="1" m="1" x="1193"/>
        <item h="1" m="1" x="476"/>
        <item h="1" m="1" x="1214"/>
        <item h="1" m="1" x="1239"/>
        <item h="1" m="1" x="521"/>
        <item h="1" m="1" x="1265"/>
        <item h="1" m="1" x="548"/>
        <item h="1" m="1" x="1294"/>
        <item h="1" m="1" x="576"/>
        <item h="1" m="1" x="607"/>
        <item h="1" m="1" x="1354"/>
        <item h="1" m="1" x="636"/>
        <item h="1" m="1" x="1121"/>
        <item h="1" m="1" x="396"/>
        <item h="1" m="1" x="1138"/>
        <item h="1" m="1" x="413"/>
        <item h="1" m="1" x="1149"/>
        <item h="1" m="1" x="426"/>
        <item h="1" m="1" x="1163"/>
        <item h="1" m="1" x="442"/>
        <item h="1" m="1" x="1179"/>
        <item h="1" m="1" x="459"/>
        <item h="1" m="1" x="480"/>
        <item h="1" m="1" x="1218"/>
        <item h="1" m="1" x="501"/>
        <item h="1" m="1" x="1244"/>
        <item h="1" m="1" x="525"/>
        <item h="1" m="1" x="1270"/>
        <item h="1" m="1" x="1298"/>
        <item h="1" m="1" x="580"/>
        <item h="1" m="1" x="1325"/>
        <item h="1" m="1" x="612"/>
        <item h="1" m="1" x="1359"/>
        <item h="1" m="1" x="639"/>
        <item h="1" m="1" x="663"/>
        <item h="1" m="1" x="1414"/>
        <item h="1" m="1" x="691"/>
        <item h="1" m="1" x="1443"/>
        <item h="1" m="1" x="1474"/>
        <item h="1" m="1" x="430"/>
        <item h="1" m="1" x="1167"/>
        <item h="1" m="1" x="447"/>
        <item h="1" m="1" x="1184"/>
        <item h="1" m="1" x="463"/>
        <item h="1" m="1" x="1202"/>
        <item h="1" m="1" x="1223"/>
        <item h="1" m="1" x="507"/>
        <item h="1" m="1" x="1250"/>
        <item h="1" m="1" x="530"/>
        <item h="1" m="1" x="1274"/>
        <item h="1" m="1" x="555"/>
        <item h="1" m="1" x="585"/>
        <item h="1" m="1" x="1330"/>
        <item h="1" m="1" x="618"/>
        <item h="1" m="1" x="1364"/>
        <item h="1" m="1" x="642"/>
        <item h="1" m="1" x="1387"/>
        <item h="1" m="1" x="695"/>
        <item h="1" m="1" x="1447"/>
        <item h="1" m="1" x="721"/>
        <item h="1" m="1" x="1477"/>
        <item h="1" m="1" x="750"/>
        <item h="1" m="1" x="779"/>
        <item h="1" m="1" x="468"/>
        <item h="1" m="1" x="1206"/>
        <item h="1" m="1" x="488"/>
        <item h="1" m="1" x="1229"/>
        <item h="1" m="1" x="1254"/>
        <item h="1" m="1" x="536"/>
        <item h="1" m="1" x="1279"/>
        <item h="1" m="1" x="560"/>
        <item h="1" m="1" x="1307"/>
        <item h="1" m="1" x="591"/>
        <item h="1" m="1" x="621"/>
        <item h="1" m="1" x="1368"/>
        <item h="1" m="1" x="646"/>
        <item h="1" m="1" x="1392"/>
        <item h="1" m="1" x="670"/>
        <item h="1" m="1" x="1421"/>
        <item h="1" m="1" x="1451"/>
        <item h="1" m="1" x="727"/>
        <item h="1" m="1" x="1481"/>
        <item h="1" m="1" x="753"/>
        <item h="1" m="1" x="1511"/>
        <item h="1" m="1" x="783"/>
        <item h="1" m="1" x="814"/>
        <item h="1" m="1" x="1566"/>
        <item h="1" m="1" x="839"/>
        <item h="1" m="1" x="1599"/>
        <item h="1" m="1" x="513"/>
        <item h="1" m="1" x="539"/>
        <item h="1" m="1" x="1285"/>
        <item h="1" m="1" x="566"/>
        <item h="1" m="1" x="1312"/>
        <item h="1" m="1" x="596"/>
        <item h="1" m="1" x="1339"/>
        <item h="1" m="1" x="1371"/>
        <item h="1" m="1" x="652"/>
        <item h="1" m="1" x="1398"/>
        <item h="1" m="1" x="675"/>
        <item h="1" m="1" x="1426"/>
        <item h="1" m="1" x="703"/>
        <item h="1" m="1" x="730"/>
        <item h="1" m="1" x="1485"/>
        <item h="1" m="1" x="759"/>
        <item h="1" m="1" x="1515"/>
        <item h="1" m="1" x="788"/>
        <item h="1" m="1" x="1540"/>
        <item h="1" m="1" x="1568"/>
        <item h="1" m="1" x="842"/>
        <item h="1" m="1" x="1602"/>
        <item h="1" m="1" x="871"/>
        <item h="1" m="1" x="901"/>
        <item h="1" m="1" x="569"/>
        <item h="1" m="1" x="1316"/>
        <item h="1" m="1" x="600"/>
        <item h="1" m="1" x="1343"/>
        <item h="1" m="1" x="628"/>
        <item h="1" m="1" x="1376"/>
        <item h="1" m="1" x="1402"/>
        <item h="1" m="1" x="680"/>
        <item h="1" m="1" x="1430"/>
        <item h="1" m="1" x="707"/>
        <item h="1" m="1" x="1458"/>
        <item h="1" m="1" x="735"/>
        <item h="1" m="1" x="763"/>
        <item h="1" m="1" x="1520"/>
        <item h="1" m="1" x="792"/>
        <item h="1" m="1" x="1545"/>
        <item h="1" m="1" x="821"/>
        <item h="1" m="1" x="1573"/>
        <item h="1" m="1" x="1606"/>
        <item h="1" m="1" x="875"/>
        <item h="1" m="1" x="1634"/>
        <item h="1" m="1" x="904"/>
        <item h="1" m="1" x="1661"/>
        <item h="1" m="1" x="947"/>
        <item h="1" m="1" x="1710"/>
        <item h="1" m="1" x="1347"/>
        <item h="1" m="1" x="632"/>
        <item h="1" m="1" x="1379"/>
        <item h="1" m="1" x="659"/>
        <item h="1" m="1" x="683"/>
        <item h="1" m="1" x="1434"/>
        <item h="1" m="1" x="711"/>
        <item h="1" m="1" x="1463"/>
        <item h="1" m="1" x="739"/>
        <item h="1" m="1" x="1493"/>
        <item h="1" m="1" x="1523"/>
        <item h="1" m="1" x="796"/>
        <item h="1" m="1" x="1549"/>
        <item h="1" m="1" x="826"/>
        <item h="1" m="1" x="1577"/>
        <item h="1" m="1" x="850"/>
        <item h="1" m="1" x="878"/>
        <item h="1" m="1" x="1638"/>
        <item h="1" m="1" x="908"/>
        <item h="1" m="1" x="1665"/>
        <item h="1" m="1" x="930"/>
        <item h="1" m="1" x="1688"/>
        <item h="1" m="1" x="1713"/>
        <item h="1" m="1" x="972"/>
        <item h="1" m="1" x="1735"/>
        <item h="1" m="1" x="1757"/>
        <item h="1" m="1" x="1410"/>
        <item h="1" m="1" x="1437"/>
        <item h="1" m="1" x="714"/>
        <item h="1" m="1" x="1467"/>
        <item h="1" m="1" x="1497"/>
        <item h="1" m="1" x="772"/>
        <item h="1" m="1" x="800"/>
        <item h="1" m="1" x="1553"/>
        <item h="1" m="1" x="829"/>
        <item h="1" m="1" x="1581"/>
        <item h="1" m="1" x="854"/>
        <item h="1" m="1" x="1615"/>
        <item h="1" m="1" x="1642"/>
        <item h="1" m="1" x="912"/>
        <item h="1" m="1" x="1670"/>
        <item h="1" m="1" x="933"/>
        <item h="1" m="1" x="1692"/>
        <item h="1" m="1" x="955"/>
        <item h="1" m="1" x="975"/>
        <item h="1" m="1" x="1739"/>
        <item h="1" m="1" x="995"/>
        <item h="1" m="1" x="1760"/>
        <item h="1" m="1" x="1012"/>
        <item h="1" m="1" x="296"/>
        <item h="1" m="1" x="745"/>
        <item h="1" m="1" x="1501"/>
        <item h="1" m="1" x="775"/>
        <item h="1" m="1" x="1531"/>
        <item h="1" m="1" x="805"/>
        <item h="1" m="1" x="1586"/>
        <item h="1" m="1" x="858"/>
        <item h="1" m="1" x="1619"/>
        <item h="1" m="1" x="887"/>
        <item h="1" m="1" x="1647"/>
        <item h="1" m="1" x="1673"/>
        <item h="1" m="1" x="938"/>
        <item h="1" m="1" x="1696"/>
        <item h="1" m="1" x="959"/>
        <item h="1" m="1" x="1722"/>
        <item h="1" m="1" x="980"/>
        <item h="1" m="1" x="998"/>
        <item h="1" m="1" x="1765"/>
        <item h="1" m="1" x="1015"/>
        <item h="1" m="1" x="299"/>
        <item h="1" m="1" x="1033"/>
        <item h="1" m="1" x="313"/>
        <item h="1" m="1" x="326"/>
        <item h="1" m="1" x="1058"/>
        <item h="1" m="1" x="344"/>
        <item h="1" m="1" x="808"/>
        <item h="1" m="1" x="1561"/>
        <item h="1" m="1" x="1589"/>
        <item h="1" m="1" x="862"/>
        <item h="1" m="1" x="1624"/>
        <item h="1" m="1" x="891"/>
        <item h="1" m="1" x="1650"/>
        <item h="1" m="1" x="921"/>
        <item h="1" m="1" x="940"/>
        <item h="1" m="1" x="1701"/>
        <item h="1" m="1" x="964"/>
        <item h="1" m="1" x="1726"/>
        <item h="1" m="1" x="984"/>
        <item h="1" m="1" x="1748"/>
        <item h="1" m="1" x="1768"/>
        <item h="1" m="1" x="1020"/>
        <item h="1" m="1" x="304"/>
        <item h="1" m="1" x="1037"/>
        <item h="1" m="1" x="316"/>
        <item h="1" m="1" x="1050"/>
        <item h="1" m="1" x="1061"/>
        <item h="1" m="1" x="348"/>
        <item h="1" m="1" x="1075"/>
        <item h="1" m="1" x="363"/>
        <item h="1" m="1" x="1093"/>
        <item h="1" m="1" x="1593"/>
        <item h="1" m="1" x="1626"/>
        <item h="1" m="1" x="895"/>
        <item h="1" m="1" x="1654"/>
        <item h="1" m="1" x="924"/>
        <item h="1" m="1" x="1681"/>
        <item h="1" m="1" x="943"/>
        <item h="1" m="1" x="966"/>
        <item h="1" m="1" x="1730"/>
        <item h="1" m="1" x="988"/>
        <item h="1" m="1" x="1751"/>
        <item h="1" m="1" x="1005"/>
        <item h="1" m="1" x="1772"/>
        <item h="1" m="1" x="306"/>
        <item h="1" m="1" x="1041"/>
        <item h="1" m="1" x="320"/>
        <item h="1" m="1" x="1053"/>
        <item h="1" m="1" x="333"/>
        <item h="1" m="1" x="1065"/>
        <item h="1" m="1" x="352"/>
        <item h="1" m="1" x="1077"/>
        <item h="1" m="1" x="1096"/>
        <item h="1" m="1" x="375"/>
        <item h="1" m="1" x="1110"/>
        <item h="1" m="1" x="387"/>
        <item h="1" m="1" x="1127"/>
        <item h="1" m="1" x="403"/>
        <item h="1" m="1" x="339"/>
        <item h="1" m="1" x="1070"/>
        <item h="1" m="1" x="358"/>
        <item h="1" m="1" x="1084"/>
        <item h="1" m="1" x="1102"/>
        <item h="1" m="1" x="379"/>
        <item h="1" m="1" x="1115"/>
        <item h="1" m="1" x="392"/>
        <item h="1" m="1" x="1133"/>
        <item h="1" m="1" x="408"/>
        <item h="1" m="1" x="421"/>
        <item h="1" m="1" x="1158"/>
        <item h="1" m="1" x="436"/>
        <item h="1" m="1" x="1174"/>
        <item h="1" m="1" x="453"/>
        <item h="1" m="1" x="1192"/>
        <item h="1" m="1" x="1213"/>
        <item h="1" m="1" x="496"/>
        <item h="1" m="1" x="1238"/>
        <item h="1" m="1" x="520"/>
        <item h="1" m="1" x="1264"/>
        <item h="1" m="1" x="547"/>
        <item h="1" m="1" x="575"/>
        <item h="1" m="1" x="1321"/>
        <item h="1" m="1" x="606"/>
        <item h="1" m="1" x="1353"/>
        <item h="1" m="1" x="1086"/>
        <item h="1" m="1" x="370"/>
        <item h="1" m="1" x="381"/>
        <item h="1" m="1" x="1119"/>
        <item h="1" m="1" x="395"/>
        <item h="1" m="1" x="1136"/>
        <item h="1" m="1" x="411"/>
        <item h="1" m="1" x="1147"/>
        <item h="1" m="1" x="1161"/>
        <item h="1" m="1" x="440"/>
        <item h="1" m="1" x="1178"/>
        <item h="1" m="1" x="457"/>
        <item h="1" m="1" x="1195"/>
        <item h="1" m="1" x="478"/>
        <item h="1" m="1" x="499"/>
        <item h="1" m="1" x="1242"/>
        <item h="1" m="1" x="524"/>
        <item h="1" m="1" x="1268"/>
        <item h="1" m="1" x="550"/>
        <item h="1" m="1" x="1296"/>
        <item h="1" m="1" x="1323"/>
        <item h="1" m="1" x="1357"/>
        <item h="1" m="1" x="637"/>
        <item h="1" m="1" x="1123"/>
        <item h="1" m="1" x="398"/>
        <item h="1" m="1" x="415"/>
        <item h="1" m="1" x="1151"/>
        <item h="1" m="1" x="428"/>
        <item h="1" m="1" x="1165"/>
        <item h="1" m="1" x="445"/>
        <item h="1" m="1" x="1182"/>
        <item h="1" m="1" x="1199"/>
        <item h="1" m="1" x="481"/>
        <item h="1" m="1" x="1220"/>
        <item h="1" m="1" x="504"/>
        <item h="1" m="1" x="1247"/>
        <item h="1" x="292"/>
        <item h="1" m="1" x="528"/>
        <item h="1" m="1" x="553"/>
        <item h="1" m="1" x="1300"/>
        <item h="1" m="1" x="582"/>
        <item h="1" m="1" x="1328"/>
        <item h="1" m="1" x="615"/>
        <item h="1" m="1" x="1362"/>
        <item h="1" m="1" x="1386"/>
        <item h="1" m="1" x="665"/>
        <item h="1" m="1" x="1154"/>
        <item h="1" m="1" x="432"/>
        <item h="1" m="1" x="1169"/>
        <item h="1" m="1" x="1415"/>
        <item h="1" m="1" x="693"/>
        <item h="1" m="1" x="1445"/>
        <item h="1" m="1" x="720"/>
        <item h="1" m="1" x="448"/>
        <item h="1" m="1" x="1186"/>
        <item h="1" m="1" x="466"/>
        <item h="1" m="1" x="486"/>
        <item h="1" m="1" x="1226"/>
        <item h="1" m="1" x="510"/>
        <item h="1" m="1" x="1251"/>
        <item h="1" m="1" x="533"/>
        <item h="1" m="1" x="1277"/>
        <item h="1" m="1" x="1304"/>
        <item h="1" m="1" x="588"/>
        <item h="1" m="1" x="1332"/>
        <item h="1" m="1" x="644"/>
        <item h="1" m="1" x="667"/>
        <item h="1" m="1" x="1418"/>
        <item h="1" m="1" x="697"/>
        <item h="1" m="1" x="1448"/>
        <item h="1" m="1" x="724"/>
        <item h="1" m="1" x="1479"/>
        <item m="1" x="1509"/>
        <item m="1" x="781"/>
        <item m="1" x="470"/>
        <item m="1" x="1208"/>
        <item m="1" x="490"/>
        <item m="1" x="512"/>
        <item m="1" x="1256"/>
        <item m="1" x="537"/>
        <item m="1" x="1282"/>
        <item m="1" x="563"/>
        <item m="1" x="1310"/>
        <item m="1" x="1336"/>
        <item m="1" x="623"/>
        <item m="1" x="1369"/>
        <item m="1" x="649"/>
        <item m="1" x="1395"/>
        <item m="1" x="673"/>
        <item h="1" m="1" x="756"/>
        <item h="1" m="1" x="1233"/>
        <item h="1" m="1" x="1258"/>
        <item h="1" m="1" x="541"/>
        <item h="1" m="1" x="1287"/>
        <item h="1" m="1" x="567"/>
        <item h="1" m="1" x="1314"/>
        <item h="1" m="1" x="598"/>
        <item h="1" m="1" x="625"/>
        <item h="1" m="1" x="1373"/>
        <item h="1" m="1" x="654"/>
        <item h="1" m="1" x="1399"/>
        <item h="1" m="1" x="677"/>
        <item h="1" m="1" x="1428"/>
        <item h="1" m="1" x="1455"/>
        <item h="1" m="1" x="732"/>
        <item h="1" m="1" x="1487"/>
        <item h="1" m="1" x="760"/>
        <item h="1" m="1" x="1517"/>
        <item h="1" m="1" x="790"/>
        <item h="1" m="1" x="1542"/>
        <item h="1" m="1" x="818"/>
        <item h="1" m="1" x="1570"/>
        <item h="1" m="1" x="844"/>
        <item h="1" m="1" x="1603"/>
        <item h="1" m="1" x="873"/>
        <item h="1" m="1" x="1289"/>
        <item h="1" m="1" x="571"/>
        <item h="1" m="1" x="1317"/>
        <item h="1" m="1" x="602"/>
        <item h="1" m="1" x="1346"/>
        <item h="1" m="1" x="631"/>
        <item h="1" m="1" x="658"/>
        <item h="1" m="1" x="1405"/>
        <item h="1" m="1" x="681"/>
        <item h="1" m="1" x="1433"/>
        <item h="1" m="1" x="710"/>
        <item h="1" m="1" x="1461"/>
        <item h="1" m="1" x="1491"/>
        <item h="1" m="1" x="766"/>
        <item h="1" m="1" x="1521"/>
        <item h="1" m="1" x="795"/>
        <item h="1" m="1" x="1548"/>
        <item h="1" m="1" x="824"/>
        <item h="1" m="1" x="848"/>
        <item h="1" m="1" x="1609"/>
        <item h="1" m="1" x="876"/>
        <item h="1" m="1" x="1636"/>
        <item h="1" m="1" x="907"/>
        <item h="1" m="1" x="1663"/>
        <item h="1" m="1" x="949"/>
        <item h="1" m="1" x="1711"/>
        <item h="1" m="1" x="1348"/>
        <item h="1" m="1" x="634"/>
        <item h="1" m="1" x="1381"/>
        <item h="1" m="1" x="1409"/>
        <item h="1" m="1" x="686"/>
        <item h="1" m="1" x="1436"/>
        <item h="1" m="1" x="713"/>
        <item h="1" m="1" x="1465"/>
        <item h="1" m="1" x="742"/>
        <item h="1" m="1" x="770"/>
        <item h="1" m="1" x="1526"/>
        <item h="1" m="1" x="798"/>
        <item h="1" m="1" x="1551"/>
        <item h="1" m="1" x="828"/>
        <item h="1" m="1" x="1580"/>
        <item h="1" m="1" x="1613"/>
        <item h="1" m="1" x="881"/>
        <item h="1" m="1" x="1640"/>
        <item h="1" m="1" x="910"/>
        <item h="1" m="1" x="1668"/>
        <item h="1" m="1" x="932"/>
        <item h="1" m="1" x="953"/>
        <item h="1" m="1" x="1716"/>
        <item h="1" m="1" x="973"/>
        <item h="1" m="1" x="1737"/>
        <item h="1" m="1" x="1759"/>
        <item h="1" m="1" x="688"/>
        <item h="1" m="1" x="1439"/>
        <item h="1" m="1" x="716"/>
        <item h="1" m="1" x="1468"/>
        <item h="1" m="1" x="744"/>
        <item h="1" m="1" x="1500"/>
        <item h="1" m="1" x="1530"/>
        <item h="1" m="1" x="803"/>
        <item h="1" m="1" x="1556"/>
        <item h="1" m="1" x="830"/>
        <item h="1" m="1" x="1584"/>
        <item h="1" m="1" x="857"/>
        <item h="1" m="1" x="885"/>
        <item h="1" m="1" x="915"/>
        <item h="1" m="1" x="1671"/>
        <item h="1" m="1" x="936"/>
        <item h="1" m="1" x="1695"/>
        <item h="1" m="1" x="1720"/>
        <item h="1" m="1" x="978"/>
        <item h="1" m="1" x="1742"/>
        <item h="1" m="1" x="996"/>
        <item h="1" m="1" x="1763"/>
        <item h="1" m="1" x="1014"/>
        <item h="1" m="1" x="1031"/>
        <item h="1" m="1" x="1645"/>
        <item h="1" m="1" x="1470"/>
        <item h="1" m="1" x="746"/>
        <item h="1" m="1" x="1503"/>
        <item h="1" m="1" x="777"/>
        <item h="1" m="1" x="1533"/>
        <item h="1" m="1" x="1560"/>
        <item h="1" m="1" x="1587"/>
        <item h="1" m="1" x="860"/>
        <item h="1" m="1" x="1622"/>
        <item h="1" m="1" x="890"/>
        <item h="1" m="1" x="919"/>
        <item h="1" m="1" x="1676"/>
        <item h="1" m="1" x="939"/>
        <item h="1" m="1" x="1699"/>
        <item h="1" m="1" x="962"/>
        <item h="1" m="1" x="1725"/>
        <item h="1" m="1" x="1746"/>
        <item h="1" m="1" x="1000"/>
        <item h="1" m="1" x="1766"/>
        <item h="1" m="1" x="1018"/>
        <item h="1" m="1" x="302"/>
        <item h="1" m="1" x="1036"/>
        <item h="1" m="1" x="1048"/>
        <item h="1" m="1" x="328"/>
        <item h="1" m="1" x="1059"/>
        <item h="1" m="1" x="346"/>
        <item h="1" m="1" x="810"/>
        <item h="1" m="1" x="835"/>
        <item h="1" m="1" x="1592"/>
        <item h="1" m="1" x="865"/>
        <item h="1" m="1" x="1625"/>
        <item h="1" m="1" x="894"/>
        <item h="1" m="1" x="1653"/>
        <item h="1" m="1" x="1680"/>
        <item h="1" m="1" x="942"/>
        <item h="1" m="1" x="1704"/>
        <item h="1" m="1" x="965"/>
        <item h="1" m="1" x="1729"/>
        <item h="1" m="1" x="987"/>
        <item h="1" m="1" x="1004"/>
        <item h="1" m="1" x="1771"/>
        <item h="1" m="1" x="1023"/>
        <item h="1" m="1" x="305"/>
        <item h="1" m="1" x="1040"/>
        <item h="1" m="1" x="319"/>
        <item h="1" m="1" x="332"/>
        <item h="1" m="1" x="1064"/>
        <item h="1" m="1" x="351"/>
        <item h="1" m="1" x="1076"/>
        <item h="1" m="1" x="364"/>
        <item h="1" m="1" x="1095"/>
        <item h="1" m="1" x="867"/>
        <item h="1" m="1" x="1628"/>
        <item h="1" m="1" x="896"/>
        <item h="1" m="1" x="1656"/>
        <item h="1" m="1" x="926"/>
        <item h="1" m="1" x="1683"/>
        <item h="1" m="1" x="1706"/>
        <item h="1" m="1" x="968"/>
        <item h="1" m="1" x="1731"/>
        <item h="1" m="1" x="990"/>
        <item h="1" m="1" x="1753"/>
        <item h="1" m="1" x="1007"/>
        <item h="1" m="1" x="1025"/>
        <item h="1" m="1" x="308"/>
        <item h="1" m="1" x="1042"/>
        <item h="1" m="1" x="322"/>
        <item h="1" m="1" x="1055"/>
        <item h="1" m="1" x="335"/>
        <item h="1" m="1" x="354"/>
        <item h="1" m="1" x="1079"/>
        <item h="1" m="1" x="1098"/>
        <item h="1" m="1" x="376"/>
        <item h="1" m="1" x="1111"/>
        <item h="1" m="1" x="1128"/>
        <item h="1" m="1" x="404"/>
        <item h="1" m="1" x="340"/>
        <item h="1" m="1" x="1071"/>
        <item h="1" m="1" x="359"/>
        <item h="1" m="1" x="369"/>
        <item h="1" m="1" x="1104"/>
        <item h="1" m="1" x="380"/>
        <item h="1" m="1" x="1117"/>
        <item h="1" m="1" x="394"/>
        <item h="1" m="1" x="1135"/>
        <item h="1" m="1" x="1146"/>
        <item h="1" m="1" x="423"/>
        <item h="1" m="1" x="1159"/>
        <item h="1" m="1" x="438"/>
        <item h="1" m="1" x="1176"/>
        <item h="1" m="1" x="455"/>
        <item h="1" m="1" x="477"/>
        <item h="1" m="1" x="1215"/>
        <item h="1" m="1" x="497"/>
        <item h="1" m="1" x="1240"/>
        <item h="1" m="1" x="522"/>
        <item h="1" m="1" x="1266"/>
        <item h="1" m="1" x="1295"/>
        <item h="1" m="1" x="577"/>
        <item h="1" m="1" x="1322"/>
        <item h="1" m="1" x="608"/>
        <item h="1" m="1" x="1355"/>
        <item h="1" m="1" x="1088"/>
        <item h="1" m="1" x="1106"/>
        <item h="1" m="1" x="383"/>
        <item h="1" m="1" x="1122"/>
        <item h="1" m="1" x="397"/>
        <item h="1" m="1" x="1139"/>
        <item h="1" m="1" x="414"/>
        <item h="1" m="1" x="427"/>
        <item h="1" m="1" x="1164"/>
        <item h="1" m="1" x="443"/>
        <item h="1" m="1" x="1180"/>
        <item h="1" m="1" x="460"/>
        <item h="1" m="1" x="1219"/>
        <item h="1" m="1" x="502"/>
        <item h="1" m="1" x="1245"/>
        <item h="1" m="1" x="526"/>
        <item h="1" m="1" x="1271"/>
        <item h="1" m="1" x="552"/>
        <item h="1" m="1" x="581"/>
        <item h="1" m="1" x="1326"/>
        <item h="1" m="1" x="613"/>
        <item h="1" m="1" x="1360"/>
        <item h="1" m="1" x="640"/>
        <item h="1" m="1" x="1384"/>
        <item h="1" m="1" x="400"/>
        <item h="1" m="1" x="1140"/>
        <item h="1" m="1" x="417"/>
        <item h="1" m="1" x="1153"/>
        <item h="1" m="1" x="431"/>
        <item h="1" m="1" x="1168"/>
        <item h="1" m="1" x="1185"/>
        <item h="1" m="1" x="464"/>
        <item h="1" m="1" x="1203"/>
        <item h="1" m="1" x="484"/>
        <item h="1" m="1" x="1224"/>
        <item h="1" m="1" x="1197"/>
        <item h="1" m="1" x="508"/>
        <item h="1" m="1" x="531"/>
        <item h="1" m="1" x="1275"/>
        <item h="1" m="1" x="556"/>
        <item h="1" m="1" x="1302"/>
        <item h="1" m="1" x="586"/>
        <item h="1" m="1" x="1388"/>
        <item h="1" m="1" x="722"/>
        <item h="1" m="1" x="469"/>
        <item h="1" m="1" x="1207"/>
        <item h="1" m="1" x="489"/>
        <item h="1" m="1" x="1255"/>
        <item h="1" m="1" x="1280"/>
        <item h="1" m="1" x="561"/>
        <item h="1" m="1" x="1308"/>
        <item h="1" m="1" x="592"/>
        <item h="1" m="1" x="1334"/>
        <item h="1" m="1" x="647"/>
        <item h="1" m="1" x="1393"/>
        <item h="1" m="1" x="671"/>
        <item h="1" m="1" x="1422"/>
        <item h="1" m="1" x="699"/>
        <item h="1" m="1" x="1482"/>
        <item h="1" m="1" x="754"/>
        <item h="1" m="1" x="1512"/>
        <item h="1" m="1" x="784"/>
        <item h="1" m="1" x="472"/>
        <item h="1" m="1" x="492"/>
        <item h="1" m="1" x="1232"/>
        <item h="1" m="1" x="514"/>
        <item h="1" m="1" x="1257"/>
        <item h="1" m="1" x="540"/>
        <item h="1" m="1" x="1235"/>
        <item h="1" m="1" x="516"/>
        <item h="1" m="1" x="1260"/>
        <item h="1" m="1" x="543"/>
        <item h="1" m="1" x="1288"/>
        <item h="1" m="1" x="570"/>
        <item h="1" m="1" x="601"/>
        <item h="1" m="1" x="1344"/>
        <item h="1" m="1" x="629"/>
        <item h="1" m="1" x="1377"/>
        <item h="1" m="1" x="656"/>
        <item h="1" m="1" x="1403"/>
        <item h="1" m="1" x="1431"/>
        <item h="1" m="1" x="708"/>
        <item h="1" m="1" x="1459"/>
        <item h="1" m="1" x="736"/>
        <item h="1" m="1" x="1489"/>
        <item h="1" m="1" x="764"/>
        <item h="1" m="1" x="793"/>
        <item h="1" m="1" x="1546"/>
        <item h="1" m="1" x="822"/>
        <item h="1" m="1" x="1574"/>
        <item h="1" m="1" x="846"/>
        <item h="1" m="1" x="1607"/>
        <item h="1" m="1" x="905"/>
        <item h="1" m="1" x="1290"/>
        <item h="1" m="1" x="572"/>
        <item h="1" m="1" x="1318"/>
        <item h="1" m="1" x="603"/>
        <item h="1" m="1" x="633"/>
        <item h="1" m="1" x="1380"/>
        <item h="1" m="1" x="660"/>
        <item h="1" m="1" x="1407"/>
        <item h="1" m="1" x="684"/>
        <item h="1" m="1" x="1435"/>
        <item h="1" m="1" x="740"/>
        <item h="1" m="1" x="1494"/>
        <item h="1" m="1" x="768"/>
        <item h="1" m="1" x="1524"/>
        <item h="1" m="1" x="797"/>
        <item h="1" m="1" x="1578"/>
        <item h="1" m="1" x="851"/>
        <item h="1" m="1" x="1611"/>
        <item h="1" m="1" x="879"/>
        <item h="1" m="1" x="1639"/>
        <item h="1" m="1" x="1666"/>
        <item h="1" m="1" x="1689"/>
        <item h="1" m="1" x="951"/>
        <item h="1" m="1" x="1714"/>
        <item h="1" m="1" x="1349"/>
        <item h="1" m="1" x="1382"/>
        <item h="1" m="1" x="661"/>
        <item h="1" m="1" x="1411"/>
        <item h="1" m="1" x="687"/>
        <item h="1" m="1" x="1438"/>
        <item h="1" m="1" x="715"/>
        <item h="1" m="1" x="1498"/>
        <item h="1" m="1" x="773"/>
        <item h="1" m="1" x="1528"/>
        <item h="1" m="1" x="801"/>
        <item h="1" m="1" x="1554"/>
        <item h="1" m="1" x="1582"/>
        <item h="1" m="1" x="855"/>
        <item h="1" m="1" x="1616"/>
        <item h="1" m="1" x="883"/>
        <item h="1" m="1" x="1643"/>
        <item h="1" m="1" x="913"/>
        <item h="1" m="1" x="934"/>
        <item h="1" m="1" x="1693"/>
        <item h="1" m="1" x="956"/>
        <item h="1" m="1" x="1718"/>
        <item h="1" m="1" x="976"/>
        <item h="1" m="1" x="1740"/>
        <item h="1" m="1" x="1761"/>
        <item h="1" m="1" x="689"/>
        <item h="1" m="1" x="1440"/>
        <item h="1" m="1" x="717"/>
        <item h="1" m="1" x="1502"/>
        <item h="1" m="1" x="776"/>
        <item h="1" m="1" x="1532"/>
        <item h="1" m="1" x="806"/>
        <item h="1" m="1" x="1558"/>
        <item h="1" m="1" x="832"/>
        <item h="1" m="1" x="1620"/>
        <item h="1" m="1" x="888"/>
        <item h="1" m="1" x="917"/>
        <item h="1" m="1" x="1674"/>
        <item h="1" m="1" x="1697"/>
        <item h="1" m="1" x="960"/>
        <item h="1" m="1" x="1723"/>
        <item h="1" m="1" x="981"/>
        <item h="1" m="1" x="1744"/>
        <item h="1" m="1" x="999"/>
        <item h="1" m="1" x="1016"/>
        <item h="1" m="1" x="300"/>
        <item h="1" m="1" x="1034"/>
        <item h="1" m="1" x="1471"/>
        <item h="1" m="1" x="747"/>
        <item h="1" m="1" x="1504"/>
        <item h="1" m="1" x="1534"/>
        <item h="1" m="1" x="809"/>
        <item h="1" m="1" x="1562"/>
        <item h="1" m="1" x="834"/>
        <item h="1" m="1" x="1590"/>
        <item h="1" m="1" x="863"/>
        <item h="1" m="1" x="892"/>
        <item h="1" m="1" x="1651"/>
        <item h="1" m="1" x="922"/>
        <item h="1" m="1" x="1678"/>
        <item h="1" m="1" x="941"/>
        <item h="1" m="1" x="1702"/>
        <item h="1" m="1" x="1727"/>
        <item h="1" m="1" x="985"/>
        <item h="1" m="1" x="1749"/>
        <item h="1" m="1" x="1002"/>
        <item h="1" m="1" x="1769"/>
        <item h="1" m="1" x="1021"/>
        <item h="1" m="1" x="1038"/>
        <item h="1" m="1" x="317"/>
        <item h="1" m="1" x="1051"/>
        <item h="1" m="1" x="330"/>
        <item h="1" m="1" x="1062"/>
        <item h="1" m="1" x="349"/>
        <item h="1" m="1" x="811"/>
        <item h="1" m="1" x="1563"/>
        <item h="1" m="1" x="836"/>
        <item h="1" m="1" x="1594"/>
        <item h="1" m="1" x="866"/>
        <item h="1" m="1" x="1627"/>
        <item h="1" m="1" x="1655"/>
        <item h="1" m="1" x="925"/>
        <item h="1" m="1" x="1682"/>
        <item h="1" m="1" x="944"/>
        <item h="1" m="1" x="1705"/>
        <item h="1" m="1" x="967"/>
        <item h="1" m="1" x="989"/>
        <item h="1" m="1" x="1752"/>
        <item h="1" m="1" x="1006"/>
        <item h="1" m="1" x="1773"/>
        <item h="1" m="1" x="1024"/>
        <item h="1" m="1" x="307"/>
        <item h="1" m="1" x="321"/>
        <item h="1" m="1" x="1054"/>
        <item h="1" m="1" x="334"/>
        <item h="1" m="1" x="1066"/>
        <item h="1" m="1" x="353"/>
        <item h="1" m="1" x="1078"/>
        <item h="1" m="1" x="1097"/>
        <item h="1" m="1" x="1595"/>
        <item h="1" m="1" x="868"/>
        <item h="1" m="1" x="1629"/>
        <item h="1" m="1" x="897"/>
        <item h="1" m="1" x="1657"/>
        <item h="1" m="1" x="1684"/>
        <item h="1" m="1" x="1707"/>
        <item h="1" m="1" x="969"/>
        <item h="1" m="1" x="1732"/>
        <item h="1" m="1" x="991"/>
        <item h="1" m="1" x="1008"/>
        <item h="1" m="1" x="1774"/>
        <item h="1" m="1" x="1026"/>
        <item h="1" m="1" x="309"/>
        <item h="1" m="1" x="1043"/>
        <item h="1" m="1" x="323"/>
        <item h="1" m="1" x="336"/>
        <item h="1" m="1" x="1067"/>
        <item h="1" m="1" x="355"/>
        <item h="1" m="1" x="1080"/>
        <item h="1" m="1" x="1099"/>
        <item h="1" m="1" x="1112"/>
        <item h="1" m="1" x="388"/>
        <item h="1" m="1" x="1129"/>
        <item h="1" m="1" x="405"/>
        <item h="1" x="163"/>
        <item h="1" m="1" x="341"/>
        <item h="1" m="1" x="360"/>
        <item h="1" m="1" x="1087"/>
        <item h="1" m="1" x="371"/>
        <item h="1" m="1" x="1105"/>
        <item h="1" m="1" x="382"/>
        <item h="1" m="1" x="1120"/>
        <item h="1" m="1" x="1137"/>
        <item h="1" m="1" x="412"/>
        <item h="1" m="1" x="1148"/>
        <item h="1" m="1" x="425"/>
        <item h="1" m="1" x="1162"/>
        <item h="1" m="1" x="441"/>
        <item h="1" m="1" x="458"/>
        <item h="1" m="1" x="1196"/>
        <item h="1" m="1" x="479"/>
        <item h="1" m="1" x="1217"/>
        <item h="1" m="1" x="500"/>
        <item h="1" m="1" x="1243"/>
        <item h="1" m="1" x="1269"/>
        <item h="1" m="1" x="551"/>
        <item h="1" m="1" x="1297"/>
        <item h="1" m="1" x="578"/>
        <item h="1" m="1" x="1324"/>
        <item h="1" m="1" x="610"/>
        <item h="1" m="1" x="1089"/>
        <item h="1" m="1" x="372"/>
        <item h="1" m="1" x="1107"/>
        <item h="1" m="1" x="384"/>
        <item h="1" m="1" x="1124"/>
        <item h="1" m="1" x="399"/>
        <item h="1" m="1" x="416"/>
        <item h="1" m="1" x="1152"/>
        <item h="1" m="1" x="429"/>
        <item h="1" m="1" x="1166"/>
        <item h="1" m="1" x="446"/>
        <item h="1" m="1" x="1183"/>
        <item h="1" m="1" x="1200"/>
        <item h="1" m="1" x="482"/>
        <item h="1" m="1" x="1221"/>
        <item h="1" m="1" x="505"/>
        <item h="1" m="1" x="1248"/>
        <item h="1" m="1" x="529"/>
        <item h="1" m="1" x="554"/>
        <item h="1" m="1" x="1301"/>
        <item h="1" m="1" x="583"/>
        <item h="1" m="1" x="1329"/>
        <item h="1" m="1" x="616"/>
        <item h="1" m="1" x="1363"/>
        <item h="1" m="1" x="1125"/>
        <item h="1" m="1" x="401"/>
        <item h="1" m="1" x="1141"/>
        <item h="1" m="1" x="418"/>
        <item h="1" m="1" x="1155"/>
        <item h="1" m="1" x="433"/>
        <item h="1" m="1" x="449"/>
        <item h="1" m="1" x="1187"/>
        <item h="1" m="1" x="467"/>
        <item h="1" m="1" x="1205"/>
        <item h="1" m="1" x="487"/>
        <item h="1" m="1" x="1227"/>
        <item h="1" m="1" x="1252"/>
        <item h="1" m="1" x="534"/>
        <item h="1" m="1" x="1278"/>
        <item h="1" m="1" x="558"/>
        <item h="1" m="1" x="1305"/>
        <item h="1" m="1" x="589"/>
        <item h="1" m="1" x="619"/>
        <item h="1" m="1" x="1366"/>
        <item h="1" m="1" x="645"/>
        <item h="1" m="1" x="1390"/>
        <item h="1" m="1" x="668"/>
        <item h="1" m="1" x="1419"/>
        <item h="1" m="1" x="1449"/>
        <item h="1" m="1" x="725"/>
        <item h="1" m="1" x="1480"/>
        <item h="1" m="1" x="1170"/>
        <item h="1" m="1" x="1188"/>
        <item h="1" m="1" x="471"/>
        <item h="1" m="1" x="1209"/>
        <item h="1" m="1" x="491"/>
        <item h="1" m="1" x="1231"/>
        <item h="1" m="1" x="538"/>
        <item h="1" m="1" x="1283"/>
        <item h="1" m="1" x="564"/>
        <item h="1" m="1" x="1311"/>
        <item h="1" m="1" x="594"/>
        <item h="1" m="1" x="1337"/>
        <item h="1" m="1" x="1370"/>
        <item h="1" m="1" x="650"/>
        <item h="1" m="1" x="1396"/>
        <item h="1" m="1" x="674"/>
        <item h="1" m="1" x="1424"/>
        <item h="1" m="1" x="701"/>
        <item h="1" m="1" x="728"/>
        <item h="1" m="1" x="757"/>
        <item h="1" m="1" x="1514"/>
        <item h="1" m="1" x="786"/>
        <item h="1" m="1" x="1210"/>
        <item h="1" m="1" x="493"/>
        <item h="1" m="1" x="1234"/>
        <item h="1" m="1" x="515"/>
        <item h="1" m="1" x="1259"/>
        <item h="1" m="1" x="542"/>
        <item h="1" m="1" x="568"/>
        <item h="1" m="1" x="1315"/>
        <item h="1" m="1" x="599"/>
        <item h="1" m="1" x="1341"/>
        <item h="1" m="1" x="626"/>
        <item h="1" m="1" x="1374"/>
        <item h="1" m="1" x="1400"/>
        <item h="1" m="1" x="678"/>
        <item h="1" m="1" x="1429"/>
        <item h="1" m="1" x="705"/>
        <item h="1" m="1" x="1456"/>
        <item h="1" m="1" x="733"/>
        <item h="1" m="1" x="761"/>
        <item h="1" m="1" x="1518"/>
        <item h="1" m="1" x="791"/>
        <item h="1" m="1" x="1543"/>
        <item h="1" m="1" x="819"/>
        <item h="1" m="1" x="1571"/>
        <item h="1" m="1" x="160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2"/>
        <item h="1" x="13"/>
        <item h="1" x="14"/>
        <item h="1" x="15"/>
        <item h="1" x="16"/>
        <item h="1" x="11"/>
        <item h="1" m="1" x="1469"/>
        <item h="1" x="18"/>
        <item h="1" x="17"/>
        <item h="1" x="21"/>
        <item h="1" x="20"/>
        <item h="1" x="19"/>
        <item h="1" x="22"/>
        <item h="1" x="23"/>
        <item h="1" x="24"/>
        <item h="1" x="32"/>
        <item h="1" x="31"/>
        <item h="1" x="28"/>
        <item h="1" x="27"/>
        <item h="1" x="30"/>
        <item h="1" x="26"/>
        <item h="1" x="25"/>
        <item h="1" x="39"/>
        <item h="1" x="41"/>
        <item h="1" x="40"/>
        <item h="1" x="38"/>
        <item h="1" x="37"/>
        <item h="1" x="42"/>
        <item h="1" x="43"/>
        <item h="1" x="44"/>
        <item h="1" x="45"/>
        <item h="1" x="46"/>
        <item h="1" x="48"/>
        <item h="1" x="47"/>
        <item h="1" x="51"/>
        <item h="1" x="52"/>
        <item h="1" x="50"/>
        <item h="1" x="49"/>
        <item h="1" x="53"/>
        <item h="1" x="29"/>
        <item h="1" x="33"/>
        <item h="1" x="34"/>
        <item h="1" x="35"/>
        <item h="1" x="36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73"/>
        <item h="1" x="74"/>
        <item h="1" x="75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63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3"/>
        <item h="1" x="142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1"/>
        <item h="1" x="160"/>
        <item h="1" x="162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20"/>
        <item h="1" x="221"/>
        <item h="1" x="222"/>
        <item h="1" x="218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t="default"/>
      </items>
    </pivotField>
    <pivotField showAll="0"/>
    <pivotField showAll="0"/>
    <pivotField showAll="0"/>
    <pivotField axis="axisPage" multipleItemSelectionAllowed="1" showAll="0">
      <items count="141">
        <item h="1" m="1" x="81"/>
        <item h="1" m="1" x="111"/>
        <item h="1" x="46"/>
        <item h="1" m="1" x="128"/>
        <item h="1" m="1" x="136"/>
        <item h="1" m="1" x="88"/>
        <item h="1" x="1"/>
        <item h="1" m="1" x="126"/>
        <item h="1" x="35"/>
        <item h="1" m="1" x="133"/>
        <item h="1" m="1" x="114"/>
        <item h="1" m="1" x="127"/>
        <item h="1" m="1" x="89"/>
        <item h="1" m="1" x="90"/>
        <item h="1" m="1" x="95"/>
        <item h="1" m="1" x="97"/>
        <item h="1" m="1" x="98"/>
        <item h="1" x="37"/>
        <item h="1" x="2"/>
        <item h="1" x="78"/>
        <item h="1" m="1" x="106"/>
        <item h="1" m="1" x="108"/>
        <item h="1" m="1" x="112"/>
        <item h="1" m="1" x="117"/>
        <item h="1" m="1" x="124"/>
        <item h="1" m="1" x="134"/>
        <item h="1" m="1" x="138"/>
        <item h="1" m="1" x="92"/>
        <item h="1" m="1" x="94"/>
        <item h="1" m="1" x="105"/>
        <item h="1" m="1" x="118"/>
        <item h="1" m="1" x="125"/>
        <item h="1" m="1" x="131"/>
        <item h="1" m="1" x="135"/>
        <item h="1" m="1" x="139"/>
        <item h="1" m="1" x="96"/>
        <item h="1" m="1" x="116"/>
        <item h="1" x="27"/>
        <item h="1" m="1" x="107"/>
        <item h="1" m="1" x="110"/>
        <item h="1" x="65"/>
        <item h="1" x="30"/>
        <item h="1" m="1" x="93"/>
        <item h="1" m="1" x="123"/>
        <item h="1" m="1" x="83"/>
        <item h="1" m="1" x="84"/>
        <item h="1" m="1" x="85"/>
        <item h="1" m="1" x="86"/>
        <item h="1" m="1" x="99"/>
        <item h="1" m="1" x="100"/>
        <item x="63"/>
        <item h="1" m="1" x="113"/>
        <item h="1" x="73"/>
        <item h="1" m="1" x="115"/>
        <item h="1" m="1" x="82"/>
        <item h="1" m="1" x="102"/>
        <item h="1" m="1" x="104"/>
        <item h="1" m="1" x="119"/>
        <item h="1" m="1" x="121"/>
        <item h="1" x="34"/>
        <item h="1" x="29"/>
        <item h="1" x="80"/>
        <item h="1" x="6"/>
        <item h="1" x="41"/>
        <item h="1" m="1" x="129"/>
        <item h="1" m="1" x="130"/>
        <item h="1" m="1" x="132"/>
        <item h="1" m="1" x="137"/>
        <item h="1" m="1" x="91"/>
        <item h="1" x="5"/>
        <item h="1" m="1" x="103"/>
        <item h="1" m="1" x="101"/>
        <item h="1" x="3"/>
        <item h="1" x="22"/>
        <item h="1" x="15"/>
        <item h="1" x="14"/>
        <item h="1" x="33"/>
        <item h="1" x="18"/>
        <item h="1" x="9"/>
        <item h="1" x="19"/>
        <item h="1" x="12"/>
        <item h="1" x="25"/>
        <item h="1" x="0"/>
        <item h="1" x="4"/>
        <item h="1" x="7"/>
        <item h="1" x="8"/>
        <item h="1" x="10"/>
        <item h="1" x="11"/>
        <item h="1" x="13"/>
        <item h="1" x="16"/>
        <item h="1" x="17"/>
        <item h="1" x="26"/>
        <item h="1" m="1" x="109"/>
        <item h="1" x="20"/>
        <item h="1" x="28"/>
        <item h="1" x="21"/>
        <item h="1" x="23"/>
        <item h="1" x="31"/>
        <item h="1" m="1" x="120"/>
        <item h="1" x="36"/>
        <item h="1" x="24"/>
        <item h="1" x="32"/>
        <item h="1" x="38"/>
        <item h="1" x="39"/>
        <item h="1" x="42"/>
        <item h="1" x="43"/>
        <item h="1" x="40"/>
        <item h="1" m="1" x="87"/>
        <item h="1" x="44"/>
        <item h="1" x="45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4"/>
        <item h="1" x="66"/>
        <item h="1" x="68"/>
        <item h="1" x="67"/>
        <item h="1" x="69"/>
        <item h="1" x="70"/>
        <item h="1" x="71"/>
        <item h="1" x="72"/>
        <item h="1" x="74"/>
        <item h="1" x="75"/>
        <item h="1" x="76"/>
        <item h="1" x="77"/>
        <item h="1" x="79"/>
        <item h="1" m="1" x="122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1">
    <i t="grand">
      <x/>
    </i>
  </rowItems>
  <colItems count="1">
    <i/>
  </colItems>
  <pageFields count="1">
    <pageField fld="4" hier="-1"/>
  </pageFields>
  <dataFields count="1">
    <dataField name="Suma de PROD DIARIA (PAQ)" fld="6" baseField="0" baseItem="0"/>
  </dataFields>
  <formats count="4">
    <format dxfId="47">
      <pivotArea collapsedLevelsAreSubtotals="1" fieldPosition="0">
        <references count="1">
          <reference field="0" count="1">
            <x v="847"/>
          </reference>
        </references>
      </pivotArea>
    </format>
    <format dxfId="46">
      <pivotArea dataOnly="0" labelOnly="1" fieldPosition="0">
        <references count="1">
          <reference field="0" count="1">
            <x v="847"/>
          </reference>
        </references>
      </pivotArea>
    </format>
    <format dxfId="45">
      <pivotArea collapsedLevelsAreSubtotals="1" fieldPosition="0">
        <references count="1">
          <reference field="0" count="1">
            <x v="850"/>
          </reference>
        </references>
      </pivotArea>
    </format>
    <format dxfId="44">
      <pivotArea dataOnly="0" labelOnly="1" fieldPosition="0">
        <references count="1">
          <reference field="0" count="1">
            <x v="85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48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8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7" workbookViewId="0">
      <selection activeCell="A29" sqref="A2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165</v>
      </c>
      <c r="C4" s="9" t="s">
        <v>166</v>
      </c>
    </row>
    <row r="5" spans="1:3" x14ac:dyDescent="0.25">
      <c r="A5" s="11" t="s">
        <v>173</v>
      </c>
      <c r="B5" s="459">
        <v>43680</v>
      </c>
      <c r="C5" s="460">
        <v>18345.599999999999</v>
      </c>
    </row>
    <row r="6" spans="1:3" x14ac:dyDescent="0.25">
      <c r="A6" s="494" t="s">
        <v>174</v>
      </c>
      <c r="B6" s="459">
        <v>36540</v>
      </c>
      <c r="C6" s="460">
        <v>15346.8</v>
      </c>
    </row>
    <row r="7" spans="1:3" x14ac:dyDescent="0.25">
      <c r="A7" s="494" t="s">
        <v>176</v>
      </c>
      <c r="B7" s="459">
        <v>7140</v>
      </c>
      <c r="C7" s="460">
        <v>2998.8</v>
      </c>
    </row>
    <row r="8" spans="1:3" x14ac:dyDescent="0.25">
      <c r="A8" s="11" t="s">
        <v>225</v>
      </c>
      <c r="B8" s="459">
        <v>27512</v>
      </c>
      <c r="C8" s="460">
        <v>11555.04</v>
      </c>
    </row>
    <row r="9" spans="1:3" x14ac:dyDescent="0.25">
      <c r="A9" s="494" t="s">
        <v>174</v>
      </c>
      <c r="B9" s="459">
        <v>20372</v>
      </c>
      <c r="C9" s="460">
        <v>8556.2400000000016</v>
      </c>
    </row>
    <row r="10" spans="1:3" x14ac:dyDescent="0.25">
      <c r="A10" s="494" t="s">
        <v>176</v>
      </c>
      <c r="B10" s="459">
        <v>7140</v>
      </c>
      <c r="C10" s="460">
        <v>2998.7999999999997</v>
      </c>
    </row>
    <row r="11" spans="1:3" x14ac:dyDescent="0.25">
      <c r="A11" s="11" t="s">
        <v>228</v>
      </c>
      <c r="B11" s="459">
        <v>47880</v>
      </c>
      <c r="C11" s="460">
        <v>20109.600000000002</v>
      </c>
    </row>
    <row r="12" spans="1:3" x14ac:dyDescent="0.25">
      <c r="A12" s="494" t="s">
        <v>174</v>
      </c>
      <c r="B12" s="459">
        <v>38220</v>
      </c>
      <c r="C12" s="460">
        <v>16052.400000000001</v>
      </c>
    </row>
    <row r="13" spans="1:3" x14ac:dyDescent="0.25">
      <c r="A13" s="494" t="s">
        <v>176</v>
      </c>
      <c r="B13" s="459">
        <v>9660</v>
      </c>
      <c r="C13" s="460">
        <v>4057.2</v>
      </c>
    </row>
    <row r="14" spans="1:3" x14ac:dyDescent="0.25">
      <c r="A14" s="11" t="s">
        <v>231</v>
      </c>
      <c r="B14" s="459">
        <v>44100</v>
      </c>
      <c r="C14" s="460">
        <v>18522</v>
      </c>
    </row>
    <row r="15" spans="1:3" x14ac:dyDescent="0.25">
      <c r="A15" s="494" t="s">
        <v>174</v>
      </c>
      <c r="B15" s="459">
        <v>27300</v>
      </c>
      <c r="C15" s="460">
        <v>11466</v>
      </c>
    </row>
    <row r="16" spans="1:3" x14ac:dyDescent="0.25">
      <c r="A16" s="494" t="s">
        <v>176</v>
      </c>
      <c r="B16" s="459">
        <v>16800</v>
      </c>
      <c r="C16" s="460">
        <v>7056</v>
      </c>
    </row>
    <row r="17" spans="1:3" x14ac:dyDescent="0.25">
      <c r="A17" s="11" t="s">
        <v>240</v>
      </c>
      <c r="B17" s="459">
        <v>23520</v>
      </c>
      <c r="C17" s="460">
        <v>9878.4</v>
      </c>
    </row>
    <row r="18" spans="1:3" x14ac:dyDescent="0.25">
      <c r="A18" s="494" t="s">
        <v>174</v>
      </c>
      <c r="B18" s="459">
        <v>23520</v>
      </c>
      <c r="C18" s="460">
        <v>9878.4</v>
      </c>
    </row>
    <row r="19" spans="1:3" x14ac:dyDescent="0.25">
      <c r="A19" s="11" t="s">
        <v>241</v>
      </c>
      <c r="B19" s="459">
        <v>5460</v>
      </c>
      <c r="C19" s="460">
        <v>2293.2000000000003</v>
      </c>
    </row>
    <row r="20" spans="1:3" x14ac:dyDescent="0.25">
      <c r="A20" s="494" t="s">
        <v>174</v>
      </c>
      <c r="B20" s="459">
        <v>420</v>
      </c>
      <c r="C20" s="460">
        <v>176.4</v>
      </c>
    </row>
    <row r="21" spans="1:3" x14ac:dyDescent="0.25">
      <c r="A21" s="494" t="s">
        <v>176</v>
      </c>
      <c r="B21" s="459">
        <v>5040</v>
      </c>
      <c r="C21" s="460">
        <v>2116.8000000000002</v>
      </c>
    </row>
    <row r="22" spans="1:3" x14ac:dyDescent="0.25">
      <c r="A22" s="11" t="s">
        <v>251</v>
      </c>
      <c r="B22" s="459">
        <v>22680</v>
      </c>
      <c r="C22" s="460">
        <v>9525.6</v>
      </c>
    </row>
    <row r="23" spans="1:3" x14ac:dyDescent="0.25">
      <c r="A23" s="494" t="s">
        <v>174</v>
      </c>
      <c r="B23" s="459">
        <v>22680</v>
      </c>
      <c r="C23" s="460">
        <v>9525.6</v>
      </c>
    </row>
    <row r="24" spans="1:3" x14ac:dyDescent="0.25">
      <c r="A24" s="93" t="s">
        <v>87</v>
      </c>
      <c r="B24" s="459">
        <v>214832</v>
      </c>
      <c r="C24" s="460">
        <v>90229.439999999988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DE10316"/>
  <sheetViews>
    <sheetView tabSelected="1" topLeftCell="A5833" zoomScale="90" zoomScaleNormal="90" workbookViewId="0">
      <selection activeCell="A5852" sqref="A5852"/>
    </sheetView>
  </sheetViews>
  <sheetFormatPr baseColWidth="10" defaultColWidth="16.7109375" defaultRowHeight="15" x14ac:dyDescent="0.25"/>
  <cols>
    <col min="1" max="1" width="16.7109375" style="93"/>
    <col min="2" max="2" width="16.7109375" customWidth="1"/>
    <col min="3" max="3" width="16.7109375" style="93" hidden="1" customWidth="1"/>
    <col min="4" max="4" width="16.7109375" hidden="1" customWidth="1"/>
    <col min="5" max="5" width="16.7109375" style="93"/>
    <col min="6" max="6" width="51" customWidth="1"/>
    <col min="7" max="7" width="16.7109375" style="433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5"/>
    </row>
    <row r="3" spans="1:10" ht="42.75" customHeight="1" x14ac:dyDescent="0.25">
      <c r="A3" s="481" t="s">
        <v>12</v>
      </c>
      <c r="B3" s="243" t="s">
        <v>10</v>
      </c>
      <c r="C3" s="243" t="s">
        <v>11</v>
      </c>
      <c r="D3" s="243" t="s">
        <v>13</v>
      </c>
      <c r="E3" s="408" t="s">
        <v>34</v>
      </c>
      <c r="F3" s="243" t="s">
        <v>9</v>
      </c>
      <c r="G3" s="407" t="s">
        <v>47</v>
      </c>
      <c r="H3" s="375" t="s">
        <v>21</v>
      </c>
      <c r="I3" s="375" t="s">
        <v>20</v>
      </c>
      <c r="J3" s="375" t="s">
        <v>48</v>
      </c>
    </row>
    <row r="4" spans="1:10" s="9" customFormat="1" hidden="1" x14ac:dyDescent="0.25">
      <c r="A4" s="422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9">
        <v>251429</v>
      </c>
      <c r="F4" s="6" t="str">
        <f>IFERROR(VLOOKUP(E4,BD!$L$2:$Q$66,2,0),0)</f>
        <v>SAN LUIS SIN GAS PET2500X6 STICKER</v>
      </c>
      <c r="G4" s="416">
        <v>576</v>
      </c>
      <c r="H4" s="6">
        <f>+IFERROR(VLOOKUP(E4,BD!$L$2:$Q$66,6,0),0)</f>
        <v>48</v>
      </c>
      <c r="I4" s="97">
        <f>IFERROR(G4*VLOOKUP($E4,BD!$L$2:$Q$66,5,0),0)</f>
        <v>230.4</v>
      </c>
      <c r="J4" s="6">
        <f t="shared" ref="J4:J67" si="3">+YEAR(A4)</f>
        <v>2021</v>
      </c>
    </row>
    <row r="5" spans="1:10" hidden="1" x14ac:dyDescent="0.25">
      <c r="A5" s="421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20">
        <v>251406</v>
      </c>
      <c r="F5" s="3" t="str">
        <f>IFERROR(VLOOKUP(E5,BD!$L$2:$Q$66,2,0),0)</f>
        <v>COCA-COLA SIN AZUCAR PET 1.5LX2</v>
      </c>
      <c r="G5" s="417">
        <f>198*6</f>
        <v>1188</v>
      </c>
      <c r="H5" s="3">
        <f>+IFERROR(VLOOKUP(E5,BD!$L$2:$Q$66,6,0),0)</f>
        <v>198</v>
      </c>
      <c r="I5" s="96">
        <f>IFERROR(G5*VLOOKUP($E5,BD!$L$2:$Q$66,5,0),0)</f>
        <v>201.96</v>
      </c>
      <c r="J5" s="3">
        <f t="shared" si="3"/>
        <v>2021</v>
      </c>
    </row>
    <row r="6" spans="1:10" hidden="1" x14ac:dyDescent="0.25">
      <c r="A6" s="421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20">
        <v>254853</v>
      </c>
      <c r="F6" s="3" t="str">
        <f>IFERROR(VLOOKUP(E6,BD!$L$2:$Q$66,2,0),0)</f>
        <v>INCA KOLA SIN AZUCAR PET 1.5LX2</v>
      </c>
      <c r="G6" s="417">
        <f>8*198</f>
        <v>1584</v>
      </c>
      <c r="H6" s="3">
        <f>+IFERROR(VLOOKUP(E6,BD!$L$2:$Q$66,6,0),0)</f>
        <v>198</v>
      </c>
      <c r="I6" s="96">
        <f>IFERROR(G6*VLOOKUP($E6,BD!$L$2:$Q$66,5,0),0)</f>
        <v>269.28000000000003</v>
      </c>
      <c r="J6" s="3">
        <f t="shared" si="3"/>
        <v>2021</v>
      </c>
    </row>
    <row r="7" spans="1:10" hidden="1" x14ac:dyDescent="0.25">
      <c r="A7" s="421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20">
        <v>256617</v>
      </c>
      <c r="F7" s="3" t="str">
        <f>IFERROR(VLOOKUP(E7,BD!$L$2:$Q$66,2,0),0)</f>
        <v>TWO PACK SCHWEPPES GINGER ALE PET 1.5LX2</v>
      </c>
      <c r="G7" s="417">
        <f>4*198</f>
        <v>792</v>
      </c>
      <c r="H7" s="3">
        <f>+IFERROR(VLOOKUP(E7,BD!$L$2:$Q$66,6,0),0)</f>
        <v>198</v>
      </c>
      <c r="I7" s="96">
        <f>IFERROR(G7*VLOOKUP($E7,BD!$L$2:$Q$66,5,0),0)</f>
        <v>134.64000000000001</v>
      </c>
      <c r="J7" s="3">
        <f t="shared" si="3"/>
        <v>2021</v>
      </c>
    </row>
    <row r="8" spans="1:10" hidden="1" x14ac:dyDescent="0.25">
      <c r="A8" s="421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20">
        <v>256666</v>
      </c>
      <c r="F8" s="3" t="str">
        <f>IFERROR(VLOOKUP(E8,BD!$L$2:$Q$66,2,0),0)</f>
        <v>COCA-COLA PET 2.25LX2 RF</v>
      </c>
      <c r="G8" s="417">
        <v>648</v>
      </c>
      <c r="H8" s="3">
        <f>+IFERROR(VLOOKUP(E8,BD!$L$2:$Q$66,6,0),0)</f>
        <v>162</v>
      </c>
      <c r="I8" s="96">
        <f>IFERROR(G8*VLOOKUP($E8,BD!$L$2:$Q$66,5,0),0)</f>
        <v>110.16000000000001</v>
      </c>
      <c r="J8" s="3">
        <f t="shared" si="3"/>
        <v>2021</v>
      </c>
    </row>
    <row r="9" spans="1:10" hidden="1" x14ac:dyDescent="0.25">
      <c r="A9" s="421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20">
        <v>256601</v>
      </c>
      <c r="F9" s="3" t="str">
        <f>IFERROR(VLOOKUP(E9,BD!$L$2:$Q$66,2,0),0)</f>
        <v>INCA KOLA PET 2.25LX2 RF</v>
      </c>
      <c r="G9" s="417">
        <v>324</v>
      </c>
      <c r="H9" s="3">
        <f>+IFERROR(VLOOKUP(E9,BD!$L$2:$Q$66,6,0),0)</f>
        <v>162</v>
      </c>
      <c r="I9" s="96">
        <f>IFERROR(G9*VLOOKUP($E9,BD!$L$2:$Q$66,5,0),0)</f>
        <v>55.080000000000005</v>
      </c>
      <c r="J9" s="3">
        <f t="shared" si="3"/>
        <v>2021</v>
      </c>
    </row>
    <row r="10" spans="1:10" hidden="1" x14ac:dyDescent="0.25">
      <c r="A10" s="421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20">
        <v>256488</v>
      </c>
      <c r="F10" s="3" t="str">
        <f>IFERROR(VLOOKUP(E10,BD!$L$2:$Q$66,2,0),0)</f>
        <v>INCA KOLA PET 3LX2 - RF</v>
      </c>
      <c r="G10" s="417">
        <v>240</v>
      </c>
      <c r="H10" s="3">
        <f>+IFERROR(VLOOKUP(E10,BD!$L$2:$Q$66,6,0),0)</f>
        <v>120</v>
      </c>
      <c r="I10" s="96">
        <f>IFERROR(G10*VLOOKUP($E10,BD!$L$2:$Q$66,5,0),0)</f>
        <v>40.800000000000004</v>
      </c>
      <c r="J10" s="3">
        <f t="shared" si="3"/>
        <v>2021</v>
      </c>
    </row>
    <row r="11" spans="1:10" hidden="1" x14ac:dyDescent="0.25">
      <c r="A11" s="421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20">
        <v>256674</v>
      </c>
      <c r="F11" s="3" t="str">
        <f>IFERROR(VLOOKUP(E11,BD!$L$2:$Q$66,2,0),0)</f>
        <v>COCA-COLA PET 1.5LX2 RF</v>
      </c>
      <c r="G11" s="417">
        <v>1198</v>
      </c>
      <c r="H11" s="3">
        <f>+IFERROR(VLOOKUP(E11,BD!$L$2:$Q$66,6,0),0)</f>
        <v>198</v>
      </c>
      <c r="I11" s="96">
        <f>IFERROR(G11*VLOOKUP($E11,BD!$L$2:$Q$66,5,0),0)</f>
        <v>203.66000000000003</v>
      </c>
      <c r="J11" s="3">
        <f t="shared" si="3"/>
        <v>2021</v>
      </c>
    </row>
    <row r="12" spans="1:10" hidden="1" x14ac:dyDescent="0.25">
      <c r="A12" s="421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20">
        <v>256675</v>
      </c>
      <c r="F12" s="3" t="str">
        <f>IFERROR(VLOOKUP(E12,BD!$L$2:$Q$66,2,0),0)</f>
        <v>INCA KOLA PET 1.5LX2 RF</v>
      </c>
      <c r="G12" s="417">
        <v>396</v>
      </c>
      <c r="H12" s="3">
        <f>+IFERROR(VLOOKUP(E12,BD!$L$2:$Q$66,6,0),0)</f>
        <v>198</v>
      </c>
      <c r="I12" s="96">
        <f>IFERROR(G12*VLOOKUP($E12,BD!$L$2:$Q$66,5,0),0)</f>
        <v>67.320000000000007</v>
      </c>
      <c r="J12" s="3">
        <f t="shared" si="3"/>
        <v>2021</v>
      </c>
    </row>
    <row r="13" spans="1:10" hidden="1" x14ac:dyDescent="0.25">
      <c r="A13" s="421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20">
        <v>256652</v>
      </c>
      <c r="F13" s="3" t="str">
        <f>IFERROR(VLOOKUP(E13,BD!$L$2:$Q$66,2,0),0)</f>
        <v>TRIPACK FT NAR+FT KI+SP PET 3L</v>
      </c>
      <c r="G13" s="417">
        <v>360</v>
      </c>
      <c r="H13" s="3">
        <f>+IFERROR(VLOOKUP(E13,BD!$L$2:$Q$66,6,0),0)</f>
        <v>90</v>
      </c>
      <c r="I13" s="96">
        <f>IFERROR(G13*VLOOKUP($E13,BD!$L$2:$Q$66,5,0),0)</f>
        <v>61.2</v>
      </c>
      <c r="J13" s="3">
        <f t="shared" si="3"/>
        <v>2021</v>
      </c>
    </row>
    <row r="14" spans="1:10" hidden="1" x14ac:dyDescent="0.25">
      <c r="A14" s="421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20">
        <v>256677</v>
      </c>
      <c r="F14" s="3" t="str">
        <f>IFERROR(VLOOKUP(E14,BD!$L$2:$Q$66,2,0),0)</f>
        <v>TWO PACK CC + IK PFM 3LX2 - RFNN</v>
      </c>
      <c r="G14" s="417">
        <v>3840</v>
      </c>
      <c r="H14" s="3">
        <f>+IFERROR(VLOOKUP(E14,BD!$L$2:$Q$66,6,0),0)</f>
        <v>120</v>
      </c>
      <c r="I14" s="96">
        <f>IFERROR(G14*VLOOKUP($E14,BD!$L$2:$Q$66,5,0),0)</f>
        <v>652.80000000000007</v>
      </c>
      <c r="J14" s="3">
        <f t="shared" si="3"/>
        <v>2021</v>
      </c>
    </row>
    <row r="15" spans="1:10" hidden="1" x14ac:dyDescent="0.25">
      <c r="A15" s="421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20">
        <v>256678</v>
      </c>
      <c r="F15" s="3" t="str">
        <f>IFERROR(VLOOKUP(E15,BD!$L$2:$Q$66,2,0),0)</f>
        <v>TRIPACK (CC+IK)PFM+FT PET 3LX3 - RFNN</v>
      </c>
      <c r="G15" s="417">
        <v>990</v>
      </c>
      <c r="H15" s="3">
        <f>+IFERROR(VLOOKUP(E15,BD!$L$2:$Q$66,6,0),0)</f>
        <v>90</v>
      </c>
      <c r="I15" s="96">
        <f>IFERROR(G15*VLOOKUP($E15,BD!$L$2:$Q$66,5,0),0)</f>
        <v>168.3</v>
      </c>
      <c r="J15" s="3">
        <f t="shared" si="3"/>
        <v>2021</v>
      </c>
    </row>
    <row r="16" spans="1:10" hidden="1" x14ac:dyDescent="0.25">
      <c r="A16" s="421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20">
        <v>256708</v>
      </c>
      <c r="F16" s="3" t="str">
        <f>IFERROR(VLOOKUP(E16,BD!$L$2:$Q$66,2,0),0)</f>
        <v>POWERADE ION4 FRUTA PET473X6 MOD (STICK)</v>
      </c>
      <c r="G16" s="417">
        <v>450</v>
      </c>
      <c r="H16" s="3">
        <f>+IFERROR(VLOOKUP(E16,BD!$L$2:$Q$66,6,0),0)</f>
        <v>225</v>
      </c>
      <c r="I16" s="96">
        <f>IFERROR(G16*VLOOKUP($E16,BD!$L$2:$Q$66,5,0),0)</f>
        <v>180</v>
      </c>
      <c r="J16" s="3">
        <f t="shared" si="3"/>
        <v>2021</v>
      </c>
    </row>
    <row r="17" spans="1:10" hidden="1" x14ac:dyDescent="0.25">
      <c r="A17" s="421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20">
        <v>256381</v>
      </c>
      <c r="F17" s="3" t="str">
        <f>IFERROR(VLOOKUP(E17,BD!$L$2:$Q$66,2,0),0)</f>
        <v>INCA KOLA VR 1.5LX8 - STICKER</v>
      </c>
      <c r="G17" s="417">
        <v>180</v>
      </c>
      <c r="H17" s="3">
        <f>+IFERROR(VLOOKUP(E17,BD!$L$2:$Q$66,6,0),0)</f>
        <v>30</v>
      </c>
      <c r="I17" s="96">
        <f>IFERROR(G17*VLOOKUP($E17,BD!$L$2:$Q$66,5,0),0)</f>
        <v>72</v>
      </c>
      <c r="J17" s="3">
        <f t="shared" si="3"/>
        <v>2021</v>
      </c>
    </row>
    <row r="18" spans="1:10" hidden="1" x14ac:dyDescent="0.25">
      <c r="A18" s="421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20">
        <v>256380</v>
      </c>
      <c r="F18" s="3" t="str">
        <f>IFERROR(VLOOKUP(E18,BD!$L$2:$Q$66,2,0),0)</f>
        <v>INCA KOLA VR 296MLX24 - STICKER</v>
      </c>
      <c r="G18" s="417">
        <v>80</v>
      </c>
      <c r="H18" s="3">
        <f>+IFERROR(VLOOKUP(E18,BD!$L$2:$Q$66,6,0),0)</f>
        <v>40</v>
      </c>
      <c r="I18" s="96">
        <f>IFERROR(G18*VLOOKUP($E18,BD!$L$2:$Q$66,5,0),0)</f>
        <v>18.400000000000002</v>
      </c>
      <c r="J18" s="3">
        <f t="shared" si="3"/>
        <v>2021</v>
      </c>
    </row>
    <row r="19" spans="1:10" hidden="1" x14ac:dyDescent="0.25">
      <c r="A19" s="421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20">
        <v>256379</v>
      </c>
      <c r="F19" s="3" t="str">
        <f>IFERROR(VLOOKUP(E19,BD!$L$2:$Q$66,2,0),0)</f>
        <v>INCA KOLA VR 625MLX12 - STICKER</v>
      </c>
      <c r="G19" s="417">
        <v>100</v>
      </c>
      <c r="H19" s="3">
        <f>+IFERROR(VLOOKUP(E19,BD!$L$2:$Q$66,6,0),0)</f>
        <v>50</v>
      </c>
      <c r="I19" s="96">
        <f>IFERROR(G19*VLOOKUP($E19,BD!$L$2:$Q$66,5,0),0)</f>
        <v>40</v>
      </c>
      <c r="J19" s="3">
        <f t="shared" si="3"/>
        <v>2021</v>
      </c>
    </row>
    <row r="20" spans="1:10" hidden="1" x14ac:dyDescent="0.25">
      <c r="A20" s="421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20">
        <v>251633</v>
      </c>
      <c r="F20" s="3" t="str">
        <f>IFERROR(VLOOKUP(E20,BD!$L$2:$Q$66,2,0),0)</f>
        <v>SAN LUIS CON GAS PET 625MLX6</v>
      </c>
      <c r="G20" s="417">
        <v>180</v>
      </c>
      <c r="H20" s="3">
        <f>+IFERROR(VLOOKUP(E20,BD!$L$2:$Q$66,6,0),0)</f>
        <v>180</v>
      </c>
      <c r="I20" s="96">
        <f>IFERROR(G20*VLOOKUP($E20,BD!$L$2:$Q$66,5,0),0)</f>
        <v>75.599999999999994</v>
      </c>
      <c r="J20" s="3">
        <f t="shared" si="3"/>
        <v>2021</v>
      </c>
    </row>
    <row r="21" spans="1:10" hidden="1" x14ac:dyDescent="0.25">
      <c r="A21" s="421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20">
        <v>251406</v>
      </c>
      <c r="F21" s="3" t="str">
        <f>IFERROR(VLOOKUP(E21,BD!$L$2:$Q$66,2,0),0)</f>
        <v>COCA-COLA SIN AZUCAR PET 1.5LX2</v>
      </c>
      <c r="G21" s="417">
        <v>1188</v>
      </c>
      <c r="H21" s="3">
        <f>+IFERROR(VLOOKUP(E21,BD!$L$2:$Q$66,6,0),0)</f>
        <v>198</v>
      </c>
      <c r="I21" s="96">
        <f>IFERROR(G21*VLOOKUP($E21,BD!$L$2:$Q$66,5,0),0)</f>
        <v>201.96</v>
      </c>
      <c r="J21" s="3">
        <f t="shared" si="3"/>
        <v>2021</v>
      </c>
    </row>
    <row r="22" spans="1:10" hidden="1" x14ac:dyDescent="0.25">
      <c r="A22" s="421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20">
        <v>254853</v>
      </c>
      <c r="F22" s="3" t="str">
        <f>IFERROR(VLOOKUP(E22,BD!$L$2:$Q$66,2,0),0)</f>
        <v>INCA KOLA SIN AZUCAR PET 1.5LX2</v>
      </c>
      <c r="G22" s="417">
        <v>792</v>
      </c>
      <c r="H22" s="3">
        <f>+IFERROR(VLOOKUP(E22,BD!$L$2:$Q$66,6,0),0)</f>
        <v>198</v>
      </c>
      <c r="I22" s="96">
        <f>IFERROR(G22*VLOOKUP($E22,BD!$L$2:$Q$66,5,0),0)</f>
        <v>134.64000000000001</v>
      </c>
      <c r="J22" s="3">
        <f t="shared" si="3"/>
        <v>2021</v>
      </c>
    </row>
    <row r="23" spans="1:10" hidden="1" x14ac:dyDescent="0.25">
      <c r="A23" s="421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20">
        <v>256666</v>
      </c>
      <c r="F23" s="3" t="str">
        <f>IFERROR(VLOOKUP(E23,BD!$L$2:$Q$66,2,0),0)</f>
        <v>COCA-COLA PET 2.25LX2 RF</v>
      </c>
      <c r="G23" s="417">
        <v>324</v>
      </c>
      <c r="H23" s="3">
        <f>+IFERROR(VLOOKUP(E23,BD!$L$2:$Q$66,6,0),0)</f>
        <v>162</v>
      </c>
      <c r="I23" s="96">
        <f>IFERROR(G23*VLOOKUP($E23,BD!$L$2:$Q$66,5,0),0)</f>
        <v>55.080000000000005</v>
      </c>
      <c r="J23" s="3">
        <f t="shared" si="3"/>
        <v>2021</v>
      </c>
    </row>
    <row r="24" spans="1:10" hidden="1" x14ac:dyDescent="0.25">
      <c r="A24" s="421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20">
        <v>256601</v>
      </c>
      <c r="F24" s="3" t="str">
        <f>IFERROR(VLOOKUP(E24,BD!$L$2:$Q$66,2,0),0)</f>
        <v>INCA KOLA PET 2.25LX2 RF</v>
      </c>
      <c r="G24" s="417">
        <v>324</v>
      </c>
      <c r="H24" s="3">
        <f>+IFERROR(VLOOKUP(E24,BD!$L$2:$Q$66,6,0),0)</f>
        <v>162</v>
      </c>
      <c r="I24" s="96">
        <f>IFERROR(G24*VLOOKUP($E24,BD!$L$2:$Q$66,5,0),0)</f>
        <v>55.080000000000005</v>
      </c>
      <c r="J24" s="3">
        <f t="shared" si="3"/>
        <v>2021</v>
      </c>
    </row>
    <row r="25" spans="1:10" hidden="1" x14ac:dyDescent="0.25">
      <c r="A25" s="421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20">
        <v>256676</v>
      </c>
      <c r="F25" s="3" t="str">
        <f>IFERROR(VLOOKUP(E25,BD!$L$2:$Q$66,2,0),0)</f>
        <v>TWO PACK CC PFM 3LX2 - RFCC</v>
      </c>
      <c r="G25" s="417">
        <v>240</v>
      </c>
      <c r="H25" s="3">
        <f>+IFERROR(VLOOKUP(E25,BD!$L$2:$Q$66,6,0),0)</f>
        <v>120</v>
      </c>
      <c r="I25" s="96">
        <f>IFERROR(G25*VLOOKUP($E25,BD!$L$2:$Q$66,5,0),0)</f>
        <v>40.800000000000004</v>
      </c>
      <c r="J25" s="3">
        <f t="shared" si="3"/>
        <v>2021</v>
      </c>
    </row>
    <row r="26" spans="1:10" hidden="1" x14ac:dyDescent="0.25">
      <c r="A26" s="421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20">
        <v>256674</v>
      </c>
      <c r="F26" s="3" t="str">
        <f>IFERROR(VLOOKUP(E26,BD!$L$2:$Q$66,2,0),0)</f>
        <v>COCA-COLA PET 1.5LX2 RF</v>
      </c>
      <c r="G26" s="417">
        <v>792</v>
      </c>
      <c r="H26" s="3">
        <f>+IFERROR(VLOOKUP(E26,BD!$L$2:$Q$66,6,0),0)</f>
        <v>198</v>
      </c>
      <c r="I26" s="96">
        <f>IFERROR(G26*VLOOKUP($E26,BD!$L$2:$Q$66,5,0),0)</f>
        <v>134.64000000000001</v>
      </c>
      <c r="J26" s="3">
        <f t="shared" si="3"/>
        <v>2021</v>
      </c>
    </row>
    <row r="27" spans="1:10" hidden="1" x14ac:dyDescent="0.25">
      <c r="A27" s="421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20">
        <v>256675</v>
      </c>
      <c r="F27" s="3" t="str">
        <f>IFERROR(VLOOKUP(E27,BD!$L$2:$Q$66,2,0),0)</f>
        <v>INCA KOLA PET 1.5LX2 RF</v>
      </c>
      <c r="G27" s="417">
        <v>792</v>
      </c>
      <c r="H27" s="3">
        <f>+IFERROR(VLOOKUP(E27,BD!$L$2:$Q$66,6,0),0)</f>
        <v>198</v>
      </c>
      <c r="I27" s="96">
        <f>IFERROR(G27*VLOOKUP($E27,BD!$L$2:$Q$66,5,0),0)</f>
        <v>134.64000000000001</v>
      </c>
      <c r="J27" s="3">
        <f t="shared" si="3"/>
        <v>2021</v>
      </c>
    </row>
    <row r="28" spans="1:10" hidden="1" x14ac:dyDescent="0.25">
      <c r="A28" s="421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20">
        <v>256677</v>
      </c>
      <c r="F28" s="3" t="str">
        <f>IFERROR(VLOOKUP(E28,BD!$L$2:$Q$66,2,0),0)</f>
        <v>TWO PACK CC + IK PFM 3LX2 - RFNN</v>
      </c>
      <c r="G28" s="417">
        <v>480</v>
      </c>
      <c r="H28" s="3">
        <f>+IFERROR(VLOOKUP(E28,BD!$L$2:$Q$66,6,0),0)</f>
        <v>120</v>
      </c>
      <c r="I28" s="96">
        <f>IFERROR(G28*VLOOKUP($E28,BD!$L$2:$Q$66,5,0),0)</f>
        <v>81.600000000000009</v>
      </c>
      <c r="J28" s="3">
        <f t="shared" si="3"/>
        <v>2021</v>
      </c>
    </row>
    <row r="29" spans="1:10" hidden="1" x14ac:dyDescent="0.25">
      <c r="A29" s="421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20">
        <v>256652</v>
      </c>
      <c r="F29" s="3" t="str">
        <f>IFERROR(VLOOKUP(E29,BD!$L$2:$Q$66,2,0),0)</f>
        <v>TRIPACK FT NAR+FT KI+SP PET 3L</v>
      </c>
      <c r="G29" s="417">
        <v>810</v>
      </c>
      <c r="H29" s="3">
        <f>+IFERROR(VLOOKUP(E29,BD!$L$2:$Q$66,6,0),0)</f>
        <v>90</v>
      </c>
      <c r="I29" s="96">
        <f>IFERROR(G29*VLOOKUP($E29,BD!$L$2:$Q$66,5,0),0)</f>
        <v>137.70000000000002</v>
      </c>
      <c r="J29" s="3">
        <f t="shared" si="3"/>
        <v>2021</v>
      </c>
    </row>
    <row r="30" spans="1:10" hidden="1" x14ac:dyDescent="0.25">
      <c r="A30" s="421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20">
        <v>256678</v>
      </c>
      <c r="F30" s="3" t="str">
        <f>IFERROR(VLOOKUP(E30,BD!$L$2:$Q$66,2,0),0)</f>
        <v>TRIPACK (CC+IK)PFM+FT PET 3LX3 - RFNN</v>
      </c>
      <c r="G30" s="417">
        <f>13*90</f>
        <v>1170</v>
      </c>
      <c r="H30" s="3">
        <f>+IFERROR(VLOOKUP(E30,BD!$L$2:$Q$66,6,0),0)</f>
        <v>90</v>
      </c>
      <c r="I30" s="96">
        <f>IFERROR(G30*VLOOKUP($E30,BD!$L$2:$Q$66,5,0),0)</f>
        <v>198.9</v>
      </c>
      <c r="J30" s="3">
        <f t="shared" si="3"/>
        <v>2021</v>
      </c>
    </row>
    <row r="31" spans="1:10" hidden="1" x14ac:dyDescent="0.25">
      <c r="A31" s="421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20">
        <v>256681</v>
      </c>
      <c r="F31" s="3" t="str">
        <f>IFERROR(VLOOKUP(E31,BD!$L$2:$Q$66,2,0),0)</f>
        <v>TRIPACK FT NAR+SP+IK RF PET 3L</v>
      </c>
      <c r="G31" s="417">
        <f>3*90</f>
        <v>270</v>
      </c>
      <c r="H31" s="3">
        <f>+IFERROR(VLOOKUP(E31,BD!$L$2:$Q$66,6,0),0)</f>
        <v>90</v>
      </c>
      <c r="I31" s="96">
        <f>IFERROR(G31*VLOOKUP($E31,BD!$L$2:$Q$66,5,0),0)</f>
        <v>45.900000000000006</v>
      </c>
      <c r="J31" s="3">
        <f t="shared" si="3"/>
        <v>2021</v>
      </c>
    </row>
    <row r="32" spans="1:10" hidden="1" x14ac:dyDescent="0.25">
      <c r="A32" s="421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20">
        <v>256709</v>
      </c>
      <c r="F32" s="3" t="str">
        <f>IFERROR(VLOOKUP(E32,BD!$L$2:$Q$66,2,0),0)</f>
        <v>POWERADE ION4 MORA AZ PET473X6 MOD(STCK)</v>
      </c>
      <c r="G32" s="417">
        <v>225</v>
      </c>
      <c r="H32" s="3">
        <f>+IFERROR(VLOOKUP(E32,BD!$L$2:$Q$66,6,0),0)</f>
        <v>225</v>
      </c>
      <c r="I32" s="96">
        <f>IFERROR(G32*VLOOKUP($E32,BD!$L$2:$Q$66,5,0),0)</f>
        <v>90</v>
      </c>
      <c r="J32" s="3">
        <f t="shared" si="3"/>
        <v>2021</v>
      </c>
    </row>
    <row r="33" spans="1:10" hidden="1" x14ac:dyDescent="0.25">
      <c r="A33" s="421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20">
        <v>256601</v>
      </c>
      <c r="F33" s="3" t="str">
        <f>IFERROR(VLOOKUP(E33,BD!$L$2:$Q$66,2,0),0)</f>
        <v>INCA KOLA PET 2.25LX2 RF</v>
      </c>
      <c r="G33" s="417">
        <f>2*162</f>
        <v>324</v>
      </c>
      <c r="H33" s="3">
        <f>+IFERROR(VLOOKUP(E33,BD!$L$2:$Q$66,6,0),0)</f>
        <v>162</v>
      </c>
      <c r="I33" s="96">
        <f>IFERROR(G33*VLOOKUP($E33,BD!$L$2:$Q$66,5,0),0)</f>
        <v>55.080000000000005</v>
      </c>
      <c r="J33" s="3">
        <f t="shared" si="3"/>
        <v>2021</v>
      </c>
    </row>
    <row r="34" spans="1:10" hidden="1" x14ac:dyDescent="0.25">
      <c r="A34" s="421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20">
        <v>256488</v>
      </c>
      <c r="F34" s="3" t="str">
        <f>IFERROR(VLOOKUP(E34,BD!$L$2:$Q$66,2,0),0)</f>
        <v>INCA KOLA PET 3LX2 - RF</v>
      </c>
      <c r="G34" s="417">
        <v>480</v>
      </c>
      <c r="H34" s="3">
        <f>+IFERROR(VLOOKUP(E34,BD!$L$2:$Q$66,6,0),0)</f>
        <v>120</v>
      </c>
      <c r="I34" s="96">
        <f>IFERROR(G34*VLOOKUP($E34,BD!$L$2:$Q$66,5,0),0)</f>
        <v>81.600000000000009</v>
      </c>
      <c r="J34" s="3">
        <f t="shared" si="3"/>
        <v>2021</v>
      </c>
    </row>
    <row r="35" spans="1:10" s="9" customFormat="1" hidden="1" x14ac:dyDescent="0.25">
      <c r="A35" s="421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20">
        <v>254853</v>
      </c>
      <c r="F35" s="3" t="str">
        <f>IFERROR(VLOOKUP(E35,BD!$L$2:$Q$66,2,0),0)</f>
        <v>INCA KOLA SIN AZUCAR PET 1.5LX2</v>
      </c>
      <c r="G35" s="417">
        <v>396</v>
      </c>
      <c r="H35" s="3">
        <f>+IFERROR(VLOOKUP(E35,BD!$L$2:$Q$66,6,0),0)</f>
        <v>198</v>
      </c>
      <c r="I35" s="96">
        <f>IFERROR(G35*VLOOKUP($E35,BD!$L$2:$Q$66,5,0),0)</f>
        <v>67.320000000000007</v>
      </c>
      <c r="J35" s="3">
        <f t="shared" si="3"/>
        <v>2021</v>
      </c>
    </row>
    <row r="36" spans="1:10" hidden="1" x14ac:dyDescent="0.25">
      <c r="A36" s="421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20">
        <v>256676</v>
      </c>
      <c r="F36" s="3" t="str">
        <f>IFERROR(VLOOKUP(E36,BD!$L$2:$Q$66,2,0),0)</f>
        <v>TWO PACK CC PFM 3LX2 - RFCC</v>
      </c>
      <c r="G36" s="417">
        <v>240</v>
      </c>
      <c r="H36" s="3">
        <f>+IFERROR(VLOOKUP(E36,BD!$L$2:$Q$66,6,0),0)</f>
        <v>120</v>
      </c>
      <c r="I36" s="96">
        <f>IFERROR(G36*VLOOKUP($E36,BD!$L$2:$Q$66,5,0),0)</f>
        <v>40.800000000000004</v>
      </c>
      <c r="J36" s="3">
        <f t="shared" si="3"/>
        <v>2021</v>
      </c>
    </row>
    <row r="37" spans="1:10" hidden="1" x14ac:dyDescent="0.25">
      <c r="A37" s="421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20">
        <v>256682</v>
      </c>
      <c r="F37" s="3" t="str">
        <f>IFERROR(VLOOKUP(E37,BD!$L$2:$Q$66,2,0),0)</f>
        <v>TRIPACK (FT NAR+SP)PET+IK RF PFM 3L</v>
      </c>
      <c r="G37" s="417">
        <f>90*2</f>
        <v>180</v>
      </c>
      <c r="H37" s="3">
        <f>+IFERROR(VLOOKUP(E37,BD!$L$2:$Q$66,6,0),0)</f>
        <v>90</v>
      </c>
      <c r="I37" s="96">
        <f>IFERROR(G37*VLOOKUP($E37,BD!$L$2:$Q$66,5,0),0)</f>
        <v>30.6</v>
      </c>
      <c r="J37" s="3">
        <f t="shared" si="3"/>
        <v>2021</v>
      </c>
    </row>
    <row r="38" spans="1:10" hidden="1" x14ac:dyDescent="0.25">
      <c r="A38" s="421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20">
        <v>256678</v>
      </c>
      <c r="F38" s="3" t="str">
        <f>IFERROR(VLOOKUP(E38,BD!$L$2:$Q$66,2,0),0)</f>
        <v>TRIPACK (CC+IK)PFM+FT PET 3LX3 - RFNN</v>
      </c>
      <c r="G38" s="417">
        <f>24*90</f>
        <v>2160</v>
      </c>
      <c r="H38" s="3">
        <f>+IFERROR(VLOOKUP(E38,BD!$L$2:$Q$66,6,0),0)</f>
        <v>90</v>
      </c>
      <c r="I38" s="96">
        <f>IFERROR(G38*VLOOKUP($E38,BD!$L$2:$Q$66,5,0),0)</f>
        <v>367.20000000000005</v>
      </c>
      <c r="J38" s="3">
        <f t="shared" si="3"/>
        <v>2021</v>
      </c>
    </row>
    <row r="39" spans="1:10" hidden="1" x14ac:dyDescent="0.25">
      <c r="A39" s="421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20">
        <v>251429</v>
      </c>
      <c r="F39" s="3" t="str">
        <f>IFERROR(VLOOKUP(E39,BD!$L$2:$Q$66,2,0),0)</f>
        <v>SAN LUIS SIN GAS PET2500X6 STICKER</v>
      </c>
      <c r="G39" s="417">
        <v>216</v>
      </c>
      <c r="H39" s="3">
        <f>+IFERROR(VLOOKUP(E39,BD!$L$2:$Q$66,6,0),0)</f>
        <v>48</v>
      </c>
      <c r="I39" s="96">
        <f>IFERROR(G39*VLOOKUP($E39,BD!$L$2:$Q$66,5,0),0)</f>
        <v>86.4</v>
      </c>
      <c r="J39" s="3">
        <f t="shared" si="3"/>
        <v>2021</v>
      </c>
    </row>
    <row r="40" spans="1:10" hidden="1" x14ac:dyDescent="0.25">
      <c r="A40" s="421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20">
        <v>256708</v>
      </c>
      <c r="F40" s="3" t="str">
        <f>IFERROR(VLOOKUP(E40,BD!$L$2:$Q$66,2,0),0)</f>
        <v>POWERADE ION4 FRUTA PET473X6 MOD (STICK)</v>
      </c>
      <c r="G40" s="417">
        <v>225</v>
      </c>
      <c r="H40" s="3">
        <f>+IFERROR(VLOOKUP(E40,BD!$L$2:$Q$66,6,0),0)</f>
        <v>225</v>
      </c>
      <c r="I40" s="96">
        <f>IFERROR(G40*VLOOKUP($E40,BD!$L$2:$Q$66,5,0),0)</f>
        <v>90</v>
      </c>
      <c r="J40" s="3">
        <f t="shared" si="3"/>
        <v>2021</v>
      </c>
    </row>
    <row r="41" spans="1:10" hidden="1" x14ac:dyDescent="0.25">
      <c r="A41" s="421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6">
        <v>256709</v>
      </c>
      <c r="F41" s="3" t="str">
        <f>IFERROR(VLOOKUP(E41,BD!$L$2:$Q$66,2,0),0)</f>
        <v>POWERADE ION4 MORA AZ PET473X6 MOD(STCK)</v>
      </c>
      <c r="G41" s="409">
        <v>225</v>
      </c>
      <c r="H41" s="3">
        <f>+IFERROR(VLOOKUP(E41,BD!$L$2:$Q$66,6,0),0)</f>
        <v>225</v>
      </c>
      <c r="I41" s="96">
        <f>IFERROR(G41*VLOOKUP($E41,BD!$L$2:$Q$66,5,0),0)</f>
        <v>90</v>
      </c>
      <c r="J41" s="3">
        <f t="shared" si="3"/>
        <v>2021</v>
      </c>
    </row>
    <row r="42" spans="1:10" hidden="1" x14ac:dyDescent="0.25">
      <c r="A42" s="421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6">
        <v>256652</v>
      </c>
      <c r="F42" s="3" t="str">
        <f>IFERROR(VLOOKUP(E42,BD!$L$2:$Q$66,2,0),0)</f>
        <v>TRIPACK FT NAR+FT KI+SP PET 3L</v>
      </c>
      <c r="G42" s="409">
        <f>90*8</f>
        <v>720</v>
      </c>
      <c r="H42" s="3">
        <f>+IFERROR(VLOOKUP(E42,BD!$L$2:$Q$66,6,0),0)</f>
        <v>90</v>
      </c>
      <c r="I42" s="96">
        <f>IFERROR(G42*VLOOKUP($E42,BD!$L$2:$Q$66,5,0),0)</f>
        <v>122.4</v>
      </c>
      <c r="J42" s="3">
        <f t="shared" si="3"/>
        <v>2021</v>
      </c>
    </row>
    <row r="43" spans="1:10" hidden="1" x14ac:dyDescent="0.25">
      <c r="A43" s="421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6">
        <v>251633</v>
      </c>
      <c r="F43" s="3" t="str">
        <f>IFERROR(VLOOKUP(E43,BD!$L$2:$Q$66,2,0),0)</f>
        <v>SAN LUIS CON GAS PET 625MLX6</v>
      </c>
      <c r="G43" s="428">
        <f>3*180</f>
        <v>540</v>
      </c>
      <c r="H43" s="3">
        <f>+IFERROR(VLOOKUP(E43,BD!$L$2:$Q$66,6,0),0)</f>
        <v>180</v>
      </c>
      <c r="I43" s="96">
        <f>IFERROR(G43*VLOOKUP($E43,BD!$L$2:$Q$66,5,0),0)</f>
        <v>226.79999999999998</v>
      </c>
      <c r="J43" s="3">
        <f t="shared" si="3"/>
        <v>2021</v>
      </c>
    </row>
    <row r="44" spans="1:10" hidden="1" x14ac:dyDescent="0.25">
      <c r="A44" s="421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20">
        <v>251466</v>
      </c>
      <c r="F44" s="3">
        <f>IFERROR(VLOOKUP(E44,BD!$L$2:$Q$66,2,0),0)</f>
        <v>0</v>
      </c>
      <c r="G44" s="417">
        <f>198*4</f>
        <v>792</v>
      </c>
      <c r="H44" s="3">
        <f>+IFERROR(VLOOKUP(E44,BD!$L$2:$Q$66,6,0),0)</f>
        <v>0</v>
      </c>
      <c r="I44" s="96">
        <f>IFERROR(G44*VLOOKUP($E44,BD!$L$2:$Q$66,5,0),0)</f>
        <v>0</v>
      </c>
      <c r="J44" s="3">
        <f t="shared" si="3"/>
        <v>2021</v>
      </c>
    </row>
    <row r="45" spans="1:10" hidden="1" x14ac:dyDescent="0.25">
      <c r="A45" s="421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20">
        <v>256616</v>
      </c>
      <c r="F45" s="3" t="str">
        <f>IFERROR(VLOOKUP(E45,BD!$L$2:$Q$66,2,0),0)</f>
        <v>TWO PACK SCHWEPPES CITRUS PET 1.5LX2</v>
      </c>
      <c r="G45" s="417">
        <f>198*4</f>
        <v>792</v>
      </c>
      <c r="H45" s="3">
        <f>+IFERROR(VLOOKUP(E45,BD!$L$2:$Q$66,6,0),0)</f>
        <v>198</v>
      </c>
      <c r="I45" s="96">
        <f>IFERROR(G45*VLOOKUP($E45,BD!$L$2:$Q$66,5,0),0)</f>
        <v>134.64000000000001</v>
      </c>
      <c r="J45" s="3">
        <f t="shared" si="3"/>
        <v>2021</v>
      </c>
    </row>
    <row r="46" spans="1:10" hidden="1" x14ac:dyDescent="0.25">
      <c r="A46" s="421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20">
        <v>256617</v>
      </c>
      <c r="F46" s="3" t="str">
        <f>IFERROR(VLOOKUP(E46,BD!$L$2:$Q$66,2,0),0)</f>
        <v>TWO PACK SCHWEPPES GINGER ALE PET 1.5LX2</v>
      </c>
      <c r="G46" s="417">
        <f>198*3</f>
        <v>594</v>
      </c>
      <c r="H46" s="3">
        <f>+IFERROR(VLOOKUP(E46,BD!$L$2:$Q$66,6,0),0)</f>
        <v>198</v>
      </c>
      <c r="I46" s="96">
        <f>IFERROR(G46*VLOOKUP($E46,BD!$L$2:$Q$66,5,0),0)</f>
        <v>100.98</v>
      </c>
      <c r="J46" s="3">
        <f t="shared" si="3"/>
        <v>2021</v>
      </c>
    </row>
    <row r="47" spans="1:10" hidden="1" x14ac:dyDescent="0.25">
      <c r="A47" s="421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20">
        <v>256676</v>
      </c>
      <c r="F47" s="3" t="str">
        <f>IFERROR(VLOOKUP(E47,BD!$L$2:$Q$66,2,0),0)</f>
        <v>TWO PACK CC PFM 3LX2 - RFCC</v>
      </c>
      <c r="G47" s="417">
        <f>120*5</f>
        <v>600</v>
      </c>
      <c r="H47" s="3">
        <f>+IFERROR(VLOOKUP(E47,BD!$L$2:$Q$66,6,0),0)</f>
        <v>120</v>
      </c>
      <c r="I47" s="96">
        <f>IFERROR(G47*VLOOKUP($E47,BD!$L$2:$Q$66,5,0),0)</f>
        <v>102.00000000000001</v>
      </c>
      <c r="J47" s="3">
        <f t="shared" si="3"/>
        <v>2021</v>
      </c>
    </row>
    <row r="48" spans="1:10" hidden="1" x14ac:dyDescent="0.25">
      <c r="A48" s="421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20">
        <v>256679</v>
      </c>
      <c r="F48" s="3" t="str">
        <f>IFERROR(VLOOKUP(E48,BD!$L$2:$Q$66,2,0),0)</f>
        <v>TRIPACK CC+IK+IK PFM 3LX3 - RFNN</v>
      </c>
      <c r="G48" s="417">
        <v>360</v>
      </c>
      <c r="H48" s="3">
        <f>+IFERROR(VLOOKUP(E48,BD!$L$2:$Q$66,6,0),0)</f>
        <v>90</v>
      </c>
      <c r="I48" s="96">
        <f>IFERROR(G48*VLOOKUP($E48,BD!$L$2:$Q$66,5,0),0)</f>
        <v>61.2</v>
      </c>
      <c r="J48" s="3">
        <f t="shared" si="3"/>
        <v>2021</v>
      </c>
    </row>
    <row r="49" spans="1:10" hidden="1" x14ac:dyDescent="0.25">
      <c r="A49" s="421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20">
        <v>256678</v>
      </c>
      <c r="F49" s="3" t="str">
        <f>IFERROR(VLOOKUP(E49,BD!$L$2:$Q$66,2,0),0)</f>
        <v>TRIPACK (CC+IK)PFM+FT PET 3LX3 - RFNN</v>
      </c>
      <c r="G49" s="417">
        <v>450</v>
      </c>
      <c r="H49" s="3">
        <f>+IFERROR(VLOOKUP(E49,BD!$L$2:$Q$66,6,0),0)</f>
        <v>90</v>
      </c>
      <c r="I49" s="96">
        <f>IFERROR(G49*VLOOKUP($E49,BD!$L$2:$Q$66,5,0),0)</f>
        <v>76.5</v>
      </c>
      <c r="J49" s="3">
        <f t="shared" si="3"/>
        <v>2021</v>
      </c>
    </row>
    <row r="50" spans="1:10" hidden="1" x14ac:dyDescent="0.25">
      <c r="A50" s="421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20">
        <v>251633</v>
      </c>
      <c r="F50" s="3" t="str">
        <f>IFERROR(VLOOKUP(E50,BD!$L$2:$Q$66,2,0),0)</f>
        <v>SAN LUIS CON GAS PET 625MLX6</v>
      </c>
      <c r="G50" s="417">
        <v>180</v>
      </c>
      <c r="H50" s="3">
        <f>+IFERROR(VLOOKUP(E50,BD!$L$2:$Q$66,6,0),0)</f>
        <v>180</v>
      </c>
      <c r="I50" s="96">
        <f>IFERROR(G50*VLOOKUP($E50,BD!$L$2:$Q$66,5,0),0)</f>
        <v>75.599999999999994</v>
      </c>
      <c r="J50" s="3">
        <f t="shared" si="3"/>
        <v>2021</v>
      </c>
    </row>
    <row r="51" spans="1:10" hidden="1" x14ac:dyDescent="0.25">
      <c r="A51" s="421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20">
        <v>751315</v>
      </c>
      <c r="F51" s="3" t="str">
        <f>IFERROR(VLOOKUP(E51,BD!$L$2:$Q$66,2,0),0)</f>
        <v>MONSTER ENERGY 473MLX4</v>
      </c>
      <c r="G51" s="417">
        <f>420*3</f>
        <v>1260</v>
      </c>
      <c r="H51" s="3">
        <f>+IFERROR(VLOOKUP(E51,BD!$L$2:$Q$66,6,0),0)</f>
        <v>420</v>
      </c>
      <c r="I51" s="96">
        <f>IFERROR(G51*VLOOKUP($E51,BD!$L$2:$Q$66,5,0),0)</f>
        <v>529.19999999999993</v>
      </c>
      <c r="J51" s="3">
        <f t="shared" si="3"/>
        <v>2021</v>
      </c>
    </row>
    <row r="52" spans="1:10" hidden="1" x14ac:dyDescent="0.25">
      <c r="A52" s="421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20">
        <v>251429</v>
      </c>
      <c r="F52" s="3" t="str">
        <f>IFERROR(VLOOKUP(E52,BD!$L$2:$Q$66,2,0),0)</f>
        <v>SAN LUIS SIN GAS PET2500X6 STICKER</v>
      </c>
      <c r="G52" s="417">
        <v>48</v>
      </c>
      <c r="H52" s="3">
        <f>+IFERROR(VLOOKUP(E52,BD!$L$2:$Q$66,6,0),0)</f>
        <v>48</v>
      </c>
      <c r="I52" s="96">
        <f>IFERROR(G52*VLOOKUP($E52,BD!$L$2:$Q$66,5,0),0)</f>
        <v>19.200000000000003</v>
      </c>
      <c r="J52" s="3">
        <f t="shared" si="3"/>
        <v>2021</v>
      </c>
    </row>
    <row r="53" spans="1:10" hidden="1" x14ac:dyDescent="0.25">
      <c r="A53" s="421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20">
        <v>256379</v>
      </c>
      <c r="F53" s="3" t="str">
        <f>IFERROR(VLOOKUP(E53,BD!$L$2:$Q$66,2,0),0)</f>
        <v>INCA KOLA VR 625MLX12 - STICKER</v>
      </c>
      <c r="G53" s="417">
        <v>50</v>
      </c>
      <c r="H53" s="3">
        <f>+IFERROR(VLOOKUP(E53,BD!$L$2:$Q$66,6,0),0)</f>
        <v>50</v>
      </c>
      <c r="I53" s="96">
        <f>IFERROR(G53*VLOOKUP($E53,BD!$L$2:$Q$66,5,0),0)</f>
        <v>20</v>
      </c>
      <c r="J53" s="3">
        <f t="shared" si="3"/>
        <v>2021</v>
      </c>
    </row>
    <row r="54" spans="1:10" hidden="1" x14ac:dyDescent="0.25">
      <c r="A54" s="421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20">
        <v>256695</v>
      </c>
      <c r="F54" s="3" t="str">
        <f>IFERROR(VLOOKUP(E54,BD!$L$2:$Q$66,2,0),0)</f>
        <v>POWERADE 3MORA+3FRUT PET 473MLX6</v>
      </c>
      <c r="G54" s="417">
        <v>225</v>
      </c>
      <c r="H54" s="3">
        <f>+IFERROR(VLOOKUP(E54,BD!$L$2:$Q$66,6,0),0)</f>
        <v>225</v>
      </c>
      <c r="I54" s="96">
        <f>IFERROR(G54*VLOOKUP($E54,BD!$L$2:$Q$66,5,0),0)</f>
        <v>94.5</v>
      </c>
      <c r="J54" s="3">
        <f t="shared" si="3"/>
        <v>2021</v>
      </c>
    </row>
    <row r="55" spans="1:10" hidden="1" x14ac:dyDescent="0.25">
      <c r="A55" s="421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20">
        <v>256708</v>
      </c>
      <c r="F55" s="3" t="str">
        <f>IFERROR(VLOOKUP(E55,BD!$L$2:$Q$66,2,0),0)</f>
        <v>POWERADE ION4 FRUTA PET473X6 MOD (STICK)</v>
      </c>
      <c r="G55" s="417">
        <v>450</v>
      </c>
      <c r="H55" s="3">
        <f>+IFERROR(VLOOKUP(E55,BD!$L$2:$Q$66,6,0),0)</f>
        <v>225</v>
      </c>
      <c r="I55" s="96">
        <f>IFERROR(G55*VLOOKUP($E55,BD!$L$2:$Q$66,5,0),0)</f>
        <v>180</v>
      </c>
      <c r="J55" s="3">
        <f t="shared" si="3"/>
        <v>2021</v>
      </c>
    </row>
    <row r="56" spans="1:10" hidden="1" x14ac:dyDescent="0.25">
      <c r="A56" s="421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7">
        <v>256680</v>
      </c>
      <c r="F56" s="3" t="str">
        <f>IFERROR(VLOOKUP(E56,BD!$L$2:$Q$66,2,0),0)</f>
        <v>TRIPACK CC+CC+IK PFM 3LX3 - RFNN</v>
      </c>
      <c r="G56" s="409">
        <f>90*2</f>
        <v>180</v>
      </c>
      <c r="H56" s="3">
        <f>+IFERROR(VLOOKUP(E56,BD!$L$2:$Q$66,6,0),0)</f>
        <v>90</v>
      </c>
      <c r="I56" s="96">
        <f>IFERROR(G56*VLOOKUP($E56,BD!$L$2:$Q$66,5,0),0)</f>
        <v>30.6</v>
      </c>
      <c r="J56" s="3">
        <f t="shared" si="3"/>
        <v>2021</v>
      </c>
    </row>
    <row r="57" spans="1:10" hidden="1" x14ac:dyDescent="0.25">
      <c r="A57" s="421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7">
        <v>256695</v>
      </c>
      <c r="F57" s="3" t="str">
        <f>IFERROR(VLOOKUP(E57,BD!$L$2:$Q$66,2,0),0)</f>
        <v>POWERADE 3MORA+3FRUT PET 473MLX6</v>
      </c>
      <c r="G57" s="409">
        <f>225*2</f>
        <v>450</v>
      </c>
      <c r="H57" s="3">
        <f>+IFERROR(VLOOKUP(E57,BD!$L$2:$Q$66,6,0),0)</f>
        <v>225</v>
      </c>
      <c r="I57" s="96">
        <f>IFERROR(G57*VLOOKUP($E57,BD!$L$2:$Q$66,5,0),0)</f>
        <v>189</v>
      </c>
      <c r="J57" s="3">
        <f t="shared" si="3"/>
        <v>2021</v>
      </c>
    </row>
    <row r="58" spans="1:10" hidden="1" x14ac:dyDescent="0.25">
      <c r="A58" s="421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7">
        <v>256708</v>
      </c>
      <c r="F58" s="3" t="str">
        <f>IFERROR(VLOOKUP(E58,BD!$L$2:$Q$66,2,0),0)</f>
        <v>POWERADE ION4 FRUTA PET473X6 MOD (STICK)</v>
      </c>
      <c r="G58" s="409">
        <f>225*2</f>
        <v>450</v>
      </c>
      <c r="H58" s="3">
        <f>+IFERROR(VLOOKUP(E58,BD!$L$2:$Q$66,6,0),0)</f>
        <v>225</v>
      </c>
      <c r="I58" s="96">
        <f>IFERROR(G58*VLOOKUP($E58,BD!$L$2:$Q$66,5,0),0)</f>
        <v>180</v>
      </c>
      <c r="J58" s="3">
        <f t="shared" si="3"/>
        <v>2021</v>
      </c>
    </row>
    <row r="59" spans="1:10" hidden="1" x14ac:dyDescent="0.25">
      <c r="A59" s="421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7">
        <v>256709</v>
      </c>
      <c r="F59" s="3" t="str">
        <f>IFERROR(VLOOKUP(E59,BD!$L$2:$Q$66,2,0),0)</f>
        <v>POWERADE ION4 MORA AZ PET473X6 MOD(STCK)</v>
      </c>
      <c r="G59" s="409">
        <f>225*3</f>
        <v>675</v>
      </c>
      <c r="H59" s="3">
        <f>+IFERROR(VLOOKUP(E59,BD!$L$2:$Q$66,6,0),0)</f>
        <v>225</v>
      </c>
      <c r="I59" s="96">
        <f>IFERROR(G59*VLOOKUP($E59,BD!$L$2:$Q$66,5,0),0)</f>
        <v>270</v>
      </c>
      <c r="J59" s="3">
        <f t="shared" si="3"/>
        <v>2021</v>
      </c>
    </row>
    <row r="60" spans="1:10" hidden="1" x14ac:dyDescent="0.25">
      <c r="A60" s="421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20">
        <v>256488</v>
      </c>
      <c r="F60" s="3" t="str">
        <f>IFERROR(VLOOKUP(E60,BD!$L$2:$Q$66,2,0),0)</f>
        <v>INCA KOLA PET 3LX2 - RF</v>
      </c>
      <c r="G60" s="417">
        <v>240</v>
      </c>
      <c r="H60" s="3">
        <f>+IFERROR(VLOOKUP(E60,BD!$L$2:$Q$66,6,0),0)</f>
        <v>120</v>
      </c>
      <c r="I60" s="96">
        <f>IFERROR(G60*VLOOKUP($E60,BD!$L$2:$Q$66,5,0),0)</f>
        <v>40.800000000000004</v>
      </c>
      <c r="J60" s="3">
        <f t="shared" si="3"/>
        <v>2021</v>
      </c>
    </row>
    <row r="61" spans="1:10" hidden="1" x14ac:dyDescent="0.25">
      <c r="A61" s="421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20">
        <v>254853</v>
      </c>
      <c r="F61" s="3" t="str">
        <f>IFERROR(VLOOKUP(E61,BD!$L$2:$Q$66,2,0),0)</f>
        <v>INCA KOLA SIN AZUCAR PET 1.5LX2</v>
      </c>
      <c r="G61" s="418">
        <f>198*3</f>
        <v>594</v>
      </c>
      <c r="H61" s="3">
        <f>+IFERROR(VLOOKUP(E61,BD!$L$2:$Q$66,6,0),0)</f>
        <v>198</v>
      </c>
      <c r="I61" s="96">
        <f>IFERROR(G61*VLOOKUP($E61,BD!$L$2:$Q$66,5,0),0)</f>
        <v>100.98</v>
      </c>
      <c r="J61" s="3">
        <f t="shared" si="3"/>
        <v>2021</v>
      </c>
    </row>
    <row r="62" spans="1:10" hidden="1" x14ac:dyDescent="0.25">
      <c r="A62" s="421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20">
        <v>251429</v>
      </c>
      <c r="F62" s="3" t="str">
        <f>IFERROR(VLOOKUP(E62,BD!$L$2:$Q$66,2,0),0)</f>
        <v>SAN LUIS SIN GAS PET2500X6 STICKER</v>
      </c>
      <c r="G62" s="417">
        <f>6*48</f>
        <v>288</v>
      </c>
      <c r="H62" s="3">
        <f>+IFERROR(VLOOKUP(E62,BD!$L$2:$Q$66,6,0),0)</f>
        <v>48</v>
      </c>
      <c r="I62" s="96">
        <f>IFERROR(G62*VLOOKUP($E62,BD!$L$2:$Q$66,5,0),0)</f>
        <v>115.2</v>
      </c>
      <c r="J62" s="3">
        <f t="shared" si="3"/>
        <v>2021</v>
      </c>
    </row>
    <row r="63" spans="1:10" hidden="1" x14ac:dyDescent="0.25">
      <c r="A63" s="421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20">
        <v>256695</v>
      </c>
      <c r="F63" s="3" t="str">
        <f>IFERROR(VLOOKUP(E63,BD!$L$2:$Q$66,2,0),0)</f>
        <v>POWERADE 3MORA+3FRUT PET 473MLX6</v>
      </c>
      <c r="G63" s="417">
        <f>2*225</f>
        <v>450</v>
      </c>
      <c r="H63" s="3">
        <f>+IFERROR(VLOOKUP(E63,BD!$L$2:$Q$66,6,0),0)</f>
        <v>225</v>
      </c>
      <c r="I63" s="96">
        <f>IFERROR(G63*VLOOKUP($E63,BD!$L$2:$Q$66,5,0),0)</f>
        <v>189</v>
      </c>
      <c r="J63" s="3">
        <f t="shared" si="3"/>
        <v>2021</v>
      </c>
    </row>
    <row r="64" spans="1:10" hidden="1" x14ac:dyDescent="0.25">
      <c r="A64" s="421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20">
        <v>751315</v>
      </c>
      <c r="F64" s="3" t="str">
        <f>IFERROR(VLOOKUP(E64,BD!$L$2:$Q$66,2,0),0)</f>
        <v>MONSTER ENERGY 473MLX4</v>
      </c>
      <c r="G64" s="417">
        <v>420</v>
      </c>
      <c r="H64" s="3">
        <f>+IFERROR(VLOOKUP(E64,BD!$L$2:$Q$66,6,0),0)</f>
        <v>420</v>
      </c>
      <c r="I64" s="96">
        <f>IFERROR(G64*VLOOKUP($E64,BD!$L$2:$Q$66,5,0),0)</f>
        <v>176.4</v>
      </c>
      <c r="J64" s="3">
        <f t="shared" si="3"/>
        <v>2021</v>
      </c>
    </row>
    <row r="65" spans="1:10" hidden="1" x14ac:dyDescent="0.25">
      <c r="A65" s="421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20">
        <v>251633</v>
      </c>
      <c r="F65" s="3" t="str">
        <f>IFERROR(VLOOKUP(E65,BD!$L$2:$Q$66,2,0),0)</f>
        <v>SAN LUIS CON GAS PET 625MLX6</v>
      </c>
      <c r="G65" s="417">
        <v>180</v>
      </c>
      <c r="H65" s="3">
        <f>+IFERROR(VLOOKUP(E65,BD!$L$2:$Q$66,6,0),0)</f>
        <v>180</v>
      </c>
      <c r="I65" s="96">
        <f>IFERROR(G65*VLOOKUP($E65,BD!$L$2:$Q$66,5,0),0)</f>
        <v>75.599999999999994</v>
      </c>
      <c r="J65" s="3">
        <f t="shared" si="3"/>
        <v>2021</v>
      </c>
    </row>
    <row r="66" spans="1:10" hidden="1" x14ac:dyDescent="0.25">
      <c r="A66" s="421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7">
        <v>256488</v>
      </c>
      <c r="F66" s="3" t="str">
        <f>IFERROR(VLOOKUP(E66,BD!$L$2:$Q$66,2,0),0)</f>
        <v>INCA KOLA PET 3LX2 - RF</v>
      </c>
      <c r="G66" s="409">
        <f>120*4</f>
        <v>480</v>
      </c>
      <c r="H66" s="3">
        <f>+IFERROR(VLOOKUP(E66,BD!$L$2:$Q$66,6,0),0)</f>
        <v>120</v>
      </c>
      <c r="I66" s="96">
        <f>IFERROR(G66*VLOOKUP($E66,BD!$L$2:$Q$66,5,0),0)</f>
        <v>81.600000000000009</v>
      </c>
      <c r="J66" s="3">
        <f t="shared" si="3"/>
        <v>2021</v>
      </c>
    </row>
    <row r="67" spans="1:10" hidden="1" x14ac:dyDescent="0.25">
      <c r="A67" s="421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7">
        <v>254853</v>
      </c>
      <c r="F67" s="3" t="str">
        <f>IFERROR(VLOOKUP(E67,BD!$L$2:$Q$66,2,0),0)</f>
        <v>INCA KOLA SIN AZUCAR PET 1.5LX2</v>
      </c>
      <c r="G67" s="409">
        <f>198*2</f>
        <v>396</v>
      </c>
      <c r="H67" s="3">
        <f>+IFERROR(VLOOKUP(E67,BD!$L$2:$Q$66,6,0),0)</f>
        <v>198</v>
      </c>
      <c r="I67" s="96">
        <f>IFERROR(G67*VLOOKUP($E67,BD!$L$2:$Q$66,5,0),0)</f>
        <v>67.320000000000007</v>
      </c>
      <c r="J67" s="3">
        <f t="shared" si="3"/>
        <v>2021</v>
      </c>
    </row>
    <row r="68" spans="1:10" hidden="1" x14ac:dyDescent="0.25">
      <c r="A68" s="421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7">
        <v>256616</v>
      </c>
      <c r="F68" s="3" t="str">
        <f>IFERROR(VLOOKUP(E68,BD!$L$2:$Q$66,2,0),0)</f>
        <v>TWO PACK SCHWEPPES CITRUS PET 1.5LX2</v>
      </c>
      <c r="G68" s="409">
        <f>198*4</f>
        <v>792</v>
      </c>
      <c r="H68" s="3">
        <f>+IFERROR(VLOOKUP(E68,BD!$L$2:$Q$66,6,0),0)</f>
        <v>198</v>
      </c>
      <c r="I68" s="96">
        <f>IFERROR(G68*VLOOKUP($E68,BD!$L$2:$Q$66,5,0),0)</f>
        <v>134.64000000000001</v>
      </c>
      <c r="J68" s="3">
        <f t="shared" ref="J68:J131" si="7">+YEAR(A68)</f>
        <v>2021</v>
      </c>
    </row>
    <row r="69" spans="1:10" hidden="1" x14ac:dyDescent="0.25">
      <c r="A69" s="421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7">
        <v>256652</v>
      </c>
      <c r="F69" s="3" t="str">
        <f>IFERROR(VLOOKUP(E69,BD!$L$2:$Q$66,2,0),0)</f>
        <v>TRIPACK FT NAR+FT KI+SP PET 3L</v>
      </c>
      <c r="G69" s="409">
        <f>90*8</f>
        <v>720</v>
      </c>
      <c r="H69" s="3">
        <f>+IFERROR(VLOOKUP(E69,BD!$L$2:$Q$66,6,0),0)</f>
        <v>90</v>
      </c>
      <c r="I69" s="96">
        <f>IFERROR(G69*VLOOKUP($E69,BD!$L$2:$Q$66,5,0),0)</f>
        <v>122.4</v>
      </c>
      <c r="J69" s="3">
        <f t="shared" si="7"/>
        <v>2021</v>
      </c>
    </row>
    <row r="70" spans="1:10" hidden="1" x14ac:dyDescent="0.25">
      <c r="A70" s="421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7">
        <v>256680</v>
      </c>
      <c r="F70" s="3" t="str">
        <f>IFERROR(VLOOKUP(E70,BD!$L$2:$Q$66,2,0),0)</f>
        <v>TRIPACK CC+CC+IK PFM 3LX3 - RFNN</v>
      </c>
      <c r="G70" s="409">
        <v>90</v>
      </c>
      <c r="H70" s="3">
        <f>+IFERROR(VLOOKUP(E70,BD!$L$2:$Q$66,6,0),0)</f>
        <v>90</v>
      </c>
      <c r="I70" s="96">
        <f>IFERROR(G70*VLOOKUP($E70,BD!$L$2:$Q$66,5,0),0)</f>
        <v>15.3</v>
      </c>
      <c r="J70" s="3">
        <f t="shared" si="7"/>
        <v>2021</v>
      </c>
    </row>
    <row r="71" spans="1:10" hidden="1" x14ac:dyDescent="0.25">
      <c r="A71" s="421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7">
        <v>256379</v>
      </c>
      <c r="F71" s="3" t="str">
        <f>IFERROR(VLOOKUP(E71,BD!$L$2:$Q$66,2,0),0)</f>
        <v>INCA KOLA VR 625MLX12 - STICKER</v>
      </c>
      <c r="G71" s="409">
        <f>50*2</f>
        <v>100</v>
      </c>
      <c r="H71" s="3">
        <f>+IFERROR(VLOOKUP(E71,BD!$L$2:$Q$66,6,0),0)</f>
        <v>50</v>
      </c>
      <c r="I71" s="96">
        <f>IFERROR(G71*VLOOKUP($E71,BD!$L$2:$Q$66,5,0),0)</f>
        <v>40</v>
      </c>
      <c r="J71" s="3">
        <f t="shared" si="7"/>
        <v>2021</v>
      </c>
    </row>
    <row r="72" spans="1:10" hidden="1" x14ac:dyDescent="0.25">
      <c r="A72" s="421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7">
        <v>256695</v>
      </c>
      <c r="F72" s="3" t="str">
        <f>IFERROR(VLOOKUP(E72,BD!$L$2:$Q$66,2,0),0)</f>
        <v>POWERADE 3MORA+3FRUT PET 473MLX6</v>
      </c>
      <c r="G72" s="409">
        <f>225*2</f>
        <v>450</v>
      </c>
      <c r="H72" s="3">
        <f>+IFERROR(VLOOKUP(E72,BD!$L$2:$Q$66,6,0),0)</f>
        <v>225</v>
      </c>
      <c r="I72" s="96">
        <f>IFERROR(G72*VLOOKUP($E72,BD!$L$2:$Q$66,5,0),0)</f>
        <v>189</v>
      </c>
      <c r="J72" s="3">
        <f t="shared" si="7"/>
        <v>2021</v>
      </c>
    </row>
    <row r="73" spans="1:10" hidden="1" x14ac:dyDescent="0.25">
      <c r="A73" s="421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20">
        <v>256617</v>
      </c>
      <c r="F73" s="3" t="str">
        <f>IFERROR(VLOOKUP(E73,BD!$L$2:$Q$66,2,0),0)</f>
        <v>TWO PACK SCHWEPPES GINGER ALE PET 1.5LX2</v>
      </c>
      <c r="G73" s="409">
        <f>198*4</f>
        <v>792</v>
      </c>
      <c r="H73" s="3">
        <f>+IFERROR(VLOOKUP(E73,BD!$L$2:$Q$66,6,0),0)</f>
        <v>198</v>
      </c>
      <c r="I73" s="96">
        <f>IFERROR(G73*VLOOKUP($E73,BD!$L$2:$Q$66,5,0),0)</f>
        <v>134.64000000000001</v>
      </c>
      <c r="J73" s="3">
        <f t="shared" si="7"/>
        <v>2021</v>
      </c>
    </row>
    <row r="74" spans="1:10" s="9" customFormat="1" hidden="1" x14ac:dyDescent="0.25">
      <c r="A74" s="421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20">
        <v>251406</v>
      </c>
      <c r="F74" s="3" t="str">
        <f>IFERROR(VLOOKUP(E74,BD!$L$2:$Q$66,2,0),0)</f>
        <v>COCA-COLA SIN AZUCAR PET 1.5LX2</v>
      </c>
      <c r="G74" s="409">
        <f>198*7</f>
        <v>1386</v>
      </c>
      <c r="H74" s="3">
        <f>+IFERROR(VLOOKUP(E74,BD!$L$2:$Q$66,6,0),0)</f>
        <v>198</v>
      </c>
      <c r="I74" s="96">
        <f>IFERROR(G74*VLOOKUP($E74,BD!$L$2:$Q$66,5,0),0)</f>
        <v>235.62</v>
      </c>
      <c r="J74" s="3">
        <f t="shared" si="7"/>
        <v>2021</v>
      </c>
    </row>
    <row r="75" spans="1:10" s="9" customFormat="1" hidden="1" x14ac:dyDescent="0.25">
      <c r="A75" s="421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20">
        <v>256674</v>
      </c>
      <c r="F75" s="3" t="str">
        <f>IFERROR(VLOOKUP(E75,BD!$L$2:$Q$66,2,0),0)</f>
        <v>COCA-COLA PET 1.5LX2 RF</v>
      </c>
      <c r="G75" s="409">
        <f>198*3</f>
        <v>594</v>
      </c>
      <c r="H75" s="3">
        <f>+IFERROR(VLOOKUP(E75,BD!$L$2:$Q$66,6,0),0)</f>
        <v>198</v>
      </c>
      <c r="I75" s="96">
        <f>IFERROR(G75*VLOOKUP($E75,BD!$L$2:$Q$66,5,0),0)</f>
        <v>100.98</v>
      </c>
      <c r="J75" s="3">
        <f t="shared" si="7"/>
        <v>2021</v>
      </c>
    </row>
    <row r="76" spans="1:10" s="9" customFormat="1" hidden="1" x14ac:dyDescent="0.25">
      <c r="A76" s="421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20">
        <v>251429</v>
      </c>
      <c r="F76" s="3" t="str">
        <f>IFERROR(VLOOKUP(E76,BD!$L$2:$Q$66,2,0),0)</f>
        <v>SAN LUIS SIN GAS PET2500X6 STICKER</v>
      </c>
      <c r="G76" s="409">
        <v>48</v>
      </c>
      <c r="H76" s="3">
        <f>+IFERROR(VLOOKUP(E76,BD!$L$2:$Q$66,6,0),0)</f>
        <v>48</v>
      </c>
      <c r="I76" s="96">
        <f>IFERROR(G76*VLOOKUP($E76,BD!$L$2:$Q$66,5,0),0)</f>
        <v>19.200000000000003</v>
      </c>
      <c r="J76" s="3">
        <f t="shared" si="7"/>
        <v>2021</v>
      </c>
    </row>
    <row r="77" spans="1:10" s="9" customFormat="1" hidden="1" x14ac:dyDescent="0.25">
      <c r="A77" s="421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20">
        <v>256601</v>
      </c>
      <c r="F77" s="3" t="str">
        <f>IFERROR(VLOOKUP(E77,BD!$L$2:$Q$66,2,0),0)</f>
        <v>INCA KOLA PET 2.25LX2 RF</v>
      </c>
      <c r="G77" s="417">
        <v>162</v>
      </c>
      <c r="H77" s="3">
        <f>+IFERROR(VLOOKUP(E77,BD!$L$2:$Q$66,6,0),0)</f>
        <v>162</v>
      </c>
      <c r="I77" s="96">
        <f>IFERROR(G77*VLOOKUP($E77,BD!$L$2:$Q$66,5,0),0)</f>
        <v>27.540000000000003</v>
      </c>
      <c r="J77" s="3">
        <f t="shared" si="7"/>
        <v>2021</v>
      </c>
    </row>
    <row r="78" spans="1:10" s="9" customFormat="1" hidden="1" x14ac:dyDescent="0.25">
      <c r="A78" s="421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20">
        <v>256666</v>
      </c>
      <c r="F78" s="3" t="str">
        <f>IFERROR(VLOOKUP(E78,BD!$L$2:$Q$66,2,0),0)</f>
        <v>COCA-COLA PET 2.25LX2 RF</v>
      </c>
      <c r="G78" s="417">
        <f>2*162</f>
        <v>324</v>
      </c>
      <c r="H78" s="3">
        <f>+IFERROR(VLOOKUP(E78,BD!$L$2:$Q$66,6,0),0)</f>
        <v>162</v>
      </c>
      <c r="I78" s="96">
        <f>IFERROR(G78*VLOOKUP($E78,BD!$L$2:$Q$66,5,0),0)</f>
        <v>55.080000000000005</v>
      </c>
      <c r="J78" s="3">
        <f t="shared" si="7"/>
        <v>2021</v>
      </c>
    </row>
    <row r="79" spans="1:10" s="9" customFormat="1" hidden="1" x14ac:dyDescent="0.25">
      <c r="A79" s="421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20">
        <v>251406</v>
      </c>
      <c r="F79" s="3" t="str">
        <f>IFERROR(VLOOKUP(E79,BD!$L$2:$Q$66,2,0),0)</f>
        <v>COCA-COLA SIN AZUCAR PET 1.5LX2</v>
      </c>
      <c r="G79" s="417">
        <f>198*2</f>
        <v>396</v>
      </c>
      <c r="H79" s="3">
        <f>+IFERROR(VLOOKUP(E79,BD!$L$2:$Q$66,6,0),0)</f>
        <v>198</v>
      </c>
      <c r="I79" s="96">
        <f>IFERROR(G79*VLOOKUP($E79,BD!$L$2:$Q$66,5,0),0)</f>
        <v>67.320000000000007</v>
      </c>
      <c r="J79" s="3">
        <f t="shared" si="7"/>
        <v>2021</v>
      </c>
    </row>
    <row r="80" spans="1:10" s="9" customFormat="1" hidden="1" x14ac:dyDescent="0.25">
      <c r="A80" s="421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20">
        <v>256488</v>
      </c>
      <c r="F80" s="3" t="str">
        <f>IFERROR(VLOOKUP(E80,BD!$L$2:$Q$66,2,0),0)</f>
        <v>INCA KOLA PET 3LX2 - RF</v>
      </c>
      <c r="G80" s="417">
        <f>120*8</f>
        <v>960</v>
      </c>
      <c r="H80" s="3">
        <f>+IFERROR(VLOOKUP(E80,BD!$L$2:$Q$66,6,0),0)</f>
        <v>120</v>
      </c>
      <c r="I80" s="96">
        <f>IFERROR(G80*VLOOKUP($E80,BD!$L$2:$Q$66,5,0),0)</f>
        <v>163.20000000000002</v>
      </c>
      <c r="J80" s="3">
        <f t="shared" si="7"/>
        <v>2021</v>
      </c>
    </row>
    <row r="81" spans="1:10" s="9" customFormat="1" hidden="1" x14ac:dyDescent="0.25">
      <c r="A81" s="421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20">
        <v>254853</v>
      </c>
      <c r="F81" s="3" t="str">
        <f>IFERROR(VLOOKUP(E81,BD!$L$2:$Q$66,2,0),0)</f>
        <v>INCA KOLA SIN AZUCAR PET 1.5LX2</v>
      </c>
      <c r="G81" s="417">
        <f>6*198</f>
        <v>1188</v>
      </c>
      <c r="H81" s="3">
        <f>+IFERROR(VLOOKUP(E81,BD!$L$2:$Q$66,6,0),0)</f>
        <v>198</v>
      </c>
      <c r="I81" s="96">
        <f>IFERROR(G81*VLOOKUP($E81,BD!$L$2:$Q$66,5,0),0)</f>
        <v>201.96</v>
      </c>
      <c r="J81" s="3">
        <f t="shared" si="7"/>
        <v>2021</v>
      </c>
    </row>
    <row r="82" spans="1:10" hidden="1" x14ac:dyDescent="0.25">
      <c r="A82" s="421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20">
        <v>256616</v>
      </c>
      <c r="F82" s="3" t="str">
        <f>IFERROR(VLOOKUP(E82,BD!$L$2:$Q$66,2,0),0)</f>
        <v>TWO PACK SCHWEPPES CITRUS PET 1.5LX2</v>
      </c>
      <c r="G82" s="417">
        <v>198</v>
      </c>
      <c r="H82" s="3">
        <f>+IFERROR(VLOOKUP(E82,BD!$L$2:$Q$66,6,0),0)</f>
        <v>198</v>
      </c>
      <c r="I82" s="96">
        <f>IFERROR(G82*VLOOKUP($E82,BD!$L$2:$Q$66,5,0),0)</f>
        <v>33.660000000000004</v>
      </c>
      <c r="J82" s="3">
        <f t="shared" si="7"/>
        <v>2021</v>
      </c>
    </row>
    <row r="83" spans="1:10" hidden="1" x14ac:dyDescent="0.25">
      <c r="A83" s="421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20">
        <v>256677</v>
      </c>
      <c r="F83" s="3" t="str">
        <f>IFERROR(VLOOKUP(E83,BD!$L$2:$Q$66,2,0),0)</f>
        <v>TWO PACK CC + IK PFM 3LX2 - RFNN</v>
      </c>
      <c r="G83" s="417">
        <v>240</v>
      </c>
      <c r="H83" s="3">
        <f>+IFERROR(VLOOKUP(E83,BD!$L$2:$Q$66,6,0),0)</f>
        <v>120</v>
      </c>
      <c r="I83" s="96">
        <f>IFERROR(G83*VLOOKUP($E83,BD!$L$2:$Q$66,5,0),0)</f>
        <v>40.800000000000004</v>
      </c>
      <c r="J83" s="3">
        <f t="shared" si="7"/>
        <v>2021</v>
      </c>
    </row>
    <row r="84" spans="1:10" hidden="1" x14ac:dyDescent="0.25">
      <c r="A84" s="421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20">
        <v>256680</v>
      </c>
      <c r="F84" s="3" t="str">
        <f>IFERROR(VLOOKUP(E84,BD!$L$2:$Q$66,2,0),0)</f>
        <v>TRIPACK CC+CC+IK PFM 3LX3 - RFNN</v>
      </c>
      <c r="G84" s="417">
        <f>3*90</f>
        <v>270</v>
      </c>
      <c r="H84" s="3">
        <f>+IFERROR(VLOOKUP(E84,BD!$L$2:$Q$66,6,0),0)</f>
        <v>90</v>
      </c>
      <c r="I84" s="96">
        <f>IFERROR(G84*VLOOKUP($E84,BD!$L$2:$Q$66,5,0),0)</f>
        <v>45.900000000000006</v>
      </c>
      <c r="J84" s="3">
        <f t="shared" si="7"/>
        <v>2021</v>
      </c>
    </row>
    <row r="85" spans="1:10" hidden="1" x14ac:dyDescent="0.25">
      <c r="A85" s="421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20">
        <v>256678</v>
      </c>
      <c r="F85" s="3" t="str">
        <f>IFERROR(VLOOKUP(E85,BD!$L$2:$Q$66,2,0),0)</f>
        <v>TRIPACK (CC+IK)PFM+FT PET 3LX3 - RFNN</v>
      </c>
      <c r="G85" s="417">
        <f>8*90</f>
        <v>720</v>
      </c>
      <c r="H85" s="3">
        <f>+IFERROR(VLOOKUP(E85,BD!$L$2:$Q$66,6,0),0)</f>
        <v>90</v>
      </c>
      <c r="I85" s="96">
        <f>IFERROR(G85*VLOOKUP($E85,BD!$L$2:$Q$66,5,0),0)</f>
        <v>122.4</v>
      </c>
      <c r="J85" s="3">
        <f t="shared" si="7"/>
        <v>2021</v>
      </c>
    </row>
    <row r="86" spans="1:10" hidden="1" x14ac:dyDescent="0.25">
      <c r="A86" s="421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20">
        <v>256674</v>
      </c>
      <c r="F86" s="3" t="str">
        <f>IFERROR(VLOOKUP(E86,BD!$L$2:$Q$66,2,0),0)</f>
        <v>COCA-COLA PET 1.5LX2 RF</v>
      </c>
      <c r="G86" s="417">
        <v>198</v>
      </c>
      <c r="H86" s="3">
        <f>+IFERROR(VLOOKUP(E86,BD!$L$2:$Q$66,6,0),0)</f>
        <v>198</v>
      </c>
      <c r="I86" s="96">
        <f>IFERROR(G86*VLOOKUP($E86,BD!$L$2:$Q$66,5,0),0)</f>
        <v>33.660000000000004</v>
      </c>
      <c r="J86" s="3">
        <f t="shared" si="7"/>
        <v>2021</v>
      </c>
    </row>
    <row r="87" spans="1:10" hidden="1" x14ac:dyDescent="0.25">
      <c r="A87" s="421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20">
        <v>256675</v>
      </c>
      <c r="F87" s="3" t="str">
        <f>IFERROR(VLOOKUP(E87,BD!$L$2:$Q$66,2,0),0)</f>
        <v>INCA KOLA PET 1.5LX2 RF</v>
      </c>
      <c r="G87" s="417">
        <f>3*198</f>
        <v>594</v>
      </c>
      <c r="H87" s="3">
        <f>+IFERROR(VLOOKUP(E87,BD!$L$2:$Q$66,6,0),0)</f>
        <v>198</v>
      </c>
      <c r="I87" s="96">
        <f>IFERROR(G87*VLOOKUP($E87,BD!$L$2:$Q$66,5,0),0)</f>
        <v>100.98</v>
      </c>
      <c r="J87" s="3">
        <f t="shared" si="7"/>
        <v>2021</v>
      </c>
    </row>
    <row r="88" spans="1:10" hidden="1" x14ac:dyDescent="0.25">
      <c r="A88" s="421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20">
        <v>251429</v>
      </c>
      <c r="F88" s="3" t="str">
        <f>IFERROR(VLOOKUP(E88,BD!$L$2:$Q$66,2,0),0)</f>
        <v>SAN LUIS SIN GAS PET2500X6 STICKER</v>
      </c>
      <c r="G88" s="417">
        <f>12*48</f>
        <v>576</v>
      </c>
      <c r="H88" s="3">
        <f>+IFERROR(VLOOKUP(E88,BD!$L$2:$Q$66,6,0),0)</f>
        <v>48</v>
      </c>
      <c r="I88" s="96">
        <f>IFERROR(G88*VLOOKUP($E88,BD!$L$2:$Q$66,5,0),0)</f>
        <v>230.4</v>
      </c>
      <c r="J88" s="3">
        <f t="shared" si="7"/>
        <v>2021</v>
      </c>
    </row>
    <row r="89" spans="1:10" hidden="1" x14ac:dyDescent="0.25">
      <c r="A89" s="421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20">
        <v>256379</v>
      </c>
      <c r="F89" s="3" t="str">
        <f>IFERROR(VLOOKUP(E89,BD!$L$2:$Q$66,2,0),0)</f>
        <v>INCA KOLA VR 625MLX12 - STICKER</v>
      </c>
      <c r="G89" s="417">
        <v>100</v>
      </c>
      <c r="H89" s="3">
        <f>+IFERROR(VLOOKUP(E89,BD!$L$2:$Q$66,6,0),0)</f>
        <v>50</v>
      </c>
      <c r="I89" s="96">
        <f>IFERROR(G89*VLOOKUP($E89,BD!$L$2:$Q$66,5,0),0)</f>
        <v>40</v>
      </c>
      <c r="J89" s="3">
        <f t="shared" si="7"/>
        <v>2021</v>
      </c>
    </row>
    <row r="90" spans="1:10" hidden="1" x14ac:dyDescent="0.25">
      <c r="A90" s="421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20">
        <v>251406</v>
      </c>
      <c r="F90" s="3" t="str">
        <f>IFERROR(VLOOKUP(E90,BD!$L$2:$Q$66,2,0),0)</f>
        <v>COCA-COLA SIN AZUCAR PET 1.5LX2</v>
      </c>
      <c r="G90" s="417">
        <v>396</v>
      </c>
      <c r="H90" s="3">
        <f>+IFERROR(VLOOKUP(E90,BD!$L$2:$Q$66,6,0),0)</f>
        <v>198</v>
      </c>
      <c r="I90" s="96">
        <f>IFERROR(G90*VLOOKUP($E90,BD!$L$2:$Q$66,5,0),0)</f>
        <v>67.320000000000007</v>
      </c>
      <c r="J90" s="3">
        <f t="shared" si="7"/>
        <v>2021</v>
      </c>
    </row>
    <row r="91" spans="1:10" hidden="1" x14ac:dyDescent="0.25">
      <c r="A91" s="421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20">
        <v>254853</v>
      </c>
      <c r="F91" s="3" t="str">
        <f>IFERROR(VLOOKUP(E91,BD!$L$2:$Q$66,2,0),0)</f>
        <v>INCA KOLA SIN AZUCAR PET 1.5LX2</v>
      </c>
      <c r="G91" s="417">
        <v>396</v>
      </c>
      <c r="H91" s="3">
        <f>+IFERROR(VLOOKUP(E91,BD!$L$2:$Q$66,6,0),0)</f>
        <v>198</v>
      </c>
      <c r="I91" s="96">
        <f>IFERROR(G91*VLOOKUP($E91,BD!$L$2:$Q$66,5,0),0)</f>
        <v>67.320000000000007</v>
      </c>
      <c r="J91" s="3">
        <f t="shared" si="7"/>
        <v>2021</v>
      </c>
    </row>
    <row r="92" spans="1:10" hidden="1" x14ac:dyDescent="0.25">
      <c r="A92" s="421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20">
        <v>256677</v>
      </c>
      <c r="F92" s="3" t="str">
        <f>IFERROR(VLOOKUP(E92,BD!$L$2:$Q$66,2,0),0)</f>
        <v>TWO PACK CC + IK PFM 3LX2 - RFNN</v>
      </c>
      <c r="G92" s="417">
        <f>120*6</f>
        <v>720</v>
      </c>
      <c r="H92" s="3">
        <f>+IFERROR(VLOOKUP(E92,BD!$L$2:$Q$66,6,0),0)</f>
        <v>120</v>
      </c>
      <c r="I92" s="96">
        <f>IFERROR(G92*VLOOKUP($E92,BD!$L$2:$Q$66,5,0),0)</f>
        <v>122.4</v>
      </c>
      <c r="J92" s="3">
        <f t="shared" si="7"/>
        <v>2021</v>
      </c>
    </row>
    <row r="93" spans="1:10" hidden="1" x14ac:dyDescent="0.25">
      <c r="A93" s="421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20">
        <v>256676</v>
      </c>
      <c r="F93" s="3" t="str">
        <f>IFERROR(VLOOKUP(E93,BD!$L$2:$Q$66,2,0),0)</f>
        <v>TWO PACK CC PFM 3LX2 - RFCC</v>
      </c>
      <c r="G93" s="417">
        <v>600</v>
      </c>
      <c r="H93" s="3">
        <f>+IFERROR(VLOOKUP(E93,BD!$L$2:$Q$66,6,0),0)</f>
        <v>120</v>
      </c>
      <c r="I93" s="96">
        <f>IFERROR(G93*VLOOKUP($E93,BD!$L$2:$Q$66,5,0),0)</f>
        <v>102.00000000000001</v>
      </c>
      <c r="J93" s="3">
        <f t="shared" si="7"/>
        <v>2021</v>
      </c>
    </row>
    <row r="94" spans="1:10" hidden="1" x14ac:dyDescent="0.25">
      <c r="A94" s="421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20">
        <v>256674</v>
      </c>
      <c r="F94" s="3" t="str">
        <f>IFERROR(VLOOKUP(E94,BD!$L$2:$Q$66,2,0),0)</f>
        <v>COCA-COLA PET 1.5LX2 RF</v>
      </c>
      <c r="G94" s="417">
        <v>198</v>
      </c>
      <c r="H94" s="3">
        <f>+IFERROR(VLOOKUP(E94,BD!$L$2:$Q$66,6,0),0)</f>
        <v>198</v>
      </c>
      <c r="I94" s="96">
        <f>IFERROR(G94*VLOOKUP($E94,BD!$L$2:$Q$66,5,0),0)</f>
        <v>33.660000000000004</v>
      </c>
      <c r="J94" s="3">
        <f t="shared" si="7"/>
        <v>2021</v>
      </c>
    </row>
    <row r="95" spans="1:10" hidden="1" x14ac:dyDescent="0.25">
      <c r="A95" s="421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20">
        <v>255405</v>
      </c>
      <c r="F95" s="3" t="str">
        <f>IFERROR(VLOOKUP(E95,BD!$L$2:$Q$66,2,0),0)</f>
        <v>FRUGOS BEBIDA DZ VNR 286MLX6 C/STICKER</v>
      </c>
      <c r="G95" s="417">
        <v>392</v>
      </c>
      <c r="H95" s="3">
        <f>+IFERROR(VLOOKUP(E95,BD!$L$2:$Q$66,6,0),0)</f>
        <v>350</v>
      </c>
      <c r="I95" s="96">
        <f>IFERROR(G95*VLOOKUP($E95,BD!$L$2:$Q$66,5,0),0)</f>
        <v>90.160000000000011</v>
      </c>
      <c r="J95" s="3">
        <f t="shared" si="7"/>
        <v>2021</v>
      </c>
    </row>
    <row r="96" spans="1:10" hidden="1" x14ac:dyDescent="0.25">
      <c r="A96" s="421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20">
        <v>256695</v>
      </c>
      <c r="F96" s="3" t="str">
        <f>IFERROR(VLOOKUP(E96,BD!$L$2:$Q$66,2,0),0)</f>
        <v>POWERADE 3MORA+3FRUT PET 473MLX6</v>
      </c>
      <c r="G96" s="424">
        <v>225</v>
      </c>
      <c r="H96" s="3">
        <f>+IFERROR(VLOOKUP(E96,BD!$L$2:$Q$66,6,0),0)</f>
        <v>225</v>
      </c>
      <c r="I96" s="96">
        <f>IFERROR(G96*VLOOKUP($E96,BD!$L$2:$Q$66,5,0),0)</f>
        <v>94.5</v>
      </c>
      <c r="J96" s="3">
        <f t="shared" si="7"/>
        <v>2021</v>
      </c>
    </row>
    <row r="97" spans="1:10" hidden="1" x14ac:dyDescent="0.25">
      <c r="A97" s="421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20">
        <v>256679</v>
      </c>
      <c r="F97" s="3" t="str">
        <f>IFERROR(VLOOKUP(E97,BD!$L$2:$Q$66,2,0),0)</f>
        <v>TRIPACK CC+IK+IK PFM 3LX3 - RFNN</v>
      </c>
      <c r="G97" s="424">
        <v>90</v>
      </c>
      <c r="H97" s="3">
        <f>+IFERROR(VLOOKUP(E97,BD!$L$2:$Q$66,6,0),0)</f>
        <v>90</v>
      </c>
      <c r="I97" s="96">
        <f>IFERROR(G97*VLOOKUP($E97,BD!$L$2:$Q$66,5,0),0)</f>
        <v>15.3</v>
      </c>
      <c r="J97" s="3">
        <f t="shared" si="7"/>
        <v>2021</v>
      </c>
    </row>
    <row r="98" spans="1:10" hidden="1" x14ac:dyDescent="0.25">
      <c r="A98" s="421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20">
        <v>251406</v>
      </c>
      <c r="F98" s="3" t="str">
        <f>IFERROR(VLOOKUP(E98,BD!$L$2:$Q$66,2,0),0)</f>
        <v>COCA-COLA SIN AZUCAR PET 1.5LX2</v>
      </c>
      <c r="G98" s="424">
        <f>198*4</f>
        <v>792</v>
      </c>
      <c r="H98" s="3">
        <f>+IFERROR(VLOOKUP(E98,BD!$L$2:$Q$66,6,0),0)</f>
        <v>198</v>
      </c>
      <c r="I98" s="96">
        <f>IFERROR(G98*VLOOKUP($E98,BD!$L$2:$Q$66,5,0),0)</f>
        <v>134.64000000000001</v>
      </c>
      <c r="J98" s="3">
        <f t="shared" si="7"/>
        <v>2021</v>
      </c>
    </row>
    <row r="99" spans="1:10" hidden="1" x14ac:dyDescent="0.25">
      <c r="A99" s="421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20">
        <v>254853</v>
      </c>
      <c r="F99" s="3" t="str">
        <f>IFERROR(VLOOKUP(E99,BD!$L$2:$Q$66,2,0),0)</f>
        <v>INCA KOLA SIN AZUCAR PET 1.5LX2</v>
      </c>
      <c r="G99" s="424">
        <f>198*3</f>
        <v>594</v>
      </c>
      <c r="H99" s="3">
        <f>+IFERROR(VLOOKUP(E99,BD!$L$2:$Q$66,6,0),0)</f>
        <v>198</v>
      </c>
      <c r="I99" s="96">
        <f>IFERROR(G99*VLOOKUP($E99,BD!$L$2:$Q$66,5,0),0)</f>
        <v>100.98</v>
      </c>
      <c r="J99" s="3">
        <f t="shared" si="7"/>
        <v>2021</v>
      </c>
    </row>
    <row r="100" spans="1:10" hidden="1" x14ac:dyDescent="0.25">
      <c r="A100" s="421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20">
        <v>256674</v>
      </c>
      <c r="F100" s="3" t="str">
        <f>IFERROR(VLOOKUP(E100,BD!$L$2:$Q$66,2,0),0)</f>
        <v>COCA-COLA PET 1.5LX2 RF</v>
      </c>
      <c r="G100" s="424">
        <f>198*2</f>
        <v>396</v>
      </c>
      <c r="H100" s="3">
        <f>+IFERROR(VLOOKUP(E100,BD!$L$2:$Q$66,6,0),0)</f>
        <v>198</v>
      </c>
      <c r="I100" s="96">
        <f>IFERROR(G100*VLOOKUP($E100,BD!$L$2:$Q$66,5,0),0)</f>
        <v>67.320000000000007</v>
      </c>
      <c r="J100" s="3">
        <f t="shared" si="7"/>
        <v>2021</v>
      </c>
    </row>
    <row r="101" spans="1:10" hidden="1" x14ac:dyDescent="0.25">
      <c r="A101" s="421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20">
        <v>256679</v>
      </c>
      <c r="F101" s="3" t="str">
        <f>IFERROR(VLOOKUP(E101,BD!$L$2:$Q$66,2,0),0)</f>
        <v>TRIPACK CC+IK+IK PFM 3LX3 - RFNN</v>
      </c>
      <c r="G101" s="425">
        <v>90</v>
      </c>
      <c r="H101" s="3">
        <f>+IFERROR(VLOOKUP(E101,BD!$L$2:$Q$66,6,0),0)</f>
        <v>90</v>
      </c>
      <c r="I101" s="96">
        <f>IFERROR(G101*VLOOKUP($E101,BD!$L$2:$Q$66,5,0),0)</f>
        <v>15.3</v>
      </c>
      <c r="J101" s="3">
        <f t="shared" si="7"/>
        <v>2021</v>
      </c>
    </row>
    <row r="102" spans="1:10" hidden="1" x14ac:dyDescent="0.25">
      <c r="A102" s="421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20">
        <v>251429</v>
      </c>
      <c r="F102" s="3" t="str">
        <f>IFERROR(VLOOKUP(E102,BD!$L$2:$Q$66,2,0),0)</f>
        <v>SAN LUIS SIN GAS PET2500X6 STICKER</v>
      </c>
      <c r="G102" s="425">
        <f>48*17</f>
        <v>816</v>
      </c>
      <c r="H102" s="3">
        <f>+IFERROR(VLOOKUP(E102,BD!$L$2:$Q$66,6,0),0)</f>
        <v>48</v>
      </c>
      <c r="I102" s="96">
        <f>IFERROR(G102*VLOOKUP($E102,BD!$L$2:$Q$66,5,0),0)</f>
        <v>326.40000000000003</v>
      </c>
      <c r="J102" s="3">
        <f t="shared" si="7"/>
        <v>2021</v>
      </c>
    </row>
    <row r="103" spans="1:10" hidden="1" x14ac:dyDescent="0.25">
      <c r="A103" s="421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20">
        <v>256675</v>
      </c>
      <c r="F103" s="3" t="str">
        <f>IFERROR(VLOOKUP(E103,BD!$L$2:$Q$66,2,0),0)</f>
        <v>INCA KOLA PET 1.5LX2 RF</v>
      </c>
      <c r="G103" s="424">
        <f>198*2</f>
        <v>396</v>
      </c>
      <c r="H103" s="3">
        <f>+IFERROR(VLOOKUP(E103,BD!$L$2:$Q$66,6,0),0)</f>
        <v>198</v>
      </c>
      <c r="I103" s="96">
        <f>IFERROR(G103*VLOOKUP($E103,BD!$L$2:$Q$66,5,0),0)</f>
        <v>67.320000000000007</v>
      </c>
      <c r="J103" s="3">
        <f t="shared" si="7"/>
        <v>2021</v>
      </c>
    </row>
    <row r="104" spans="1:10" hidden="1" x14ac:dyDescent="0.25">
      <c r="A104" s="421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20">
        <v>256677</v>
      </c>
      <c r="F104" s="3" t="str">
        <f>IFERROR(VLOOKUP(E104,BD!$L$2:$Q$66,2,0),0)</f>
        <v>TWO PACK CC + IK PFM 3LX2 - RFNN</v>
      </c>
      <c r="G104" s="424">
        <f>120*2</f>
        <v>240</v>
      </c>
      <c r="H104" s="3">
        <f>+IFERROR(VLOOKUP(E104,BD!$L$2:$Q$66,6,0),0)</f>
        <v>120</v>
      </c>
      <c r="I104" s="96">
        <f>IFERROR(G104*VLOOKUP($E104,BD!$L$2:$Q$66,5,0),0)</f>
        <v>40.800000000000004</v>
      </c>
      <c r="J104" s="3">
        <f t="shared" si="7"/>
        <v>2021</v>
      </c>
    </row>
    <row r="105" spans="1:10" hidden="1" x14ac:dyDescent="0.25">
      <c r="A105" s="421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20">
        <v>256488</v>
      </c>
      <c r="F105" s="3" t="str">
        <f>IFERROR(VLOOKUP(E105,BD!$L$2:$Q$66,2,0),0)</f>
        <v>INCA KOLA PET 3LX2 - RF</v>
      </c>
      <c r="G105" s="424">
        <f>120*2</f>
        <v>240</v>
      </c>
      <c r="H105" s="3">
        <f>+IFERROR(VLOOKUP(E105,BD!$L$2:$Q$66,6,0),0)</f>
        <v>120</v>
      </c>
      <c r="I105" s="96">
        <f>IFERROR(G105*VLOOKUP($E105,BD!$L$2:$Q$66,5,0),0)</f>
        <v>40.800000000000004</v>
      </c>
      <c r="J105" s="3">
        <f t="shared" si="7"/>
        <v>2021</v>
      </c>
    </row>
    <row r="106" spans="1:10" hidden="1" x14ac:dyDescent="0.25">
      <c r="A106" s="421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20">
        <v>256617</v>
      </c>
      <c r="F106" s="3" t="str">
        <f>IFERROR(VLOOKUP(E106,BD!$L$2:$Q$66,2,0),0)</f>
        <v>TWO PACK SCHWEPPES GINGER ALE PET 1.5LX2</v>
      </c>
      <c r="G106" s="409">
        <f>198*2</f>
        <v>396</v>
      </c>
      <c r="H106" s="3">
        <f>+IFERROR(VLOOKUP(E106,BD!$L$2:$Q$66,6,0),0)</f>
        <v>198</v>
      </c>
      <c r="I106" s="96">
        <f>IFERROR(G106*VLOOKUP($E106,BD!$L$2:$Q$66,5,0),0)</f>
        <v>67.320000000000007</v>
      </c>
      <c r="J106" s="3">
        <f t="shared" si="7"/>
        <v>2021</v>
      </c>
    </row>
    <row r="107" spans="1:10" hidden="1" x14ac:dyDescent="0.25">
      <c r="A107" s="421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20">
        <v>251406</v>
      </c>
      <c r="F107" s="3" t="str">
        <f>IFERROR(VLOOKUP(E107,BD!$L$2:$Q$66,2,0),0)</f>
        <v>COCA-COLA SIN AZUCAR PET 1.5LX2</v>
      </c>
      <c r="G107" s="409">
        <f>198*8</f>
        <v>1584</v>
      </c>
      <c r="H107" s="3">
        <f>+IFERROR(VLOOKUP(E107,BD!$L$2:$Q$66,6,0),0)</f>
        <v>198</v>
      </c>
      <c r="I107" s="96">
        <f>IFERROR(G107*VLOOKUP($E107,BD!$L$2:$Q$66,5,0),0)</f>
        <v>269.28000000000003</v>
      </c>
      <c r="J107" s="3">
        <f t="shared" si="7"/>
        <v>2021</v>
      </c>
    </row>
    <row r="108" spans="1:10" hidden="1" x14ac:dyDescent="0.25">
      <c r="A108" s="421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20">
        <v>256601</v>
      </c>
      <c r="F108" s="3" t="str">
        <f>IFERROR(VLOOKUP(E108,BD!$L$2:$Q$66,2,0),0)</f>
        <v>INCA KOLA PET 2.25LX2 RF</v>
      </c>
      <c r="G108" s="409">
        <v>162</v>
      </c>
      <c r="H108" s="3">
        <f>+IFERROR(VLOOKUP(E108,BD!$L$2:$Q$66,6,0),0)</f>
        <v>162</v>
      </c>
      <c r="I108" s="96">
        <f>IFERROR(G108*VLOOKUP($E108,BD!$L$2:$Q$66,5,0),0)</f>
        <v>27.540000000000003</v>
      </c>
      <c r="J108" s="3">
        <f t="shared" si="7"/>
        <v>2021</v>
      </c>
    </row>
    <row r="109" spans="1:10" hidden="1" x14ac:dyDescent="0.25">
      <c r="A109" s="421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20">
        <v>256708</v>
      </c>
      <c r="F109" s="3" t="str">
        <f>IFERROR(VLOOKUP(E109,BD!$L$2:$Q$66,2,0),0)</f>
        <v>POWERADE ION4 FRUTA PET473X6 MOD (STICK)</v>
      </c>
      <c r="G109" s="424">
        <v>225</v>
      </c>
      <c r="H109" s="3">
        <f>+IFERROR(VLOOKUP(E109,BD!$L$2:$Q$66,6,0),0)</f>
        <v>225</v>
      </c>
      <c r="I109" s="96">
        <f>IFERROR(G109*VLOOKUP($E109,BD!$L$2:$Q$66,5,0),0)</f>
        <v>90</v>
      </c>
      <c r="J109" s="3">
        <f t="shared" si="7"/>
        <v>2021</v>
      </c>
    </row>
    <row r="110" spans="1:10" hidden="1" x14ac:dyDescent="0.25">
      <c r="A110" s="421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20">
        <v>256676</v>
      </c>
      <c r="F110" s="3" t="str">
        <f>IFERROR(VLOOKUP(E110,BD!$L$2:$Q$66,2,0),0)</f>
        <v>TWO PACK CC PFM 3LX2 - RFCC</v>
      </c>
      <c r="G110" s="424">
        <f>120*2</f>
        <v>240</v>
      </c>
      <c r="H110" s="3">
        <f>+IFERROR(VLOOKUP(E110,BD!$L$2:$Q$66,6,0),0)</f>
        <v>120</v>
      </c>
      <c r="I110" s="96">
        <f>IFERROR(G110*VLOOKUP($E110,BD!$L$2:$Q$66,5,0),0)</f>
        <v>40.800000000000004</v>
      </c>
      <c r="J110" s="3">
        <f t="shared" si="7"/>
        <v>2021</v>
      </c>
    </row>
    <row r="111" spans="1:10" hidden="1" x14ac:dyDescent="0.25">
      <c r="A111" s="421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20">
        <v>256674</v>
      </c>
      <c r="F111" s="3" t="str">
        <f>IFERROR(VLOOKUP(E111,BD!$L$2:$Q$66,2,0),0)</f>
        <v>COCA-COLA PET 1.5LX2 RF</v>
      </c>
      <c r="G111" s="424">
        <f>198*4</f>
        <v>792</v>
      </c>
      <c r="H111" s="3">
        <f>+IFERROR(VLOOKUP(E111,BD!$L$2:$Q$66,6,0),0)</f>
        <v>198</v>
      </c>
      <c r="I111" s="96">
        <f>IFERROR(G111*VLOOKUP($E111,BD!$L$2:$Q$66,5,0),0)</f>
        <v>134.64000000000001</v>
      </c>
      <c r="J111" s="3">
        <f t="shared" si="7"/>
        <v>2021</v>
      </c>
    </row>
    <row r="112" spans="1:10" hidden="1" x14ac:dyDescent="0.25">
      <c r="A112" s="421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20">
        <v>251633</v>
      </c>
      <c r="F112" s="3" t="str">
        <f>IFERROR(VLOOKUP(E112,BD!$L$2:$Q$66,2,0),0)</f>
        <v>SAN LUIS CON GAS PET 625MLX6</v>
      </c>
      <c r="G112" s="424">
        <v>180</v>
      </c>
      <c r="H112" s="3">
        <f>+IFERROR(VLOOKUP(E112,BD!$L$2:$Q$66,6,0),0)</f>
        <v>180</v>
      </c>
      <c r="I112" s="96">
        <f>IFERROR(G112*VLOOKUP($E112,BD!$L$2:$Q$66,5,0),0)</f>
        <v>75.599999999999994</v>
      </c>
      <c r="J112" s="3">
        <f t="shared" si="7"/>
        <v>2021</v>
      </c>
    </row>
    <row r="113" spans="1:10" hidden="1" x14ac:dyDescent="0.25">
      <c r="A113" s="421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20">
        <v>256383</v>
      </c>
      <c r="F113" s="3" t="str">
        <f>IFERROR(VLOOKUP(E113,BD!$L$2:$Q$66,2,0),0)</f>
        <v>COCA COLA VR 1.5LX8 - STICKER</v>
      </c>
      <c r="G113" s="424">
        <v>30</v>
      </c>
      <c r="H113" s="3">
        <f>+IFERROR(VLOOKUP(E113,BD!$L$2:$Q$66,6,0),0)</f>
        <v>30</v>
      </c>
      <c r="I113" s="96">
        <f>IFERROR(G113*VLOOKUP($E113,BD!$L$2:$Q$66,5,0),0)</f>
        <v>6.9</v>
      </c>
      <c r="J113" s="3">
        <f t="shared" si="7"/>
        <v>2021</v>
      </c>
    </row>
    <row r="114" spans="1:10" hidden="1" x14ac:dyDescent="0.25">
      <c r="A114" s="421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20">
        <v>256695</v>
      </c>
      <c r="F114" s="3" t="str">
        <f>IFERROR(VLOOKUP(E114,BD!$L$2:$Q$66,2,0),0)</f>
        <v>POWERADE 3MORA+3FRUT PET 473MLX6</v>
      </c>
      <c r="G114" s="424">
        <f>225*9</f>
        <v>2025</v>
      </c>
      <c r="H114" s="3">
        <f>+IFERROR(VLOOKUP(E114,BD!$L$2:$Q$66,6,0),0)</f>
        <v>225</v>
      </c>
      <c r="I114" s="96">
        <f>IFERROR(G114*VLOOKUP($E114,BD!$L$2:$Q$66,5,0),0)</f>
        <v>850.5</v>
      </c>
      <c r="J114" s="3">
        <f t="shared" si="7"/>
        <v>2021</v>
      </c>
    </row>
    <row r="115" spans="1:10" hidden="1" x14ac:dyDescent="0.25">
      <c r="A115" s="421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20">
        <v>256549</v>
      </c>
      <c r="F115" s="3" t="str">
        <f>IFERROR(VLOOKUP(E115,BD!$L$2:$Q$66,2,0),0)</f>
        <v>TWO PACK IK PET 1.5LX2 - CRCG</v>
      </c>
      <c r="G115" s="424">
        <v>198</v>
      </c>
      <c r="H115" s="3">
        <f>+IFERROR(VLOOKUP(E115,BD!$L$2:$Q$66,6,0),0)</f>
        <v>198</v>
      </c>
      <c r="I115" s="96">
        <f>IFERROR(G115*VLOOKUP($E115,BD!$L$2:$Q$66,5,0),0)</f>
        <v>33.660000000000004</v>
      </c>
      <c r="J115" s="3">
        <f t="shared" si="7"/>
        <v>2021</v>
      </c>
    </row>
    <row r="116" spans="1:10" hidden="1" x14ac:dyDescent="0.25">
      <c r="A116" s="421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6">
        <v>251406</v>
      </c>
      <c r="F116" s="3" t="str">
        <f>IFERROR(VLOOKUP(E116,BD!$L$2:$Q$66,2,0),0)</f>
        <v>COCA-COLA SIN AZUCAR PET 1.5LX2</v>
      </c>
      <c r="G116" s="409">
        <f>198*4</f>
        <v>792</v>
      </c>
      <c r="H116" s="3">
        <f>+IFERROR(VLOOKUP(E116,BD!$L$2:$Q$66,6,0),0)</f>
        <v>198</v>
      </c>
      <c r="I116" s="96">
        <f>IFERROR(G116*VLOOKUP($E116,BD!$L$2:$Q$66,5,0),0)</f>
        <v>134.64000000000001</v>
      </c>
      <c r="J116" s="3">
        <f t="shared" si="7"/>
        <v>2021</v>
      </c>
    </row>
    <row r="117" spans="1:10" hidden="1" x14ac:dyDescent="0.25">
      <c r="A117" s="421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6">
        <v>251429</v>
      </c>
      <c r="F117" s="3" t="str">
        <f>IFERROR(VLOOKUP(E117,BD!$L$2:$Q$66,2,0),0)</f>
        <v>SAN LUIS SIN GAS PET2500X6 STICKER</v>
      </c>
      <c r="G117" s="409">
        <f>48*12</f>
        <v>576</v>
      </c>
      <c r="H117" s="3">
        <f>+IFERROR(VLOOKUP(E117,BD!$L$2:$Q$66,6,0),0)</f>
        <v>48</v>
      </c>
      <c r="I117" s="96">
        <f>IFERROR(G117*VLOOKUP($E117,BD!$L$2:$Q$66,5,0),0)</f>
        <v>230.4</v>
      </c>
      <c r="J117" s="3">
        <f t="shared" si="7"/>
        <v>2021</v>
      </c>
    </row>
    <row r="118" spans="1:10" hidden="1" x14ac:dyDescent="0.25">
      <c r="A118" s="421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6">
        <v>251633</v>
      </c>
      <c r="F118" s="3" t="str">
        <f>IFERROR(VLOOKUP(E118,BD!$L$2:$Q$66,2,0),0)</f>
        <v>SAN LUIS CON GAS PET 625MLX6</v>
      </c>
      <c r="G118" s="409">
        <f>180*3</f>
        <v>540</v>
      </c>
      <c r="H118" s="3">
        <f>+IFERROR(VLOOKUP(E118,BD!$L$2:$Q$66,6,0),0)</f>
        <v>180</v>
      </c>
      <c r="I118" s="96">
        <f>IFERROR(G118*VLOOKUP($E118,BD!$L$2:$Q$66,5,0),0)</f>
        <v>226.79999999999998</v>
      </c>
      <c r="J118" s="3">
        <f t="shared" si="7"/>
        <v>2021</v>
      </c>
    </row>
    <row r="119" spans="1:10" hidden="1" x14ac:dyDescent="0.25">
      <c r="A119" s="421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6">
        <v>254853</v>
      </c>
      <c r="F119" s="3" t="str">
        <f>IFERROR(VLOOKUP(E119,BD!$L$2:$Q$66,2,0),0)</f>
        <v>INCA KOLA SIN AZUCAR PET 1.5LX2</v>
      </c>
      <c r="G119" s="409">
        <f>198*17</f>
        <v>3366</v>
      </c>
      <c r="H119" s="3">
        <f>+IFERROR(VLOOKUP(E119,BD!$L$2:$Q$66,6,0),0)</f>
        <v>198</v>
      </c>
      <c r="I119" s="96">
        <f>IFERROR(G119*VLOOKUP($E119,BD!$L$2:$Q$66,5,0),0)</f>
        <v>572.22</v>
      </c>
      <c r="J119" s="3">
        <f t="shared" si="7"/>
        <v>2021</v>
      </c>
    </row>
    <row r="120" spans="1:10" hidden="1" x14ac:dyDescent="0.25">
      <c r="A120" s="421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20">
        <v>256379</v>
      </c>
      <c r="F120" s="3" t="str">
        <f>IFERROR(VLOOKUP(E120,BD!$L$2:$Q$66,2,0),0)</f>
        <v>INCA KOLA VR 625MLX12 - STICKER</v>
      </c>
      <c r="G120" s="417">
        <f>50*2</f>
        <v>100</v>
      </c>
      <c r="H120" s="3">
        <f>+IFERROR(VLOOKUP(E120,BD!$L$2:$Q$66,6,0),0)</f>
        <v>50</v>
      </c>
      <c r="I120" s="96">
        <f>IFERROR(G120*VLOOKUP($E120,BD!$L$2:$Q$66,5,0),0)</f>
        <v>40</v>
      </c>
      <c r="J120" s="3">
        <f t="shared" si="7"/>
        <v>2021</v>
      </c>
    </row>
    <row r="121" spans="1:10" hidden="1" x14ac:dyDescent="0.25">
      <c r="A121" s="421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20">
        <v>256601</v>
      </c>
      <c r="F121" s="3" t="str">
        <f>IFERROR(VLOOKUP(E121,BD!$L$2:$Q$66,2,0),0)</f>
        <v>INCA KOLA PET 2.25LX2 RF</v>
      </c>
      <c r="G121" s="417">
        <f>162*5</f>
        <v>810</v>
      </c>
      <c r="H121" s="3">
        <f>+IFERROR(VLOOKUP(E121,BD!$L$2:$Q$66,6,0),0)</f>
        <v>162</v>
      </c>
      <c r="I121" s="96">
        <f>IFERROR(G121*VLOOKUP($E121,BD!$L$2:$Q$66,5,0),0)</f>
        <v>137.70000000000002</v>
      </c>
      <c r="J121" s="3">
        <f t="shared" si="7"/>
        <v>2021</v>
      </c>
    </row>
    <row r="122" spans="1:10" hidden="1" x14ac:dyDescent="0.25">
      <c r="A122" s="421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20">
        <v>256616</v>
      </c>
      <c r="F122" s="3" t="str">
        <f>IFERROR(VLOOKUP(E122,BD!$L$2:$Q$66,2,0),0)</f>
        <v>TWO PACK SCHWEPPES CITRUS PET 1.5LX2</v>
      </c>
      <c r="G122" s="418">
        <f>180*1</f>
        <v>180</v>
      </c>
      <c r="H122" s="3">
        <f>+IFERROR(VLOOKUP(E122,BD!$L$2:$Q$66,6,0),0)</f>
        <v>198</v>
      </c>
      <c r="I122" s="96">
        <f>IFERROR(G122*VLOOKUP($E122,BD!$L$2:$Q$66,5,0),0)</f>
        <v>30.6</v>
      </c>
      <c r="J122" s="3">
        <f t="shared" si="7"/>
        <v>2021</v>
      </c>
    </row>
    <row r="123" spans="1:10" hidden="1" x14ac:dyDescent="0.25">
      <c r="A123" s="421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20">
        <v>256617</v>
      </c>
      <c r="F123" s="3" t="str">
        <f>IFERROR(VLOOKUP(E123,BD!$L$2:$Q$66,2,0),0)</f>
        <v>TWO PACK SCHWEPPES GINGER ALE PET 1.5LX2</v>
      </c>
      <c r="G123" s="417">
        <f>198*3</f>
        <v>594</v>
      </c>
      <c r="H123" s="3">
        <f>+IFERROR(VLOOKUP(E123,BD!$L$2:$Q$66,6,0),0)</f>
        <v>198</v>
      </c>
      <c r="I123" s="96">
        <f>IFERROR(G123*VLOOKUP($E123,BD!$L$2:$Q$66,5,0),0)</f>
        <v>100.98</v>
      </c>
      <c r="J123" s="3">
        <f t="shared" si="7"/>
        <v>2021</v>
      </c>
    </row>
    <row r="124" spans="1:10" hidden="1" x14ac:dyDescent="0.25">
      <c r="A124" s="421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20">
        <v>256652</v>
      </c>
      <c r="F124" s="3" t="str">
        <f>IFERROR(VLOOKUP(E124,BD!$L$2:$Q$66,2,0),0)</f>
        <v>TRIPACK FT NAR+FT KI+SP PET 3L</v>
      </c>
      <c r="G124" s="417">
        <f>90*4</f>
        <v>360</v>
      </c>
      <c r="H124" s="3">
        <f>+IFERROR(VLOOKUP(E124,BD!$L$2:$Q$66,6,0),0)</f>
        <v>90</v>
      </c>
      <c r="I124" s="96">
        <f>IFERROR(G124*VLOOKUP($E124,BD!$L$2:$Q$66,5,0),0)</f>
        <v>61.2</v>
      </c>
      <c r="J124" s="3">
        <f t="shared" si="7"/>
        <v>2021</v>
      </c>
    </row>
    <row r="125" spans="1:10" hidden="1" x14ac:dyDescent="0.25">
      <c r="A125" s="421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20">
        <v>256666</v>
      </c>
      <c r="F125" s="3" t="str">
        <f>IFERROR(VLOOKUP(E125,BD!$L$2:$Q$66,2,0),0)</f>
        <v>COCA-COLA PET 2.25LX2 RF</v>
      </c>
      <c r="G125" s="417">
        <f>162*2</f>
        <v>324</v>
      </c>
      <c r="H125" s="3">
        <f>+IFERROR(VLOOKUP(E125,BD!$L$2:$Q$66,6,0),0)</f>
        <v>162</v>
      </c>
      <c r="I125" s="96">
        <f>IFERROR(G125*VLOOKUP($E125,BD!$L$2:$Q$66,5,0),0)</f>
        <v>55.080000000000005</v>
      </c>
      <c r="J125" s="3">
        <f t="shared" si="7"/>
        <v>2021</v>
      </c>
    </row>
    <row r="126" spans="1:10" hidden="1" x14ac:dyDescent="0.25">
      <c r="A126" s="421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20">
        <v>256675</v>
      </c>
      <c r="F126" s="3" t="str">
        <f>IFERROR(VLOOKUP(E126,BD!$L$2:$Q$66,2,0),0)</f>
        <v>INCA KOLA PET 1.5LX2 RF</v>
      </c>
      <c r="G126" s="417">
        <f>198*3</f>
        <v>594</v>
      </c>
      <c r="H126" s="3">
        <f>+IFERROR(VLOOKUP(E126,BD!$L$2:$Q$66,6,0),0)</f>
        <v>198</v>
      </c>
      <c r="I126" s="96">
        <f>IFERROR(G126*VLOOKUP($E126,BD!$L$2:$Q$66,5,0),0)</f>
        <v>100.98</v>
      </c>
      <c r="J126" s="3">
        <f t="shared" si="7"/>
        <v>2021</v>
      </c>
    </row>
    <row r="127" spans="1:10" hidden="1" x14ac:dyDescent="0.25">
      <c r="A127" s="421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20">
        <v>256676</v>
      </c>
      <c r="F127" s="3" t="str">
        <f>IFERROR(VLOOKUP(E127,BD!$L$2:$Q$66,2,0),0)</f>
        <v>TWO PACK CC PFM 3LX2 - RFCC</v>
      </c>
      <c r="G127" s="417">
        <f>120*6</f>
        <v>720</v>
      </c>
      <c r="H127" s="3">
        <f>+IFERROR(VLOOKUP(E127,BD!$L$2:$Q$66,6,0),0)</f>
        <v>120</v>
      </c>
      <c r="I127" s="96">
        <f>IFERROR(G127*VLOOKUP($E127,BD!$L$2:$Q$66,5,0),0)</f>
        <v>122.4</v>
      </c>
      <c r="J127" s="3">
        <f t="shared" si="7"/>
        <v>2021</v>
      </c>
    </row>
    <row r="128" spans="1:10" hidden="1" x14ac:dyDescent="0.25">
      <c r="A128" s="421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20">
        <v>256677</v>
      </c>
      <c r="F128" s="3" t="str">
        <f>IFERROR(VLOOKUP(E128,BD!$L$2:$Q$66,2,0),0)</f>
        <v>TWO PACK CC + IK PFM 3LX2 - RFNN</v>
      </c>
      <c r="G128" s="417">
        <f>120*10</f>
        <v>1200</v>
      </c>
      <c r="H128" s="3">
        <f>+IFERROR(VLOOKUP(E128,BD!$L$2:$Q$66,6,0),0)</f>
        <v>120</v>
      </c>
      <c r="I128" s="96">
        <f>IFERROR(G128*VLOOKUP($E128,BD!$L$2:$Q$66,5,0),0)</f>
        <v>204.00000000000003</v>
      </c>
      <c r="J128" s="3">
        <f t="shared" si="7"/>
        <v>2021</v>
      </c>
    </row>
    <row r="129" spans="1:10" hidden="1" x14ac:dyDescent="0.25">
      <c r="A129" s="421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20">
        <v>256678</v>
      </c>
      <c r="F129" s="3" t="str">
        <f>IFERROR(VLOOKUP(E129,BD!$L$2:$Q$66,2,0),0)</f>
        <v>TRIPACK (CC+IK)PFM+FT PET 3LX3 - RFNN</v>
      </c>
      <c r="G129" s="417">
        <f>90*3</f>
        <v>270</v>
      </c>
      <c r="H129" s="3">
        <f>+IFERROR(VLOOKUP(E129,BD!$L$2:$Q$66,6,0),0)</f>
        <v>90</v>
      </c>
      <c r="I129" s="96">
        <f>IFERROR(G129*VLOOKUP($E129,BD!$L$2:$Q$66,5,0),0)</f>
        <v>45.900000000000006</v>
      </c>
      <c r="J129" s="3">
        <f t="shared" si="7"/>
        <v>2021</v>
      </c>
    </row>
    <row r="130" spans="1:10" hidden="1" x14ac:dyDescent="0.25">
      <c r="A130" s="421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20">
        <v>256679</v>
      </c>
      <c r="F130" s="3" t="str">
        <f>IFERROR(VLOOKUP(E130,BD!$L$2:$Q$66,2,0),0)</f>
        <v>TRIPACK CC+IK+IK PFM 3LX3 - RFNN</v>
      </c>
      <c r="G130" s="417">
        <f>90*2</f>
        <v>180</v>
      </c>
      <c r="H130" s="3">
        <f>+IFERROR(VLOOKUP(E130,BD!$L$2:$Q$66,6,0),0)</f>
        <v>90</v>
      </c>
      <c r="I130" s="96">
        <f>IFERROR(G130*VLOOKUP($E130,BD!$L$2:$Q$66,5,0),0)</f>
        <v>30.6</v>
      </c>
      <c r="J130" s="3">
        <f t="shared" si="7"/>
        <v>2021</v>
      </c>
    </row>
    <row r="131" spans="1:10" hidden="1" x14ac:dyDescent="0.25">
      <c r="A131" s="421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20">
        <v>256652</v>
      </c>
      <c r="F131" s="3" t="str">
        <f>IFERROR(VLOOKUP(E131,BD!$L$2:$Q$66,2,0),0)</f>
        <v>TRIPACK FT NAR+FT KI+SP PET 3L</v>
      </c>
      <c r="G131" s="424">
        <v>90</v>
      </c>
      <c r="H131" s="3">
        <f>+IFERROR(VLOOKUP(E131,BD!$L$2:$Q$66,6,0),0)</f>
        <v>90</v>
      </c>
      <c r="I131" s="96">
        <f>IFERROR(G131*VLOOKUP($E131,BD!$L$2:$Q$66,5,0),0)</f>
        <v>15.3</v>
      </c>
      <c r="J131" s="3">
        <f t="shared" si="7"/>
        <v>2021</v>
      </c>
    </row>
    <row r="132" spans="1:10" hidden="1" x14ac:dyDescent="0.25">
      <c r="A132" s="421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20">
        <v>251406</v>
      </c>
      <c r="F132" s="3" t="str">
        <f>IFERROR(VLOOKUP(E132,BD!$L$2:$Q$66,2,0),0)</f>
        <v>COCA-COLA SIN AZUCAR PET 1.5LX2</v>
      </c>
      <c r="G132" s="424">
        <f>198*2</f>
        <v>396</v>
      </c>
      <c r="H132" s="3">
        <f>+IFERROR(VLOOKUP(E132,BD!$L$2:$Q$66,6,0),0)</f>
        <v>198</v>
      </c>
      <c r="I132" s="96">
        <f>IFERROR(G132*VLOOKUP($E132,BD!$L$2:$Q$66,5,0),0)</f>
        <v>67.320000000000007</v>
      </c>
      <c r="J132" s="3">
        <f t="shared" ref="J132:J195" si="11">+YEAR(A132)</f>
        <v>2021</v>
      </c>
    </row>
    <row r="133" spans="1:10" hidden="1" x14ac:dyDescent="0.25">
      <c r="A133" s="421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20">
        <v>251633</v>
      </c>
      <c r="F133" s="3" t="str">
        <f>IFERROR(VLOOKUP(E133,BD!$L$2:$Q$66,2,0),0)</f>
        <v>SAN LUIS CON GAS PET 625MLX6</v>
      </c>
      <c r="G133" s="424">
        <v>180</v>
      </c>
      <c r="H133" s="3">
        <f>+IFERROR(VLOOKUP(E133,BD!$L$2:$Q$66,6,0),0)</f>
        <v>180</v>
      </c>
      <c r="I133" s="96">
        <f>IFERROR(G133*VLOOKUP($E133,BD!$L$2:$Q$66,5,0),0)</f>
        <v>75.599999999999994</v>
      </c>
      <c r="J133" s="3">
        <f t="shared" si="11"/>
        <v>2021</v>
      </c>
    </row>
    <row r="134" spans="1:10" hidden="1" x14ac:dyDescent="0.25">
      <c r="A134" s="421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20">
        <v>256675</v>
      </c>
      <c r="F134" s="3" t="str">
        <f>IFERROR(VLOOKUP(E134,BD!$L$2:$Q$66,2,0),0)</f>
        <v>INCA KOLA PET 1.5LX2 RF</v>
      </c>
      <c r="G134" s="424">
        <f>198*2</f>
        <v>396</v>
      </c>
      <c r="H134" s="3">
        <f>+IFERROR(VLOOKUP(E134,BD!$L$2:$Q$66,6,0),0)</f>
        <v>198</v>
      </c>
      <c r="I134" s="96">
        <f>IFERROR(G134*VLOOKUP($E134,BD!$L$2:$Q$66,5,0),0)</f>
        <v>67.320000000000007</v>
      </c>
      <c r="J134" s="3">
        <f t="shared" si="11"/>
        <v>2021</v>
      </c>
    </row>
    <row r="135" spans="1:10" hidden="1" x14ac:dyDescent="0.25">
      <c r="A135" s="421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20">
        <v>255430</v>
      </c>
      <c r="F135" s="3" t="str">
        <f>IFERROR(VLOOKUP(E135,BD!$L$2:$Q$66,2,0),0)</f>
        <v>INCA KOLA SA PET 500MLX6 - C/STICKER</v>
      </c>
      <c r="G135" s="424">
        <f>250*3</f>
        <v>750</v>
      </c>
      <c r="H135" s="3">
        <f>+IFERROR(VLOOKUP(E135,BD!$L$2:$Q$66,6,0),0)</f>
        <v>250</v>
      </c>
      <c r="I135" s="96">
        <f>IFERROR(G135*VLOOKUP($E135,BD!$L$2:$Q$66,5,0),0)</f>
        <v>172.5</v>
      </c>
      <c r="J135" s="3">
        <f t="shared" si="11"/>
        <v>2021</v>
      </c>
    </row>
    <row r="136" spans="1:10" hidden="1" x14ac:dyDescent="0.25">
      <c r="A136" s="421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20">
        <v>256674</v>
      </c>
      <c r="F136" s="3" t="str">
        <f>IFERROR(VLOOKUP(E136,BD!$L$2:$Q$66,2,0),0)</f>
        <v>COCA-COLA PET 1.5LX2 RF</v>
      </c>
      <c r="G136" s="424">
        <f>198*2</f>
        <v>396</v>
      </c>
      <c r="H136" s="3">
        <f>+IFERROR(VLOOKUP(E136,BD!$L$2:$Q$66,6,0),0)</f>
        <v>198</v>
      </c>
      <c r="I136" s="96">
        <f>IFERROR(G136*VLOOKUP($E136,BD!$L$2:$Q$66,5,0),0)</f>
        <v>67.320000000000007</v>
      </c>
      <c r="J136" s="3">
        <f t="shared" si="11"/>
        <v>2021</v>
      </c>
    </row>
    <row r="137" spans="1:10" hidden="1" x14ac:dyDescent="0.25">
      <c r="A137" s="421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7">
        <v>251406</v>
      </c>
      <c r="F137" s="54" t="str">
        <f>IFERROR(VLOOKUP(E137,BD!$L$2:$Q$66,2,0),0)</f>
        <v>COCA-COLA SIN AZUCAR PET 1.5LX2</v>
      </c>
      <c r="G137" s="409">
        <f>198*2</f>
        <v>396</v>
      </c>
      <c r="H137" s="432">
        <f>+IFERROR(VLOOKUP(E137,BD!$L$2:$Q$66,6,0),0)</f>
        <v>198</v>
      </c>
      <c r="I137" s="96">
        <f>IFERROR(G137*VLOOKUP($E137,BD!$L$2:$Q$66,5,0),0)</f>
        <v>67.320000000000007</v>
      </c>
      <c r="J137" s="3">
        <f t="shared" si="11"/>
        <v>2021</v>
      </c>
    </row>
    <row r="138" spans="1:10" hidden="1" x14ac:dyDescent="0.25">
      <c r="A138" s="421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7">
        <v>251633</v>
      </c>
      <c r="F138" s="54" t="str">
        <f>IFERROR(VLOOKUP(E138,BD!$L$2:$Q$66,2,0),0)</f>
        <v>SAN LUIS CON GAS PET 625MLX6</v>
      </c>
      <c r="G138" s="409">
        <v>180</v>
      </c>
      <c r="H138" s="432">
        <f>+IFERROR(VLOOKUP(E138,BD!$L$2:$Q$66,6,0),0)</f>
        <v>180</v>
      </c>
      <c r="I138" s="429">
        <f>IFERROR(G138*VLOOKUP($E138,BD!$L$2:$Q$66,5,0),0)</f>
        <v>75.599999999999994</v>
      </c>
      <c r="J138" s="3">
        <f t="shared" si="11"/>
        <v>2021</v>
      </c>
    </row>
    <row r="139" spans="1:10" hidden="1" x14ac:dyDescent="0.25">
      <c r="A139" s="421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7">
        <v>256675</v>
      </c>
      <c r="F139" s="54" t="str">
        <f>IFERROR(VLOOKUP(E139,BD!$L$2:$Q$66,2,0),0)</f>
        <v>INCA KOLA PET 1.5LX2 RF</v>
      </c>
      <c r="G139" s="409">
        <f>198*2</f>
        <v>396</v>
      </c>
      <c r="H139" s="432">
        <f>+IFERROR(VLOOKUP(E139,BD!$L$2:$Q$66,6,0),0)</f>
        <v>198</v>
      </c>
      <c r="I139" s="429">
        <f>IFERROR(G139*VLOOKUP($E139,BD!$L$2:$Q$66,5,0),0)</f>
        <v>67.320000000000007</v>
      </c>
      <c r="J139" s="3">
        <f t="shared" si="11"/>
        <v>2021</v>
      </c>
    </row>
    <row r="140" spans="1:10" hidden="1" x14ac:dyDescent="0.25">
      <c r="A140" s="421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7">
        <v>255430</v>
      </c>
      <c r="F140" s="54" t="str">
        <f>IFERROR(VLOOKUP(E140,BD!$L$2:$Q$66,2,0),0)</f>
        <v>INCA KOLA SA PET 500MLX6 - C/STICKER</v>
      </c>
      <c r="G140" s="409">
        <f>250*3</f>
        <v>750</v>
      </c>
      <c r="H140" s="432">
        <f>+IFERROR(VLOOKUP(E140,BD!$L$2:$Q$66,6,0),0)</f>
        <v>250</v>
      </c>
      <c r="I140" s="96">
        <f>IFERROR(G140*VLOOKUP($E140,BD!$L$2:$Q$66,5,0),0)</f>
        <v>172.5</v>
      </c>
      <c r="J140" s="3">
        <f t="shared" si="11"/>
        <v>2021</v>
      </c>
    </row>
    <row r="141" spans="1:10" hidden="1" x14ac:dyDescent="0.25">
      <c r="A141" s="421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7">
        <v>256674</v>
      </c>
      <c r="F141" s="54" t="str">
        <f>IFERROR(VLOOKUP(E141,BD!$L$2:$Q$66,2,0),0)</f>
        <v>COCA-COLA PET 1.5LX2 RF</v>
      </c>
      <c r="G141" s="409">
        <f>198*2</f>
        <v>396</v>
      </c>
      <c r="H141" s="432">
        <f>+IFERROR(VLOOKUP(E141,BD!$L$2:$Q$66,6,0),0)</f>
        <v>198</v>
      </c>
      <c r="I141" s="429">
        <f>IFERROR(G141*VLOOKUP($E141,BD!$L$2:$Q$66,5,0),0)</f>
        <v>67.320000000000007</v>
      </c>
      <c r="J141" s="3">
        <f t="shared" si="11"/>
        <v>2021</v>
      </c>
    </row>
    <row r="142" spans="1:10" hidden="1" x14ac:dyDescent="0.25">
      <c r="A142" s="421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20">
        <v>251406</v>
      </c>
      <c r="F142" s="3" t="str">
        <f>IFERROR(VLOOKUP(E142,BD!$L$2:$Q$66,2,0),0)</f>
        <v>COCA-COLA SIN AZUCAR PET 1.5LX2</v>
      </c>
      <c r="G142" s="417">
        <f>198*2</f>
        <v>396</v>
      </c>
      <c r="H142" s="3">
        <f>+IFERROR(VLOOKUP(E142,BD!$L$2:$Q$66,6,0),0)</f>
        <v>198</v>
      </c>
      <c r="I142" s="96">
        <f>IFERROR(G142*VLOOKUP($E142,BD!$L$2:$Q$66,5,0),0)</f>
        <v>67.320000000000007</v>
      </c>
      <c r="J142" s="3">
        <f t="shared" si="11"/>
        <v>2021</v>
      </c>
    </row>
    <row r="143" spans="1:10" hidden="1" x14ac:dyDescent="0.25">
      <c r="A143" s="421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20">
        <v>256676</v>
      </c>
      <c r="F143" s="3" t="str">
        <f>IFERROR(VLOOKUP(E143,BD!$L$2:$Q$66,2,0),0)</f>
        <v>TWO PACK CC PFM 3LX2 - RFCC</v>
      </c>
      <c r="G143" s="417">
        <f>120*2</f>
        <v>240</v>
      </c>
      <c r="H143" s="3">
        <f>+IFERROR(VLOOKUP(E143,BD!$L$2:$Q$66,6,0),0)</f>
        <v>120</v>
      </c>
      <c r="I143" s="96">
        <f>IFERROR(G143*VLOOKUP($E143,BD!$L$2:$Q$66,5,0),0)</f>
        <v>40.800000000000004</v>
      </c>
      <c r="J143" s="3">
        <f t="shared" si="11"/>
        <v>2021</v>
      </c>
    </row>
    <row r="144" spans="1:10" hidden="1" x14ac:dyDescent="0.25">
      <c r="A144" s="421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20">
        <v>751315</v>
      </c>
      <c r="F144" s="3" t="str">
        <f>IFERROR(VLOOKUP(E144,BD!$L$2:$Q$66,2,0),0)</f>
        <v>MONSTER ENERGY 473MLX4</v>
      </c>
      <c r="G144" s="417">
        <v>420</v>
      </c>
      <c r="H144" s="3">
        <f>+IFERROR(VLOOKUP(E144,BD!$L$2:$Q$66,6,0),0)</f>
        <v>420</v>
      </c>
      <c r="I144" s="96">
        <f>IFERROR(G144*VLOOKUP($E144,BD!$L$2:$Q$66,5,0),0)</f>
        <v>176.4</v>
      </c>
      <c r="J144" s="3">
        <f t="shared" si="11"/>
        <v>2021</v>
      </c>
    </row>
    <row r="145" spans="1:10" hidden="1" x14ac:dyDescent="0.25">
      <c r="A145" s="421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20">
        <v>255430</v>
      </c>
      <c r="F145" s="3" t="str">
        <f>IFERROR(VLOOKUP(E145,BD!$L$2:$Q$66,2,0),0)</f>
        <v>INCA KOLA SA PET 500MLX6 - C/STICKER</v>
      </c>
      <c r="G145" s="417">
        <v>250</v>
      </c>
      <c r="H145" s="3">
        <f>+IFERROR(VLOOKUP(E145,BD!$L$2:$Q$66,6,0),0)</f>
        <v>250</v>
      </c>
      <c r="I145" s="96">
        <f>IFERROR(G145*VLOOKUP($E145,BD!$L$2:$Q$66,5,0),0)</f>
        <v>57.5</v>
      </c>
      <c r="J145" s="3">
        <f t="shared" si="11"/>
        <v>2021</v>
      </c>
    </row>
    <row r="146" spans="1:10" hidden="1" x14ac:dyDescent="0.25">
      <c r="A146" s="421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20">
        <v>251406</v>
      </c>
      <c r="F146" s="3" t="str">
        <f>IFERROR(VLOOKUP(E146,BD!$L$2:$Q$66,2,0),0)</f>
        <v>COCA-COLA SIN AZUCAR PET 1.5LX2</v>
      </c>
      <c r="G146" s="417">
        <f>198*8</f>
        <v>1584</v>
      </c>
      <c r="H146" s="3">
        <f>+IFERROR(VLOOKUP(E146,BD!$L$2:$Q$66,6,0),0)</f>
        <v>198</v>
      </c>
      <c r="I146" s="96">
        <f>IFERROR(G146*VLOOKUP($E146,BD!$L$2:$Q$66,5,0),0)</f>
        <v>269.28000000000003</v>
      </c>
      <c r="J146" s="3">
        <f t="shared" si="11"/>
        <v>2021</v>
      </c>
    </row>
    <row r="147" spans="1:10" hidden="1" x14ac:dyDescent="0.25">
      <c r="A147" s="421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7">
        <v>256678</v>
      </c>
      <c r="F147" s="3" t="str">
        <f>IFERROR(VLOOKUP(E147,BD!$L$2:$Q$66,2,0),0)</f>
        <v>TRIPACK (CC+IK)PFM+FT PET 3LX3 - RFNN</v>
      </c>
      <c r="G147" s="409">
        <f>90*16</f>
        <v>1440</v>
      </c>
      <c r="H147" s="3">
        <f>+IFERROR(VLOOKUP(E147,BD!$L$2:$Q$66,6,0),0)</f>
        <v>90</v>
      </c>
      <c r="I147" s="96">
        <f>IFERROR(G147*VLOOKUP($E147,BD!$L$2:$Q$66,5,0),0)</f>
        <v>244.8</v>
      </c>
      <c r="J147" s="3">
        <f t="shared" si="11"/>
        <v>2021</v>
      </c>
    </row>
    <row r="148" spans="1:10" hidden="1" x14ac:dyDescent="0.25">
      <c r="A148" s="421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7">
        <v>256488</v>
      </c>
      <c r="F148" s="3" t="str">
        <f>IFERROR(VLOOKUP(E148,BD!$L$2:$Q$66,2,0),0)</f>
        <v>INCA KOLA PET 3LX2 - RF</v>
      </c>
      <c r="G148" s="409">
        <f>120*2</f>
        <v>240</v>
      </c>
      <c r="H148" s="3">
        <f>+IFERROR(VLOOKUP(E148,BD!$L$2:$Q$66,6,0),0)</f>
        <v>120</v>
      </c>
      <c r="I148" s="96">
        <f>IFERROR(G148*VLOOKUP($E148,BD!$L$2:$Q$66,5,0),0)</f>
        <v>40.800000000000004</v>
      </c>
      <c r="J148" s="3">
        <f t="shared" si="11"/>
        <v>2021</v>
      </c>
    </row>
    <row r="149" spans="1:10" hidden="1" x14ac:dyDescent="0.25">
      <c r="A149" s="421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7">
        <v>256616</v>
      </c>
      <c r="F149" s="3" t="str">
        <f>IFERROR(VLOOKUP(E149,BD!$L$2:$Q$66,2,0),0)</f>
        <v>TWO PACK SCHWEPPES CITRUS PET 1.5LX2</v>
      </c>
      <c r="G149" s="409">
        <f>180*4</f>
        <v>720</v>
      </c>
      <c r="H149" s="3">
        <f>+IFERROR(VLOOKUP(E149,BD!$L$2:$Q$66,6,0),0)</f>
        <v>198</v>
      </c>
      <c r="I149" s="96">
        <f>IFERROR(G149*VLOOKUP($E149,BD!$L$2:$Q$66,5,0),0)</f>
        <v>122.4</v>
      </c>
      <c r="J149" s="3">
        <f t="shared" si="11"/>
        <v>2021</v>
      </c>
    </row>
    <row r="150" spans="1:10" hidden="1" x14ac:dyDescent="0.25">
      <c r="A150" s="421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7">
        <v>256677</v>
      </c>
      <c r="F150" s="3" t="str">
        <f>IFERROR(VLOOKUP(E150,BD!$L$2:$Q$66,2,0),0)</f>
        <v>TWO PACK CC + IK PFM 3LX2 - RFNN</v>
      </c>
      <c r="G150" s="409">
        <f>120*8</f>
        <v>960</v>
      </c>
      <c r="H150" s="3">
        <f>+IFERROR(VLOOKUP(E150,BD!$L$2:$Q$66,6,0),0)</f>
        <v>120</v>
      </c>
      <c r="I150" s="96">
        <f>IFERROR(G150*VLOOKUP($E150,BD!$L$2:$Q$66,5,0),0)</f>
        <v>163.20000000000002</v>
      </c>
      <c r="J150" s="3">
        <f t="shared" si="11"/>
        <v>2021</v>
      </c>
    </row>
    <row r="151" spans="1:10" hidden="1" x14ac:dyDescent="0.25">
      <c r="A151" s="421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7">
        <v>256674</v>
      </c>
      <c r="F151" s="3" t="str">
        <f>IFERROR(VLOOKUP(E151,BD!$L$2:$Q$66,2,0),0)</f>
        <v>COCA-COLA PET 1.5LX2 RF</v>
      </c>
      <c r="G151" s="409">
        <f>198*6</f>
        <v>1188</v>
      </c>
      <c r="H151" s="3">
        <f>+IFERROR(VLOOKUP(E151,BD!$L$2:$Q$66,6,0),0)</f>
        <v>198</v>
      </c>
      <c r="I151" s="96">
        <f>IFERROR(G151*VLOOKUP($E151,BD!$L$2:$Q$66,5,0),0)</f>
        <v>201.96</v>
      </c>
      <c r="J151" s="3">
        <f t="shared" si="11"/>
        <v>2021</v>
      </c>
    </row>
    <row r="152" spans="1:10" hidden="1" x14ac:dyDescent="0.25">
      <c r="A152" s="421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7">
        <v>751315</v>
      </c>
      <c r="F152" s="3" t="str">
        <f>IFERROR(VLOOKUP(E152,BD!$L$2:$Q$66,2,0),0)</f>
        <v>MONSTER ENERGY 473MLX4</v>
      </c>
      <c r="G152" s="409">
        <f>420*4</f>
        <v>1680</v>
      </c>
      <c r="H152" s="3">
        <f>+IFERROR(VLOOKUP(E152,BD!$L$2:$Q$66,6,0),0)</f>
        <v>420</v>
      </c>
      <c r="I152" s="96">
        <f>IFERROR(G152*VLOOKUP($E152,BD!$L$2:$Q$66,5,0),0)</f>
        <v>705.6</v>
      </c>
      <c r="J152" s="3">
        <f t="shared" si="11"/>
        <v>2021</v>
      </c>
    </row>
    <row r="153" spans="1:10" hidden="1" x14ac:dyDescent="0.25">
      <c r="A153" s="421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7">
        <v>251429</v>
      </c>
      <c r="F153" s="3" t="str">
        <f>IFERROR(VLOOKUP(E153,BD!$L$2:$Q$66,2,0),0)</f>
        <v>SAN LUIS SIN GAS PET2500X6 STICKER</v>
      </c>
      <c r="G153" s="409">
        <f>48*4</f>
        <v>192</v>
      </c>
      <c r="H153" s="3">
        <f>+IFERROR(VLOOKUP(E153,BD!$L$2:$Q$66,6,0),0)</f>
        <v>48</v>
      </c>
      <c r="I153" s="96">
        <f>IFERROR(G153*VLOOKUP($E153,BD!$L$2:$Q$66,5,0),0)</f>
        <v>76.800000000000011</v>
      </c>
      <c r="J153" s="3">
        <f t="shared" si="11"/>
        <v>2021</v>
      </c>
    </row>
    <row r="154" spans="1:10" hidden="1" x14ac:dyDescent="0.25">
      <c r="A154" s="421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7">
        <v>256695</v>
      </c>
      <c r="F154" s="3" t="str">
        <f>IFERROR(VLOOKUP(E154,BD!$L$2:$Q$66,2,0),0)</f>
        <v>POWERADE 3MORA+3FRUT PET 473MLX6</v>
      </c>
      <c r="G154" s="409">
        <f>225*6</f>
        <v>1350</v>
      </c>
      <c r="H154" s="3">
        <f>+IFERROR(VLOOKUP(E154,BD!$L$2:$Q$66,6,0),0)</f>
        <v>225</v>
      </c>
      <c r="I154" s="96">
        <f>IFERROR(G154*VLOOKUP($E154,BD!$L$2:$Q$66,5,0),0)</f>
        <v>567</v>
      </c>
      <c r="J154" s="3">
        <f t="shared" si="11"/>
        <v>2021</v>
      </c>
    </row>
    <row r="155" spans="1:10" hidden="1" x14ac:dyDescent="0.25">
      <c r="A155" s="421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7">
        <v>255430</v>
      </c>
      <c r="F155" s="3" t="str">
        <f>IFERROR(VLOOKUP(E155,BD!$L$2:$Q$66,2,0),0)</f>
        <v>INCA KOLA SA PET 500MLX6 - C/STICKER</v>
      </c>
      <c r="G155" s="409">
        <f>250*4</f>
        <v>1000</v>
      </c>
      <c r="H155" s="3">
        <f>+IFERROR(VLOOKUP(E155,BD!$L$2:$Q$66,6,0),0)</f>
        <v>250</v>
      </c>
      <c r="I155" s="96">
        <f>IFERROR(G155*VLOOKUP($E155,BD!$L$2:$Q$66,5,0),0)</f>
        <v>230</v>
      </c>
      <c r="J155" s="3">
        <f t="shared" si="11"/>
        <v>2021</v>
      </c>
    </row>
    <row r="156" spans="1:10" hidden="1" x14ac:dyDescent="0.25">
      <c r="A156" s="421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20">
        <v>251406</v>
      </c>
      <c r="F156" s="3" t="str">
        <f>IFERROR(VLOOKUP(E156,BD!$L$2:$Q$66,2,0),0)</f>
        <v>COCA-COLA SIN AZUCAR PET 1.5LX2</v>
      </c>
      <c r="G156" s="417">
        <f>2*198</f>
        <v>396</v>
      </c>
      <c r="H156" s="3">
        <f>+IFERROR(VLOOKUP(E156,BD!$L$2:$Q$66,6,0),0)</f>
        <v>198</v>
      </c>
      <c r="I156" s="96">
        <f>IFERROR(G156*VLOOKUP($E156,BD!$L$2:$Q$66,5,0),0)</f>
        <v>67.320000000000007</v>
      </c>
      <c r="J156" s="3">
        <f t="shared" si="11"/>
        <v>2021</v>
      </c>
    </row>
    <row r="157" spans="1:10" hidden="1" x14ac:dyDescent="0.25">
      <c r="A157" s="421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20">
        <v>256666</v>
      </c>
      <c r="F157" s="3" t="str">
        <f>IFERROR(VLOOKUP(E157,BD!$L$2:$Q$66,2,0),0)</f>
        <v>COCA-COLA PET 2.25LX2 RF</v>
      </c>
      <c r="G157" s="417">
        <f>162*2</f>
        <v>324</v>
      </c>
      <c r="H157" s="3">
        <f>+IFERROR(VLOOKUP(E157,BD!$L$2:$Q$66,6,0),0)</f>
        <v>162</v>
      </c>
      <c r="I157" s="96">
        <f>IFERROR(G157*VLOOKUP($E157,BD!$L$2:$Q$66,5,0),0)</f>
        <v>55.080000000000005</v>
      </c>
      <c r="J157" s="3">
        <f t="shared" si="11"/>
        <v>2021</v>
      </c>
    </row>
    <row r="158" spans="1:10" hidden="1" x14ac:dyDescent="0.25">
      <c r="A158" s="421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20">
        <v>256488</v>
      </c>
      <c r="F158" s="3" t="str">
        <f>IFERROR(VLOOKUP(E158,BD!$L$2:$Q$66,2,0),0)</f>
        <v>INCA KOLA PET 3LX2 - RF</v>
      </c>
      <c r="G158" s="417">
        <f>19*120</f>
        <v>2280</v>
      </c>
      <c r="H158" s="3">
        <f>+IFERROR(VLOOKUP(E158,BD!$L$2:$Q$66,6,0),0)</f>
        <v>120</v>
      </c>
      <c r="I158" s="96">
        <f>IFERROR(G158*VLOOKUP($E158,BD!$L$2:$Q$66,5,0),0)</f>
        <v>387.6</v>
      </c>
      <c r="J158" s="3">
        <f t="shared" si="11"/>
        <v>2021</v>
      </c>
    </row>
    <row r="159" spans="1:10" hidden="1" x14ac:dyDescent="0.25">
      <c r="A159" s="421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20">
        <v>256652</v>
      </c>
      <c r="F159" s="3" t="str">
        <f>IFERROR(VLOOKUP(E159,BD!$L$2:$Q$66,2,0),0)</f>
        <v>TRIPACK FT NAR+FT KI+SP PET 3L</v>
      </c>
      <c r="G159" s="417">
        <f>90*5</f>
        <v>450</v>
      </c>
      <c r="H159" s="3">
        <f>+IFERROR(VLOOKUP(E159,BD!$L$2:$Q$66,6,0),0)</f>
        <v>90</v>
      </c>
      <c r="I159" s="96">
        <f>IFERROR(G159*VLOOKUP($E159,BD!$L$2:$Q$66,5,0),0)</f>
        <v>76.5</v>
      </c>
      <c r="J159" s="3">
        <f t="shared" si="11"/>
        <v>2021</v>
      </c>
    </row>
    <row r="160" spans="1:10" hidden="1" x14ac:dyDescent="0.25">
      <c r="A160" s="421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20">
        <v>256677</v>
      </c>
      <c r="F160" s="3" t="str">
        <f>IFERROR(VLOOKUP(E160,BD!$L$2:$Q$66,2,0),0)</f>
        <v>TWO PACK CC + IK PFM 3LX2 - RFNN</v>
      </c>
      <c r="G160" s="417">
        <f>120*22</f>
        <v>2640</v>
      </c>
      <c r="H160" s="3">
        <f>+IFERROR(VLOOKUP(E160,BD!$L$2:$Q$66,6,0),0)</f>
        <v>120</v>
      </c>
      <c r="I160" s="96">
        <f>IFERROR(G160*VLOOKUP($E160,BD!$L$2:$Q$66,5,0),0)</f>
        <v>448.8</v>
      </c>
      <c r="J160" s="3">
        <f t="shared" si="11"/>
        <v>2021</v>
      </c>
    </row>
    <row r="161" spans="1:10" hidden="1" x14ac:dyDescent="0.25">
      <c r="A161" s="421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20">
        <v>256678</v>
      </c>
      <c r="F161" s="3" t="str">
        <f>IFERROR(VLOOKUP(E161,BD!$L$2:$Q$66,2,0),0)</f>
        <v>TRIPACK (CC+IK)PFM+FT PET 3LX3 - RFNN</v>
      </c>
      <c r="G161" s="417">
        <v>180</v>
      </c>
      <c r="H161" s="3">
        <f>+IFERROR(VLOOKUP(E161,BD!$L$2:$Q$66,6,0),0)</f>
        <v>90</v>
      </c>
      <c r="I161" s="96">
        <f>IFERROR(G161*VLOOKUP($E161,BD!$L$2:$Q$66,5,0),0)</f>
        <v>30.6</v>
      </c>
      <c r="J161" s="3">
        <f t="shared" si="11"/>
        <v>2021</v>
      </c>
    </row>
    <row r="162" spans="1:10" hidden="1" x14ac:dyDescent="0.25">
      <c r="A162" s="421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20">
        <v>256680</v>
      </c>
      <c r="F162" s="3" t="str">
        <f>IFERROR(VLOOKUP(E162,BD!$L$2:$Q$66,2,0),0)</f>
        <v>TRIPACK CC+CC+IK PFM 3LX3 - RFNN</v>
      </c>
      <c r="G162" s="417">
        <v>180</v>
      </c>
      <c r="H162" s="3">
        <f>+IFERROR(VLOOKUP(E162,BD!$L$2:$Q$66,6,0),0)</f>
        <v>90</v>
      </c>
      <c r="I162" s="96">
        <f>IFERROR(G162*VLOOKUP($E162,BD!$L$2:$Q$66,5,0),0)</f>
        <v>30.6</v>
      </c>
      <c r="J162" s="3">
        <f t="shared" si="11"/>
        <v>2021</v>
      </c>
    </row>
    <row r="163" spans="1:10" hidden="1" x14ac:dyDescent="0.25">
      <c r="A163" s="421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20">
        <v>256676</v>
      </c>
      <c r="F163" s="3" t="str">
        <f>IFERROR(VLOOKUP(E163,BD!$L$2:$Q$66,2,0),0)</f>
        <v>TWO PACK CC PFM 3LX2 - RFCC</v>
      </c>
      <c r="G163" s="417">
        <f>120*8</f>
        <v>960</v>
      </c>
      <c r="H163" s="3">
        <f>+IFERROR(VLOOKUP(E163,BD!$L$2:$Q$66,6,0),0)</f>
        <v>120</v>
      </c>
      <c r="I163" s="96">
        <f>IFERROR(G163*VLOOKUP($E163,BD!$L$2:$Q$66,5,0),0)</f>
        <v>163.20000000000002</v>
      </c>
      <c r="J163" s="3">
        <f t="shared" si="11"/>
        <v>2021</v>
      </c>
    </row>
    <row r="164" spans="1:10" hidden="1" x14ac:dyDescent="0.25">
      <c r="A164" s="421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20">
        <v>256678</v>
      </c>
      <c r="F164" s="3" t="str">
        <f>IFERROR(VLOOKUP(E164,BD!$L$2:$Q$66,2,0),0)</f>
        <v>TRIPACK (CC+IK)PFM+FT PET 3LX3 - RFNN</v>
      </c>
      <c r="G164" s="417">
        <f>90*5</f>
        <v>450</v>
      </c>
      <c r="H164" s="3">
        <f>+IFERROR(VLOOKUP(E164,BD!$L$2:$Q$66,6,0),0)</f>
        <v>90</v>
      </c>
      <c r="I164" s="96">
        <f>IFERROR(G164*VLOOKUP($E164,BD!$L$2:$Q$66,5,0),0)</f>
        <v>76.5</v>
      </c>
      <c r="J164" s="3">
        <f t="shared" si="11"/>
        <v>2021</v>
      </c>
    </row>
    <row r="165" spans="1:10" hidden="1" x14ac:dyDescent="0.25">
      <c r="A165" s="421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20">
        <v>256674</v>
      </c>
      <c r="F165" s="3" t="str">
        <f>IFERROR(VLOOKUP(E165,BD!$L$2:$Q$66,2,0),0)</f>
        <v>COCA-COLA PET 1.5LX2 RF</v>
      </c>
      <c r="G165" s="418">
        <f>2*198</f>
        <v>396</v>
      </c>
      <c r="H165" s="3">
        <f>+IFERROR(VLOOKUP(E165,BD!$L$2:$Q$66,6,0),0)</f>
        <v>198</v>
      </c>
      <c r="I165" s="96">
        <f>IFERROR(G165*VLOOKUP($E165,BD!$L$2:$Q$66,5,0),0)</f>
        <v>67.320000000000007</v>
      </c>
      <c r="J165" s="3">
        <f t="shared" si="11"/>
        <v>2021</v>
      </c>
    </row>
    <row r="166" spans="1:10" hidden="1" x14ac:dyDescent="0.25">
      <c r="A166" s="421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20">
        <v>751315</v>
      </c>
      <c r="F166" s="3" t="str">
        <f>IFERROR(VLOOKUP(E166,BD!$L$2:$Q$66,2,0),0)</f>
        <v>MONSTER ENERGY 473MLX4</v>
      </c>
      <c r="G166" s="418">
        <f>420*4</f>
        <v>1680</v>
      </c>
      <c r="H166" s="3">
        <f>+IFERROR(VLOOKUP(E166,BD!$L$2:$Q$66,6,0),0)</f>
        <v>420</v>
      </c>
      <c r="I166" s="96">
        <f>IFERROR(G166*VLOOKUP($E166,BD!$L$2:$Q$66,5,0),0)</f>
        <v>705.6</v>
      </c>
      <c r="J166" s="3">
        <f t="shared" si="11"/>
        <v>2021</v>
      </c>
    </row>
    <row r="167" spans="1:10" hidden="1" x14ac:dyDescent="0.25">
      <c r="A167" s="421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20">
        <v>256675</v>
      </c>
      <c r="F167" s="3" t="str">
        <f>IFERROR(VLOOKUP(E167,BD!$L$2:$Q$66,2,0),0)</f>
        <v>INCA KOLA PET 1.5LX2 RF</v>
      </c>
      <c r="G167" s="417">
        <f>198*4</f>
        <v>792</v>
      </c>
      <c r="H167" s="3">
        <f>+IFERROR(VLOOKUP(E167,BD!$L$2:$Q$66,6,0),0)</f>
        <v>198</v>
      </c>
      <c r="I167" s="96">
        <f>IFERROR(G167*VLOOKUP($E167,BD!$L$2:$Q$66,5,0),0)</f>
        <v>134.64000000000001</v>
      </c>
      <c r="J167" s="3">
        <f t="shared" si="11"/>
        <v>2021</v>
      </c>
    </row>
    <row r="168" spans="1:10" hidden="1" x14ac:dyDescent="0.25">
      <c r="A168" s="421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20">
        <v>251633</v>
      </c>
      <c r="F168" s="3" t="str">
        <f>IFERROR(VLOOKUP(E168,BD!$L$2:$Q$66,2,0),0)</f>
        <v>SAN LUIS CON GAS PET 625MLX6</v>
      </c>
      <c r="G168" s="417">
        <f>180*4</f>
        <v>720</v>
      </c>
      <c r="H168" s="3">
        <f>+IFERROR(VLOOKUP(E168,BD!$L$2:$Q$66,6,0),0)</f>
        <v>180</v>
      </c>
      <c r="I168" s="96">
        <f>IFERROR(G168*VLOOKUP($E168,BD!$L$2:$Q$66,5,0),0)</f>
        <v>302.39999999999998</v>
      </c>
      <c r="J168" s="3">
        <f t="shared" si="11"/>
        <v>2021</v>
      </c>
    </row>
    <row r="169" spans="1:10" hidden="1" x14ac:dyDescent="0.25">
      <c r="A169" s="421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20">
        <v>251429</v>
      </c>
      <c r="F169" s="3" t="str">
        <f>IFERROR(VLOOKUP(E169,BD!$L$2:$Q$66,2,0),0)</f>
        <v>SAN LUIS SIN GAS PET2500X6 STICKER</v>
      </c>
      <c r="G169" s="417">
        <f>6*48</f>
        <v>288</v>
      </c>
      <c r="H169" s="3">
        <f>+IFERROR(VLOOKUP(E169,BD!$L$2:$Q$66,6,0),0)</f>
        <v>48</v>
      </c>
      <c r="I169" s="96">
        <f>IFERROR(G169*VLOOKUP($E169,BD!$L$2:$Q$66,5,0),0)</f>
        <v>115.2</v>
      </c>
      <c r="J169" s="3">
        <f t="shared" si="11"/>
        <v>2021</v>
      </c>
    </row>
    <row r="170" spans="1:10" hidden="1" x14ac:dyDescent="0.25">
      <c r="A170" s="421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20">
        <v>255405</v>
      </c>
      <c r="F170" s="3" t="str">
        <f>IFERROR(VLOOKUP(E170,BD!$L$2:$Q$66,2,0),0)</f>
        <v>FRUGOS BEBIDA DZ VNR 286MLX6 C/STICKER</v>
      </c>
      <c r="G170" s="418">
        <v>350</v>
      </c>
      <c r="H170" s="3">
        <f>+IFERROR(VLOOKUP(E170,BD!$L$2:$Q$66,6,0),0)</f>
        <v>350</v>
      </c>
      <c r="I170" s="96">
        <f>IFERROR(G170*VLOOKUP($E170,BD!$L$2:$Q$66,5,0),0)</f>
        <v>80.5</v>
      </c>
      <c r="J170" s="3">
        <f t="shared" si="11"/>
        <v>2021</v>
      </c>
    </row>
    <row r="171" spans="1:10" hidden="1" x14ac:dyDescent="0.25">
      <c r="A171" s="421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20">
        <v>256379</v>
      </c>
      <c r="F171" s="3" t="str">
        <f>IFERROR(VLOOKUP(E171,BD!$L$2:$Q$66,2,0),0)</f>
        <v>INCA KOLA VR 625MLX12 - STICKER</v>
      </c>
      <c r="G171" s="417">
        <f>50*3</f>
        <v>150</v>
      </c>
      <c r="H171" s="3">
        <f>+IFERROR(VLOOKUP(E171,BD!$L$2:$Q$66,6,0),0)</f>
        <v>50</v>
      </c>
      <c r="I171" s="96">
        <f>IFERROR(G171*VLOOKUP($E171,BD!$L$2:$Q$66,5,0),0)</f>
        <v>60</v>
      </c>
      <c r="J171" s="3">
        <f t="shared" si="11"/>
        <v>2021</v>
      </c>
    </row>
    <row r="172" spans="1:10" hidden="1" x14ac:dyDescent="0.25">
      <c r="A172" s="421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20">
        <v>256381</v>
      </c>
      <c r="F172" s="3" t="str">
        <f>IFERROR(VLOOKUP(E172,BD!$L$2:$Q$66,2,0),0)</f>
        <v>INCA KOLA VR 1.5LX8 - STICKER</v>
      </c>
      <c r="G172" s="417">
        <v>30</v>
      </c>
      <c r="H172" s="3">
        <f>+IFERROR(VLOOKUP(E172,BD!$L$2:$Q$66,6,0),0)</f>
        <v>30</v>
      </c>
      <c r="I172" s="96">
        <f>IFERROR(G172*VLOOKUP($E172,BD!$L$2:$Q$66,5,0),0)</f>
        <v>12</v>
      </c>
      <c r="J172" s="3">
        <f t="shared" si="11"/>
        <v>2021</v>
      </c>
    </row>
    <row r="173" spans="1:10" hidden="1" x14ac:dyDescent="0.25">
      <c r="A173" s="421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20">
        <v>256683</v>
      </c>
      <c r="F173" s="3" t="str">
        <f>IFERROR(VLOOKUP(E173,BD!$L$2:$Q$66,2,0),0)</f>
        <v>CC+CC 1.5x2</v>
      </c>
      <c r="G173" s="417">
        <f>30*5</f>
        <v>150</v>
      </c>
      <c r="H173" s="3">
        <f>+IFERROR(VLOOKUP(E173,BD!$L$2:$Q$66,6,0),0)</f>
        <v>90</v>
      </c>
      <c r="I173" s="96">
        <f>IFERROR(G173*VLOOKUP($E173,BD!$L$2:$Q$66,5,0),0)</f>
        <v>25.500000000000004</v>
      </c>
      <c r="J173" s="3">
        <f t="shared" si="11"/>
        <v>2021</v>
      </c>
    </row>
    <row r="174" spans="1:10" hidden="1" x14ac:dyDescent="0.25">
      <c r="A174" s="421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20">
        <v>256695</v>
      </c>
      <c r="F174" s="3" t="str">
        <f>IFERROR(VLOOKUP(E174,BD!$L$2:$Q$66,2,0),0)</f>
        <v>POWERADE 3MORA+3FRUT PET 473MLX6</v>
      </c>
      <c r="G174" s="417">
        <v>225</v>
      </c>
      <c r="H174" s="3">
        <f>+IFERROR(VLOOKUP(E174,BD!$L$2:$Q$66,6,0),0)</f>
        <v>225</v>
      </c>
      <c r="I174" s="96">
        <f>IFERROR(G174*VLOOKUP($E174,BD!$L$2:$Q$66,5,0),0)</f>
        <v>94.5</v>
      </c>
      <c r="J174" s="3">
        <f t="shared" si="11"/>
        <v>2021</v>
      </c>
    </row>
    <row r="175" spans="1:10" hidden="1" x14ac:dyDescent="0.25">
      <c r="A175" s="421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20">
        <v>256708</v>
      </c>
      <c r="F175" s="3" t="str">
        <f>IFERROR(VLOOKUP(E175,BD!$L$2:$Q$66,2,0),0)</f>
        <v>POWERADE ION4 FRUTA PET473X6 MOD (STICK)</v>
      </c>
      <c r="G175" s="417">
        <v>225</v>
      </c>
      <c r="H175" s="3">
        <f>+IFERROR(VLOOKUP(E175,BD!$L$2:$Q$66,6,0),0)</f>
        <v>225</v>
      </c>
      <c r="I175" s="96">
        <f>IFERROR(G175*VLOOKUP($E175,BD!$L$2:$Q$66,5,0),0)</f>
        <v>90</v>
      </c>
      <c r="J175" s="3">
        <f t="shared" si="11"/>
        <v>2021</v>
      </c>
    </row>
    <row r="176" spans="1:10" hidden="1" x14ac:dyDescent="0.25">
      <c r="A176" s="421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20">
        <v>254853</v>
      </c>
      <c r="F176" s="3" t="str">
        <f>IFERROR(VLOOKUP(E176,BD!$L$2:$Q$66,2,0),0)</f>
        <v>INCA KOLA SIN AZUCAR PET 1.5LX2</v>
      </c>
      <c r="G176" s="417">
        <f>198*3</f>
        <v>594</v>
      </c>
      <c r="H176" s="3">
        <f>+IFERROR(VLOOKUP(E176,BD!$L$2:$Q$66,6,0),0)</f>
        <v>198</v>
      </c>
      <c r="I176" s="96">
        <f>IFERROR(G176*VLOOKUP($E176,BD!$L$2:$Q$66,5,0),0)</f>
        <v>100.98</v>
      </c>
      <c r="J176" s="3">
        <f t="shared" si="11"/>
        <v>2021</v>
      </c>
    </row>
    <row r="177" spans="1:10" hidden="1" x14ac:dyDescent="0.25">
      <c r="A177" s="421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7">
        <v>751315</v>
      </c>
      <c r="F177" s="54" t="str">
        <f>IFERROR(VLOOKUP(E177,BD!$L$2:$Q$66,2,0),0)</f>
        <v>MONSTER ENERGY 473MLX4</v>
      </c>
      <c r="G177" s="409">
        <f>3*420</f>
        <v>1260</v>
      </c>
      <c r="H177" s="432">
        <f>+IFERROR(VLOOKUP(E177,BD!$L$2:$Q$66,6,0),0)</f>
        <v>420</v>
      </c>
      <c r="I177" s="429">
        <f>IFERROR(G177*VLOOKUP($E177,BD!$L$2:$Q$66,5,0),0)</f>
        <v>529.19999999999993</v>
      </c>
      <c r="J177" s="3">
        <f t="shared" si="11"/>
        <v>2021</v>
      </c>
    </row>
    <row r="178" spans="1:10" hidden="1" x14ac:dyDescent="0.25">
      <c r="A178" s="421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7">
        <v>251633</v>
      </c>
      <c r="F178" s="54" t="str">
        <f>IFERROR(VLOOKUP(E178,BD!$L$2:$Q$66,2,0),0)</f>
        <v>SAN LUIS CON GAS PET 625MLX6</v>
      </c>
      <c r="G178" s="409">
        <v>180</v>
      </c>
      <c r="H178" s="432">
        <f>+IFERROR(VLOOKUP(E178,BD!$L$2:$Q$66,6,0),0)</f>
        <v>180</v>
      </c>
      <c r="I178" s="96">
        <f>IFERROR(G178*VLOOKUP($E178,BD!$L$2:$Q$66,5,0),0)</f>
        <v>75.599999999999994</v>
      </c>
      <c r="J178" s="3">
        <f t="shared" si="11"/>
        <v>2021</v>
      </c>
    </row>
    <row r="179" spans="1:10" hidden="1" x14ac:dyDescent="0.25">
      <c r="A179" s="421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20">
        <v>251429</v>
      </c>
      <c r="F179" s="3" t="str">
        <f>IFERROR(VLOOKUP(E179,BD!$L$2:$Q$66,2,0),0)</f>
        <v>SAN LUIS SIN GAS PET2500X6 STICKER</v>
      </c>
      <c r="G179" s="420">
        <f>48*2</f>
        <v>96</v>
      </c>
      <c r="H179" s="3">
        <f>+IFERROR(VLOOKUP(E179,BD!$L$2:$Q$66,6,0),0)</f>
        <v>48</v>
      </c>
      <c r="I179" s="96">
        <f>IFERROR(G179*VLOOKUP($E179,BD!$L$2:$Q$66,5,0),0)</f>
        <v>38.400000000000006</v>
      </c>
      <c r="J179" s="3">
        <f t="shared" si="11"/>
        <v>2021</v>
      </c>
    </row>
    <row r="180" spans="1:10" hidden="1" x14ac:dyDescent="0.25">
      <c r="A180" s="421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20">
        <v>255405</v>
      </c>
      <c r="F180" s="3" t="str">
        <f>IFERROR(VLOOKUP(E180,BD!$L$2:$Q$66,2,0),0)</f>
        <v>FRUGOS BEBIDA DZ VNR 286MLX6 C/STICKER</v>
      </c>
      <c r="G180" s="420">
        <v>350</v>
      </c>
      <c r="H180" s="3">
        <f>+IFERROR(VLOOKUP(E180,BD!$L$2:$Q$66,6,0),0)</f>
        <v>350</v>
      </c>
      <c r="I180" s="96">
        <f>IFERROR(G180*VLOOKUP($E180,BD!$L$2:$Q$66,5,0),0)</f>
        <v>80.5</v>
      </c>
      <c r="J180" s="3">
        <f t="shared" si="11"/>
        <v>2021</v>
      </c>
    </row>
    <row r="181" spans="1:10" hidden="1" x14ac:dyDescent="0.25">
      <c r="A181" s="421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20">
        <v>751315</v>
      </c>
      <c r="F181" s="3" t="str">
        <f>IFERROR(VLOOKUP(E181,BD!$L$2:$Q$66,2,0),0)</f>
        <v>MONSTER ENERGY 473MLX4</v>
      </c>
      <c r="G181" s="420">
        <f>420*2</f>
        <v>840</v>
      </c>
      <c r="H181" s="3">
        <f>+IFERROR(VLOOKUP(E181,BD!$L$2:$Q$66,6,0),0)</f>
        <v>420</v>
      </c>
      <c r="I181" s="96">
        <f>IFERROR(G181*VLOOKUP($E181,BD!$L$2:$Q$66,5,0),0)</f>
        <v>352.8</v>
      </c>
      <c r="J181" s="3">
        <f t="shared" si="11"/>
        <v>2021</v>
      </c>
    </row>
    <row r="182" spans="1:10" hidden="1" x14ac:dyDescent="0.25">
      <c r="A182" s="421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20">
        <v>251406</v>
      </c>
      <c r="F182" s="3" t="str">
        <f>IFERROR(VLOOKUP(E182,BD!$L$2:$Q$66,2,0),0)</f>
        <v>COCA-COLA SIN AZUCAR PET 1.5LX2</v>
      </c>
      <c r="G182" s="417">
        <f>198*15</f>
        <v>2970</v>
      </c>
      <c r="H182" s="3">
        <f>+IFERROR(VLOOKUP(E182,BD!$L$2:$Q$66,6,0),0)</f>
        <v>198</v>
      </c>
      <c r="I182" s="96">
        <f>IFERROR(G182*VLOOKUP($E182,BD!$L$2:$Q$66,5,0),0)</f>
        <v>504.90000000000003</v>
      </c>
      <c r="J182" s="3">
        <f t="shared" si="11"/>
        <v>2021</v>
      </c>
    </row>
    <row r="183" spans="1:10" hidden="1" x14ac:dyDescent="0.25">
      <c r="A183" s="421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20">
        <v>254853</v>
      </c>
      <c r="F183" s="3" t="str">
        <f>IFERROR(VLOOKUP(E183,BD!$L$2:$Q$66,2,0),0)</f>
        <v>INCA KOLA SIN AZUCAR PET 1.5LX2</v>
      </c>
      <c r="G183" s="417">
        <f>198*10</f>
        <v>1980</v>
      </c>
      <c r="H183" s="3">
        <f>+IFERROR(VLOOKUP(E183,BD!$L$2:$Q$66,6,0),0)</f>
        <v>198</v>
      </c>
      <c r="I183" s="96">
        <f>IFERROR(G183*VLOOKUP($E183,BD!$L$2:$Q$66,5,0),0)</f>
        <v>336.6</v>
      </c>
      <c r="J183" s="3">
        <f t="shared" si="11"/>
        <v>2021</v>
      </c>
    </row>
    <row r="184" spans="1:10" hidden="1" x14ac:dyDescent="0.25">
      <c r="A184" s="421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20">
        <v>256682</v>
      </c>
      <c r="F184" s="3" t="str">
        <f>IFERROR(VLOOKUP(E184,BD!$L$2:$Q$66,2,0),0)</f>
        <v>TRIPACK (FT NAR+SP)PET+IK RF PFM 3L</v>
      </c>
      <c r="G184" s="417">
        <f>90*2</f>
        <v>180</v>
      </c>
      <c r="H184" s="3">
        <f>+IFERROR(VLOOKUP(E184,BD!$L$2:$Q$66,6,0),0)</f>
        <v>90</v>
      </c>
      <c r="I184" s="96">
        <f>IFERROR(G184*VLOOKUP($E184,BD!$L$2:$Q$66,5,0),0)</f>
        <v>30.6</v>
      </c>
      <c r="J184" s="3">
        <f t="shared" si="11"/>
        <v>2021</v>
      </c>
    </row>
    <row r="185" spans="1:10" hidden="1" x14ac:dyDescent="0.25">
      <c r="A185" s="421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20">
        <v>256616</v>
      </c>
      <c r="F185" s="3" t="str">
        <f>IFERROR(VLOOKUP(E185,BD!$L$2:$Q$66,2,0),0)</f>
        <v>TWO PACK SCHWEPPES CITRUS PET 1.5LX2</v>
      </c>
      <c r="G185" s="417">
        <f>198*6</f>
        <v>1188</v>
      </c>
      <c r="H185" s="3">
        <f>+IFERROR(VLOOKUP(E185,BD!$L$2:$Q$66,6,0),0)</f>
        <v>198</v>
      </c>
      <c r="I185" s="96">
        <f>IFERROR(G185*VLOOKUP($E185,BD!$L$2:$Q$66,5,0),0)</f>
        <v>201.96</v>
      </c>
      <c r="J185" s="3">
        <f t="shared" si="11"/>
        <v>2021</v>
      </c>
    </row>
    <row r="186" spans="1:10" hidden="1" x14ac:dyDescent="0.25">
      <c r="A186" s="421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20">
        <v>256617</v>
      </c>
      <c r="F186" s="3" t="str">
        <f>IFERROR(VLOOKUP(E186,BD!$L$2:$Q$66,2,0),0)</f>
        <v>TWO PACK SCHWEPPES GINGER ALE PET 1.5LX2</v>
      </c>
      <c r="G186" s="417">
        <f>198*2</f>
        <v>396</v>
      </c>
      <c r="H186" s="3">
        <f>+IFERROR(VLOOKUP(E186,BD!$L$2:$Q$66,6,0),0)</f>
        <v>198</v>
      </c>
      <c r="I186" s="96">
        <f>IFERROR(G186*VLOOKUP($E186,BD!$L$2:$Q$66,5,0),0)</f>
        <v>67.320000000000007</v>
      </c>
      <c r="J186" s="3">
        <f t="shared" si="11"/>
        <v>2021</v>
      </c>
    </row>
    <row r="187" spans="1:10" hidden="1" x14ac:dyDescent="0.25">
      <c r="A187" s="421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20">
        <v>256652</v>
      </c>
      <c r="F187" s="3" t="str">
        <f>IFERROR(VLOOKUP(E187,BD!$L$2:$Q$66,2,0),0)</f>
        <v>TRIPACK FT NAR+FT KI+SP PET 3L</v>
      </c>
      <c r="G187" s="417">
        <f>90*8</f>
        <v>720</v>
      </c>
      <c r="H187" s="3">
        <f>+IFERROR(VLOOKUP(E187,BD!$L$2:$Q$66,6,0),0)</f>
        <v>90</v>
      </c>
      <c r="I187" s="96">
        <f>IFERROR(G187*VLOOKUP($E187,BD!$L$2:$Q$66,5,0),0)</f>
        <v>122.4</v>
      </c>
      <c r="J187" s="3">
        <f t="shared" si="11"/>
        <v>2021</v>
      </c>
    </row>
    <row r="188" spans="1:10" hidden="1" x14ac:dyDescent="0.25">
      <c r="A188" s="421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20">
        <v>256666</v>
      </c>
      <c r="F188" s="3" t="str">
        <f>IFERROR(VLOOKUP(E188,BD!$L$2:$Q$66,2,0),0)</f>
        <v>COCA-COLA PET 2.25LX2 RF</v>
      </c>
      <c r="G188" s="417">
        <v>162</v>
      </c>
      <c r="H188" s="3">
        <f>+IFERROR(VLOOKUP(E188,BD!$L$2:$Q$66,6,0),0)</f>
        <v>162</v>
      </c>
      <c r="I188" s="96">
        <f>IFERROR(G188*VLOOKUP($E188,BD!$L$2:$Q$66,5,0),0)</f>
        <v>27.540000000000003</v>
      </c>
      <c r="J188" s="3">
        <f t="shared" si="11"/>
        <v>2021</v>
      </c>
    </row>
    <row r="189" spans="1:10" hidden="1" x14ac:dyDescent="0.25">
      <c r="A189" s="421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7">
        <v>256680</v>
      </c>
      <c r="F189" s="54" t="str">
        <f>IFERROR(VLOOKUP(E189,BD!$L$2:$Q$66,2,0),0)</f>
        <v>TRIPACK CC+CC+IK PFM 3LX3 - RFNN</v>
      </c>
      <c r="G189" s="409">
        <f>90*2</f>
        <v>180</v>
      </c>
      <c r="H189" s="55">
        <f>+IFERROR(VLOOKUP(E189,BD!$L$2:$Q$66,6,0),0)</f>
        <v>90</v>
      </c>
      <c r="I189" s="429">
        <f>IFERROR(G189*VLOOKUP($E189,BD!$L$2:$Q$66,5,0),0)</f>
        <v>30.6</v>
      </c>
      <c r="J189" s="3">
        <f t="shared" si="11"/>
        <v>2021</v>
      </c>
    </row>
    <row r="190" spans="1:10" hidden="1" x14ac:dyDescent="0.25">
      <c r="A190" s="421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7">
        <v>256677</v>
      </c>
      <c r="F190" s="54" t="str">
        <f>IFERROR(VLOOKUP(E190,BD!$L$2:$Q$66,2,0),0)</f>
        <v>TWO PACK CC + IK PFM 3LX2 - RFNN</v>
      </c>
      <c r="G190" s="409">
        <f>120*8</f>
        <v>960</v>
      </c>
      <c r="H190" s="432">
        <f>+IFERROR(VLOOKUP(E190,BD!$L$2:$Q$66,6,0),0)</f>
        <v>120</v>
      </c>
      <c r="I190" s="429">
        <f>IFERROR(G190*VLOOKUP($E190,BD!$L$2:$Q$66,5,0),0)</f>
        <v>163.20000000000002</v>
      </c>
      <c r="J190" s="3">
        <f t="shared" si="11"/>
        <v>2021</v>
      </c>
    </row>
    <row r="191" spans="1:10" hidden="1" x14ac:dyDescent="0.25">
      <c r="A191" s="421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7">
        <v>256676</v>
      </c>
      <c r="F191" s="54" t="str">
        <f>IFERROR(VLOOKUP(E191,BD!$L$2:$Q$66,2,0),0)</f>
        <v>TWO PACK CC PFM 3LX2 - RFCC</v>
      </c>
      <c r="G191" s="409">
        <f>120*4</f>
        <v>480</v>
      </c>
      <c r="H191" s="432">
        <f>+IFERROR(VLOOKUP(E191,BD!$L$2:$Q$66,6,0),0)</f>
        <v>120</v>
      </c>
      <c r="I191" s="429">
        <f>IFERROR(G191*VLOOKUP($E191,BD!$L$2:$Q$66,5,0),0)</f>
        <v>81.600000000000009</v>
      </c>
      <c r="J191" s="3">
        <f t="shared" si="11"/>
        <v>2021</v>
      </c>
    </row>
    <row r="192" spans="1:10" hidden="1" x14ac:dyDescent="0.25">
      <c r="A192" s="421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7">
        <v>256679</v>
      </c>
      <c r="F192" s="54" t="str">
        <f>IFERROR(VLOOKUP(E192,BD!$L$2:$Q$66,2,0),0)</f>
        <v>TRIPACK CC+IK+IK PFM 3LX3 - RFNN</v>
      </c>
      <c r="G192" s="409">
        <f>90*2</f>
        <v>180</v>
      </c>
      <c r="H192" s="432">
        <f>+IFERROR(VLOOKUP(E192,BD!$L$2:$Q$66,6,0),0)</f>
        <v>90</v>
      </c>
      <c r="I192" s="429">
        <f>IFERROR(G192*VLOOKUP($E192,BD!$L$2:$Q$66,5,0),0)</f>
        <v>30.6</v>
      </c>
      <c r="J192" s="3">
        <f t="shared" si="11"/>
        <v>2021</v>
      </c>
    </row>
    <row r="193" spans="1:10" hidden="1" x14ac:dyDescent="0.25">
      <c r="A193" s="421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7">
        <v>256678</v>
      </c>
      <c r="F193" s="54" t="str">
        <f>IFERROR(VLOOKUP(E193,BD!$L$2:$Q$66,2,0),0)</f>
        <v>TRIPACK (CC+IK)PFM+FT PET 3LX3 - RFNN</v>
      </c>
      <c r="G193" s="409">
        <f>90*8</f>
        <v>720</v>
      </c>
      <c r="H193" s="432">
        <f>+IFERROR(VLOOKUP(E193,BD!$L$2:$Q$66,6,0),0)</f>
        <v>90</v>
      </c>
      <c r="I193" s="96">
        <f>IFERROR(G193*VLOOKUP($E193,BD!$L$2:$Q$66,5,0),0)</f>
        <v>122.4</v>
      </c>
      <c r="J193" s="3">
        <f t="shared" si="11"/>
        <v>2021</v>
      </c>
    </row>
    <row r="194" spans="1:10" hidden="1" x14ac:dyDescent="0.25">
      <c r="A194" s="421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7">
        <v>256674</v>
      </c>
      <c r="F194" s="54" t="str">
        <f>IFERROR(VLOOKUP(E194,BD!$L$2:$Q$66,2,0),0)</f>
        <v>COCA-COLA PET 1.5LX2 RF</v>
      </c>
      <c r="G194" s="409">
        <f>198*2</f>
        <v>396</v>
      </c>
      <c r="H194" s="432">
        <f>+IFERROR(VLOOKUP(E194,BD!$L$2:$Q$66,6,0),0)</f>
        <v>198</v>
      </c>
      <c r="I194" s="429">
        <f>IFERROR(G194*VLOOKUP($E194,BD!$L$2:$Q$66,5,0),0)</f>
        <v>67.320000000000007</v>
      </c>
      <c r="J194" s="3">
        <f t="shared" si="11"/>
        <v>2021</v>
      </c>
    </row>
    <row r="195" spans="1:10" hidden="1" x14ac:dyDescent="0.25">
      <c r="A195" s="421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7">
        <v>251633</v>
      </c>
      <c r="F195" s="54" t="str">
        <f>IFERROR(VLOOKUP(E195,BD!$L$2:$Q$66,2,0),0)</f>
        <v>SAN LUIS CON GAS PET 625MLX6</v>
      </c>
      <c r="G195" s="409">
        <f>180*5</f>
        <v>900</v>
      </c>
      <c r="H195" s="432">
        <f>+IFERROR(VLOOKUP(E195,BD!$L$2:$Q$66,6,0),0)</f>
        <v>180</v>
      </c>
      <c r="I195" s="429">
        <f>IFERROR(G195*VLOOKUP($E195,BD!$L$2:$Q$66,5,0),0)</f>
        <v>378</v>
      </c>
      <c r="J195" s="3">
        <f t="shared" si="11"/>
        <v>2021</v>
      </c>
    </row>
    <row r="196" spans="1:10" hidden="1" x14ac:dyDescent="0.25">
      <c r="A196" s="421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20">
        <v>251406</v>
      </c>
      <c r="F196" s="3" t="str">
        <f>IFERROR(VLOOKUP(E196,BD!$L$2:$Q$66,2,0),0)</f>
        <v>COCA-COLA SIN AZUCAR PET 1.5LX2</v>
      </c>
      <c r="G196" s="424">
        <f>198*16</f>
        <v>3168</v>
      </c>
      <c r="H196" s="3">
        <f>+IFERROR(VLOOKUP(E196,BD!$L$2:$Q$66,6,0),0)</f>
        <v>198</v>
      </c>
      <c r="I196" s="96">
        <f>IFERROR(G196*VLOOKUP($E196,BD!$L$2:$Q$66,5,0),0)</f>
        <v>538.56000000000006</v>
      </c>
      <c r="J196" s="3">
        <f t="shared" ref="J196:J259" si="15">+YEAR(A196)</f>
        <v>2021</v>
      </c>
    </row>
    <row r="197" spans="1:10" hidden="1" x14ac:dyDescent="0.25">
      <c r="A197" s="421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20">
        <v>254853</v>
      </c>
      <c r="F197" s="3" t="str">
        <f>IFERROR(VLOOKUP(E197,BD!$L$2:$Q$66,2,0),0)</f>
        <v>INCA KOLA SIN AZUCAR PET 1.5LX2</v>
      </c>
      <c r="G197" s="424">
        <f>198*15</f>
        <v>2970</v>
      </c>
      <c r="H197" s="3">
        <f>+IFERROR(VLOOKUP(E197,BD!$L$2:$Q$66,6,0),0)</f>
        <v>198</v>
      </c>
      <c r="I197" s="96">
        <f>IFERROR(G197*VLOOKUP($E197,BD!$L$2:$Q$66,5,0),0)</f>
        <v>504.90000000000003</v>
      </c>
      <c r="J197" s="3">
        <f t="shared" si="15"/>
        <v>2021</v>
      </c>
    </row>
    <row r="198" spans="1:10" hidden="1" x14ac:dyDescent="0.25">
      <c r="A198" s="421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20">
        <v>256616</v>
      </c>
      <c r="F198" s="3" t="str">
        <f>IFERROR(VLOOKUP(E198,BD!$L$2:$Q$66,2,0),0)</f>
        <v>TWO PACK SCHWEPPES CITRUS PET 1.5LX2</v>
      </c>
      <c r="G198" s="424">
        <f>198*8</f>
        <v>1584</v>
      </c>
      <c r="H198" s="3">
        <f>+IFERROR(VLOOKUP(E198,BD!$L$2:$Q$66,6,0),0)</f>
        <v>198</v>
      </c>
      <c r="I198" s="96">
        <f>IFERROR(G198*VLOOKUP($E198,BD!$L$2:$Q$66,5,0),0)</f>
        <v>269.28000000000003</v>
      </c>
      <c r="J198" s="3">
        <f t="shared" si="15"/>
        <v>2021</v>
      </c>
    </row>
    <row r="199" spans="1:10" hidden="1" x14ac:dyDescent="0.25">
      <c r="A199" s="421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20">
        <v>256617</v>
      </c>
      <c r="F199" s="3" t="str">
        <f>IFERROR(VLOOKUP(E199,BD!$L$2:$Q$66,2,0),0)</f>
        <v>TWO PACK SCHWEPPES GINGER ALE PET 1.5LX2</v>
      </c>
      <c r="G199" s="424">
        <v>198</v>
      </c>
      <c r="H199" s="3">
        <f>+IFERROR(VLOOKUP(E199,BD!$L$2:$Q$66,6,0),0)</f>
        <v>198</v>
      </c>
      <c r="I199" s="96">
        <f>IFERROR(G199*VLOOKUP($E199,BD!$L$2:$Q$66,5,0),0)</f>
        <v>33.660000000000004</v>
      </c>
      <c r="J199" s="3">
        <f t="shared" si="15"/>
        <v>2021</v>
      </c>
    </row>
    <row r="200" spans="1:10" hidden="1" x14ac:dyDescent="0.25">
      <c r="A200" s="421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20">
        <v>256674</v>
      </c>
      <c r="F200" s="3" t="str">
        <f>IFERROR(VLOOKUP(E200,BD!$L$2:$Q$66,2,0),0)</f>
        <v>COCA-COLA PET 1.5LX2 RF</v>
      </c>
      <c r="G200" s="420">
        <f>198*8</f>
        <v>1584</v>
      </c>
      <c r="H200" s="3">
        <f>+IFERROR(VLOOKUP(E200,BD!$L$2:$Q$66,6,0),0)</f>
        <v>198</v>
      </c>
      <c r="I200" s="96">
        <f>IFERROR(G200*VLOOKUP($E200,BD!$L$2:$Q$66,5,0),0)</f>
        <v>269.28000000000003</v>
      </c>
      <c r="J200" s="3">
        <f t="shared" si="15"/>
        <v>2021</v>
      </c>
    </row>
    <row r="201" spans="1:10" hidden="1" x14ac:dyDescent="0.25">
      <c r="A201" s="421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20">
        <v>256675</v>
      </c>
      <c r="F201" s="3" t="str">
        <f>IFERROR(VLOOKUP(E201,BD!$L$2:$Q$66,2,0),0)</f>
        <v>INCA KOLA PET 1.5LX2 RF</v>
      </c>
      <c r="G201" s="420">
        <f>198*5</f>
        <v>990</v>
      </c>
      <c r="H201" s="3">
        <f>+IFERROR(VLOOKUP(E201,BD!$L$2:$Q$66,6,0),0)</f>
        <v>198</v>
      </c>
      <c r="I201" s="96">
        <f>IFERROR(G201*VLOOKUP($E201,BD!$L$2:$Q$66,5,0),0)</f>
        <v>168.3</v>
      </c>
      <c r="J201" s="3">
        <f t="shared" si="15"/>
        <v>2021</v>
      </c>
    </row>
    <row r="202" spans="1:10" hidden="1" x14ac:dyDescent="0.25">
      <c r="A202" s="421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20">
        <v>256666</v>
      </c>
      <c r="F202" s="3" t="str">
        <f>IFERROR(VLOOKUP(E202,BD!$L$2:$Q$66,2,0),0)</f>
        <v>COCA-COLA PET 2.25LX2 RF</v>
      </c>
      <c r="G202" s="420">
        <f>162*2</f>
        <v>324</v>
      </c>
      <c r="H202" s="3">
        <f>+IFERROR(VLOOKUP(E202,BD!$L$2:$Q$66,6,0),0)</f>
        <v>162</v>
      </c>
      <c r="I202" s="96">
        <f>IFERROR(G202*VLOOKUP($E202,BD!$L$2:$Q$66,5,0),0)</f>
        <v>55.080000000000005</v>
      </c>
      <c r="J202" s="3">
        <f t="shared" si="15"/>
        <v>2021</v>
      </c>
    </row>
    <row r="203" spans="1:10" hidden="1" x14ac:dyDescent="0.25">
      <c r="A203" s="421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20">
        <v>256695</v>
      </c>
      <c r="F203" s="3" t="str">
        <f>IFERROR(VLOOKUP(E203,BD!$L$2:$Q$66,2,0),0)</f>
        <v>POWERADE 3MORA+3FRUT PET 473MLX6</v>
      </c>
      <c r="G203" s="420">
        <f>225*3</f>
        <v>675</v>
      </c>
      <c r="H203" s="3">
        <f>+IFERROR(VLOOKUP(E203,BD!$L$2:$Q$66,6,0),0)</f>
        <v>225</v>
      </c>
      <c r="I203" s="96">
        <f>IFERROR(G203*VLOOKUP($E203,BD!$L$2:$Q$66,5,0),0)</f>
        <v>283.5</v>
      </c>
      <c r="J203" s="3">
        <f t="shared" si="15"/>
        <v>2021</v>
      </c>
    </row>
    <row r="204" spans="1:10" hidden="1" x14ac:dyDescent="0.25">
      <c r="A204" s="421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20">
        <v>751315</v>
      </c>
      <c r="F204" s="3" t="str">
        <f>IFERROR(VLOOKUP(E204,BD!$L$2:$Q$66,2,0),0)</f>
        <v>MONSTER ENERGY 473MLX4</v>
      </c>
      <c r="G204" s="420">
        <v>420</v>
      </c>
      <c r="H204" s="3">
        <f>+IFERROR(VLOOKUP(E204,BD!$L$2:$Q$66,6,0),0)</f>
        <v>420</v>
      </c>
      <c r="I204" s="96">
        <f>IFERROR(G204*VLOOKUP($E204,BD!$L$2:$Q$66,5,0),0)</f>
        <v>176.4</v>
      </c>
      <c r="J204" s="3">
        <f t="shared" si="15"/>
        <v>2021</v>
      </c>
    </row>
    <row r="205" spans="1:10" hidden="1" x14ac:dyDescent="0.25">
      <c r="A205" s="421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20">
        <v>251633</v>
      </c>
      <c r="F205" s="3" t="str">
        <f>IFERROR(VLOOKUP(E205,BD!$L$2:$Q$66,2,0),0)</f>
        <v>SAN LUIS CON GAS PET 625MLX6</v>
      </c>
      <c r="G205" s="420">
        <f>180*2</f>
        <v>360</v>
      </c>
      <c r="H205" s="3">
        <f>+IFERROR(VLOOKUP(E205,BD!$L$2:$Q$66,6,0),0)</f>
        <v>180</v>
      </c>
      <c r="I205" s="96">
        <f>IFERROR(G205*VLOOKUP($E205,BD!$L$2:$Q$66,5,0),0)</f>
        <v>151.19999999999999</v>
      </c>
      <c r="J205" s="3">
        <f t="shared" si="15"/>
        <v>2021</v>
      </c>
    </row>
    <row r="206" spans="1:10" hidden="1" x14ac:dyDescent="0.25">
      <c r="A206" s="421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20">
        <v>256379</v>
      </c>
      <c r="F206" s="3" t="str">
        <f>IFERROR(VLOOKUP(E206,BD!$L$2:$Q$66,2,0),0)</f>
        <v>INCA KOLA VR 625MLX12 - STICKER</v>
      </c>
      <c r="G206" s="420">
        <v>50</v>
      </c>
      <c r="H206" s="3">
        <f>+IFERROR(VLOOKUP(E206,BD!$L$2:$Q$66,6,0),0)</f>
        <v>50</v>
      </c>
      <c r="I206" s="96">
        <f>IFERROR(G206*VLOOKUP($E206,BD!$L$2:$Q$66,5,0),0)</f>
        <v>20</v>
      </c>
      <c r="J206" s="3">
        <f t="shared" si="15"/>
        <v>2021</v>
      </c>
    </row>
    <row r="207" spans="1:10" hidden="1" x14ac:dyDescent="0.25">
      <c r="A207" s="421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20">
        <v>256380</v>
      </c>
      <c r="F207" s="3" t="str">
        <f>IFERROR(VLOOKUP(E207,BD!$L$2:$Q$66,2,0),0)</f>
        <v>INCA KOLA VR 296MLX24 - STICKER</v>
      </c>
      <c r="G207" s="420">
        <v>40</v>
      </c>
      <c r="H207" s="3">
        <f>+IFERROR(VLOOKUP(E207,BD!$L$2:$Q$66,6,0),0)</f>
        <v>40</v>
      </c>
      <c r="I207" s="96">
        <f>IFERROR(G207*VLOOKUP($E207,BD!$L$2:$Q$66,5,0),0)</f>
        <v>9.2000000000000011</v>
      </c>
      <c r="J207" s="3">
        <f t="shared" si="15"/>
        <v>2021</v>
      </c>
    </row>
    <row r="208" spans="1:10" hidden="1" x14ac:dyDescent="0.25">
      <c r="A208" s="421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20">
        <v>256682</v>
      </c>
      <c r="F208" s="3" t="str">
        <f>IFERROR(VLOOKUP(E208,BD!$L$2:$Q$66,2,0),0)</f>
        <v>TRIPACK (FT NAR+SP)PET+IK RF PFM 3L</v>
      </c>
      <c r="G208" s="417">
        <v>450</v>
      </c>
      <c r="H208" s="3">
        <f>+IFERROR(VLOOKUP(E208,BD!$L$2:$Q$66,6,0),0)</f>
        <v>90</v>
      </c>
      <c r="I208" s="96">
        <f>IFERROR(G208*VLOOKUP($E208,BD!$L$2:$Q$66,5,0),0)</f>
        <v>76.5</v>
      </c>
      <c r="J208" s="3">
        <f t="shared" si="15"/>
        <v>2021</v>
      </c>
    </row>
    <row r="209" spans="1:10" hidden="1" x14ac:dyDescent="0.25">
      <c r="A209" s="421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20">
        <v>256666</v>
      </c>
      <c r="F209" s="3" t="str">
        <f>IFERROR(VLOOKUP(E209,BD!$L$2:$Q$66,2,0),0)</f>
        <v>COCA-COLA PET 2.25LX2 RF</v>
      </c>
      <c r="G209" s="417">
        <f>162*2</f>
        <v>324</v>
      </c>
      <c r="H209" s="3">
        <f>+IFERROR(VLOOKUP(E209,BD!$L$2:$Q$66,6,0),0)</f>
        <v>162</v>
      </c>
      <c r="I209" s="96">
        <f>IFERROR(G209*VLOOKUP($E209,BD!$L$2:$Q$66,5,0),0)</f>
        <v>55.080000000000005</v>
      </c>
      <c r="J209" s="3">
        <f t="shared" si="15"/>
        <v>2021</v>
      </c>
    </row>
    <row r="210" spans="1:10" hidden="1" x14ac:dyDescent="0.25">
      <c r="A210" s="421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20">
        <v>256383</v>
      </c>
      <c r="F210" s="3" t="str">
        <f>IFERROR(VLOOKUP(E210,BD!$L$2:$Q$66,2,0),0)</f>
        <v>COCA COLA VR 1.5LX8 - STICKER</v>
      </c>
      <c r="G210" s="417">
        <v>30</v>
      </c>
      <c r="H210" s="3">
        <f>+IFERROR(VLOOKUP(E210,BD!$L$2:$Q$66,6,0),0)</f>
        <v>30</v>
      </c>
      <c r="I210" s="96">
        <f>IFERROR(G210*VLOOKUP($E210,BD!$L$2:$Q$66,5,0),0)</f>
        <v>6.9</v>
      </c>
      <c r="J210" s="3">
        <f t="shared" si="15"/>
        <v>2021</v>
      </c>
    </row>
    <row r="211" spans="1:10" hidden="1" x14ac:dyDescent="0.25">
      <c r="A211" s="421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20">
        <v>256381</v>
      </c>
      <c r="F211" s="3" t="str">
        <f>IFERROR(VLOOKUP(E211,BD!$L$2:$Q$66,2,0),0)</f>
        <v>INCA KOLA VR 1.5LX8 - STICKER</v>
      </c>
      <c r="G211" s="417">
        <v>60</v>
      </c>
      <c r="H211" s="3">
        <f>+IFERROR(VLOOKUP(E211,BD!$L$2:$Q$66,6,0),0)</f>
        <v>30</v>
      </c>
      <c r="I211" s="96">
        <f>IFERROR(G211*VLOOKUP($E211,BD!$L$2:$Q$66,5,0),0)</f>
        <v>24</v>
      </c>
      <c r="J211" s="3">
        <f t="shared" si="15"/>
        <v>2021</v>
      </c>
    </row>
    <row r="212" spans="1:10" hidden="1" x14ac:dyDescent="0.25">
      <c r="A212" s="421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20">
        <v>256379</v>
      </c>
      <c r="F212" s="3" t="str">
        <f>IFERROR(VLOOKUP(E212,BD!$L$2:$Q$66,2,0),0)</f>
        <v>INCA KOLA VR 625MLX12 - STICKER</v>
      </c>
      <c r="G212" s="417">
        <v>250</v>
      </c>
      <c r="H212" s="3">
        <f>+IFERROR(VLOOKUP(E212,BD!$L$2:$Q$66,6,0),0)</f>
        <v>50</v>
      </c>
      <c r="I212" s="96">
        <f>IFERROR(G212*VLOOKUP($E212,BD!$L$2:$Q$66,5,0),0)</f>
        <v>100</v>
      </c>
      <c r="J212" s="3">
        <f t="shared" si="15"/>
        <v>2021</v>
      </c>
    </row>
    <row r="213" spans="1:10" hidden="1" x14ac:dyDescent="0.25">
      <c r="A213" s="421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20">
        <v>251429</v>
      </c>
      <c r="F213" s="3" t="str">
        <f>IFERROR(VLOOKUP(E213,BD!$L$2:$Q$66,2,0),0)</f>
        <v>SAN LUIS SIN GAS PET2500X6 STICKER</v>
      </c>
      <c r="G213" s="417">
        <v>480</v>
      </c>
      <c r="H213" s="3">
        <f>+IFERROR(VLOOKUP(E213,BD!$L$2:$Q$66,6,0),0)</f>
        <v>48</v>
      </c>
      <c r="I213" s="96">
        <f>IFERROR(G213*VLOOKUP($E213,BD!$L$2:$Q$66,5,0),0)</f>
        <v>192</v>
      </c>
      <c r="J213" s="3">
        <f t="shared" si="15"/>
        <v>2021</v>
      </c>
    </row>
    <row r="214" spans="1:10" s="9" customFormat="1" hidden="1" x14ac:dyDescent="0.25">
      <c r="A214" s="421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20">
        <v>751315</v>
      </c>
      <c r="F214" s="3" t="str">
        <f>IFERROR(VLOOKUP(E214,BD!$L$2:$Q$66,2,0),0)</f>
        <v>MONSTER ENERGY 473MLX4</v>
      </c>
      <c r="G214" s="417">
        <v>1680</v>
      </c>
      <c r="H214" s="3">
        <f>+IFERROR(VLOOKUP(E214,BD!$L$2:$Q$66,6,0),0)</f>
        <v>420</v>
      </c>
      <c r="I214" s="96">
        <f>IFERROR(G214*VLOOKUP($E214,BD!$L$2:$Q$66,5,0),0)</f>
        <v>705.6</v>
      </c>
      <c r="J214" s="3">
        <f t="shared" si="15"/>
        <v>2021</v>
      </c>
    </row>
    <row r="215" spans="1:10" s="9" customFormat="1" hidden="1" x14ac:dyDescent="0.25">
      <c r="A215" s="421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20">
        <v>251633</v>
      </c>
      <c r="F215" s="3" t="str">
        <f>IFERROR(VLOOKUP(E215,BD!$L$2:$Q$66,2,0),0)</f>
        <v>SAN LUIS CON GAS PET 625MLX6</v>
      </c>
      <c r="G215" s="417">
        <v>900</v>
      </c>
      <c r="H215" s="3">
        <f>+IFERROR(VLOOKUP(E215,BD!$L$2:$Q$66,6,0),0)</f>
        <v>180</v>
      </c>
      <c r="I215" s="96">
        <f>IFERROR(G215*VLOOKUP($E215,BD!$L$2:$Q$66,5,0),0)</f>
        <v>378</v>
      </c>
      <c r="J215" s="3">
        <f t="shared" si="15"/>
        <v>2021</v>
      </c>
    </row>
    <row r="216" spans="1:10" s="9" customFormat="1" hidden="1" x14ac:dyDescent="0.25">
      <c r="A216" s="421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20">
        <v>256676</v>
      </c>
      <c r="F216" s="3" t="str">
        <f>IFERROR(VLOOKUP(E216,BD!$L$2:$Q$66,2,0),0)</f>
        <v>TWO PACK CC PFM 3LX2 - RFCC</v>
      </c>
      <c r="G216" s="417">
        <v>1800</v>
      </c>
      <c r="H216" s="3">
        <f>+IFERROR(VLOOKUP(E216,BD!$L$2:$Q$66,6,0),0)</f>
        <v>120</v>
      </c>
      <c r="I216" s="96">
        <f>IFERROR(G216*VLOOKUP($E216,BD!$L$2:$Q$66,5,0),0)</f>
        <v>306</v>
      </c>
      <c r="J216" s="3">
        <f t="shared" si="15"/>
        <v>2021</v>
      </c>
    </row>
    <row r="217" spans="1:10" s="9" customFormat="1" hidden="1" x14ac:dyDescent="0.25">
      <c r="A217" s="421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20">
        <v>256674</v>
      </c>
      <c r="F217" s="3" t="str">
        <f>IFERROR(VLOOKUP(E217,BD!$L$2:$Q$66,2,0),0)</f>
        <v>COCA-COLA PET 1.5LX2 RF</v>
      </c>
      <c r="G217" s="417">
        <v>594</v>
      </c>
      <c r="H217" s="3">
        <f>+IFERROR(VLOOKUP(E217,BD!$L$2:$Q$66,6,0),0)</f>
        <v>198</v>
      </c>
      <c r="I217" s="96">
        <f>IFERROR(G217*VLOOKUP($E217,BD!$L$2:$Q$66,5,0),0)</f>
        <v>100.98</v>
      </c>
      <c r="J217" s="3">
        <f t="shared" si="15"/>
        <v>2021</v>
      </c>
    </row>
    <row r="218" spans="1:10" s="9" customFormat="1" hidden="1" x14ac:dyDescent="0.25">
      <c r="A218" s="421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20">
        <v>256675</v>
      </c>
      <c r="F218" s="3" t="str">
        <f>IFERROR(VLOOKUP(E218,BD!$L$2:$Q$66,2,0),0)</f>
        <v>INCA KOLA PET 1.5LX2 RF</v>
      </c>
      <c r="G218" s="417">
        <v>792</v>
      </c>
      <c r="H218" s="3">
        <f>+IFERROR(VLOOKUP(E218,BD!$L$2:$Q$66,6,0),0)</f>
        <v>198</v>
      </c>
      <c r="I218" s="96">
        <f>IFERROR(G218*VLOOKUP($E218,BD!$L$2:$Q$66,5,0),0)</f>
        <v>134.64000000000001</v>
      </c>
      <c r="J218" s="3">
        <f t="shared" si="15"/>
        <v>2021</v>
      </c>
    </row>
    <row r="219" spans="1:10" s="9" customFormat="1" hidden="1" x14ac:dyDescent="0.25">
      <c r="A219" s="421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20">
        <v>256677</v>
      </c>
      <c r="F219" s="3" t="str">
        <f>IFERROR(VLOOKUP(E219,BD!$L$2:$Q$66,2,0),0)</f>
        <v>TWO PACK CC + IK PFM 3LX2 - RFNN</v>
      </c>
      <c r="G219" s="417">
        <v>1920</v>
      </c>
      <c r="H219" s="3">
        <f>+IFERROR(VLOOKUP(E219,BD!$L$2:$Q$66,6,0),0)</f>
        <v>120</v>
      </c>
      <c r="I219" s="96">
        <f>IFERROR(G219*VLOOKUP($E219,BD!$L$2:$Q$66,5,0),0)</f>
        <v>326.40000000000003</v>
      </c>
      <c r="J219" s="3">
        <f t="shared" si="15"/>
        <v>2021</v>
      </c>
    </row>
    <row r="220" spans="1:10" s="9" customFormat="1" hidden="1" x14ac:dyDescent="0.25">
      <c r="A220" s="421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20">
        <v>256679</v>
      </c>
      <c r="F220" s="3" t="str">
        <f>IFERROR(VLOOKUP(E220,BD!$L$2:$Q$66,2,0),0)</f>
        <v>TRIPACK CC+IK+IK PFM 3LX3 - RFNN</v>
      </c>
      <c r="G220" s="417">
        <v>990</v>
      </c>
      <c r="H220" s="3">
        <f>+IFERROR(VLOOKUP(E220,BD!$L$2:$Q$66,6,0),0)</f>
        <v>90</v>
      </c>
      <c r="I220" s="96">
        <f>IFERROR(G220*VLOOKUP($E220,BD!$L$2:$Q$66,5,0),0)</f>
        <v>168.3</v>
      </c>
      <c r="J220" s="3">
        <f t="shared" si="15"/>
        <v>2021</v>
      </c>
    </row>
    <row r="221" spans="1:10" s="9" customFormat="1" hidden="1" x14ac:dyDescent="0.25">
      <c r="A221" s="421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20">
        <v>256678</v>
      </c>
      <c r="F221" s="3" t="str">
        <f>IFERROR(VLOOKUP(E221,BD!$L$2:$Q$66,2,0),0)</f>
        <v>TRIPACK (CC+IK)PFM+FT PET 3LX3 - RFNN</v>
      </c>
      <c r="G221" s="417">
        <v>720</v>
      </c>
      <c r="H221" s="3">
        <f>+IFERROR(VLOOKUP(E221,BD!$L$2:$Q$66,6,0),0)</f>
        <v>90</v>
      </c>
      <c r="I221" s="96">
        <f>IFERROR(G221*VLOOKUP($E221,BD!$L$2:$Q$66,5,0),0)</f>
        <v>122.4</v>
      </c>
      <c r="J221" s="3">
        <f t="shared" si="15"/>
        <v>2021</v>
      </c>
    </row>
    <row r="222" spans="1:10" s="9" customFormat="1" hidden="1" x14ac:dyDescent="0.25">
      <c r="A222" s="421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20">
        <v>256601</v>
      </c>
      <c r="F222" s="3" t="str">
        <f>IFERROR(VLOOKUP(E222,BD!$L$2:$Q$66,2,0),0)</f>
        <v>INCA KOLA PET 2.25LX2 RF</v>
      </c>
      <c r="G222" s="417">
        <v>324</v>
      </c>
      <c r="H222" s="3">
        <f>+IFERROR(VLOOKUP(E222,BD!$L$2:$Q$66,6,0),0)</f>
        <v>162</v>
      </c>
      <c r="I222" s="96">
        <f>IFERROR(G222*VLOOKUP($E222,BD!$L$2:$Q$66,5,0),0)</f>
        <v>55.080000000000005</v>
      </c>
      <c r="J222" s="3">
        <f t="shared" si="15"/>
        <v>2021</v>
      </c>
    </row>
    <row r="223" spans="1:10" s="9" customFormat="1" hidden="1" x14ac:dyDescent="0.25">
      <c r="A223" s="421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7">
        <v>256383</v>
      </c>
      <c r="F223" s="54" t="str">
        <f>IFERROR(VLOOKUP(E223,BD!$L$2:$Q$66,2,0),0)</f>
        <v>COCA COLA VR 1.5LX8 - STICKER</v>
      </c>
      <c r="G223" s="409">
        <v>30</v>
      </c>
      <c r="H223" s="432">
        <f>+IFERROR(VLOOKUP(E223,BD!$L$2:$Q$66,6,0),0)</f>
        <v>30</v>
      </c>
      <c r="I223" s="429">
        <f>IFERROR(G223*VLOOKUP($E223,BD!$L$2:$Q$66,5,0),0)</f>
        <v>6.9</v>
      </c>
      <c r="J223" s="3">
        <f t="shared" si="15"/>
        <v>2021</v>
      </c>
    </row>
    <row r="224" spans="1:10" s="9" customFormat="1" hidden="1" x14ac:dyDescent="0.25">
      <c r="A224" s="421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7">
        <v>256381</v>
      </c>
      <c r="F224" s="54" t="str">
        <f>IFERROR(VLOOKUP(E224,BD!$L$2:$Q$66,2,0),0)</f>
        <v>INCA KOLA VR 1.5LX8 - STICKER</v>
      </c>
      <c r="G224" s="409">
        <f>30*3</f>
        <v>90</v>
      </c>
      <c r="H224" s="432">
        <f>+IFERROR(VLOOKUP(E224,BD!$L$2:$Q$66,6,0),0)</f>
        <v>30</v>
      </c>
      <c r="I224" s="429">
        <f>IFERROR(G224*VLOOKUP($E224,BD!$L$2:$Q$66,5,0),0)</f>
        <v>36</v>
      </c>
      <c r="J224" s="3">
        <f t="shared" si="15"/>
        <v>2021</v>
      </c>
    </row>
    <row r="225" spans="1:10" s="9" customFormat="1" hidden="1" x14ac:dyDescent="0.25">
      <c r="A225" s="421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7">
        <v>256680</v>
      </c>
      <c r="F225" s="54" t="str">
        <f>IFERROR(VLOOKUP(E225,BD!$L$2:$Q$66,2,0),0)</f>
        <v>TRIPACK CC+CC+IK PFM 3LX3 - RFNN</v>
      </c>
      <c r="G225" s="409">
        <f>90*6</f>
        <v>540</v>
      </c>
      <c r="H225" s="432">
        <f>+IFERROR(VLOOKUP(E225,BD!$L$2:$Q$66,6,0),0)</f>
        <v>90</v>
      </c>
      <c r="I225" s="96">
        <f>IFERROR(G225*VLOOKUP($E225,BD!$L$2:$Q$66,5,0),0)</f>
        <v>91.800000000000011</v>
      </c>
      <c r="J225" s="3">
        <f t="shared" si="15"/>
        <v>2021</v>
      </c>
    </row>
    <row r="226" spans="1:10" s="9" customFormat="1" hidden="1" x14ac:dyDescent="0.25">
      <c r="A226" s="421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7">
        <v>256676</v>
      </c>
      <c r="F226" s="54" t="str">
        <f>IFERROR(VLOOKUP(E226,BD!$L$2:$Q$66,2,0),0)</f>
        <v>TWO PACK CC PFM 3LX2 - RFCC</v>
      </c>
      <c r="G226" s="409">
        <f>120*4</f>
        <v>480</v>
      </c>
      <c r="H226" s="432">
        <f>+IFERROR(VLOOKUP(E226,BD!$L$2:$Q$66,6,0),0)</f>
        <v>120</v>
      </c>
      <c r="I226" s="429">
        <f>IFERROR(G226*VLOOKUP($E226,BD!$L$2:$Q$66,5,0),0)</f>
        <v>81.600000000000009</v>
      </c>
      <c r="J226" s="3">
        <f t="shared" si="15"/>
        <v>2021</v>
      </c>
    </row>
    <row r="227" spans="1:10" s="9" customFormat="1" hidden="1" x14ac:dyDescent="0.25">
      <c r="A227" s="421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7">
        <v>256678</v>
      </c>
      <c r="F227" s="54" t="str">
        <f>IFERROR(VLOOKUP(E227,BD!$L$2:$Q$66,2,0),0)</f>
        <v>TRIPACK (CC+IK)PFM+FT PET 3LX3 - RFNN</v>
      </c>
      <c r="G227" s="409">
        <f>90*6</f>
        <v>540</v>
      </c>
      <c r="H227" s="432">
        <f>+IFERROR(VLOOKUP(E227,BD!$L$2:$Q$66,6,0),0)</f>
        <v>90</v>
      </c>
      <c r="I227" s="429">
        <f>IFERROR(G227*VLOOKUP($E227,BD!$L$2:$Q$66,5,0),0)</f>
        <v>91.800000000000011</v>
      </c>
      <c r="J227" s="3">
        <f t="shared" si="15"/>
        <v>2021</v>
      </c>
    </row>
    <row r="228" spans="1:10" s="9" customFormat="1" hidden="1" x14ac:dyDescent="0.25">
      <c r="A228" s="421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7">
        <v>751315</v>
      </c>
      <c r="F228" s="54" t="str">
        <f>IFERROR(VLOOKUP(E228,BD!$L$2:$Q$66,2,0),0)</f>
        <v>MONSTER ENERGY 473MLX4</v>
      </c>
      <c r="G228" s="409">
        <f>420*5</f>
        <v>2100</v>
      </c>
      <c r="H228" s="432">
        <f>+IFERROR(VLOOKUP(E228,BD!$L$2:$Q$66,6,0),0)</f>
        <v>420</v>
      </c>
      <c r="I228" s="96">
        <f>IFERROR(G228*VLOOKUP($E228,BD!$L$2:$Q$66,5,0),0)</f>
        <v>882</v>
      </c>
      <c r="J228" s="3">
        <f t="shared" si="15"/>
        <v>2021</v>
      </c>
    </row>
    <row r="229" spans="1:10" s="9" customFormat="1" hidden="1" x14ac:dyDescent="0.25">
      <c r="A229" s="421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7">
        <v>251429</v>
      </c>
      <c r="F229" s="54" t="str">
        <f>IFERROR(VLOOKUP(E229,BD!$L$2:$Q$66,2,0),0)</f>
        <v>SAN LUIS SIN GAS PET2500X6 STICKER</v>
      </c>
      <c r="G229" s="409">
        <f>48*14</f>
        <v>672</v>
      </c>
      <c r="H229" s="432">
        <f>+IFERROR(VLOOKUP(E229,BD!$L$2:$Q$66,6,0),0)</f>
        <v>48</v>
      </c>
      <c r="I229" s="429">
        <f>IFERROR(G229*VLOOKUP($E229,BD!$L$2:$Q$66,5,0),0)</f>
        <v>268.8</v>
      </c>
      <c r="J229" s="3">
        <f t="shared" si="15"/>
        <v>2021</v>
      </c>
    </row>
    <row r="230" spans="1:10" s="9" customFormat="1" hidden="1" x14ac:dyDescent="0.25">
      <c r="A230" s="421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7">
        <v>254853</v>
      </c>
      <c r="F230" s="54" t="str">
        <f>IFERROR(VLOOKUP(E230,BD!$L$2:$Q$66,2,0),0)</f>
        <v>INCA KOLA SIN AZUCAR PET 1.5LX2</v>
      </c>
      <c r="G230" s="409">
        <f>198*8</f>
        <v>1584</v>
      </c>
      <c r="H230" s="432">
        <f>+IFERROR(VLOOKUP(E230,BD!$L$2:$Q$66,6,0),0)</f>
        <v>198</v>
      </c>
      <c r="I230" s="429">
        <f>IFERROR(G230*VLOOKUP($E230,BD!$L$2:$Q$66,5,0),0)</f>
        <v>269.28000000000003</v>
      </c>
      <c r="J230" s="3">
        <f t="shared" si="15"/>
        <v>2021</v>
      </c>
    </row>
    <row r="231" spans="1:10" s="9" customFormat="1" hidden="1" x14ac:dyDescent="0.25">
      <c r="A231" s="421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7">
        <v>255430</v>
      </c>
      <c r="F231" s="54" t="str">
        <f>IFERROR(VLOOKUP(E231,BD!$L$2:$Q$66,2,0),0)</f>
        <v>INCA KOLA SA PET 500MLX6 - C/STICKER</v>
      </c>
      <c r="G231" s="409">
        <v>250</v>
      </c>
      <c r="H231" s="432">
        <f>+IFERROR(VLOOKUP(E231,BD!$L$2:$Q$66,6,0),0)</f>
        <v>250</v>
      </c>
      <c r="I231" s="96">
        <f>IFERROR(G231*VLOOKUP($E231,BD!$L$2:$Q$66,5,0),0)</f>
        <v>57.5</v>
      </c>
      <c r="J231" s="3">
        <f t="shared" si="15"/>
        <v>2021</v>
      </c>
    </row>
    <row r="232" spans="1:10" s="9" customFormat="1" hidden="1" x14ac:dyDescent="0.25">
      <c r="A232" s="421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7">
        <v>256379</v>
      </c>
      <c r="F232" s="54" t="str">
        <f>IFERROR(VLOOKUP(E232,BD!$L$2:$Q$66,2,0),0)</f>
        <v>INCA KOLA VR 625MLX12 - STICKER</v>
      </c>
      <c r="G232" s="409">
        <f>50*2</f>
        <v>100</v>
      </c>
      <c r="H232" s="432">
        <f>+IFERROR(VLOOKUP(E232,BD!$L$2:$Q$66,6,0),0)</f>
        <v>50</v>
      </c>
      <c r="I232" s="429">
        <f>IFERROR(G232*VLOOKUP($E232,BD!$L$2:$Q$66,5,0),0)</f>
        <v>40</v>
      </c>
      <c r="J232" s="3">
        <f t="shared" si="15"/>
        <v>2021</v>
      </c>
    </row>
    <row r="233" spans="1:10" s="9" customFormat="1" hidden="1" x14ac:dyDescent="0.25">
      <c r="A233" s="421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7">
        <v>256488</v>
      </c>
      <c r="F233" s="54" t="str">
        <f>IFERROR(VLOOKUP(E233,BD!$L$2:$Q$66,2,0),0)</f>
        <v>INCA KOLA PET 3LX2 - RF</v>
      </c>
      <c r="G233" s="409">
        <f>120*9</f>
        <v>1080</v>
      </c>
      <c r="H233" s="432">
        <f>+IFERROR(VLOOKUP(E233,BD!$L$2:$Q$66,6,0),0)</f>
        <v>120</v>
      </c>
      <c r="I233" s="429">
        <f>IFERROR(G233*VLOOKUP($E233,BD!$L$2:$Q$66,5,0),0)</f>
        <v>183.60000000000002</v>
      </c>
      <c r="J233" s="3">
        <f t="shared" si="15"/>
        <v>2021</v>
      </c>
    </row>
    <row r="234" spans="1:10" s="9" customFormat="1" hidden="1" x14ac:dyDescent="0.25">
      <c r="A234" s="421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7">
        <v>256601</v>
      </c>
      <c r="F234" s="54" t="str">
        <f>IFERROR(VLOOKUP(E234,BD!$L$2:$Q$66,2,0),0)</f>
        <v>INCA KOLA PET 2.25LX2 RF</v>
      </c>
      <c r="G234" s="409">
        <v>162</v>
      </c>
      <c r="H234" s="432">
        <f>+IFERROR(VLOOKUP(E234,BD!$L$2:$Q$66,6,0),0)</f>
        <v>162</v>
      </c>
      <c r="I234" s="96">
        <f>IFERROR(G234*VLOOKUP($E234,BD!$L$2:$Q$66,5,0),0)</f>
        <v>27.540000000000003</v>
      </c>
      <c r="J234" s="3">
        <f t="shared" si="15"/>
        <v>2021</v>
      </c>
    </row>
    <row r="235" spans="1:10" s="9" customFormat="1" hidden="1" x14ac:dyDescent="0.25">
      <c r="A235" s="421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7">
        <v>256616</v>
      </c>
      <c r="F235" s="54" t="str">
        <f>IFERROR(VLOOKUP(E235,BD!$L$2:$Q$66,2,0),0)</f>
        <v>TWO PACK SCHWEPPES CITRUS PET 1.5LX2</v>
      </c>
      <c r="G235" s="409">
        <v>198</v>
      </c>
      <c r="H235" s="432">
        <f>+IFERROR(VLOOKUP(E235,BD!$L$2:$Q$66,6,0),0)</f>
        <v>198</v>
      </c>
      <c r="I235" s="429">
        <f>IFERROR(G235*VLOOKUP($E235,BD!$L$2:$Q$66,5,0),0)</f>
        <v>33.660000000000004</v>
      </c>
      <c r="J235" s="3">
        <f t="shared" si="15"/>
        <v>2021</v>
      </c>
    </row>
    <row r="236" spans="1:10" s="9" customFormat="1" hidden="1" x14ac:dyDescent="0.25">
      <c r="A236" s="421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7">
        <v>256666</v>
      </c>
      <c r="F236" s="54" t="str">
        <f>IFERROR(VLOOKUP(E236,BD!$L$2:$Q$66,2,0),0)</f>
        <v>COCA-COLA PET 2.25LX2 RF</v>
      </c>
      <c r="G236" s="409">
        <v>648</v>
      </c>
      <c r="H236" s="432">
        <f>+IFERROR(VLOOKUP(E236,BD!$L$2:$Q$66,6,0),0)</f>
        <v>162</v>
      </c>
      <c r="I236" s="429">
        <f>IFERROR(G236*VLOOKUP($E236,BD!$L$2:$Q$66,5,0),0)</f>
        <v>110.16000000000001</v>
      </c>
      <c r="J236" s="3">
        <f t="shared" si="15"/>
        <v>2021</v>
      </c>
    </row>
    <row r="237" spans="1:10" s="9" customFormat="1" hidden="1" x14ac:dyDescent="0.25">
      <c r="A237" s="421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7">
        <v>256674</v>
      </c>
      <c r="F237" s="54" t="str">
        <f>IFERROR(VLOOKUP(E237,BD!$L$2:$Q$66,2,0),0)</f>
        <v>COCA-COLA PET 1.5LX2 RF</v>
      </c>
      <c r="G237" s="409">
        <v>396</v>
      </c>
      <c r="H237" s="432">
        <f>+IFERROR(VLOOKUP(E237,BD!$L$2:$Q$66,6,0),0)</f>
        <v>198</v>
      </c>
      <c r="I237" s="96">
        <f>IFERROR(G237*VLOOKUP($E237,BD!$L$2:$Q$66,5,0),0)</f>
        <v>67.320000000000007</v>
      </c>
      <c r="J237" s="3">
        <f t="shared" si="15"/>
        <v>2021</v>
      </c>
    </row>
    <row r="238" spans="1:10" s="9" customFormat="1" hidden="1" x14ac:dyDescent="0.25">
      <c r="A238" s="421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7">
        <v>256675</v>
      </c>
      <c r="F238" s="54" t="str">
        <f>IFERROR(VLOOKUP(E238,BD!$L$2:$Q$66,2,0),0)</f>
        <v>INCA KOLA PET 1.5LX2 RF</v>
      </c>
      <c r="G238" s="409">
        <v>1180</v>
      </c>
      <c r="H238" s="432">
        <f>+IFERROR(VLOOKUP(E238,BD!$L$2:$Q$66,6,0),0)</f>
        <v>198</v>
      </c>
      <c r="I238" s="429">
        <f>IFERROR(G238*VLOOKUP($E238,BD!$L$2:$Q$66,5,0),0)</f>
        <v>200.60000000000002</v>
      </c>
      <c r="J238" s="3">
        <f t="shared" si="15"/>
        <v>2021</v>
      </c>
    </row>
    <row r="239" spans="1:10" s="9" customFormat="1" hidden="1" x14ac:dyDescent="0.25">
      <c r="A239" s="421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7">
        <v>256676</v>
      </c>
      <c r="F239" s="54" t="str">
        <f>IFERROR(VLOOKUP(E239,BD!$L$2:$Q$66,2,0),0)</f>
        <v>TWO PACK CC PFM 3LX2 - RFCC</v>
      </c>
      <c r="G239" s="409">
        <v>840</v>
      </c>
      <c r="H239" s="432">
        <f>+IFERROR(VLOOKUP(E239,BD!$L$2:$Q$66,6,0),0)</f>
        <v>120</v>
      </c>
      <c r="I239" s="429">
        <f>IFERROR(G239*VLOOKUP($E239,BD!$L$2:$Q$66,5,0),0)</f>
        <v>142.80000000000001</v>
      </c>
      <c r="J239" s="3">
        <f t="shared" si="15"/>
        <v>2021</v>
      </c>
    </row>
    <row r="240" spans="1:10" s="9" customFormat="1" hidden="1" x14ac:dyDescent="0.25">
      <c r="A240" s="421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7">
        <v>256677</v>
      </c>
      <c r="F240" s="54" t="str">
        <f>IFERROR(VLOOKUP(E240,BD!$L$2:$Q$66,2,0),0)</f>
        <v>TWO PACK CC + IK PFM 3LX2 - RFNN</v>
      </c>
      <c r="G240" s="409">
        <v>960</v>
      </c>
      <c r="H240" s="432">
        <f>+IFERROR(VLOOKUP(E240,BD!$L$2:$Q$66,6,0),0)</f>
        <v>120</v>
      </c>
      <c r="I240" s="96">
        <f>IFERROR(G240*VLOOKUP($E240,BD!$L$2:$Q$66,5,0),0)</f>
        <v>163.20000000000002</v>
      </c>
      <c r="J240" s="3">
        <f t="shared" si="15"/>
        <v>2021</v>
      </c>
    </row>
    <row r="241" spans="1:10" s="9" customFormat="1" hidden="1" x14ac:dyDescent="0.25">
      <c r="A241" s="421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7">
        <v>256678</v>
      </c>
      <c r="F241" s="54" t="str">
        <f>IFERROR(VLOOKUP(E241,BD!$L$2:$Q$66,2,0),0)</f>
        <v>TRIPACK (CC+IK)PFM+FT PET 3LX3 - RFNN</v>
      </c>
      <c r="G241" s="409">
        <v>720</v>
      </c>
      <c r="H241" s="432">
        <f>+IFERROR(VLOOKUP(E241,BD!$L$2:$Q$66,6,0),0)</f>
        <v>90</v>
      </c>
      <c r="I241" s="429">
        <f>IFERROR(G241*VLOOKUP($E241,BD!$L$2:$Q$66,5,0),0)</f>
        <v>122.4</v>
      </c>
      <c r="J241" s="3">
        <f t="shared" si="15"/>
        <v>2021</v>
      </c>
    </row>
    <row r="242" spans="1:10" s="9" customFormat="1" hidden="1" x14ac:dyDescent="0.25">
      <c r="A242" s="421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7">
        <v>256679</v>
      </c>
      <c r="F242" s="54" t="str">
        <f>IFERROR(VLOOKUP(E242,BD!$L$2:$Q$66,2,0),0)</f>
        <v>TRIPACK CC+IK+IK PFM 3LX3 - RFNN</v>
      </c>
      <c r="G242" s="409">
        <v>360</v>
      </c>
      <c r="H242" s="432">
        <f>+IFERROR(VLOOKUP(E242,BD!$L$2:$Q$66,6,0),0)</f>
        <v>90</v>
      </c>
      <c r="I242" s="429">
        <f>IFERROR(G242*VLOOKUP($E242,BD!$L$2:$Q$66,5,0),0)</f>
        <v>61.2</v>
      </c>
      <c r="J242" s="3">
        <f t="shared" si="15"/>
        <v>2021</v>
      </c>
    </row>
    <row r="243" spans="1:10" s="9" customFormat="1" hidden="1" x14ac:dyDescent="0.25">
      <c r="A243" s="421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7">
        <v>256680</v>
      </c>
      <c r="F243" s="54" t="str">
        <f>IFERROR(VLOOKUP(E243,BD!$L$2:$Q$66,2,0),0)</f>
        <v>TRIPACK CC+CC+IK PFM 3LX3 - RFNN</v>
      </c>
      <c r="G243" s="409">
        <v>270</v>
      </c>
      <c r="H243" s="432">
        <f>+IFERROR(VLOOKUP(E243,BD!$L$2:$Q$66,6,0),0)</f>
        <v>90</v>
      </c>
      <c r="I243" s="96">
        <f>IFERROR(G243*VLOOKUP($E243,BD!$L$2:$Q$66,5,0),0)</f>
        <v>45.900000000000006</v>
      </c>
      <c r="J243" s="3">
        <f t="shared" si="15"/>
        <v>2021</v>
      </c>
    </row>
    <row r="244" spans="1:10" s="9" customFormat="1" hidden="1" x14ac:dyDescent="0.25">
      <c r="A244" s="421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7">
        <v>251429</v>
      </c>
      <c r="F244" s="54" t="str">
        <f>IFERROR(VLOOKUP(E244,BD!$L$2:$Q$66,2,0),0)</f>
        <v>SAN LUIS SIN GAS PET2500X6 STICKER</v>
      </c>
      <c r="G244" s="409">
        <f>48*7</f>
        <v>336</v>
      </c>
      <c r="H244" s="432">
        <f>+IFERROR(VLOOKUP(E244,BD!$L$2:$Q$66,6,0),0)</f>
        <v>48</v>
      </c>
      <c r="I244" s="429">
        <f>IFERROR(G244*VLOOKUP($E244,BD!$L$2:$Q$66,5,0),0)</f>
        <v>134.4</v>
      </c>
      <c r="J244" s="3">
        <f t="shared" si="15"/>
        <v>2021</v>
      </c>
    </row>
    <row r="245" spans="1:10" s="9" customFormat="1" hidden="1" x14ac:dyDescent="0.25">
      <c r="A245" s="421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7">
        <v>256679</v>
      </c>
      <c r="F245" s="54" t="str">
        <f>IFERROR(VLOOKUP(E245,BD!$L$2:$Q$66,2,0),0)</f>
        <v>TRIPACK CC+IK+IK PFM 3LX3 - RFNN</v>
      </c>
      <c r="G245" s="409">
        <f>90*2</f>
        <v>180</v>
      </c>
      <c r="H245" s="432">
        <f>+IFERROR(VLOOKUP(E245,BD!$L$2:$Q$66,6,0),0)</f>
        <v>90</v>
      </c>
      <c r="I245" s="429">
        <f>IFERROR(G245*VLOOKUP($E245,BD!$L$2:$Q$66,5,0),0)</f>
        <v>30.6</v>
      </c>
      <c r="J245" s="3">
        <f t="shared" si="15"/>
        <v>2021</v>
      </c>
    </row>
    <row r="246" spans="1:10" s="9" customFormat="1" hidden="1" x14ac:dyDescent="0.25">
      <c r="A246" s="421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7">
        <v>256488</v>
      </c>
      <c r="F246" s="54" t="str">
        <f>IFERROR(VLOOKUP(E246,BD!$L$2:$Q$66,2,0),0)</f>
        <v>INCA KOLA PET 3LX2 - RF</v>
      </c>
      <c r="G246" s="409">
        <f>120*12</f>
        <v>1440</v>
      </c>
      <c r="H246" s="432">
        <f>+IFERROR(VLOOKUP(E246,BD!$L$2:$Q$66,6,0),0)</f>
        <v>120</v>
      </c>
      <c r="I246" s="96">
        <f>IFERROR(G246*VLOOKUP($E246,BD!$L$2:$Q$66,5,0),0)</f>
        <v>244.8</v>
      </c>
      <c r="J246" s="3">
        <f t="shared" si="15"/>
        <v>2021</v>
      </c>
    </row>
    <row r="247" spans="1:10" s="9" customFormat="1" hidden="1" x14ac:dyDescent="0.25">
      <c r="A247" s="421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7">
        <v>256677</v>
      </c>
      <c r="F247" s="54" t="str">
        <f>IFERROR(VLOOKUP(E247,BD!$L$2:$Q$66,2,0),0)</f>
        <v>TWO PACK CC + IK PFM 3LX2 - RFNN</v>
      </c>
      <c r="G247" s="409">
        <f>120*14</f>
        <v>1680</v>
      </c>
      <c r="H247" s="432">
        <f>+IFERROR(VLOOKUP(E247,BD!$L$2:$Q$66,6,0),0)</f>
        <v>120</v>
      </c>
      <c r="I247" s="429">
        <f>IFERROR(G247*VLOOKUP($E247,BD!$L$2:$Q$66,5,0),0)</f>
        <v>285.60000000000002</v>
      </c>
      <c r="J247" s="3">
        <f t="shared" si="15"/>
        <v>2021</v>
      </c>
    </row>
    <row r="248" spans="1:10" s="9" customFormat="1" hidden="1" x14ac:dyDescent="0.25">
      <c r="A248" s="421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7">
        <v>256617</v>
      </c>
      <c r="F248" s="54" t="str">
        <f>IFERROR(VLOOKUP(E248,BD!$L$2:$Q$66,2,0),0)</f>
        <v>TWO PACK SCHWEPPES GINGER ALE PET 1.5LX2</v>
      </c>
      <c r="G248" s="409">
        <f>198*4</f>
        <v>792</v>
      </c>
      <c r="H248" s="432">
        <f>+IFERROR(VLOOKUP(E248,BD!$L$2:$Q$66,6,0),0)</f>
        <v>198</v>
      </c>
      <c r="I248" s="429">
        <f>IFERROR(G248*VLOOKUP($E248,BD!$L$2:$Q$66,5,0),0)</f>
        <v>134.64000000000001</v>
      </c>
      <c r="J248" s="3">
        <f t="shared" si="15"/>
        <v>2021</v>
      </c>
    </row>
    <row r="249" spans="1:10" s="9" customFormat="1" hidden="1" x14ac:dyDescent="0.25">
      <c r="A249" s="421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7">
        <v>256708</v>
      </c>
      <c r="F249" s="54" t="str">
        <f>IFERROR(VLOOKUP(E249,BD!$L$2:$Q$66,2,0),0)</f>
        <v>POWERADE ION4 FRUTA PET473X6 MOD (STICK)</v>
      </c>
      <c r="G249" s="409">
        <f>225*5</f>
        <v>1125</v>
      </c>
      <c r="H249" s="432">
        <f>+IFERROR(VLOOKUP(E249,BD!$L$2:$Q$66,6,0),0)</f>
        <v>225</v>
      </c>
      <c r="I249" s="96">
        <f>IFERROR(G249*VLOOKUP($E249,BD!$L$2:$Q$66,5,0),0)</f>
        <v>450</v>
      </c>
      <c r="J249" s="3">
        <f t="shared" si="15"/>
        <v>2021</v>
      </c>
    </row>
    <row r="250" spans="1:10" s="9" customFormat="1" hidden="1" x14ac:dyDescent="0.25">
      <c r="A250" s="421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7">
        <v>251633</v>
      </c>
      <c r="F250" s="54" t="str">
        <f>IFERROR(VLOOKUP(E250,BD!$L$2:$Q$66,2,0),0)</f>
        <v>SAN LUIS CON GAS PET 625MLX6</v>
      </c>
      <c r="G250" s="409">
        <f>180*3</f>
        <v>540</v>
      </c>
      <c r="H250" s="432">
        <f>+IFERROR(VLOOKUP(E250,BD!$L$2:$Q$66,6,0),0)</f>
        <v>180</v>
      </c>
      <c r="I250" s="429">
        <f>IFERROR(G250*VLOOKUP($E250,BD!$L$2:$Q$66,5,0),0)</f>
        <v>226.79999999999998</v>
      </c>
      <c r="J250" s="3">
        <f t="shared" si="15"/>
        <v>2021</v>
      </c>
    </row>
    <row r="251" spans="1:10" s="9" customFormat="1" hidden="1" x14ac:dyDescent="0.25">
      <c r="A251" s="421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7">
        <v>751315</v>
      </c>
      <c r="F251" s="54" t="str">
        <f>IFERROR(VLOOKUP(E251,BD!$L$2:$Q$66,2,0),0)</f>
        <v>MONSTER ENERGY 473MLX4</v>
      </c>
      <c r="G251" s="409">
        <f>420*6</f>
        <v>2520</v>
      </c>
      <c r="H251" s="432">
        <f>+IFERROR(VLOOKUP(E251,BD!$L$2:$Q$66,6,0),0)</f>
        <v>420</v>
      </c>
      <c r="I251" s="429">
        <f>IFERROR(G251*VLOOKUP($E251,BD!$L$2:$Q$66,5,0),0)</f>
        <v>1058.3999999999999</v>
      </c>
      <c r="J251" s="3">
        <f t="shared" si="15"/>
        <v>2021</v>
      </c>
    </row>
    <row r="252" spans="1:10" s="9" customFormat="1" hidden="1" x14ac:dyDescent="0.25">
      <c r="A252" s="421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7">
        <v>256674</v>
      </c>
      <c r="F252" s="54" t="str">
        <f>IFERROR(VLOOKUP(E252,BD!$L$2:$Q$66,2,0),0)</f>
        <v>COCA-COLA PET 1.5LX2 RF</v>
      </c>
      <c r="G252" s="409">
        <f>198*8</f>
        <v>1584</v>
      </c>
      <c r="H252" s="432">
        <f>+IFERROR(VLOOKUP(E252,BD!$L$2:$Q$66,6,0),0)</f>
        <v>198</v>
      </c>
      <c r="I252" s="96">
        <f>IFERROR(G252*VLOOKUP($E252,BD!$L$2:$Q$66,5,0),0)</f>
        <v>269.28000000000003</v>
      </c>
      <c r="J252" s="3">
        <f t="shared" si="15"/>
        <v>2021</v>
      </c>
    </row>
    <row r="253" spans="1:10" s="9" customFormat="1" hidden="1" x14ac:dyDescent="0.25">
      <c r="A253" s="421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7">
        <v>256675</v>
      </c>
      <c r="F253" s="54" t="str">
        <f>IFERROR(VLOOKUP(E253,BD!$L$2:$Q$66,2,0),0)</f>
        <v>INCA KOLA PET 1.5LX2 RF</v>
      </c>
      <c r="G253" s="409">
        <f>198*5</f>
        <v>990</v>
      </c>
      <c r="H253" s="432">
        <f>+IFERROR(VLOOKUP(E253,BD!$L$2:$Q$66,6,0),0)</f>
        <v>198</v>
      </c>
      <c r="I253" s="429">
        <f>IFERROR(G253*VLOOKUP($E253,BD!$L$2:$Q$66,5,0),0)</f>
        <v>168.3</v>
      </c>
      <c r="J253" s="3">
        <f t="shared" si="15"/>
        <v>2021</v>
      </c>
    </row>
    <row r="254" spans="1:10" s="9" customFormat="1" hidden="1" x14ac:dyDescent="0.25">
      <c r="A254" s="421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7">
        <v>251406</v>
      </c>
      <c r="F254" s="54" t="str">
        <f>IFERROR(VLOOKUP(E254,BD!$L$2:$Q$66,2,0),0)</f>
        <v>COCA-COLA SIN AZUCAR PET 1.5LX2</v>
      </c>
      <c r="G254" s="409">
        <f>198*6</f>
        <v>1188</v>
      </c>
      <c r="H254" s="432">
        <f>+IFERROR(VLOOKUP(E254,BD!$L$2:$Q$66,6,0),0)</f>
        <v>198</v>
      </c>
      <c r="I254" s="429">
        <f>IFERROR(G254*VLOOKUP($E254,BD!$L$2:$Q$66,5,0),0)</f>
        <v>201.96</v>
      </c>
      <c r="J254" s="3">
        <f t="shared" si="15"/>
        <v>2021</v>
      </c>
    </row>
    <row r="255" spans="1:10" s="9" customFormat="1" hidden="1" x14ac:dyDescent="0.25">
      <c r="A255" s="421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7">
        <v>256666</v>
      </c>
      <c r="F255" s="54" t="str">
        <f>IFERROR(VLOOKUP(E255,BD!$L$2:$Q$66,2,0),0)</f>
        <v>COCA-COLA PET 2.25LX2 RF</v>
      </c>
      <c r="G255" s="409">
        <f>162*2</f>
        <v>324</v>
      </c>
      <c r="H255" s="432">
        <f>+IFERROR(VLOOKUP(E255,BD!$L$2:$Q$66,6,0),0)</f>
        <v>162</v>
      </c>
      <c r="I255" s="96">
        <f>IFERROR(G255*VLOOKUP($E255,BD!$L$2:$Q$66,5,0),0)</f>
        <v>55.080000000000005</v>
      </c>
      <c r="J255" s="3">
        <f t="shared" si="15"/>
        <v>2021</v>
      </c>
    </row>
    <row r="256" spans="1:10" s="9" customFormat="1" hidden="1" x14ac:dyDescent="0.25">
      <c r="A256" s="421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7">
        <v>255405</v>
      </c>
      <c r="F256" s="54" t="str">
        <f>IFERROR(VLOOKUP(E256,BD!$L$2:$Q$66,2,0),0)</f>
        <v>FRUGOS BEBIDA DZ VNR 286MLX6 C/STICKER</v>
      </c>
      <c r="G256" s="409">
        <v>350</v>
      </c>
      <c r="H256" s="432">
        <f>+IFERROR(VLOOKUP(E256,BD!$L$2:$Q$66,6,0),0)</f>
        <v>350</v>
      </c>
      <c r="I256" s="429">
        <f>IFERROR(G256*VLOOKUP($E256,BD!$L$2:$Q$66,5,0),0)</f>
        <v>80.5</v>
      </c>
      <c r="J256" s="3">
        <f t="shared" si="15"/>
        <v>2021</v>
      </c>
    </row>
    <row r="257" spans="1:10" s="9" customFormat="1" hidden="1" x14ac:dyDescent="0.25">
      <c r="A257" s="421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7">
        <v>256616</v>
      </c>
      <c r="F257" s="54" t="str">
        <f>IFERROR(VLOOKUP(E257,BD!$L$2:$Q$66,2,0),0)</f>
        <v>TWO PACK SCHWEPPES CITRUS PET 1.5LX2</v>
      </c>
      <c r="G257" s="409">
        <v>198</v>
      </c>
      <c r="H257" s="432">
        <f>+IFERROR(VLOOKUP(E257,BD!$L$2:$Q$66,6,0),0)</f>
        <v>198</v>
      </c>
      <c r="I257" s="429">
        <f>IFERROR(G257*VLOOKUP($E257,BD!$L$2:$Q$66,5,0),0)</f>
        <v>33.660000000000004</v>
      </c>
      <c r="J257" s="3">
        <f t="shared" si="15"/>
        <v>2021</v>
      </c>
    </row>
    <row r="258" spans="1:10" s="9" customFormat="1" hidden="1" x14ac:dyDescent="0.25">
      <c r="A258" s="421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7">
        <v>256709</v>
      </c>
      <c r="F258" s="54" t="str">
        <f>IFERROR(VLOOKUP(E258,BD!$L$2:$Q$66,2,0),0)</f>
        <v>POWERADE ION4 MORA AZ PET473X6 MOD(STCK)</v>
      </c>
      <c r="G258" s="409">
        <f>2*225</f>
        <v>450</v>
      </c>
      <c r="H258" s="432">
        <f>+IFERROR(VLOOKUP(E258,BD!$L$2:$Q$66,6,0),0)</f>
        <v>225</v>
      </c>
      <c r="I258" s="96">
        <f>IFERROR(G258*VLOOKUP($E258,BD!$L$2:$Q$66,5,0),0)</f>
        <v>180</v>
      </c>
      <c r="J258" s="3">
        <f t="shared" si="15"/>
        <v>2021</v>
      </c>
    </row>
    <row r="259" spans="1:10" s="9" customFormat="1" hidden="1" x14ac:dyDescent="0.25">
      <c r="A259" s="421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7">
        <v>251429</v>
      </c>
      <c r="F259" s="54" t="str">
        <f>IFERROR(VLOOKUP(E259,BD!$L$2:$Q$66,2,0),0)</f>
        <v>SAN LUIS SIN GAS PET2500X6 STICKER</v>
      </c>
      <c r="G259" s="428">
        <f>48*14</f>
        <v>672</v>
      </c>
      <c r="H259" s="432">
        <f>+IFERROR(VLOOKUP(E259,BD!$L$2:$Q$66,6,0),0)</f>
        <v>48</v>
      </c>
      <c r="I259" s="429">
        <f>IFERROR(G259*VLOOKUP($E259,BD!$L$2:$Q$66,5,0),0)</f>
        <v>268.8</v>
      </c>
      <c r="J259" s="3">
        <f t="shared" si="15"/>
        <v>2021</v>
      </c>
    </row>
    <row r="260" spans="1:10" s="9" customFormat="1" hidden="1" x14ac:dyDescent="0.25">
      <c r="A260" s="421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7">
        <v>254853</v>
      </c>
      <c r="F260" s="54" t="str">
        <f>IFERROR(VLOOKUP(E260,BD!$L$2:$Q$66,2,0),0)</f>
        <v>INCA KOLA SIN AZUCAR PET 1.5LX2</v>
      </c>
      <c r="G260" s="409">
        <f>198*8</f>
        <v>1584</v>
      </c>
      <c r="H260" s="432">
        <f>+IFERROR(VLOOKUP(E260,BD!$L$2:$Q$66,6,0),0)</f>
        <v>198</v>
      </c>
      <c r="I260" s="429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hidden="1" x14ac:dyDescent="0.25">
      <c r="A261" s="421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7">
        <v>256379</v>
      </c>
      <c r="F261" s="54" t="str">
        <f>IFERROR(VLOOKUP(E261,BD!$L$2:$Q$66,2,0),0)</f>
        <v>INCA KOLA VR 625MLX12 - STICKER</v>
      </c>
      <c r="G261" s="409">
        <f>50*2</f>
        <v>100</v>
      </c>
      <c r="H261" s="432">
        <f>+IFERROR(VLOOKUP(E261,BD!$L$2:$Q$66,6,0),0)</f>
        <v>50</v>
      </c>
      <c r="I261" s="96">
        <f>IFERROR(G261*VLOOKUP($E261,BD!$L$2:$Q$66,5,0),0)</f>
        <v>40</v>
      </c>
      <c r="J261" s="3">
        <f t="shared" si="19"/>
        <v>2021</v>
      </c>
    </row>
    <row r="262" spans="1:10" s="9" customFormat="1" hidden="1" x14ac:dyDescent="0.25">
      <c r="A262" s="421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7">
        <v>256488</v>
      </c>
      <c r="F262" s="54" t="str">
        <f>IFERROR(VLOOKUP(E262,BD!$L$2:$Q$66,2,0),0)</f>
        <v>INCA KOLA PET 3LX2 - RF</v>
      </c>
      <c r="G262" s="409">
        <f>120*9</f>
        <v>1080</v>
      </c>
      <c r="H262" s="432">
        <f>+IFERROR(VLOOKUP(E262,BD!$L$2:$Q$66,6,0),0)</f>
        <v>120</v>
      </c>
      <c r="I262" s="429">
        <f>IFERROR(G262*VLOOKUP($E262,BD!$L$2:$Q$66,5,0),0)</f>
        <v>183.60000000000002</v>
      </c>
      <c r="J262" s="3">
        <f t="shared" si="19"/>
        <v>2021</v>
      </c>
    </row>
    <row r="263" spans="1:10" s="9" customFormat="1" hidden="1" x14ac:dyDescent="0.25">
      <c r="A263" s="421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7">
        <v>256601</v>
      </c>
      <c r="F263" s="54" t="str">
        <f>IFERROR(VLOOKUP(E263,BD!$L$2:$Q$66,2,0),0)</f>
        <v>INCA KOLA PET 2.25LX2 RF</v>
      </c>
      <c r="G263" s="409">
        <v>162</v>
      </c>
      <c r="H263" s="432">
        <f>+IFERROR(VLOOKUP(E263,BD!$L$2:$Q$66,6,0),0)</f>
        <v>162</v>
      </c>
      <c r="I263" s="429">
        <f>IFERROR(G263*VLOOKUP($E263,BD!$L$2:$Q$66,5,0),0)</f>
        <v>27.540000000000003</v>
      </c>
      <c r="J263" s="3">
        <f t="shared" si="19"/>
        <v>2021</v>
      </c>
    </row>
    <row r="264" spans="1:10" s="9" customFormat="1" hidden="1" x14ac:dyDescent="0.25">
      <c r="A264" s="421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7">
        <v>256616</v>
      </c>
      <c r="F264" s="54" t="str">
        <f>IFERROR(VLOOKUP(E264,BD!$L$2:$Q$66,2,0),0)</f>
        <v>TWO PACK SCHWEPPES CITRUS PET 1.5LX2</v>
      </c>
      <c r="G264" s="409">
        <v>198</v>
      </c>
      <c r="H264" s="432">
        <f>+IFERROR(VLOOKUP(E264,BD!$L$2:$Q$66,6,0),0)</f>
        <v>198</v>
      </c>
      <c r="I264" s="96">
        <f>IFERROR(G264*VLOOKUP($E264,BD!$L$2:$Q$66,5,0),0)</f>
        <v>33.660000000000004</v>
      </c>
      <c r="J264" s="3">
        <f t="shared" si="19"/>
        <v>2021</v>
      </c>
    </row>
    <row r="265" spans="1:10" s="9" customFormat="1" hidden="1" x14ac:dyDescent="0.25">
      <c r="A265" s="421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7">
        <v>256666</v>
      </c>
      <c r="F265" s="54" t="str">
        <f>IFERROR(VLOOKUP(E265,BD!$L$2:$Q$66,2,0),0)</f>
        <v>COCA-COLA PET 2.25LX2 RF</v>
      </c>
      <c r="G265" s="409">
        <f>162*4</f>
        <v>648</v>
      </c>
      <c r="H265" s="432">
        <f>+IFERROR(VLOOKUP(E265,BD!$L$2:$Q$66,6,0),0)</f>
        <v>162</v>
      </c>
      <c r="I265" s="429">
        <f>IFERROR(G265*VLOOKUP($E265,BD!$L$2:$Q$66,5,0),0)</f>
        <v>110.16000000000001</v>
      </c>
      <c r="J265" s="3">
        <f t="shared" si="19"/>
        <v>2021</v>
      </c>
    </row>
    <row r="266" spans="1:10" s="9" customFormat="1" hidden="1" x14ac:dyDescent="0.25">
      <c r="A266" s="421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7">
        <v>256675</v>
      </c>
      <c r="F266" s="54" t="str">
        <f>IFERROR(VLOOKUP(E266,BD!$L$2:$Q$66,2,0),0)</f>
        <v>INCA KOLA PET 1.5LX2 RF</v>
      </c>
      <c r="G266" s="409">
        <f>198*6</f>
        <v>1188</v>
      </c>
      <c r="H266" s="432">
        <f>+IFERROR(VLOOKUP(E266,BD!$L$2:$Q$66,6,0),0)</f>
        <v>198</v>
      </c>
      <c r="I266" s="429">
        <f>IFERROR(G266*VLOOKUP($E266,BD!$L$2:$Q$66,5,0),0)</f>
        <v>201.96</v>
      </c>
      <c r="J266" s="3">
        <f t="shared" si="19"/>
        <v>2021</v>
      </c>
    </row>
    <row r="267" spans="1:10" s="9" customFormat="1" hidden="1" x14ac:dyDescent="0.25">
      <c r="A267" s="421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7">
        <v>256676</v>
      </c>
      <c r="F267" s="54" t="str">
        <f>IFERROR(VLOOKUP(E267,BD!$L$2:$Q$66,2,0),0)</f>
        <v>TWO PACK CC PFM 3LX2 - RFCC</v>
      </c>
      <c r="G267" s="409">
        <f>120*7</f>
        <v>840</v>
      </c>
      <c r="H267" s="432">
        <f>+IFERROR(VLOOKUP(E267,BD!$L$2:$Q$66,6,0),0)</f>
        <v>120</v>
      </c>
      <c r="I267" s="96">
        <f>IFERROR(G267*VLOOKUP($E267,BD!$L$2:$Q$66,5,0),0)</f>
        <v>142.80000000000001</v>
      </c>
      <c r="J267" s="3">
        <f t="shared" si="19"/>
        <v>2021</v>
      </c>
    </row>
    <row r="268" spans="1:10" s="9" customFormat="1" hidden="1" x14ac:dyDescent="0.25">
      <c r="A268" s="421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7">
        <v>256677</v>
      </c>
      <c r="F268" s="54" t="str">
        <f>IFERROR(VLOOKUP(E268,BD!$L$2:$Q$66,2,0),0)</f>
        <v>TWO PACK CC + IK PFM 3LX2 - RFNN</v>
      </c>
      <c r="G268" s="409">
        <f>120*8</f>
        <v>960</v>
      </c>
      <c r="H268" s="432">
        <f>+IFERROR(VLOOKUP(E268,BD!$L$2:$Q$66,6,0),0)</f>
        <v>120</v>
      </c>
      <c r="I268" s="429">
        <f>IFERROR(G268*VLOOKUP($E268,BD!$L$2:$Q$66,5,0),0)</f>
        <v>163.20000000000002</v>
      </c>
      <c r="J268" s="3">
        <f t="shared" si="19"/>
        <v>2021</v>
      </c>
    </row>
    <row r="269" spans="1:10" s="9" customFormat="1" hidden="1" x14ac:dyDescent="0.25">
      <c r="A269" s="421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7">
        <v>256678</v>
      </c>
      <c r="F269" s="54" t="str">
        <f>IFERROR(VLOOKUP(E269,BD!$L$2:$Q$66,2,0),0)</f>
        <v>TRIPACK (CC+IK)PFM+FT PET 3LX3 - RFNN</v>
      </c>
      <c r="G269" s="409">
        <f>90*8</f>
        <v>720</v>
      </c>
      <c r="H269" s="432">
        <f>+IFERROR(VLOOKUP(E269,BD!$L$2:$Q$66,6,0),0)</f>
        <v>90</v>
      </c>
      <c r="I269" s="429">
        <f>IFERROR(G269*VLOOKUP($E269,BD!$L$2:$Q$66,5,0),0)</f>
        <v>122.4</v>
      </c>
      <c r="J269" s="3">
        <f t="shared" si="19"/>
        <v>2021</v>
      </c>
    </row>
    <row r="270" spans="1:10" s="9" customFormat="1" hidden="1" x14ac:dyDescent="0.25">
      <c r="A270" s="421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7">
        <v>256679</v>
      </c>
      <c r="F270" s="54" t="str">
        <f>IFERROR(VLOOKUP(E270,BD!$L$2:$Q$66,2,0),0)</f>
        <v>TRIPACK CC+IK+IK PFM 3LX3 - RFNN</v>
      </c>
      <c r="G270" s="409">
        <f>90*4</f>
        <v>360</v>
      </c>
      <c r="H270" s="432">
        <f>+IFERROR(VLOOKUP(E270,BD!$L$2:$Q$66,6,0),0)</f>
        <v>90</v>
      </c>
      <c r="I270" s="96">
        <f>IFERROR(G270*VLOOKUP($E270,BD!$L$2:$Q$66,5,0),0)</f>
        <v>61.2</v>
      </c>
      <c r="J270" s="3">
        <f t="shared" si="19"/>
        <v>2021</v>
      </c>
    </row>
    <row r="271" spans="1:10" s="9" customFormat="1" hidden="1" x14ac:dyDescent="0.25">
      <c r="A271" s="421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7">
        <v>256680</v>
      </c>
      <c r="F271" s="54" t="str">
        <f>IFERROR(VLOOKUP(E271,BD!$L$2:$Q$66,2,0),0)</f>
        <v>TRIPACK CC+CC+IK PFM 3LX3 - RFNN</v>
      </c>
      <c r="G271" s="409">
        <f>90*3</f>
        <v>270</v>
      </c>
      <c r="H271" s="432">
        <f>+IFERROR(VLOOKUP(E271,BD!$L$2:$Q$66,6,0),0)</f>
        <v>90</v>
      </c>
      <c r="I271" s="429">
        <f>IFERROR(G271*VLOOKUP($E271,BD!$L$2:$Q$66,5,0),0)</f>
        <v>45.900000000000006</v>
      </c>
      <c r="J271" s="3">
        <f t="shared" si="19"/>
        <v>2021</v>
      </c>
    </row>
    <row r="272" spans="1:10" s="9" customFormat="1" hidden="1" x14ac:dyDescent="0.25">
      <c r="A272" s="421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7">
        <v>256674</v>
      </c>
      <c r="F272" s="54" t="str">
        <f>IFERROR(VLOOKUP(E272,BD!$L$2:$Q$66,2,0),0)</f>
        <v>COCA-COLA PET 1.5LX2 RF</v>
      </c>
      <c r="G272" s="409">
        <v>396</v>
      </c>
      <c r="H272" s="432">
        <f>+IFERROR(VLOOKUP(E272,BD!$L$2:$Q$66,6,0),0)</f>
        <v>198</v>
      </c>
      <c r="I272" s="429">
        <f>IFERROR(G272*VLOOKUP($E272,BD!$L$2:$Q$66,5,0),0)</f>
        <v>67.320000000000007</v>
      </c>
      <c r="J272" s="3">
        <f t="shared" si="19"/>
        <v>2021</v>
      </c>
    </row>
    <row r="273" spans="1:10" s="9" customFormat="1" hidden="1" x14ac:dyDescent="0.25">
      <c r="A273" s="421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7">
        <v>251406</v>
      </c>
      <c r="F273" s="54" t="str">
        <f>IFERROR(VLOOKUP(E273,BD!$L$2:$Q$66,2,0),0)</f>
        <v>COCA-COLA SIN AZUCAR PET 1.5LX2</v>
      </c>
      <c r="G273" s="409">
        <f>198*2</f>
        <v>396</v>
      </c>
      <c r="H273" s="432">
        <f>+IFERROR(VLOOKUP(E273,BD!$L$2:$Q$66,6,0),0)</f>
        <v>198</v>
      </c>
      <c r="I273" s="429">
        <f>IFERROR(G273*VLOOKUP($E273,BD!$L$2:$Q$66,5,0),0)</f>
        <v>67.320000000000007</v>
      </c>
      <c r="J273" s="3">
        <f t="shared" si="19"/>
        <v>2021</v>
      </c>
    </row>
    <row r="274" spans="1:10" s="9" customFormat="1" hidden="1" x14ac:dyDescent="0.25">
      <c r="A274" s="421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7">
        <v>256601</v>
      </c>
      <c r="F274" s="54" t="str">
        <f>IFERROR(VLOOKUP(E274,BD!$L$2:$Q$66,2,0),0)</f>
        <v>INCA KOLA PET 2.25LX2 RF</v>
      </c>
      <c r="G274" s="409">
        <v>162</v>
      </c>
      <c r="H274" s="432">
        <f>+IFERROR(VLOOKUP(E274,BD!$L$2:$Q$66,6,0),0)</f>
        <v>162</v>
      </c>
      <c r="I274" s="429">
        <f>IFERROR(G274*VLOOKUP($E274,BD!$L$2:$Q$66,5,0),0)</f>
        <v>27.540000000000003</v>
      </c>
      <c r="J274" s="3">
        <f t="shared" si="19"/>
        <v>2021</v>
      </c>
    </row>
    <row r="275" spans="1:10" s="9" customFormat="1" hidden="1" x14ac:dyDescent="0.25">
      <c r="A275" s="421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7">
        <v>256666</v>
      </c>
      <c r="F275" s="54" t="str">
        <f>IFERROR(VLOOKUP(E275,BD!$L$2:$Q$66,2,0),0)</f>
        <v>COCA-COLA PET 2.25LX2 RF</v>
      </c>
      <c r="G275" s="409">
        <f>162*4</f>
        <v>648</v>
      </c>
      <c r="H275" s="432">
        <f>+IFERROR(VLOOKUP(E275,BD!$L$2:$Q$66,6,0),0)</f>
        <v>162</v>
      </c>
      <c r="I275" s="96">
        <f>IFERROR(G275*VLOOKUP($E275,BD!$L$2:$Q$66,5,0),0)</f>
        <v>110.16000000000001</v>
      </c>
      <c r="J275" s="3">
        <f t="shared" si="19"/>
        <v>2021</v>
      </c>
    </row>
    <row r="276" spans="1:10" s="9" customFormat="1" hidden="1" x14ac:dyDescent="0.25">
      <c r="A276" s="421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7">
        <v>256488</v>
      </c>
      <c r="F276" s="54" t="str">
        <f>IFERROR(VLOOKUP(E276,BD!$L$2:$Q$66,2,0),0)</f>
        <v>INCA KOLA PET 3LX2 - RF</v>
      </c>
      <c r="G276" s="409">
        <f>120*8</f>
        <v>960</v>
      </c>
      <c r="H276" s="432">
        <f>+IFERROR(VLOOKUP(E276,BD!$L$2:$Q$66,6,0),0)</f>
        <v>120</v>
      </c>
      <c r="I276" s="429">
        <f>IFERROR(G276*VLOOKUP($E276,BD!$L$2:$Q$66,5,0),0)</f>
        <v>163.20000000000002</v>
      </c>
      <c r="J276" s="3">
        <f t="shared" si="19"/>
        <v>2021</v>
      </c>
    </row>
    <row r="277" spans="1:10" s="9" customFormat="1" hidden="1" x14ac:dyDescent="0.25">
      <c r="A277" s="421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7">
        <v>256616</v>
      </c>
      <c r="F277" s="54" t="str">
        <f>IFERROR(VLOOKUP(E277,BD!$L$2:$Q$66,2,0),0)</f>
        <v>TWO PACK SCHWEPPES CITRUS PET 1.5LX2</v>
      </c>
      <c r="G277" s="409">
        <f>198*5</f>
        <v>990</v>
      </c>
      <c r="H277" s="432">
        <f>+IFERROR(VLOOKUP(E277,BD!$L$2:$Q$66,6,0),0)</f>
        <v>198</v>
      </c>
      <c r="I277" s="429">
        <f>IFERROR(G277*VLOOKUP($E277,BD!$L$2:$Q$66,5,0),0)</f>
        <v>168.3</v>
      </c>
      <c r="J277" s="3">
        <f t="shared" si="19"/>
        <v>2021</v>
      </c>
    </row>
    <row r="278" spans="1:10" s="9" customFormat="1" hidden="1" x14ac:dyDescent="0.25">
      <c r="A278" s="421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7">
        <v>256617</v>
      </c>
      <c r="F278" s="54" t="str">
        <f>IFERROR(VLOOKUP(E278,BD!$L$2:$Q$66,2,0),0)</f>
        <v>TWO PACK SCHWEPPES GINGER ALE PET 1.5LX2</v>
      </c>
      <c r="G278" s="409">
        <v>198</v>
      </c>
      <c r="H278" s="432">
        <f>+IFERROR(VLOOKUP(E278,BD!$L$2:$Q$66,6,0),0)</f>
        <v>198</v>
      </c>
      <c r="I278" s="96">
        <f>IFERROR(G278*VLOOKUP($E278,BD!$L$2:$Q$66,5,0),0)</f>
        <v>33.660000000000004</v>
      </c>
      <c r="J278" s="3">
        <f t="shared" si="19"/>
        <v>2021</v>
      </c>
    </row>
    <row r="279" spans="1:10" s="9" customFormat="1" hidden="1" x14ac:dyDescent="0.25">
      <c r="A279" s="421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7">
        <v>256652</v>
      </c>
      <c r="F279" s="54" t="str">
        <f>IFERROR(VLOOKUP(E279,BD!$L$2:$Q$66,2,0),0)</f>
        <v>TRIPACK FT NAR+FT KI+SP PET 3L</v>
      </c>
      <c r="G279" s="409">
        <f>90*8</f>
        <v>720</v>
      </c>
      <c r="H279" s="432">
        <f>+IFERROR(VLOOKUP(E279,BD!$L$2:$Q$66,6,0),0)</f>
        <v>90</v>
      </c>
      <c r="I279" s="429">
        <f>IFERROR(G279*VLOOKUP($E279,BD!$L$2:$Q$66,5,0),0)</f>
        <v>122.4</v>
      </c>
      <c r="J279" s="3">
        <f t="shared" si="19"/>
        <v>2021</v>
      </c>
    </row>
    <row r="280" spans="1:10" s="9" customFormat="1" hidden="1" x14ac:dyDescent="0.25">
      <c r="A280" s="421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7">
        <v>256677</v>
      </c>
      <c r="F280" s="54" t="str">
        <f>IFERROR(VLOOKUP(E280,BD!$L$2:$Q$66,2,0),0)</f>
        <v>TWO PACK CC + IK PFM 3LX2 - RFNN</v>
      </c>
      <c r="G280" s="409">
        <f>120*10</f>
        <v>1200</v>
      </c>
      <c r="H280" s="432">
        <f>+IFERROR(VLOOKUP(E280,BD!$L$2:$Q$66,6,0),0)</f>
        <v>120</v>
      </c>
      <c r="I280" s="429">
        <f>IFERROR(G280*VLOOKUP($E280,BD!$L$2:$Q$66,5,0),0)</f>
        <v>204.00000000000003</v>
      </c>
      <c r="J280" s="3">
        <f t="shared" si="19"/>
        <v>2021</v>
      </c>
    </row>
    <row r="281" spans="1:10" s="9" customFormat="1" hidden="1" x14ac:dyDescent="0.25">
      <c r="A281" s="421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7">
        <v>256679</v>
      </c>
      <c r="F281" s="54" t="str">
        <f>IFERROR(VLOOKUP(E281,BD!$L$2:$Q$66,2,0),0)</f>
        <v>TRIPACK CC+IK+IK PFM 3LX3 - RFNN</v>
      </c>
      <c r="G281" s="409">
        <f>90*2</f>
        <v>180</v>
      </c>
      <c r="H281" s="432">
        <f>+IFERROR(VLOOKUP(E281,BD!$L$2:$Q$66,6,0),0)</f>
        <v>90</v>
      </c>
      <c r="I281" s="96">
        <f>IFERROR(G281*VLOOKUP($E281,BD!$L$2:$Q$66,5,0),0)</f>
        <v>30.6</v>
      </c>
      <c r="J281" s="3">
        <f t="shared" si="19"/>
        <v>2021</v>
      </c>
    </row>
    <row r="282" spans="1:10" s="9" customFormat="1" hidden="1" x14ac:dyDescent="0.25">
      <c r="A282" s="421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7">
        <v>256676</v>
      </c>
      <c r="F282" s="54" t="str">
        <f>IFERROR(VLOOKUP(E282,BD!$L$2:$Q$66,2,0),0)</f>
        <v>TWO PACK CC PFM 3LX2 - RFCC</v>
      </c>
      <c r="G282" s="409">
        <f>120*12</f>
        <v>1440</v>
      </c>
      <c r="H282" s="432">
        <f>+IFERROR(VLOOKUP(E282,BD!$L$2:$Q$66,6,0),0)</f>
        <v>120</v>
      </c>
      <c r="I282" s="429">
        <f>IFERROR(G282*VLOOKUP($E282,BD!$L$2:$Q$66,5,0),0)</f>
        <v>244.8</v>
      </c>
      <c r="J282" s="3">
        <f t="shared" si="19"/>
        <v>2021</v>
      </c>
    </row>
    <row r="283" spans="1:10" s="9" customFormat="1" hidden="1" x14ac:dyDescent="0.25">
      <c r="A283" s="421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7">
        <v>256678</v>
      </c>
      <c r="F283" s="54" t="str">
        <f>IFERROR(VLOOKUP(E283,BD!$L$2:$Q$66,2,0),0)</f>
        <v>TRIPACK (CC+IK)PFM+FT PET 3LX3 - RFNN</v>
      </c>
      <c r="G283" s="409">
        <f>90*2</f>
        <v>180</v>
      </c>
      <c r="H283" s="432">
        <f>+IFERROR(VLOOKUP(E283,BD!$L$2:$Q$66,6,0),0)</f>
        <v>90</v>
      </c>
      <c r="I283" s="429">
        <f>IFERROR(G283*VLOOKUP($E283,BD!$L$2:$Q$66,5,0),0)</f>
        <v>30.6</v>
      </c>
      <c r="J283" s="3">
        <f t="shared" si="19"/>
        <v>2021</v>
      </c>
    </row>
    <row r="284" spans="1:10" s="9" customFormat="1" hidden="1" x14ac:dyDescent="0.25">
      <c r="A284" s="421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7">
        <v>256674</v>
      </c>
      <c r="F284" s="54" t="str">
        <f>IFERROR(VLOOKUP(E284,BD!$L$2:$Q$66,2,0),0)</f>
        <v>COCA-COLA PET 1.5LX2 RF</v>
      </c>
      <c r="G284" s="409">
        <f>198*5</f>
        <v>990</v>
      </c>
      <c r="H284" s="432">
        <f>+IFERROR(VLOOKUP(E284,BD!$L$2:$Q$66,6,0),0)</f>
        <v>198</v>
      </c>
      <c r="I284" s="96">
        <f>IFERROR(G284*VLOOKUP($E284,BD!$L$2:$Q$66,5,0),0)</f>
        <v>168.3</v>
      </c>
      <c r="J284" s="3">
        <f t="shared" si="19"/>
        <v>2021</v>
      </c>
    </row>
    <row r="285" spans="1:10" s="9" customFormat="1" hidden="1" x14ac:dyDescent="0.25">
      <c r="A285" s="421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7">
        <v>256675</v>
      </c>
      <c r="F285" s="54" t="str">
        <f>IFERROR(VLOOKUP(E285,BD!$L$2:$Q$66,2,0),0)</f>
        <v>INCA KOLA PET 1.5LX2 RF</v>
      </c>
      <c r="G285" s="409">
        <f>198*4</f>
        <v>792</v>
      </c>
      <c r="H285" s="432">
        <f>+IFERROR(VLOOKUP(E285,BD!$L$2:$Q$66,6,0),0)</f>
        <v>198</v>
      </c>
      <c r="I285" s="429">
        <f>IFERROR(G285*VLOOKUP($E285,BD!$L$2:$Q$66,5,0),0)</f>
        <v>134.64000000000001</v>
      </c>
      <c r="J285" s="3">
        <f t="shared" si="19"/>
        <v>2021</v>
      </c>
    </row>
    <row r="286" spans="1:10" s="9" customFormat="1" hidden="1" x14ac:dyDescent="0.25">
      <c r="A286" s="421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7">
        <v>751315</v>
      </c>
      <c r="F286" s="54" t="str">
        <f>IFERROR(VLOOKUP(E286,BD!$L$2:$Q$66,2,0),0)</f>
        <v>MONSTER ENERGY 473MLX4</v>
      </c>
      <c r="G286" s="409">
        <f>420*6</f>
        <v>2520</v>
      </c>
      <c r="H286" s="432">
        <f>+IFERROR(VLOOKUP(E286,BD!$L$2:$Q$66,6,0),0)</f>
        <v>420</v>
      </c>
      <c r="I286" s="429">
        <f>IFERROR(G286*VLOOKUP($E286,BD!$L$2:$Q$66,5,0),0)</f>
        <v>1058.3999999999999</v>
      </c>
      <c r="J286" s="3">
        <f t="shared" si="19"/>
        <v>2021</v>
      </c>
    </row>
    <row r="287" spans="1:10" s="9" customFormat="1" hidden="1" x14ac:dyDescent="0.25">
      <c r="A287" s="421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7">
        <v>251429</v>
      </c>
      <c r="F287" s="54" t="str">
        <f>IFERROR(VLOOKUP(E287,BD!$L$2:$Q$66,2,0),0)</f>
        <v>SAN LUIS SIN GAS PET2500X6 STICKER</v>
      </c>
      <c r="G287" s="409">
        <v>288</v>
      </c>
      <c r="H287" s="432">
        <f>+IFERROR(VLOOKUP(E287,BD!$L$2:$Q$66,6,0),0)</f>
        <v>48</v>
      </c>
      <c r="I287" s="96">
        <f>IFERROR(G287*VLOOKUP($E287,BD!$L$2:$Q$66,5,0),0)</f>
        <v>115.2</v>
      </c>
      <c r="J287" s="3">
        <f t="shared" si="19"/>
        <v>2021</v>
      </c>
    </row>
    <row r="288" spans="1:10" s="9" customFormat="1" hidden="1" x14ac:dyDescent="0.25">
      <c r="A288" s="421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7">
        <v>256379</v>
      </c>
      <c r="F288" s="54" t="str">
        <f>IFERROR(VLOOKUP(E288,BD!$L$2:$Q$66,2,0),0)</f>
        <v>INCA KOLA VR 625MLX12 - STICKER</v>
      </c>
      <c r="G288" s="409">
        <v>50</v>
      </c>
      <c r="H288" s="432">
        <f>+IFERROR(VLOOKUP(E288,BD!$L$2:$Q$66,6,0),0)</f>
        <v>50</v>
      </c>
      <c r="I288" s="429">
        <f>IFERROR(G288*VLOOKUP($E288,BD!$L$2:$Q$66,5,0),0)</f>
        <v>20</v>
      </c>
      <c r="J288" s="3">
        <f t="shared" si="19"/>
        <v>2021</v>
      </c>
    </row>
    <row r="289" spans="1:10" s="9" customFormat="1" hidden="1" x14ac:dyDescent="0.25">
      <c r="A289" s="421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7">
        <v>256380</v>
      </c>
      <c r="F289" s="54" t="str">
        <f>IFERROR(VLOOKUP(E289,BD!$L$2:$Q$66,2,0),0)</f>
        <v>INCA KOLA VR 296MLX24 - STICKER</v>
      </c>
      <c r="G289" s="409">
        <v>40</v>
      </c>
      <c r="H289" s="432">
        <f>+IFERROR(VLOOKUP(E289,BD!$L$2:$Q$66,6,0),0)</f>
        <v>40</v>
      </c>
      <c r="I289" s="429">
        <f>IFERROR(G289*VLOOKUP($E289,BD!$L$2:$Q$66,5,0),0)</f>
        <v>9.2000000000000011</v>
      </c>
      <c r="J289" s="3">
        <f t="shared" si="19"/>
        <v>2021</v>
      </c>
    </row>
    <row r="290" spans="1:10" s="9" customFormat="1" hidden="1" x14ac:dyDescent="0.25">
      <c r="A290" s="421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7">
        <v>256381</v>
      </c>
      <c r="F290" s="54" t="str">
        <f>IFERROR(VLOOKUP(E290,BD!$L$2:$Q$66,2,0),0)</f>
        <v>INCA KOLA VR 1.5LX8 - STICKER</v>
      </c>
      <c r="G290" s="409">
        <f>30*3</f>
        <v>90</v>
      </c>
      <c r="H290" s="432">
        <f>+IFERROR(VLOOKUP(E290,BD!$L$2:$Q$66,6,0),0)</f>
        <v>30</v>
      </c>
      <c r="I290" s="96">
        <f>IFERROR(G290*VLOOKUP($E290,BD!$L$2:$Q$66,5,0),0)</f>
        <v>36</v>
      </c>
      <c r="J290" s="3">
        <f t="shared" si="19"/>
        <v>2021</v>
      </c>
    </row>
    <row r="291" spans="1:10" s="9" customFormat="1" hidden="1" x14ac:dyDescent="0.25">
      <c r="A291" s="421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7">
        <v>256383</v>
      </c>
      <c r="F291" s="54" t="str">
        <f>IFERROR(VLOOKUP(E291,BD!$L$2:$Q$66,2,0),0)</f>
        <v>COCA COLA VR 1.5LX8 - STICKER</v>
      </c>
      <c r="G291" s="409">
        <f>30*3</f>
        <v>90</v>
      </c>
      <c r="H291" s="432">
        <f>+IFERROR(VLOOKUP(E291,BD!$L$2:$Q$66,6,0),0)</f>
        <v>30</v>
      </c>
      <c r="I291" s="429">
        <f>IFERROR(G291*VLOOKUP($E291,BD!$L$2:$Q$66,5,0),0)</f>
        <v>20.7</v>
      </c>
      <c r="J291" s="3">
        <f t="shared" si="19"/>
        <v>2021</v>
      </c>
    </row>
    <row r="292" spans="1:10" s="9" customFormat="1" hidden="1" x14ac:dyDescent="0.25">
      <c r="A292" s="421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7">
        <v>256695</v>
      </c>
      <c r="F292" s="54" t="str">
        <f>IFERROR(VLOOKUP(E292,BD!$L$2:$Q$66,2,0),0)</f>
        <v>POWERADE 3MORA+3FRUT PET 473MLX6</v>
      </c>
      <c r="G292" s="409">
        <f>225*6</f>
        <v>1350</v>
      </c>
      <c r="H292" s="432">
        <f>+IFERROR(VLOOKUP(E292,BD!$L$2:$Q$66,6,0),0)</f>
        <v>225</v>
      </c>
      <c r="I292" s="429">
        <f>IFERROR(G292*VLOOKUP($E292,BD!$L$2:$Q$66,5,0),0)</f>
        <v>567</v>
      </c>
      <c r="J292" s="3">
        <f t="shared" si="19"/>
        <v>2021</v>
      </c>
    </row>
    <row r="293" spans="1:10" s="9" customFormat="1" hidden="1" x14ac:dyDescent="0.25">
      <c r="A293" s="421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7">
        <v>751468</v>
      </c>
      <c r="F293" s="54" t="str">
        <f>IFERROR(VLOOKUP(E293,BD!$L$2:$Q$66,2,0),0)</f>
        <v>MONSTER ENERGY ULTRA 473MLX4</v>
      </c>
      <c r="G293" s="409">
        <f>420*4</f>
        <v>1680</v>
      </c>
      <c r="H293" s="432">
        <f>+IFERROR(VLOOKUP(E293,BD!$L$2:$Q$66,6,0),0)</f>
        <v>420</v>
      </c>
      <c r="I293" s="96">
        <f>IFERROR(G293*VLOOKUP($E293,BD!$L$2:$Q$66,5,0),0)</f>
        <v>705.6</v>
      </c>
      <c r="J293" s="3">
        <f t="shared" si="19"/>
        <v>2021</v>
      </c>
    </row>
    <row r="294" spans="1:10" s="9" customFormat="1" hidden="1" x14ac:dyDescent="0.25">
      <c r="A294" s="421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7">
        <v>256381</v>
      </c>
      <c r="F294" s="54" t="str">
        <f>IFERROR(VLOOKUP(E294,BD!$L$2:$Q$66,2,0),0)</f>
        <v>INCA KOLA VR 1.5LX8 - STICKER</v>
      </c>
      <c r="G294" s="409">
        <v>30</v>
      </c>
      <c r="H294" s="432">
        <f>+IFERROR(VLOOKUP(E294,BD!$L$2:$Q$66,6,0),0)</f>
        <v>30</v>
      </c>
      <c r="I294" s="429">
        <f>IFERROR(G294*VLOOKUP($E294,BD!$L$2:$Q$66,5,0),0)</f>
        <v>12</v>
      </c>
      <c r="J294" s="3">
        <f t="shared" si="19"/>
        <v>2021</v>
      </c>
    </row>
    <row r="295" spans="1:10" s="9" customFormat="1" hidden="1" x14ac:dyDescent="0.25">
      <c r="A295" s="421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7">
        <v>256379</v>
      </c>
      <c r="F295" s="54" t="str">
        <f>IFERROR(VLOOKUP(E295,BD!$L$2:$Q$66,2,0),0)</f>
        <v>INCA KOLA VR 625MLX12 - STICKER</v>
      </c>
      <c r="G295" s="409">
        <f>50*2</f>
        <v>100</v>
      </c>
      <c r="H295" s="432">
        <f>+IFERROR(VLOOKUP(E295,BD!$L$2:$Q$66,6,0),0)</f>
        <v>50</v>
      </c>
      <c r="I295" s="429">
        <f>IFERROR(G295*VLOOKUP($E295,BD!$L$2:$Q$66,5,0),0)</f>
        <v>40</v>
      </c>
      <c r="J295" s="3">
        <f t="shared" si="19"/>
        <v>2021</v>
      </c>
    </row>
    <row r="296" spans="1:10" s="9" customFormat="1" hidden="1" x14ac:dyDescent="0.25">
      <c r="A296" s="421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7">
        <v>751315</v>
      </c>
      <c r="F296" s="54" t="str">
        <f>IFERROR(VLOOKUP(E296,BD!$L$2:$Q$66,2,0),0)</f>
        <v>MONSTER ENERGY 473MLX4</v>
      </c>
      <c r="G296" s="428">
        <f>420*6</f>
        <v>2520</v>
      </c>
      <c r="H296" s="432">
        <f>+IFERROR(VLOOKUP(E296,BD!$L$2:$Q$66,6,0),0)</f>
        <v>420</v>
      </c>
      <c r="I296" s="96">
        <f>IFERROR(G296*VLOOKUP($E296,BD!$L$2:$Q$66,5,0),0)</f>
        <v>1058.3999999999999</v>
      </c>
      <c r="J296" s="3">
        <f t="shared" si="19"/>
        <v>2021</v>
      </c>
    </row>
    <row r="297" spans="1:10" s="9" customFormat="1" hidden="1" x14ac:dyDescent="0.25">
      <c r="A297" s="421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7">
        <v>751468</v>
      </c>
      <c r="F297" s="54" t="str">
        <f>IFERROR(VLOOKUP(E297,BD!$L$2:$Q$66,2,0),0)</f>
        <v>MONSTER ENERGY ULTRA 473MLX4</v>
      </c>
      <c r="G297" s="409">
        <f>420*4</f>
        <v>1680</v>
      </c>
      <c r="H297" s="432">
        <f>+IFERROR(VLOOKUP(E297,BD!$L$2:$Q$66,6,0),0)</f>
        <v>420</v>
      </c>
      <c r="I297" s="429">
        <f>IFERROR(G297*VLOOKUP($E297,BD!$L$2:$Q$66,5,0),0)</f>
        <v>705.6</v>
      </c>
      <c r="J297" s="3">
        <f t="shared" si="19"/>
        <v>2021</v>
      </c>
    </row>
    <row r="298" spans="1:10" s="9" customFormat="1" hidden="1" x14ac:dyDescent="0.25">
      <c r="A298" s="421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7">
        <v>256695</v>
      </c>
      <c r="F298" s="54" t="str">
        <f>IFERROR(VLOOKUP(E298,BD!$L$2:$Q$66,2,0),0)</f>
        <v>POWERADE 3MORA+3FRUT PET 473MLX6</v>
      </c>
      <c r="G298" s="409">
        <f>225*2</f>
        <v>450</v>
      </c>
      <c r="H298" s="432">
        <f>+IFERROR(VLOOKUP(E298,BD!$L$2:$Q$66,6,0),0)</f>
        <v>225</v>
      </c>
      <c r="I298" s="429">
        <f>IFERROR(G298*VLOOKUP($E298,BD!$L$2:$Q$66,5,0),0)</f>
        <v>189</v>
      </c>
      <c r="J298" s="3">
        <f t="shared" si="19"/>
        <v>2021</v>
      </c>
    </row>
    <row r="299" spans="1:10" s="9" customFormat="1" hidden="1" x14ac:dyDescent="0.25">
      <c r="A299" s="421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7">
        <v>251633</v>
      </c>
      <c r="F299" s="54" t="str">
        <f>IFERROR(VLOOKUP(E299,BD!$L$2:$Q$66,2,0),0)</f>
        <v>SAN LUIS CON GAS PET 625MLX6</v>
      </c>
      <c r="G299" s="409">
        <f>180*4</f>
        <v>720</v>
      </c>
      <c r="H299" s="432">
        <f>+IFERROR(VLOOKUP(E299,BD!$L$2:$Q$66,6,0),0)</f>
        <v>180</v>
      </c>
      <c r="I299" s="96">
        <f>IFERROR(G299*VLOOKUP($E299,BD!$L$2:$Q$66,5,0),0)</f>
        <v>302.39999999999998</v>
      </c>
      <c r="J299" s="3">
        <f t="shared" si="19"/>
        <v>2021</v>
      </c>
    </row>
    <row r="300" spans="1:10" s="9" customFormat="1" hidden="1" x14ac:dyDescent="0.25">
      <c r="A300" s="421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7">
        <v>256380</v>
      </c>
      <c r="F300" s="54" t="str">
        <f>IFERROR(VLOOKUP(E300,BD!$L$2:$Q$66,2,0),0)</f>
        <v>INCA KOLA VR 296MLX24 - STICKER</v>
      </c>
      <c r="G300" s="409">
        <v>40</v>
      </c>
      <c r="H300" s="432">
        <f>+IFERROR(VLOOKUP(E300,BD!$L$2:$Q$66,6,0),0)</f>
        <v>40</v>
      </c>
      <c r="I300" s="429">
        <f>IFERROR(G300*VLOOKUP($E300,BD!$L$2:$Q$66,5,0),0)</f>
        <v>9.2000000000000011</v>
      </c>
      <c r="J300" s="3">
        <f t="shared" si="19"/>
        <v>2021</v>
      </c>
    </row>
    <row r="301" spans="1:10" s="9" customFormat="1" hidden="1" x14ac:dyDescent="0.25">
      <c r="A301" s="421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7">
        <v>251406</v>
      </c>
      <c r="F301" s="54" t="str">
        <f>IFERROR(VLOOKUP(E301,BD!$L$2:$Q$66,2,0),0)</f>
        <v>COCA-COLA SIN AZUCAR PET 1.5LX2</v>
      </c>
      <c r="G301" s="409">
        <f>198*6</f>
        <v>1188</v>
      </c>
      <c r="H301" s="432">
        <f>+IFERROR(VLOOKUP(E301,BD!$L$2:$Q$66,6,0),0)</f>
        <v>198</v>
      </c>
      <c r="I301" s="429">
        <f>IFERROR(G301*VLOOKUP($E301,BD!$L$2:$Q$66,5,0),0)</f>
        <v>201.96</v>
      </c>
      <c r="J301" s="3">
        <f t="shared" si="19"/>
        <v>2021</v>
      </c>
    </row>
    <row r="302" spans="1:10" s="9" customFormat="1" hidden="1" x14ac:dyDescent="0.25">
      <c r="A302" s="421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7">
        <v>256488</v>
      </c>
      <c r="F302" s="54" t="str">
        <f>IFERROR(VLOOKUP(E302,BD!$L$2:$Q$66,2,0),0)</f>
        <v>INCA KOLA PET 3LX2 - RF</v>
      </c>
      <c r="G302" s="409">
        <f>120*2</f>
        <v>240</v>
      </c>
      <c r="H302" s="432">
        <f>+IFERROR(VLOOKUP(E302,BD!$L$2:$Q$66,6,0),0)</f>
        <v>120</v>
      </c>
      <c r="I302" s="96">
        <f>IFERROR(G302*VLOOKUP($E302,BD!$L$2:$Q$66,5,0),0)</f>
        <v>40.800000000000004</v>
      </c>
      <c r="J302" s="3">
        <f t="shared" si="19"/>
        <v>2021</v>
      </c>
    </row>
    <row r="303" spans="1:10" s="9" customFormat="1" hidden="1" x14ac:dyDescent="0.25">
      <c r="A303" s="421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7">
        <v>256682</v>
      </c>
      <c r="F303" s="54" t="str">
        <f>IFERROR(VLOOKUP(E303,BD!$L$2:$Q$66,2,0),0)</f>
        <v>TRIPACK (FT NAR+SP)PET+IK RF PFM 3L</v>
      </c>
      <c r="G303" s="409">
        <f>90*2</f>
        <v>180</v>
      </c>
      <c r="H303" s="432">
        <f>+IFERROR(VLOOKUP(E303,BD!$L$2:$Q$66,6,0),0)</f>
        <v>90</v>
      </c>
      <c r="I303" s="429">
        <f>IFERROR(G303*VLOOKUP($E303,BD!$L$2:$Q$66,5,0),0)</f>
        <v>30.6</v>
      </c>
      <c r="J303" s="3">
        <f t="shared" si="19"/>
        <v>2021</v>
      </c>
    </row>
    <row r="304" spans="1:10" s="9" customFormat="1" hidden="1" x14ac:dyDescent="0.25">
      <c r="A304" s="421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7">
        <v>256677</v>
      </c>
      <c r="F304" s="54" t="str">
        <f>IFERROR(VLOOKUP(E304,BD!$L$2:$Q$66,2,0),0)</f>
        <v>TWO PACK CC + IK PFM 3LX2 - RFNN</v>
      </c>
      <c r="G304" s="409">
        <f>120*6</f>
        <v>720</v>
      </c>
      <c r="H304" s="432">
        <f>+IFERROR(VLOOKUP(E304,BD!$L$2:$Q$66,6,0),0)</f>
        <v>120</v>
      </c>
      <c r="I304" s="429">
        <f>IFERROR(G304*VLOOKUP($E304,BD!$L$2:$Q$66,5,0),0)</f>
        <v>122.4</v>
      </c>
      <c r="J304" s="3">
        <f t="shared" si="19"/>
        <v>2021</v>
      </c>
    </row>
    <row r="305" spans="1:10" s="9" customFormat="1" hidden="1" x14ac:dyDescent="0.25">
      <c r="A305" s="421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7">
        <v>256617</v>
      </c>
      <c r="F305" s="54" t="str">
        <f>IFERROR(VLOOKUP(E305,BD!$L$2:$Q$66,2,0),0)</f>
        <v>TWO PACK SCHWEPPES GINGER ALE PET 1.5LX2</v>
      </c>
      <c r="G305" s="409">
        <f>198*2</f>
        <v>396</v>
      </c>
      <c r="H305" s="432">
        <f>+IFERROR(VLOOKUP(E305,BD!$L$2:$Q$66,6,0),0)</f>
        <v>198</v>
      </c>
      <c r="I305" s="96">
        <f>IFERROR(G305*VLOOKUP($E305,BD!$L$2:$Q$66,5,0),0)</f>
        <v>67.320000000000007</v>
      </c>
      <c r="J305" s="3">
        <f t="shared" si="19"/>
        <v>2021</v>
      </c>
    </row>
    <row r="306" spans="1:10" s="9" customFormat="1" hidden="1" x14ac:dyDescent="0.25">
      <c r="A306" s="421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7">
        <v>254853</v>
      </c>
      <c r="F306" s="54" t="str">
        <f>IFERROR(VLOOKUP(E306,BD!$L$2:$Q$66,2,0),0)</f>
        <v>INCA KOLA SIN AZUCAR PET 1.5LX2</v>
      </c>
      <c r="G306" s="409">
        <f>198*6</f>
        <v>1188</v>
      </c>
      <c r="H306" s="432">
        <f>+IFERROR(VLOOKUP(E306,BD!$L$2:$Q$66,6,0),0)</f>
        <v>198</v>
      </c>
      <c r="I306" s="429">
        <f>IFERROR(G306*VLOOKUP($E306,BD!$L$2:$Q$66,5,0),0)</f>
        <v>201.96</v>
      </c>
      <c r="J306" s="3">
        <f t="shared" si="19"/>
        <v>2021</v>
      </c>
    </row>
    <row r="307" spans="1:10" s="9" customFormat="1" hidden="1" x14ac:dyDescent="0.25">
      <c r="A307" s="421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7">
        <v>256674</v>
      </c>
      <c r="F307" s="54" t="str">
        <f>IFERROR(VLOOKUP(E307,BD!$L$2:$Q$66,2,0),0)</f>
        <v>COCA-COLA PET 1.5LX2 RF</v>
      </c>
      <c r="G307" s="409">
        <f>198*13</f>
        <v>2574</v>
      </c>
      <c r="H307" s="432">
        <f>+IFERROR(VLOOKUP(E307,BD!$L$2:$Q$66,6,0),0)</f>
        <v>198</v>
      </c>
      <c r="I307" s="429">
        <f>IFERROR(G307*VLOOKUP($E307,BD!$L$2:$Q$66,5,0),0)</f>
        <v>437.58000000000004</v>
      </c>
      <c r="J307" s="3">
        <f t="shared" si="19"/>
        <v>2021</v>
      </c>
    </row>
    <row r="308" spans="1:10" s="9" customFormat="1" hidden="1" x14ac:dyDescent="0.25">
      <c r="A308" s="421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7">
        <v>256678</v>
      </c>
      <c r="F308" s="54" t="str">
        <f>IFERROR(VLOOKUP(E308,BD!$L$2:$Q$66,2,0),0)</f>
        <v>TRIPACK (CC+IK)PFM+FT PET 3LX3 - RFNN</v>
      </c>
      <c r="G308" s="409">
        <f>90*24</f>
        <v>2160</v>
      </c>
      <c r="H308" s="432">
        <f>+IFERROR(VLOOKUP(E308,BD!$L$2:$Q$66,6,0),0)</f>
        <v>90</v>
      </c>
      <c r="I308" s="96">
        <f>IFERROR(G308*VLOOKUP($E308,BD!$L$2:$Q$66,5,0),0)</f>
        <v>367.20000000000005</v>
      </c>
      <c r="J308" s="3">
        <f t="shared" si="19"/>
        <v>2021</v>
      </c>
    </row>
    <row r="309" spans="1:10" s="9" customFormat="1" hidden="1" x14ac:dyDescent="0.25">
      <c r="A309" s="421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7">
        <v>256652</v>
      </c>
      <c r="F309" s="54" t="str">
        <f>IFERROR(VLOOKUP(E309,BD!$L$2:$Q$66,2,0),0)</f>
        <v>TRIPACK FT NAR+FT KI+SP PET 3L</v>
      </c>
      <c r="G309" s="409">
        <f>90*2</f>
        <v>180</v>
      </c>
      <c r="H309" s="432">
        <f>+IFERROR(VLOOKUP(E309,BD!$L$2:$Q$66,6,0),0)</f>
        <v>90</v>
      </c>
      <c r="I309" s="429">
        <f>IFERROR(G309*VLOOKUP($E309,BD!$L$2:$Q$66,5,0),0)</f>
        <v>30.6</v>
      </c>
      <c r="J309" s="3">
        <f t="shared" si="19"/>
        <v>2021</v>
      </c>
    </row>
    <row r="310" spans="1:10" s="9" customFormat="1" hidden="1" x14ac:dyDescent="0.25">
      <c r="A310" s="421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7">
        <v>256616</v>
      </c>
      <c r="F310" s="54" t="str">
        <f>IFERROR(VLOOKUP(E310,BD!$L$2:$Q$66,2,0),0)</f>
        <v>TWO PACK SCHWEPPES CITRUS PET 1.5LX2</v>
      </c>
      <c r="G310" s="409">
        <f>198*1</f>
        <v>198</v>
      </c>
      <c r="H310" s="432">
        <f>+IFERROR(VLOOKUP(E310,BD!$L$2:$Q$66,6,0),0)</f>
        <v>198</v>
      </c>
      <c r="I310" s="429">
        <f>IFERROR(G310*VLOOKUP($E310,BD!$L$2:$Q$66,5,0),0)</f>
        <v>33.660000000000004</v>
      </c>
      <c r="J310" s="3">
        <f t="shared" si="19"/>
        <v>2021</v>
      </c>
    </row>
    <row r="311" spans="1:10" s="9" customFormat="1" hidden="1" x14ac:dyDescent="0.25">
      <c r="A311" s="421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7">
        <v>256675</v>
      </c>
      <c r="F311" s="54" t="str">
        <f>IFERROR(VLOOKUP(E311,BD!$L$2:$Q$66,2,0),0)</f>
        <v>INCA KOLA PET 1.5LX2 RF</v>
      </c>
      <c r="G311" s="409">
        <f>198*6</f>
        <v>1188</v>
      </c>
      <c r="H311" s="432">
        <f>+IFERROR(VLOOKUP(E311,BD!$L$2:$Q$66,6,0),0)</f>
        <v>198</v>
      </c>
      <c r="I311" s="96">
        <f>IFERROR(G311*VLOOKUP($E311,BD!$L$2:$Q$66,5,0),0)</f>
        <v>201.96</v>
      </c>
      <c r="J311" s="3">
        <f t="shared" si="19"/>
        <v>2021</v>
      </c>
    </row>
    <row r="312" spans="1:10" s="9" customFormat="1" hidden="1" x14ac:dyDescent="0.25">
      <c r="A312" s="421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7">
        <v>251429</v>
      </c>
      <c r="F312" s="54" t="str">
        <f>IFERROR(VLOOKUP(E312,BD!$L$2:$Q$66,2,0),0)</f>
        <v>SAN LUIS SIN GAS PET2500X6 STICKER</v>
      </c>
      <c r="G312" s="409">
        <v>288</v>
      </c>
      <c r="H312" s="432">
        <f>+IFERROR(VLOOKUP(E312,BD!$L$2:$Q$66,6,0),0)</f>
        <v>48</v>
      </c>
      <c r="I312" s="429">
        <f>IFERROR(G312*VLOOKUP($E312,BD!$L$2:$Q$66,5,0),0)</f>
        <v>115.2</v>
      </c>
      <c r="J312" s="3">
        <f t="shared" si="19"/>
        <v>2021</v>
      </c>
    </row>
    <row r="313" spans="1:10" s="9" customFormat="1" hidden="1" x14ac:dyDescent="0.25">
      <c r="A313" s="421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7">
        <v>256674</v>
      </c>
      <c r="F313" s="54" t="str">
        <f>IFERROR(VLOOKUP(E313,BD!$L$2:$Q$66,2,0),0)</f>
        <v>COCA-COLA PET 1.5LX2 RF</v>
      </c>
      <c r="G313" s="409">
        <f>198*6</f>
        <v>1188</v>
      </c>
      <c r="H313" s="432">
        <f>+IFERROR(VLOOKUP(E313,BD!$L$2:$Q$66,6,0),0)</f>
        <v>198</v>
      </c>
      <c r="I313" s="429">
        <f>IFERROR(G313*VLOOKUP($E313,BD!$L$2:$Q$66,5,0),0)</f>
        <v>201.96</v>
      </c>
      <c r="J313" s="3">
        <f t="shared" si="19"/>
        <v>2021</v>
      </c>
    </row>
    <row r="314" spans="1:10" s="9" customFormat="1" hidden="1" x14ac:dyDescent="0.25">
      <c r="A314" s="421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7">
        <v>256382</v>
      </c>
      <c r="F314" s="54" t="str">
        <f>IFERROR(VLOOKUP(E314,BD!$L$2:$Q$66,2,0),0)</f>
        <v>COCA COLA VR 296MLX24 - STICKER</v>
      </c>
      <c r="G314" s="409">
        <f>40*2</f>
        <v>80</v>
      </c>
      <c r="H314" s="432">
        <f>+IFERROR(VLOOKUP(E314,BD!$L$2:$Q$66,6,0),0)</f>
        <v>40</v>
      </c>
      <c r="I314" s="429">
        <f>IFERROR(G314*VLOOKUP($E314,BD!$L$2:$Q$66,5,0),0)</f>
        <v>18.400000000000002</v>
      </c>
      <c r="J314" s="3">
        <f t="shared" si="19"/>
        <v>2021</v>
      </c>
    </row>
    <row r="315" spans="1:10" s="9" customFormat="1" hidden="1" x14ac:dyDescent="0.25">
      <c r="A315" s="421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7">
        <v>256379</v>
      </c>
      <c r="F315" s="54" t="str">
        <f>IFERROR(VLOOKUP(E315,BD!$L$2:$Q$66,2,0),0)</f>
        <v>INCA KOLA VR 625MLX12 - STICKER</v>
      </c>
      <c r="G315" s="409">
        <f>50*2</f>
        <v>100</v>
      </c>
      <c r="H315" s="432">
        <f>+IFERROR(VLOOKUP(E315,BD!$L$2:$Q$66,6,0),0)</f>
        <v>50</v>
      </c>
      <c r="I315" s="96">
        <f>IFERROR(G315*VLOOKUP($E315,BD!$L$2:$Q$66,5,0),0)</f>
        <v>40</v>
      </c>
      <c r="J315" s="3">
        <f t="shared" si="19"/>
        <v>2021</v>
      </c>
    </row>
    <row r="316" spans="1:10" s="9" customFormat="1" hidden="1" x14ac:dyDescent="0.25">
      <c r="A316" s="421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7">
        <v>256381</v>
      </c>
      <c r="F316" s="54" t="str">
        <f>IFERROR(VLOOKUP(E316,BD!$L$2:$Q$66,2,0),0)</f>
        <v>INCA KOLA VR 1.5LX8 - STICKER</v>
      </c>
      <c r="G316" s="409">
        <f>30*2</f>
        <v>60</v>
      </c>
      <c r="H316" s="432">
        <f>+IFERROR(VLOOKUP(E316,BD!$L$2:$Q$66,6,0),0)</f>
        <v>30</v>
      </c>
      <c r="I316" s="429">
        <f>IFERROR(G316*VLOOKUP($E316,BD!$L$2:$Q$66,5,0),0)</f>
        <v>24</v>
      </c>
      <c r="J316" s="3">
        <f t="shared" si="19"/>
        <v>2021</v>
      </c>
    </row>
    <row r="317" spans="1:10" s="9" customFormat="1" hidden="1" x14ac:dyDescent="0.25">
      <c r="A317" s="421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7">
        <v>256617</v>
      </c>
      <c r="F317" s="54" t="str">
        <f>IFERROR(VLOOKUP(E317,BD!$L$2:$Q$66,2,0),0)</f>
        <v>TWO PACK SCHWEPPES GINGER ALE PET 1.5LX2</v>
      </c>
      <c r="G317" s="409">
        <f>198*2</f>
        <v>396</v>
      </c>
      <c r="H317" s="432">
        <f>+IFERROR(VLOOKUP(E317,BD!$L$2:$Q$66,6,0),0)</f>
        <v>198</v>
      </c>
      <c r="I317" s="429">
        <f>IFERROR(G317*VLOOKUP($E317,BD!$L$2:$Q$66,5,0),0)</f>
        <v>67.320000000000007</v>
      </c>
      <c r="J317" s="3">
        <f t="shared" si="19"/>
        <v>2021</v>
      </c>
    </row>
    <row r="318" spans="1:10" s="9" customFormat="1" hidden="1" x14ac:dyDescent="0.25">
      <c r="A318" s="421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7">
        <v>256548</v>
      </c>
      <c r="F318" s="54" t="str">
        <f>IFERROR(VLOOKUP(E318,BD!$L$2:$Q$66,2,0),0)</f>
        <v>TWO PACK CC PET 1.5LX2 - CRC</v>
      </c>
      <c r="G318" s="428">
        <f>198*2</f>
        <v>396</v>
      </c>
      <c r="H318" s="432">
        <f>+IFERROR(VLOOKUP(E318,BD!$L$2:$Q$66,6,0),0)</f>
        <v>198</v>
      </c>
      <c r="I318" s="96">
        <f>IFERROR(G318*VLOOKUP($E318,BD!$L$2:$Q$66,5,0),0)</f>
        <v>67.320000000000007</v>
      </c>
      <c r="J318" s="3">
        <f t="shared" si="19"/>
        <v>2021</v>
      </c>
    </row>
    <row r="319" spans="1:10" s="9" customFormat="1" hidden="1" x14ac:dyDescent="0.25">
      <c r="A319" s="421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7">
        <v>254853</v>
      </c>
      <c r="F319" s="54" t="str">
        <f>IFERROR(VLOOKUP(E319,BD!$L$2:$Q$66,2,0),0)</f>
        <v>INCA KOLA SIN AZUCAR PET 1.5LX2</v>
      </c>
      <c r="G319" s="409">
        <f>198*10</f>
        <v>1980</v>
      </c>
      <c r="H319" s="432">
        <f>+IFERROR(VLOOKUP(E319,BD!$L$2:$Q$66,6,0),0)</f>
        <v>198</v>
      </c>
      <c r="I319" s="96">
        <f>IFERROR(G319*VLOOKUP($E319,BD!$L$2:$Q$66,5,0),0)</f>
        <v>336.6</v>
      </c>
      <c r="J319" s="3">
        <f t="shared" si="19"/>
        <v>2021</v>
      </c>
    </row>
    <row r="320" spans="1:10" s="9" customFormat="1" hidden="1" x14ac:dyDescent="0.25">
      <c r="A320" s="421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7">
        <v>256677</v>
      </c>
      <c r="F320" s="54" t="str">
        <f>IFERROR(VLOOKUP(E320,BD!$L$2:$Q$66,2,0),0)</f>
        <v>TWO PACK CC + IK PFM 3LX2 - RFNN</v>
      </c>
      <c r="G320" s="409">
        <f>120*6</f>
        <v>720</v>
      </c>
      <c r="H320" s="432">
        <f>+IFERROR(VLOOKUP(E320,BD!$L$2:$Q$66,6,0),0)</f>
        <v>120</v>
      </c>
      <c r="I320" s="429">
        <f>IFERROR(G320*VLOOKUP($E320,BD!$L$2:$Q$66,5,0),0)</f>
        <v>122.4</v>
      </c>
      <c r="J320" s="3">
        <f t="shared" si="19"/>
        <v>2021</v>
      </c>
    </row>
    <row r="321" spans="1:10" s="9" customFormat="1" hidden="1" x14ac:dyDescent="0.25">
      <c r="A321" s="421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7">
        <v>251406</v>
      </c>
      <c r="F321" s="54" t="str">
        <f>IFERROR(VLOOKUP(E321,BD!$L$2:$Q$66,2,0),0)</f>
        <v>COCA-COLA SIN AZUCAR PET 1.5LX2</v>
      </c>
      <c r="G321" s="409">
        <f>198*13</f>
        <v>2574</v>
      </c>
      <c r="H321" s="432">
        <f>+IFERROR(VLOOKUP(E321,BD!$L$2:$Q$66,6,0),0)</f>
        <v>198</v>
      </c>
      <c r="I321" s="429">
        <f>IFERROR(G321*VLOOKUP($E321,BD!$L$2:$Q$66,5,0),0)</f>
        <v>437.58000000000004</v>
      </c>
      <c r="J321" s="3">
        <f t="shared" si="19"/>
        <v>2021</v>
      </c>
    </row>
    <row r="322" spans="1:10" s="9" customFormat="1" hidden="1" x14ac:dyDescent="0.25">
      <c r="A322" s="421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7">
        <v>256679</v>
      </c>
      <c r="F322" s="54" t="str">
        <f>IFERROR(VLOOKUP(E322,BD!$L$2:$Q$66,2,0),0)</f>
        <v>TRIPACK CC+IK+IK PFM 3LX3 - RFNN</v>
      </c>
      <c r="G322" s="409">
        <f>90*2</f>
        <v>180</v>
      </c>
      <c r="H322" s="432">
        <f>+IFERROR(VLOOKUP(E322,BD!$L$2:$Q$66,6,0),0)</f>
        <v>90</v>
      </c>
      <c r="I322" s="96">
        <f>IFERROR(G322*VLOOKUP($E322,BD!$L$2:$Q$66,5,0),0)</f>
        <v>30.6</v>
      </c>
      <c r="J322" s="3">
        <f t="shared" si="19"/>
        <v>2021</v>
      </c>
    </row>
    <row r="323" spans="1:10" s="9" customFormat="1" hidden="1" x14ac:dyDescent="0.25">
      <c r="A323" s="421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7">
        <v>256666</v>
      </c>
      <c r="F323" s="54" t="str">
        <f>IFERROR(VLOOKUP(E323,BD!$L$2:$Q$66,2,0),0)</f>
        <v>COCA-COLA PET 2.25LX2 RF</v>
      </c>
      <c r="G323" s="409">
        <f>162*3</f>
        <v>486</v>
      </c>
      <c r="H323" s="432">
        <f>+IFERROR(VLOOKUP(E323,BD!$L$2:$Q$66,6,0),0)</f>
        <v>162</v>
      </c>
      <c r="I323" s="429">
        <f>IFERROR(G323*VLOOKUP($E323,BD!$L$2:$Q$66,5,0),0)</f>
        <v>82.62</v>
      </c>
      <c r="J323" s="3">
        <f t="shared" si="19"/>
        <v>2021</v>
      </c>
    </row>
    <row r="324" spans="1:10" s="9" customFormat="1" hidden="1" x14ac:dyDescent="0.25">
      <c r="A324" s="421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7">
        <v>256652</v>
      </c>
      <c r="F324" s="54" t="str">
        <f>IFERROR(VLOOKUP(E324,BD!$L$2:$Q$66,2,0),0)</f>
        <v>TRIPACK FT NAR+FT KI+SP PET 3L</v>
      </c>
      <c r="G324" s="409">
        <f>90*5</f>
        <v>450</v>
      </c>
      <c r="H324" s="432">
        <f>+IFERROR(VLOOKUP(E324,BD!$L$2:$Q$66,6,0),0)</f>
        <v>90</v>
      </c>
      <c r="I324" s="429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hidden="1" x14ac:dyDescent="0.25">
      <c r="A325" s="421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7">
        <v>256695</v>
      </c>
      <c r="F325" s="54" t="str">
        <f>IFERROR(VLOOKUP(E325,BD!$L$2:$Q$66,2,0),0)</f>
        <v>POWERADE 3MORA+3FRUT PET 473MLX6</v>
      </c>
      <c r="G325" s="409">
        <f>225*10</f>
        <v>2250</v>
      </c>
      <c r="H325" s="432">
        <f>+IFERROR(VLOOKUP(E325,BD!$L$2:$Q$66,6,0),0)</f>
        <v>225</v>
      </c>
      <c r="I325" s="96">
        <f>IFERROR(G325*VLOOKUP($E325,BD!$L$2:$Q$66,5,0),0)</f>
        <v>945</v>
      </c>
      <c r="J325" s="3">
        <f t="shared" si="23"/>
        <v>2021</v>
      </c>
    </row>
    <row r="326" spans="1:10" s="9" customFormat="1" hidden="1" x14ac:dyDescent="0.25">
      <c r="A326" s="421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7">
        <v>256709</v>
      </c>
      <c r="F326" s="54" t="str">
        <f>IFERROR(VLOOKUP(E326,BD!$L$2:$Q$66,2,0),0)</f>
        <v>POWERADE ION4 MORA AZ PET473X6 MOD(STCK)</v>
      </c>
      <c r="G326" s="409">
        <f>225*1</f>
        <v>225</v>
      </c>
      <c r="H326" s="432">
        <f>+IFERROR(VLOOKUP(E326,BD!$L$2:$Q$66,6,0),0)</f>
        <v>225</v>
      </c>
      <c r="I326" s="429">
        <f>IFERROR(G326*VLOOKUP($E326,BD!$L$2:$Q$66,5,0),0)</f>
        <v>90</v>
      </c>
      <c r="J326" s="3">
        <f t="shared" si="23"/>
        <v>2021</v>
      </c>
    </row>
    <row r="327" spans="1:10" s="9" customFormat="1" hidden="1" x14ac:dyDescent="0.25">
      <c r="A327" s="421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7">
        <v>256488</v>
      </c>
      <c r="F327" s="54" t="str">
        <f>IFERROR(VLOOKUP(E327,BD!$L$2:$Q$66,2,0),0)</f>
        <v>INCA KOLA PET 3LX2 - RF</v>
      </c>
      <c r="G327" s="409">
        <f>120*6</f>
        <v>720</v>
      </c>
      <c r="H327" s="432">
        <f>+IFERROR(VLOOKUP(E327,BD!$L$2:$Q$66,6,0),0)</f>
        <v>120</v>
      </c>
      <c r="I327" s="429">
        <f>IFERROR(G327*VLOOKUP($E327,BD!$L$2:$Q$66,5,0),0)</f>
        <v>122.4</v>
      </c>
      <c r="J327" s="3">
        <f t="shared" si="23"/>
        <v>2021</v>
      </c>
    </row>
    <row r="328" spans="1:10" s="9" customFormat="1" hidden="1" x14ac:dyDescent="0.25">
      <c r="A328" s="421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7">
        <v>256708</v>
      </c>
      <c r="F328" s="54" t="str">
        <f>IFERROR(VLOOKUP(E328,BD!$L$2:$Q$66,2,0),0)</f>
        <v>POWERADE ION4 FRUTA PET473X6 MOD (STICK)</v>
      </c>
      <c r="G328" s="409">
        <v>225</v>
      </c>
      <c r="H328" s="432">
        <f>+IFERROR(VLOOKUP(E328,BD!$L$2:$Q$66,6,0),0)</f>
        <v>225</v>
      </c>
      <c r="I328" s="96">
        <f>IFERROR(G328*VLOOKUP($E328,BD!$L$2:$Q$66,5,0),0)</f>
        <v>90</v>
      </c>
      <c r="J328" s="3">
        <f t="shared" si="23"/>
        <v>2021</v>
      </c>
    </row>
    <row r="329" spans="1:10" s="9" customFormat="1" hidden="1" x14ac:dyDescent="0.25">
      <c r="A329" s="421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7">
        <v>751315</v>
      </c>
      <c r="F329" s="54" t="str">
        <f>IFERROR(VLOOKUP(E329,BD!$L$2:$Q$66,2,0),0)</f>
        <v>MONSTER ENERGY 473MLX4</v>
      </c>
      <c r="G329" s="409">
        <f>420*9</f>
        <v>3780</v>
      </c>
      <c r="H329" s="432">
        <f>+IFERROR(VLOOKUP(E329,BD!$L$2:$Q$66,6,0),0)</f>
        <v>420</v>
      </c>
      <c r="I329" s="429">
        <f>IFERROR(G329*VLOOKUP($E329,BD!$L$2:$Q$66,5,0),0)</f>
        <v>1587.6</v>
      </c>
      <c r="J329" s="3">
        <f t="shared" si="23"/>
        <v>2021</v>
      </c>
    </row>
    <row r="330" spans="1:10" s="9" customFormat="1" hidden="1" x14ac:dyDescent="0.25">
      <c r="A330" s="421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7">
        <v>751468</v>
      </c>
      <c r="F330" s="54" t="str">
        <f>IFERROR(VLOOKUP(E330,BD!$L$2:$Q$66,2,0),0)</f>
        <v>MONSTER ENERGY ULTRA 473MLX4</v>
      </c>
      <c r="G330" s="409">
        <f>420*1</f>
        <v>420</v>
      </c>
      <c r="H330" s="432">
        <f>+IFERROR(VLOOKUP(E330,BD!$L$2:$Q$66,6,0),0)</f>
        <v>420</v>
      </c>
      <c r="I330" s="429">
        <f>IFERROR(G330*VLOOKUP($E330,BD!$L$2:$Q$66,5,0),0)</f>
        <v>176.4</v>
      </c>
      <c r="J330" s="3">
        <f t="shared" si="23"/>
        <v>2021</v>
      </c>
    </row>
    <row r="331" spans="1:10" s="9" customFormat="1" hidden="1" x14ac:dyDescent="0.25">
      <c r="A331" s="421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7">
        <v>256678</v>
      </c>
      <c r="F331" s="54" t="str">
        <f>IFERROR(VLOOKUP(E331,BD!$L$2:$Q$66,2,0),0)</f>
        <v>TRIPACK (CC+IK)PFM+FT PET 3LX3 - RFNN</v>
      </c>
      <c r="G331" s="409">
        <f>90*18</f>
        <v>1620</v>
      </c>
      <c r="H331" s="432">
        <f>+IFERROR(VLOOKUP(E331,BD!$L$2:$Q$66,6,0),0)</f>
        <v>90</v>
      </c>
      <c r="I331" s="96">
        <f>IFERROR(G331*VLOOKUP($E331,BD!$L$2:$Q$66,5,0),0)</f>
        <v>275.40000000000003</v>
      </c>
      <c r="J331" s="3">
        <f t="shared" si="23"/>
        <v>2021</v>
      </c>
    </row>
    <row r="332" spans="1:10" s="9" customFormat="1" hidden="1" x14ac:dyDescent="0.25">
      <c r="A332" s="421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7">
        <v>256675</v>
      </c>
      <c r="F332" s="54" t="str">
        <f>IFERROR(VLOOKUP(E332,BD!$L$2:$Q$66,2,0),0)</f>
        <v>INCA KOLA PET 1.5LX2 RF</v>
      </c>
      <c r="G332" s="409">
        <f>198*6</f>
        <v>1188</v>
      </c>
      <c r="H332" s="432">
        <f>+IFERROR(VLOOKUP(E332,BD!$L$2:$Q$66,6,0),0)</f>
        <v>198</v>
      </c>
      <c r="I332" s="429">
        <f>IFERROR(G332*VLOOKUP($E332,BD!$L$2:$Q$66,5,0),0)</f>
        <v>201.96</v>
      </c>
      <c r="J332" s="3">
        <f t="shared" si="23"/>
        <v>2021</v>
      </c>
    </row>
    <row r="333" spans="1:10" s="9" customFormat="1" hidden="1" x14ac:dyDescent="0.25">
      <c r="A333" s="421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7">
        <v>256601</v>
      </c>
      <c r="F333" s="54" t="str">
        <f>IFERROR(VLOOKUP(E333,BD!$L$2:$Q$66,2,0),0)</f>
        <v>INCA KOLA PET 2.25LX2 RF</v>
      </c>
      <c r="G333" s="409">
        <v>324</v>
      </c>
      <c r="H333" s="432">
        <f>+IFERROR(VLOOKUP(E333,BD!$L$2:$Q$66,6,0),0)</f>
        <v>162</v>
      </c>
      <c r="I333" s="429">
        <f>IFERROR(G333*VLOOKUP($E333,BD!$L$2:$Q$66,5,0),0)</f>
        <v>55.080000000000005</v>
      </c>
      <c r="J333" s="3">
        <f t="shared" si="23"/>
        <v>2021</v>
      </c>
    </row>
    <row r="334" spans="1:10" s="9" customFormat="1" hidden="1" x14ac:dyDescent="0.25">
      <c r="A334" s="421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7">
        <v>251632</v>
      </c>
      <c r="F334" s="54" t="str">
        <f>IFERROR(VLOOKUP(E334,BD!$L$2:$Q$66,2,0),0)</f>
        <v>SAN LUIS SIN GAS PET 625MLX06 MOD</v>
      </c>
      <c r="G334" s="409">
        <f>180*5</f>
        <v>900</v>
      </c>
      <c r="H334" s="432">
        <f>+IFERROR(VLOOKUP(E334,BD!$L$2:$Q$66,6,0),0)</f>
        <v>180</v>
      </c>
      <c r="I334" s="429">
        <f>IFERROR(G334*VLOOKUP($E334,BD!$L$2:$Q$66,5,0),0)</f>
        <v>378</v>
      </c>
      <c r="J334" s="3">
        <f t="shared" si="23"/>
        <v>2021</v>
      </c>
    </row>
    <row r="335" spans="1:10" s="9" customFormat="1" hidden="1" x14ac:dyDescent="0.25">
      <c r="A335" s="421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7">
        <v>256708</v>
      </c>
      <c r="F335" s="54" t="str">
        <f>IFERROR(VLOOKUP(E335,BD!$L$2:$Q$66,2,0),0)</f>
        <v>POWERADE ION4 FRUTA PET473X6 MOD (STICK)</v>
      </c>
      <c r="G335" s="409">
        <v>225</v>
      </c>
      <c r="H335" s="432">
        <f>+IFERROR(VLOOKUP(E335,BD!$L$2:$Q$66,6,0),0)</f>
        <v>225</v>
      </c>
      <c r="I335" s="96">
        <f>IFERROR(G335*VLOOKUP($E335,BD!$L$2:$Q$66,5,0),0)</f>
        <v>90</v>
      </c>
      <c r="J335" s="3">
        <f t="shared" si="23"/>
        <v>2021</v>
      </c>
    </row>
    <row r="336" spans="1:10" s="9" customFormat="1" hidden="1" x14ac:dyDescent="0.25">
      <c r="A336" s="421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7">
        <v>256601</v>
      </c>
      <c r="F336" s="54" t="str">
        <f>IFERROR(VLOOKUP(E336,BD!$L$2:$Q$66,2,0),0)</f>
        <v>INCA KOLA PET 2.25LX2 RF</v>
      </c>
      <c r="G336" s="409">
        <f>162*2</f>
        <v>324</v>
      </c>
      <c r="H336" s="432">
        <f>+IFERROR(VLOOKUP(E336,BD!$L$2:$Q$66,6,0),0)</f>
        <v>162</v>
      </c>
      <c r="I336" s="429">
        <f>IFERROR(G336*VLOOKUP($E336,BD!$L$2:$Q$66,5,0),0)</f>
        <v>55.080000000000005</v>
      </c>
      <c r="J336" s="3">
        <f t="shared" si="23"/>
        <v>2021</v>
      </c>
    </row>
    <row r="337" spans="1:10" s="9" customFormat="1" hidden="1" x14ac:dyDescent="0.25">
      <c r="A337" s="421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7">
        <v>256666</v>
      </c>
      <c r="F337" s="54" t="str">
        <f>IFERROR(VLOOKUP(E337,BD!$L$2:$Q$66,2,0),0)</f>
        <v>COCA-COLA PET 2.25LX2 RF</v>
      </c>
      <c r="G337" s="409">
        <f>162*2</f>
        <v>324</v>
      </c>
      <c r="H337" s="432">
        <f>+IFERROR(VLOOKUP(E337,BD!$L$2:$Q$66,6,0),0)</f>
        <v>162</v>
      </c>
      <c r="I337" s="429">
        <f>IFERROR(G337*VLOOKUP($E337,BD!$L$2:$Q$66,5,0),0)</f>
        <v>55.080000000000005</v>
      </c>
      <c r="J337" s="3">
        <f t="shared" si="23"/>
        <v>2021</v>
      </c>
    </row>
    <row r="338" spans="1:10" s="9" customFormat="1" hidden="1" x14ac:dyDescent="0.25">
      <c r="A338" s="421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7">
        <v>256488</v>
      </c>
      <c r="F338" s="54" t="str">
        <f>IFERROR(VLOOKUP(E338,BD!$L$2:$Q$66,2,0),0)</f>
        <v>INCA KOLA PET 3LX2 - RF</v>
      </c>
      <c r="G338" s="409">
        <f>120*4</f>
        <v>480</v>
      </c>
      <c r="H338" s="432">
        <f>+IFERROR(VLOOKUP(E338,BD!$L$2:$Q$66,6,0),0)</f>
        <v>120</v>
      </c>
      <c r="I338" s="96">
        <f>IFERROR(G338*VLOOKUP($E338,BD!$L$2:$Q$66,5,0),0)</f>
        <v>81.600000000000009</v>
      </c>
      <c r="J338" s="3">
        <f t="shared" si="23"/>
        <v>2021</v>
      </c>
    </row>
    <row r="339" spans="1:10" s="9" customFormat="1" hidden="1" x14ac:dyDescent="0.25">
      <c r="A339" s="421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7">
        <v>254853</v>
      </c>
      <c r="F339" s="54" t="str">
        <f>IFERROR(VLOOKUP(E339,BD!$L$2:$Q$66,2,0),0)</f>
        <v>INCA KOLA SIN AZUCAR PET 1.5LX2</v>
      </c>
      <c r="G339" s="409">
        <f>198*2</f>
        <v>396</v>
      </c>
      <c r="H339" s="432">
        <f>+IFERROR(VLOOKUP(E339,BD!$L$2:$Q$66,6,0),0)</f>
        <v>198</v>
      </c>
      <c r="I339" s="429">
        <f>IFERROR(G339*VLOOKUP($E339,BD!$L$2:$Q$66,5,0),0)</f>
        <v>67.320000000000007</v>
      </c>
      <c r="J339" s="3">
        <f t="shared" si="23"/>
        <v>2021</v>
      </c>
    </row>
    <row r="340" spans="1:10" s="9" customFormat="1" hidden="1" x14ac:dyDescent="0.25">
      <c r="A340" s="421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7">
        <v>256652</v>
      </c>
      <c r="F340" s="54" t="str">
        <f>IFERROR(VLOOKUP(E340,BD!$L$2:$Q$66,2,0),0)</f>
        <v>TRIPACK FT NAR+FT KI+SP PET 3L</v>
      </c>
      <c r="G340" s="428">
        <f>90*8</f>
        <v>720</v>
      </c>
      <c r="H340" s="432">
        <f>+IFERROR(VLOOKUP(E340,BD!$L$2:$Q$66,6,0),0)</f>
        <v>90</v>
      </c>
      <c r="I340" s="429">
        <f>IFERROR(G340*VLOOKUP($E340,BD!$L$2:$Q$66,5,0),0)</f>
        <v>122.4</v>
      </c>
      <c r="J340" s="3">
        <f t="shared" si="23"/>
        <v>2021</v>
      </c>
    </row>
    <row r="341" spans="1:10" s="9" customFormat="1" hidden="1" x14ac:dyDescent="0.25">
      <c r="A341" s="421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7">
        <v>256677</v>
      </c>
      <c r="F341" s="54" t="str">
        <f>IFERROR(VLOOKUP(E341,BD!$L$2:$Q$66,2,0),0)</f>
        <v>TWO PACK CC + IK PFM 3LX2 - RFNN</v>
      </c>
      <c r="G341" s="409">
        <f>120*16</f>
        <v>1920</v>
      </c>
      <c r="H341" s="432">
        <f>+IFERROR(VLOOKUP(E341,BD!$L$2:$Q$66,6,0),0)</f>
        <v>120</v>
      </c>
      <c r="I341" s="96">
        <f>IFERROR(G341*VLOOKUP($E341,BD!$L$2:$Q$66,5,0),0)</f>
        <v>326.40000000000003</v>
      </c>
      <c r="J341" s="3">
        <f t="shared" si="23"/>
        <v>2021</v>
      </c>
    </row>
    <row r="342" spans="1:10" s="9" customFormat="1" hidden="1" x14ac:dyDescent="0.25">
      <c r="A342" s="421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7">
        <v>256676</v>
      </c>
      <c r="F342" s="54" t="str">
        <f>IFERROR(VLOOKUP(E342,BD!$L$2:$Q$66,2,0),0)</f>
        <v>TWO PACK CC PFM 3LX2 - RFCC</v>
      </c>
      <c r="G342" s="409">
        <f>120*4</f>
        <v>480</v>
      </c>
      <c r="H342" s="432">
        <f>+IFERROR(VLOOKUP(E342,BD!$L$2:$Q$66,6,0),0)</f>
        <v>120</v>
      </c>
      <c r="I342" s="429">
        <f>IFERROR(G342*VLOOKUP($E342,BD!$L$2:$Q$66,5,0),0)</f>
        <v>81.600000000000009</v>
      </c>
      <c r="J342" s="3">
        <f t="shared" si="23"/>
        <v>2021</v>
      </c>
    </row>
    <row r="343" spans="1:10" s="9" customFormat="1" hidden="1" x14ac:dyDescent="0.25">
      <c r="A343" s="421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7">
        <v>256678</v>
      </c>
      <c r="F343" s="54" t="str">
        <f>IFERROR(VLOOKUP(E343,BD!$L$2:$Q$66,2,0),0)</f>
        <v>TRIPACK (CC+IK)PFM+FT PET 3LX3 - RFNN</v>
      </c>
      <c r="G343" s="409">
        <f>90*24</f>
        <v>2160</v>
      </c>
      <c r="H343" s="432">
        <f>+IFERROR(VLOOKUP(E343,BD!$L$2:$Q$66,6,0),0)</f>
        <v>90</v>
      </c>
      <c r="I343" s="429">
        <f>IFERROR(G343*VLOOKUP($E343,BD!$L$2:$Q$66,5,0),0)</f>
        <v>367.20000000000005</v>
      </c>
      <c r="J343" s="3">
        <f t="shared" si="23"/>
        <v>2021</v>
      </c>
    </row>
    <row r="344" spans="1:10" s="9" customFormat="1" hidden="1" x14ac:dyDescent="0.25">
      <c r="A344" s="421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7">
        <v>256675</v>
      </c>
      <c r="F344" s="54" t="str">
        <f>IFERROR(VLOOKUP(E344,BD!$L$2:$Q$66,2,0),0)</f>
        <v>INCA KOLA PET 1.5LX2 RF</v>
      </c>
      <c r="G344" s="409">
        <f>198*10</f>
        <v>1980</v>
      </c>
      <c r="H344" s="432">
        <f>+IFERROR(VLOOKUP(E344,BD!$L$2:$Q$66,6,0),0)</f>
        <v>198</v>
      </c>
      <c r="I344" s="96">
        <f>IFERROR(G344*VLOOKUP($E344,BD!$L$2:$Q$66,5,0),0)</f>
        <v>336.6</v>
      </c>
      <c r="J344" s="3">
        <f t="shared" si="23"/>
        <v>2021</v>
      </c>
    </row>
    <row r="345" spans="1:10" s="9" customFormat="1" hidden="1" x14ac:dyDescent="0.25">
      <c r="A345" s="421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7">
        <v>251633</v>
      </c>
      <c r="F345" s="54" t="str">
        <f>IFERROR(VLOOKUP(E345,BD!$L$2:$Q$66,2,0),0)</f>
        <v>SAN LUIS CON GAS PET 625MLX6</v>
      </c>
      <c r="G345" s="428">
        <f>180*5</f>
        <v>900</v>
      </c>
      <c r="H345" s="432">
        <f>+IFERROR(VLOOKUP(E345,BD!$L$2:$Q$66,6,0),0)</f>
        <v>180</v>
      </c>
      <c r="I345" s="429">
        <f>IFERROR(G345*VLOOKUP($E345,BD!$L$2:$Q$66,5,0),0)</f>
        <v>378</v>
      </c>
      <c r="J345" s="3">
        <f t="shared" si="23"/>
        <v>2021</v>
      </c>
    </row>
    <row r="346" spans="1:10" s="9" customFormat="1" hidden="1" x14ac:dyDescent="0.25">
      <c r="A346" s="421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7">
        <v>751315</v>
      </c>
      <c r="F346" s="54" t="str">
        <f>IFERROR(VLOOKUP(E346,BD!$L$2:$Q$66,2,0),0)</f>
        <v>MONSTER ENERGY 473MLX4</v>
      </c>
      <c r="G346" s="409">
        <f>420*4</f>
        <v>1680</v>
      </c>
      <c r="H346" s="432">
        <f>+IFERROR(VLOOKUP(E346,BD!$L$2:$Q$66,6,0),0)</f>
        <v>420</v>
      </c>
      <c r="I346" s="429">
        <f>IFERROR(G346*VLOOKUP($E346,BD!$L$2:$Q$66,5,0),0)</f>
        <v>705.6</v>
      </c>
      <c r="J346" s="3">
        <f t="shared" si="23"/>
        <v>2021</v>
      </c>
    </row>
    <row r="347" spans="1:10" s="9" customFormat="1" hidden="1" x14ac:dyDescent="0.25">
      <c r="A347" s="421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7">
        <v>751468</v>
      </c>
      <c r="F347" s="54" t="str">
        <f>IFERROR(VLOOKUP(E347,BD!$L$2:$Q$66,2,0),0)</f>
        <v>MONSTER ENERGY ULTRA 473MLX4</v>
      </c>
      <c r="G347" s="409">
        <f>420*1</f>
        <v>420</v>
      </c>
      <c r="H347" s="432">
        <f>+IFERROR(VLOOKUP(E347,BD!$L$2:$Q$66,6,0),0)</f>
        <v>420</v>
      </c>
      <c r="I347" s="96">
        <f>IFERROR(G347*VLOOKUP($E347,BD!$L$2:$Q$66,5,0),0)</f>
        <v>176.4</v>
      </c>
      <c r="J347" s="3">
        <f t="shared" si="23"/>
        <v>2021</v>
      </c>
    </row>
    <row r="348" spans="1:10" s="9" customFormat="1" hidden="1" x14ac:dyDescent="0.25">
      <c r="A348" s="421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7">
        <v>251429</v>
      </c>
      <c r="F348" s="54" t="str">
        <f>IFERROR(VLOOKUP(E348,BD!$L$2:$Q$66,2,0),0)</f>
        <v>SAN LUIS SIN GAS PET2500X6 STICKER</v>
      </c>
      <c r="G348" s="409">
        <f>48*6</f>
        <v>288</v>
      </c>
      <c r="H348" s="432">
        <f>+IFERROR(VLOOKUP(E348,BD!$L$2:$Q$66,6,0),0)</f>
        <v>48</v>
      </c>
      <c r="I348" s="429">
        <f>IFERROR(G348*VLOOKUP($E348,BD!$L$2:$Q$66,5,0),0)</f>
        <v>115.2</v>
      </c>
      <c r="J348" s="3">
        <f t="shared" si="23"/>
        <v>2021</v>
      </c>
    </row>
    <row r="349" spans="1:10" s="9" customFormat="1" hidden="1" x14ac:dyDescent="0.25">
      <c r="A349" s="421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7">
        <v>256382</v>
      </c>
      <c r="F349" s="54" t="str">
        <f>IFERROR(VLOOKUP(E349,BD!$L$2:$Q$66,2,0),0)</f>
        <v>COCA COLA VR 296MLX24 - STICKER</v>
      </c>
      <c r="G349" s="409">
        <v>40</v>
      </c>
      <c r="H349" s="432">
        <f>+IFERROR(VLOOKUP(E349,BD!$L$2:$Q$66,6,0),0)</f>
        <v>40</v>
      </c>
      <c r="I349" s="429">
        <f>IFERROR(G349*VLOOKUP($E349,BD!$L$2:$Q$66,5,0),0)</f>
        <v>9.2000000000000011</v>
      </c>
      <c r="J349" s="3">
        <f t="shared" si="23"/>
        <v>2021</v>
      </c>
    </row>
    <row r="350" spans="1:10" s="9" customFormat="1" hidden="1" x14ac:dyDescent="0.25">
      <c r="A350" s="421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7">
        <v>256695</v>
      </c>
      <c r="F350" s="54" t="str">
        <f>IFERROR(VLOOKUP(E350,BD!$L$2:$Q$66,2,0),0)</f>
        <v>POWERADE 3MORA+3FRUT PET 473MLX6</v>
      </c>
      <c r="G350" s="409">
        <v>450</v>
      </c>
      <c r="H350" s="432">
        <f>+IFERROR(VLOOKUP(E350,BD!$L$2:$Q$66,6,0),0)</f>
        <v>225</v>
      </c>
      <c r="I350" s="96">
        <f>IFERROR(G350*VLOOKUP($E350,BD!$L$2:$Q$66,5,0),0)</f>
        <v>189</v>
      </c>
      <c r="J350" s="3">
        <f t="shared" si="23"/>
        <v>2021</v>
      </c>
    </row>
    <row r="351" spans="1:10" s="9" customFormat="1" hidden="1" x14ac:dyDescent="0.25">
      <c r="A351" s="421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7">
        <v>251406</v>
      </c>
      <c r="F351" s="54" t="str">
        <f>IFERROR(VLOOKUP(E351,BD!$L$2:$Q$66,2,0),0)</f>
        <v>COCA-COLA SIN AZUCAR PET 1.5LX2</v>
      </c>
      <c r="G351" s="409">
        <f>198*15</f>
        <v>2970</v>
      </c>
      <c r="H351" s="432">
        <f>+IFERROR(VLOOKUP(E351,BD!$L$2:$Q$66,6,0),0)</f>
        <v>198</v>
      </c>
      <c r="I351" s="429">
        <f>IFERROR(G351*VLOOKUP($E351,BD!$L$2:$Q$66,5,0),0)</f>
        <v>504.90000000000003</v>
      </c>
      <c r="J351" s="3">
        <f t="shared" si="23"/>
        <v>2021</v>
      </c>
    </row>
    <row r="352" spans="1:10" s="9" customFormat="1" hidden="1" x14ac:dyDescent="0.25">
      <c r="A352" s="421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7">
        <v>751315</v>
      </c>
      <c r="F352" s="54" t="str">
        <f>IFERROR(VLOOKUP(E352,BD!$L$2:$Q$66,2,0),0)</f>
        <v>MONSTER ENERGY 473MLX4</v>
      </c>
      <c r="G352" s="409">
        <f>420*8</f>
        <v>3360</v>
      </c>
      <c r="H352" s="432">
        <f>+IFERROR(VLOOKUP(E352,BD!$L$2:$Q$66,6,0),0)</f>
        <v>420</v>
      </c>
      <c r="I352" s="96">
        <f>IFERROR(G352*VLOOKUP($E352,BD!$L$2:$Q$66,5,0),0)</f>
        <v>1411.2</v>
      </c>
      <c r="J352" s="3">
        <f t="shared" si="23"/>
        <v>2021</v>
      </c>
    </row>
    <row r="353" spans="1:10" s="9" customFormat="1" hidden="1" x14ac:dyDescent="0.25">
      <c r="A353" s="421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7">
        <v>751468</v>
      </c>
      <c r="F353" s="54" t="str">
        <f>IFERROR(VLOOKUP(E353,BD!$L$2:$Q$66,2,0),0)</f>
        <v>MONSTER ENERGY ULTRA 473MLX4</v>
      </c>
      <c r="G353" s="409">
        <f>420*5</f>
        <v>2100</v>
      </c>
      <c r="H353" s="432">
        <f>+IFERROR(VLOOKUP(E353,BD!$L$2:$Q$66,6,0),0)</f>
        <v>420</v>
      </c>
      <c r="I353" s="429">
        <f>IFERROR(G353*VLOOKUP($E353,BD!$L$2:$Q$66,5,0),0)</f>
        <v>882</v>
      </c>
      <c r="J353" s="3">
        <f t="shared" si="23"/>
        <v>2021</v>
      </c>
    </row>
    <row r="354" spans="1:10" s="9" customFormat="1" hidden="1" x14ac:dyDescent="0.25">
      <c r="A354" s="421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7">
        <v>256674</v>
      </c>
      <c r="F354" s="54" t="str">
        <f>IFERROR(VLOOKUP(E354,BD!$L$2:$Q$66,2,0),0)</f>
        <v>COCA-COLA PET 1.5LX2 RF</v>
      </c>
      <c r="G354" s="409">
        <f>198*16</f>
        <v>3168</v>
      </c>
      <c r="H354" s="432">
        <f>+IFERROR(VLOOKUP(E354,BD!$L$2:$Q$66,6,0),0)</f>
        <v>198</v>
      </c>
      <c r="I354" s="429">
        <f>IFERROR(G354*VLOOKUP($E354,BD!$L$2:$Q$66,5,0),0)</f>
        <v>538.56000000000006</v>
      </c>
      <c r="J354" s="3">
        <f t="shared" si="23"/>
        <v>2021</v>
      </c>
    </row>
    <row r="355" spans="1:10" s="9" customFormat="1" hidden="1" x14ac:dyDescent="0.25">
      <c r="A355" s="421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7">
        <v>256383</v>
      </c>
      <c r="F355" s="54" t="str">
        <f>IFERROR(VLOOKUP(E355,BD!$L$2:$Q$66,2,0),0)</f>
        <v>COCA COLA VR 1.5LX8 - STICKER</v>
      </c>
      <c r="G355" s="409">
        <f>30*2</f>
        <v>60</v>
      </c>
      <c r="H355" s="432">
        <f>+IFERROR(VLOOKUP(E355,BD!$L$2:$Q$66,6,0),0)</f>
        <v>30</v>
      </c>
      <c r="I355" s="96">
        <f>IFERROR(G355*VLOOKUP($E355,BD!$L$2:$Q$66,5,0),0)</f>
        <v>13.8</v>
      </c>
      <c r="J355" s="3">
        <f t="shared" si="23"/>
        <v>2021</v>
      </c>
    </row>
    <row r="356" spans="1:10" s="9" customFormat="1" hidden="1" x14ac:dyDescent="0.25">
      <c r="A356" s="421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7">
        <v>256666</v>
      </c>
      <c r="F356" s="54" t="str">
        <f>IFERROR(VLOOKUP(E356,BD!$L$2:$Q$66,2,0),0)</f>
        <v>COCA-COLA PET 2.25LX2 RF</v>
      </c>
      <c r="G356" s="409">
        <f>162*2</f>
        <v>324</v>
      </c>
      <c r="H356" s="432">
        <f>+IFERROR(VLOOKUP(E356,BD!$L$2:$Q$66,6,0),0)</f>
        <v>162</v>
      </c>
      <c r="I356" s="429">
        <f>IFERROR(G356*VLOOKUP($E356,BD!$L$2:$Q$66,5,0),0)</f>
        <v>55.080000000000005</v>
      </c>
      <c r="J356" s="3">
        <f t="shared" si="23"/>
        <v>2021</v>
      </c>
    </row>
    <row r="357" spans="1:10" s="9" customFormat="1" hidden="1" x14ac:dyDescent="0.25">
      <c r="A357" s="421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7">
        <v>256382</v>
      </c>
      <c r="F357" s="54" t="str">
        <f>IFERROR(VLOOKUP(E357,BD!$L$2:$Q$66,2,0),0)</f>
        <v>COCA COLA VR 296MLX24 - STICKER</v>
      </c>
      <c r="G357" s="409">
        <v>40</v>
      </c>
      <c r="H357" s="432">
        <f>+IFERROR(VLOOKUP(E357,BD!$L$2:$Q$66,6,0),0)</f>
        <v>40</v>
      </c>
      <c r="I357" s="429">
        <f>IFERROR(G357*VLOOKUP($E357,BD!$L$2:$Q$66,5,0),0)</f>
        <v>9.2000000000000011</v>
      </c>
      <c r="J357" s="3">
        <f t="shared" si="23"/>
        <v>2021</v>
      </c>
    </row>
    <row r="358" spans="1:10" s="9" customFormat="1" hidden="1" x14ac:dyDescent="0.25">
      <c r="A358" s="421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7">
        <v>256677</v>
      </c>
      <c r="F358" s="54" t="str">
        <f>IFERROR(VLOOKUP(E358,BD!$L$2:$Q$66,2,0),0)</f>
        <v>TWO PACK CC + IK PFM 3LX2 - RFNN</v>
      </c>
      <c r="G358" s="409">
        <f>120*6</f>
        <v>720</v>
      </c>
      <c r="H358" s="432">
        <f>+IFERROR(VLOOKUP(E358,BD!$L$2:$Q$66,6,0),0)</f>
        <v>120</v>
      </c>
      <c r="I358" s="96">
        <f>IFERROR(G358*VLOOKUP($E358,BD!$L$2:$Q$66,5,0),0)</f>
        <v>122.4</v>
      </c>
      <c r="J358" s="3">
        <f t="shared" si="23"/>
        <v>2021</v>
      </c>
    </row>
    <row r="359" spans="1:10" s="9" customFormat="1" hidden="1" x14ac:dyDescent="0.25">
      <c r="A359" s="421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7">
        <v>256616</v>
      </c>
      <c r="F359" s="54" t="str">
        <f>IFERROR(VLOOKUP(E359,BD!$L$2:$Q$66,2,0),0)</f>
        <v>TWO PACK SCHWEPPES CITRUS PET 1.5LX2</v>
      </c>
      <c r="G359" s="428">
        <f>198*2</f>
        <v>396</v>
      </c>
      <c r="H359" s="432">
        <f>+IFERROR(VLOOKUP(E359,BD!$L$2:$Q$66,6,0),0)</f>
        <v>198</v>
      </c>
      <c r="I359" s="429">
        <f>IFERROR(G359*VLOOKUP($E359,BD!$L$2:$Q$66,5,0),0)</f>
        <v>67.320000000000007</v>
      </c>
      <c r="J359" s="3">
        <f t="shared" si="23"/>
        <v>2021</v>
      </c>
    </row>
    <row r="360" spans="1:10" s="9" customFormat="1" hidden="1" x14ac:dyDescent="0.25">
      <c r="A360" s="421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7">
        <v>254853</v>
      </c>
      <c r="F360" s="54" t="str">
        <f>IFERROR(VLOOKUP(E360,BD!$L$2:$Q$66,2,0),0)</f>
        <v>INCA KOLA SIN AZUCAR PET 1.5LX2</v>
      </c>
      <c r="G360" s="428">
        <f>198*16</f>
        <v>3168</v>
      </c>
      <c r="H360" s="432">
        <f>+IFERROR(VLOOKUP(E360,BD!$L$2:$Q$66,6,0),0)</f>
        <v>198</v>
      </c>
      <c r="I360" s="429">
        <f>IFERROR(G360*VLOOKUP($E360,BD!$L$2:$Q$66,5,0),0)</f>
        <v>538.56000000000006</v>
      </c>
      <c r="J360" s="3">
        <f t="shared" si="23"/>
        <v>2021</v>
      </c>
    </row>
    <row r="361" spans="1:10" s="9" customFormat="1" hidden="1" x14ac:dyDescent="0.25">
      <c r="A361" s="421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7">
        <v>256617</v>
      </c>
      <c r="F361" s="54" t="str">
        <f>IFERROR(VLOOKUP(E361,BD!$L$2:$Q$66,2,0),0)</f>
        <v>TWO PACK SCHWEPPES GINGER ALE PET 1.5LX2</v>
      </c>
      <c r="G361" s="409">
        <f>198*2</f>
        <v>396</v>
      </c>
      <c r="H361" s="432">
        <f>+IFERROR(VLOOKUP(E361,BD!$L$2:$Q$66,6,0),0)</f>
        <v>198</v>
      </c>
      <c r="I361" s="96">
        <f>IFERROR(G361*VLOOKUP($E361,BD!$L$2:$Q$66,5,0),0)</f>
        <v>67.320000000000007</v>
      </c>
      <c r="J361" s="3">
        <f t="shared" si="23"/>
        <v>2021</v>
      </c>
    </row>
    <row r="362" spans="1:10" s="9" customFormat="1" hidden="1" x14ac:dyDescent="0.25">
      <c r="A362" s="421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7">
        <v>256679</v>
      </c>
      <c r="F362" s="54" t="str">
        <f>IFERROR(VLOOKUP(E362,BD!$L$2:$Q$66,2,0),0)</f>
        <v>TRIPACK CC+IK+IK PFM 3LX3 - RFNN</v>
      </c>
      <c r="G362" s="409">
        <f>90*2</f>
        <v>180</v>
      </c>
      <c r="H362" s="432">
        <f>+IFERROR(VLOOKUP(E362,BD!$L$2:$Q$66,6,0),0)</f>
        <v>90</v>
      </c>
      <c r="I362" s="429">
        <f>IFERROR(G362*VLOOKUP($E362,BD!$L$2:$Q$66,5,0),0)</f>
        <v>30.6</v>
      </c>
      <c r="J362" s="3">
        <f t="shared" si="23"/>
        <v>2021</v>
      </c>
    </row>
    <row r="363" spans="1:10" s="9" customFormat="1" hidden="1" x14ac:dyDescent="0.25">
      <c r="A363" s="421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7">
        <v>256380</v>
      </c>
      <c r="F363" s="54" t="str">
        <f>IFERROR(VLOOKUP(E363,BD!$L$2:$Q$66,2,0),0)</f>
        <v>INCA KOLA VR 296MLX24 - STICKER</v>
      </c>
      <c r="G363" s="409">
        <v>40</v>
      </c>
      <c r="H363" s="432">
        <f>+IFERROR(VLOOKUP(E363,BD!$L$2:$Q$66,6,0),0)</f>
        <v>40</v>
      </c>
      <c r="I363" s="429">
        <f>IFERROR(G363*VLOOKUP($E363,BD!$L$2:$Q$66,5,0),0)</f>
        <v>9.2000000000000011</v>
      </c>
      <c r="J363" s="3">
        <f t="shared" si="23"/>
        <v>2021</v>
      </c>
    </row>
    <row r="364" spans="1:10" s="9" customFormat="1" hidden="1" x14ac:dyDescent="0.25">
      <c r="A364" s="421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7">
        <v>256381</v>
      </c>
      <c r="F364" s="54" t="str">
        <f>IFERROR(VLOOKUP(E364,BD!$L$2:$Q$66,2,0),0)</f>
        <v>INCA KOLA VR 1.5LX8 - STICKER</v>
      </c>
      <c r="G364" s="409">
        <f>30*2</f>
        <v>60</v>
      </c>
      <c r="H364" s="432">
        <f>+IFERROR(VLOOKUP(E364,BD!$L$2:$Q$66,6,0),0)</f>
        <v>30</v>
      </c>
      <c r="I364" s="96">
        <f>IFERROR(G364*VLOOKUP($E364,BD!$L$2:$Q$66,5,0),0)</f>
        <v>24</v>
      </c>
      <c r="J364" s="3">
        <f t="shared" si="23"/>
        <v>2021</v>
      </c>
    </row>
    <row r="365" spans="1:10" s="9" customFormat="1" hidden="1" x14ac:dyDescent="0.25">
      <c r="A365" s="421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7">
        <v>251633</v>
      </c>
      <c r="F365" s="54" t="str">
        <f>IFERROR(VLOOKUP(E365,BD!$L$2:$Q$66,2,0),0)</f>
        <v>SAN LUIS CON GAS PET 625MLX6</v>
      </c>
      <c r="G365" s="409">
        <v>180</v>
      </c>
      <c r="H365" s="432">
        <f>+IFERROR(VLOOKUP(E365,BD!$L$2:$Q$66,6,0),0)</f>
        <v>180</v>
      </c>
      <c r="I365" s="429">
        <f>IFERROR(G365*VLOOKUP($E365,BD!$L$2:$Q$66,5,0),0)</f>
        <v>75.599999999999994</v>
      </c>
      <c r="J365" s="3">
        <f t="shared" si="23"/>
        <v>2021</v>
      </c>
    </row>
    <row r="366" spans="1:10" s="9" customFormat="1" hidden="1" x14ac:dyDescent="0.25">
      <c r="A366" s="421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7">
        <v>256549</v>
      </c>
      <c r="F366" s="54" t="str">
        <f>IFERROR(VLOOKUP(E366,BD!$L$2:$Q$66,2,0),0)</f>
        <v>TWO PACK IK PET 1.5LX2 - CRCG</v>
      </c>
      <c r="G366" s="409">
        <v>198</v>
      </c>
      <c r="H366" s="432">
        <f>+IFERROR(VLOOKUP(E366,BD!$L$2:$Q$66,6,0),0)</f>
        <v>198</v>
      </c>
      <c r="I366" s="429">
        <f>IFERROR(G366*VLOOKUP($E366,BD!$L$2:$Q$66,5,0),0)</f>
        <v>33.660000000000004</v>
      </c>
      <c r="J366" s="3">
        <f t="shared" si="23"/>
        <v>2021</v>
      </c>
    </row>
    <row r="367" spans="1:10" s="9" customFormat="1" hidden="1" x14ac:dyDescent="0.25">
      <c r="A367" s="421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7">
        <v>256548</v>
      </c>
      <c r="F367" s="54" t="str">
        <f>IFERROR(VLOOKUP(E367,BD!$L$2:$Q$66,2,0),0)</f>
        <v>TWO PACK CC PET 1.5LX2 - CRC</v>
      </c>
      <c r="G367" s="409">
        <f>198*2</f>
        <v>396</v>
      </c>
      <c r="H367" s="432">
        <f>+IFERROR(VLOOKUP(E367,BD!$L$2:$Q$66,6,0),0)</f>
        <v>198</v>
      </c>
      <c r="I367" s="96">
        <f>IFERROR(G367*VLOOKUP($E367,BD!$L$2:$Q$66,5,0),0)</f>
        <v>67.320000000000007</v>
      </c>
      <c r="J367" s="3">
        <f t="shared" si="23"/>
        <v>2021</v>
      </c>
    </row>
    <row r="368" spans="1:10" s="9" customFormat="1" hidden="1" x14ac:dyDescent="0.25">
      <c r="A368" s="421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7">
        <v>256678</v>
      </c>
      <c r="F368" s="54" t="str">
        <f>IFERROR(VLOOKUP(E368,BD!$L$2:$Q$66,2,0),0)</f>
        <v>TRIPACK (CC+IK)PFM+FT PET 3LX3 - RFNN</v>
      </c>
      <c r="G368" s="409">
        <f>90*2</f>
        <v>180</v>
      </c>
      <c r="H368" s="432">
        <f>+IFERROR(VLOOKUP(E368,BD!$L$2:$Q$66,6,0),0)</f>
        <v>90</v>
      </c>
      <c r="I368" s="429">
        <f>IFERROR(G368*VLOOKUP($E368,BD!$L$2:$Q$66,5,0),0)</f>
        <v>30.6</v>
      </c>
      <c r="J368" s="3">
        <f t="shared" si="23"/>
        <v>2021</v>
      </c>
    </row>
    <row r="369" spans="1:10" s="9" customFormat="1" hidden="1" x14ac:dyDescent="0.25">
      <c r="A369" s="421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7">
        <v>256695</v>
      </c>
      <c r="F369" s="54" t="str">
        <f>IFERROR(VLOOKUP(E369,BD!$L$2:$Q$66,2,0),0)</f>
        <v>POWERADE 3MORA+3FRUT PET 473MLX6</v>
      </c>
      <c r="G369" s="428">
        <f>225*2</f>
        <v>450</v>
      </c>
      <c r="H369" s="432">
        <f>+IFERROR(VLOOKUP(E369,BD!$L$2:$Q$66,6,0),0)</f>
        <v>225</v>
      </c>
      <c r="I369" s="429">
        <f>IFERROR(G369*VLOOKUP($E369,BD!$L$2:$Q$66,5,0),0)</f>
        <v>189</v>
      </c>
      <c r="J369" s="3">
        <f t="shared" si="23"/>
        <v>2021</v>
      </c>
    </row>
    <row r="370" spans="1:10" s="9" customFormat="1" hidden="1" x14ac:dyDescent="0.25">
      <c r="A370" s="421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7">
        <v>256379</v>
      </c>
      <c r="F370" s="54" t="str">
        <f>IFERROR(VLOOKUP(E370,BD!$L$2:$Q$66,2,0),0)</f>
        <v>INCA KOLA VR 625MLX12 - STICKER</v>
      </c>
      <c r="G370" s="409">
        <f>50*4</f>
        <v>200</v>
      </c>
      <c r="H370" s="432">
        <f>+IFERROR(VLOOKUP(E370,BD!$L$2:$Q$66,6,0),0)</f>
        <v>50</v>
      </c>
      <c r="I370" s="96">
        <f>IFERROR(G370*VLOOKUP($E370,BD!$L$2:$Q$66,5,0),0)</f>
        <v>80</v>
      </c>
      <c r="J370" s="3">
        <f t="shared" si="23"/>
        <v>2021</v>
      </c>
    </row>
    <row r="371" spans="1:10" s="9" customFormat="1" hidden="1" x14ac:dyDescent="0.25">
      <c r="A371" s="421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7">
        <v>256652</v>
      </c>
      <c r="F371" s="54" t="str">
        <f>IFERROR(VLOOKUP(E371,BD!$L$2:$Q$66,2,0),0)</f>
        <v>TRIPACK FT NAR+FT KI+SP PET 3L</v>
      </c>
      <c r="G371" s="409">
        <f>90*8</f>
        <v>720</v>
      </c>
      <c r="H371" s="432">
        <f>+IFERROR(VLOOKUP(E371,BD!$L$2:$Q$66,6,0),0)</f>
        <v>90</v>
      </c>
      <c r="I371" s="429">
        <f>IFERROR(G371*VLOOKUP($E371,BD!$L$2:$Q$66,5,0),0)</f>
        <v>122.4</v>
      </c>
      <c r="J371" s="3">
        <f t="shared" si="23"/>
        <v>2021</v>
      </c>
    </row>
    <row r="372" spans="1:10" s="9" customFormat="1" hidden="1" x14ac:dyDescent="0.25">
      <c r="A372" s="421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7">
        <v>256680</v>
      </c>
      <c r="F372" s="54" t="str">
        <f>IFERROR(VLOOKUP(E372,BD!$L$2:$Q$66,2,0),0)</f>
        <v>TRIPACK CC+CC+IK PFM 3LX3 - RFNN</v>
      </c>
      <c r="G372" s="409">
        <f>90*2</f>
        <v>180</v>
      </c>
      <c r="H372" s="432">
        <f>+IFERROR(VLOOKUP(E372,BD!$L$2:$Q$66,6,0),0)</f>
        <v>90</v>
      </c>
      <c r="I372" s="429">
        <f>IFERROR(G372*VLOOKUP($E372,BD!$L$2:$Q$66,5,0),0)</f>
        <v>30.6</v>
      </c>
      <c r="J372" s="3">
        <f t="shared" si="23"/>
        <v>2021</v>
      </c>
    </row>
    <row r="373" spans="1:10" s="9" customFormat="1" hidden="1" x14ac:dyDescent="0.25">
      <c r="A373" s="421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7">
        <v>251429</v>
      </c>
      <c r="F373" s="54" t="str">
        <f>IFERROR(VLOOKUP(E373,BD!$L$2:$Q$66,2,0),0)</f>
        <v>SAN LUIS SIN GAS PET2500X6 STICKER</v>
      </c>
      <c r="G373" s="409">
        <f>48*4</f>
        <v>192</v>
      </c>
      <c r="H373" s="432">
        <f>+IFERROR(VLOOKUP(E373,BD!$L$2:$Q$66,6,0),0)</f>
        <v>48</v>
      </c>
      <c r="I373" s="96">
        <f>IFERROR(G373*VLOOKUP($E373,BD!$L$2:$Q$66,5,0),0)</f>
        <v>76.800000000000011</v>
      </c>
      <c r="J373" s="3">
        <f t="shared" si="23"/>
        <v>2021</v>
      </c>
    </row>
    <row r="374" spans="1:10" s="9" customFormat="1" hidden="1" x14ac:dyDescent="0.25">
      <c r="A374" s="421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7">
        <v>751315</v>
      </c>
      <c r="F374" s="54" t="str">
        <f>IFERROR(VLOOKUP(E374,BD!$L$2:$Q$66,2,0),0)</f>
        <v>MONSTER ENERGY 473MLX4</v>
      </c>
      <c r="G374" s="409">
        <f>420*4</f>
        <v>1680</v>
      </c>
      <c r="H374" s="432">
        <f>+IFERROR(VLOOKUP(E374,BD!$L$2:$Q$66,6,0),0)</f>
        <v>420</v>
      </c>
      <c r="I374" s="429">
        <f>IFERROR(G374*VLOOKUP($E374,BD!$L$2:$Q$66,5,0),0)</f>
        <v>705.6</v>
      </c>
      <c r="J374" s="3">
        <f t="shared" si="23"/>
        <v>2021</v>
      </c>
    </row>
    <row r="375" spans="1:10" s="9" customFormat="1" hidden="1" x14ac:dyDescent="0.25">
      <c r="A375" s="421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7">
        <v>251633</v>
      </c>
      <c r="F375" s="54" t="str">
        <f>IFERROR(VLOOKUP(E375,BD!$L$2:$Q$66,2,0),0)</f>
        <v>SAN LUIS CON GAS PET 625MLX6</v>
      </c>
      <c r="G375" s="409">
        <f>180*2</f>
        <v>360</v>
      </c>
      <c r="H375" s="432">
        <f>+IFERROR(VLOOKUP(E375,BD!$L$2:$Q$66,6,0),0)</f>
        <v>180</v>
      </c>
      <c r="I375" s="429">
        <f>IFERROR(G375*VLOOKUP($E375,BD!$L$2:$Q$66,5,0),0)</f>
        <v>151.19999999999999</v>
      </c>
      <c r="J375" s="3">
        <f t="shared" si="23"/>
        <v>2021</v>
      </c>
    </row>
    <row r="376" spans="1:10" s="9" customFormat="1" hidden="1" x14ac:dyDescent="0.25">
      <c r="A376" s="421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7">
        <v>251406</v>
      </c>
      <c r="F376" s="54" t="str">
        <f>IFERROR(VLOOKUP(E376,BD!$L$2:$Q$66,2,0),0)</f>
        <v>COCA-COLA SIN AZUCAR PET 1.5LX2</v>
      </c>
      <c r="G376" s="409">
        <f>198*2</f>
        <v>396</v>
      </c>
      <c r="H376" s="432">
        <f>+IFERROR(VLOOKUP(E376,BD!$L$2:$Q$66,6,0),0)</f>
        <v>198</v>
      </c>
      <c r="I376" s="96">
        <f>IFERROR(G376*VLOOKUP($E376,BD!$L$2:$Q$66,5,0),0)</f>
        <v>67.320000000000007</v>
      </c>
      <c r="J376" s="3">
        <f t="shared" si="23"/>
        <v>2021</v>
      </c>
    </row>
    <row r="377" spans="1:10" s="9" customFormat="1" hidden="1" x14ac:dyDescent="0.25">
      <c r="A377" s="421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7">
        <v>254853</v>
      </c>
      <c r="F377" s="54" t="str">
        <f>IFERROR(VLOOKUP(E377,BD!$L$2:$Q$66,2,0),0)</f>
        <v>INCA KOLA SIN AZUCAR PET 1.5LX2</v>
      </c>
      <c r="G377" s="409">
        <f>198*2</f>
        <v>396</v>
      </c>
      <c r="H377" s="432">
        <f>+IFERROR(VLOOKUP(E377,BD!$L$2:$Q$66,6,0),0)</f>
        <v>198</v>
      </c>
      <c r="I377" s="429">
        <f>IFERROR(G377*VLOOKUP($E377,BD!$L$2:$Q$66,5,0),0)</f>
        <v>67.320000000000007</v>
      </c>
      <c r="J377" s="3">
        <f t="shared" si="23"/>
        <v>2021</v>
      </c>
    </row>
    <row r="378" spans="1:10" s="9" customFormat="1" hidden="1" x14ac:dyDescent="0.25">
      <c r="A378" s="421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7">
        <v>256678</v>
      </c>
      <c r="F378" s="54" t="str">
        <f>IFERROR(VLOOKUP(E378,BD!$L$2:$Q$66,2,0),0)</f>
        <v>TRIPACK (CC+IK)PFM+FT PET 3LX3 - RFNN</v>
      </c>
      <c r="G378" s="409">
        <f>90*16</f>
        <v>1440</v>
      </c>
      <c r="H378" s="432">
        <f>+IFERROR(VLOOKUP(E378,BD!$L$2:$Q$66,6,0),0)</f>
        <v>90</v>
      </c>
      <c r="I378" s="429">
        <f>IFERROR(G378*VLOOKUP($E378,BD!$L$2:$Q$66,5,0),0)</f>
        <v>244.8</v>
      </c>
      <c r="J378" s="3">
        <f t="shared" si="23"/>
        <v>2021</v>
      </c>
    </row>
    <row r="379" spans="1:10" s="9" customFormat="1" hidden="1" x14ac:dyDescent="0.25">
      <c r="A379" s="421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7">
        <v>256679</v>
      </c>
      <c r="F379" s="54" t="str">
        <f>IFERROR(VLOOKUP(E379,BD!$L$2:$Q$66,2,0),0)</f>
        <v>TRIPACK CC+IK+IK PFM 3LX3 - RFNN</v>
      </c>
      <c r="G379" s="409">
        <f>90*5</f>
        <v>450</v>
      </c>
      <c r="H379" s="432">
        <f>+IFERROR(VLOOKUP(E379,BD!$L$2:$Q$66,6,0),0)</f>
        <v>90</v>
      </c>
      <c r="I379" s="96">
        <f>IFERROR(G379*VLOOKUP($E379,BD!$L$2:$Q$66,5,0),0)</f>
        <v>76.5</v>
      </c>
      <c r="J379" s="3">
        <f t="shared" si="23"/>
        <v>2021</v>
      </c>
    </row>
    <row r="380" spans="1:10" s="9" customFormat="1" hidden="1" x14ac:dyDescent="0.25">
      <c r="A380" s="421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7">
        <v>256682</v>
      </c>
      <c r="F380" s="54" t="str">
        <f>IFERROR(VLOOKUP(E380,BD!$L$2:$Q$66,2,0),0)</f>
        <v>TRIPACK (FT NAR+SP)PET+IK RF PFM 3L</v>
      </c>
      <c r="G380" s="409">
        <f>90*5</f>
        <v>450</v>
      </c>
      <c r="H380" s="432">
        <f>+IFERROR(VLOOKUP(E380,BD!$L$2:$Q$66,6,0),0)</f>
        <v>90</v>
      </c>
      <c r="I380" s="429">
        <f>IFERROR(G380*VLOOKUP($E380,BD!$L$2:$Q$66,5,0),0)</f>
        <v>76.5</v>
      </c>
      <c r="J380" s="3">
        <f t="shared" si="23"/>
        <v>2021</v>
      </c>
    </row>
    <row r="381" spans="1:10" s="9" customFormat="1" hidden="1" x14ac:dyDescent="0.25">
      <c r="A381" s="421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7">
        <v>256695</v>
      </c>
      <c r="F381" s="54" t="str">
        <f>IFERROR(VLOOKUP(E381,BD!$L$2:$Q$66,2,0),0)</f>
        <v>POWERADE 3MORA+3FRUT PET 473MLX6</v>
      </c>
      <c r="G381" s="409">
        <f>225*4</f>
        <v>900</v>
      </c>
      <c r="H381" s="432">
        <f>+IFERROR(VLOOKUP(E381,BD!$L$2:$Q$66,6,0),0)</f>
        <v>225</v>
      </c>
      <c r="I381" s="429">
        <f>IFERROR(G381*VLOOKUP($E381,BD!$L$2:$Q$66,5,0),0)</f>
        <v>378</v>
      </c>
      <c r="J381" s="3">
        <f t="shared" si="23"/>
        <v>2021</v>
      </c>
    </row>
    <row r="382" spans="1:10" s="9" customFormat="1" hidden="1" x14ac:dyDescent="0.25">
      <c r="A382" s="421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7">
        <v>256708</v>
      </c>
      <c r="F382" s="54" t="str">
        <f>IFERROR(VLOOKUP(E382,BD!$L$2:$Q$66,2,0),0)</f>
        <v>POWERADE ION4 FRUTA PET473X6 MOD (STICK)</v>
      </c>
      <c r="G382" s="409">
        <f>225*2</f>
        <v>450</v>
      </c>
      <c r="H382" s="432">
        <f>+IFERROR(VLOOKUP(E382,BD!$L$2:$Q$66,6,0),0)</f>
        <v>225</v>
      </c>
      <c r="I382" s="96">
        <f>IFERROR(G382*VLOOKUP($E382,BD!$L$2:$Q$66,5,0),0)</f>
        <v>180</v>
      </c>
      <c r="J382" s="3">
        <f t="shared" si="23"/>
        <v>2021</v>
      </c>
    </row>
    <row r="383" spans="1:10" s="9" customFormat="1" hidden="1" x14ac:dyDescent="0.25">
      <c r="A383" s="421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7">
        <v>256677</v>
      </c>
      <c r="F383" s="54" t="str">
        <f>IFERROR(VLOOKUP(E383,BD!$L$2:$Q$66,2,0),0)</f>
        <v>TWO PACK CC + IK PFM 3LX2 - RFNN</v>
      </c>
      <c r="G383" s="409">
        <f>120*8</f>
        <v>960</v>
      </c>
      <c r="H383" s="432">
        <f>+IFERROR(VLOOKUP(E383,BD!$L$2:$Q$66,6,0),0)</f>
        <v>120</v>
      </c>
      <c r="I383" s="429">
        <f>IFERROR(G383*VLOOKUP($E383,BD!$L$2:$Q$66,5,0),0)</f>
        <v>163.20000000000002</v>
      </c>
      <c r="J383" s="3">
        <f t="shared" si="23"/>
        <v>2021</v>
      </c>
    </row>
    <row r="384" spans="1:10" s="9" customFormat="1" hidden="1" x14ac:dyDescent="0.25">
      <c r="A384" s="421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7">
        <v>256675</v>
      </c>
      <c r="F384" s="54" t="str">
        <f>IFERROR(VLOOKUP(E384,BD!$L$2:$Q$66,2,0),0)</f>
        <v>INCA KOLA PET 1.5LX2 RF</v>
      </c>
      <c r="G384" s="409">
        <f>198*4</f>
        <v>792</v>
      </c>
      <c r="H384" s="432">
        <f>+IFERROR(VLOOKUP(E384,BD!$L$2:$Q$66,6,0),0)</f>
        <v>198</v>
      </c>
      <c r="I384" s="429">
        <f>IFERROR(G384*VLOOKUP($E384,BD!$L$2:$Q$66,5,0),0)</f>
        <v>134.64000000000001</v>
      </c>
      <c r="J384" s="3">
        <f t="shared" si="23"/>
        <v>2021</v>
      </c>
    </row>
    <row r="385" spans="1:10" s="9" customFormat="1" hidden="1" x14ac:dyDescent="0.25">
      <c r="A385" s="421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7">
        <v>256488</v>
      </c>
      <c r="F385" s="54" t="str">
        <f>IFERROR(VLOOKUP(E385,BD!$L$2:$Q$66,2,0),0)</f>
        <v>INCA KOLA PET 3LX2 - RF</v>
      </c>
      <c r="G385" s="409">
        <f>120*8</f>
        <v>960</v>
      </c>
      <c r="H385" s="432">
        <f>+IFERROR(VLOOKUP(E385,BD!$L$2:$Q$66,6,0),0)</f>
        <v>120</v>
      </c>
      <c r="I385" s="96">
        <f>IFERROR(G385*VLOOKUP($E385,BD!$L$2:$Q$66,5,0),0)</f>
        <v>163.20000000000002</v>
      </c>
      <c r="J385" s="3">
        <f t="shared" si="23"/>
        <v>2021</v>
      </c>
    </row>
    <row r="386" spans="1:10" s="9" customFormat="1" hidden="1" x14ac:dyDescent="0.25">
      <c r="A386" s="421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7">
        <v>256601</v>
      </c>
      <c r="F386" s="54" t="str">
        <f>IFERROR(VLOOKUP(E386,BD!$L$2:$Q$66,2,0),0)</f>
        <v>INCA KOLA PET 2.25LX2 RF</v>
      </c>
      <c r="G386" s="428">
        <f>162*6</f>
        <v>972</v>
      </c>
      <c r="H386" s="432">
        <f>+IFERROR(VLOOKUP(E386,BD!$L$2:$Q$66,6,0),0)</f>
        <v>162</v>
      </c>
      <c r="I386" s="429">
        <f>IFERROR(G386*VLOOKUP($E386,BD!$L$2:$Q$66,5,0),0)</f>
        <v>165.24</v>
      </c>
      <c r="J386" s="3">
        <f t="shared" si="23"/>
        <v>2021</v>
      </c>
    </row>
    <row r="387" spans="1:10" s="9" customFormat="1" hidden="1" x14ac:dyDescent="0.25">
      <c r="A387" s="421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7">
        <v>252436</v>
      </c>
      <c r="F387" s="54" t="str">
        <f>IFERROR(VLOOKUP(E387,BD!$L$2:$Q$66,2,0),0)</f>
        <v>SAN LUIS SIN GAS PET 625MLX15 C/STICKER</v>
      </c>
      <c r="G387" s="409">
        <f>90*13</f>
        <v>1170</v>
      </c>
      <c r="H387" s="432">
        <f>+IFERROR(VLOOKUP(E387,BD!$L$2:$Q$66,6,0),0)</f>
        <v>90</v>
      </c>
      <c r="I387" s="429">
        <f>IFERROR(G387*VLOOKUP($E387,BD!$L$2:$Q$66,5,0),0)</f>
        <v>468</v>
      </c>
      <c r="J387" s="3">
        <f t="shared" si="23"/>
        <v>2021</v>
      </c>
    </row>
    <row r="388" spans="1:10" s="9" customFormat="1" hidden="1" x14ac:dyDescent="0.25">
      <c r="A388" s="421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7">
        <v>251429</v>
      </c>
      <c r="F388" s="54" t="str">
        <f>IFERROR(VLOOKUP(E388,BD!$L$2:$Q$66,2,0),0)</f>
        <v>SAN LUIS SIN GAS PET2500X6 STICKER</v>
      </c>
      <c r="G388" s="409">
        <f>48*8</f>
        <v>384</v>
      </c>
      <c r="H388" s="432">
        <f>+IFERROR(VLOOKUP(E388,BD!$L$2:$Q$66,6,0),0)</f>
        <v>48</v>
      </c>
      <c r="I388" s="96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hidden="1" x14ac:dyDescent="0.25">
      <c r="A389" s="421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7">
        <v>251632</v>
      </c>
      <c r="F389" s="54" t="str">
        <f>IFERROR(VLOOKUP(E389,BD!$L$2:$Q$66,2,0),0)</f>
        <v>SAN LUIS SIN GAS PET 625MLX06 MOD</v>
      </c>
      <c r="G389" s="409">
        <f>180*9</f>
        <v>1620</v>
      </c>
      <c r="H389" s="432">
        <f>+IFERROR(VLOOKUP(E389,BD!$L$2:$Q$66,6,0),0)</f>
        <v>180</v>
      </c>
      <c r="I389" s="429">
        <f>IFERROR(G389*VLOOKUP($E389,BD!$L$2:$Q$66,5,0),0)</f>
        <v>680.4</v>
      </c>
      <c r="J389" s="3">
        <f t="shared" si="27"/>
        <v>2021</v>
      </c>
    </row>
    <row r="390" spans="1:10" s="9" customFormat="1" hidden="1" x14ac:dyDescent="0.25">
      <c r="A390" s="421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7">
        <v>256666</v>
      </c>
      <c r="F390" s="54" t="str">
        <f>IFERROR(VLOOKUP(E390,BD!$L$2:$Q$66,2,0),0)</f>
        <v>COCA-COLA PET 2.25LX2 RF</v>
      </c>
      <c r="G390" s="409">
        <f>162*4</f>
        <v>648</v>
      </c>
      <c r="H390" s="432">
        <f>+IFERROR(VLOOKUP(E390,BD!$L$2:$Q$66,6,0),0)</f>
        <v>162</v>
      </c>
      <c r="I390" s="429">
        <f>IFERROR(G390*VLOOKUP($E390,BD!$L$2:$Q$66,5,0),0)</f>
        <v>110.16000000000001</v>
      </c>
      <c r="J390" s="3">
        <f t="shared" si="27"/>
        <v>2021</v>
      </c>
    </row>
    <row r="391" spans="1:10" s="9" customFormat="1" hidden="1" x14ac:dyDescent="0.25">
      <c r="A391" s="421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7">
        <v>256676</v>
      </c>
      <c r="F391" s="54" t="str">
        <f>IFERROR(VLOOKUP(E391,BD!$L$2:$Q$66,2,0),0)</f>
        <v>TWO PACK CC PFM 3LX2 - RFCC</v>
      </c>
      <c r="G391" s="428">
        <f>120*6</f>
        <v>720</v>
      </c>
      <c r="H391" s="432">
        <f>+IFERROR(VLOOKUP(E391,BD!$L$2:$Q$66,6,0),0)</f>
        <v>120</v>
      </c>
      <c r="I391" s="96">
        <f>IFERROR(G391*VLOOKUP($E391,BD!$L$2:$Q$66,5,0),0)</f>
        <v>122.4</v>
      </c>
      <c r="J391" s="3">
        <f t="shared" si="27"/>
        <v>2021</v>
      </c>
    </row>
    <row r="392" spans="1:10" s="9" customFormat="1" hidden="1" x14ac:dyDescent="0.25">
      <c r="A392" s="421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7">
        <v>251406</v>
      </c>
      <c r="F392" s="54" t="str">
        <f>IFERROR(VLOOKUP(E392,BD!$L$2:$Q$66,2,0),0)</f>
        <v>COCA-COLA SIN AZUCAR PET 1.5LX2</v>
      </c>
      <c r="G392" s="409">
        <f>198*2</f>
        <v>396</v>
      </c>
      <c r="H392" s="432">
        <f>+IFERROR(VLOOKUP(E392,BD!$L$2:$Q$66,6,0),0)</f>
        <v>198</v>
      </c>
      <c r="I392" s="429">
        <f>IFERROR(G392*VLOOKUP($E392,BD!$L$2:$Q$66,5,0),0)</f>
        <v>67.320000000000007</v>
      </c>
      <c r="J392" s="3">
        <f t="shared" si="27"/>
        <v>2021</v>
      </c>
    </row>
    <row r="393" spans="1:10" s="9" customFormat="1" hidden="1" x14ac:dyDescent="0.25">
      <c r="A393" s="421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7">
        <v>251406</v>
      </c>
      <c r="F393" s="54" t="str">
        <f>IFERROR(VLOOKUP(E393,BD!$L$2:$Q$66,2,0),0)</f>
        <v>COCA-COLA SIN AZUCAR PET 1.5LX2</v>
      </c>
      <c r="G393" s="409">
        <f>198*18</f>
        <v>3564</v>
      </c>
      <c r="H393" s="432">
        <f>+IFERROR(VLOOKUP(E393,BD!$L$2:$Q$66,6,0),0)</f>
        <v>198</v>
      </c>
      <c r="I393" s="429">
        <f>IFERROR(G393*VLOOKUP($E393,BD!$L$2:$Q$66,5,0),0)</f>
        <v>605.88</v>
      </c>
      <c r="J393" s="3">
        <f t="shared" si="27"/>
        <v>2021</v>
      </c>
    </row>
    <row r="394" spans="1:10" s="9" customFormat="1" hidden="1" x14ac:dyDescent="0.25">
      <c r="A394" s="421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7">
        <v>254853</v>
      </c>
      <c r="F394" s="54" t="str">
        <f>IFERROR(VLOOKUP(E394,BD!$L$2:$Q$66,2,0),0)</f>
        <v>INCA KOLA SIN AZUCAR PET 1.5LX2</v>
      </c>
      <c r="G394" s="409">
        <f>198*14</f>
        <v>2772</v>
      </c>
      <c r="H394" s="432">
        <f>+IFERROR(VLOOKUP(E394,BD!$L$2:$Q$66,6,0),0)</f>
        <v>198</v>
      </c>
      <c r="I394" s="96">
        <f>IFERROR(G394*VLOOKUP($E394,BD!$L$2:$Q$66,5,0),0)</f>
        <v>471.24</v>
      </c>
      <c r="J394" s="3">
        <f t="shared" si="27"/>
        <v>2021</v>
      </c>
    </row>
    <row r="395" spans="1:10" s="9" customFormat="1" hidden="1" x14ac:dyDescent="0.25">
      <c r="A395" s="421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7">
        <v>256708</v>
      </c>
      <c r="F395" s="54" t="str">
        <f>IFERROR(VLOOKUP(E395,BD!$L$2:$Q$66,2,0),0)</f>
        <v>POWERADE ION4 FRUTA PET473X6 MOD (STICK)</v>
      </c>
      <c r="G395" s="428">
        <v>225</v>
      </c>
      <c r="H395" s="432">
        <f>+IFERROR(VLOOKUP(E395,BD!$L$2:$Q$66,6,0),0)</f>
        <v>225</v>
      </c>
      <c r="I395" s="429">
        <f>IFERROR(G395*VLOOKUP($E395,BD!$L$2:$Q$66,5,0),0)</f>
        <v>90</v>
      </c>
      <c r="J395" s="3">
        <f t="shared" si="27"/>
        <v>2021</v>
      </c>
    </row>
    <row r="396" spans="1:10" s="9" customFormat="1" hidden="1" x14ac:dyDescent="0.25">
      <c r="A396" s="421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7">
        <v>256709</v>
      </c>
      <c r="F396" s="54" t="str">
        <f>IFERROR(VLOOKUP(E396,BD!$L$2:$Q$66,2,0),0)</f>
        <v>POWERADE ION4 MORA AZ PET473X6 MOD(STCK)</v>
      </c>
      <c r="G396" s="409">
        <v>225</v>
      </c>
      <c r="H396" s="432">
        <f>+IFERROR(VLOOKUP(E396,BD!$L$2:$Q$66,6,0),0)</f>
        <v>225</v>
      </c>
      <c r="I396" s="429">
        <f>IFERROR(G396*VLOOKUP($E396,BD!$L$2:$Q$66,5,0),0)</f>
        <v>90</v>
      </c>
      <c r="J396" s="3">
        <f t="shared" si="27"/>
        <v>2021</v>
      </c>
    </row>
    <row r="397" spans="1:10" s="9" customFormat="1" hidden="1" x14ac:dyDescent="0.25">
      <c r="A397" s="421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7">
        <v>252436</v>
      </c>
      <c r="F397" s="54" t="str">
        <f>IFERROR(VLOOKUP(E397,BD!$L$2:$Q$66,2,0),0)</f>
        <v>SAN LUIS SIN GAS PET 625MLX15 C/STICKER</v>
      </c>
      <c r="G397" s="409">
        <f>90*15</f>
        <v>1350</v>
      </c>
      <c r="H397" s="432">
        <f>+IFERROR(VLOOKUP(E397,BD!$L$2:$Q$66,6,0),0)</f>
        <v>90</v>
      </c>
      <c r="I397" s="96">
        <f>IFERROR(G397*VLOOKUP($E397,BD!$L$2:$Q$66,5,0),0)</f>
        <v>540</v>
      </c>
      <c r="J397" s="3">
        <f t="shared" si="27"/>
        <v>2021</v>
      </c>
    </row>
    <row r="398" spans="1:10" s="9" customFormat="1" hidden="1" x14ac:dyDescent="0.25">
      <c r="A398" s="421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7">
        <v>751315</v>
      </c>
      <c r="F398" s="54" t="str">
        <f>IFERROR(VLOOKUP(E398,BD!$L$2:$Q$66,2,0),0)</f>
        <v>MONSTER ENERGY 473MLX4</v>
      </c>
      <c r="G398" s="409">
        <f>420*4</f>
        <v>1680</v>
      </c>
      <c r="H398" s="432">
        <f>+IFERROR(VLOOKUP(E398,BD!$L$2:$Q$66,6,0),0)</f>
        <v>420</v>
      </c>
      <c r="I398" s="429">
        <f>IFERROR(G398*VLOOKUP($E398,BD!$L$2:$Q$66,5,0),0)</f>
        <v>705.6</v>
      </c>
      <c r="J398" s="3">
        <f t="shared" si="27"/>
        <v>2021</v>
      </c>
    </row>
    <row r="399" spans="1:10" s="9" customFormat="1" hidden="1" x14ac:dyDescent="0.25">
      <c r="A399" s="421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7">
        <v>256617</v>
      </c>
      <c r="F399" s="54" t="str">
        <f>IFERROR(VLOOKUP(E399,BD!$L$2:$Q$66,2,0),0)</f>
        <v>TWO PACK SCHWEPPES GINGER ALE PET 1.5LX2</v>
      </c>
      <c r="G399" s="409">
        <f>198*10</f>
        <v>1980</v>
      </c>
      <c r="H399" s="432">
        <f>+IFERROR(VLOOKUP(E399,BD!$L$2:$Q$66,6,0),0)</f>
        <v>198</v>
      </c>
      <c r="I399" s="429">
        <f>IFERROR(G399*VLOOKUP($E399,BD!$L$2:$Q$66,5,0),0)</f>
        <v>336.6</v>
      </c>
      <c r="J399" s="3">
        <f t="shared" si="27"/>
        <v>2021</v>
      </c>
    </row>
    <row r="400" spans="1:10" s="9" customFormat="1" hidden="1" x14ac:dyDescent="0.25">
      <c r="A400" s="421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7">
        <v>256652</v>
      </c>
      <c r="F400" s="54" t="str">
        <f>IFERROR(VLOOKUP(E400,BD!$L$2:$Q$66,2,0),0)</f>
        <v>TRIPACK FT NAR+FT KI+SP PET 3L</v>
      </c>
      <c r="G400" s="409">
        <f>90*10</f>
        <v>900</v>
      </c>
      <c r="H400" s="432">
        <f>+IFERROR(VLOOKUP(E400,BD!$L$2:$Q$66,6,0),0)</f>
        <v>90</v>
      </c>
      <c r="I400" s="96">
        <f>IFERROR(G400*VLOOKUP($E400,BD!$L$2:$Q$66,5,0),0)</f>
        <v>153</v>
      </c>
      <c r="J400" s="3">
        <f t="shared" si="27"/>
        <v>2021</v>
      </c>
    </row>
    <row r="401" spans="1:10" s="9" customFormat="1" hidden="1" x14ac:dyDescent="0.25">
      <c r="A401" s="421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7">
        <v>256674</v>
      </c>
      <c r="F401" s="54" t="str">
        <f>IFERROR(VLOOKUP(E401,BD!$L$2:$Q$66,2,0),0)</f>
        <v>COCA-COLA PET 1.5LX2 RF</v>
      </c>
      <c r="G401" s="409">
        <f>198*12</f>
        <v>2376</v>
      </c>
      <c r="H401" s="432">
        <f>+IFERROR(VLOOKUP(E401,BD!$L$2:$Q$66,6,0),0)</f>
        <v>198</v>
      </c>
      <c r="I401" s="429">
        <f>IFERROR(G401*VLOOKUP($E401,BD!$L$2:$Q$66,5,0),0)</f>
        <v>403.92</v>
      </c>
      <c r="J401" s="3">
        <f t="shared" si="27"/>
        <v>2021</v>
      </c>
    </row>
    <row r="402" spans="1:10" s="9" customFormat="1" hidden="1" x14ac:dyDescent="0.25">
      <c r="A402" s="421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7">
        <v>256666</v>
      </c>
      <c r="F402" s="54" t="str">
        <f>IFERROR(VLOOKUP(E402,BD!$L$2:$Q$66,2,0),0)</f>
        <v>COCA-COLA PET 2.25LX2 RF</v>
      </c>
      <c r="G402" s="409">
        <f>162*4</f>
        <v>648</v>
      </c>
      <c r="H402" s="432">
        <f>+IFERROR(VLOOKUP(E402,BD!$L$2:$Q$66,6,0),0)</f>
        <v>162</v>
      </c>
      <c r="I402" s="429">
        <f>IFERROR(G402*VLOOKUP($E402,BD!$L$2:$Q$66,5,0),0)</f>
        <v>110.16000000000001</v>
      </c>
      <c r="J402" s="3">
        <f t="shared" si="27"/>
        <v>2021</v>
      </c>
    </row>
    <row r="403" spans="1:10" s="9" customFormat="1" hidden="1" x14ac:dyDescent="0.25">
      <c r="A403" s="421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7">
        <v>256675</v>
      </c>
      <c r="F403" s="54" t="str">
        <f>IFERROR(VLOOKUP(E403,BD!$L$2:$Q$66,2,0),0)</f>
        <v>INCA KOLA PET 1.5LX2 RF</v>
      </c>
      <c r="G403" s="409">
        <f>198*6</f>
        <v>1188</v>
      </c>
      <c r="H403" s="432">
        <f>+IFERROR(VLOOKUP(E403,BD!$L$2:$Q$66,6,0),0)</f>
        <v>198</v>
      </c>
      <c r="I403" s="96">
        <f>IFERROR(G403*VLOOKUP($E403,BD!$L$2:$Q$66,5,0),0)</f>
        <v>201.96</v>
      </c>
      <c r="J403" s="3">
        <f t="shared" si="27"/>
        <v>2021</v>
      </c>
    </row>
    <row r="404" spans="1:10" s="9" customFormat="1" hidden="1" x14ac:dyDescent="0.25">
      <c r="A404" s="421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7">
        <v>251429</v>
      </c>
      <c r="F404" s="54" t="str">
        <f>IFERROR(VLOOKUP(E404,BD!$L$2:$Q$66,2,0),0)</f>
        <v>SAN LUIS SIN GAS PET2500X6 STICKER</v>
      </c>
      <c r="G404" s="409">
        <f>48*4</f>
        <v>192</v>
      </c>
      <c r="H404" s="432">
        <f>+IFERROR(VLOOKUP(E404,BD!$L$2:$Q$66,6,0),0)</f>
        <v>48</v>
      </c>
      <c r="I404" s="429">
        <f>IFERROR(G404*VLOOKUP($E404,BD!$L$2:$Q$66,5,0),0)</f>
        <v>76.800000000000011</v>
      </c>
      <c r="J404" s="3">
        <f t="shared" si="27"/>
        <v>2021</v>
      </c>
    </row>
    <row r="405" spans="1:10" s="9" customFormat="1" hidden="1" x14ac:dyDescent="0.25">
      <c r="A405" s="421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7">
        <v>256677</v>
      </c>
      <c r="F405" s="54" t="str">
        <f>IFERROR(VLOOKUP(E405,BD!$L$2:$Q$66,2,0),0)</f>
        <v>TWO PACK CC + IK PFM 3LX2 - RFNN</v>
      </c>
      <c r="G405" s="409">
        <f>120*12</f>
        <v>1440</v>
      </c>
      <c r="H405" s="432">
        <f>+IFERROR(VLOOKUP(E405,BD!$L$2:$Q$66,6,0),0)</f>
        <v>120</v>
      </c>
      <c r="I405" s="429">
        <f>IFERROR(G405*VLOOKUP($E405,BD!$L$2:$Q$66,5,0),0)</f>
        <v>244.8</v>
      </c>
      <c r="J405" s="3">
        <f t="shared" si="27"/>
        <v>2021</v>
      </c>
    </row>
    <row r="406" spans="1:10" s="9" customFormat="1" hidden="1" x14ac:dyDescent="0.25">
      <c r="A406" s="421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7">
        <v>251632</v>
      </c>
      <c r="F406" s="54" t="str">
        <f>IFERROR(VLOOKUP(E406,BD!$L$2:$Q$66,2,0),0)</f>
        <v>SAN LUIS SIN GAS PET 625MLX06 MOD</v>
      </c>
      <c r="G406" s="409">
        <f>180*3</f>
        <v>540</v>
      </c>
      <c r="H406" s="432">
        <f>+IFERROR(VLOOKUP(E406,BD!$L$2:$Q$66,6,0),0)</f>
        <v>180</v>
      </c>
      <c r="I406" s="96">
        <f>IFERROR(G406*VLOOKUP($E406,BD!$L$2:$Q$66,5,0),0)</f>
        <v>226.79999999999998</v>
      </c>
      <c r="J406" s="3">
        <f t="shared" si="27"/>
        <v>2021</v>
      </c>
    </row>
    <row r="407" spans="1:10" s="9" customFormat="1" hidden="1" x14ac:dyDescent="0.25">
      <c r="A407" s="421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7">
        <v>256695</v>
      </c>
      <c r="F407" s="54" t="str">
        <f>IFERROR(VLOOKUP(E407,BD!$L$2:$Q$66,2,0),0)</f>
        <v>POWERADE 3MORA+3FRUT PET 473MLX6</v>
      </c>
      <c r="G407" s="409">
        <f>225*2</f>
        <v>450</v>
      </c>
      <c r="H407" s="432">
        <f>+IFERROR(VLOOKUP(E407,BD!$L$2:$Q$66,6,0),0)</f>
        <v>225</v>
      </c>
      <c r="I407" s="96">
        <f>IFERROR(G407*VLOOKUP($E407,BD!$L$2:$Q$66,5,0),0)</f>
        <v>189</v>
      </c>
      <c r="J407" s="3">
        <f t="shared" si="27"/>
        <v>2021</v>
      </c>
    </row>
    <row r="408" spans="1:10" s="9" customFormat="1" hidden="1" x14ac:dyDescent="0.25">
      <c r="A408" s="421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7">
        <v>256709</v>
      </c>
      <c r="F408" s="54" t="str">
        <f>IFERROR(VLOOKUP(E408,BD!$L$2:$Q$66,2,0),0)</f>
        <v>POWERADE ION4 MORA AZ PET473X6 MOD(STCK)</v>
      </c>
      <c r="G408" s="409">
        <v>225</v>
      </c>
      <c r="H408" s="432">
        <f>+IFERROR(VLOOKUP(E408,BD!$L$2:$Q$66,6,0),0)</f>
        <v>225</v>
      </c>
      <c r="I408" s="429">
        <f>IFERROR(G408*VLOOKUP($E408,BD!$L$2:$Q$66,5,0),0)</f>
        <v>90</v>
      </c>
      <c r="J408" s="3">
        <f t="shared" si="27"/>
        <v>2021</v>
      </c>
    </row>
    <row r="409" spans="1:10" s="9" customFormat="1" hidden="1" x14ac:dyDescent="0.25">
      <c r="A409" s="421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7">
        <v>751315</v>
      </c>
      <c r="F409" s="54" t="str">
        <f>IFERROR(VLOOKUP(E409,BD!$L$2:$Q$66,2,0),0)</f>
        <v>MONSTER ENERGY 473MLX4</v>
      </c>
      <c r="G409" s="409">
        <f>420*2</f>
        <v>840</v>
      </c>
      <c r="H409" s="432">
        <f>+IFERROR(VLOOKUP(E409,BD!$L$2:$Q$66,6,0),0)</f>
        <v>420</v>
      </c>
      <c r="I409" s="429">
        <f>IFERROR(G409*VLOOKUP($E409,BD!$L$2:$Q$66,5,0),0)</f>
        <v>352.8</v>
      </c>
      <c r="J409" s="3">
        <f t="shared" si="27"/>
        <v>2021</v>
      </c>
    </row>
    <row r="410" spans="1:10" s="9" customFormat="1" hidden="1" x14ac:dyDescent="0.25">
      <c r="A410" s="421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7">
        <v>252436</v>
      </c>
      <c r="F410" s="54" t="str">
        <f>IFERROR(VLOOKUP(E410,BD!$L$2:$Q$66,2,0),0)</f>
        <v>SAN LUIS SIN GAS PET 625MLX15 C/STICKER</v>
      </c>
      <c r="G410" s="409">
        <f>90*12</f>
        <v>1080</v>
      </c>
      <c r="H410" s="432">
        <f>+IFERROR(VLOOKUP(E410,BD!$L$2:$Q$66,6,0),0)</f>
        <v>90</v>
      </c>
      <c r="I410" s="96">
        <f>IFERROR(G410*VLOOKUP($E410,BD!$L$2:$Q$66,5,0),0)</f>
        <v>432</v>
      </c>
      <c r="J410" s="3">
        <f t="shared" si="27"/>
        <v>2021</v>
      </c>
    </row>
    <row r="411" spans="1:10" s="9" customFormat="1" hidden="1" x14ac:dyDescent="0.25">
      <c r="A411" s="421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7">
        <v>256488</v>
      </c>
      <c r="F411" s="54" t="str">
        <f>IFERROR(VLOOKUP(E411,BD!$L$2:$Q$66,2,0),0)</f>
        <v>INCA KOLA PET 3LX2 - RF</v>
      </c>
      <c r="G411" s="409">
        <f>120*12</f>
        <v>1440</v>
      </c>
      <c r="H411" s="432">
        <f>+IFERROR(VLOOKUP(E411,BD!$L$2:$Q$66,6,0),0)</f>
        <v>120</v>
      </c>
      <c r="I411" s="429">
        <f>IFERROR(G411*VLOOKUP($E411,BD!$L$2:$Q$66,5,0),0)</f>
        <v>244.8</v>
      </c>
      <c r="J411" s="3">
        <f t="shared" si="27"/>
        <v>2021</v>
      </c>
    </row>
    <row r="412" spans="1:10" s="9" customFormat="1" hidden="1" x14ac:dyDescent="0.25">
      <c r="A412" s="421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7">
        <v>256682</v>
      </c>
      <c r="F412" s="54" t="str">
        <f>IFERROR(VLOOKUP(E412,BD!$L$2:$Q$66,2,0),0)</f>
        <v>TRIPACK (FT NAR+SP)PET+IK RF PFM 3L</v>
      </c>
      <c r="G412" s="409">
        <f>90*5</f>
        <v>450</v>
      </c>
      <c r="H412" s="432">
        <f>+IFERROR(VLOOKUP(E412,BD!$L$2:$Q$66,6,0),0)</f>
        <v>90</v>
      </c>
      <c r="I412" s="429">
        <f>IFERROR(G412*VLOOKUP($E412,BD!$L$2:$Q$66,5,0),0)</f>
        <v>76.5</v>
      </c>
      <c r="J412" s="3">
        <f t="shared" si="27"/>
        <v>2021</v>
      </c>
    </row>
    <row r="413" spans="1:10" s="9" customFormat="1" hidden="1" x14ac:dyDescent="0.25">
      <c r="A413" s="421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7">
        <v>256549</v>
      </c>
      <c r="F413" s="54" t="str">
        <f>IFERROR(VLOOKUP(E413,BD!$L$2:$Q$66,2,0),0)</f>
        <v>TWO PACK IK PET 1.5LX2 - CRCG</v>
      </c>
      <c r="G413" s="409">
        <v>198</v>
      </c>
      <c r="H413" s="432">
        <f>+IFERROR(VLOOKUP(E413,BD!$L$2:$Q$66,6,0),0)</f>
        <v>198</v>
      </c>
      <c r="I413" s="96">
        <f>IFERROR(G413*VLOOKUP($E413,BD!$L$2:$Q$66,5,0),0)</f>
        <v>33.660000000000004</v>
      </c>
      <c r="J413" s="3">
        <f t="shared" si="27"/>
        <v>2021</v>
      </c>
    </row>
    <row r="414" spans="1:10" s="9" customFormat="1" hidden="1" x14ac:dyDescent="0.25">
      <c r="A414" s="421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7">
        <v>256666</v>
      </c>
      <c r="F414" s="54" t="str">
        <f>IFERROR(VLOOKUP(E414,BD!$L$2:$Q$66,2,0),0)</f>
        <v>COCA-COLA PET 2.25LX2 RF</v>
      </c>
      <c r="G414" s="409">
        <f>162*2</f>
        <v>324</v>
      </c>
      <c r="H414" s="432">
        <f>+IFERROR(VLOOKUP(E414,BD!$L$2:$Q$66,6,0),0)</f>
        <v>162</v>
      </c>
      <c r="I414" s="429">
        <f>IFERROR(G414*VLOOKUP($E414,BD!$L$2:$Q$66,5,0),0)</f>
        <v>55.080000000000005</v>
      </c>
      <c r="J414" s="3">
        <f t="shared" si="27"/>
        <v>2021</v>
      </c>
    </row>
    <row r="415" spans="1:10" s="9" customFormat="1" hidden="1" x14ac:dyDescent="0.25">
      <c r="A415" s="421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7">
        <v>256383</v>
      </c>
      <c r="F415" s="54" t="str">
        <f>IFERROR(VLOOKUP(E415,BD!$L$2:$Q$66,2,0),0)</f>
        <v>COCA COLA VR 1.5LX8 - STICKER</v>
      </c>
      <c r="G415" s="409">
        <f>30*2</f>
        <v>60</v>
      </c>
      <c r="H415" s="432">
        <f>+IFERROR(VLOOKUP(E415,BD!$L$2:$Q$66,6,0),0)</f>
        <v>30</v>
      </c>
      <c r="I415" s="429">
        <f>IFERROR(G415*VLOOKUP($E415,BD!$L$2:$Q$66,5,0),0)</f>
        <v>13.8</v>
      </c>
      <c r="J415" s="3">
        <f t="shared" si="27"/>
        <v>2021</v>
      </c>
    </row>
    <row r="416" spans="1:10" s="9" customFormat="1" hidden="1" x14ac:dyDescent="0.25">
      <c r="A416" s="421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7">
        <v>256382</v>
      </c>
      <c r="F416" s="54" t="str">
        <f>IFERROR(VLOOKUP(E416,BD!$L$2:$Q$66,2,0),0)</f>
        <v>COCA COLA VR 296MLX24 - STICKER</v>
      </c>
      <c r="G416" s="409">
        <f>40*2</f>
        <v>80</v>
      </c>
      <c r="H416" s="432">
        <f>+IFERROR(VLOOKUP(E416,BD!$L$2:$Q$66,6,0),0)</f>
        <v>40</v>
      </c>
      <c r="I416" s="429">
        <f>IFERROR(G416*VLOOKUP($E416,BD!$L$2:$Q$66,5,0),0)</f>
        <v>18.400000000000002</v>
      </c>
      <c r="J416" s="3">
        <f t="shared" si="27"/>
        <v>2021</v>
      </c>
    </row>
    <row r="417" spans="1:10" s="9" customFormat="1" hidden="1" x14ac:dyDescent="0.25">
      <c r="A417" s="421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7">
        <v>256380</v>
      </c>
      <c r="F417" s="54" t="str">
        <f>IFERROR(VLOOKUP(E417,BD!$L$2:$Q$66,2,0),0)</f>
        <v>INCA KOLA VR 296MLX24 - STICKER</v>
      </c>
      <c r="G417" s="409">
        <v>40</v>
      </c>
      <c r="H417" s="432">
        <f>+IFERROR(VLOOKUP(E417,BD!$L$2:$Q$66,6,0),0)</f>
        <v>40</v>
      </c>
      <c r="I417" s="96">
        <f>IFERROR(G417*VLOOKUP($E417,BD!$L$2:$Q$66,5,0),0)</f>
        <v>9.2000000000000011</v>
      </c>
      <c r="J417" s="3">
        <f t="shared" si="27"/>
        <v>2021</v>
      </c>
    </row>
    <row r="418" spans="1:10" s="9" customFormat="1" hidden="1" x14ac:dyDescent="0.25">
      <c r="A418" s="421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7">
        <v>256379</v>
      </c>
      <c r="F418" s="54" t="str">
        <f>IFERROR(VLOOKUP(E418,BD!$L$2:$Q$66,2,0),0)</f>
        <v>INCA KOLA VR 625MLX12 - STICKER</v>
      </c>
      <c r="G418" s="409">
        <f>50*4</f>
        <v>200</v>
      </c>
      <c r="H418" s="432">
        <f>+IFERROR(VLOOKUP(E418,BD!$L$2:$Q$66,6,0),0)</f>
        <v>50</v>
      </c>
      <c r="I418" s="429">
        <f>IFERROR(G418*VLOOKUP($E418,BD!$L$2:$Q$66,5,0),0)</f>
        <v>80</v>
      </c>
      <c r="J418" s="3">
        <f t="shared" si="27"/>
        <v>2021</v>
      </c>
    </row>
    <row r="419" spans="1:10" s="9" customFormat="1" hidden="1" x14ac:dyDescent="0.25">
      <c r="A419" s="421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7">
        <v>251429</v>
      </c>
      <c r="F419" s="54" t="str">
        <f>IFERROR(VLOOKUP(E419,BD!$L$2:$Q$66,2,0),0)</f>
        <v>SAN LUIS SIN GAS PET2500X6 STICKER</v>
      </c>
      <c r="G419" s="409">
        <f>48*7</f>
        <v>336</v>
      </c>
      <c r="H419" s="432">
        <f>+IFERROR(VLOOKUP(E419,BD!$L$2:$Q$66,6,0),0)</f>
        <v>48</v>
      </c>
      <c r="I419" s="429">
        <f>IFERROR(G419*VLOOKUP($E419,BD!$L$2:$Q$66,5,0),0)</f>
        <v>134.4</v>
      </c>
      <c r="J419" s="3">
        <f t="shared" si="27"/>
        <v>2021</v>
      </c>
    </row>
    <row r="420" spans="1:10" s="9" customFormat="1" hidden="1" x14ac:dyDescent="0.25">
      <c r="A420" s="421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7">
        <v>256708</v>
      </c>
      <c r="F420" s="54" t="str">
        <f>IFERROR(VLOOKUP(E420,BD!$L$2:$Q$66,2,0),0)</f>
        <v>POWERADE ION4 FRUTA PET473X6 MOD (STICK)</v>
      </c>
      <c r="G420" s="428">
        <f>225*3</f>
        <v>675</v>
      </c>
      <c r="H420" s="432">
        <f>+IFERROR(VLOOKUP(E420,BD!$L$2:$Q$66,6,0),0)</f>
        <v>225</v>
      </c>
      <c r="I420" s="96">
        <f>IFERROR(G420*VLOOKUP($E420,BD!$L$2:$Q$66,5,0),0)</f>
        <v>270</v>
      </c>
      <c r="J420" s="3">
        <f t="shared" si="27"/>
        <v>2021</v>
      </c>
    </row>
    <row r="421" spans="1:10" s="9" customFormat="1" hidden="1" x14ac:dyDescent="0.25">
      <c r="A421" s="421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7">
        <v>256709</v>
      </c>
      <c r="F421" s="54" t="str">
        <f>IFERROR(VLOOKUP(E421,BD!$L$2:$Q$66,2,0),0)</f>
        <v>POWERADE ION4 MORA AZ PET473X6 MOD(STCK)</v>
      </c>
      <c r="G421" s="409">
        <v>225</v>
      </c>
      <c r="H421" s="432">
        <f>+IFERROR(VLOOKUP(E421,BD!$L$2:$Q$66,6,0),0)</f>
        <v>225</v>
      </c>
      <c r="I421" s="429">
        <f>IFERROR(G421*VLOOKUP($E421,BD!$L$2:$Q$66,5,0),0)</f>
        <v>90</v>
      </c>
      <c r="J421" s="3">
        <f t="shared" si="27"/>
        <v>2021</v>
      </c>
    </row>
    <row r="422" spans="1:10" s="9" customFormat="1" hidden="1" x14ac:dyDescent="0.25">
      <c r="A422" s="421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7">
        <v>252436</v>
      </c>
      <c r="F422" s="54" t="str">
        <f>IFERROR(VLOOKUP(E422,BD!$L$2:$Q$66,2,0),0)</f>
        <v>SAN LUIS SIN GAS PET 625MLX15 C/STICKER</v>
      </c>
      <c r="G422" s="409">
        <f>90*8</f>
        <v>720</v>
      </c>
      <c r="H422" s="432">
        <f>+IFERROR(VLOOKUP(E422,BD!$L$2:$Q$66,6,0),0)</f>
        <v>90</v>
      </c>
      <c r="I422" s="429">
        <f>IFERROR(G422*VLOOKUP($E422,BD!$L$2:$Q$66,5,0),0)</f>
        <v>288</v>
      </c>
      <c r="J422" s="3">
        <f t="shared" si="27"/>
        <v>2021</v>
      </c>
    </row>
    <row r="423" spans="1:10" s="9" customFormat="1" hidden="1" x14ac:dyDescent="0.25">
      <c r="A423" s="421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7">
        <v>251406</v>
      </c>
      <c r="F423" s="54" t="str">
        <f>IFERROR(VLOOKUP(E423,BD!$L$2:$Q$66,2,0),0)</f>
        <v>COCA-COLA SIN AZUCAR PET 1.5LX2</v>
      </c>
      <c r="G423" s="428">
        <f>198*11</f>
        <v>2178</v>
      </c>
      <c r="H423" s="432">
        <f>+IFERROR(VLOOKUP(E423,BD!$L$2:$Q$66,6,0),0)</f>
        <v>198</v>
      </c>
      <c r="I423" s="429">
        <f>IFERROR(G423*VLOOKUP($E423,BD!$L$2:$Q$66,5,0),0)</f>
        <v>370.26000000000005</v>
      </c>
      <c r="J423" s="3">
        <f t="shared" si="27"/>
        <v>2021</v>
      </c>
    </row>
    <row r="424" spans="1:10" s="9" customFormat="1" hidden="1" x14ac:dyDescent="0.25">
      <c r="A424" s="421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7">
        <v>254853</v>
      </c>
      <c r="F424" s="54" t="str">
        <f>IFERROR(VLOOKUP(E424,BD!$L$2:$Q$66,2,0),0)</f>
        <v>INCA KOLA SIN AZUCAR PET 1.5LX2</v>
      </c>
      <c r="G424" s="409">
        <f>198*9</f>
        <v>1782</v>
      </c>
      <c r="H424" s="432">
        <f>+IFERROR(VLOOKUP(E424,BD!$L$2:$Q$66,6,0),0)</f>
        <v>198</v>
      </c>
      <c r="I424" s="429">
        <f>IFERROR(G424*VLOOKUP($E424,BD!$L$2:$Q$66,5,0),0)</f>
        <v>302.94</v>
      </c>
      <c r="J424" s="3">
        <f t="shared" si="27"/>
        <v>2021</v>
      </c>
    </row>
    <row r="425" spans="1:10" s="9" customFormat="1" hidden="1" x14ac:dyDescent="0.25">
      <c r="A425" s="421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7">
        <v>256617</v>
      </c>
      <c r="F425" s="54" t="str">
        <f>IFERROR(VLOOKUP(E425,BD!$L$2:$Q$66,2,0),0)</f>
        <v>TWO PACK SCHWEPPES GINGER ALE PET 1.5LX2</v>
      </c>
      <c r="G425" s="409">
        <v>198</v>
      </c>
      <c r="H425" s="432">
        <f>+IFERROR(VLOOKUP(E425,BD!$L$2:$Q$66,6,0),0)</f>
        <v>198</v>
      </c>
      <c r="I425" s="96">
        <f>IFERROR(G425*VLOOKUP($E425,BD!$L$2:$Q$66,5,0),0)</f>
        <v>33.660000000000004</v>
      </c>
      <c r="J425" s="3">
        <f t="shared" si="27"/>
        <v>2021</v>
      </c>
    </row>
    <row r="426" spans="1:10" s="9" customFormat="1" hidden="1" x14ac:dyDescent="0.25">
      <c r="A426" s="421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7">
        <v>256488</v>
      </c>
      <c r="F426" s="54" t="str">
        <f>IFERROR(VLOOKUP(E426,BD!$L$2:$Q$66,2,0),0)</f>
        <v>INCA KOLA PET 3LX2 - RF</v>
      </c>
      <c r="G426" s="409">
        <f>120*2</f>
        <v>240</v>
      </c>
      <c r="H426" s="432">
        <f>+IFERROR(VLOOKUP(E426,BD!$L$2:$Q$66,6,0),0)</f>
        <v>120</v>
      </c>
      <c r="I426" s="429">
        <f>IFERROR(G426*VLOOKUP($E426,BD!$L$2:$Q$66,5,0),0)</f>
        <v>40.800000000000004</v>
      </c>
      <c r="J426" s="3">
        <f t="shared" si="27"/>
        <v>2021</v>
      </c>
    </row>
    <row r="427" spans="1:10" s="9" customFormat="1" hidden="1" x14ac:dyDescent="0.25">
      <c r="A427" s="421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7">
        <v>256676</v>
      </c>
      <c r="F427" s="54" t="str">
        <f>IFERROR(VLOOKUP(E427,BD!$L$2:$Q$66,2,0),0)</f>
        <v>TWO PACK CC PFM 3LX2 - RFCC</v>
      </c>
      <c r="G427" s="409">
        <f>120*2</f>
        <v>240</v>
      </c>
      <c r="H427" s="432">
        <f>+IFERROR(VLOOKUP(E427,BD!$L$2:$Q$66,6,0),0)</f>
        <v>120</v>
      </c>
      <c r="I427" s="429">
        <f>IFERROR(G427*VLOOKUP($E427,BD!$L$2:$Q$66,5,0),0)</f>
        <v>40.800000000000004</v>
      </c>
      <c r="J427" s="3">
        <f t="shared" si="27"/>
        <v>2021</v>
      </c>
    </row>
    <row r="428" spans="1:10" s="9" customFormat="1" hidden="1" x14ac:dyDescent="0.25">
      <c r="A428" s="421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7">
        <v>256674</v>
      </c>
      <c r="F428" s="54" t="str">
        <f>IFERROR(VLOOKUP(E428,BD!$L$2:$Q$66,2,0),0)</f>
        <v>COCA-COLA PET 1.5LX2 RF</v>
      </c>
      <c r="G428" s="409">
        <f>198*9</f>
        <v>1782</v>
      </c>
      <c r="H428" s="432">
        <f>+IFERROR(VLOOKUP(E428,BD!$L$2:$Q$66,6,0),0)</f>
        <v>198</v>
      </c>
      <c r="I428" s="96">
        <f>IFERROR(G428*VLOOKUP($E428,BD!$L$2:$Q$66,5,0),0)</f>
        <v>302.94</v>
      </c>
      <c r="J428" s="3">
        <f t="shared" si="27"/>
        <v>2021</v>
      </c>
    </row>
    <row r="429" spans="1:10" s="9" customFormat="1" hidden="1" x14ac:dyDescent="0.25">
      <c r="A429" s="421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7">
        <v>256675</v>
      </c>
      <c r="F429" s="54" t="str">
        <f>IFERROR(VLOOKUP(E429,BD!$L$2:$Q$66,2,0),0)</f>
        <v>INCA KOLA PET 1.5LX2 RF</v>
      </c>
      <c r="G429" s="409">
        <f>198*4</f>
        <v>792</v>
      </c>
      <c r="H429" s="432">
        <f>+IFERROR(VLOOKUP(E429,BD!$L$2:$Q$66,6,0),0)</f>
        <v>198</v>
      </c>
      <c r="I429" s="429">
        <f>IFERROR(G429*VLOOKUP($E429,BD!$L$2:$Q$66,5,0),0)</f>
        <v>134.64000000000001</v>
      </c>
      <c r="J429" s="3">
        <f t="shared" si="27"/>
        <v>2021</v>
      </c>
    </row>
    <row r="430" spans="1:10" s="9" customFormat="1" hidden="1" x14ac:dyDescent="0.25">
      <c r="A430" s="421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7">
        <v>256677</v>
      </c>
      <c r="F430" s="54" t="str">
        <f>IFERROR(VLOOKUP(E430,BD!$L$2:$Q$66,2,0),0)</f>
        <v>TWO PACK CC + IK PFM 3LX2 - RFNN</v>
      </c>
      <c r="G430" s="409">
        <f>120*32</f>
        <v>3840</v>
      </c>
      <c r="H430" s="432">
        <f>+IFERROR(VLOOKUP(E430,BD!$L$2:$Q$66,6,0),0)</f>
        <v>120</v>
      </c>
      <c r="I430" s="429">
        <f>IFERROR(G430*VLOOKUP($E430,BD!$L$2:$Q$66,5,0),0)</f>
        <v>652.80000000000007</v>
      </c>
      <c r="J430" s="3">
        <f t="shared" si="27"/>
        <v>2021</v>
      </c>
    </row>
    <row r="431" spans="1:10" s="9" customFormat="1" hidden="1" x14ac:dyDescent="0.25">
      <c r="A431" s="421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7">
        <v>256674</v>
      </c>
      <c r="F431" s="54" t="str">
        <f>IFERROR(VLOOKUP(E431,BD!$L$2:$Q$66,2,0),0)</f>
        <v>COCA-COLA PET 1.5LX2 RF</v>
      </c>
      <c r="G431" s="409">
        <f>90*8</f>
        <v>720</v>
      </c>
      <c r="H431" s="432">
        <f>+IFERROR(VLOOKUP(E431,BD!$L$2:$Q$66,6,0),0)</f>
        <v>198</v>
      </c>
      <c r="I431" s="96">
        <f>IFERROR(G431*VLOOKUP($E431,BD!$L$2:$Q$66,5,0),0)</f>
        <v>122.4</v>
      </c>
      <c r="J431" s="3">
        <f t="shared" si="27"/>
        <v>2021</v>
      </c>
    </row>
    <row r="432" spans="1:10" s="9" customFormat="1" hidden="1" x14ac:dyDescent="0.25">
      <c r="A432" s="421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7">
        <v>256678</v>
      </c>
      <c r="F432" s="54" t="str">
        <f>IFERROR(VLOOKUP(E432,BD!$L$2:$Q$66,2,0),0)</f>
        <v>TRIPACK (CC+IK)PFM+FT PET 3LX3 - RFNN</v>
      </c>
      <c r="G432" s="409">
        <f>90*32</f>
        <v>2880</v>
      </c>
      <c r="H432" s="432">
        <f>+IFERROR(VLOOKUP(E432,BD!$L$2:$Q$66,6,0),0)</f>
        <v>90</v>
      </c>
      <c r="I432" s="429">
        <f>IFERROR(G432*VLOOKUP($E432,BD!$L$2:$Q$66,5,0),0)</f>
        <v>489.6</v>
      </c>
      <c r="J432" s="3">
        <f t="shared" si="27"/>
        <v>2021</v>
      </c>
    </row>
    <row r="433" spans="1:10" s="9" customFormat="1" hidden="1" x14ac:dyDescent="0.25">
      <c r="A433" s="421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7">
        <v>751315</v>
      </c>
      <c r="F433" s="54" t="str">
        <f>IFERROR(VLOOKUP(E433,BD!$L$2:$Q$66,2,0),0)</f>
        <v>MONSTER ENERGY 473MLX4</v>
      </c>
      <c r="G433" s="409">
        <f>420*5</f>
        <v>2100</v>
      </c>
      <c r="H433" s="432">
        <f>+IFERROR(VLOOKUP(E433,BD!$L$2:$Q$66,6,0),0)</f>
        <v>420</v>
      </c>
      <c r="I433" s="429">
        <f>IFERROR(G433*VLOOKUP($E433,BD!$L$2:$Q$66,5,0),0)</f>
        <v>882</v>
      </c>
      <c r="J433" s="3">
        <f t="shared" si="27"/>
        <v>2021</v>
      </c>
    </row>
    <row r="434" spans="1:10" s="9" customFormat="1" hidden="1" x14ac:dyDescent="0.25">
      <c r="A434" s="421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7">
        <v>751468</v>
      </c>
      <c r="F434" s="54" t="str">
        <f>IFERROR(VLOOKUP(E434,BD!$L$2:$Q$66,2,0),0)</f>
        <v>MONSTER ENERGY ULTRA 473MLX4</v>
      </c>
      <c r="G434" s="409">
        <f>420*2</f>
        <v>840</v>
      </c>
      <c r="H434" s="432">
        <f>+IFERROR(VLOOKUP(E434,BD!$L$2:$Q$66,6,0),0)</f>
        <v>420</v>
      </c>
      <c r="I434" s="96">
        <f>IFERROR(G434*VLOOKUP($E434,BD!$L$2:$Q$66,5,0),0)</f>
        <v>352.8</v>
      </c>
      <c r="J434" s="3">
        <f t="shared" si="27"/>
        <v>2021</v>
      </c>
    </row>
    <row r="435" spans="1:10" s="9" customFormat="1" hidden="1" x14ac:dyDescent="0.25">
      <c r="A435" s="421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7">
        <v>256695</v>
      </c>
      <c r="F435" s="54" t="str">
        <f>IFERROR(VLOOKUP(E435,BD!$L$2:$Q$66,2,0),0)</f>
        <v>POWERADE 3MORA+3FRUT PET 473MLX6</v>
      </c>
      <c r="G435" s="409">
        <f>225*4</f>
        <v>900</v>
      </c>
      <c r="H435" s="432">
        <f>+IFERROR(VLOOKUP(E435,BD!$L$2:$Q$66,6,0),0)</f>
        <v>225</v>
      </c>
      <c r="I435" s="429">
        <f>IFERROR(G435*VLOOKUP($E435,BD!$L$2:$Q$66,5,0),0)</f>
        <v>378</v>
      </c>
      <c r="J435" s="3">
        <f t="shared" si="27"/>
        <v>2021</v>
      </c>
    </row>
    <row r="436" spans="1:10" s="9" customFormat="1" hidden="1" x14ac:dyDescent="0.25">
      <c r="A436" s="421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7">
        <v>251632</v>
      </c>
      <c r="F436" s="54" t="str">
        <f>IFERROR(VLOOKUP(E436,BD!$L$2:$Q$66,2,0),0)</f>
        <v>SAN LUIS SIN GAS PET 625MLX06 MOD</v>
      </c>
      <c r="G436" s="409">
        <f>180*6</f>
        <v>1080</v>
      </c>
      <c r="H436" s="432">
        <f>+IFERROR(VLOOKUP(E436,BD!$L$2:$Q$66,6,0),0)</f>
        <v>180</v>
      </c>
      <c r="I436" s="429">
        <f>IFERROR(G436*VLOOKUP($E436,BD!$L$2:$Q$66,5,0),0)</f>
        <v>453.59999999999997</v>
      </c>
      <c r="J436" s="3">
        <f t="shared" si="27"/>
        <v>2021</v>
      </c>
    </row>
    <row r="437" spans="1:10" s="9" customFormat="1" hidden="1" x14ac:dyDescent="0.25">
      <c r="A437" s="421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7">
        <v>256383</v>
      </c>
      <c r="F437" s="54" t="str">
        <f>IFERROR(VLOOKUP(E437,BD!$L$2:$Q$66,2,0),0)</f>
        <v>COCA COLA VR 1.5LX8 - STICKER</v>
      </c>
      <c r="G437" s="409">
        <v>90</v>
      </c>
      <c r="H437" s="432">
        <f>+IFERROR(VLOOKUP(E437,BD!$L$2:$Q$66,6,0),0)</f>
        <v>30</v>
      </c>
      <c r="I437" s="96">
        <f>IFERROR(G437*VLOOKUP($E437,BD!$L$2:$Q$66,5,0),0)</f>
        <v>20.7</v>
      </c>
      <c r="J437" s="3">
        <f t="shared" si="27"/>
        <v>2021</v>
      </c>
    </row>
    <row r="438" spans="1:10" s="9" customFormat="1" hidden="1" x14ac:dyDescent="0.25">
      <c r="A438" s="421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7">
        <v>256379</v>
      </c>
      <c r="F438" s="54" t="str">
        <f>IFERROR(VLOOKUP(E438,BD!$L$2:$Q$66,2,0),0)</f>
        <v>INCA KOLA VR 625MLX12 - STICKER</v>
      </c>
      <c r="G438" s="409">
        <f>50*5</f>
        <v>250</v>
      </c>
      <c r="H438" s="432">
        <f>+IFERROR(VLOOKUP(E438,BD!$L$2:$Q$66,6,0),0)</f>
        <v>50</v>
      </c>
      <c r="I438" s="429">
        <f>IFERROR(G438*VLOOKUP($E438,BD!$L$2:$Q$66,5,0),0)</f>
        <v>100</v>
      </c>
      <c r="J438" s="3">
        <f t="shared" si="27"/>
        <v>2021</v>
      </c>
    </row>
    <row r="439" spans="1:10" s="9" customFormat="1" hidden="1" x14ac:dyDescent="0.25">
      <c r="A439" s="421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7">
        <v>251429</v>
      </c>
      <c r="F439" s="54" t="str">
        <f>IFERROR(VLOOKUP(E439,BD!$L$2:$Q$66,2,0),0)</f>
        <v>SAN LUIS SIN GAS PET2500X6 STICKER</v>
      </c>
      <c r="G439" s="409">
        <f>48*8</f>
        <v>384</v>
      </c>
      <c r="H439" s="432">
        <f>+IFERROR(VLOOKUP(E439,BD!$L$2:$Q$66,6,0),0)</f>
        <v>48</v>
      </c>
      <c r="I439" s="429">
        <f>IFERROR(G439*VLOOKUP($E439,BD!$L$2:$Q$66,5,0),0)</f>
        <v>153.60000000000002</v>
      </c>
      <c r="J439" s="3">
        <f t="shared" si="27"/>
        <v>2021</v>
      </c>
    </row>
    <row r="440" spans="1:10" s="9" customFormat="1" hidden="1" x14ac:dyDescent="0.25">
      <c r="A440" s="421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7">
        <v>256708</v>
      </c>
      <c r="F440" s="54" t="str">
        <f>IFERROR(VLOOKUP(E440,BD!$L$2:$Q$66,2,0),0)</f>
        <v>POWERADE ION4 FRUTA PET473X6 MOD (STICK)</v>
      </c>
      <c r="G440" s="409">
        <v>225</v>
      </c>
      <c r="H440" s="432">
        <f>+IFERROR(VLOOKUP(E440,BD!$L$2:$Q$66,6,0),0)</f>
        <v>225</v>
      </c>
      <c r="I440" s="96">
        <f>IFERROR(G440*VLOOKUP($E440,BD!$L$2:$Q$66,5,0),0)</f>
        <v>90</v>
      </c>
      <c r="J440" s="3">
        <f t="shared" si="27"/>
        <v>2021</v>
      </c>
    </row>
    <row r="441" spans="1:10" s="9" customFormat="1" hidden="1" x14ac:dyDescent="0.25">
      <c r="A441" s="421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7">
        <v>256709</v>
      </c>
      <c r="F441" s="54" t="str">
        <f>IFERROR(VLOOKUP(E441,BD!$L$2:$Q$66,2,0),0)</f>
        <v>POWERADE ION4 MORA AZ PET473X6 MOD(STCK)</v>
      </c>
      <c r="G441" s="409">
        <f>225*2</f>
        <v>450</v>
      </c>
      <c r="H441" s="432">
        <f>+IFERROR(VLOOKUP(E441,BD!$L$2:$Q$66,6,0),0)</f>
        <v>225</v>
      </c>
      <c r="I441" s="429">
        <f>IFERROR(G441*VLOOKUP($E441,BD!$L$2:$Q$66,5,0),0)</f>
        <v>180</v>
      </c>
      <c r="J441" s="3">
        <f t="shared" si="27"/>
        <v>2021</v>
      </c>
    </row>
    <row r="442" spans="1:10" s="9" customFormat="1" hidden="1" x14ac:dyDescent="0.25">
      <c r="A442" s="421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7">
        <v>251633</v>
      </c>
      <c r="F442" s="54" t="str">
        <f>IFERROR(VLOOKUP(E442,BD!$L$2:$Q$66,2,0),0)</f>
        <v>SAN LUIS CON GAS PET 625MLX6</v>
      </c>
      <c r="G442" s="409">
        <f>180*2</f>
        <v>360</v>
      </c>
      <c r="H442" s="432">
        <f>+IFERROR(VLOOKUP(E442,BD!$L$2:$Q$66,6,0),0)</f>
        <v>180</v>
      </c>
      <c r="I442" s="429">
        <f>IFERROR(G442*VLOOKUP($E442,BD!$L$2:$Q$66,5,0),0)</f>
        <v>151.19999999999999</v>
      </c>
      <c r="J442" s="3">
        <f t="shared" si="27"/>
        <v>2021</v>
      </c>
    </row>
    <row r="443" spans="1:10" s="9" customFormat="1" hidden="1" x14ac:dyDescent="0.25">
      <c r="A443" s="421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7">
        <v>251406</v>
      </c>
      <c r="F443" s="54" t="str">
        <f>IFERROR(VLOOKUP(E443,BD!$L$2:$Q$66,2,0),0)</f>
        <v>COCA-COLA SIN AZUCAR PET 1.5LX2</v>
      </c>
      <c r="G443" s="409">
        <f>198*5</f>
        <v>990</v>
      </c>
      <c r="H443" s="432">
        <f>+IFERROR(VLOOKUP(E443,BD!$L$2:$Q$66,6,0),0)</f>
        <v>198</v>
      </c>
      <c r="I443" s="96">
        <f>IFERROR(G443*VLOOKUP($E443,BD!$L$2:$Q$66,5,0),0)</f>
        <v>168.3</v>
      </c>
      <c r="J443" s="3">
        <f t="shared" si="27"/>
        <v>2021</v>
      </c>
    </row>
    <row r="444" spans="1:10" s="9" customFormat="1" hidden="1" x14ac:dyDescent="0.25">
      <c r="A444" s="421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7">
        <v>254853</v>
      </c>
      <c r="F444" s="54" t="str">
        <f>IFERROR(VLOOKUP(E444,BD!$L$2:$Q$66,2,0),0)</f>
        <v>INCA KOLA SIN AZUCAR PET 1.5LX2</v>
      </c>
      <c r="G444" s="409">
        <f>198*4</f>
        <v>792</v>
      </c>
      <c r="H444" s="432">
        <f>+IFERROR(VLOOKUP(E444,BD!$L$2:$Q$66,6,0),0)</f>
        <v>198</v>
      </c>
      <c r="I444" s="429">
        <f>IFERROR(G444*VLOOKUP($E444,BD!$L$2:$Q$66,5,0),0)</f>
        <v>134.64000000000001</v>
      </c>
      <c r="J444" s="3">
        <f t="shared" si="27"/>
        <v>2021</v>
      </c>
    </row>
    <row r="445" spans="1:10" s="9" customFormat="1" hidden="1" x14ac:dyDescent="0.25">
      <c r="A445" s="421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7">
        <v>256617</v>
      </c>
      <c r="F445" s="54" t="str">
        <f>IFERROR(VLOOKUP(E445,BD!$L$2:$Q$66,2,0),0)</f>
        <v>TWO PACK SCHWEPPES GINGER ALE PET 1.5LX2</v>
      </c>
      <c r="G445" s="409">
        <v>198</v>
      </c>
      <c r="H445" s="432">
        <f>+IFERROR(VLOOKUP(E445,BD!$L$2:$Q$66,6,0),0)</f>
        <v>198</v>
      </c>
      <c r="I445" s="429">
        <f>IFERROR(G445*VLOOKUP($E445,BD!$L$2:$Q$66,5,0),0)</f>
        <v>33.660000000000004</v>
      </c>
      <c r="J445" s="3">
        <f t="shared" si="27"/>
        <v>2021</v>
      </c>
    </row>
    <row r="446" spans="1:10" s="9" customFormat="1" hidden="1" x14ac:dyDescent="0.25">
      <c r="A446" s="421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7">
        <v>256666</v>
      </c>
      <c r="F446" s="54" t="str">
        <f>IFERROR(VLOOKUP(E446,BD!$L$2:$Q$66,2,0),0)</f>
        <v>COCA-COLA PET 2.25LX2 RF</v>
      </c>
      <c r="G446" s="409">
        <v>162</v>
      </c>
      <c r="H446" s="432">
        <f>+IFERROR(VLOOKUP(E446,BD!$L$2:$Q$66,6,0),0)</f>
        <v>162</v>
      </c>
      <c r="I446" s="96">
        <f>IFERROR(G446*VLOOKUP($E446,BD!$L$2:$Q$66,5,0),0)</f>
        <v>27.540000000000003</v>
      </c>
      <c r="J446" s="3">
        <f t="shared" si="27"/>
        <v>2021</v>
      </c>
    </row>
    <row r="447" spans="1:10" s="9" customFormat="1" hidden="1" x14ac:dyDescent="0.25">
      <c r="A447" s="421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7">
        <v>256488</v>
      </c>
      <c r="F447" s="54" t="str">
        <f>IFERROR(VLOOKUP(E447,BD!$L$2:$Q$66,2,0),0)</f>
        <v>INCA KOLA PET 3LX2 - RF</v>
      </c>
      <c r="G447" s="409">
        <f>120*17</f>
        <v>2040</v>
      </c>
      <c r="H447" s="432">
        <f>+IFERROR(VLOOKUP(E447,BD!$L$2:$Q$66,6,0),0)</f>
        <v>120</v>
      </c>
      <c r="I447" s="429">
        <f>IFERROR(G447*VLOOKUP($E447,BD!$L$2:$Q$66,5,0),0)</f>
        <v>346.8</v>
      </c>
      <c r="J447" s="3">
        <f t="shared" si="27"/>
        <v>2021</v>
      </c>
    </row>
    <row r="448" spans="1:10" s="9" customFormat="1" hidden="1" x14ac:dyDescent="0.25">
      <c r="A448" s="421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7">
        <v>256676</v>
      </c>
      <c r="F448" s="54" t="str">
        <f>IFERROR(VLOOKUP(E448,BD!$L$2:$Q$66,2,0),0)</f>
        <v>TWO PACK CC PFM 3LX2 - RFCC</v>
      </c>
      <c r="G448" s="409">
        <f>120*4</f>
        <v>480</v>
      </c>
      <c r="H448" s="432">
        <f>+IFERROR(VLOOKUP(E448,BD!$L$2:$Q$66,6,0),0)</f>
        <v>120</v>
      </c>
      <c r="I448" s="429">
        <f>IFERROR(G448*VLOOKUP($E448,BD!$L$2:$Q$66,5,0),0)</f>
        <v>81.600000000000009</v>
      </c>
      <c r="J448" s="3">
        <f t="shared" si="27"/>
        <v>2021</v>
      </c>
    </row>
    <row r="449" spans="1:10" s="9" customFormat="1" hidden="1" x14ac:dyDescent="0.25">
      <c r="A449" s="421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7">
        <v>256674</v>
      </c>
      <c r="F449" s="54" t="str">
        <f>IFERROR(VLOOKUP(E449,BD!$L$2:$Q$66,2,0),0)</f>
        <v>COCA-COLA PET 1.5LX2 RF</v>
      </c>
      <c r="G449" s="409">
        <f>198*11</f>
        <v>2178</v>
      </c>
      <c r="H449" s="432">
        <f>+IFERROR(VLOOKUP(E449,BD!$L$2:$Q$66,6,0),0)</f>
        <v>198</v>
      </c>
      <c r="I449" s="96">
        <f>IFERROR(G449*VLOOKUP($E449,BD!$L$2:$Q$66,5,0),0)</f>
        <v>370.26000000000005</v>
      </c>
      <c r="J449" s="3">
        <f t="shared" si="27"/>
        <v>2021</v>
      </c>
    </row>
    <row r="450" spans="1:10" s="9" customFormat="1" hidden="1" x14ac:dyDescent="0.25">
      <c r="A450" s="421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7">
        <v>256675</v>
      </c>
      <c r="F450" s="54" t="str">
        <f>IFERROR(VLOOKUP(E450,BD!$L$2:$Q$66,2,0),0)</f>
        <v>INCA KOLA PET 1.5LX2 RF</v>
      </c>
      <c r="G450" s="409">
        <f>198*12</f>
        <v>2376</v>
      </c>
      <c r="H450" s="432">
        <f>+IFERROR(VLOOKUP(E450,BD!$L$2:$Q$66,6,0),0)</f>
        <v>198</v>
      </c>
      <c r="I450" s="429">
        <f>IFERROR(G450*VLOOKUP($E450,BD!$L$2:$Q$66,5,0),0)</f>
        <v>403.92</v>
      </c>
      <c r="J450" s="3">
        <f t="shared" si="27"/>
        <v>2021</v>
      </c>
    </row>
    <row r="451" spans="1:10" s="9" customFormat="1" hidden="1" x14ac:dyDescent="0.25">
      <c r="A451" s="421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7">
        <v>256652</v>
      </c>
      <c r="F451" s="54" t="str">
        <f>IFERROR(VLOOKUP(E451,BD!$L$2:$Q$66,2,0),0)</f>
        <v>TRIPACK FT NAR+FT KI+SP PET 3L</v>
      </c>
      <c r="G451" s="409">
        <f>90*10</f>
        <v>900</v>
      </c>
      <c r="H451" s="432">
        <f>+IFERROR(VLOOKUP(E451,BD!$L$2:$Q$66,6,0),0)</f>
        <v>90</v>
      </c>
      <c r="I451" s="429">
        <f>IFERROR(G451*VLOOKUP($E451,BD!$L$2:$Q$66,5,0),0)</f>
        <v>153</v>
      </c>
      <c r="J451" s="3">
        <f t="shared" si="27"/>
        <v>2021</v>
      </c>
    </row>
    <row r="452" spans="1:10" s="9" customFormat="1" hidden="1" x14ac:dyDescent="0.25">
      <c r="A452" s="421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7">
        <v>256677</v>
      </c>
      <c r="F452" s="54" t="str">
        <f>IFERROR(VLOOKUP(E452,BD!$L$2:$Q$66,2,0),0)</f>
        <v>TWO PACK CC + IK PFM 3LX2 - RFNN</v>
      </c>
      <c r="G452" s="409">
        <f>120*30</f>
        <v>3600</v>
      </c>
      <c r="H452" s="432">
        <f>+IFERROR(VLOOKUP(E452,BD!$L$2:$Q$66,6,0),0)</f>
        <v>120</v>
      </c>
      <c r="I452" s="96">
        <f>IFERROR(G452*VLOOKUP($E452,BD!$L$2:$Q$66,5,0),0)</f>
        <v>612</v>
      </c>
      <c r="J452" s="3">
        <f t="shared" ref="J452:J515" si="31">+YEAR(A452)</f>
        <v>2021</v>
      </c>
    </row>
    <row r="453" spans="1:10" s="9" customFormat="1" hidden="1" x14ac:dyDescent="0.25">
      <c r="A453" s="421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7">
        <v>256678</v>
      </c>
      <c r="F453" s="54" t="str">
        <f>IFERROR(VLOOKUP(E453,BD!$L$2:$Q$66,2,0),0)</f>
        <v>TRIPACK (CC+IK)PFM+FT PET 3LX3 - RFNN</v>
      </c>
      <c r="G453" s="409">
        <f>90*24</f>
        <v>2160</v>
      </c>
      <c r="H453" s="432">
        <f>+IFERROR(VLOOKUP(E453,BD!$L$2:$Q$66,6,0),0)</f>
        <v>90</v>
      </c>
      <c r="I453" s="429">
        <f>IFERROR(G453*VLOOKUP($E453,BD!$L$2:$Q$66,5,0),0)</f>
        <v>367.20000000000005</v>
      </c>
      <c r="J453" s="3">
        <f t="shared" si="31"/>
        <v>2021</v>
      </c>
    </row>
    <row r="454" spans="1:10" s="9" customFormat="1" hidden="1" x14ac:dyDescent="0.25">
      <c r="A454" s="421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7">
        <v>751315</v>
      </c>
      <c r="F454" s="54" t="str">
        <f>IFERROR(VLOOKUP(E454,BD!$L$2:$Q$66,2,0),0)</f>
        <v>MONSTER ENERGY 473MLX4</v>
      </c>
      <c r="G454" s="409">
        <v>420</v>
      </c>
      <c r="H454" s="432">
        <f>+IFERROR(VLOOKUP(E454,BD!$L$2:$Q$66,6,0),0)</f>
        <v>420</v>
      </c>
      <c r="I454" s="429">
        <f>IFERROR(G454*VLOOKUP($E454,BD!$L$2:$Q$66,5,0),0)</f>
        <v>176.4</v>
      </c>
      <c r="J454" s="3">
        <f t="shared" si="31"/>
        <v>2021</v>
      </c>
    </row>
    <row r="455" spans="1:10" s="9" customFormat="1" hidden="1" x14ac:dyDescent="0.25">
      <c r="A455" s="421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7">
        <v>251633</v>
      </c>
      <c r="F455" s="54" t="str">
        <f>IFERROR(VLOOKUP(E455,BD!$L$2:$Q$66,2,0),0)</f>
        <v>SAN LUIS CON GAS PET 625MLX6</v>
      </c>
      <c r="G455" s="409">
        <f>180*4</f>
        <v>720</v>
      </c>
      <c r="H455" s="432">
        <f>+IFERROR(VLOOKUP(E455,BD!$L$2:$Q$66,6,0),0)</f>
        <v>180</v>
      </c>
      <c r="I455" s="96">
        <f>IFERROR(G455*VLOOKUP($E455,BD!$L$2:$Q$66,5,0),0)</f>
        <v>302.39999999999998</v>
      </c>
      <c r="J455" s="3">
        <f t="shared" si="31"/>
        <v>2021</v>
      </c>
    </row>
    <row r="456" spans="1:10" s="9" customFormat="1" hidden="1" x14ac:dyDescent="0.25">
      <c r="A456" s="421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7">
        <v>256383</v>
      </c>
      <c r="F456" s="54" t="str">
        <f>IFERROR(VLOOKUP(E456,BD!$L$2:$Q$66,2,0),0)</f>
        <v>COCA COLA VR 1.5LX8 - STICKER</v>
      </c>
      <c r="G456" s="409">
        <v>30</v>
      </c>
      <c r="H456" s="432">
        <f>+IFERROR(VLOOKUP(E456,BD!$L$2:$Q$66,6,0),0)</f>
        <v>30</v>
      </c>
      <c r="I456" s="429">
        <f>IFERROR(G456*VLOOKUP($E456,BD!$L$2:$Q$66,5,0),0)</f>
        <v>6.9</v>
      </c>
      <c r="J456" s="3">
        <f t="shared" si="31"/>
        <v>2021</v>
      </c>
    </row>
    <row r="457" spans="1:10" s="9" customFormat="1" hidden="1" x14ac:dyDescent="0.25">
      <c r="A457" s="421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7">
        <v>256380</v>
      </c>
      <c r="F457" s="54" t="str">
        <f>IFERROR(VLOOKUP(E457,BD!$L$2:$Q$66,2,0),0)</f>
        <v>INCA KOLA VR 296MLX24 - STICKER</v>
      </c>
      <c r="G457" s="409">
        <v>80</v>
      </c>
      <c r="H457" s="432">
        <f>+IFERROR(VLOOKUP(E457,BD!$L$2:$Q$66,6,0),0)</f>
        <v>40</v>
      </c>
      <c r="I457" s="429">
        <f>IFERROR(G457*VLOOKUP($E457,BD!$L$2:$Q$66,5,0),0)</f>
        <v>18.400000000000002</v>
      </c>
      <c r="J457" s="3">
        <f t="shared" si="31"/>
        <v>2021</v>
      </c>
    </row>
    <row r="458" spans="1:10" s="9" customFormat="1" hidden="1" x14ac:dyDescent="0.25">
      <c r="A458" s="421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7">
        <v>256379</v>
      </c>
      <c r="F458" s="54" t="str">
        <f>IFERROR(VLOOKUP(E458,BD!$L$2:$Q$66,2,0),0)</f>
        <v>INCA KOLA VR 625MLX12 - STICKER</v>
      </c>
      <c r="G458" s="409">
        <v>50</v>
      </c>
      <c r="H458" s="432">
        <f>+IFERROR(VLOOKUP(E458,BD!$L$2:$Q$66,6,0),0)</f>
        <v>50</v>
      </c>
      <c r="I458" s="96">
        <f>IFERROR(G458*VLOOKUP($E458,BD!$L$2:$Q$66,5,0),0)</f>
        <v>20</v>
      </c>
      <c r="J458" s="3">
        <f t="shared" si="31"/>
        <v>2021</v>
      </c>
    </row>
    <row r="459" spans="1:10" s="9" customFormat="1" hidden="1" x14ac:dyDescent="0.25">
      <c r="A459" s="421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7">
        <v>251429</v>
      </c>
      <c r="F459" s="54" t="str">
        <f>IFERROR(VLOOKUP(E459,BD!$L$2:$Q$66,2,0),0)</f>
        <v>SAN LUIS SIN GAS PET2500X6 STICKER</v>
      </c>
      <c r="G459" s="409">
        <f>48*4</f>
        <v>192</v>
      </c>
      <c r="H459" s="432">
        <f>+IFERROR(VLOOKUP(E459,BD!$L$2:$Q$66,6,0),0)</f>
        <v>48</v>
      </c>
      <c r="I459" s="429">
        <f>IFERROR(G459*VLOOKUP($E459,BD!$L$2:$Q$66,5,0),0)</f>
        <v>76.800000000000011</v>
      </c>
      <c r="J459" s="3">
        <f t="shared" si="31"/>
        <v>2021</v>
      </c>
    </row>
    <row r="460" spans="1:10" s="9" customFormat="1" hidden="1" x14ac:dyDescent="0.25">
      <c r="A460" s="421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7">
        <v>256383</v>
      </c>
      <c r="F460" s="54" t="str">
        <f>IFERROR(VLOOKUP(E460,BD!$L$2:$Q$66,2,0),0)</f>
        <v>COCA COLA VR 1.5LX8 - STICKER</v>
      </c>
      <c r="G460" s="409">
        <f>30*5</f>
        <v>150</v>
      </c>
      <c r="H460" s="432">
        <f>+IFERROR(VLOOKUP(E460,BD!$L$2:$Q$66,6,0),0)</f>
        <v>30</v>
      </c>
      <c r="I460" s="429">
        <f>IFERROR(G460*VLOOKUP($E460,BD!$L$2:$Q$66,5,0),0)</f>
        <v>34.5</v>
      </c>
      <c r="J460" s="3">
        <f t="shared" si="31"/>
        <v>2021</v>
      </c>
    </row>
    <row r="461" spans="1:10" s="9" customFormat="1" hidden="1" x14ac:dyDescent="0.25">
      <c r="A461" s="421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7">
        <v>256382</v>
      </c>
      <c r="F461" s="54" t="str">
        <f>IFERROR(VLOOKUP(E461,BD!$L$2:$Q$66,2,0),0)</f>
        <v>COCA COLA VR 296MLX24 - STICKER</v>
      </c>
      <c r="G461" s="409">
        <f>40*2</f>
        <v>80</v>
      </c>
      <c r="H461" s="432">
        <f>+IFERROR(VLOOKUP(E461,BD!$L$2:$Q$66,6,0),0)</f>
        <v>40</v>
      </c>
      <c r="I461" s="96">
        <f>IFERROR(G461*VLOOKUP($E461,BD!$L$2:$Q$66,5,0),0)</f>
        <v>18.400000000000002</v>
      </c>
      <c r="J461" s="3">
        <f t="shared" si="31"/>
        <v>2021</v>
      </c>
    </row>
    <row r="462" spans="1:10" s="9" customFormat="1" hidden="1" x14ac:dyDescent="0.25">
      <c r="A462" s="421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7">
        <v>256380</v>
      </c>
      <c r="F462" s="54" t="str">
        <f>IFERROR(VLOOKUP(E462,BD!$L$2:$Q$66,2,0),0)</f>
        <v>INCA KOLA VR 296MLX24 - STICKER</v>
      </c>
      <c r="G462" s="409">
        <f>40*2</f>
        <v>80</v>
      </c>
      <c r="H462" s="432">
        <f>+IFERROR(VLOOKUP(E462,BD!$L$2:$Q$66,6,0),0)</f>
        <v>40</v>
      </c>
      <c r="I462" s="429">
        <f>IFERROR(G462*VLOOKUP($E462,BD!$L$2:$Q$66,5,0),0)</f>
        <v>18.400000000000002</v>
      </c>
      <c r="J462" s="3">
        <f t="shared" si="31"/>
        <v>2021</v>
      </c>
    </row>
    <row r="463" spans="1:10" s="9" customFormat="1" hidden="1" x14ac:dyDescent="0.25">
      <c r="A463" s="421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7">
        <v>256379</v>
      </c>
      <c r="F463" s="54" t="str">
        <f>IFERROR(VLOOKUP(E463,BD!$L$2:$Q$66,2,0),0)</f>
        <v>INCA KOLA VR 625MLX12 - STICKER</v>
      </c>
      <c r="G463" s="409">
        <v>50</v>
      </c>
      <c r="H463" s="432">
        <f>+IFERROR(VLOOKUP(E463,BD!$L$2:$Q$66,6,0),0)</f>
        <v>50</v>
      </c>
      <c r="I463" s="429">
        <f>IFERROR(G463*VLOOKUP($E463,BD!$L$2:$Q$66,5,0),0)</f>
        <v>20</v>
      </c>
      <c r="J463" s="3">
        <f t="shared" si="31"/>
        <v>2021</v>
      </c>
    </row>
    <row r="464" spans="1:10" s="9" customFormat="1" hidden="1" x14ac:dyDescent="0.25">
      <c r="A464" s="421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7">
        <v>252436</v>
      </c>
      <c r="F464" s="54" t="str">
        <f>IFERROR(VLOOKUP(E464,BD!$L$2:$Q$66,2,0),0)</f>
        <v>SAN LUIS SIN GAS PET 625MLX15 C/STICKER</v>
      </c>
      <c r="G464" s="409">
        <v>90</v>
      </c>
      <c r="H464" s="432">
        <f>+IFERROR(VLOOKUP(E464,BD!$L$2:$Q$66,6,0),0)</f>
        <v>90</v>
      </c>
      <c r="I464" s="96">
        <f>IFERROR(G464*VLOOKUP($E464,BD!$L$2:$Q$66,5,0),0)</f>
        <v>36</v>
      </c>
      <c r="J464" s="3">
        <f t="shared" si="31"/>
        <v>2021</v>
      </c>
    </row>
    <row r="465" spans="1:10" s="9" customFormat="1" hidden="1" x14ac:dyDescent="0.25">
      <c r="A465" s="421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7">
        <v>251429</v>
      </c>
      <c r="F465" s="54" t="str">
        <f>IFERROR(VLOOKUP(E465,BD!$L$2:$Q$66,2,0),0)</f>
        <v>SAN LUIS SIN GAS PET2500X6 STICKER</v>
      </c>
      <c r="G465" s="409">
        <f>48*7</f>
        <v>336</v>
      </c>
      <c r="H465" s="432">
        <f>+IFERROR(VLOOKUP(E465,BD!$L$2:$Q$66,6,0),0)</f>
        <v>48</v>
      </c>
      <c r="I465" s="429">
        <f>IFERROR(G465*VLOOKUP($E465,BD!$L$2:$Q$66,5,0),0)</f>
        <v>134.4</v>
      </c>
      <c r="J465" s="3">
        <f t="shared" si="31"/>
        <v>2021</v>
      </c>
    </row>
    <row r="466" spans="1:10" s="9" customFormat="1" hidden="1" x14ac:dyDescent="0.25">
      <c r="A466" s="421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7">
        <v>751315</v>
      </c>
      <c r="F466" s="54" t="str">
        <f>IFERROR(VLOOKUP(E466,BD!$L$2:$Q$66,2,0),0)</f>
        <v>MONSTER ENERGY 473MLX4</v>
      </c>
      <c r="G466" s="409">
        <f>420*4</f>
        <v>1680</v>
      </c>
      <c r="H466" s="432">
        <f>+IFERROR(VLOOKUP(E466,BD!$L$2:$Q$66,6,0),0)</f>
        <v>420</v>
      </c>
      <c r="I466" s="429">
        <f>IFERROR(G466*VLOOKUP($E466,BD!$L$2:$Q$66,5,0),0)</f>
        <v>705.6</v>
      </c>
      <c r="J466" s="3">
        <f t="shared" si="31"/>
        <v>2021</v>
      </c>
    </row>
    <row r="467" spans="1:10" s="9" customFormat="1" hidden="1" x14ac:dyDescent="0.25">
      <c r="A467" s="421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7">
        <v>251406</v>
      </c>
      <c r="F467" s="54" t="str">
        <f>IFERROR(VLOOKUP(E467,BD!$L$2:$Q$66,2,0),0)</f>
        <v>COCA-COLA SIN AZUCAR PET 1.5LX2</v>
      </c>
      <c r="G467" s="409">
        <f>198*9</f>
        <v>1782</v>
      </c>
      <c r="H467" s="432">
        <f>+IFERROR(VLOOKUP(E467,BD!$L$2:$Q$66,6,0),0)</f>
        <v>198</v>
      </c>
      <c r="I467" s="96">
        <f>IFERROR(G467*VLOOKUP($E467,BD!$L$2:$Q$66,5,0),0)</f>
        <v>302.94</v>
      </c>
      <c r="J467" s="3">
        <f t="shared" si="31"/>
        <v>2021</v>
      </c>
    </row>
    <row r="468" spans="1:10" s="9" customFormat="1" hidden="1" x14ac:dyDescent="0.25">
      <c r="A468" s="421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7">
        <v>254853</v>
      </c>
      <c r="F468" s="54" t="str">
        <f>IFERROR(VLOOKUP(E468,BD!$L$2:$Q$66,2,0),0)</f>
        <v>INCA KOLA SIN AZUCAR PET 1.5LX2</v>
      </c>
      <c r="G468" s="409">
        <f>198*7</f>
        <v>1386</v>
      </c>
      <c r="H468" s="432">
        <f>+IFERROR(VLOOKUP(E468,BD!$L$2:$Q$66,6,0),0)</f>
        <v>198</v>
      </c>
      <c r="I468" s="429">
        <f>IFERROR(G468*VLOOKUP($E468,BD!$L$2:$Q$66,5,0),0)</f>
        <v>235.62</v>
      </c>
      <c r="J468" s="3">
        <f t="shared" si="31"/>
        <v>2021</v>
      </c>
    </row>
    <row r="469" spans="1:10" s="9" customFormat="1" hidden="1" x14ac:dyDescent="0.25">
      <c r="A469" s="421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7">
        <v>256616</v>
      </c>
      <c r="F469" s="54" t="str">
        <f>IFERROR(VLOOKUP(E469,BD!$L$2:$Q$66,2,0),0)</f>
        <v>TWO PACK SCHWEPPES CITRUS PET 1.5LX2</v>
      </c>
      <c r="G469" s="409">
        <f>198*11</f>
        <v>2178</v>
      </c>
      <c r="H469" s="432">
        <f>+IFERROR(VLOOKUP(E469,BD!$L$2:$Q$66,6,0),0)</f>
        <v>198</v>
      </c>
      <c r="I469" s="429">
        <f>IFERROR(G469*VLOOKUP($E469,BD!$L$2:$Q$66,5,0),0)</f>
        <v>370.26000000000005</v>
      </c>
      <c r="J469" s="3">
        <f t="shared" si="31"/>
        <v>2021</v>
      </c>
    </row>
    <row r="470" spans="1:10" s="9" customFormat="1" hidden="1" x14ac:dyDescent="0.25">
      <c r="A470" s="421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7">
        <v>256666</v>
      </c>
      <c r="F470" s="54" t="str">
        <f>IFERROR(VLOOKUP(E470,BD!$L$2:$Q$66,2,0),0)</f>
        <v>COCA-COLA PET 2.25LX2 RF</v>
      </c>
      <c r="G470" s="409">
        <f>162*2</f>
        <v>324</v>
      </c>
      <c r="H470" s="432">
        <f>+IFERROR(VLOOKUP(E470,BD!$L$2:$Q$66,6,0),0)</f>
        <v>162</v>
      </c>
      <c r="I470" s="96">
        <f>IFERROR(G470*VLOOKUP($E470,BD!$L$2:$Q$66,5,0),0)</f>
        <v>55.080000000000005</v>
      </c>
      <c r="J470" s="3">
        <f t="shared" si="31"/>
        <v>2021</v>
      </c>
    </row>
    <row r="471" spans="1:10" s="9" customFormat="1" hidden="1" x14ac:dyDescent="0.25">
      <c r="A471" s="421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7">
        <v>256601</v>
      </c>
      <c r="F471" s="54" t="str">
        <f>IFERROR(VLOOKUP(E471,BD!$L$2:$Q$66,2,0),0)</f>
        <v>INCA KOLA PET 2.25LX2 RF</v>
      </c>
      <c r="G471" s="409">
        <f>162*2</f>
        <v>324</v>
      </c>
      <c r="H471" s="432">
        <f>+IFERROR(VLOOKUP(E471,BD!$L$2:$Q$66,6,0),0)</f>
        <v>162</v>
      </c>
      <c r="I471" s="429">
        <f>IFERROR(G471*VLOOKUP($E471,BD!$L$2:$Q$66,5,0),0)</f>
        <v>55.080000000000005</v>
      </c>
      <c r="J471" s="3">
        <f t="shared" si="31"/>
        <v>2021</v>
      </c>
    </row>
    <row r="472" spans="1:10" s="9" customFormat="1" hidden="1" x14ac:dyDescent="0.25">
      <c r="A472" s="421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7">
        <v>256488</v>
      </c>
      <c r="F472" s="54" t="str">
        <f>IFERROR(VLOOKUP(E472,BD!$L$2:$Q$66,2,0),0)</f>
        <v>INCA KOLA PET 3LX2 - RF</v>
      </c>
      <c r="G472" s="409">
        <f>120*3</f>
        <v>360</v>
      </c>
      <c r="H472" s="432">
        <f>+IFERROR(VLOOKUP(E472,BD!$L$2:$Q$66,6,0),0)</f>
        <v>120</v>
      </c>
      <c r="I472" s="429">
        <f>IFERROR(G472*VLOOKUP($E472,BD!$L$2:$Q$66,5,0),0)</f>
        <v>61.2</v>
      </c>
      <c r="J472" s="3">
        <f t="shared" si="31"/>
        <v>2021</v>
      </c>
    </row>
    <row r="473" spans="1:10" s="9" customFormat="1" hidden="1" x14ac:dyDescent="0.25">
      <c r="A473" s="421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7">
        <v>256674</v>
      </c>
      <c r="F473" s="54" t="str">
        <f>IFERROR(VLOOKUP(E473,BD!$L$2:$Q$66,2,0),0)</f>
        <v>COCA-COLA PET 1.5LX2 RF</v>
      </c>
      <c r="G473" s="409">
        <f>198*5</f>
        <v>990</v>
      </c>
      <c r="H473" s="432">
        <f>+IFERROR(VLOOKUP(E473,BD!$L$2:$Q$66,6,0),0)</f>
        <v>198</v>
      </c>
      <c r="I473" s="96">
        <f>IFERROR(G473*VLOOKUP($E473,BD!$L$2:$Q$66,5,0),0)</f>
        <v>168.3</v>
      </c>
      <c r="J473" s="3">
        <f t="shared" si="31"/>
        <v>2021</v>
      </c>
    </row>
    <row r="474" spans="1:10" s="9" customFormat="1" hidden="1" x14ac:dyDescent="0.25">
      <c r="A474" s="421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7">
        <v>256676</v>
      </c>
      <c r="F474" s="54" t="str">
        <f>IFERROR(VLOOKUP(E474,BD!$L$2:$Q$66,2,0),0)</f>
        <v>TWO PACK CC PFM 3LX2 - RFCC</v>
      </c>
      <c r="G474" s="409">
        <v>480</v>
      </c>
      <c r="H474" s="432">
        <f>+IFERROR(VLOOKUP(E474,BD!$L$2:$Q$66,6,0),0)</f>
        <v>120</v>
      </c>
      <c r="I474" s="429">
        <f>IFERROR(G474*VLOOKUP($E474,BD!$L$2:$Q$66,5,0),0)</f>
        <v>81.600000000000009</v>
      </c>
      <c r="J474" s="3">
        <f t="shared" si="31"/>
        <v>2021</v>
      </c>
    </row>
    <row r="475" spans="1:10" s="9" customFormat="1" hidden="1" x14ac:dyDescent="0.25">
      <c r="A475" s="421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7">
        <v>256675</v>
      </c>
      <c r="F475" s="54" t="str">
        <f>IFERROR(VLOOKUP(E475,BD!$L$2:$Q$66,2,0),0)</f>
        <v>INCA KOLA PET 1.5LX2 RF</v>
      </c>
      <c r="G475" s="409">
        <f>198*4</f>
        <v>792</v>
      </c>
      <c r="H475" s="432">
        <f>+IFERROR(VLOOKUP(E475,BD!$L$2:$Q$66,6,0),0)</f>
        <v>198</v>
      </c>
      <c r="I475" s="429">
        <f>IFERROR(G475*VLOOKUP($E475,BD!$L$2:$Q$66,5,0),0)</f>
        <v>134.64000000000001</v>
      </c>
      <c r="J475" s="3">
        <f t="shared" si="31"/>
        <v>2021</v>
      </c>
    </row>
    <row r="476" spans="1:10" s="9" customFormat="1" hidden="1" x14ac:dyDescent="0.25">
      <c r="A476" s="421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7">
        <v>256652</v>
      </c>
      <c r="F476" s="54" t="str">
        <f>IFERROR(VLOOKUP(E476,BD!$L$2:$Q$66,2,0),0)</f>
        <v>TRIPACK FT NAR+FT KI+SP PET 3L</v>
      </c>
      <c r="G476" s="409">
        <f>90*6</f>
        <v>540</v>
      </c>
      <c r="H476" s="432">
        <f>+IFERROR(VLOOKUP(E476,BD!$L$2:$Q$66,6,0),0)</f>
        <v>90</v>
      </c>
      <c r="I476" s="96">
        <f>IFERROR(G476*VLOOKUP($E476,BD!$L$2:$Q$66,5,0),0)</f>
        <v>91.800000000000011</v>
      </c>
      <c r="J476" s="3">
        <f t="shared" si="31"/>
        <v>2021</v>
      </c>
    </row>
    <row r="477" spans="1:10" s="9" customFormat="1" hidden="1" x14ac:dyDescent="0.25">
      <c r="A477" s="421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7">
        <v>256677</v>
      </c>
      <c r="F477" s="54" t="str">
        <f>IFERROR(VLOOKUP(E477,BD!$L$2:$Q$66,2,0),0)</f>
        <v>TWO PACK CC + IK PFM 3LX2 - RFNN</v>
      </c>
      <c r="G477" s="409">
        <f>120*18</f>
        <v>2160</v>
      </c>
      <c r="H477" s="432">
        <f>+IFERROR(VLOOKUP(E477,BD!$L$2:$Q$66,6,0),0)</f>
        <v>120</v>
      </c>
      <c r="I477" s="429">
        <f>IFERROR(G477*VLOOKUP($E477,BD!$L$2:$Q$66,5,0),0)</f>
        <v>367.20000000000005</v>
      </c>
      <c r="J477" s="3">
        <f t="shared" si="31"/>
        <v>2021</v>
      </c>
    </row>
    <row r="478" spans="1:10" s="9" customFormat="1" hidden="1" x14ac:dyDescent="0.25">
      <c r="A478" s="421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7">
        <v>256680</v>
      </c>
      <c r="F478" s="54" t="str">
        <f>IFERROR(VLOOKUP(E478,BD!$L$2:$Q$66,2,0),0)</f>
        <v>TRIPACK CC+CC+IK PFM 3LX3 - RFNN</v>
      </c>
      <c r="G478" s="409">
        <f>90*7</f>
        <v>630</v>
      </c>
      <c r="H478" s="432">
        <f>+IFERROR(VLOOKUP(E478,BD!$L$2:$Q$66,6,0),0)</f>
        <v>90</v>
      </c>
      <c r="I478" s="429">
        <f>IFERROR(G478*VLOOKUP($E478,BD!$L$2:$Q$66,5,0),0)</f>
        <v>107.10000000000001</v>
      </c>
      <c r="J478" s="3">
        <f t="shared" si="31"/>
        <v>2021</v>
      </c>
    </row>
    <row r="479" spans="1:10" s="9" customFormat="1" hidden="1" x14ac:dyDescent="0.25">
      <c r="A479" s="421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7">
        <v>256674</v>
      </c>
      <c r="F479" s="54" t="str">
        <f>IFERROR(VLOOKUP(E479,BD!$L$2:$Q$66,2,0),0)</f>
        <v>COCA-COLA PET 1.5LX2 RF</v>
      </c>
      <c r="G479" s="409">
        <f>90*12</f>
        <v>1080</v>
      </c>
      <c r="H479" s="432">
        <f>+IFERROR(VLOOKUP(E479,BD!$L$2:$Q$66,6,0),0)</f>
        <v>198</v>
      </c>
      <c r="I479" s="96">
        <f>IFERROR(G479*VLOOKUP($E479,BD!$L$2:$Q$66,5,0),0)</f>
        <v>183.60000000000002</v>
      </c>
      <c r="J479" s="3">
        <f t="shared" si="31"/>
        <v>2021</v>
      </c>
    </row>
    <row r="480" spans="1:10" s="9" customFormat="1" hidden="1" x14ac:dyDescent="0.25">
      <c r="A480" s="421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7">
        <v>256678</v>
      </c>
      <c r="F480" s="54" t="str">
        <f>IFERROR(VLOOKUP(E480,BD!$L$2:$Q$66,2,0),0)</f>
        <v>TRIPACK (CC+IK)PFM+FT PET 3LX3 - RFNN</v>
      </c>
      <c r="G480" s="409">
        <f>90*16</f>
        <v>1440</v>
      </c>
      <c r="H480" s="432">
        <f>+IFERROR(VLOOKUP(E480,BD!$L$2:$Q$66,6,0),0)</f>
        <v>90</v>
      </c>
      <c r="I480" s="429">
        <f>IFERROR(G480*VLOOKUP($E480,BD!$L$2:$Q$66,5,0),0)</f>
        <v>244.8</v>
      </c>
      <c r="J480" s="3">
        <f t="shared" si="31"/>
        <v>2021</v>
      </c>
    </row>
    <row r="481" spans="1:10" s="9" customFormat="1" hidden="1" x14ac:dyDescent="0.25">
      <c r="A481" s="421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7">
        <v>256695</v>
      </c>
      <c r="F481" s="54" t="str">
        <f>IFERROR(VLOOKUP(E481,BD!$L$2:$Q$66,2,0),0)</f>
        <v>POWERADE 3MORA+3FRUT PET 473MLX6</v>
      </c>
      <c r="G481" s="409">
        <f>225*8</f>
        <v>1800</v>
      </c>
      <c r="H481" s="432">
        <f>+IFERROR(VLOOKUP(E481,BD!$L$2:$Q$66,6,0),0)</f>
        <v>225</v>
      </c>
      <c r="I481" s="429">
        <f>IFERROR(G481*VLOOKUP($E481,BD!$L$2:$Q$66,5,0),0)</f>
        <v>756</v>
      </c>
      <c r="J481" s="3">
        <f t="shared" si="31"/>
        <v>2021</v>
      </c>
    </row>
    <row r="482" spans="1:10" s="9" customFormat="1" hidden="1" x14ac:dyDescent="0.25">
      <c r="A482" s="421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7">
        <v>256708</v>
      </c>
      <c r="F482" s="54" t="str">
        <f>IFERROR(VLOOKUP(E482,BD!$L$2:$Q$66,2,0),0)</f>
        <v>POWERADE ION4 FRUTA PET473X6 MOD (STICK)</v>
      </c>
      <c r="G482" s="409">
        <f>225*2</f>
        <v>450</v>
      </c>
      <c r="H482" s="432">
        <f>+IFERROR(VLOOKUP(E482,BD!$L$2:$Q$66,6,0),0)</f>
        <v>225</v>
      </c>
      <c r="I482" s="96">
        <f>IFERROR(G482*VLOOKUP($E482,BD!$L$2:$Q$66,5,0),0)</f>
        <v>180</v>
      </c>
      <c r="J482" s="3">
        <f t="shared" si="31"/>
        <v>2021</v>
      </c>
    </row>
    <row r="483" spans="1:10" s="9" customFormat="1" hidden="1" x14ac:dyDescent="0.25">
      <c r="A483" s="421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7">
        <v>256709</v>
      </c>
      <c r="F483" s="54" t="str">
        <f>IFERROR(VLOOKUP(E483,BD!$L$2:$Q$66,2,0),0)</f>
        <v>POWERADE ION4 MORA AZ PET473X6 MOD(STCK)</v>
      </c>
      <c r="G483" s="409">
        <v>225</v>
      </c>
      <c r="H483" s="432">
        <f>+IFERROR(VLOOKUP(E483,BD!$L$2:$Q$66,6,0),0)</f>
        <v>225</v>
      </c>
      <c r="I483" s="429">
        <f>IFERROR(G483*VLOOKUP($E483,BD!$L$2:$Q$66,5,0),0)</f>
        <v>90</v>
      </c>
      <c r="J483" s="3">
        <f t="shared" si="31"/>
        <v>2021</v>
      </c>
    </row>
    <row r="484" spans="1:10" s="9" customFormat="1" hidden="1" x14ac:dyDescent="0.25">
      <c r="A484" s="421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7">
        <v>251632</v>
      </c>
      <c r="F484" s="54" t="str">
        <f>IFERROR(VLOOKUP(E484,BD!$L$2:$Q$66,2,0),0)</f>
        <v>SAN LUIS SIN GAS PET 625MLX06 MOD</v>
      </c>
      <c r="G484" s="409">
        <v>180</v>
      </c>
      <c r="H484" s="432">
        <f>+IFERROR(VLOOKUP(E484,BD!$L$2:$Q$66,6,0),0)</f>
        <v>180</v>
      </c>
      <c r="I484" s="429">
        <f>IFERROR(G484*VLOOKUP($E484,BD!$L$2:$Q$66,5,0),0)</f>
        <v>75.599999999999994</v>
      </c>
      <c r="J484" s="3">
        <f t="shared" si="31"/>
        <v>2021</v>
      </c>
    </row>
    <row r="485" spans="1:10" s="9" customFormat="1" ht="15.75" hidden="1" thickBot="1" x14ac:dyDescent="0.3">
      <c r="A485" s="423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9">
        <v>255405</v>
      </c>
      <c r="F485" s="453" t="str">
        <f>IFERROR(VLOOKUP(E485,BD!$L$2:$Q$66,2,0),0)</f>
        <v>FRUGOS BEBIDA DZ VNR 286MLX6 C/STICKER</v>
      </c>
      <c r="G485" s="450">
        <v>350</v>
      </c>
      <c r="H485" s="454">
        <f>+IFERROR(VLOOKUP(E485,BD!$L$2:$Q$66,6,0),0)</f>
        <v>350</v>
      </c>
      <c r="I485" s="98">
        <f>IFERROR(G485*VLOOKUP($E485,BD!$L$2:$Q$66,5,0),0)</f>
        <v>80.5</v>
      </c>
      <c r="J485" s="8">
        <f t="shared" si="31"/>
        <v>2021</v>
      </c>
    </row>
    <row r="486" spans="1:10" s="9" customFormat="1" hidden="1" x14ac:dyDescent="0.25">
      <c r="A486" s="422">
        <v>44378</v>
      </c>
      <c r="B486" s="56" t="str">
        <f t="shared" si="28"/>
        <v>JULIO</v>
      </c>
      <c r="C486" s="56">
        <f t="shared" si="29"/>
        <v>27</v>
      </c>
      <c r="D486" s="462" t="str">
        <f t="shared" si="30"/>
        <v>JUEVES</v>
      </c>
      <c r="E486" s="463">
        <v>256679</v>
      </c>
      <c r="F486" s="462" t="str">
        <f>IFERROR(VLOOKUP(E486,BD!$L$2:$Q$66,2,0),0)</f>
        <v>TRIPACK CC+IK+IK PFM 3LX3 - RFNN</v>
      </c>
      <c r="G486" s="464">
        <f>90*5</f>
        <v>450</v>
      </c>
      <c r="H486" s="465">
        <f>+IFERROR(VLOOKUP(E486,BD!$L$2:$Q$66,6,0),0)</f>
        <v>90</v>
      </c>
      <c r="I486" s="466">
        <f>IFERROR(G486*VLOOKUP($E486,BD!$L$2:$Q$66,5,0),0)</f>
        <v>76.5</v>
      </c>
      <c r="J486" s="6">
        <f t="shared" si="31"/>
        <v>2021</v>
      </c>
    </row>
    <row r="487" spans="1:10" s="9" customFormat="1" hidden="1" x14ac:dyDescent="0.25">
      <c r="A487" s="421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7">
        <v>256678</v>
      </c>
      <c r="F487" s="54" t="str">
        <f>IFERROR(VLOOKUP(E487,BD!$L$2:$Q$66,2,0),0)</f>
        <v>TRIPACK (CC+IK)PFM+FT PET 3LX3 - RFNN</v>
      </c>
      <c r="G487" s="409">
        <f>90*18</f>
        <v>1620</v>
      </c>
      <c r="H487" s="432">
        <f>+IFERROR(VLOOKUP(E487,BD!$L$2:$Q$66,6,0),0)</f>
        <v>90</v>
      </c>
      <c r="I487" s="96">
        <f>IFERROR(G487*VLOOKUP($E487,BD!$L$2:$Q$66,5,0),0)</f>
        <v>275.40000000000003</v>
      </c>
      <c r="J487" s="3">
        <f t="shared" si="31"/>
        <v>2021</v>
      </c>
    </row>
    <row r="488" spans="1:10" s="9" customFormat="1" hidden="1" x14ac:dyDescent="0.25">
      <c r="A488" s="421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7">
        <v>256682</v>
      </c>
      <c r="F488" s="54" t="str">
        <f>IFERROR(VLOOKUP(E488,BD!$L$2:$Q$66,2,0),0)</f>
        <v>TRIPACK (FT NAR+SP)PET+IK RF PFM 3L</v>
      </c>
      <c r="G488" s="409">
        <f>90*3</f>
        <v>270</v>
      </c>
      <c r="H488" s="432">
        <f>+IFERROR(VLOOKUP(E488,BD!$L$2:$Q$66,6,0),0)</f>
        <v>90</v>
      </c>
      <c r="I488" s="429">
        <f>IFERROR(G488*VLOOKUP($E488,BD!$L$2:$Q$66,5,0),0)</f>
        <v>45.900000000000006</v>
      </c>
      <c r="J488" s="3">
        <f t="shared" si="31"/>
        <v>2021</v>
      </c>
    </row>
    <row r="489" spans="1:10" s="9" customFormat="1" hidden="1" x14ac:dyDescent="0.25">
      <c r="A489" s="421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7">
        <v>256695</v>
      </c>
      <c r="F489" s="54" t="str">
        <f>IFERROR(VLOOKUP(E489,BD!$L$2:$Q$66,2,0),0)</f>
        <v>POWERADE 3MORA+3FRUT PET 473MLX6</v>
      </c>
      <c r="G489" s="409">
        <f>225*8</f>
        <v>1800</v>
      </c>
      <c r="H489" s="432">
        <f>+IFERROR(VLOOKUP(E489,BD!$L$2:$Q$66,6,0),0)</f>
        <v>225</v>
      </c>
      <c r="I489" s="429">
        <f>IFERROR(G489*VLOOKUP($E489,BD!$L$2:$Q$66,5,0),0)</f>
        <v>756</v>
      </c>
      <c r="J489" s="3">
        <f t="shared" si="31"/>
        <v>2021</v>
      </c>
    </row>
    <row r="490" spans="1:10" s="9" customFormat="1" hidden="1" x14ac:dyDescent="0.25">
      <c r="A490" s="421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7">
        <v>256708</v>
      </c>
      <c r="F490" s="54" t="str">
        <f>IFERROR(VLOOKUP(E490,BD!$L$2:$Q$66,2,0),0)</f>
        <v>POWERADE ION4 FRUTA PET473X6 MOD (STICK)</v>
      </c>
      <c r="G490" s="409">
        <f>225*2</f>
        <v>450</v>
      </c>
      <c r="H490" s="432">
        <f>+IFERROR(VLOOKUP(E490,BD!$L$2:$Q$66,6,0),0)</f>
        <v>225</v>
      </c>
      <c r="I490" s="96">
        <f>IFERROR(G490*VLOOKUP($E490,BD!$L$2:$Q$66,5,0),0)</f>
        <v>180</v>
      </c>
      <c r="J490" s="3">
        <f t="shared" si="31"/>
        <v>2021</v>
      </c>
    </row>
    <row r="491" spans="1:10" s="9" customFormat="1" hidden="1" x14ac:dyDescent="0.25">
      <c r="A491" s="421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7">
        <v>251429</v>
      </c>
      <c r="F491" s="54" t="str">
        <f>IFERROR(VLOOKUP(E491,BD!$L$2:$Q$66,2,0),0)</f>
        <v>SAN LUIS SIN GAS PET2500X6 STICKER</v>
      </c>
      <c r="G491" s="409">
        <f>48*4</f>
        <v>192</v>
      </c>
      <c r="H491" s="432">
        <f>+IFERROR(VLOOKUP(E491,BD!$L$2:$Q$66,6,0),0)</f>
        <v>48</v>
      </c>
      <c r="I491" s="429">
        <f>IFERROR(G491*VLOOKUP($E491,BD!$L$2:$Q$66,5,0),0)</f>
        <v>76.800000000000011</v>
      </c>
      <c r="J491" s="3">
        <f t="shared" si="31"/>
        <v>2021</v>
      </c>
    </row>
    <row r="492" spans="1:10" s="9" customFormat="1" hidden="1" x14ac:dyDescent="0.25">
      <c r="A492" s="421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7">
        <v>256548</v>
      </c>
      <c r="F492" s="54" t="str">
        <f>IFERROR(VLOOKUP(E492,BD!$L$2:$Q$66,2,0),0)</f>
        <v>TWO PACK CC PET 1.5LX2 - CRC</v>
      </c>
      <c r="G492" s="409">
        <f>198*2</f>
        <v>396</v>
      </c>
      <c r="H492" s="432">
        <f>+IFERROR(VLOOKUP(E492,BD!$L$2:$Q$66,6,0),0)</f>
        <v>198</v>
      </c>
      <c r="I492" s="429">
        <f>IFERROR(G492*VLOOKUP($E492,BD!$L$2:$Q$66,5,0),0)</f>
        <v>67.320000000000007</v>
      </c>
      <c r="J492" s="3">
        <f t="shared" si="31"/>
        <v>2021</v>
      </c>
    </row>
    <row r="493" spans="1:10" s="9" customFormat="1" hidden="1" x14ac:dyDescent="0.25">
      <c r="A493" s="421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7">
        <v>256549</v>
      </c>
      <c r="F493" s="54" t="str">
        <f>IFERROR(VLOOKUP(E493,BD!$L$2:$Q$66,2,0),0)</f>
        <v>TWO PACK IK PET 1.5LX2 - CRCG</v>
      </c>
      <c r="G493" s="409">
        <v>198</v>
      </c>
      <c r="H493" s="432">
        <f>+IFERROR(VLOOKUP(E493,BD!$L$2:$Q$66,6,0),0)</f>
        <v>198</v>
      </c>
      <c r="I493" s="96">
        <f>IFERROR(G493*VLOOKUP($E493,BD!$L$2:$Q$66,5,0),0)</f>
        <v>33.660000000000004</v>
      </c>
      <c r="J493" s="3">
        <f t="shared" si="31"/>
        <v>2021</v>
      </c>
    </row>
    <row r="494" spans="1:10" s="9" customFormat="1" hidden="1" x14ac:dyDescent="0.25">
      <c r="A494" s="421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7">
        <v>256381</v>
      </c>
      <c r="F494" s="54" t="str">
        <f>IFERROR(VLOOKUP(E494,BD!$L$2:$Q$66,2,0),0)</f>
        <v>INCA KOLA VR 1.5LX8 - STICKER</v>
      </c>
      <c r="G494" s="409">
        <f>30*2</f>
        <v>60</v>
      </c>
      <c r="H494" s="432">
        <f>+IFERROR(VLOOKUP(E494,BD!$L$2:$Q$66,6,0),0)</f>
        <v>30</v>
      </c>
      <c r="I494" s="429">
        <f>IFERROR(G494*VLOOKUP($E494,BD!$L$2:$Q$66,5,0),0)</f>
        <v>24</v>
      </c>
      <c r="J494" s="3">
        <f t="shared" si="31"/>
        <v>2021</v>
      </c>
    </row>
    <row r="495" spans="1:10" s="9" customFormat="1" hidden="1" x14ac:dyDescent="0.25">
      <c r="A495" s="421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7">
        <v>252436</v>
      </c>
      <c r="F495" s="54" t="str">
        <f>IFERROR(VLOOKUP(E495,BD!$L$2:$Q$66,2,0),0)</f>
        <v>SAN LUIS SIN GAS PET 625MLX15 C/STICKER</v>
      </c>
      <c r="G495" s="409">
        <f>90*2</f>
        <v>180</v>
      </c>
      <c r="H495" s="432">
        <f>+IFERROR(VLOOKUP(E495,BD!$L$2:$Q$66,6,0),0)</f>
        <v>90</v>
      </c>
      <c r="I495" s="429">
        <f>IFERROR(G495*VLOOKUP($E495,BD!$L$2:$Q$66,5,0),0)</f>
        <v>72</v>
      </c>
      <c r="J495" s="3">
        <f t="shared" si="31"/>
        <v>2021</v>
      </c>
    </row>
    <row r="496" spans="1:10" s="9" customFormat="1" hidden="1" x14ac:dyDescent="0.25">
      <c r="A496" s="421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7">
        <v>751315</v>
      </c>
      <c r="F496" s="54" t="str">
        <f>IFERROR(VLOOKUP(E496,BD!$L$2:$Q$66,2,0),0)</f>
        <v>MONSTER ENERGY 473MLX4</v>
      </c>
      <c r="G496" s="409">
        <f>420*5</f>
        <v>2100</v>
      </c>
      <c r="H496" s="432">
        <f>+IFERROR(VLOOKUP(E496,BD!$L$2:$Q$66,6,0),0)</f>
        <v>420</v>
      </c>
      <c r="I496" s="96">
        <f>IFERROR(G496*VLOOKUP($E496,BD!$L$2:$Q$66,5,0),0)</f>
        <v>882</v>
      </c>
      <c r="J496" s="3">
        <f t="shared" si="31"/>
        <v>2021</v>
      </c>
    </row>
    <row r="497" spans="1:10" s="9" customFormat="1" hidden="1" x14ac:dyDescent="0.25">
      <c r="A497" s="421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7">
        <v>751468</v>
      </c>
      <c r="F497" s="54" t="str">
        <f>IFERROR(VLOOKUP(E497,BD!$L$2:$Q$66,2,0),0)</f>
        <v>MONSTER ENERGY ULTRA 473MLX4</v>
      </c>
      <c r="G497" s="409">
        <f>420*2</f>
        <v>840</v>
      </c>
      <c r="H497" s="432">
        <f>+IFERROR(VLOOKUP(E497,BD!$L$2:$Q$66,6,0),0)</f>
        <v>420</v>
      </c>
      <c r="I497" s="429">
        <f>IFERROR(G497*VLOOKUP($E497,BD!$L$2:$Q$66,5,0),0)</f>
        <v>352.8</v>
      </c>
      <c r="J497" s="3">
        <f t="shared" si="31"/>
        <v>2021</v>
      </c>
    </row>
    <row r="498" spans="1:10" s="9" customFormat="1" hidden="1" x14ac:dyDescent="0.25">
      <c r="A498" s="421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7">
        <v>251406</v>
      </c>
      <c r="F498" s="54" t="str">
        <f>IFERROR(VLOOKUP(E498,BD!$L$2:$Q$66,2,0),0)</f>
        <v>COCA-COLA SIN AZUCAR PET 1.5LX2</v>
      </c>
      <c r="G498" s="409">
        <f>198*9</f>
        <v>1782</v>
      </c>
      <c r="H498" s="432">
        <f>+IFERROR(VLOOKUP(E498,BD!$L$2:$Q$66,6,0),0)</f>
        <v>198</v>
      </c>
      <c r="I498" s="429">
        <f>IFERROR(G498*VLOOKUP($E498,BD!$L$2:$Q$66,5,0),0)</f>
        <v>302.94</v>
      </c>
      <c r="J498" s="3">
        <f t="shared" si="31"/>
        <v>2021</v>
      </c>
    </row>
    <row r="499" spans="1:10" s="9" customFormat="1" hidden="1" x14ac:dyDescent="0.25">
      <c r="A499" s="421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7">
        <v>254853</v>
      </c>
      <c r="F499" s="54" t="str">
        <f>IFERROR(VLOOKUP(E499,BD!$L$2:$Q$66,2,0),0)</f>
        <v>INCA KOLA SIN AZUCAR PET 1.5LX2</v>
      </c>
      <c r="G499" s="409">
        <f>198*10</f>
        <v>1980</v>
      </c>
      <c r="H499" s="432">
        <f>+IFERROR(VLOOKUP(E499,BD!$L$2:$Q$66,6,0),0)</f>
        <v>198</v>
      </c>
      <c r="I499" s="96">
        <f>IFERROR(G499*VLOOKUP($E499,BD!$L$2:$Q$66,5,0),0)</f>
        <v>336.6</v>
      </c>
      <c r="J499" s="3">
        <f t="shared" si="31"/>
        <v>2021</v>
      </c>
    </row>
    <row r="500" spans="1:10" s="9" customFormat="1" hidden="1" x14ac:dyDescent="0.25">
      <c r="A500" s="421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7">
        <v>256616</v>
      </c>
      <c r="F500" s="54" t="str">
        <f>IFERROR(VLOOKUP(E500,BD!$L$2:$Q$66,2,0),0)</f>
        <v>TWO PACK SCHWEPPES CITRUS PET 1.5LX2</v>
      </c>
      <c r="G500" s="409">
        <f>198*4</f>
        <v>792</v>
      </c>
      <c r="H500" s="432">
        <f>+IFERROR(VLOOKUP(E500,BD!$L$2:$Q$66,6,0),0)</f>
        <v>198</v>
      </c>
      <c r="I500" s="429">
        <f>IFERROR(G500*VLOOKUP($E500,BD!$L$2:$Q$66,5,0),0)</f>
        <v>134.64000000000001</v>
      </c>
      <c r="J500" s="3">
        <f t="shared" si="31"/>
        <v>2021</v>
      </c>
    </row>
    <row r="501" spans="1:10" s="9" customFormat="1" hidden="1" x14ac:dyDescent="0.25">
      <c r="A501" s="421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7">
        <v>256617</v>
      </c>
      <c r="F501" s="54" t="str">
        <f>IFERROR(VLOOKUP(E501,BD!$L$2:$Q$66,2,0),0)</f>
        <v>TWO PACK SCHWEPPES GINGER ALE PET 1.5LX2</v>
      </c>
      <c r="G501" s="409">
        <f>198*3</f>
        <v>594</v>
      </c>
      <c r="H501" s="432">
        <f>+IFERROR(VLOOKUP(E501,BD!$L$2:$Q$66,6,0),0)</f>
        <v>198</v>
      </c>
      <c r="I501" s="429">
        <f>IFERROR(G501*VLOOKUP($E501,BD!$L$2:$Q$66,5,0),0)</f>
        <v>100.98</v>
      </c>
      <c r="J501" s="3">
        <f t="shared" si="31"/>
        <v>2021</v>
      </c>
    </row>
    <row r="502" spans="1:10" s="9" customFormat="1" hidden="1" x14ac:dyDescent="0.25">
      <c r="A502" s="421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7">
        <v>256666</v>
      </c>
      <c r="F502" s="54" t="str">
        <f>IFERROR(VLOOKUP(E502,BD!$L$2:$Q$66,2,0),0)</f>
        <v>COCA-COLA PET 2.25LX2 RF</v>
      </c>
      <c r="G502" s="409">
        <v>162</v>
      </c>
      <c r="H502" s="432">
        <f>+IFERROR(VLOOKUP(E502,BD!$L$2:$Q$66,6,0),0)</f>
        <v>162</v>
      </c>
      <c r="I502" s="96">
        <f>IFERROR(G502*VLOOKUP($E502,BD!$L$2:$Q$66,5,0),0)</f>
        <v>27.540000000000003</v>
      </c>
      <c r="J502" s="3">
        <f t="shared" si="31"/>
        <v>2021</v>
      </c>
    </row>
    <row r="503" spans="1:10" s="9" customFormat="1" hidden="1" x14ac:dyDescent="0.25">
      <c r="A503" s="421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7">
        <v>256601</v>
      </c>
      <c r="F503" s="54" t="str">
        <f>IFERROR(VLOOKUP(E503,BD!$L$2:$Q$66,2,0),0)</f>
        <v>INCA KOLA PET 2.25LX2 RF</v>
      </c>
      <c r="G503" s="409">
        <v>162</v>
      </c>
      <c r="H503" s="432">
        <f>+IFERROR(VLOOKUP(E503,BD!$L$2:$Q$66,6,0),0)</f>
        <v>162</v>
      </c>
      <c r="I503" s="429">
        <f>IFERROR(G503*VLOOKUP($E503,BD!$L$2:$Q$66,5,0),0)</f>
        <v>27.540000000000003</v>
      </c>
      <c r="J503" s="3">
        <f t="shared" si="31"/>
        <v>2021</v>
      </c>
    </row>
    <row r="504" spans="1:10" s="9" customFormat="1" hidden="1" x14ac:dyDescent="0.25">
      <c r="A504" s="421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7">
        <v>256488</v>
      </c>
      <c r="F504" s="54" t="str">
        <f>IFERROR(VLOOKUP(E504,BD!$L$2:$Q$66,2,0),0)</f>
        <v>INCA KOLA PET 3LX2 - RF</v>
      </c>
      <c r="G504" s="409">
        <f>120*4</f>
        <v>480</v>
      </c>
      <c r="H504" s="432">
        <f>+IFERROR(VLOOKUP(E504,BD!$L$2:$Q$66,6,0),0)</f>
        <v>120</v>
      </c>
      <c r="I504" s="429">
        <f>IFERROR(G504*VLOOKUP($E504,BD!$L$2:$Q$66,5,0),0)</f>
        <v>81.600000000000009</v>
      </c>
      <c r="J504" s="3">
        <f t="shared" si="31"/>
        <v>2021</v>
      </c>
    </row>
    <row r="505" spans="1:10" s="9" customFormat="1" hidden="1" x14ac:dyDescent="0.25">
      <c r="A505" s="421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7">
        <v>256674</v>
      </c>
      <c r="F505" s="54" t="str">
        <f>IFERROR(VLOOKUP(E505,BD!$L$2:$Q$66,2,0),0)</f>
        <v>COCA-COLA PET 1.5LX2 RF</v>
      </c>
      <c r="G505" s="409">
        <f>198*4</f>
        <v>792</v>
      </c>
      <c r="H505" s="432">
        <f>+IFERROR(VLOOKUP(E505,BD!$L$2:$Q$66,6,0),0)</f>
        <v>198</v>
      </c>
      <c r="I505" s="96">
        <f>IFERROR(G505*VLOOKUP($E505,BD!$L$2:$Q$66,5,0),0)</f>
        <v>134.64000000000001</v>
      </c>
      <c r="J505" s="3">
        <f t="shared" si="31"/>
        <v>2021</v>
      </c>
    </row>
    <row r="506" spans="1:10" s="9" customFormat="1" ht="15.75" hidden="1" thickBot="1" x14ac:dyDescent="0.3">
      <c r="A506" s="423">
        <v>44378</v>
      </c>
      <c r="B506" s="59" t="str">
        <f t="shared" si="28"/>
        <v>JULIO</v>
      </c>
      <c r="C506" s="59">
        <f t="shared" si="29"/>
        <v>27</v>
      </c>
      <c r="D506" s="453" t="str">
        <f t="shared" si="30"/>
        <v>JUEVES</v>
      </c>
      <c r="E506" s="449">
        <v>256675</v>
      </c>
      <c r="F506" s="453" t="str">
        <f>IFERROR(VLOOKUP(E506,BD!$L$2:$Q$66,2,0),0)</f>
        <v>INCA KOLA PET 1.5LX2 RF</v>
      </c>
      <c r="G506" s="450">
        <f>198*5</f>
        <v>990</v>
      </c>
      <c r="H506" s="454">
        <f>+IFERROR(VLOOKUP(E506,BD!$L$2:$Q$66,6,0),0)</f>
        <v>198</v>
      </c>
      <c r="I506" s="468">
        <f>IFERROR(G506*VLOOKUP($E506,BD!$L$2:$Q$66,5,0),0)</f>
        <v>168.3</v>
      </c>
      <c r="J506" s="8">
        <f t="shared" si="31"/>
        <v>2021</v>
      </c>
    </row>
    <row r="507" spans="1:10" s="9" customFormat="1" hidden="1" x14ac:dyDescent="0.25">
      <c r="A507" s="422">
        <v>44378</v>
      </c>
      <c r="B507" s="56" t="str">
        <f t="shared" si="28"/>
        <v>JULIO</v>
      </c>
      <c r="C507" s="56">
        <f t="shared" si="29"/>
        <v>27</v>
      </c>
      <c r="D507" s="462" t="str">
        <f t="shared" si="30"/>
        <v>JUEVES</v>
      </c>
      <c r="E507" s="463">
        <v>256652</v>
      </c>
      <c r="F507" s="462" t="str">
        <f>IFERROR(VLOOKUP(E507,BD!$L$2:$Q$66,2,0),0)</f>
        <v>TRIPACK FT NAR+FT KI+SP PET 3L</v>
      </c>
      <c r="G507" s="464">
        <f>90*6</f>
        <v>540</v>
      </c>
      <c r="H507" s="465">
        <f>+IFERROR(VLOOKUP(E507,BD!$L$2:$Q$66,6,0),0)</f>
        <v>90</v>
      </c>
      <c r="I507" s="466">
        <f>IFERROR(G507*VLOOKUP($E507,BD!$L$2:$Q$66,5,0),0)</f>
        <v>91.800000000000011</v>
      </c>
      <c r="J507" s="6">
        <f t="shared" si="31"/>
        <v>2021</v>
      </c>
    </row>
    <row r="508" spans="1:10" s="9" customFormat="1" hidden="1" x14ac:dyDescent="0.25">
      <c r="A508" s="421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7">
        <v>256677</v>
      </c>
      <c r="F508" s="54" t="str">
        <f>IFERROR(VLOOKUP(E508,BD!$L$2:$Q$66,2,0),0)</f>
        <v>TWO PACK CC + IK PFM 3LX2 - RFNN</v>
      </c>
      <c r="G508" s="409">
        <f>120*16</f>
        <v>1920</v>
      </c>
      <c r="H508" s="432">
        <f>+IFERROR(VLOOKUP(E508,BD!$L$2:$Q$66,6,0),0)</f>
        <v>120</v>
      </c>
      <c r="I508" s="96">
        <f>IFERROR(G508*VLOOKUP($E508,BD!$L$2:$Q$66,5,0),0)</f>
        <v>326.40000000000003</v>
      </c>
      <c r="J508" s="3">
        <f t="shared" si="31"/>
        <v>2021</v>
      </c>
    </row>
    <row r="509" spans="1:10" s="9" customFormat="1" hidden="1" x14ac:dyDescent="0.25">
      <c r="A509" s="421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7">
        <v>256383</v>
      </c>
      <c r="F509" s="54" t="str">
        <f>IFERROR(VLOOKUP(E509,BD!$L$2:$Q$66,2,0),0)</f>
        <v>COCA COLA VR 1.5LX8 - STICKER</v>
      </c>
      <c r="G509" s="409">
        <f>30*6</f>
        <v>180</v>
      </c>
      <c r="H509" s="432">
        <f>+IFERROR(VLOOKUP(E509,BD!$L$2:$Q$66,6,0),0)</f>
        <v>30</v>
      </c>
      <c r="I509" s="429">
        <f>IFERROR(G509*VLOOKUP($E509,BD!$L$2:$Q$66,5,0),0)</f>
        <v>41.4</v>
      </c>
      <c r="J509" s="3">
        <f t="shared" si="31"/>
        <v>2021</v>
      </c>
    </row>
    <row r="510" spans="1:10" s="9" customFormat="1" hidden="1" x14ac:dyDescent="0.25">
      <c r="A510" s="421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7">
        <v>256379</v>
      </c>
      <c r="F510" s="54" t="str">
        <f>IFERROR(VLOOKUP(E510,BD!$L$2:$Q$66,2,0),0)</f>
        <v>INCA KOLA VR 625MLX12 - STICKER</v>
      </c>
      <c r="G510" s="409">
        <f>50*2</f>
        <v>100</v>
      </c>
      <c r="H510" s="432">
        <f>+IFERROR(VLOOKUP(E510,BD!$L$2:$Q$66,6,0),0)</f>
        <v>50</v>
      </c>
      <c r="I510" s="96">
        <f>IFERROR(G510*VLOOKUP($E510,BD!$L$2:$Q$66,5,0),0)</f>
        <v>40</v>
      </c>
      <c r="J510" s="3">
        <f t="shared" si="31"/>
        <v>2021</v>
      </c>
    </row>
    <row r="511" spans="1:10" s="9" customFormat="1" hidden="1" x14ac:dyDescent="0.25">
      <c r="A511" s="421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7">
        <v>251429</v>
      </c>
      <c r="F511" s="54" t="str">
        <f>IFERROR(VLOOKUP(E511,BD!$L$2:$Q$66,2,0),0)</f>
        <v>SAN LUIS SIN GAS PET2500X6 STICKER</v>
      </c>
      <c r="G511" s="428">
        <f>48*14</f>
        <v>672</v>
      </c>
      <c r="H511" s="432">
        <f>+IFERROR(VLOOKUP(E511,BD!$L$2:$Q$66,6,0),0)</f>
        <v>48</v>
      </c>
      <c r="I511" s="429">
        <f>IFERROR(G511*VLOOKUP($E511,BD!$L$2:$Q$66,5,0),0)</f>
        <v>268.8</v>
      </c>
      <c r="J511" s="3">
        <f t="shared" si="31"/>
        <v>2021</v>
      </c>
    </row>
    <row r="512" spans="1:10" s="9" customFormat="1" hidden="1" x14ac:dyDescent="0.25">
      <c r="A512" s="421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7">
        <v>751315</v>
      </c>
      <c r="F512" s="54" t="str">
        <f>IFERROR(VLOOKUP(E512,BD!$L$2:$Q$66,2,0),0)</f>
        <v>MONSTER ENERGY 473MLX4</v>
      </c>
      <c r="G512" s="409">
        <f>420*2</f>
        <v>840</v>
      </c>
      <c r="H512" s="432">
        <f>+IFERROR(VLOOKUP(E512,BD!$L$2:$Q$66,6,0),0)</f>
        <v>420</v>
      </c>
      <c r="I512" s="429">
        <f>IFERROR(G512*VLOOKUP($E512,BD!$L$2:$Q$66,5,0),0)</f>
        <v>352.8</v>
      </c>
      <c r="J512" s="3">
        <f t="shared" si="31"/>
        <v>2021</v>
      </c>
    </row>
    <row r="513" spans="1:10" s="9" customFormat="1" hidden="1" x14ac:dyDescent="0.25">
      <c r="A513" s="421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7">
        <v>251633</v>
      </c>
      <c r="F513" s="54" t="str">
        <f>IFERROR(VLOOKUP(E513,BD!$L$2:$Q$66,2,0),0)</f>
        <v>SAN LUIS CON GAS PET 625MLX6</v>
      </c>
      <c r="G513" s="409">
        <f>180*2</f>
        <v>360</v>
      </c>
      <c r="H513" s="432">
        <f>+IFERROR(VLOOKUP(E513,BD!$L$2:$Q$66,6,0),0)</f>
        <v>180</v>
      </c>
      <c r="I513" s="96">
        <f>IFERROR(G513*VLOOKUP($E513,BD!$L$2:$Q$66,5,0),0)</f>
        <v>151.19999999999999</v>
      </c>
      <c r="J513" s="3">
        <f t="shared" si="31"/>
        <v>2021</v>
      </c>
    </row>
    <row r="514" spans="1:10" s="9" customFormat="1" hidden="1" x14ac:dyDescent="0.25">
      <c r="A514" s="421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7">
        <v>251406</v>
      </c>
      <c r="F514" s="54" t="str">
        <f>IFERROR(VLOOKUP(E514,BD!$L$2:$Q$66,2,0),0)</f>
        <v>COCA-COLA SIN AZUCAR PET 1.5LX2</v>
      </c>
      <c r="G514" s="409">
        <f>198*2</f>
        <v>396</v>
      </c>
      <c r="H514" s="432">
        <f>+IFERROR(VLOOKUP(E514,BD!$L$2:$Q$66,6,0),0)</f>
        <v>198</v>
      </c>
      <c r="I514" s="429">
        <f>IFERROR(G514*VLOOKUP($E514,BD!$L$2:$Q$66,5,0),0)</f>
        <v>67.320000000000007</v>
      </c>
      <c r="J514" s="3">
        <f t="shared" si="31"/>
        <v>2021</v>
      </c>
    </row>
    <row r="515" spans="1:10" s="9" customFormat="1" hidden="1" x14ac:dyDescent="0.25">
      <c r="A515" s="421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7">
        <v>254853</v>
      </c>
      <c r="F515" s="54" t="str">
        <f>IFERROR(VLOOKUP(E515,BD!$L$2:$Q$66,2,0),0)</f>
        <v>INCA KOLA SIN AZUCAR PET 1.5LX2</v>
      </c>
      <c r="G515" s="409">
        <f>198*13</f>
        <v>2574</v>
      </c>
      <c r="H515" s="432">
        <f>+IFERROR(VLOOKUP(E515,BD!$L$2:$Q$66,6,0),0)</f>
        <v>198</v>
      </c>
      <c r="I515" s="429">
        <f>IFERROR(G515*VLOOKUP($E515,BD!$L$2:$Q$66,5,0),0)</f>
        <v>437.58000000000004</v>
      </c>
      <c r="J515" s="3">
        <f t="shared" si="31"/>
        <v>2021</v>
      </c>
    </row>
    <row r="516" spans="1:10" s="9" customFormat="1" hidden="1" x14ac:dyDescent="0.25">
      <c r="A516" s="421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7">
        <v>256616</v>
      </c>
      <c r="F516" s="54" t="str">
        <f>IFERROR(VLOOKUP(E516,BD!$L$2:$Q$66,2,0),0)</f>
        <v>TWO PACK SCHWEPPES CITRUS PET 1.5LX2</v>
      </c>
      <c r="G516" s="409">
        <v>198</v>
      </c>
      <c r="H516" s="432">
        <f>+IFERROR(VLOOKUP(E516,BD!$L$2:$Q$66,6,0),0)</f>
        <v>198</v>
      </c>
      <c r="I516" s="96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hidden="1" x14ac:dyDescent="0.25">
      <c r="A517" s="421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7">
        <v>256666</v>
      </c>
      <c r="F517" s="54" t="str">
        <f>IFERROR(VLOOKUP(E517,BD!$L$2:$Q$66,2,0),0)</f>
        <v>COCA-COLA PET 2.25LX2 RF</v>
      </c>
      <c r="G517" s="409">
        <f>162*2</f>
        <v>324</v>
      </c>
      <c r="H517" s="432">
        <f>+IFERROR(VLOOKUP(E517,BD!$L$2:$Q$66,6,0),0)</f>
        <v>162</v>
      </c>
      <c r="I517" s="429">
        <f>IFERROR(G517*VLOOKUP($E517,BD!$L$2:$Q$66,5,0),0)</f>
        <v>55.080000000000005</v>
      </c>
      <c r="J517" s="3">
        <f t="shared" si="35"/>
        <v>2021</v>
      </c>
    </row>
    <row r="518" spans="1:10" s="9" customFormat="1" hidden="1" x14ac:dyDescent="0.25">
      <c r="A518" s="421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7">
        <v>256601</v>
      </c>
      <c r="F518" s="54" t="str">
        <f>IFERROR(VLOOKUP(E518,BD!$L$2:$Q$66,2,0),0)</f>
        <v>INCA KOLA PET 2.25LX2 RF</v>
      </c>
      <c r="G518" s="409">
        <f>162*2</f>
        <v>324</v>
      </c>
      <c r="H518" s="432">
        <f>+IFERROR(VLOOKUP(E518,BD!$L$2:$Q$66,6,0),0)</f>
        <v>162</v>
      </c>
      <c r="I518" s="429">
        <f>IFERROR(G518*VLOOKUP($E518,BD!$L$2:$Q$66,5,0),0)</f>
        <v>55.080000000000005</v>
      </c>
      <c r="J518" s="3">
        <f t="shared" si="35"/>
        <v>2021</v>
      </c>
    </row>
    <row r="519" spans="1:10" s="9" customFormat="1" hidden="1" x14ac:dyDescent="0.25">
      <c r="A519" s="421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7">
        <v>256488</v>
      </c>
      <c r="F519" s="54" t="str">
        <f>IFERROR(VLOOKUP(E519,BD!$L$2:$Q$66,2,0),0)</f>
        <v>INCA KOLA PET 3LX2 - RF</v>
      </c>
      <c r="G519" s="409">
        <f>120*9</f>
        <v>1080</v>
      </c>
      <c r="H519" s="432">
        <f>+IFERROR(VLOOKUP(E519,BD!$L$2:$Q$66,6,0),0)</f>
        <v>120</v>
      </c>
      <c r="I519" s="96">
        <f>IFERROR(G519*VLOOKUP($E519,BD!$L$2:$Q$66,5,0),0)</f>
        <v>183.60000000000002</v>
      </c>
      <c r="J519" s="3">
        <f t="shared" si="35"/>
        <v>2021</v>
      </c>
    </row>
    <row r="520" spans="1:10" s="9" customFormat="1" hidden="1" x14ac:dyDescent="0.25">
      <c r="A520" s="421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7">
        <v>256676</v>
      </c>
      <c r="F520" s="54" t="str">
        <f>IFERROR(VLOOKUP(E520,BD!$L$2:$Q$66,2,0),0)</f>
        <v>TWO PACK CC PFM 3LX2 - RFCC</v>
      </c>
      <c r="G520" s="370">
        <f>120*10</f>
        <v>1200</v>
      </c>
      <c r="H520" s="432">
        <f>+IFERROR(VLOOKUP(E520,BD!$L$2:$Q$66,6,0),0)</f>
        <v>120</v>
      </c>
      <c r="I520" s="429">
        <f>IFERROR(G520*VLOOKUP($E520,BD!$L$2:$Q$66,5,0),0)</f>
        <v>204.00000000000003</v>
      </c>
      <c r="J520" s="3">
        <f t="shared" si="35"/>
        <v>2021</v>
      </c>
    </row>
    <row r="521" spans="1:10" s="9" customFormat="1" hidden="1" x14ac:dyDescent="0.25">
      <c r="A521" s="421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7">
        <v>256674</v>
      </c>
      <c r="F521" s="54" t="str">
        <f>IFERROR(VLOOKUP(E521,BD!$L$2:$Q$66,2,0),0)</f>
        <v>COCA-COLA PET 1.5LX2 RF</v>
      </c>
      <c r="G521" s="409">
        <f>198*6</f>
        <v>1188</v>
      </c>
      <c r="H521" s="432">
        <f>+IFERROR(VLOOKUP(E521,BD!$L$2:$Q$66,6,0),0)</f>
        <v>198</v>
      </c>
      <c r="I521" s="429">
        <f>IFERROR(G521*VLOOKUP($E521,BD!$L$2:$Q$66,5,0),0)</f>
        <v>201.96</v>
      </c>
      <c r="J521" s="3">
        <f t="shared" si="35"/>
        <v>2021</v>
      </c>
    </row>
    <row r="522" spans="1:10" s="9" customFormat="1" hidden="1" x14ac:dyDescent="0.25">
      <c r="A522" s="421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7">
        <v>256675</v>
      </c>
      <c r="F522" s="54" t="str">
        <f>IFERROR(VLOOKUP(E522,BD!$L$2:$Q$66,2,0),0)</f>
        <v>INCA KOLA PET 1.5LX2 RF</v>
      </c>
      <c r="G522" s="409">
        <f>198*6</f>
        <v>1188</v>
      </c>
      <c r="H522" s="432">
        <f>+IFERROR(VLOOKUP(E522,BD!$L$2:$Q$66,6,0),0)</f>
        <v>198</v>
      </c>
      <c r="I522" s="96">
        <f>IFERROR(G522*VLOOKUP($E522,BD!$L$2:$Q$66,5,0),0)</f>
        <v>201.96</v>
      </c>
      <c r="J522" s="3">
        <f t="shared" si="35"/>
        <v>2021</v>
      </c>
    </row>
    <row r="523" spans="1:10" s="9" customFormat="1" ht="15.75" hidden="1" thickBot="1" x14ac:dyDescent="0.3">
      <c r="A523" s="423">
        <v>44379</v>
      </c>
      <c r="B523" s="59" t="str">
        <f t="shared" si="32"/>
        <v>JULIO</v>
      </c>
      <c r="C523" s="59">
        <f t="shared" si="33"/>
        <v>27</v>
      </c>
      <c r="D523" s="453" t="str">
        <f t="shared" si="34"/>
        <v>VIERNES</v>
      </c>
      <c r="E523" s="449">
        <v>256652</v>
      </c>
      <c r="F523" s="453" t="str">
        <f>IFERROR(VLOOKUP(E523,BD!$L$2:$Q$66,2,0),0)</f>
        <v>TRIPACK FT NAR+FT KI+SP PET 3L</v>
      </c>
      <c r="G523" s="450">
        <v>540</v>
      </c>
      <c r="H523" s="454">
        <f>+IFERROR(VLOOKUP(E523,BD!$L$2:$Q$66,6,0),0)</f>
        <v>90</v>
      </c>
      <c r="I523" s="468">
        <f>IFERROR(G523*VLOOKUP($E523,BD!$L$2:$Q$66,5,0),0)</f>
        <v>91.800000000000011</v>
      </c>
      <c r="J523" s="8">
        <f t="shared" si="35"/>
        <v>2021</v>
      </c>
    </row>
    <row r="524" spans="1:10" s="9" customFormat="1" hidden="1" x14ac:dyDescent="0.25">
      <c r="A524" s="422">
        <v>44379</v>
      </c>
      <c r="B524" s="56" t="str">
        <f t="shared" si="32"/>
        <v>JULIO</v>
      </c>
      <c r="C524" s="56">
        <f t="shared" si="33"/>
        <v>27</v>
      </c>
      <c r="D524" s="462" t="str">
        <f t="shared" si="34"/>
        <v>VIERNES</v>
      </c>
      <c r="E524" s="463">
        <v>256677</v>
      </c>
      <c r="F524" s="462" t="str">
        <f>IFERROR(VLOOKUP(E524,BD!$L$2:$Q$66,2,0),0)</f>
        <v>TWO PACK CC + IK PFM 3LX2 - RFNN</v>
      </c>
      <c r="G524" s="464">
        <f>120*10</f>
        <v>1200</v>
      </c>
      <c r="H524" s="465">
        <f>+IFERROR(VLOOKUP(E524,BD!$L$2:$Q$66,6,0),0)</f>
        <v>120</v>
      </c>
      <c r="I524" s="466">
        <f>IFERROR(G524*VLOOKUP($E524,BD!$L$2:$Q$66,5,0),0)</f>
        <v>204.00000000000003</v>
      </c>
      <c r="J524" s="6">
        <f t="shared" si="35"/>
        <v>2021</v>
      </c>
    </row>
    <row r="525" spans="1:10" s="9" customFormat="1" hidden="1" x14ac:dyDescent="0.25">
      <c r="A525" s="421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7">
        <v>256678</v>
      </c>
      <c r="F525" s="54" t="str">
        <f>IFERROR(VLOOKUP(E525,BD!$L$2:$Q$66,2,0),0)</f>
        <v>TRIPACK (CC+IK)PFM+FT PET 3LX3 - RFNN</v>
      </c>
      <c r="G525" s="409">
        <f>90*10</f>
        <v>900</v>
      </c>
      <c r="H525" s="432">
        <f>+IFERROR(VLOOKUP(E525,BD!$L$2:$Q$66,6,0),0)</f>
        <v>90</v>
      </c>
      <c r="I525" s="96">
        <f>IFERROR(G525*VLOOKUP($E525,BD!$L$2:$Q$66,5,0),0)</f>
        <v>153</v>
      </c>
      <c r="J525" s="3">
        <f t="shared" si="35"/>
        <v>2021</v>
      </c>
    </row>
    <row r="526" spans="1:10" s="9" customFormat="1" hidden="1" x14ac:dyDescent="0.25">
      <c r="A526" s="421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7">
        <v>256682</v>
      </c>
      <c r="F526" s="54" t="str">
        <f>IFERROR(VLOOKUP(E526,BD!$L$2:$Q$66,2,0),0)</f>
        <v>TRIPACK (FT NAR+SP)PET+IK RF PFM 3L</v>
      </c>
      <c r="G526" s="409">
        <f>90*3</f>
        <v>270</v>
      </c>
      <c r="H526" s="432">
        <f>+IFERROR(VLOOKUP(E526,BD!$L$2:$Q$66,6,0),0)</f>
        <v>90</v>
      </c>
      <c r="I526" s="429">
        <f>IFERROR(G526*VLOOKUP($E526,BD!$L$2:$Q$66,5,0),0)</f>
        <v>45.900000000000006</v>
      </c>
      <c r="J526" s="3">
        <f t="shared" si="35"/>
        <v>2021</v>
      </c>
    </row>
    <row r="527" spans="1:10" s="9" customFormat="1" hidden="1" x14ac:dyDescent="0.25">
      <c r="A527" s="421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7">
        <v>256695</v>
      </c>
      <c r="F527" s="54" t="str">
        <f>IFERROR(VLOOKUP(E527,BD!$L$2:$Q$66,2,0),0)</f>
        <v>POWERADE 3MORA+3FRUT PET 473MLX6</v>
      </c>
      <c r="G527" s="409">
        <f>225*8</f>
        <v>1800</v>
      </c>
      <c r="H527" s="432">
        <f>+IFERROR(VLOOKUP(E527,BD!$L$2:$Q$66,6,0),0)</f>
        <v>225</v>
      </c>
      <c r="I527" s="429">
        <f>IFERROR(G527*VLOOKUP($E527,BD!$L$2:$Q$66,5,0),0)</f>
        <v>756</v>
      </c>
      <c r="J527" s="3">
        <f t="shared" si="35"/>
        <v>2021</v>
      </c>
    </row>
    <row r="528" spans="1:10" s="9" customFormat="1" hidden="1" x14ac:dyDescent="0.25">
      <c r="A528" s="421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7">
        <v>256708</v>
      </c>
      <c r="F528" s="54" t="str">
        <f>IFERROR(VLOOKUP(E528,BD!$L$2:$Q$66,2,0),0)</f>
        <v>POWERADE ION4 FRUTA PET473X6 MOD (STICK)</v>
      </c>
      <c r="G528" s="409">
        <f>225*2</f>
        <v>450</v>
      </c>
      <c r="H528" s="432">
        <f>+IFERROR(VLOOKUP(E528,BD!$L$2:$Q$66,6,0),0)</f>
        <v>225</v>
      </c>
      <c r="I528" s="96">
        <f>IFERROR(G528*VLOOKUP($E528,BD!$L$2:$Q$66,5,0),0)</f>
        <v>180</v>
      </c>
      <c r="J528" s="3">
        <f t="shared" si="35"/>
        <v>2021</v>
      </c>
    </row>
    <row r="529" spans="1:10" s="9" customFormat="1" hidden="1" x14ac:dyDescent="0.25">
      <c r="A529" s="421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7">
        <v>254852</v>
      </c>
      <c r="F529" s="54" t="str">
        <f>IFERROR(VLOOKUP(E529,BD!$L$2:$Q$66,2,0),0)</f>
        <v>INCA KOLA PET 500MLX6</v>
      </c>
      <c r="G529" s="409">
        <f>250*6</f>
        <v>1500</v>
      </c>
      <c r="H529" s="432">
        <f>+IFERROR(VLOOKUP(E529,BD!$L$2:$Q$66,6,0),0)</f>
        <v>225</v>
      </c>
      <c r="I529" s="429">
        <f>IFERROR(G529*VLOOKUP($E529,BD!$L$2:$Q$66,5,0),0)</f>
        <v>630</v>
      </c>
      <c r="J529" s="3">
        <f t="shared" si="35"/>
        <v>2021</v>
      </c>
    </row>
    <row r="530" spans="1:10" s="9" customFormat="1" hidden="1" x14ac:dyDescent="0.25">
      <c r="A530" s="421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7">
        <v>256680</v>
      </c>
      <c r="F530" s="54" t="str">
        <f>IFERROR(VLOOKUP(E530,BD!$L$2:$Q$66,2,0),0)</f>
        <v>TRIPACK CC+CC+IK PFM 3LX3 - RFNN</v>
      </c>
      <c r="G530" s="409">
        <v>90</v>
      </c>
      <c r="H530" s="432">
        <f>+IFERROR(VLOOKUP(E530,BD!$L$2:$Q$66,6,0),0)</f>
        <v>90</v>
      </c>
      <c r="I530" s="96">
        <f>IFERROR(G530*VLOOKUP($E530,BD!$L$2:$Q$66,5,0),0)</f>
        <v>15.3</v>
      </c>
      <c r="J530" s="3">
        <f t="shared" si="35"/>
        <v>2021</v>
      </c>
    </row>
    <row r="531" spans="1:10" s="9" customFormat="1" hidden="1" x14ac:dyDescent="0.25">
      <c r="A531" s="421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7">
        <v>256679</v>
      </c>
      <c r="F531" s="54" t="str">
        <f>IFERROR(VLOOKUP(E531,BD!$L$2:$Q$66,2,0),0)</f>
        <v>TRIPACK CC+IK+IK PFM 3LX3 - RFNN</v>
      </c>
      <c r="G531" s="409">
        <f>90*3</f>
        <v>270</v>
      </c>
      <c r="H531" s="432">
        <f>+IFERROR(VLOOKUP(E531,BD!$L$2:$Q$66,6,0),0)</f>
        <v>90</v>
      </c>
      <c r="I531" s="429">
        <f>IFERROR(G531*VLOOKUP($E531,BD!$L$2:$Q$66,5,0),0)</f>
        <v>45.900000000000006</v>
      </c>
      <c r="J531" s="3">
        <f t="shared" si="35"/>
        <v>2021</v>
      </c>
    </row>
    <row r="532" spans="1:10" s="9" customFormat="1" hidden="1" x14ac:dyDescent="0.25">
      <c r="A532" s="421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7">
        <v>254852</v>
      </c>
      <c r="F532" s="54" t="str">
        <f>IFERROR(VLOOKUP(E532,BD!$L$2:$Q$66,2,0),0)</f>
        <v>INCA KOLA PET 500MLX6</v>
      </c>
      <c r="G532" s="409">
        <f>250*5</f>
        <v>1250</v>
      </c>
      <c r="H532" s="432">
        <f>+IFERROR(VLOOKUP(E532,BD!$L$2:$Q$66,6,0),0)</f>
        <v>225</v>
      </c>
      <c r="I532" s="429">
        <f>IFERROR(G532*VLOOKUP($E532,BD!$L$2:$Q$66,5,0),0)</f>
        <v>525</v>
      </c>
      <c r="J532" s="3">
        <f t="shared" si="35"/>
        <v>2021</v>
      </c>
    </row>
    <row r="533" spans="1:10" s="9" customFormat="1" hidden="1" x14ac:dyDescent="0.25">
      <c r="A533" s="421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7">
        <v>256678</v>
      </c>
      <c r="F533" s="54" t="str">
        <f>IFERROR(VLOOKUP(E533,BD!$L$2:$Q$66,2,0),0)</f>
        <v>TRIPACK (CC+IK)PFM+FT PET 3LX3 - RFNN</v>
      </c>
      <c r="G533" s="409">
        <v>180</v>
      </c>
      <c r="H533" s="432">
        <f>+IFERROR(VLOOKUP(E533,BD!$L$2:$Q$66,6,0),0)</f>
        <v>90</v>
      </c>
      <c r="I533" s="429">
        <f>IFERROR(G533*VLOOKUP($E533,BD!$L$2:$Q$66,5,0),0)</f>
        <v>30.6</v>
      </c>
      <c r="J533" s="3">
        <f t="shared" si="35"/>
        <v>2021</v>
      </c>
    </row>
    <row r="534" spans="1:10" s="9" customFormat="1" hidden="1" x14ac:dyDescent="0.25">
      <c r="A534" s="421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7">
        <v>256682</v>
      </c>
      <c r="F534" s="54" t="str">
        <f>IFERROR(VLOOKUP(E534,BD!$L$2:$Q$66,2,0),0)</f>
        <v>TRIPACK (FT NAR+SP)PET+IK RF PFM 3L</v>
      </c>
      <c r="G534" s="409">
        <f>90*5</f>
        <v>450</v>
      </c>
      <c r="H534" s="432">
        <f>+IFERROR(VLOOKUP(E534,BD!$L$2:$Q$66,6,0),0)</f>
        <v>90</v>
      </c>
      <c r="I534" s="429">
        <f>IFERROR(G534*VLOOKUP($E534,BD!$L$2:$Q$66,5,0),0)</f>
        <v>76.5</v>
      </c>
      <c r="J534" s="3">
        <f t="shared" si="35"/>
        <v>2021</v>
      </c>
    </row>
    <row r="535" spans="1:10" s="9" customFormat="1" hidden="1" x14ac:dyDescent="0.25">
      <c r="A535" s="421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7">
        <v>256652</v>
      </c>
      <c r="F535" s="54" t="str">
        <f>IFERROR(VLOOKUP(E535,BD!$L$2:$Q$66,2,0),0)</f>
        <v>TRIPACK FT NAR+FT KI+SP PET 3L</v>
      </c>
      <c r="G535" s="409">
        <f>90*6</f>
        <v>540</v>
      </c>
      <c r="H535" s="432">
        <f>+IFERROR(VLOOKUP(E535,BD!$L$2:$Q$66,6,0),0)</f>
        <v>90</v>
      </c>
      <c r="I535" s="429">
        <f>IFERROR(G535*VLOOKUP($E535,BD!$L$2:$Q$66,5,0),0)</f>
        <v>91.800000000000011</v>
      </c>
      <c r="J535" s="3">
        <f t="shared" si="35"/>
        <v>2021</v>
      </c>
    </row>
    <row r="536" spans="1:10" s="9" customFormat="1" hidden="1" x14ac:dyDescent="0.25">
      <c r="A536" s="421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7">
        <v>256678</v>
      </c>
      <c r="F536" s="54" t="str">
        <f>IFERROR(VLOOKUP(E536,BD!$L$2:$Q$66,2,0),0)</f>
        <v>TRIPACK (CC+IK)PFM+FT PET 3LX3 - RFNN</v>
      </c>
      <c r="G536" s="409">
        <f>90*21</f>
        <v>1890</v>
      </c>
      <c r="H536" s="432">
        <f>+IFERROR(VLOOKUP(E536,BD!$L$2:$Q$66,6,0),0)</f>
        <v>90</v>
      </c>
      <c r="I536" s="96">
        <f>IFERROR(G536*VLOOKUP($E536,BD!$L$2:$Q$66,5,0),0)</f>
        <v>321.3</v>
      </c>
      <c r="J536" s="3">
        <f t="shared" si="35"/>
        <v>2021</v>
      </c>
    </row>
    <row r="537" spans="1:10" s="9" customFormat="1" hidden="1" x14ac:dyDescent="0.25">
      <c r="A537" s="421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7">
        <v>256677</v>
      </c>
      <c r="F537" s="54" t="str">
        <f>IFERROR(VLOOKUP(E537,BD!$L$2:$Q$66,2,0),0)</f>
        <v>TWO PACK CC + IK PFM 3LX2 - RFNN</v>
      </c>
      <c r="G537" s="409">
        <f>120*4</f>
        <v>480</v>
      </c>
      <c r="H537" s="432">
        <f>+IFERROR(VLOOKUP(E537,BD!$L$2:$Q$66,6,0),0)</f>
        <v>120</v>
      </c>
      <c r="I537" s="429">
        <f>IFERROR(G537*VLOOKUP($E537,BD!$L$2:$Q$66,5,0),0)</f>
        <v>81.600000000000009</v>
      </c>
      <c r="J537" s="3">
        <f t="shared" si="35"/>
        <v>2021</v>
      </c>
    </row>
    <row r="538" spans="1:10" s="9" customFormat="1" ht="15.75" hidden="1" thickBot="1" x14ac:dyDescent="0.3">
      <c r="A538" s="423">
        <v>44380</v>
      </c>
      <c r="B538" s="59" t="str">
        <f t="shared" si="32"/>
        <v>JULIO</v>
      </c>
      <c r="C538" s="59">
        <f t="shared" si="33"/>
        <v>28</v>
      </c>
      <c r="D538" s="453" t="str">
        <f t="shared" si="34"/>
        <v>SÁBADO</v>
      </c>
      <c r="E538" s="449">
        <v>251429</v>
      </c>
      <c r="F538" s="453" t="str">
        <f>IFERROR(VLOOKUP(E538,BD!$L$2:$Q$66,2,0),0)</f>
        <v>SAN LUIS SIN GAS PET2500X6 STICKER</v>
      </c>
      <c r="G538" s="450">
        <f>48*5</f>
        <v>240</v>
      </c>
      <c r="H538" s="454">
        <f>+IFERROR(VLOOKUP(E538,BD!$L$2:$Q$66,6,0),0)</f>
        <v>48</v>
      </c>
      <c r="I538" s="468">
        <f>IFERROR(G538*VLOOKUP($E538,BD!$L$2:$Q$66,5,0),0)</f>
        <v>96</v>
      </c>
      <c r="J538" s="8">
        <f t="shared" si="35"/>
        <v>2021</v>
      </c>
    </row>
    <row r="539" spans="1:10" s="9" customFormat="1" hidden="1" x14ac:dyDescent="0.25">
      <c r="A539" s="422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63">
        <v>256676</v>
      </c>
      <c r="F539" s="462" t="str">
        <f>IFERROR(VLOOKUP(E539,BD!$L$2:$Q$66,2,0),0)</f>
        <v>TWO PACK CC PFM 3LX2 - RFCC</v>
      </c>
      <c r="G539" s="502">
        <f>120*6</f>
        <v>720</v>
      </c>
      <c r="H539" s="465">
        <f>+IFERROR(VLOOKUP(E539,BD!$L$2:$Q$66,6,0),0)</f>
        <v>120</v>
      </c>
      <c r="I539" s="97">
        <f>IFERROR(G539*VLOOKUP($E539,BD!$L$2:$Q$66,5,0),0)</f>
        <v>122.4</v>
      </c>
      <c r="J539" s="6">
        <f t="shared" si="35"/>
        <v>2021</v>
      </c>
    </row>
    <row r="540" spans="1:10" s="9" customFormat="1" hidden="1" x14ac:dyDescent="0.25">
      <c r="A540" s="421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7">
        <v>256488</v>
      </c>
      <c r="F540" s="54" t="str">
        <f>IFERROR(VLOOKUP(E540,BD!$L$2:$Q$66,2,0),0)</f>
        <v>INCA KOLA PET 3LX2 - RF</v>
      </c>
      <c r="G540" s="409">
        <f>120*13</f>
        <v>1560</v>
      </c>
      <c r="H540" s="432">
        <f>+IFERROR(VLOOKUP(E540,BD!$L$2:$Q$66,6,0),0)</f>
        <v>120</v>
      </c>
      <c r="I540" s="429">
        <f>IFERROR(G540*VLOOKUP($E540,BD!$L$2:$Q$66,5,0),0)</f>
        <v>265.20000000000005</v>
      </c>
      <c r="J540" s="3">
        <f t="shared" si="35"/>
        <v>2021</v>
      </c>
    </row>
    <row r="541" spans="1:10" s="9" customFormat="1" ht="15.75" hidden="1" thickBot="1" x14ac:dyDescent="0.3">
      <c r="A541" s="423">
        <v>44380</v>
      </c>
      <c r="B541" s="59" t="str">
        <f t="shared" si="32"/>
        <v>JULIO</v>
      </c>
      <c r="C541" s="59">
        <f t="shared" si="33"/>
        <v>28</v>
      </c>
      <c r="D541" s="453" t="str">
        <f t="shared" si="34"/>
        <v>SÁBADO</v>
      </c>
      <c r="E541" s="449">
        <v>256675</v>
      </c>
      <c r="F541" s="453" t="str">
        <f>IFERROR(VLOOKUP(E541,BD!$L$2:$Q$66,2,0),0)</f>
        <v>INCA KOLA PET 1.5LX2 RF</v>
      </c>
      <c r="G541" s="450">
        <f>198*6</f>
        <v>1188</v>
      </c>
      <c r="H541" s="454">
        <f>+IFERROR(VLOOKUP(E541,BD!$L$2:$Q$66,6,0),0)</f>
        <v>198</v>
      </c>
      <c r="I541" s="468">
        <f>IFERROR(G541*VLOOKUP($E541,BD!$L$2:$Q$66,5,0),0)</f>
        <v>201.96</v>
      </c>
      <c r="J541" s="8">
        <f t="shared" si="35"/>
        <v>2021</v>
      </c>
    </row>
    <row r="542" spans="1:10" s="9" customFormat="1" hidden="1" x14ac:dyDescent="0.25">
      <c r="A542" s="482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8">
        <v>256674</v>
      </c>
      <c r="F542" s="451" t="str">
        <f>IFERROR(VLOOKUP(E542,BD!$L$2:$Q$66,2,0),0)</f>
        <v>COCA-COLA PET 1.5LX2 RF</v>
      </c>
      <c r="G542" s="455">
        <f>198*4</f>
        <v>792</v>
      </c>
      <c r="H542" s="452">
        <f>+IFERROR(VLOOKUP(E542,BD!$L$2:$Q$66,6,0),0)</f>
        <v>198</v>
      </c>
      <c r="I542" s="467">
        <f>IFERROR(G542*VLOOKUP($E542,BD!$L$2:$Q$66,5,0),0)</f>
        <v>134.64000000000001</v>
      </c>
      <c r="J542" s="21">
        <f t="shared" si="35"/>
        <v>2021</v>
      </c>
    </row>
    <row r="543" spans="1:10" s="9" customFormat="1" hidden="1" x14ac:dyDescent="0.25">
      <c r="A543" s="483">
        <v>44380</v>
      </c>
      <c r="B543" s="57" t="str">
        <f t="shared" si="32"/>
        <v>JULIO</v>
      </c>
      <c r="C543" s="57">
        <f t="shared" si="33"/>
        <v>28</v>
      </c>
      <c r="D543" s="469" t="str">
        <f t="shared" si="34"/>
        <v>SÁBADO</v>
      </c>
      <c r="E543" s="470">
        <v>254853</v>
      </c>
      <c r="F543" s="469" t="str">
        <f>IFERROR(VLOOKUP(E543,BD!$L$2:$Q$66,2,0),0)</f>
        <v>INCA KOLA SIN AZUCAR PET 1.5LX2</v>
      </c>
      <c r="G543" s="471">
        <f>198*6</f>
        <v>1188</v>
      </c>
      <c r="H543" s="472">
        <f>+IFERROR(VLOOKUP(E543,BD!$L$2:$Q$66,6,0),0)</f>
        <v>198</v>
      </c>
      <c r="I543" s="473">
        <f>IFERROR(G543*VLOOKUP($E543,BD!$L$2:$Q$66,5,0),0)</f>
        <v>201.96</v>
      </c>
      <c r="J543" s="33">
        <f t="shared" si="35"/>
        <v>2021</v>
      </c>
    </row>
    <row r="544" spans="1:10" s="9" customFormat="1" hidden="1" x14ac:dyDescent="0.25">
      <c r="A544" s="422">
        <v>44380</v>
      </c>
      <c r="B544" s="56" t="str">
        <f t="shared" si="32"/>
        <v>JULIO</v>
      </c>
      <c r="C544" s="56">
        <f t="shared" si="33"/>
        <v>28</v>
      </c>
      <c r="D544" s="462" t="str">
        <f t="shared" si="34"/>
        <v>SÁBADO</v>
      </c>
      <c r="E544" s="463">
        <v>251406</v>
      </c>
      <c r="F544" s="462" t="str">
        <f>IFERROR(VLOOKUP(E544,BD!$L$2:$Q$66,2,0),0)</f>
        <v>COCA-COLA SIN AZUCAR PET 1.5LX2</v>
      </c>
      <c r="G544" s="464">
        <f>198*11</f>
        <v>2178</v>
      </c>
      <c r="H544" s="465">
        <f>+IFERROR(VLOOKUP(E544,BD!$L$2:$Q$66,6,0),0)</f>
        <v>198</v>
      </c>
      <c r="I544" s="466">
        <f>IFERROR(G544*VLOOKUP($E544,BD!$L$2:$Q$66,5,0),0)</f>
        <v>370.26000000000005</v>
      </c>
      <c r="J544" s="6">
        <f t="shared" si="35"/>
        <v>2021</v>
      </c>
    </row>
    <row r="545" spans="1:10" s="9" customFormat="1" hidden="1" x14ac:dyDescent="0.25">
      <c r="A545" s="421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7">
        <v>256616</v>
      </c>
      <c r="F545" s="54" t="str">
        <f>IFERROR(VLOOKUP(E545,BD!$L$2:$Q$66,2,0),0)</f>
        <v>TWO PACK SCHWEPPES CITRUS PET 1.5LX2</v>
      </c>
      <c r="G545" s="409">
        <f>198*3</f>
        <v>594</v>
      </c>
      <c r="H545" s="432">
        <f>+IFERROR(VLOOKUP(E545,BD!$L$2:$Q$66,6,0),0)</f>
        <v>198</v>
      </c>
      <c r="I545" s="96">
        <f>IFERROR(G545*VLOOKUP($E545,BD!$L$2:$Q$66,5,0),0)</f>
        <v>100.98</v>
      </c>
      <c r="J545" s="3">
        <f t="shared" si="35"/>
        <v>2021</v>
      </c>
    </row>
    <row r="546" spans="1:10" s="9" customFormat="1" hidden="1" x14ac:dyDescent="0.25">
      <c r="A546" s="421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7">
        <v>751315</v>
      </c>
      <c r="F546" s="54" t="str">
        <f>IFERROR(VLOOKUP(E546,BD!$L$2:$Q$66,2,0),0)</f>
        <v>MONSTER ENERGY 473MLX4</v>
      </c>
      <c r="G546" s="409">
        <f>420*4</f>
        <v>1680</v>
      </c>
      <c r="H546" s="432">
        <f>+IFERROR(VLOOKUP(E546,BD!$L$2:$Q$66,6,0),0)</f>
        <v>420</v>
      </c>
      <c r="I546" s="96">
        <f>IFERROR(G546*VLOOKUP($E546,BD!$L$2:$Q$66,5,0),0)</f>
        <v>705.6</v>
      </c>
      <c r="J546" s="3">
        <f t="shared" si="35"/>
        <v>2021</v>
      </c>
    </row>
    <row r="547" spans="1:10" s="9" customFormat="1" hidden="1" x14ac:dyDescent="0.25">
      <c r="A547" s="421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7">
        <v>251633</v>
      </c>
      <c r="F547" s="3" t="str">
        <f>IFERROR(VLOOKUP(E547,BD!$L$2:$Q$66,2,0),0)</f>
        <v>SAN LUIS CON GAS PET 625MLX6</v>
      </c>
      <c r="G547" s="409">
        <f>180*1</f>
        <v>180</v>
      </c>
      <c r="H547" s="3">
        <f>+IFERROR(VLOOKUP(E547,BD!$L$2:$Q$66,6,0),0)</f>
        <v>180</v>
      </c>
      <c r="I547" s="96">
        <f>IFERROR(G547*VLOOKUP($E547,BD!$L$2:$Q$66,5,0),0)</f>
        <v>75.599999999999994</v>
      </c>
      <c r="J547" s="3">
        <f t="shared" si="35"/>
        <v>2021</v>
      </c>
    </row>
    <row r="548" spans="1:10" s="9" customFormat="1" hidden="1" x14ac:dyDescent="0.25">
      <c r="A548" s="421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7">
        <v>256666</v>
      </c>
      <c r="F548" s="3" t="str">
        <f>IFERROR(VLOOKUP(E548,BD!$L$2:$Q$66,2,0),0)</f>
        <v>COCA-COLA PET 2.25LX2 RF</v>
      </c>
      <c r="G548" s="409">
        <v>162</v>
      </c>
      <c r="H548" s="3">
        <f>+IFERROR(VLOOKUP(E548,BD!$L$2:$Q$66,6,0),0)</f>
        <v>162</v>
      </c>
      <c r="I548" s="96">
        <f>IFERROR(G548*VLOOKUP($E548,BD!$L$2:$Q$66,5,0),0)</f>
        <v>27.540000000000003</v>
      </c>
      <c r="J548" s="3">
        <f t="shared" si="35"/>
        <v>2021</v>
      </c>
    </row>
    <row r="549" spans="1:10" s="9" customFormat="1" hidden="1" x14ac:dyDescent="0.25">
      <c r="A549" s="421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7">
        <v>256616</v>
      </c>
      <c r="F549" s="54" t="str">
        <f>IFERROR(VLOOKUP(E549,BD!$L$2:$Q$66,2,0),0)</f>
        <v>TWO PACK SCHWEPPES CITRUS PET 1.5LX2</v>
      </c>
      <c r="G549" s="409">
        <f>198*4</f>
        <v>792</v>
      </c>
      <c r="H549" s="432">
        <f>+IFERROR(VLOOKUP(E549,BD!$L$2:$Q$66,6,0),0)</f>
        <v>198</v>
      </c>
      <c r="I549" s="96">
        <f>IFERROR(G549*VLOOKUP($E549,BD!$L$2:$Q$66,5,0),0)</f>
        <v>134.64000000000001</v>
      </c>
      <c r="J549" s="3">
        <f t="shared" si="35"/>
        <v>2021</v>
      </c>
    </row>
    <row r="550" spans="1:10" s="9" customFormat="1" hidden="1" x14ac:dyDescent="0.25">
      <c r="A550" s="421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7">
        <v>256709</v>
      </c>
      <c r="F550" s="54" t="str">
        <f>IFERROR(VLOOKUP(E550,BD!$L$2:$Q$66,2,0),0)</f>
        <v>POWERADE ION4 MORA AZ PET473X6 MOD(STCK)</v>
      </c>
      <c r="G550" s="409">
        <f>225*2</f>
        <v>450</v>
      </c>
      <c r="H550" s="432">
        <f>+IFERROR(VLOOKUP(E550,BD!$L$2:$Q$66,6,0),0)</f>
        <v>225</v>
      </c>
      <c r="I550" s="429">
        <f>IFERROR(G550*VLOOKUP($E550,BD!$L$2:$Q$66,5,0),0)</f>
        <v>180</v>
      </c>
      <c r="J550" s="3">
        <f t="shared" si="35"/>
        <v>2021</v>
      </c>
    </row>
    <row r="551" spans="1:10" s="9" customFormat="1" hidden="1" x14ac:dyDescent="0.25">
      <c r="A551" s="421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7">
        <v>751315</v>
      </c>
      <c r="F551" s="54" t="str">
        <f>IFERROR(VLOOKUP(E551,BD!$L$2:$Q$66,2,0),0)</f>
        <v>MONSTER ENERGY 473MLX4</v>
      </c>
      <c r="G551" s="409">
        <f>420*7</f>
        <v>2940</v>
      </c>
      <c r="H551" s="432">
        <f>+IFERROR(VLOOKUP(E551,BD!$L$2:$Q$66,6,0),0)</f>
        <v>420</v>
      </c>
      <c r="I551" s="429">
        <f>IFERROR(G551*VLOOKUP($E551,BD!$L$2:$Q$66,5,0),0)</f>
        <v>1234.8</v>
      </c>
      <c r="J551" s="3">
        <f t="shared" si="35"/>
        <v>2021</v>
      </c>
    </row>
    <row r="552" spans="1:10" s="9" customFormat="1" hidden="1" x14ac:dyDescent="0.25">
      <c r="A552" s="421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7">
        <v>256652</v>
      </c>
      <c r="F552" s="54" t="str">
        <f>IFERROR(VLOOKUP(E552,BD!$L$2:$Q$66,2,0),0)</f>
        <v>TRIPACK FT NAR+FT KI+SP PET 3L</v>
      </c>
      <c r="G552" s="409">
        <f>90*6</f>
        <v>540</v>
      </c>
      <c r="H552" s="432">
        <f>+IFERROR(VLOOKUP(E552,BD!$L$2:$Q$66,6,0),0)</f>
        <v>90</v>
      </c>
      <c r="I552" s="96">
        <f>IFERROR(G552*VLOOKUP($E552,BD!$L$2:$Q$66,5,0),0)</f>
        <v>91.800000000000011</v>
      </c>
      <c r="J552" s="3">
        <f t="shared" si="35"/>
        <v>2021</v>
      </c>
    </row>
    <row r="553" spans="1:10" s="9" customFormat="1" hidden="1" x14ac:dyDescent="0.25">
      <c r="A553" s="421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7">
        <v>256678</v>
      </c>
      <c r="F553" s="54" t="str">
        <f>IFERROR(VLOOKUP(E553,BD!$L$2:$Q$66,2,0),0)</f>
        <v>TRIPACK (CC+IK)PFM+FT PET 3LX3 - RFNN</v>
      </c>
      <c r="G553" s="409">
        <f>90*4</f>
        <v>360</v>
      </c>
      <c r="H553" s="432">
        <f>+IFERROR(VLOOKUP(E553,BD!$L$2:$Q$66,6,0),0)</f>
        <v>90</v>
      </c>
      <c r="I553" s="429">
        <f>IFERROR(G553*VLOOKUP($E553,BD!$L$2:$Q$66,5,0),0)</f>
        <v>61.2</v>
      </c>
      <c r="J553" s="3">
        <f t="shared" si="35"/>
        <v>2021</v>
      </c>
    </row>
    <row r="554" spans="1:10" s="9" customFormat="1" hidden="1" x14ac:dyDescent="0.25">
      <c r="A554" s="421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7">
        <v>256601</v>
      </c>
      <c r="F554" s="54" t="str">
        <f>IFERROR(VLOOKUP(E554,BD!$L$2:$Q$66,2,0),0)</f>
        <v>INCA KOLA PET 2.25LX2 RF</v>
      </c>
      <c r="G554" s="409">
        <f>162*2</f>
        <v>324</v>
      </c>
      <c r="H554" s="432">
        <f>+IFERROR(VLOOKUP(E554,BD!$L$2:$Q$66,6,0),0)</f>
        <v>162</v>
      </c>
      <c r="I554" s="429">
        <f>IFERROR(G554*VLOOKUP($E554,BD!$L$2:$Q$66,5,0),0)</f>
        <v>55.080000000000005</v>
      </c>
      <c r="J554" s="3">
        <f t="shared" si="35"/>
        <v>2021</v>
      </c>
    </row>
    <row r="555" spans="1:10" s="9" customFormat="1" hidden="1" x14ac:dyDescent="0.25">
      <c r="A555" s="421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7">
        <v>256675</v>
      </c>
      <c r="F555" s="54" t="str">
        <f>IFERROR(VLOOKUP(E555,BD!$L$2:$Q$66,2,0),0)</f>
        <v>INCA KOLA PET 1.5LX2 RF</v>
      </c>
      <c r="G555" s="409">
        <f>198*5</f>
        <v>990</v>
      </c>
      <c r="H555" s="432">
        <f>+IFERROR(VLOOKUP(E555,BD!$L$2:$Q$66,6,0),0)</f>
        <v>198</v>
      </c>
      <c r="I555" s="96">
        <f>IFERROR(G555*VLOOKUP($E555,BD!$L$2:$Q$66,5,0),0)</f>
        <v>168.3</v>
      </c>
      <c r="J555" s="3">
        <f t="shared" si="35"/>
        <v>2021</v>
      </c>
    </row>
    <row r="556" spans="1:10" s="9" customFormat="1" hidden="1" x14ac:dyDescent="0.25">
      <c r="A556" s="421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7">
        <v>254853</v>
      </c>
      <c r="F556" s="54" t="str">
        <f>IFERROR(VLOOKUP(E556,BD!$L$2:$Q$66,2,0),0)</f>
        <v>INCA KOLA SIN AZUCAR PET 1.5LX2</v>
      </c>
      <c r="G556" s="409">
        <f>198*18</f>
        <v>3564</v>
      </c>
      <c r="H556" s="432">
        <f>+IFERROR(VLOOKUP(E556,BD!$L$2:$Q$66,6,0),0)</f>
        <v>198</v>
      </c>
      <c r="I556" s="429">
        <f>IFERROR(G556*VLOOKUP($E556,BD!$L$2:$Q$66,5,0),0)</f>
        <v>605.88</v>
      </c>
      <c r="J556" s="3">
        <f t="shared" si="35"/>
        <v>2021</v>
      </c>
    </row>
    <row r="557" spans="1:10" s="9" customFormat="1" hidden="1" x14ac:dyDescent="0.25">
      <c r="A557" s="421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7">
        <v>255405</v>
      </c>
      <c r="F557" s="54" t="str">
        <f>IFERROR(VLOOKUP(E557,BD!$L$2:$Q$66,2,0),0)</f>
        <v>FRUGOS BEBIDA DZ VNR 286MLX6 C/STICKER</v>
      </c>
      <c r="G557" s="409">
        <f>350*2</f>
        <v>700</v>
      </c>
      <c r="H557" s="432">
        <f>+IFERROR(VLOOKUP(E557,BD!$L$2:$Q$66,6,0),0)</f>
        <v>350</v>
      </c>
      <c r="I557" s="429">
        <f>IFERROR(G557*VLOOKUP($E557,BD!$L$2:$Q$66,5,0),0)</f>
        <v>161</v>
      </c>
      <c r="J557" s="3">
        <f t="shared" si="35"/>
        <v>2021</v>
      </c>
    </row>
    <row r="558" spans="1:10" s="9" customFormat="1" ht="15.75" hidden="1" thickBot="1" x14ac:dyDescent="0.3">
      <c r="A558" s="423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9">
        <v>751468</v>
      </c>
      <c r="F558" s="453" t="str">
        <f>IFERROR(VLOOKUP(E558,BD!$L$2:$Q$66,2,0),0)</f>
        <v>MONSTER ENERGY ULTRA 473MLX4</v>
      </c>
      <c r="G558" s="450">
        <v>420</v>
      </c>
      <c r="H558" s="454">
        <f>+IFERROR(VLOOKUP(E558,BD!$L$2:$Q$66,6,0),0)</f>
        <v>420</v>
      </c>
      <c r="I558" s="98">
        <f>IFERROR(G558*VLOOKUP($E558,BD!$L$2:$Q$66,5,0),0)</f>
        <v>176.4</v>
      </c>
      <c r="J558" s="8">
        <f t="shared" si="35"/>
        <v>2021</v>
      </c>
    </row>
    <row r="559" spans="1:10" s="9" customFormat="1" hidden="1" x14ac:dyDescent="0.25">
      <c r="A559" s="422">
        <v>44382</v>
      </c>
      <c r="B559" s="56" t="str">
        <f t="shared" si="32"/>
        <v>JULIO</v>
      </c>
      <c r="C559" s="56">
        <f t="shared" si="33"/>
        <v>28</v>
      </c>
      <c r="D559" s="462" t="str">
        <f t="shared" si="34"/>
        <v>LUNES</v>
      </c>
      <c r="E559" s="463">
        <v>256677</v>
      </c>
      <c r="F559" s="462" t="str">
        <f>IFERROR(VLOOKUP(E559,BD!$L$2:$Q$66,2,0),0)</f>
        <v>TWO PACK CC + IK PFM 3LX2 - RFNN</v>
      </c>
      <c r="G559" s="464">
        <f>120*16</f>
        <v>1920</v>
      </c>
      <c r="H559" s="465">
        <f>+IFERROR(VLOOKUP(E559,BD!$L$2:$Q$66,6,0),0)</f>
        <v>120</v>
      </c>
      <c r="I559" s="466">
        <f>IFERROR(G559*VLOOKUP($E559,BD!$L$2:$Q$66,5,0),0)</f>
        <v>326.40000000000003</v>
      </c>
      <c r="J559" s="6">
        <f t="shared" si="35"/>
        <v>2021</v>
      </c>
    </row>
    <row r="560" spans="1:10" s="9" customFormat="1" hidden="1" x14ac:dyDescent="0.25">
      <c r="A560" s="421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7">
        <v>256488</v>
      </c>
      <c r="F560" s="54" t="str">
        <f>IFERROR(VLOOKUP(E560,BD!$L$2:$Q$66,2,0),0)</f>
        <v>INCA KOLA PET 3LX2 - RF</v>
      </c>
      <c r="G560" s="409">
        <v>120</v>
      </c>
      <c r="H560" s="432">
        <f>+IFERROR(VLOOKUP(E560,BD!$L$2:$Q$66,6,0),0)</f>
        <v>120</v>
      </c>
      <c r="I560" s="429">
        <f>IFERROR(G560*VLOOKUP($E560,BD!$L$2:$Q$66,5,0),0)</f>
        <v>20.400000000000002</v>
      </c>
      <c r="J560" s="3">
        <f t="shared" si="35"/>
        <v>2021</v>
      </c>
    </row>
    <row r="561" spans="1:10" s="9" customFormat="1" hidden="1" x14ac:dyDescent="0.25">
      <c r="A561" s="421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7">
        <v>256674</v>
      </c>
      <c r="F561" s="54" t="str">
        <f>IFERROR(VLOOKUP(E561,BD!$L$2:$Q$66,2,0),0)</f>
        <v>COCA-COLA PET 1.5LX2 RF</v>
      </c>
      <c r="G561" s="409">
        <f>198*4</f>
        <v>792</v>
      </c>
      <c r="H561" s="432">
        <f>+IFERROR(VLOOKUP(E561,BD!$L$2:$Q$66,6,0),0)</f>
        <v>198</v>
      </c>
      <c r="I561" s="96">
        <f>IFERROR(G561*VLOOKUP($E561,BD!$L$2:$Q$66,5,0),0)</f>
        <v>134.64000000000001</v>
      </c>
      <c r="J561" s="3">
        <f t="shared" si="35"/>
        <v>2021</v>
      </c>
    </row>
    <row r="562" spans="1:10" s="9" customFormat="1" hidden="1" x14ac:dyDescent="0.25">
      <c r="A562" s="421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7">
        <v>256679</v>
      </c>
      <c r="F562" s="54" t="str">
        <f>IFERROR(VLOOKUP(E562,BD!$L$2:$Q$66,2,0),0)</f>
        <v>TRIPACK CC+IK+IK PFM 3LX3 - RFNN</v>
      </c>
      <c r="G562" s="409">
        <f>90*8</f>
        <v>720</v>
      </c>
      <c r="H562" s="432">
        <f>+IFERROR(VLOOKUP(E562,BD!$L$2:$Q$66,6,0),0)</f>
        <v>90</v>
      </c>
      <c r="I562" s="429">
        <f>IFERROR(G562*VLOOKUP($E562,BD!$L$2:$Q$66,5,0),0)</f>
        <v>122.4</v>
      </c>
      <c r="J562" s="3">
        <f t="shared" si="35"/>
        <v>2021</v>
      </c>
    </row>
    <row r="563" spans="1:10" s="9" customFormat="1" hidden="1" x14ac:dyDescent="0.25">
      <c r="A563" s="421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7">
        <v>251633</v>
      </c>
      <c r="F563" s="54" t="str">
        <f>IFERROR(VLOOKUP(E563,BD!$L$2:$Q$66,2,0),0)</f>
        <v>SAN LUIS CON GAS PET 625MLX6</v>
      </c>
      <c r="G563" s="409">
        <v>180</v>
      </c>
      <c r="H563" s="432">
        <f>+IFERROR(VLOOKUP(E563,BD!$L$2:$Q$66,6,0),0)</f>
        <v>180</v>
      </c>
      <c r="I563" s="429">
        <f>IFERROR(G563*VLOOKUP($E563,BD!$L$2:$Q$66,5,0),0)</f>
        <v>75.599999999999994</v>
      </c>
      <c r="J563" s="3">
        <f t="shared" si="35"/>
        <v>2021</v>
      </c>
    </row>
    <row r="564" spans="1:10" s="9" customFormat="1" ht="15.75" hidden="1" thickBot="1" x14ac:dyDescent="0.3">
      <c r="A564" s="423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75">
        <v>256601</v>
      </c>
      <c r="F564" s="8" t="str">
        <f>IFERROR(VLOOKUP(E564,BD!$L$2:$Q$66,2,0),0)</f>
        <v>INCA KOLA PET 2.25LX2 RF</v>
      </c>
      <c r="G564" s="450">
        <f>162*4</f>
        <v>648</v>
      </c>
      <c r="H564" s="8">
        <f>+IFERROR(VLOOKUP(E564,BD!$L$2:$Q$66,6,0),0)</f>
        <v>162</v>
      </c>
      <c r="I564" s="98">
        <f>IFERROR(G564*VLOOKUP($E564,BD!$L$2:$Q$66,5,0),0)</f>
        <v>110.16000000000001</v>
      </c>
      <c r="J564" s="8">
        <f t="shared" si="35"/>
        <v>2021</v>
      </c>
    </row>
    <row r="565" spans="1:10" s="9" customFormat="1" hidden="1" x14ac:dyDescent="0.25">
      <c r="A565" s="422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9">
        <v>254853</v>
      </c>
      <c r="F565" s="6" t="str">
        <f>IFERROR(VLOOKUP(E565,BD!$L$2:$Q$66,2,0),0)</f>
        <v>INCA KOLA SIN AZUCAR PET 1.5LX2</v>
      </c>
      <c r="G565" s="464">
        <f>198*6</f>
        <v>1188</v>
      </c>
      <c r="H565" s="6">
        <f>+IFERROR(VLOOKUP(E565,BD!$L$2:$Q$66,6,0),0)</f>
        <v>198</v>
      </c>
      <c r="I565" s="97">
        <f>IFERROR(G565*VLOOKUP($E565,BD!$L$2:$Q$66,5,0),0)</f>
        <v>201.96</v>
      </c>
      <c r="J565" s="6">
        <f t="shared" si="35"/>
        <v>2021</v>
      </c>
    </row>
    <row r="566" spans="1:10" s="9" customFormat="1" hidden="1" x14ac:dyDescent="0.25">
      <c r="A566" s="421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20">
        <v>251406</v>
      </c>
      <c r="F566" s="3" t="str">
        <f>IFERROR(VLOOKUP(E566,BD!$L$2:$Q$66,2,0),0)</f>
        <v>COCA-COLA SIN AZUCAR PET 1.5LX2</v>
      </c>
      <c r="G566" s="409">
        <f>198*13</f>
        <v>2574</v>
      </c>
      <c r="H566" s="3">
        <f>+IFERROR(VLOOKUP(E566,BD!$L$2:$Q$66,6,0),0)</f>
        <v>198</v>
      </c>
      <c r="I566" s="96">
        <f>IFERROR(G566*VLOOKUP($E566,BD!$L$2:$Q$66,5,0),0)</f>
        <v>437.58000000000004</v>
      </c>
      <c r="J566" s="3">
        <f t="shared" si="35"/>
        <v>2021</v>
      </c>
    </row>
    <row r="567" spans="1:10" s="9" customFormat="1" hidden="1" x14ac:dyDescent="0.25">
      <c r="A567" s="421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20">
        <v>256682</v>
      </c>
      <c r="F567" s="3" t="str">
        <f>IFERROR(VLOOKUP(E567,BD!$L$2:$Q$66,2,0),0)</f>
        <v>TRIPACK (FT NAR+SP)PET+IK RF PFM 3L</v>
      </c>
      <c r="G567" s="409">
        <f>90*5</f>
        <v>450</v>
      </c>
      <c r="H567" s="3">
        <f>+IFERROR(VLOOKUP(E567,BD!$L$2:$Q$66,6,0),0)</f>
        <v>90</v>
      </c>
      <c r="I567" s="96">
        <f>IFERROR(G567*VLOOKUP($E567,BD!$L$2:$Q$66,5,0),0)</f>
        <v>76.5</v>
      </c>
      <c r="J567" s="3">
        <f t="shared" si="35"/>
        <v>2021</v>
      </c>
    </row>
    <row r="568" spans="1:10" s="9" customFormat="1" hidden="1" x14ac:dyDescent="0.25">
      <c r="A568" s="491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7">
        <v>256676</v>
      </c>
      <c r="F568" s="3" t="str">
        <f>IFERROR(VLOOKUP(E568,BD!$L$2:$Q$66,2,0),0)</f>
        <v>TWO PACK CC PFM 3LX2 - RFCC</v>
      </c>
      <c r="G568" s="370">
        <f>120*6</f>
        <v>720</v>
      </c>
      <c r="H568" s="3">
        <f>+IFERROR(VLOOKUP(E568,BD!$L$2:$Q$66,6,0),0)</f>
        <v>120</v>
      </c>
      <c r="I568" s="96">
        <f>IFERROR(G568*VLOOKUP($E568,BD!$L$2:$Q$66,5,0),0)</f>
        <v>122.4</v>
      </c>
      <c r="J568" s="3">
        <f t="shared" si="35"/>
        <v>2021</v>
      </c>
    </row>
    <row r="569" spans="1:10" s="9" customFormat="1" hidden="1" x14ac:dyDescent="0.25">
      <c r="A569" s="491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7">
        <v>256674</v>
      </c>
      <c r="F569" s="3" t="str">
        <f>IFERROR(VLOOKUP(E569,BD!$L$2:$Q$66,2,0),0)</f>
        <v>COCA-COLA PET 1.5LX2 RF</v>
      </c>
      <c r="G569" s="409">
        <f>198*9</f>
        <v>1782</v>
      </c>
      <c r="H569" s="3">
        <f>+IFERROR(VLOOKUP(E569,BD!$L$2:$Q$66,6,0),0)</f>
        <v>198</v>
      </c>
      <c r="I569" s="96">
        <f>IFERROR(G569*VLOOKUP($E569,BD!$L$2:$Q$66,5,0),0)</f>
        <v>302.94</v>
      </c>
      <c r="J569" s="3">
        <f t="shared" si="35"/>
        <v>2021</v>
      </c>
    </row>
    <row r="570" spans="1:10" s="9" customFormat="1" hidden="1" x14ac:dyDescent="0.25">
      <c r="A570" s="491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7">
        <v>256695</v>
      </c>
      <c r="F570" s="3" t="str">
        <f>IFERROR(VLOOKUP(E570,BD!$L$2:$Q$66,2,0),0)</f>
        <v>POWERADE 3MORA+3FRUT PET 473MLX6</v>
      </c>
      <c r="G570" s="409">
        <f>225*6</f>
        <v>1350</v>
      </c>
      <c r="H570" s="3">
        <f>+IFERROR(VLOOKUP(E570,BD!$L$2:$Q$66,6,0),0)</f>
        <v>225</v>
      </c>
      <c r="I570" s="96">
        <f>IFERROR(G570*VLOOKUP($E570,BD!$L$2:$Q$66,5,0),0)</f>
        <v>567</v>
      </c>
      <c r="J570" s="3">
        <f t="shared" si="35"/>
        <v>2021</v>
      </c>
    </row>
    <row r="571" spans="1:10" s="9" customFormat="1" hidden="1" x14ac:dyDescent="0.25">
      <c r="A571" s="491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7">
        <v>256379</v>
      </c>
      <c r="F571" s="3" t="str">
        <f>IFERROR(VLOOKUP(E571,BD!$L$2:$Q$66,2,0),0)</f>
        <v>INCA KOLA VR 625MLX12 - STICKER</v>
      </c>
      <c r="G571" s="409">
        <f>50*8</f>
        <v>400</v>
      </c>
      <c r="H571" s="3">
        <f>+IFERROR(VLOOKUP(E571,BD!$L$2:$Q$66,6,0),0)</f>
        <v>50</v>
      </c>
      <c r="I571" s="96">
        <f>IFERROR(G571*VLOOKUP($E571,BD!$L$2:$Q$66,5,0),0)</f>
        <v>160</v>
      </c>
      <c r="J571" s="3">
        <f t="shared" si="35"/>
        <v>2021</v>
      </c>
    </row>
    <row r="572" spans="1:10" s="9" customFormat="1" ht="15.75" hidden="1" thickBot="1" x14ac:dyDescent="0.3">
      <c r="A572" s="492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9">
        <v>256617</v>
      </c>
      <c r="F572" s="8" t="str">
        <f>IFERROR(VLOOKUP(E572,BD!$L$2:$Q$66,2,0),0)</f>
        <v>TWO PACK SCHWEPPES GINGER ALE PET 1.5LX2</v>
      </c>
      <c r="G572" s="450">
        <f>198*4</f>
        <v>792</v>
      </c>
      <c r="H572" s="8">
        <f>+IFERROR(VLOOKUP(E572,BD!$L$2:$Q$66,6,0),0)</f>
        <v>198</v>
      </c>
      <c r="I572" s="98">
        <f>IFERROR(G572*VLOOKUP($E572,BD!$L$2:$Q$66,5,0),0)</f>
        <v>134.64000000000001</v>
      </c>
      <c r="J572" s="8">
        <f t="shared" si="35"/>
        <v>2021</v>
      </c>
    </row>
    <row r="573" spans="1:10" s="9" customFormat="1" hidden="1" x14ac:dyDescent="0.25">
      <c r="A573" s="493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63">
        <v>256675</v>
      </c>
      <c r="F573" s="6" t="str">
        <f>IFERROR(VLOOKUP(E573,BD!$L$2:$Q$66,2,0),0)</f>
        <v>INCA KOLA PET 1.5LX2 RF</v>
      </c>
      <c r="G573" s="464">
        <f>198*6</f>
        <v>1188</v>
      </c>
      <c r="H573" s="6">
        <f>+IFERROR(VLOOKUP(E573,BD!$L$2:$Q$66,6,0),0)</f>
        <v>198</v>
      </c>
      <c r="I573" s="97">
        <f>IFERROR(G573*VLOOKUP($E573,BD!$L$2:$Q$66,5,0),0)</f>
        <v>201.96</v>
      </c>
      <c r="J573" s="6">
        <f t="shared" si="35"/>
        <v>2021</v>
      </c>
    </row>
    <row r="574" spans="1:10" s="9" customFormat="1" hidden="1" x14ac:dyDescent="0.25">
      <c r="A574" s="491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7">
        <v>256666</v>
      </c>
      <c r="F574" s="3" t="str">
        <f>IFERROR(VLOOKUP(E574,BD!$L$2:$Q$66,2,0),0)</f>
        <v>COCA-COLA PET 2.25LX2 RF</v>
      </c>
      <c r="G574" s="409">
        <f>162*6</f>
        <v>972</v>
      </c>
      <c r="H574" s="3">
        <f>+IFERROR(VLOOKUP(E574,BD!$L$2:$Q$66,6,0),0)</f>
        <v>162</v>
      </c>
      <c r="I574" s="96">
        <f>IFERROR(G574*VLOOKUP($E574,BD!$L$2:$Q$66,5,0),0)</f>
        <v>165.24</v>
      </c>
      <c r="J574" s="3">
        <f t="shared" si="35"/>
        <v>2021</v>
      </c>
    </row>
    <row r="575" spans="1:10" s="9" customFormat="1" hidden="1" x14ac:dyDescent="0.25">
      <c r="A575" s="491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7">
        <v>256678</v>
      </c>
      <c r="F575" s="3" t="str">
        <f>IFERROR(VLOOKUP(E575,BD!$L$2:$Q$66,2,0),0)</f>
        <v>TRIPACK (CC+IK)PFM+FT PET 3LX3 - RFNN</v>
      </c>
      <c r="G575" s="409">
        <f>90*5</f>
        <v>450</v>
      </c>
      <c r="H575" s="3">
        <f>+IFERROR(VLOOKUP(E575,BD!$L$2:$Q$66,6,0),0)</f>
        <v>90</v>
      </c>
      <c r="I575" s="96">
        <f>IFERROR(G575*VLOOKUP($E575,BD!$L$2:$Q$66,5,0),0)</f>
        <v>76.5</v>
      </c>
      <c r="J575" s="3">
        <f t="shared" si="35"/>
        <v>2021</v>
      </c>
    </row>
    <row r="576" spans="1:10" s="9" customFormat="1" hidden="1" x14ac:dyDescent="0.25">
      <c r="A576" s="491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7">
        <v>256652</v>
      </c>
      <c r="F576" s="3" t="str">
        <f>IFERROR(VLOOKUP(E576,BD!$L$2:$Q$66,2,0),0)</f>
        <v>TRIPACK FT NAR+FT KI+SP PET 3L</v>
      </c>
      <c r="G576" s="409">
        <f>90*8</f>
        <v>720</v>
      </c>
      <c r="H576" s="3">
        <f>+IFERROR(VLOOKUP(E576,BD!$L$2:$Q$66,6,0),0)</f>
        <v>90</v>
      </c>
      <c r="I576" s="96">
        <f>IFERROR(G576*VLOOKUP($E576,BD!$L$2:$Q$66,5,0),0)</f>
        <v>122.4</v>
      </c>
      <c r="J576" s="3">
        <f t="shared" si="35"/>
        <v>2021</v>
      </c>
    </row>
    <row r="577" spans="1:10" s="9" customFormat="1" hidden="1" x14ac:dyDescent="0.25">
      <c r="A577" s="491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7">
        <v>256677</v>
      </c>
      <c r="F577" s="3" t="str">
        <f>IFERROR(VLOOKUP(E577,BD!$L$2:$Q$66,2,0),0)</f>
        <v>TWO PACK CC + IK PFM 3LX2 - RFNN</v>
      </c>
      <c r="G577" s="409">
        <f>120*8</f>
        <v>960</v>
      </c>
      <c r="H577" s="3">
        <f>+IFERROR(VLOOKUP(E577,BD!$L$2:$Q$66,6,0),0)</f>
        <v>120</v>
      </c>
      <c r="I577" s="96">
        <f>IFERROR(G577*VLOOKUP($E577,BD!$L$2:$Q$66,5,0),0)</f>
        <v>163.20000000000002</v>
      </c>
      <c r="J577" s="3">
        <f t="shared" si="35"/>
        <v>2021</v>
      </c>
    </row>
    <row r="578" spans="1:10" s="9" customFormat="1" hidden="1" x14ac:dyDescent="0.25">
      <c r="A578" s="491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7">
        <v>256708</v>
      </c>
      <c r="F578" s="3" t="str">
        <f>IFERROR(VLOOKUP(E578,BD!$L$2:$Q$66,2,0),0)</f>
        <v>POWERADE ION4 FRUTA PET473X6 MOD (STICK)</v>
      </c>
      <c r="G578" s="409">
        <f>225*3</f>
        <v>675</v>
      </c>
      <c r="H578" s="3">
        <f>+IFERROR(VLOOKUP(E578,BD!$L$2:$Q$66,6,0),0)</f>
        <v>225</v>
      </c>
      <c r="I578" s="96">
        <f>IFERROR(G578*VLOOKUP($E578,BD!$L$2:$Q$66,5,0),0)</f>
        <v>270</v>
      </c>
      <c r="J578" s="3">
        <f t="shared" si="35"/>
        <v>2021</v>
      </c>
    </row>
    <row r="579" spans="1:10" s="9" customFormat="1" hidden="1" x14ac:dyDescent="0.25">
      <c r="A579" s="491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7">
        <v>251429</v>
      </c>
      <c r="F579" s="3" t="str">
        <f>IFERROR(VLOOKUP(E579,BD!$L$2:$Q$66,2,0),0)</f>
        <v>SAN LUIS SIN GAS PET2500X6 STICKER</v>
      </c>
      <c r="G579" s="409">
        <f>48*4</f>
        <v>192</v>
      </c>
      <c r="H579" s="3">
        <f>+IFERROR(VLOOKUP(E579,BD!$L$2:$Q$66,6,0),0)</f>
        <v>48</v>
      </c>
      <c r="I579" s="96">
        <f>IFERROR(G579*VLOOKUP($E579,BD!$L$2:$Q$66,5,0),0)</f>
        <v>76.800000000000011</v>
      </c>
      <c r="J579" s="3">
        <f t="shared" si="35"/>
        <v>2021</v>
      </c>
    </row>
    <row r="580" spans="1:10" s="9" customFormat="1" hidden="1" x14ac:dyDescent="0.25">
      <c r="A580" s="491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7">
        <v>256488</v>
      </c>
      <c r="F580" s="3" t="str">
        <f>IFERROR(VLOOKUP(E580,BD!$L$2:$Q$66,2,0),0)</f>
        <v>INCA KOLA PET 3LX2 - RF</v>
      </c>
      <c r="G580" s="409">
        <f>120*9</f>
        <v>1080</v>
      </c>
      <c r="H580" s="3">
        <f>+IFERROR(VLOOKUP(E580,BD!$L$2:$Q$66,6,0),0)</f>
        <v>120</v>
      </c>
      <c r="I580" s="96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hidden="1" x14ac:dyDescent="0.25">
      <c r="A581" s="421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7">
        <v>255405</v>
      </c>
      <c r="F581" s="54" t="str">
        <f>IFERROR(VLOOKUP(E581,BD!$L$2:$Q$66,2,0),0)</f>
        <v>FRUGOS BEBIDA DZ VNR 286MLX6 C/STICKER</v>
      </c>
      <c r="G581" s="409">
        <v>392</v>
      </c>
      <c r="H581" s="432">
        <f>+IFERROR(VLOOKUP(E581,BD!$L$2:$Q$66,6,0),0)</f>
        <v>350</v>
      </c>
      <c r="I581" s="96">
        <f>IFERROR(G581*VLOOKUP($E581,BD!$L$2:$Q$66,5,0),0)</f>
        <v>90.160000000000011</v>
      </c>
      <c r="J581" s="3">
        <f t="shared" si="39"/>
        <v>2021</v>
      </c>
    </row>
    <row r="582" spans="1:10" s="9" customFormat="1" hidden="1" x14ac:dyDescent="0.25">
      <c r="A582" s="491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7">
        <v>251633</v>
      </c>
      <c r="F582" s="3" t="str">
        <f>IFERROR(VLOOKUP(E582,BD!$L$2:$Q$66,2,0),0)</f>
        <v>SAN LUIS CON GAS PET 625MLX6</v>
      </c>
      <c r="G582" s="409">
        <f>180*5</f>
        <v>900</v>
      </c>
      <c r="H582" s="3">
        <f>+IFERROR(VLOOKUP(E582,BD!$L$2:$Q$66,6,0),0)</f>
        <v>180</v>
      </c>
      <c r="I582" s="96">
        <f>IFERROR(G582*VLOOKUP($E582,BD!$L$2:$Q$66,5,0),0)</f>
        <v>378</v>
      </c>
      <c r="J582" s="3">
        <f t="shared" si="39"/>
        <v>2021</v>
      </c>
    </row>
    <row r="583" spans="1:10" s="9" customFormat="1" hidden="1" x14ac:dyDescent="0.25">
      <c r="A583" s="491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7">
        <v>256381</v>
      </c>
      <c r="F583" s="3" t="str">
        <f>IFERROR(VLOOKUP(E583,BD!$L$2:$Q$66,2,0),0)</f>
        <v>INCA KOLA VR 1.5LX8 - STICKER</v>
      </c>
      <c r="G583" s="409">
        <v>60</v>
      </c>
      <c r="H583" s="3">
        <f>+IFERROR(VLOOKUP(E583,BD!$L$2:$Q$66,6,0),0)</f>
        <v>30</v>
      </c>
      <c r="I583" s="96">
        <f>IFERROR(G583*VLOOKUP($E583,BD!$L$2:$Q$66,5,0),0)</f>
        <v>24</v>
      </c>
      <c r="J583" s="3">
        <f t="shared" si="39"/>
        <v>2021</v>
      </c>
    </row>
    <row r="584" spans="1:10" s="9" customFormat="1" hidden="1" x14ac:dyDescent="0.25">
      <c r="A584" s="491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7">
        <v>256695</v>
      </c>
      <c r="F584" s="3" t="str">
        <f>IFERROR(VLOOKUP(E584,BD!$L$2:$Q$66,2,0),0)</f>
        <v>POWERADE 3MORA+3FRUT PET 473MLX6</v>
      </c>
      <c r="G584" s="409">
        <f>225*4</f>
        <v>900</v>
      </c>
      <c r="H584" s="3">
        <f>+IFERROR(VLOOKUP(E584,BD!$L$2:$Q$66,6,0),0)</f>
        <v>225</v>
      </c>
      <c r="I584" s="96">
        <f>IFERROR(G584*VLOOKUP($E584,BD!$L$2:$Q$66,5,0),0)</f>
        <v>378</v>
      </c>
      <c r="J584" s="3">
        <f t="shared" si="39"/>
        <v>2021</v>
      </c>
    </row>
    <row r="585" spans="1:10" s="9" customFormat="1" hidden="1" x14ac:dyDescent="0.25">
      <c r="A585" s="491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7">
        <v>255405</v>
      </c>
      <c r="F585" s="3" t="str">
        <f>IFERROR(VLOOKUP(E585,BD!$L$2:$Q$66,2,0),0)</f>
        <v>FRUGOS BEBIDA DZ VNR 286MLX6 C/STICKER</v>
      </c>
      <c r="G585" s="409">
        <v>350</v>
      </c>
      <c r="H585" s="3">
        <f>+IFERROR(VLOOKUP(E585,BD!$L$2:$Q$66,6,0),0)</f>
        <v>350</v>
      </c>
      <c r="I585" s="96">
        <f>IFERROR(G585*VLOOKUP($E585,BD!$L$2:$Q$66,5,0),0)</f>
        <v>80.5</v>
      </c>
      <c r="J585" s="3">
        <f t="shared" si="39"/>
        <v>2021</v>
      </c>
    </row>
    <row r="586" spans="1:10" s="9" customFormat="1" hidden="1" x14ac:dyDescent="0.25">
      <c r="A586" s="491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7">
        <v>256708</v>
      </c>
      <c r="F586" s="3" t="str">
        <f>IFERROR(VLOOKUP(E586,BD!$L$2:$Q$66,2,0),0)</f>
        <v>POWERADE ION4 FRUTA PET473X6 MOD (STICK)</v>
      </c>
      <c r="G586" s="409">
        <v>225</v>
      </c>
      <c r="H586" s="3">
        <f>+IFERROR(VLOOKUP(E586,BD!$L$2:$Q$66,6,0),0)</f>
        <v>225</v>
      </c>
      <c r="I586" s="96">
        <f>IFERROR(G586*VLOOKUP($E586,BD!$L$2:$Q$66,5,0),0)</f>
        <v>90</v>
      </c>
      <c r="J586" s="3">
        <f t="shared" si="39"/>
        <v>2021</v>
      </c>
    </row>
    <row r="587" spans="1:10" s="9" customFormat="1" ht="15.75" hidden="1" thickBot="1" x14ac:dyDescent="0.3">
      <c r="A587" s="492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9">
        <v>256709</v>
      </c>
      <c r="F587" s="8" t="str">
        <f>IFERROR(VLOOKUP(E587,BD!$L$2:$Q$66,2,0),0)</f>
        <v>POWERADE ION4 MORA AZ PET473X6 MOD(STCK)</v>
      </c>
      <c r="G587" s="450">
        <f>225*2</f>
        <v>450</v>
      </c>
      <c r="H587" s="8">
        <f>+IFERROR(VLOOKUP(E587,BD!$L$2:$Q$66,6,0),0)</f>
        <v>225</v>
      </c>
      <c r="I587" s="98">
        <f>IFERROR(G587*VLOOKUP($E587,BD!$L$2:$Q$66,5,0),0)</f>
        <v>180</v>
      </c>
      <c r="J587" s="8">
        <f t="shared" si="39"/>
        <v>2021</v>
      </c>
    </row>
    <row r="588" spans="1:10" s="9" customFormat="1" hidden="1" x14ac:dyDescent="0.25">
      <c r="A588" s="493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63">
        <v>251429</v>
      </c>
      <c r="F588" s="6" t="str">
        <f>IFERROR(VLOOKUP(E588,BD!$L$2:$Q$66,2,0),0)</f>
        <v>SAN LUIS SIN GAS PET2500X6 STICKER</v>
      </c>
      <c r="G588" s="464">
        <f>48*4</f>
        <v>192</v>
      </c>
      <c r="H588" s="6">
        <f>+IFERROR(VLOOKUP(E588,BD!$L$2:$Q$66,6,0),0)</f>
        <v>48</v>
      </c>
      <c r="I588" s="97">
        <f>IFERROR(G588*VLOOKUP($E588,BD!$L$2:$Q$66,5,0),0)</f>
        <v>76.800000000000011</v>
      </c>
      <c r="J588" s="6">
        <f t="shared" si="39"/>
        <v>2021</v>
      </c>
    </row>
    <row r="589" spans="1:10" s="9" customFormat="1" hidden="1" x14ac:dyDescent="0.25">
      <c r="A589" s="491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7">
        <v>256676</v>
      </c>
      <c r="F589" s="3" t="str">
        <f>IFERROR(VLOOKUP(E589,BD!$L$2:$Q$66,2,0),0)</f>
        <v>TWO PACK CC PFM 3LX2 - RFCC</v>
      </c>
      <c r="G589" s="370">
        <f>120*2</f>
        <v>240</v>
      </c>
      <c r="H589" s="3">
        <f>+IFERROR(VLOOKUP(E589,BD!$L$2:$Q$66,6,0),0)</f>
        <v>120</v>
      </c>
      <c r="I589" s="96">
        <f>IFERROR(G589*VLOOKUP($E589,BD!$L$2:$Q$66,5,0),0)</f>
        <v>40.800000000000004</v>
      </c>
      <c r="J589" s="3">
        <f t="shared" si="39"/>
        <v>2021</v>
      </c>
    </row>
    <row r="590" spans="1:10" s="9" customFormat="1" hidden="1" x14ac:dyDescent="0.25">
      <c r="A590" s="491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7">
        <v>256682</v>
      </c>
      <c r="F590" s="3" t="str">
        <f>IFERROR(VLOOKUP(E590,BD!$L$2:$Q$66,2,0),0)</f>
        <v>TRIPACK (FT NAR+SP)PET+IK RF PFM 3L</v>
      </c>
      <c r="G590" s="409">
        <f>90*2</f>
        <v>180</v>
      </c>
      <c r="H590" s="3">
        <f>+IFERROR(VLOOKUP(E590,BD!$L$2:$Q$66,6,0),0)</f>
        <v>90</v>
      </c>
      <c r="I590" s="96">
        <f>IFERROR(G590*VLOOKUP($E590,BD!$L$2:$Q$66,5,0),0)</f>
        <v>30.6</v>
      </c>
      <c r="J590" s="3">
        <f t="shared" si="39"/>
        <v>2021</v>
      </c>
    </row>
    <row r="591" spans="1:10" s="9" customFormat="1" hidden="1" x14ac:dyDescent="0.25">
      <c r="A591" s="491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7">
        <v>256678</v>
      </c>
      <c r="F591" s="3" t="str">
        <f>IFERROR(VLOOKUP(E591,BD!$L$2:$Q$66,2,0),0)</f>
        <v>TRIPACK (CC+IK)PFM+FT PET 3LX3 - RFNN</v>
      </c>
      <c r="G591" s="409">
        <f>90*8</f>
        <v>720</v>
      </c>
      <c r="H591" s="3">
        <f>+IFERROR(VLOOKUP(E591,BD!$L$2:$Q$66,6,0),0)</f>
        <v>90</v>
      </c>
      <c r="I591" s="96">
        <f>IFERROR(G591*VLOOKUP($E591,BD!$L$2:$Q$66,5,0),0)</f>
        <v>122.4</v>
      </c>
      <c r="J591" s="3">
        <f t="shared" si="39"/>
        <v>2021</v>
      </c>
    </row>
    <row r="592" spans="1:10" s="9" customFormat="1" hidden="1" x14ac:dyDescent="0.25">
      <c r="A592" s="491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7">
        <v>256679</v>
      </c>
      <c r="F592" s="3" t="str">
        <f>IFERROR(VLOOKUP(E592,BD!$L$2:$Q$66,2,0),0)</f>
        <v>TRIPACK CC+IK+IK PFM 3LX3 - RFNN</v>
      </c>
      <c r="G592" s="409">
        <f>90*3</f>
        <v>270</v>
      </c>
      <c r="H592" s="3">
        <f>+IFERROR(VLOOKUP(E592,BD!$L$2:$Q$66,6,0),0)</f>
        <v>90</v>
      </c>
      <c r="I592" s="96">
        <f>IFERROR(G592*VLOOKUP($E592,BD!$L$2:$Q$66,5,0),0)</f>
        <v>45.900000000000006</v>
      </c>
      <c r="J592" s="3">
        <f t="shared" si="39"/>
        <v>2021</v>
      </c>
    </row>
    <row r="593" spans="1:10" s="9" customFormat="1" hidden="1" x14ac:dyDescent="0.25">
      <c r="A593" s="491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7">
        <v>256652</v>
      </c>
      <c r="F593" s="3" t="str">
        <f>IFERROR(VLOOKUP(E593,BD!$L$2:$Q$66,2,0),0)</f>
        <v>TRIPACK FT NAR+FT KI+SP PET 3L</v>
      </c>
      <c r="G593" s="409">
        <f>90*5</f>
        <v>450</v>
      </c>
      <c r="H593" s="3">
        <f>+IFERROR(VLOOKUP(E593,BD!$L$2:$Q$66,6,0),0)</f>
        <v>90</v>
      </c>
      <c r="I593" s="96">
        <f>IFERROR(G593*VLOOKUP($E593,BD!$L$2:$Q$66,5,0),0)</f>
        <v>76.5</v>
      </c>
      <c r="J593" s="3">
        <f t="shared" si="39"/>
        <v>2021</v>
      </c>
    </row>
    <row r="594" spans="1:10" s="9" customFormat="1" hidden="1" x14ac:dyDescent="0.25">
      <c r="A594" s="491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7">
        <v>256680</v>
      </c>
      <c r="F594" s="3" t="str">
        <f>IFERROR(VLOOKUP(E594,BD!$L$2:$Q$66,2,0),0)</f>
        <v>TRIPACK CC+CC+IK PFM 3LX3 - RFNN</v>
      </c>
      <c r="G594" s="409">
        <f>90*2</f>
        <v>180</v>
      </c>
      <c r="H594" s="3">
        <f>+IFERROR(VLOOKUP(E594,BD!$L$2:$Q$66,6,0),0)</f>
        <v>90</v>
      </c>
      <c r="I594" s="96">
        <f>IFERROR(G594*VLOOKUP($E594,BD!$L$2:$Q$66,5,0),0)</f>
        <v>30.6</v>
      </c>
      <c r="J594" s="3">
        <f t="shared" si="39"/>
        <v>2021</v>
      </c>
    </row>
    <row r="595" spans="1:10" s="9" customFormat="1" hidden="1" x14ac:dyDescent="0.25">
      <c r="A595" s="491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7">
        <v>256379</v>
      </c>
      <c r="F595" s="3" t="str">
        <f>IFERROR(VLOOKUP(E595,BD!$L$2:$Q$66,2,0),0)</f>
        <v>INCA KOLA VR 625MLX12 - STICKER</v>
      </c>
      <c r="G595" s="409">
        <f>50*8</f>
        <v>400</v>
      </c>
      <c r="H595" s="3">
        <f>+IFERROR(VLOOKUP(E595,BD!$L$2:$Q$66,6,0),0)</f>
        <v>50</v>
      </c>
      <c r="I595" s="96">
        <f>IFERROR(G595*VLOOKUP($E595,BD!$L$2:$Q$66,5,0),0)</f>
        <v>160</v>
      </c>
      <c r="J595" s="3">
        <f t="shared" si="39"/>
        <v>2021</v>
      </c>
    </row>
    <row r="596" spans="1:10" s="9" customFormat="1" hidden="1" x14ac:dyDescent="0.25">
      <c r="A596" s="491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7">
        <v>256675</v>
      </c>
      <c r="F596" s="3" t="str">
        <f>IFERROR(VLOOKUP(E596,BD!$L$2:$Q$66,2,0),0)</f>
        <v>INCA KOLA PET 1.5LX2 RF</v>
      </c>
      <c r="G596" s="409">
        <f>198*6</f>
        <v>1188</v>
      </c>
      <c r="H596" s="3">
        <f>+IFERROR(VLOOKUP(E596,BD!$L$2:$Q$66,6,0),0)</f>
        <v>198</v>
      </c>
      <c r="I596" s="96">
        <f>IFERROR(G596*VLOOKUP($E596,BD!$L$2:$Q$66,5,0),0)</f>
        <v>201.96</v>
      </c>
      <c r="J596" s="3">
        <f t="shared" si="39"/>
        <v>2021</v>
      </c>
    </row>
    <row r="597" spans="1:10" s="9" customFormat="1" hidden="1" x14ac:dyDescent="0.25">
      <c r="A597" s="491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7">
        <v>251406</v>
      </c>
      <c r="F597" s="3" t="str">
        <f>IFERROR(VLOOKUP(E597,BD!$L$2:$Q$66,2,0),0)</f>
        <v>COCA-COLA SIN AZUCAR PET 1.5LX2</v>
      </c>
      <c r="G597" s="409">
        <f>198*24</f>
        <v>4752</v>
      </c>
      <c r="H597" s="3">
        <f>+IFERROR(VLOOKUP(E597,BD!$L$2:$Q$66,6,0),0)</f>
        <v>198</v>
      </c>
      <c r="I597" s="96">
        <f>IFERROR(G597*VLOOKUP($E597,BD!$L$2:$Q$66,5,0),0)</f>
        <v>807.84</v>
      </c>
      <c r="J597" s="3">
        <f t="shared" si="39"/>
        <v>2021</v>
      </c>
    </row>
    <row r="598" spans="1:10" s="9" customFormat="1" hidden="1" x14ac:dyDescent="0.25">
      <c r="A598" s="491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7">
        <v>254853</v>
      </c>
      <c r="F598" s="3" t="str">
        <f>IFERROR(VLOOKUP(E598,BD!$L$2:$Q$66,2,0),0)</f>
        <v>INCA KOLA SIN AZUCAR PET 1.5LX2</v>
      </c>
      <c r="G598" s="409">
        <f>198*7</f>
        <v>1386</v>
      </c>
      <c r="H598" s="3">
        <f>+IFERROR(VLOOKUP(E598,BD!$L$2:$Q$66,6,0),0)</f>
        <v>198</v>
      </c>
      <c r="I598" s="96">
        <f>IFERROR(G598*VLOOKUP($E598,BD!$L$2:$Q$66,5,0),0)</f>
        <v>235.62</v>
      </c>
      <c r="J598" s="3">
        <f t="shared" si="39"/>
        <v>2021</v>
      </c>
    </row>
    <row r="599" spans="1:10" s="9" customFormat="1" hidden="1" x14ac:dyDescent="0.25">
      <c r="A599" s="491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7">
        <v>256617</v>
      </c>
      <c r="F599" s="3" t="str">
        <f>IFERROR(VLOOKUP(E599,BD!$L$2:$Q$66,2,0),0)</f>
        <v>TWO PACK SCHWEPPES GINGER ALE PET 1.5LX2</v>
      </c>
      <c r="G599" s="409">
        <f>198*5</f>
        <v>990</v>
      </c>
      <c r="H599" s="3">
        <f>+IFERROR(VLOOKUP(E599,BD!$L$2:$Q$66,6,0),0)</f>
        <v>198</v>
      </c>
      <c r="I599" s="96">
        <f>IFERROR(G599*VLOOKUP($E599,BD!$L$2:$Q$66,5,0),0)</f>
        <v>168.3</v>
      </c>
      <c r="J599" s="3">
        <f t="shared" si="39"/>
        <v>2021</v>
      </c>
    </row>
    <row r="600" spans="1:10" hidden="1" x14ac:dyDescent="0.25">
      <c r="A600" s="491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7">
        <v>256616</v>
      </c>
      <c r="F600" s="3" t="str">
        <f>IFERROR(VLOOKUP(E600,BD!$L$2:$Q$66,2,0),0)</f>
        <v>TWO PACK SCHWEPPES CITRUS PET 1.5LX2</v>
      </c>
      <c r="G600" s="409">
        <f>198*2</f>
        <v>396</v>
      </c>
      <c r="H600" s="3">
        <f>+IFERROR(VLOOKUP(E600,BD!$L$2:$Q$66,6,0),0)</f>
        <v>198</v>
      </c>
      <c r="I600" s="96">
        <f>IFERROR(G600*VLOOKUP($E600,BD!$L$2:$Q$66,5,0),0)</f>
        <v>67.320000000000007</v>
      </c>
      <c r="J600" s="3">
        <f t="shared" si="39"/>
        <v>2021</v>
      </c>
    </row>
    <row r="601" spans="1:10" s="9" customFormat="1" hidden="1" x14ac:dyDescent="0.25">
      <c r="A601" s="491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7">
        <v>256674</v>
      </c>
      <c r="F601" s="3" t="str">
        <f>IFERROR(VLOOKUP(E601,BD!$L$2:$Q$66,2,0),0)</f>
        <v>COCA-COLA PET 1.5LX2 RF</v>
      </c>
      <c r="G601" s="409">
        <f>198*4</f>
        <v>792</v>
      </c>
      <c r="H601" s="3">
        <f>+IFERROR(VLOOKUP(E601,BD!$L$2:$Q$66,6,0),0)</f>
        <v>198</v>
      </c>
      <c r="I601" s="96">
        <f>IFERROR(G601*VLOOKUP($E601,BD!$L$2:$Q$66,5,0),0)</f>
        <v>134.64000000000001</v>
      </c>
      <c r="J601" s="3">
        <f t="shared" si="39"/>
        <v>2021</v>
      </c>
    </row>
    <row r="602" spans="1:10" s="9" customFormat="1" ht="15.75" hidden="1" thickBot="1" x14ac:dyDescent="0.3">
      <c r="A602" s="492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9">
        <v>256601</v>
      </c>
      <c r="F602" s="8" t="str">
        <f>IFERROR(VLOOKUP(E602,BD!$L$2:$Q$66,2,0),0)</f>
        <v>INCA KOLA PET 2.25LX2 RF</v>
      </c>
      <c r="G602" s="450">
        <f>162*4</f>
        <v>648</v>
      </c>
      <c r="H602" s="8">
        <f>+IFERROR(VLOOKUP(E602,BD!$L$2:$Q$66,6,0),0)</f>
        <v>162</v>
      </c>
      <c r="I602" s="98">
        <f>IFERROR(G602*VLOOKUP($E602,BD!$L$2:$Q$66,5,0),0)</f>
        <v>110.16000000000001</v>
      </c>
      <c r="J602" s="8">
        <f t="shared" si="39"/>
        <v>2021</v>
      </c>
    </row>
    <row r="603" spans="1:10" s="9" customFormat="1" hidden="1" x14ac:dyDescent="0.25">
      <c r="A603" s="493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63">
        <v>256666</v>
      </c>
      <c r="F603" s="6" t="str">
        <f>IFERROR(VLOOKUP(E603,BD!$L$2:$Q$66,2,0),0)</f>
        <v>COCA-COLA PET 2.25LX2 RF</v>
      </c>
      <c r="G603" s="464">
        <f>162*4</f>
        <v>648</v>
      </c>
      <c r="H603" s="6">
        <f>+IFERROR(VLOOKUP(E603,BD!$L$2:$Q$66,6,0),0)</f>
        <v>162</v>
      </c>
      <c r="I603" s="97">
        <f>IFERROR(G603*VLOOKUP($E603,BD!$L$2:$Q$66,5,0),0)</f>
        <v>110.16000000000001</v>
      </c>
      <c r="J603" s="6">
        <f t="shared" si="39"/>
        <v>2021</v>
      </c>
    </row>
    <row r="604" spans="1:10" s="9" customFormat="1" hidden="1" x14ac:dyDescent="0.25">
      <c r="A604" s="421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7">
        <v>251406</v>
      </c>
      <c r="F604" s="54" t="str">
        <f>IFERROR(VLOOKUP(E604,BD!$L$2:$Q$66,2,0),0)</f>
        <v>COCA-COLA SIN AZUCAR PET 1.5LX2</v>
      </c>
      <c r="G604" s="409">
        <f>198*6</f>
        <v>1188</v>
      </c>
      <c r="H604" s="432">
        <f>+IFERROR(VLOOKUP(E604,BD!$L$2:$Q$66,6,0),0)</f>
        <v>198</v>
      </c>
      <c r="I604" s="429">
        <f>IFERROR(G604*VLOOKUP($E604,BD!$L$2:$Q$66,5,0),0)</f>
        <v>201.96</v>
      </c>
      <c r="J604" s="3">
        <f t="shared" si="39"/>
        <v>2021</v>
      </c>
    </row>
    <row r="605" spans="1:10" s="9" customFormat="1" hidden="1" x14ac:dyDescent="0.25">
      <c r="A605" s="421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7">
        <v>256674</v>
      </c>
      <c r="F605" s="54" t="str">
        <f>IFERROR(VLOOKUP(E605,BD!$L$2:$Q$66,2,0),0)</f>
        <v>COCA-COLA PET 1.5LX2 RF</v>
      </c>
      <c r="G605" s="409">
        <f>198*12</f>
        <v>2376</v>
      </c>
      <c r="H605" s="432">
        <f>+IFERROR(VLOOKUP(E605,BD!$L$2:$Q$66,6,0),0)</f>
        <v>198</v>
      </c>
      <c r="I605" s="429">
        <f>IFERROR(G605*VLOOKUP($E605,BD!$L$2:$Q$66,5,0),0)</f>
        <v>403.92</v>
      </c>
      <c r="J605" s="3">
        <f t="shared" si="39"/>
        <v>2021</v>
      </c>
    </row>
    <row r="606" spans="1:10" s="9" customFormat="1" hidden="1" x14ac:dyDescent="0.25">
      <c r="A606" s="421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7">
        <v>256678</v>
      </c>
      <c r="F606" s="54" t="str">
        <f>IFERROR(VLOOKUP(E606,BD!$L$2:$Q$66,2,0),0)</f>
        <v>TRIPACK (CC+IK)PFM+FT PET 3LX3 - RFNN</v>
      </c>
      <c r="G606" s="409">
        <f>90*16</f>
        <v>1440</v>
      </c>
      <c r="H606" s="432">
        <f>+IFERROR(VLOOKUP(E606,BD!$L$2:$Q$66,6,0),0)</f>
        <v>90</v>
      </c>
      <c r="I606" s="96">
        <f>IFERROR(G606*VLOOKUP($E606,BD!$L$2:$Q$66,5,0),0)</f>
        <v>244.8</v>
      </c>
      <c r="J606" s="3">
        <f t="shared" si="39"/>
        <v>2021</v>
      </c>
    </row>
    <row r="607" spans="1:10" s="9" customFormat="1" ht="15.75" hidden="1" thickBot="1" x14ac:dyDescent="0.3">
      <c r="A607" s="423">
        <v>44385</v>
      </c>
      <c r="B607" s="59" t="str">
        <f t="shared" si="36"/>
        <v>JULIO</v>
      </c>
      <c r="C607" s="59">
        <f t="shared" si="37"/>
        <v>28</v>
      </c>
      <c r="D607" s="453" t="str">
        <f t="shared" si="38"/>
        <v>JUEVES</v>
      </c>
      <c r="E607" s="449">
        <v>256617</v>
      </c>
      <c r="F607" s="453" t="str">
        <f>IFERROR(VLOOKUP(E607,BD!$L$2:$Q$66,2,0),0)</f>
        <v>TWO PACK SCHWEPPES GINGER ALE PET 1.5LX2</v>
      </c>
      <c r="G607" s="450">
        <f>198*4</f>
        <v>792</v>
      </c>
      <c r="H607" s="454">
        <f>+IFERROR(VLOOKUP(E607,BD!$L$2:$Q$66,6,0),0)</f>
        <v>198</v>
      </c>
      <c r="I607" s="468">
        <f>IFERROR(G607*VLOOKUP($E607,BD!$L$2:$Q$66,5,0),0)</f>
        <v>134.64000000000001</v>
      </c>
      <c r="J607" s="8">
        <f t="shared" si="39"/>
        <v>2021</v>
      </c>
    </row>
    <row r="608" spans="1:10" s="9" customFormat="1" hidden="1" x14ac:dyDescent="0.25">
      <c r="A608" s="422">
        <v>44385</v>
      </c>
      <c r="B608" s="56" t="str">
        <f t="shared" si="36"/>
        <v>JULIO</v>
      </c>
      <c r="C608" s="56">
        <f t="shared" si="37"/>
        <v>28</v>
      </c>
      <c r="D608" s="462" t="str">
        <f t="shared" si="38"/>
        <v>JUEVES</v>
      </c>
      <c r="E608" s="463">
        <v>256652</v>
      </c>
      <c r="F608" s="462" t="str">
        <f>IFERROR(VLOOKUP(E608,BD!$L$2:$Q$66,2,0),0)</f>
        <v>TRIPACK FT NAR+FT KI+SP PET 3L</v>
      </c>
      <c r="G608" s="464">
        <f>90*10</f>
        <v>900</v>
      </c>
      <c r="H608" s="465">
        <f>+IFERROR(VLOOKUP(E608,BD!$L$2:$Q$66,6,0),0)</f>
        <v>90</v>
      </c>
      <c r="I608" s="466">
        <f>IFERROR(G608*VLOOKUP($E608,BD!$L$2:$Q$66,5,0),0)</f>
        <v>153</v>
      </c>
      <c r="J608" s="6">
        <f t="shared" si="39"/>
        <v>2021</v>
      </c>
    </row>
    <row r="609" spans="1:10" s="9" customFormat="1" ht="15.75" hidden="1" thickBot="1" x14ac:dyDescent="0.3">
      <c r="A609" s="423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9">
        <v>256676</v>
      </c>
      <c r="F609" s="453" t="str">
        <f>IFERROR(VLOOKUP(E609,BD!$L$2:$Q$66,2,0),0)</f>
        <v>TWO PACK CC PFM 3LX2 - RFCC</v>
      </c>
      <c r="G609" s="505">
        <f>120*12</f>
        <v>1440</v>
      </c>
      <c r="H609" s="454">
        <f>+IFERROR(VLOOKUP(E609,BD!$L$2:$Q$66,6,0),0)</f>
        <v>120</v>
      </c>
      <c r="I609" s="98">
        <f>IFERROR(G609*VLOOKUP($E609,BD!$L$2:$Q$66,5,0),0)</f>
        <v>244.8</v>
      </c>
      <c r="J609" s="8">
        <f t="shared" si="39"/>
        <v>2021</v>
      </c>
    </row>
    <row r="610" spans="1:10" s="9" customFormat="1" hidden="1" x14ac:dyDescent="0.25">
      <c r="A610" s="422">
        <v>44385</v>
      </c>
      <c r="B610" s="56" t="str">
        <f t="shared" si="36"/>
        <v>JULIO</v>
      </c>
      <c r="C610" s="56">
        <f t="shared" si="37"/>
        <v>28</v>
      </c>
      <c r="D610" s="462" t="str">
        <f t="shared" si="38"/>
        <v>JUEVES</v>
      </c>
      <c r="E610" s="463">
        <v>254853</v>
      </c>
      <c r="F610" s="462" t="str">
        <f>IFERROR(VLOOKUP(E610,BD!$L$2:$Q$66,2,0),0)</f>
        <v>INCA KOLA SIN AZUCAR PET 1.5LX2</v>
      </c>
      <c r="G610" s="464">
        <f>198*8</f>
        <v>1584</v>
      </c>
      <c r="H610" s="465">
        <f>+IFERROR(VLOOKUP(E610,BD!$L$2:$Q$66,6,0),0)</f>
        <v>198</v>
      </c>
      <c r="I610" s="466">
        <f>IFERROR(G610*VLOOKUP($E610,BD!$L$2:$Q$66,5,0),0)</f>
        <v>269.28000000000003</v>
      </c>
      <c r="J610" s="6">
        <f t="shared" si="39"/>
        <v>2021</v>
      </c>
    </row>
    <row r="611" spans="1:10" s="9" customFormat="1" hidden="1" x14ac:dyDescent="0.25">
      <c r="A611" s="421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7">
        <v>256679</v>
      </c>
      <c r="F611" s="54" t="str">
        <f>IFERROR(VLOOKUP(E611,BD!$L$2:$Q$66,2,0),0)</f>
        <v>TRIPACK CC+IK+IK PFM 3LX3 - RFNN</v>
      </c>
      <c r="G611" s="409">
        <f>90*30</f>
        <v>2700</v>
      </c>
      <c r="H611" s="432">
        <f>+IFERROR(VLOOKUP(E611,BD!$L$2:$Q$66,6,0),0)</f>
        <v>90</v>
      </c>
      <c r="I611" s="429">
        <f>IFERROR(G611*VLOOKUP($E611,BD!$L$2:$Q$66,5,0),0)</f>
        <v>459.00000000000006</v>
      </c>
      <c r="J611" s="3">
        <f t="shared" si="39"/>
        <v>2021</v>
      </c>
    </row>
    <row r="612" spans="1:10" s="9" customFormat="1" hidden="1" x14ac:dyDescent="0.25">
      <c r="A612" s="421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7">
        <v>256488</v>
      </c>
      <c r="F612" s="54" t="str">
        <f>IFERROR(VLOOKUP(E612,BD!$L$2:$Q$66,2,0),0)</f>
        <v>INCA KOLA PET 3LX2 - RF</v>
      </c>
      <c r="G612" s="409">
        <f>120*9</f>
        <v>1080</v>
      </c>
      <c r="H612" s="432">
        <f>+IFERROR(VLOOKUP(E612,BD!$L$2:$Q$66,6,0),0)</f>
        <v>120</v>
      </c>
      <c r="I612" s="96">
        <f>IFERROR(G612*VLOOKUP($E612,BD!$L$2:$Q$66,5,0),0)</f>
        <v>183.60000000000002</v>
      </c>
      <c r="J612" s="3">
        <f t="shared" si="39"/>
        <v>2021</v>
      </c>
    </row>
    <row r="613" spans="1:10" s="9" customFormat="1" hidden="1" x14ac:dyDescent="0.25">
      <c r="A613" s="421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7">
        <v>256381</v>
      </c>
      <c r="F613" s="54" t="str">
        <f>IFERROR(VLOOKUP(E613,BD!$L$2:$Q$66,2,0),0)</f>
        <v>INCA KOLA VR 1.5LX8 - STICKER</v>
      </c>
      <c r="G613" s="409">
        <f>30*2</f>
        <v>60</v>
      </c>
      <c r="H613" s="432">
        <f>+IFERROR(VLOOKUP(E613,BD!$L$2:$Q$66,6,0),0)</f>
        <v>30</v>
      </c>
      <c r="I613" s="429">
        <f>IFERROR(G613*VLOOKUP($E613,BD!$L$2:$Q$66,5,0),0)</f>
        <v>24</v>
      </c>
      <c r="J613" s="3">
        <f t="shared" si="39"/>
        <v>2021</v>
      </c>
    </row>
    <row r="614" spans="1:10" s="9" customFormat="1" hidden="1" x14ac:dyDescent="0.25">
      <c r="A614" s="421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7">
        <v>256379</v>
      </c>
      <c r="F614" s="54" t="str">
        <f>IFERROR(VLOOKUP(E614,BD!$L$2:$Q$66,2,0),0)</f>
        <v>INCA KOLA VR 625MLX12 - STICKER</v>
      </c>
      <c r="G614" s="409">
        <f>50*2</f>
        <v>100</v>
      </c>
      <c r="H614" s="432">
        <f>+IFERROR(VLOOKUP(E614,BD!$L$2:$Q$66,6,0),0)</f>
        <v>50</v>
      </c>
      <c r="I614" s="429">
        <f>IFERROR(G614*VLOOKUP($E614,BD!$L$2:$Q$66,5,0),0)</f>
        <v>40</v>
      </c>
      <c r="J614" s="3">
        <f t="shared" si="39"/>
        <v>2021</v>
      </c>
    </row>
    <row r="615" spans="1:10" s="9" customFormat="1" hidden="1" x14ac:dyDescent="0.25">
      <c r="A615" s="421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7">
        <v>256675</v>
      </c>
      <c r="F615" s="54" t="str">
        <f>IFERROR(VLOOKUP(E615,BD!$L$2:$Q$66,2,0),0)</f>
        <v>INCA KOLA PET 1.5LX2 RF</v>
      </c>
      <c r="G615" s="409">
        <f>198*4</f>
        <v>792</v>
      </c>
      <c r="H615" s="432">
        <f>+IFERROR(VLOOKUP(E615,BD!$L$2:$Q$66,6,0),0)</f>
        <v>198</v>
      </c>
      <c r="I615" s="96">
        <f>IFERROR(G615*VLOOKUP($E615,BD!$L$2:$Q$66,5,0),0)</f>
        <v>134.64000000000001</v>
      </c>
      <c r="J615" s="3">
        <f t="shared" si="39"/>
        <v>2021</v>
      </c>
    </row>
    <row r="616" spans="1:10" s="9" customFormat="1" hidden="1" x14ac:dyDescent="0.25">
      <c r="A616" s="421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7">
        <v>256680</v>
      </c>
      <c r="F616" s="54" t="str">
        <f>IFERROR(VLOOKUP(E616,BD!$L$2:$Q$66,2,0),0)</f>
        <v>TRIPACK CC+CC+IK PFM 3LX3 - RFNN</v>
      </c>
      <c r="G616" s="409">
        <f>90*7</f>
        <v>630</v>
      </c>
      <c r="H616" s="432">
        <f>+IFERROR(VLOOKUP(E616,BD!$L$2:$Q$66,6,0),0)</f>
        <v>90</v>
      </c>
      <c r="I616" s="429">
        <f>IFERROR(G616*VLOOKUP($E616,BD!$L$2:$Q$66,5,0),0)</f>
        <v>107.10000000000001</v>
      </c>
      <c r="J616" s="3">
        <f t="shared" si="39"/>
        <v>2021</v>
      </c>
    </row>
    <row r="617" spans="1:10" s="9" customFormat="1" hidden="1" x14ac:dyDescent="0.25">
      <c r="A617" s="421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7">
        <v>251429</v>
      </c>
      <c r="F617" s="54" t="str">
        <f>IFERROR(VLOOKUP(E617,BD!$L$2:$Q$66,2,0),0)</f>
        <v>SAN LUIS SIN GAS PET2500X6 STICKER</v>
      </c>
      <c r="G617" s="409">
        <f>48*3</f>
        <v>144</v>
      </c>
      <c r="H617" s="432">
        <f>+IFERROR(VLOOKUP(E617,BD!$L$2:$Q$66,6,0),0)</f>
        <v>48</v>
      </c>
      <c r="I617" s="429">
        <f>IFERROR(G617*VLOOKUP($E617,BD!$L$2:$Q$66,5,0),0)</f>
        <v>57.6</v>
      </c>
      <c r="J617" s="3">
        <f t="shared" si="39"/>
        <v>2021</v>
      </c>
    </row>
    <row r="618" spans="1:10" s="9" customFormat="1" hidden="1" x14ac:dyDescent="0.25">
      <c r="A618" s="421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7">
        <v>256383</v>
      </c>
      <c r="F618" s="54" t="str">
        <f>IFERROR(VLOOKUP(E618,BD!$L$2:$Q$66,2,0),0)</f>
        <v>COCA COLA VR 1.5LX8 - STICKER</v>
      </c>
      <c r="G618" s="409">
        <v>30</v>
      </c>
      <c r="H618" s="432">
        <f>+IFERROR(VLOOKUP(E618,BD!$L$2:$Q$66,6,0),0)</f>
        <v>30</v>
      </c>
      <c r="I618" s="96">
        <f>IFERROR(G618*VLOOKUP($E618,BD!$L$2:$Q$66,5,0),0)</f>
        <v>6.9</v>
      </c>
      <c r="J618" s="3">
        <f t="shared" si="39"/>
        <v>2021</v>
      </c>
    </row>
    <row r="619" spans="1:10" s="9" customFormat="1" hidden="1" x14ac:dyDescent="0.25">
      <c r="A619" s="421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7">
        <v>256666</v>
      </c>
      <c r="F619" s="54" t="str">
        <f>IFERROR(VLOOKUP(E619,BD!$L$2:$Q$66,2,0),0)</f>
        <v>COCA-COLA PET 2.25LX2 RF</v>
      </c>
      <c r="G619" s="409">
        <v>162</v>
      </c>
      <c r="H619" s="432">
        <f>+IFERROR(VLOOKUP(E619,BD!$L$2:$Q$66,6,0),0)</f>
        <v>162</v>
      </c>
      <c r="I619" s="429">
        <f>IFERROR(G619*VLOOKUP($E619,BD!$L$2:$Q$66,5,0),0)</f>
        <v>27.540000000000003</v>
      </c>
      <c r="J619" s="3">
        <f t="shared" si="39"/>
        <v>2021</v>
      </c>
    </row>
    <row r="620" spans="1:10" s="9" customFormat="1" hidden="1" x14ac:dyDescent="0.25">
      <c r="A620" s="421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7">
        <v>256616</v>
      </c>
      <c r="F620" s="54" t="str">
        <f>IFERROR(VLOOKUP(E620,BD!$L$2:$Q$66,2,0),0)</f>
        <v>TWO PACK SCHWEPPES CITRUS PET 1.5LX2</v>
      </c>
      <c r="G620" s="409">
        <v>198</v>
      </c>
      <c r="H620" s="432">
        <f>+IFERROR(VLOOKUP(E620,BD!$L$2:$Q$66,6,0),0)</f>
        <v>198</v>
      </c>
      <c r="I620" s="429">
        <f>IFERROR(G620*VLOOKUP($E620,BD!$L$2:$Q$66,5,0),0)</f>
        <v>33.660000000000004</v>
      </c>
      <c r="J620" s="3">
        <f t="shared" si="39"/>
        <v>2021</v>
      </c>
    </row>
    <row r="621" spans="1:10" s="9" customFormat="1" hidden="1" x14ac:dyDescent="0.25">
      <c r="A621" s="421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7">
        <v>256379</v>
      </c>
      <c r="F621" s="54" t="str">
        <f>IFERROR(VLOOKUP(E621,BD!$L$2:$Q$66,2,0),0)</f>
        <v>INCA KOLA VR 625MLX12 - STICKER</v>
      </c>
      <c r="G621" s="409">
        <f>50*8</f>
        <v>400</v>
      </c>
      <c r="H621" s="432">
        <f>+IFERROR(VLOOKUP(E621,BD!$L$2:$Q$66,6,0),0)</f>
        <v>50</v>
      </c>
      <c r="I621" s="429">
        <f>IFERROR(G621*VLOOKUP($E621,BD!$L$2:$Q$66,5,0),0)</f>
        <v>160</v>
      </c>
      <c r="J621" s="3">
        <f t="shared" si="39"/>
        <v>2021</v>
      </c>
    </row>
    <row r="622" spans="1:10" hidden="1" x14ac:dyDescent="0.25">
      <c r="A622" s="421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7">
        <v>256381</v>
      </c>
      <c r="F622" s="54" t="str">
        <f>IFERROR(VLOOKUP(E622,BD!$L$2:$Q$66,2,0),0)</f>
        <v>INCA KOLA VR 1.5LX8 - STICKER</v>
      </c>
      <c r="G622" s="409">
        <f>30*2</f>
        <v>60</v>
      </c>
      <c r="H622" s="432">
        <f>+IFERROR(VLOOKUP(E622,BD!$L$2:$Q$66,6,0),0)</f>
        <v>30</v>
      </c>
      <c r="I622" s="429">
        <f>IFERROR(G622*VLOOKUP($E622,BD!$L$2:$Q$66,5,0),0)</f>
        <v>24</v>
      </c>
      <c r="J622" s="3">
        <f t="shared" si="39"/>
        <v>2021</v>
      </c>
    </row>
    <row r="623" spans="1:10" hidden="1" x14ac:dyDescent="0.25">
      <c r="A623" s="421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7">
        <v>251429</v>
      </c>
      <c r="F623" s="54" t="str">
        <f>IFERROR(VLOOKUP(E623,BD!$L$2:$Q$66,2,0),0)</f>
        <v>SAN LUIS SIN GAS PET2500X6 STICKER</v>
      </c>
      <c r="G623" s="409">
        <f>48*2</f>
        <v>96</v>
      </c>
      <c r="H623" s="432">
        <f>+IFERROR(VLOOKUP(E623,BD!$L$2:$Q$66,6,0),0)</f>
        <v>48</v>
      </c>
      <c r="I623" s="96">
        <f>IFERROR(G623*VLOOKUP($E623,BD!$L$2:$Q$66,5,0),0)</f>
        <v>38.400000000000006</v>
      </c>
      <c r="J623" s="3">
        <f t="shared" si="39"/>
        <v>2021</v>
      </c>
    </row>
    <row r="624" spans="1:10" hidden="1" x14ac:dyDescent="0.25">
      <c r="A624" s="421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7">
        <v>251633</v>
      </c>
      <c r="F624" s="54" t="str">
        <f>IFERROR(VLOOKUP(E624,BD!$L$2:$Q$66,2,0),0)</f>
        <v>SAN LUIS CON GAS PET 625MLX6</v>
      </c>
      <c r="G624" s="409">
        <f>180*2</f>
        <v>360</v>
      </c>
      <c r="H624" s="432">
        <f>+IFERROR(VLOOKUP(E624,BD!$L$2:$Q$66,6,0),0)</f>
        <v>180</v>
      </c>
      <c r="I624" s="429">
        <f>IFERROR(G624*VLOOKUP($E624,BD!$L$2:$Q$66,5,0),0)</f>
        <v>151.19999999999999</v>
      </c>
      <c r="J624" s="3">
        <f t="shared" si="39"/>
        <v>2021</v>
      </c>
    </row>
    <row r="625" spans="1:10" hidden="1" x14ac:dyDescent="0.25">
      <c r="A625" s="421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7">
        <v>256616</v>
      </c>
      <c r="F625" s="54" t="str">
        <f>IFERROR(VLOOKUP(E625,BD!$L$2:$Q$66,2,0),0)</f>
        <v>TWO PACK SCHWEPPES CITRUS PET 1.5LX2</v>
      </c>
      <c r="G625" s="409">
        <f>198*4</f>
        <v>792</v>
      </c>
      <c r="H625" s="432">
        <f>+IFERROR(VLOOKUP(E625,BD!$L$2:$Q$66,6,0),0)</f>
        <v>198</v>
      </c>
      <c r="I625" s="429">
        <f>IFERROR(G625*VLOOKUP($E625,BD!$L$2:$Q$66,5,0),0)</f>
        <v>134.64000000000001</v>
      </c>
      <c r="J625" s="3">
        <f t="shared" si="39"/>
        <v>2021</v>
      </c>
    </row>
    <row r="626" spans="1:10" ht="15.75" hidden="1" thickBot="1" x14ac:dyDescent="0.3">
      <c r="A626" s="423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9">
        <v>254853</v>
      </c>
      <c r="F626" s="453" t="str">
        <f>IFERROR(VLOOKUP(E626,BD!$L$2:$Q$66,2,0),0)</f>
        <v>INCA KOLA SIN AZUCAR PET 1.5LX2</v>
      </c>
      <c r="G626" s="450">
        <f>198*4</f>
        <v>792</v>
      </c>
      <c r="H626" s="454">
        <f>+IFERROR(VLOOKUP(E626,BD!$L$2:$Q$66,6,0),0)</f>
        <v>198</v>
      </c>
      <c r="I626" s="98">
        <f>IFERROR(G626*VLOOKUP($E626,BD!$L$2:$Q$66,5,0),0)</f>
        <v>134.64000000000001</v>
      </c>
      <c r="J626" s="8">
        <f t="shared" si="39"/>
        <v>2021</v>
      </c>
    </row>
    <row r="627" spans="1:10" hidden="1" x14ac:dyDescent="0.25">
      <c r="A627" s="422">
        <v>44386</v>
      </c>
      <c r="B627" s="56" t="str">
        <f t="shared" si="36"/>
        <v>JULIO</v>
      </c>
      <c r="C627" s="56">
        <f t="shared" si="37"/>
        <v>28</v>
      </c>
      <c r="D627" s="462" t="str">
        <f t="shared" si="38"/>
        <v>VIERNES</v>
      </c>
      <c r="E627" s="463">
        <v>256682</v>
      </c>
      <c r="F627" s="462" t="str">
        <f>IFERROR(VLOOKUP(E627,BD!$L$2:$Q$66,2,0),0)</f>
        <v>TRIPACK (FT NAR+SP)PET+IK RF PFM 3L</v>
      </c>
      <c r="G627" s="464">
        <f>90*5</f>
        <v>450</v>
      </c>
      <c r="H627" s="465">
        <f>+IFERROR(VLOOKUP(E627,BD!$L$2:$Q$66,6,0),0)</f>
        <v>90</v>
      </c>
      <c r="I627" s="466">
        <f>IFERROR(G627*VLOOKUP($E627,BD!$L$2:$Q$66,5,0),0)</f>
        <v>76.5</v>
      </c>
      <c r="J627" s="6">
        <f t="shared" si="39"/>
        <v>2021</v>
      </c>
    </row>
    <row r="628" spans="1:10" hidden="1" x14ac:dyDescent="0.25">
      <c r="A628" s="421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7">
        <v>256679</v>
      </c>
      <c r="F628" s="54" t="str">
        <f>IFERROR(VLOOKUP(E628,BD!$L$2:$Q$66,2,0),0)</f>
        <v>TRIPACK CC+IK+IK PFM 3LX3 - RFNN</v>
      </c>
      <c r="G628" s="409">
        <f>90*29</f>
        <v>2610</v>
      </c>
      <c r="H628" s="432">
        <f>+IFERROR(VLOOKUP(E628,BD!$L$2:$Q$66,6,0),0)</f>
        <v>90</v>
      </c>
      <c r="I628" s="429">
        <f>IFERROR(G628*VLOOKUP($E628,BD!$L$2:$Q$66,5,0),0)</f>
        <v>443.70000000000005</v>
      </c>
      <c r="J628" s="3">
        <f t="shared" si="39"/>
        <v>2021</v>
      </c>
    </row>
    <row r="629" spans="1:10" hidden="1" x14ac:dyDescent="0.25">
      <c r="A629" s="421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7">
        <v>256678</v>
      </c>
      <c r="F629" s="54" t="str">
        <f>IFERROR(VLOOKUP(E629,BD!$L$2:$Q$66,2,0),0)</f>
        <v>TRIPACK (CC+IK)PFM+FT PET 3LX3 - RFNN</v>
      </c>
      <c r="G629" s="409">
        <f>90*16</f>
        <v>1440</v>
      </c>
      <c r="H629" s="432">
        <f>+IFERROR(VLOOKUP(E629,BD!$L$2:$Q$66,6,0),0)</f>
        <v>90</v>
      </c>
      <c r="I629" s="96">
        <f>IFERROR(G629*VLOOKUP($E629,BD!$L$2:$Q$66,5,0),0)</f>
        <v>244.8</v>
      </c>
      <c r="J629" s="3">
        <f t="shared" si="39"/>
        <v>2021</v>
      </c>
    </row>
    <row r="630" spans="1:10" hidden="1" x14ac:dyDescent="0.25">
      <c r="A630" s="421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7">
        <v>256695</v>
      </c>
      <c r="F630" s="54" t="str">
        <f>IFERROR(VLOOKUP(E630,BD!$L$2:$Q$66,2,0),0)</f>
        <v>POWERADE 3MORA+3FRUT PET 473MLX6</v>
      </c>
      <c r="G630" s="409">
        <f>225*8</f>
        <v>1800</v>
      </c>
      <c r="H630" s="432">
        <f>+IFERROR(VLOOKUP(E630,BD!$L$2:$Q$66,6,0),0)</f>
        <v>225</v>
      </c>
      <c r="I630" s="429">
        <f>IFERROR(G630*VLOOKUP($E630,BD!$L$2:$Q$66,5,0),0)</f>
        <v>756</v>
      </c>
      <c r="J630" s="3">
        <f t="shared" si="39"/>
        <v>2021</v>
      </c>
    </row>
    <row r="631" spans="1:10" hidden="1" x14ac:dyDescent="0.25">
      <c r="A631" s="421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7">
        <v>256548</v>
      </c>
      <c r="F631" s="54" t="str">
        <f>IFERROR(VLOOKUP(E631,BD!$L$2:$Q$66,2,0),0)</f>
        <v>TWO PACK CC PET 1.5LX2 - CRC</v>
      </c>
      <c r="G631" s="409">
        <f>198*6</f>
        <v>1188</v>
      </c>
      <c r="H631" s="432">
        <f>+IFERROR(VLOOKUP(E631,BD!$L$2:$Q$66,6,0),0)</f>
        <v>198</v>
      </c>
      <c r="I631" s="429">
        <f>IFERROR(G631*VLOOKUP($E631,BD!$L$2:$Q$66,5,0),0)</f>
        <v>201.96</v>
      </c>
      <c r="J631" s="3">
        <f t="shared" si="39"/>
        <v>2021</v>
      </c>
    </row>
    <row r="632" spans="1:10" hidden="1" x14ac:dyDescent="0.25">
      <c r="A632" s="421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7">
        <v>256617</v>
      </c>
      <c r="F632" s="54" t="str">
        <f>IFERROR(VLOOKUP(E632,BD!$L$2:$Q$66,2,0),0)</f>
        <v>TWO PACK SCHWEPPES GINGER ALE PET 1.5LX2</v>
      </c>
      <c r="G632" s="409">
        <f>198*2</f>
        <v>396</v>
      </c>
      <c r="H632" s="432">
        <f>+IFERROR(VLOOKUP(E632,BD!$L$2:$Q$66,6,0),0)</f>
        <v>198</v>
      </c>
      <c r="I632" s="96">
        <f>IFERROR(G632*VLOOKUP($E632,BD!$L$2:$Q$66,5,0),0)</f>
        <v>67.320000000000007</v>
      </c>
      <c r="J632" s="3">
        <f t="shared" si="39"/>
        <v>2021</v>
      </c>
    </row>
    <row r="633" spans="1:10" hidden="1" x14ac:dyDescent="0.25">
      <c r="A633" s="421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7">
        <v>251406</v>
      </c>
      <c r="F633" s="54" t="str">
        <f>IFERROR(VLOOKUP(E633,BD!$L$2:$Q$66,2,0),0)</f>
        <v>COCA-COLA SIN AZUCAR PET 1.5LX2</v>
      </c>
      <c r="G633" s="409">
        <f>198*12</f>
        <v>2376</v>
      </c>
      <c r="H633" s="432">
        <f>+IFERROR(VLOOKUP(E633,BD!$L$2:$Q$66,6,0),0)</f>
        <v>198</v>
      </c>
      <c r="I633" s="429">
        <f>IFERROR(G633*VLOOKUP($E633,BD!$L$2:$Q$66,5,0),0)</f>
        <v>403.92</v>
      </c>
      <c r="J633" s="3">
        <f t="shared" si="39"/>
        <v>2021</v>
      </c>
    </row>
    <row r="634" spans="1:10" hidden="1" x14ac:dyDescent="0.25">
      <c r="A634" s="421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7">
        <v>256674</v>
      </c>
      <c r="F634" s="54" t="str">
        <f>IFERROR(VLOOKUP(E634,BD!$L$2:$Q$66,2,0),0)</f>
        <v>COCA-COLA PET 1.5LX2 RF</v>
      </c>
      <c r="G634" s="409">
        <f>198*4</f>
        <v>792</v>
      </c>
      <c r="H634" s="432">
        <f>+IFERROR(VLOOKUP(E634,BD!$L$2:$Q$66,6,0),0)</f>
        <v>198</v>
      </c>
      <c r="I634" s="429">
        <f>IFERROR(G634*VLOOKUP($E634,BD!$L$2:$Q$66,5,0),0)</f>
        <v>134.64000000000001</v>
      </c>
      <c r="J634" s="3">
        <f t="shared" si="39"/>
        <v>2021</v>
      </c>
    </row>
    <row r="635" spans="1:10" hidden="1" x14ac:dyDescent="0.25">
      <c r="A635" s="421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7">
        <v>256676</v>
      </c>
      <c r="F635" s="54" t="str">
        <f>IFERROR(VLOOKUP(E635,BD!$L$2:$Q$66,2,0),0)</f>
        <v>TWO PACK CC PFM 3LX2 - RFCC</v>
      </c>
      <c r="G635" s="370">
        <f>120*4</f>
        <v>480</v>
      </c>
      <c r="H635" s="432">
        <f>+IFERROR(VLOOKUP(E635,BD!$L$2:$Q$66,6,0),0)</f>
        <v>120</v>
      </c>
      <c r="I635" s="96">
        <f>IFERROR(G635*VLOOKUP($E635,BD!$L$2:$Q$66,5,0),0)</f>
        <v>81.600000000000009</v>
      </c>
      <c r="J635" s="3">
        <f t="shared" si="39"/>
        <v>2021</v>
      </c>
    </row>
    <row r="636" spans="1:10" hidden="1" x14ac:dyDescent="0.25">
      <c r="A636" s="421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7">
        <v>256675</v>
      </c>
      <c r="F636" s="54" t="str">
        <f>IFERROR(VLOOKUP(E636,BD!$L$2:$Q$66,2,0),0)</f>
        <v>INCA KOLA PET 1.5LX2 RF</v>
      </c>
      <c r="G636" s="409">
        <f>198*4</f>
        <v>792</v>
      </c>
      <c r="H636" s="432">
        <f>+IFERROR(VLOOKUP(E636,BD!$L$2:$Q$66,6,0),0)</f>
        <v>198</v>
      </c>
      <c r="I636" s="429">
        <f>IFERROR(G636*VLOOKUP($E636,BD!$L$2:$Q$66,5,0),0)</f>
        <v>134.64000000000001</v>
      </c>
      <c r="J636" s="3">
        <f t="shared" si="39"/>
        <v>2021</v>
      </c>
    </row>
    <row r="637" spans="1:10" hidden="1" x14ac:dyDescent="0.25">
      <c r="A637" s="421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7">
        <v>256680</v>
      </c>
      <c r="F637" s="54" t="str">
        <f>IFERROR(VLOOKUP(E637,BD!$L$2:$Q$66,2,0),0)</f>
        <v>TRIPACK CC+CC+IK PFM 3LX3 - RFNN</v>
      </c>
      <c r="G637" s="409">
        <f>90*6</f>
        <v>540</v>
      </c>
      <c r="H637" s="432">
        <f>+IFERROR(VLOOKUP(E637,BD!$L$2:$Q$66,6,0),0)</f>
        <v>90</v>
      </c>
      <c r="I637" s="429">
        <f>IFERROR(G637*VLOOKUP($E637,BD!$L$2:$Q$66,5,0),0)</f>
        <v>91.800000000000011</v>
      </c>
      <c r="J637" s="3">
        <f t="shared" si="39"/>
        <v>2021</v>
      </c>
    </row>
    <row r="638" spans="1:10" hidden="1" x14ac:dyDescent="0.25">
      <c r="A638" s="421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7">
        <v>256652</v>
      </c>
      <c r="F638" s="54" t="str">
        <f>IFERROR(VLOOKUP(E638,BD!$L$2:$Q$66,2,0),0)</f>
        <v>TRIPACK FT NAR+FT KI+SP PET 3L</v>
      </c>
      <c r="G638" s="409">
        <f>90*8</f>
        <v>720</v>
      </c>
      <c r="H638" s="432">
        <f>+IFERROR(VLOOKUP(E638,BD!$L$2:$Q$66,6,0),0)</f>
        <v>90</v>
      </c>
      <c r="I638" s="96">
        <f>IFERROR(G638*VLOOKUP($E638,BD!$L$2:$Q$66,5,0),0)</f>
        <v>122.4</v>
      </c>
      <c r="J638" s="3">
        <f t="shared" si="39"/>
        <v>2021</v>
      </c>
    </row>
    <row r="639" spans="1:10" hidden="1" x14ac:dyDescent="0.25">
      <c r="A639" s="421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7">
        <v>256709</v>
      </c>
      <c r="F639" s="54" t="str">
        <f>IFERROR(VLOOKUP(E639,BD!$L$2:$Q$66,2,0),0)</f>
        <v>POWERADE ION4 MORA AZ PET473X6 MOD(STCK)</v>
      </c>
      <c r="G639" s="409">
        <f>225*2</f>
        <v>450</v>
      </c>
      <c r="H639" s="432">
        <f>+IFERROR(VLOOKUP(E639,BD!$L$2:$Q$66,6,0),0)</f>
        <v>225</v>
      </c>
      <c r="I639" s="429">
        <f>IFERROR(G639*VLOOKUP($E639,BD!$L$2:$Q$66,5,0),0)</f>
        <v>180</v>
      </c>
      <c r="J639" s="3">
        <f t="shared" si="39"/>
        <v>2021</v>
      </c>
    </row>
    <row r="640" spans="1:10" hidden="1" x14ac:dyDescent="0.25">
      <c r="A640" s="421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7">
        <v>256708</v>
      </c>
      <c r="F640" s="54" t="str">
        <f>IFERROR(VLOOKUP(E640,BD!$L$2:$Q$66,2,0),0)</f>
        <v>POWERADE ION4 FRUTA PET473X6 MOD (STICK)</v>
      </c>
      <c r="G640" s="409">
        <f>225*2</f>
        <v>450</v>
      </c>
      <c r="H640" s="432">
        <f>+IFERROR(VLOOKUP(E640,BD!$L$2:$Q$66,6,0),0)</f>
        <v>225</v>
      </c>
      <c r="I640" s="429">
        <f>IFERROR(G640*VLOOKUP($E640,BD!$L$2:$Q$66,5,0),0)</f>
        <v>180</v>
      </c>
      <c r="J640" s="3">
        <f t="shared" si="39"/>
        <v>2021</v>
      </c>
    </row>
    <row r="641" spans="1:10" ht="15.75" hidden="1" thickBot="1" x14ac:dyDescent="0.3">
      <c r="A641" s="423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9">
        <v>256666</v>
      </c>
      <c r="F641" s="453" t="str">
        <f>IFERROR(VLOOKUP(E641,BD!$L$2:$Q$66,2,0),0)</f>
        <v>COCA-COLA PET 2.25LX2 RF</v>
      </c>
      <c r="G641" s="450">
        <v>324</v>
      </c>
      <c r="H641" s="454">
        <f>+IFERROR(VLOOKUP(E641,BD!$L$2:$Q$66,6,0),0)</f>
        <v>162</v>
      </c>
      <c r="I641" s="98">
        <f>IFERROR(G641*VLOOKUP($E641,BD!$L$2:$Q$66,5,0),0)</f>
        <v>55.080000000000005</v>
      </c>
      <c r="J641" s="8">
        <f t="shared" si="39"/>
        <v>2021</v>
      </c>
    </row>
    <row r="642" spans="1:10" hidden="1" x14ac:dyDescent="0.25">
      <c r="A642" s="493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63">
        <v>251633</v>
      </c>
      <c r="F642" s="6" t="str">
        <f>IFERROR(VLOOKUP(E642,BD!$L$2:$Q$66,2,0),0)</f>
        <v>SAN LUIS CON GAS PET 625MLX6</v>
      </c>
      <c r="G642" s="464">
        <f>180*2</f>
        <v>360</v>
      </c>
      <c r="H642" s="6">
        <f>+IFERROR(VLOOKUP(E642,BD!$L$2:$Q$66,6,0),0)</f>
        <v>180</v>
      </c>
      <c r="I642" s="97">
        <f>IFERROR(G642*VLOOKUP($E642,BD!$L$2:$Q$66,5,0),0)</f>
        <v>151.19999999999999</v>
      </c>
      <c r="J642" s="6">
        <f t="shared" si="39"/>
        <v>2021</v>
      </c>
    </row>
    <row r="643" spans="1:10" hidden="1" x14ac:dyDescent="0.25">
      <c r="A643" s="491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7">
        <v>256617</v>
      </c>
      <c r="F643" s="3" t="str">
        <f>IFERROR(VLOOKUP(E643,BD!$L$2:$Q$66,2,0),0)</f>
        <v>TWO PACK SCHWEPPES GINGER ALE PET 1.5LX2</v>
      </c>
      <c r="G643" s="409">
        <f>198*2</f>
        <v>396</v>
      </c>
      <c r="H643" s="3">
        <f>+IFERROR(VLOOKUP(E643,BD!$L$2:$Q$66,6,0),0)</f>
        <v>198</v>
      </c>
      <c r="I643" s="96">
        <f>IFERROR(G643*VLOOKUP($E643,BD!$L$2:$Q$66,5,0),0)</f>
        <v>67.320000000000007</v>
      </c>
      <c r="J643" s="3">
        <f t="shared" si="39"/>
        <v>2021</v>
      </c>
    </row>
    <row r="644" spans="1:10" hidden="1" x14ac:dyDescent="0.25">
      <c r="A644" s="491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7">
        <v>256679</v>
      </c>
      <c r="F644" s="3" t="str">
        <f>IFERROR(VLOOKUP(E644,BD!$L$2:$Q$66,2,0),0)</f>
        <v>TRIPACK CC+IK+IK PFM 3LX3 - RFNN</v>
      </c>
      <c r="G644" s="409">
        <f>90*16</f>
        <v>1440</v>
      </c>
      <c r="H644" s="3">
        <f>+IFERROR(VLOOKUP(E644,BD!$L$2:$Q$66,6,0),0)</f>
        <v>90</v>
      </c>
      <c r="I644" s="96">
        <f>IFERROR(G644*VLOOKUP($E644,BD!$L$2:$Q$66,5,0),0)</f>
        <v>244.8</v>
      </c>
      <c r="J644" s="3">
        <f t="shared" ref="J644:J707" si="43">+YEAR(A644)</f>
        <v>2021</v>
      </c>
    </row>
    <row r="645" spans="1:10" hidden="1" x14ac:dyDescent="0.25">
      <c r="A645" s="491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7">
        <v>256652</v>
      </c>
      <c r="F645" s="3" t="str">
        <f>IFERROR(VLOOKUP(E645,BD!$L$2:$Q$66,2,0),0)</f>
        <v>TRIPACK FT NAR+FT KI+SP PET 3L</v>
      </c>
      <c r="G645" s="409">
        <f>90*10</f>
        <v>900</v>
      </c>
      <c r="H645" s="3">
        <f>+IFERROR(VLOOKUP(E645,BD!$L$2:$Q$66,6,0),0)</f>
        <v>90</v>
      </c>
      <c r="I645" s="96">
        <f>IFERROR(G645*VLOOKUP($E645,BD!$L$2:$Q$66,5,0),0)</f>
        <v>153</v>
      </c>
      <c r="J645" s="3">
        <f t="shared" si="43"/>
        <v>2021</v>
      </c>
    </row>
    <row r="646" spans="1:10" hidden="1" x14ac:dyDescent="0.25">
      <c r="A646" s="491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7">
        <v>251406</v>
      </c>
      <c r="F646" s="3" t="str">
        <f>IFERROR(VLOOKUP(E646,BD!$L$2:$Q$66,2,0),0)</f>
        <v>COCA-COLA SIN AZUCAR PET 1.5LX2</v>
      </c>
      <c r="G646" s="409">
        <f>198*14</f>
        <v>2772</v>
      </c>
      <c r="H646" s="3">
        <f>+IFERROR(VLOOKUP(E646,BD!$L$2:$Q$66,6,0),0)</f>
        <v>198</v>
      </c>
      <c r="I646" s="96">
        <f>IFERROR(G646*VLOOKUP($E646,BD!$L$2:$Q$66,5,0),0)</f>
        <v>471.24</v>
      </c>
      <c r="J646" s="3">
        <f t="shared" si="43"/>
        <v>2021</v>
      </c>
    </row>
    <row r="647" spans="1:10" hidden="1" x14ac:dyDescent="0.25">
      <c r="A647" s="491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7">
        <v>256674</v>
      </c>
      <c r="F647" s="3" t="str">
        <f>IFERROR(VLOOKUP(E647,BD!$L$2:$Q$66,2,0),0)</f>
        <v>COCA-COLA PET 1.5LX2 RF</v>
      </c>
      <c r="G647" s="409">
        <f>198*18</f>
        <v>3564</v>
      </c>
      <c r="H647" s="3">
        <f>+IFERROR(VLOOKUP(E647,BD!$L$2:$Q$66,6,0),0)</f>
        <v>198</v>
      </c>
      <c r="I647" s="96">
        <f>IFERROR(G647*VLOOKUP($E647,BD!$L$2:$Q$66,5,0),0)</f>
        <v>605.88</v>
      </c>
      <c r="J647" s="3">
        <f t="shared" si="43"/>
        <v>2021</v>
      </c>
    </row>
    <row r="648" spans="1:10" hidden="1" x14ac:dyDescent="0.25">
      <c r="A648" s="491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7">
        <v>256381</v>
      </c>
      <c r="F648" s="3" t="str">
        <f>IFERROR(VLOOKUP(E648,BD!$L$2:$Q$66,2,0),0)</f>
        <v>INCA KOLA VR 1.5LX8 - STICKER</v>
      </c>
      <c r="G648" s="409">
        <f>30*2</f>
        <v>60</v>
      </c>
      <c r="H648" s="3">
        <f>+IFERROR(VLOOKUP(E648,BD!$L$2:$Q$66,6,0),0)</f>
        <v>30</v>
      </c>
      <c r="I648" s="96">
        <f>IFERROR(G648*VLOOKUP($E648,BD!$L$2:$Q$66,5,0),0)</f>
        <v>24</v>
      </c>
      <c r="J648" s="3">
        <f t="shared" si="43"/>
        <v>2021</v>
      </c>
    </row>
    <row r="649" spans="1:10" hidden="1" x14ac:dyDescent="0.25">
      <c r="A649" s="491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7">
        <v>256382</v>
      </c>
      <c r="F649" s="3" t="str">
        <f>IFERROR(VLOOKUP(E649,BD!$L$2:$Q$66,2,0),0)</f>
        <v>COCA COLA VR 296MLX24 - STICKER</v>
      </c>
      <c r="G649" s="409">
        <v>40</v>
      </c>
      <c r="H649" s="3">
        <f>+IFERROR(VLOOKUP(E649,BD!$L$2:$Q$66,6,0),0)</f>
        <v>40</v>
      </c>
      <c r="I649" s="96">
        <f>IFERROR(G649*VLOOKUP($E649,BD!$L$2:$Q$66,5,0),0)</f>
        <v>9.2000000000000011</v>
      </c>
      <c r="J649" s="3">
        <f t="shared" si="43"/>
        <v>2021</v>
      </c>
    </row>
    <row r="650" spans="1:10" hidden="1" x14ac:dyDescent="0.25">
      <c r="A650" s="491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7">
        <v>256616</v>
      </c>
      <c r="F650" s="3" t="str">
        <f>IFERROR(VLOOKUP(E650,BD!$L$2:$Q$66,2,0),0)</f>
        <v>TWO PACK SCHWEPPES CITRUS PET 1.5LX2</v>
      </c>
      <c r="G650" s="409">
        <f>198*4</f>
        <v>792</v>
      </c>
      <c r="H650" s="3">
        <f>+IFERROR(VLOOKUP(E650,BD!$L$2:$Q$66,6,0),0)</f>
        <v>198</v>
      </c>
      <c r="I650" s="96">
        <f>IFERROR(G650*VLOOKUP($E650,BD!$L$2:$Q$66,5,0),0)</f>
        <v>134.64000000000001</v>
      </c>
      <c r="J650" s="3">
        <f t="shared" si="43"/>
        <v>2021</v>
      </c>
    </row>
    <row r="651" spans="1:10" hidden="1" x14ac:dyDescent="0.25">
      <c r="A651" s="491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7">
        <v>256675</v>
      </c>
      <c r="F651" s="3" t="str">
        <f>IFERROR(VLOOKUP(E651,BD!$L$2:$Q$66,2,0),0)</f>
        <v>INCA KOLA PET 1.5LX2 RF</v>
      </c>
      <c r="G651" s="409">
        <f>198*2</f>
        <v>396</v>
      </c>
      <c r="H651" s="3">
        <f>+IFERROR(VLOOKUP(E651,BD!$L$2:$Q$66,6,0),0)</f>
        <v>198</v>
      </c>
      <c r="I651" s="96">
        <f>IFERROR(G651*VLOOKUP($E651,BD!$L$2:$Q$66,5,0),0)</f>
        <v>67.320000000000007</v>
      </c>
      <c r="J651" s="3">
        <f t="shared" si="43"/>
        <v>2021</v>
      </c>
    </row>
    <row r="652" spans="1:10" hidden="1" x14ac:dyDescent="0.25">
      <c r="A652" s="491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7">
        <v>256488</v>
      </c>
      <c r="F652" s="3" t="str">
        <f>IFERROR(VLOOKUP(E652,BD!$L$2:$Q$66,2,0),0)</f>
        <v>INCA KOLA PET 3LX2 - RF</v>
      </c>
      <c r="G652" s="409">
        <f>120*4</f>
        <v>480</v>
      </c>
      <c r="H652" s="3">
        <f>+IFERROR(VLOOKUP(E652,BD!$L$2:$Q$66,6,0),0)</f>
        <v>120</v>
      </c>
      <c r="I652" s="96">
        <f>IFERROR(G652*VLOOKUP($E652,BD!$L$2:$Q$66,5,0),0)</f>
        <v>81.600000000000009</v>
      </c>
      <c r="J652" s="3">
        <f t="shared" si="43"/>
        <v>2021</v>
      </c>
    </row>
    <row r="653" spans="1:10" hidden="1" x14ac:dyDescent="0.25">
      <c r="A653" s="491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7">
        <v>254853</v>
      </c>
      <c r="F653" s="3" t="str">
        <f>IFERROR(VLOOKUP(E653,BD!$L$2:$Q$66,2,0),0)</f>
        <v>INCA KOLA SIN AZUCAR PET 1.5LX2</v>
      </c>
      <c r="G653" s="409">
        <f>198*6</f>
        <v>1188</v>
      </c>
      <c r="H653" s="3">
        <f>+IFERROR(VLOOKUP(E653,BD!$L$2:$Q$66,6,0),0)</f>
        <v>198</v>
      </c>
      <c r="I653" s="96">
        <f>IFERROR(G653*VLOOKUP($E653,BD!$L$2:$Q$66,5,0),0)</f>
        <v>201.96</v>
      </c>
      <c r="J653" s="3">
        <f t="shared" si="43"/>
        <v>2021</v>
      </c>
    </row>
    <row r="654" spans="1:10" s="9" customFormat="1" hidden="1" x14ac:dyDescent="0.25">
      <c r="A654" s="491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7">
        <v>256677</v>
      </c>
      <c r="F654" s="3" t="str">
        <f>IFERROR(VLOOKUP(E654,BD!$L$2:$Q$66,2,0),0)</f>
        <v>TWO PACK CC + IK PFM 3LX2 - RFNN</v>
      </c>
      <c r="G654" s="409">
        <f>120*12</f>
        <v>1440</v>
      </c>
      <c r="H654" s="3">
        <f>+IFERROR(VLOOKUP(E654,BD!$L$2:$Q$66,6,0),0)</f>
        <v>120</v>
      </c>
      <c r="I654" s="96">
        <f>IFERROR(G654*VLOOKUP($E654,BD!$L$2:$Q$66,5,0),0)</f>
        <v>244.8</v>
      </c>
      <c r="J654" s="3">
        <f t="shared" si="43"/>
        <v>2021</v>
      </c>
    </row>
    <row r="655" spans="1:10" s="9" customFormat="1" hidden="1" x14ac:dyDescent="0.25">
      <c r="A655" s="491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7">
        <v>256676</v>
      </c>
      <c r="F655" s="3" t="str">
        <f>IFERROR(VLOOKUP(E655,BD!$L$2:$Q$66,2,0),0)</f>
        <v>TWO PACK CC PFM 3LX2 - RFCC</v>
      </c>
      <c r="G655" s="370">
        <v>240</v>
      </c>
      <c r="H655" s="3">
        <f>+IFERROR(VLOOKUP(E655,BD!$L$2:$Q$66,6,0),0)</f>
        <v>120</v>
      </c>
      <c r="I655" s="96">
        <f>IFERROR(G655*VLOOKUP($E655,BD!$L$2:$Q$66,5,0),0)</f>
        <v>40.800000000000004</v>
      </c>
      <c r="J655" s="3">
        <f t="shared" si="43"/>
        <v>2021</v>
      </c>
    </row>
    <row r="656" spans="1:10" s="9" customFormat="1" ht="15.75" hidden="1" thickBot="1" x14ac:dyDescent="0.3">
      <c r="A656" s="492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9">
        <v>256678</v>
      </c>
      <c r="F656" s="8" t="str">
        <f>IFERROR(VLOOKUP(E656,BD!$L$2:$Q$66,2,0),0)</f>
        <v>TRIPACK (CC+IK)PFM+FT PET 3LX3 - RFNN</v>
      </c>
      <c r="G656" s="450">
        <v>450</v>
      </c>
      <c r="H656" s="8">
        <f>+IFERROR(VLOOKUP(E656,BD!$L$2:$Q$66,6,0),0)</f>
        <v>90</v>
      </c>
      <c r="I656" s="98">
        <f>IFERROR(G656*VLOOKUP($E656,BD!$L$2:$Q$66,5,0),0)</f>
        <v>76.5</v>
      </c>
      <c r="J656" s="8">
        <f t="shared" si="43"/>
        <v>2021</v>
      </c>
    </row>
    <row r="657" spans="1:10" s="9" customFormat="1" hidden="1" x14ac:dyDescent="0.25">
      <c r="A657" s="493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63">
        <v>256680</v>
      </c>
      <c r="F657" s="6" t="str">
        <f>IFERROR(VLOOKUP(E657,BD!$L$2:$Q$66,2,0),0)</f>
        <v>TRIPACK CC+CC+IK PFM 3LX3 - RFNN</v>
      </c>
      <c r="G657" s="464">
        <v>90</v>
      </c>
      <c r="H657" s="6">
        <f>+IFERROR(VLOOKUP(E657,BD!$L$2:$Q$66,6,0),0)</f>
        <v>90</v>
      </c>
      <c r="I657" s="97">
        <f>IFERROR(G657*VLOOKUP($E657,BD!$L$2:$Q$66,5,0),0)</f>
        <v>15.3</v>
      </c>
      <c r="J657" s="6">
        <f t="shared" si="43"/>
        <v>2021</v>
      </c>
    </row>
    <row r="658" spans="1:10" s="9" customFormat="1" hidden="1" x14ac:dyDescent="0.25">
      <c r="A658" s="491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7">
        <v>256695</v>
      </c>
      <c r="F658" s="3" t="str">
        <f>IFERROR(VLOOKUP(E658,BD!$L$2:$Q$66,2,0),0)</f>
        <v>POWERADE 3MORA+3FRUT PET 473MLX6</v>
      </c>
      <c r="G658" s="409">
        <f>225*4</f>
        <v>900</v>
      </c>
      <c r="H658" s="3">
        <f>+IFERROR(VLOOKUP(E658,BD!$L$2:$Q$66,6,0),0)</f>
        <v>225</v>
      </c>
      <c r="I658" s="96">
        <f>IFERROR(G658*VLOOKUP($E658,BD!$L$2:$Q$66,5,0),0)</f>
        <v>378</v>
      </c>
      <c r="J658" s="3">
        <f t="shared" si="43"/>
        <v>2021</v>
      </c>
    </row>
    <row r="659" spans="1:10" hidden="1" x14ac:dyDescent="0.25">
      <c r="A659" s="491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7">
        <v>256708</v>
      </c>
      <c r="F659" s="3" t="str">
        <f>IFERROR(VLOOKUP(E659,BD!$L$2:$Q$66,2,0),0)</f>
        <v>POWERADE ION4 FRUTA PET473X6 MOD (STICK)</v>
      </c>
      <c r="G659" s="409">
        <v>225</v>
      </c>
      <c r="H659" s="3">
        <f>+IFERROR(VLOOKUP(E659,BD!$L$2:$Q$66,6,0),0)</f>
        <v>225</v>
      </c>
      <c r="I659" s="96">
        <f>IFERROR(G659*VLOOKUP($E659,BD!$L$2:$Q$66,5,0),0)</f>
        <v>90</v>
      </c>
      <c r="J659" s="3">
        <f t="shared" si="43"/>
        <v>2021</v>
      </c>
    </row>
    <row r="660" spans="1:10" hidden="1" x14ac:dyDescent="0.25">
      <c r="A660" s="491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7">
        <v>251429</v>
      </c>
      <c r="F660" s="3" t="str">
        <f>IFERROR(VLOOKUP(E660,BD!$L$2:$Q$66,2,0),0)</f>
        <v>SAN LUIS SIN GAS PET2500X6 STICKER</v>
      </c>
      <c r="G660" s="409">
        <f>48*12</f>
        <v>576</v>
      </c>
      <c r="H660" s="3">
        <f>+IFERROR(VLOOKUP(E660,BD!$L$2:$Q$66,6,0),0)</f>
        <v>48</v>
      </c>
      <c r="I660" s="96">
        <f>IFERROR(G660*VLOOKUP($E660,BD!$L$2:$Q$66,5,0),0)</f>
        <v>230.4</v>
      </c>
      <c r="J660" s="3">
        <f t="shared" si="43"/>
        <v>2021</v>
      </c>
    </row>
    <row r="661" spans="1:10" hidden="1" x14ac:dyDescent="0.25">
      <c r="A661" s="491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7">
        <v>256677</v>
      </c>
      <c r="F661" s="3" t="str">
        <f>IFERROR(VLOOKUP(E661,BD!$L$2:$Q$66,2,0),0)</f>
        <v>TWO PACK CC + IK PFM 3LX2 - RFNN</v>
      </c>
      <c r="G661" s="409">
        <f>120*12</f>
        <v>1440</v>
      </c>
      <c r="H661" s="3">
        <f>+IFERROR(VLOOKUP(E661,BD!$L$2:$Q$66,6,0),0)</f>
        <v>120</v>
      </c>
      <c r="I661" s="96">
        <f>IFERROR(G661*VLOOKUP($E661,BD!$L$2:$Q$66,5,0),0)</f>
        <v>244.8</v>
      </c>
      <c r="J661" s="3">
        <f t="shared" si="43"/>
        <v>2021</v>
      </c>
    </row>
    <row r="662" spans="1:10" hidden="1" x14ac:dyDescent="0.25">
      <c r="A662" s="491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7">
        <v>256678</v>
      </c>
      <c r="F662" s="3" t="str">
        <f>IFERROR(VLOOKUP(E662,BD!$L$2:$Q$66,2,0),0)</f>
        <v>TRIPACK (CC+IK)PFM+FT PET 3LX3 - RFNN</v>
      </c>
      <c r="G662" s="409">
        <f>90*9</f>
        <v>810</v>
      </c>
      <c r="H662" s="3">
        <f>+IFERROR(VLOOKUP(E662,BD!$L$2:$Q$66,6,0),0)</f>
        <v>90</v>
      </c>
      <c r="I662" s="96">
        <f>IFERROR(G662*VLOOKUP($E662,BD!$L$2:$Q$66,5,0),0)</f>
        <v>137.70000000000002</v>
      </c>
      <c r="J662" s="3">
        <f t="shared" si="43"/>
        <v>2021</v>
      </c>
    </row>
    <row r="663" spans="1:10" s="9" customFormat="1" hidden="1" x14ac:dyDescent="0.25">
      <c r="A663" s="491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7">
        <v>256488</v>
      </c>
      <c r="F663" s="3" t="str">
        <f>IFERROR(VLOOKUP(E663,BD!$L$2:$Q$66,2,0),0)</f>
        <v>INCA KOLA PET 3LX2 - RF</v>
      </c>
      <c r="G663" s="409">
        <f>120*8</f>
        <v>960</v>
      </c>
      <c r="H663" s="3">
        <f>+IFERROR(VLOOKUP(E663,BD!$L$2:$Q$66,6,0),0)</f>
        <v>120</v>
      </c>
      <c r="I663" s="96">
        <f>IFERROR(G663*VLOOKUP($E663,BD!$L$2:$Q$66,5,0),0)</f>
        <v>163.20000000000002</v>
      </c>
      <c r="J663" s="3">
        <f t="shared" si="43"/>
        <v>2021</v>
      </c>
    </row>
    <row r="664" spans="1:10" s="9" customFormat="1" hidden="1" x14ac:dyDescent="0.25">
      <c r="A664" s="491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7">
        <v>256674</v>
      </c>
      <c r="F664" s="3" t="str">
        <f>IFERROR(VLOOKUP(E664,BD!$L$2:$Q$66,2,0),0)</f>
        <v>COCA-COLA PET 1.5LX2 RF</v>
      </c>
      <c r="G664" s="409">
        <f>198*6</f>
        <v>1188</v>
      </c>
      <c r="H664" s="3">
        <f>+IFERROR(VLOOKUP(E664,BD!$L$2:$Q$66,6,0),0)</f>
        <v>198</v>
      </c>
      <c r="I664" s="96">
        <f>IFERROR(G664*VLOOKUP($E664,BD!$L$2:$Q$66,5,0),0)</f>
        <v>201.96</v>
      </c>
      <c r="J664" s="3">
        <f t="shared" si="43"/>
        <v>2021</v>
      </c>
    </row>
    <row r="665" spans="1:10" s="9" customFormat="1" hidden="1" x14ac:dyDescent="0.25">
      <c r="A665" s="491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7">
        <v>251429</v>
      </c>
      <c r="F665" s="3" t="str">
        <f>IFERROR(VLOOKUP(E665,BD!$L$2:$Q$66,2,0),0)</f>
        <v>SAN LUIS SIN GAS PET2500X6 STICKER</v>
      </c>
      <c r="G665" s="409">
        <f>48*14</f>
        <v>672</v>
      </c>
      <c r="H665" s="3">
        <f>+IFERROR(VLOOKUP(E665,BD!$L$2:$Q$66,6,0),0)</f>
        <v>48</v>
      </c>
      <c r="I665" s="96">
        <f>IFERROR(G665*VLOOKUP($E665,BD!$L$2:$Q$66,5,0),0)</f>
        <v>268.8</v>
      </c>
      <c r="J665" s="3">
        <f t="shared" si="43"/>
        <v>2021</v>
      </c>
    </row>
    <row r="666" spans="1:10" s="9" customFormat="1" hidden="1" x14ac:dyDescent="0.25">
      <c r="A666" s="491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7">
        <v>256685</v>
      </c>
      <c r="F666" s="3" t="str">
        <f>IFERROR(VLOOKUP(E666,BD!$L$2:$Q$66,2,0),0)</f>
        <v>SL S/G TAPA PLANA 1LT</v>
      </c>
      <c r="G666" s="409">
        <f>112*4</f>
        <v>448</v>
      </c>
      <c r="H666" s="3">
        <f>+IFERROR(VLOOKUP(E666,BD!$L$2:$Q$66,6,0),0)</f>
        <v>112</v>
      </c>
      <c r="I666" s="96">
        <f>IFERROR(G666*VLOOKUP($E666,BD!$L$2:$Q$66,5,0),0)</f>
        <v>179.20000000000002</v>
      </c>
      <c r="J666" s="3">
        <f t="shared" si="43"/>
        <v>2021</v>
      </c>
    </row>
    <row r="667" spans="1:10" s="9" customFormat="1" hidden="1" x14ac:dyDescent="0.25">
      <c r="A667" s="491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7">
        <v>251633</v>
      </c>
      <c r="F667" s="3" t="str">
        <f>IFERROR(VLOOKUP(E667,BD!$L$2:$Q$66,2,0),0)</f>
        <v>SAN LUIS CON GAS PET 625MLX6</v>
      </c>
      <c r="G667" s="409">
        <f>180*5</f>
        <v>900</v>
      </c>
      <c r="H667" s="3">
        <f>+IFERROR(VLOOKUP(E667,BD!$L$2:$Q$66,6,0),0)</f>
        <v>180</v>
      </c>
      <c r="I667" s="96">
        <f>IFERROR(G667*VLOOKUP($E667,BD!$L$2:$Q$66,5,0),0)</f>
        <v>378</v>
      </c>
      <c r="J667" s="3">
        <f t="shared" si="43"/>
        <v>2021</v>
      </c>
    </row>
    <row r="668" spans="1:10" hidden="1" x14ac:dyDescent="0.25">
      <c r="A668" s="491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7">
        <v>256695</v>
      </c>
      <c r="F668" s="3" t="str">
        <f>IFERROR(VLOOKUP(E668,BD!$L$2:$Q$66,2,0),0)</f>
        <v>POWERADE 3MORA+3FRUT PET 473MLX6</v>
      </c>
      <c r="G668" s="409">
        <f>225*2</f>
        <v>450</v>
      </c>
      <c r="H668" s="3">
        <f>+IFERROR(VLOOKUP(E668,BD!$L$2:$Q$66,6,0),0)</f>
        <v>225</v>
      </c>
      <c r="I668" s="96">
        <f>IFERROR(G668*VLOOKUP($E668,BD!$L$2:$Q$66,5,0),0)</f>
        <v>189</v>
      </c>
      <c r="J668" s="3">
        <f t="shared" si="43"/>
        <v>2021</v>
      </c>
    </row>
    <row r="669" spans="1:10" hidden="1" x14ac:dyDescent="0.25">
      <c r="A669" s="491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7">
        <v>256679</v>
      </c>
      <c r="F669" s="3" t="str">
        <f>IFERROR(VLOOKUP(E669,BD!$L$2:$Q$66,2,0),0)</f>
        <v>TRIPACK CC+IK+IK PFM 3LX3 - RFNN</v>
      </c>
      <c r="G669" s="409">
        <f>90*5</f>
        <v>450</v>
      </c>
      <c r="H669" s="3">
        <f>+IFERROR(VLOOKUP(E669,BD!$L$2:$Q$66,6,0),0)</f>
        <v>90</v>
      </c>
      <c r="I669" s="96">
        <f>IFERROR(G669*VLOOKUP($E669,BD!$L$2:$Q$66,5,0),0)</f>
        <v>76.5</v>
      </c>
      <c r="J669" s="3">
        <f t="shared" si="43"/>
        <v>2021</v>
      </c>
    </row>
    <row r="670" spans="1:10" hidden="1" x14ac:dyDescent="0.25">
      <c r="A670" s="491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7">
        <v>255405</v>
      </c>
      <c r="F670" s="3" t="str">
        <f>IFERROR(VLOOKUP(E670,BD!$L$2:$Q$66,2,0),0)</f>
        <v>FRUGOS BEBIDA DZ VNR 286MLX6 C/STICKER</v>
      </c>
      <c r="G670" s="409">
        <f>350*3</f>
        <v>1050</v>
      </c>
      <c r="H670" s="3">
        <f>+IFERROR(VLOOKUP(E670,BD!$L$2:$Q$66,6,0),0)</f>
        <v>350</v>
      </c>
      <c r="I670" s="96">
        <f>IFERROR(G670*VLOOKUP($E670,BD!$L$2:$Q$66,5,0),0)</f>
        <v>241.5</v>
      </c>
      <c r="J670" s="3">
        <f t="shared" si="43"/>
        <v>2021</v>
      </c>
    </row>
    <row r="671" spans="1:10" ht="15.75" hidden="1" thickBot="1" x14ac:dyDescent="0.3">
      <c r="A671" s="492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9">
        <v>256676</v>
      </c>
      <c r="F671" s="8" t="str">
        <f>IFERROR(VLOOKUP(E671,BD!$L$2:$Q$66,2,0),0)</f>
        <v>TWO PACK CC PFM 3LX2 - RFCC</v>
      </c>
      <c r="G671" s="505">
        <f>120*2</f>
        <v>240</v>
      </c>
      <c r="H671" s="8">
        <f>+IFERROR(VLOOKUP(E671,BD!$L$2:$Q$66,6,0),0)</f>
        <v>120</v>
      </c>
      <c r="I671" s="98">
        <f>IFERROR(G671*VLOOKUP($E671,BD!$L$2:$Q$66,5,0),0)</f>
        <v>40.800000000000004</v>
      </c>
      <c r="J671" s="8">
        <f t="shared" si="43"/>
        <v>2021</v>
      </c>
    </row>
    <row r="672" spans="1:10" hidden="1" x14ac:dyDescent="0.25">
      <c r="A672" s="493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63">
        <v>256680</v>
      </c>
      <c r="F672" s="6" t="str">
        <f>IFERROR(VLOOKUP(E672,BD!$L$2:$Q$66,2,0),0)</f>
        <v>TRIPACK CC+CC+IK PFM 3LX3 - RFNN</v>
      </c>
      <c r="G672" s="464">
        <f>90*5</f>
        <v>450</v>
      </c>
      <c r="H672" s="6">
        <f>+IFERROR(VLOOKUP(E672,BD!$L$2:$Q$66,6,0),0)</f>
        <v>90</v>
      </c>
      <c r="I672" s="97">
        <f>IFERROR(G672*VLOOKUP($E672,BD!$L$2:$Q$66,5,0),0)</f>
        <v>76.5</v>
      </c>
      <c r="J672" s="6">
        <f t="shared" si="43"/>
        <v>2021</v>
      </c>
    </row>
    <row r="673" spans="1:10" hidden="1" x14ac:dyDescent="0.25">
      <c r="A673" s="491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7">
        <v>251406</v>
      </c>
      <c r="F673" s="3" t="str">
        <f>IFERROR(VLOOKUP(E673,BD!$L$2:$Q$66,2,0),0)</f>
        <v>COCA-COLA SIN AZUCAR PET 1.5LX2</v>
      </c>
      <c r="G673" s="409">
        <f>198*14</f>
        <v>2772</v>
      </c>
      <c r="H673" s="3">
        <f>+IFERROR(VLOOKUP(E673,BD!$L$2:$Q$66,6,0),0)</f>
        <v>198</v>
      </c>
      <c r="I673" s="96">
        <f>IFERROR(G673*VLOOKUP($E673,BD!$L$2:$Q$66,5,0),0)</f>
        <v>471.24</v>
      </c>
      <c r="J673" s="3">
        <f t="shared" si="43"/>
        <v>2021</v>
      </c>
    </row>
    <row r="674" spans="1:10" s="9" customFormat="1" hidden="1" x14ac:dyDescent="0.25">
      <c r="A674" s="491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7">
        <v>254853</v>
      </c>
      <c r="F674" s="3" t="str">
        <f>IFERROR(VLOOKUP(E674,BD!$L$2:$Q$66,2,0),0)</f>
        <v>INCA KOLA SIN AZUCAR PET 1.5LX2</v>
      </c>
      <c r="G674" s="409">
        <f>198*8</f>
        <v>1584</v>
      </c>
      <c r="H674" s="3">
        <f>+IFERROR(VLOOKUP(E674,BD!$L$2:$Q$66,6,0),0)</f>
        <v>198</v>
      </c>
      <c r="I674" s="96">
        <f>IFERROR(G674*VLOOKUP($E674,BD!$L$2:$Q$66,5,0),0)</f>
        <v>269.28000000000003</v>
      </c>
      <c r="J674" s="3">
        <f t="shared" si="43"/>
        <v>2021</v>
      </c>
    </row>
    <row r="675" spans="1:10" s="9" customFormat="1" ht="15.75" hidden="1" thickBot="1" x14ac:dyDescent="0.3">
      <c r="A675" s="492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9">
        <v>256675</v>
      </c>
      <c r="F675" s="8" t="str">
        <f>IFERROR(VLOOKUP(E675,BD!$L$2:$Q$66,2,0),0)</f>
        <v>INCA KOLA PET 1.5LX2 RF</v>
      </c>
      <c r="G675" s="450">
        <f>198*4</f>
        <v>792</v>
      </c>
      <c r="H675" s="8">
        <f>+IFERROR(VLOOKUP(E675,BD!$L$2:$Q$66,6,0),0)</f>
        <v>198</v>
      </c>
      <c r="I675" s="98">
        <f>IFERROR(G675*VLOOKUP($E675,BD!$L$2:$Q$66,5,0),0)</f>
        <v>134.64000000000001</v>
      </c>
      <c r="J675" s="8">
        <f t="shared" si="43"/>
        <v>2021</v>
      </c>
    </row>
    <row r="676" spans="1:10" s="9" customFormat="1" hidden="1" x14ac:dyDescent="0.25">
      <c r="A676" s="493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63">
        <v>256379</v>
      </c>
      <c r="F676" s="6" t="str">
        <f>IFERROR(VLOOKUP(E676,BD!$L$2:$Q$66,2,0),0)</f>
        <v>INCA KOLA VR 625MLX12 - STICKER</v>
      </c>
      <c r="G676" s="464">
        <f>50*2</f>
        <v>100</v>
      </c>
      <c r="H676" s="6">
        <f>+IFERROR(VLOOKUP(E676,BD!$L$2:$Q$66,6,0),0)</f>
        <v>50</v>
      </c>
      <c r="I676" s="97">
        <f>IFERROR(G676*VLOOKUP($E676,BD!$L$2:$Q$66,5,0),0)</f>
        <v>40</v>
      </c>
      <c r="J676" s="6">
        <f t="shared" si="43"/>
        <v>2021</v>
      </c>
    </row>
    <row r="677" spans="1:10" s="9" customFormat="1" hidden="1" x14ac:dyDescent="0.25">
      <c r="A677" s="491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7">
        <v>251429</v>
      </c>
      <c r="F677" s="3" t="str">
        <f>IFERROR(VLOOKUP(E677,BD!$L$2:$Q$66,2,0),0)</f>
        <v>SAN LUIS SIN GAS PET2500X6 STICKER</v>
      </c>
      <c r="G677" s="409">
        <f>48*4</f>
        <v>192</v>
      </c>
      <c r="H677" s="3">
        <f>+IFERROR(VLOOKUP(E677,BD!$L$2:$Q$66,6,0),0)</f>
        <v>48</v>
      </c>
      <c r="I677" s="96">
        <f>IFERROR(G677*VLOOKUP($E677,BD!$L$2:$Q$66,5,0),0)</f>
        <v>76.800000000000011</v>
      </c>
      <c r="J677" s="3">
        <f t="shared" si="43"/>
        <v>2021</v>
      </c>
    </row>
    <row r="678" spans="1:10" s="9" customFormat="1" hidden="1" x14ac:dyDescent="0.25">
      <c r="A678" s="491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7">
        <v>251633</v>
      </c>
      <c r="F678" s="3" t="str">
        <f>IFERROR(VLOOKUP(E678,BD!$L$2:$Q$66,2,0),0)</f>
        <v>SAN LUIS CON GAS PET 625MLX6</v>
      </c>
      <c r="G678" s="409">
        <v>180</v>
      </c>
      <c r="H678" s="3">
        <f>+IFERROR(VLOOKUP(E678,BD!$L$2:$Q$66,6,0),0)</f>
        <v>180</v>
      </c>
      <c r="I678" s="96">
        <f>IFERROR(G678*VLOOKUP($E678,BD!$L$2:$Q$66,5,0),0)</f>
        <v>75.599999999999994</v>
      </c>
      <c r="J678" s="3">
        <f t="shared" si="43"/>
        <v>2021</v>
      </c>
    </row>
    <row r="679" spans="1:10" s="9" customFormat="1" hidden="1" x14ac:dyDescent="0.25">
      <c r="A679" s="491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7">
        <v>256709</v>
      </c>
      <c r="F679" s="3" t="str">
        <f>IFERROR(VLOOKUP(E679,BD!$L$2:$Q$66,2,0),0)</f>
        <v>POWERADE ION4 MORA AZ PET473X6 MOD(STCK)</v>
      </c>
      <c r="G679" s="409">
        <v>225</v>
      </c>
      <c r="H679" s="3">
        <f>+IFERROR(VLOOKUP(E679,BD!$L$2:$Q$66,6,0),0)</f>
        <v>225</v>
      </c>
      <c r="I679" s="96">
        <f>IFERROR(G679*VLOOKUP($E679,BD!$L$2:$Q$66,5,0),0)</f>
        <v>90</v>
      </c>
      <c r="J679" s="3">
        <f t="shared" si="43"/>
        <v>2021</v>
      </c>
    </row>
    <row r="680" spans="1:10" s="9" customFormat="1" hidden="1" x14ac:dyDescent="0.25">
      <c r="A680" s="491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7">
        <v>751315</v>
      </c>
      <c r="F680" s="3" t="str">
        <f>IFERROR(VLOOKUP(E680,BD!$L$2:$Q$66,2,0),0)</f>
        <v>MONSTER ENERGY 473MLX4</v>
      </c>
      <c r="G680" s="409">
        <f>420*2</f>
        <v>840</v>
      </c>
      <c r="H680" s="3">
        <f>+IFERROR(VLOOKUP(E680,BD!$L$2:$Q$66,6,0),0)</f>
        <v>420</v>
      </c>
      <c r="I680" s="96">
        <f>IFERROR(G680*VLOOKUP($E680,BD!$L$2:$Q$66,5,0),0)</f>
        <v>352.8</v>
      </c>
      <c r="J680" s="3">
        <f t="shared" si="43"/>
        <v>2021</v>
      </c>
    </row>
    <row r="681" spans="1:10" s="9" customFormat="1" hidden="1" x14ac:dyDescent="0.25">
      <c r="A681" s="491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7">
        <v>256679</v>
      </c>
      <c r="F681" s="3" t="str">
        <f>IFERROR(VLOOKUP(E681,BD!$L$2:$Q$66,2,0),0)</f>
        <v>TRIPACK CC+IK+IK PFM 3LX3 - RFNN</v>
      </c>
      <c r="G681" s="409">
        <f>90*8</f>
        <v>720</v>
      </c>
      <c r="H681" s="3">
        <f>+IFERROR(VLOOKUP(E681,BD!$L$2:$Q$66,6,0),0)</f>
        <v>90</v>
      </c>
      <c r="I681" s="96">
        <f>IFERROR(G681*VLOOKUP($E681,BD!$L$2:$Q$66,5,0),0)</f>
        <v>122.4</v>
      </c>
      <c r="J681" s="3">
        <f t="shared" si="43"/>
        <v>2021</v>
      </c>
    </row>
    <row r="682" spans="1:10" s="9" customFormat="1" hidden="1" x14ac:dyDescent="0.25">
      <c r="A682" s="491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7">
        <v>254853</v>
      </c>
      <c r="F682" s="3" t="str">
        <f>IFERROR(VLOOKUP(E682,BD!$L$2:$Q$66,2,0),0)</f>
        <v>INCA KOLA SIN AZUCAR PET 1.5LX2</v>
      </c>
      <c r="G682" s="409">
        <f>198*6</f>
        <v>1188</v>
      </c>
      <c r="H682" s="3">
        <f>+IFERROR(VLOOKUP(E682,BD!$L$2:$Q$66,6,0),0)</f>
        <v>198</v>
      </c>
      <c r="I682" s="96">
        <f>IFERROR(G682*VLOOKUP($E682,BD!$L$2:$Q$66,5,0),0)</f>
        <v>201.96</v>
      </c>
      <c r="J682" s="3">
        <f t="shared" si="43"/>
        <v>2021</v>
      </c>
    </row>
    <row r="683" spans="1:10" s="9" customFormat="1" hidden="1" x14ac:dyDescent="0.25">
      <c r="A683" s="491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7">
        <v>256617</v>
      </c>
      <c r="F683" s="3" t="str">
        <f>IFERROR(VLOOKUP(E683,BD!$L$2:$Q$66,2,0),0)</f>
        <v>TWO PACK SCHWEPPES GINGER ALE PET 1.5LX2</v>
      </c>
      <c r="G683" s="409">
        <f>198*4</f>
        <v>792</v>
      </c>
      <c r="H683" s="3">
        <f>+IFERROR(VLOOKUP(E683,BD!$L$2:$Q$66,6,0),0)</f>
        <v>198</v>
      </c>
      <c r="I683" s="96">
        <f>IFERROR(G683*VLOOKUP($E683,BD!$L$2:$Q$66,5,0),0)</f>
        <v>134.64000000000001</v>
      </c>
      <c r="J683" s="3">
        <f t="shared" si="43"/>
        <v>2021</v>
      </c>
    </row>
    <row r="684" spans="1:10" s="9" customFormat="1" hidden="1" x14ac:dyDescent="0.25">
      <c r="A684" s="491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7">
        <v>256666</v>
      </c>
      <c r="F684" s="3" t="str">
        <f>IFERROR(VLOOKUP(E684,BD!$L$2:$Q$66,2,0),0)</f>
        <v>COCA-COLA PET 2.25LX2 RF</v>
      </c>
      <c r="G684" s="409">
        <f>162*1</f>
        <v>162</v>
      </c>
      <c r="H684" s="3">
        <f>+IFERROR(VLOOKUP(E684,BD!$L$2:$Q$66,6,0),0)</f>
        <v>162</v>
      </c>
      <c r="I684" s="96">
        <f>IFERROR(G684*VLOOKUP($E684,BD!$L$2:$Q$66,5,0),0)</f>
        <v>27.540000000000003</v>
      </c>
      <c r="J684" s="3">
        <f t="shared" si="43"/>
        <v>2021</v>
      </c>
    </row>
    <row r="685" spans="1:10" s="9" customFormat="1" hidden="1" x14ac:dyDescent="0.25">
      <c r="A685" s="491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7">
        <v>256601</v>
      </c>
      <c r="F685" s="3" t="str">
        <f>IFERROR(VLOOKUP(E685,BD!$L$2:$Q$66,2,0),0)</f>
        <v>INCA KOLA PET 2.25LX2 RF</v>
      </c>
      <c r="G685" s="409">
        <f>162*2</f>
        <v>324</v>
      </c>
      <c r="H685" s="3">
        <f>+IFERROR(VLOOKUP(E685,BD!$L$2:$Q$66,6,0),0)</f>
        <v>162</v>
      </c>
      <c r="I685" s="96">
        <f>IFERROR(G685*VLOOKUP($E685,BD!$L$2:$Q$66,5,0),0)</f>
        <v>55.080000000000005</v>
      </c>
      <c r="J685" s="3">
        <f t="shared" si="43"/>
        <v>2021</v>
      </c>
    </row>
    <row r="686" spans="1:10" s="9" customFormat="1" hidden="1" x14ac:dyDescent="0.25">
      <c r="A686" s="491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7">
        <v>256488</v>
      </c>
      <c r="F686" s="3" t="str">
        <f>IFERROR(VLOOKUP(E686,BD!$L$2:$Q$66,2,0),0)</f>
        <v>INCA KOLA PET 3LX2 - RF</v>
      </c>
      <c r="G686" s="409">
        <f>120*14</f>
        <v>1680</v>
      </c>
      <c r="H686" s="3">
        <f>+IFERROR(VLOOKUP(E686,BD!$L$2:$Q$66,6,0),0)</f>
        <v>120</v>
      </c>
      <c r="I686" s="96">
        <f>IFERROR(G686*VLOOKUP($E686,BD!$L$2:$Q$66,5,0),0)</f>
        <v>285.60000000000002</v>
      </c>
      <c r="J686" s="3">
        <f t="shared" si="43"/>
        <v>2021</v>
      </c>
    </row>
    <row r="687" spans="1:10" hidden="1" x14ac:dyDescent="0.25">
      <c r="A687" s="491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7">
        <v>256676</v>
      </c>
      <c r="F687" s="3" t="str">
        <f>IFERROR(VLOOKUP(E687,BD!$L$2:$Q$66,2,0),0)</f>
        <v>TWO PACK CC PFM 3LX2 - RFCC</v>
      </c>
      <c r="G687" s="370">
        <f>120*8</f>
        <v>960</v>
      </c>
      <c r="H687" s="3">
        <f>+IFERROR(VLOOKUP(E687,BD!$L$2:$Q$66,6,0),0)</f>
        <v>120</v>
      </c>
      <c r="I687" s="96">
        <f>IFERROR(G687*VLOOKUP($E687,BD!$L$2:$Q$66,5,0),0)</f>
        <v>163.20000000000002</v>
      </c>
      <c r="J687" s="3">
        <f t="shared" si="43"/>
        <v>2021</v>
      </c>
    </row>
    <row r="688" spans="1:10" hidden="1" x14ac:dyDescent="0.25">
      <c r="A688" s="491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7">
        <v>256674</v>
      </c>
      <c r="F688" s="3" t="str">
        <f>IFERROR(VLOOKUP(E688,BD!$L$2:$Q$66,2,0),0)</f>
        <v>COCA-COLA PET 1.5LX2 RF</v>
      </c>
      <c r="G688" s="409">
        <f>198*1</f>
        <v>198</v>
      </c>
      <c r="H688" s="3">
        <f>+IFERROR(VLOOKUP(E688,BD!$L$2:$Q$66,6,0),0)</f>
        <v>198</v>
      </c>
      <c r="I688" s="96">
        <f>IFERROR(G688*VLOOKUP($E688,BD!$L$2:$Q$66,5,0),0)</f>
        <v>33.660000000000004</v>
      </c>
      <c r="J688" s="3">
        <f t="shared" si="43"/>
        <v>2021</v>
      </c>
    </row>
    <row r="689" spans="1:10" hidden="1" x14ac:dyDescent="0.25">
      <c r="A689" s="491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7">
        <v>256675</v>
      </c>
      <c r="F689" s="3" t="str">
        <f>IFERROR(VLOOKUP(E689,BD!$L$2:$Q$66,2,0),0)</f>
        <v>INCA KOLA PET 1.5LX2 RF</v>
      </c>
      <c r="G689" s="409">
        <f>198*14</f>
        <v>2772</v>
      </c>
      <c r="H689" s="3">
        <f>+IFERROR(VLOOKUP(E689,BD!$L$2:$Q$66,6,0),0)</f>
        <v>198</v>
      </c>
      <c r="I689" s="96">
        <f>IFERROR(G689*VLOOKUP($E689,BD!$L$2:$Q$66,5,0),0)</f>
        <v>471.24</v>
      </c>
      <c r="J689" s="3">
        <f t="shared" si="43"/>
        <v>2021</v>
      </c>
    </row>
    <row r="690" spans="1:10" ht="15.75" hidden="1" thickBot="1" x14ac:dyDescent="0.3">
      <c r="A690" s="492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9">
        <v>256652</v>
      </c>
      <c r="F690" s="8" t="str">
        <f>IFERROR(VLOOKUP(E690,BD!$L$2:$Q$66,2,0),0)</f>
        <v>TRIPACK FT NAR+FT KI+SP PET 3L</v>
      </c>
      <c r="G690" s="450">
        <f>90*8</f>
        <v>720</v>
      </c>
      <c r="H690" s="8">
        <f>+IFERROR(VLOOKUP(E690,BD!$L$2:$Q$66,6,0),0)</f>
        <v>90</v>
      </c>
      <c r="I690" s="98">
        <f>IFERROR(G690*VLOOKUP($E690,BD!$L$2:$Q$66,5,0),0)</f>
        <v>122.4</v>
      </c>
      <c r="J690" s="8">
        <f t="shared" si="43"/>
        <v>2021</v>
      </c>
    </row>
    <row r="691" spans="1:10" hidden="1" x14ac:dyDescent="0.25">
      <c r="A691" s="493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63">
        <v>256677</v>
      </c>
      <c r="F691" s="6" t="str">
        <f>IFERROR(VLOOKUP(E691,BD!$L$2:$Q$66,2,0),0)</f>
        <v>TWO PACK CC + IK PFM 3LX2 - RFNN</v>
      </c>
      <c r="G691" s="464">
        <f>120*14</f>
        <v>1680</v>
      </c>
      <c r="H691" s="6">
        <f>+IFERROR(VLOOKUP(E691,BD!$L$2:$Q$66,6,0),0)</f>
        <v>120</v>
      </c>
      <c r="I691" s="97">
        <f>IFERROR(G691*VLOOKUP($E691,BD!$L$2:$Q$66,5,0),0)</f>
        <v>285.60000000000002</v>
      </c>
      <c r="J691" s="6">
        <f t="shared" si="43"/>
        <v>2021</v>
      </c>
    </row>
    <row r="692" spans="1:10" hidden="1" x14ac:dyDescent="0.25">
      <c r="A692" s="491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7">
        <v>256678</v>
      </c>
      <c r="F692" s="3" t="str">
        <f>IFERROR(VLOOKUP(E692,BD!$L$2:$Q$66,2,0),0)</f>
        <v>TRIPACK (CC+IK)PFM+FT PET 3LX3 - RFNN</v>
      </c>
      <c r="G692" s="409">
        <f>90*24</f>
        <v>2160</v>
      </c>
      <c r="H692" s="3">
        <f>+IFERROR(VLOOKUP(E692,BD!$L$2:$Q$66,6,0),0)</f>
        <v>90</v>
      </c>
      <c r="I692" s="96">
        <f>IFERROR(G692*VLOOKUP($E692,BD!$L$2:$Q$66,5,0),0)</f>
        <v>367.20000000000005</v>
      </c>
      <c r="J692" s="3">
        <f t="shared" si="43"/>
        <v>2021</v>
      </c>
    </row>
    <row r="693" spans="1:10" hidden="1" x14ac:dyDescent="0.25">
      <c r="A693" s="491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7">
        <v>256708</v>
      </c>
      <c r="F693" s="3" t="str">
        <f>IFERROR(VLOOKUP(E693,BD!$L$2:$Q$66,2,0),0)</f>
        <v>POWERADE ION4 FRUTA PET473X6 MOD (STICK)</v>
      </c>
      <c r="G693" s="409">
        <v>225</v>
      </c>
      <c r="H693" s="3">
        <f>+IFERROR(VLOOKUP(E693,BD!$L$2:$Q$66,6,0),0)</f>
        <v>225</v>
      </c>
      <c r="I693" s="96">
        <f>IFERROR(G693*VLOOKUP($E693,BD!$L$2:$Q$66,5,0),0)</f>
        <v>90</v>
      </c>
      <c r="J693" s="3">
        <f t="shared" si="43"/>
        <v>2021</v>
      </c>
    </row>
    <row r="694" spans="1:10" hidden="1" x14ac:dyDescent="0.25">
      <c r="A694" s="491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7">
        <v>256383</v>
      </c>
      <c r="F694" s="3" t="str">
        <f>IFERROR(VLOOKUP(E694,BD!$L$2:$Q$66,2,0),0)</f>
        <v>COCA COLA VR 1.5LX8 - STICKER</v>
      </c>
      <c r="G694" s="409">
        <v>60</v>
      </c>
      <c r="H694" s="3">
        <f>+IFERROR(VLOOKUP(E694,BD!$L$2:$Q$66,6,0),0)</f>
        <v>30</v>
      </c>
      <c r="I694" s="96">
        <f>IFERROR(G694*VLOOKUP($E694,BD!$L$2:$Q$66,5,0),0)</f>
        <v>13.8</v>
      </c>
      <c r="J694" s="3">
        <f t="shared" si="43"/>
        <v>2021</v>
      </c>
    </row>
    <row r="695" spans="1:10" hidden="1" x14ac:dyDescent="0.25">
      <c r="A695" s="491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7">
        <v>256381</v>
      </c>
      <c r="F695" s="3" t="str">
        <f>IFERROR(VLOOKUP(E695,BD!$L$2:$Q$66,2,0),0)</f>
        <v>INCA KOLA VR 1.5LX8 - STICKER</v>
      </c>
      <c r="G695" s="409">
        <v>60</v>
      </c>
      <c r="H695" s="3">
        <f>+IFERROR(VLOOKUP(E695,BD!$L$2:$Q$66,6,0),0)</f>
        <v>30</v>
      </c>
      <c r="I695" s="96">
        <f>IFERROR(G695*VLOOKUP($E695,BD!$L$2:$Q$66,5,0),0)</f>
        <v>24</v>
      </c>
      <c r="J695" s="3">
        <f t="shared" si="43"/>
        <v>2021</v>
      </c>
    </row>
    <row r="696" spans="1:10" hidden="1" x14ac:dyDescent="0.25">
      <c r="A696" s="491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7">
        <v>256379</v>
      </c>
      <c r="F696" s="3" t="str">
        <f>IFERROR(VLOOKUP(E696,BD!$L$2:$Q$66,2,0),0)</f>
        <v>INCA KOLA VR 625MLX12 - STICKER</v>
      </c>
      <c r="G696" s="409">
        <v>100</v>
      </c>
      <c r="H696" s="3">
        <f>+IFERROR(VLOOKUP(E696,BD!$L$2:$Q$66,6,0),0)</f>
        <v>50</v>
      </c>
      <c r="I696" s="96">
        <f>IFERROR(G696*VLOOKUP($E696,BD!$L$2:$Q$66,5,0),0)</f>
        <v>40</v>
      </c>
      <c r="J696" s="3">
        <f t="shared" si="43"/>
        <v>2021</v>
      </c>
    </row>
    <row r="697" spans="1:10" hidden="1" x14ac:dyDescent="0.25">
      <c r="A697" s="491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7">
        <v>256652</v>
      </c>
      <c r="F697" s="3" t="str">
        <f>IFERROR(VLOOKUP(E697,BD!$L$2:$Q$66,2,0),0)</f>
        <v>TRIPACK FT NAR+FT KI+SP PET 3L</v>
      </c>
      <c r="G697" s="409">
        <f>90*5</f>
        <v>450</v>
      </c>
      <c r="H697" s="3">
        <f>+IFERROR(VLOOKUP(E697,BD!$L$2:$Q$66,6,0),0)</f>
        <v>90</v>
      </c>
      <c r="I697" s="96">
        <f>IFERROR(G697*VLOOKUP($E697,BD!$L$2:$Q$66,5,0),0)</f>
        <v>76.5</v>
      </c>
      <c r="J697" s="3">
        <f t="shared" si="43"/>
        <v>2021</v>
      </c>
    </row>
    <row r="698" spans="1:10" hidden="1" x14ac:dyDescent="0.25">
      <c r="A698" s="491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7">
        <v>256674</v>
      </c>
      <c r="F698" s="3" t="str">
        <f>IFERROR(VLOOKUP(E698,BD!$L$2:$Q$66,2,0),0)</f>
        <v>COCA-COLA PET 1.5LX2 RF</v>
      </c>
      <c r="G698" s="409">
        <f>198*8</f>
        <v>1584</v>
      </c>
      <c r="H698" s="3">
        <f>+IFERROR(VLOOKUP(E698,BD!$L$2:$Q$66,6,0),0)</f>
        <v>198</v>
      </c>
      <c r="I698" s="96">
        <f>IFERROR(G698*VLOOKUP($E698,BD!$L$2:$Q$66,5,0),0)</f>
        <v>269.28000000000003</v>
      </c>
      <c r="J698" s="3">
        <f t="shared" si="43"/>
        <v>2021</v>
      </c>
    </row>
    <row r="699" spans="1:10" hidden="1" x14ac:dyDescent="0.25">
      <c r="A699" s="491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7">
        <v>251406</v>
      </c>
      <c r="F699" s="3" t="str">
        <f>IFERROR(VLOOKUP(E699,BD!$L$2:$Q$66,2,0),0)</f>
        <v>COCA-COLA SIN AZUCAR PET 1.5LX2</v>
      </c>
      <c r="G699" s="409">
        <f>148*4</f>
        <v>592</v>
      </c>
      <c r="H699" s="3">
        <f>+IFERROR(VLOOKUP(E699,BD!$L$2:$Q$66,6,0),0)</f>
        <v>198</v>
      </c>
      <c r="I699" s="96">
        <f>IFERROR(G699*VLOOKUP($E699,BD!$L$2:$Q$66,5,0),0)</f>
        <v>100.64</v>
      </c>
      <c r="J699" s="3">
        <f t="shared" si="43"/>
        <v>2021</v>
      </c>
    </row>
    <row r="700" spans="1:10" hidden="1" x14ac:dyDescent="0.25">
      <c r="A700" s="491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7">
        <v>256617</v>
      </c>
      <c r="F700" s="3" t="str">
        <f>IFERROR(VLOOKUP(E700,BD!$L$2:$Q$66,2,0),0)</f>
        <v>TWO PACK SCHWEPPES GINGER ALE PET 1.5LX2</v>
      </c>
      <c r="G700" s="409">
        <v>198</v>
      </c>
      <c r="H700" s="3">
        <f>+IFERROR(VLOOKUP(E700,BD!$L$2:$Q$66,6,0),0)</f>
        <v>198</v>
      </c>
      <c r="I700" s="96">
        <f>IFERROR(G700*VLOOKUP($E700,BD!$L$2:$Q$66,5,0),0)</f>
        <v>33.660000000000004</v>
      </c>
      <c r="J700" s="3">
        <f t="shared" si="43"/>
        <v>2021</v>
      </c>
    </row>
    <row r="701" spans="1:10" hidden="1" x14ac:dyDescent="0.25">
      <c r="A701" s="491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7">
        <v>254853</v>
      </c>
      <c r="F701" s="3" t="str">
        <f>IFERROR(VLOOKUP(E701,BD!$L$2:$Q$66,2,0),0)</f>
        <v>INCA KOLA SIN AZUCAR PET 1.5LX2</v>
      </c>
      <c r="G701" s="409">
        <f>198*4</f>
        <v>792</v>
      </c>
      <c r="H701" s="3">
        <f>+IFERROR(VLOOKUP(E701,BD!$L$2:$Q$66,6,0),0)</f>
        <v>198</v>
      </c>
      <c r="I701" s="96">
        <f>IFERROR(G701*VLOOKUP($E701,BD!$L$2:$Q$66,5,0),0)</f>
        <v>134.64000000000001</v>
      </c>
      <c r="J701" s="3">
        <f t="shared" si="43"/>
        <v>2021</v>
      </c>
    </row>
    <row r="702" spans="1:10" hidden="1" x14ac:dyDescent="0.25">
      <c r="A702" s="491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7">
        <v>256680</v>
      </c>
      <c r="F702" s="3" t="str">
        <f>IFERROR(VLOOKUP(E702,BD!$L$2:$Q$66,2,0),0)</f>
        <v>TRIPACK CC+CC+IK PFM 3LX3 - RFNN</v>
      </c>
      <c r="G702" s="409">
        <f>90*5</f>
        <v>450</v>
      </c>
      <c r="H702" s="3">
        <f>+IFERROR(VLOOKUP(E702,BD!$L$2:$Q$66,6,0),0)</f>
        <v>90</v>
      </c>
      <c r="I702" s="96">
        <f>IFERROR(G702*VLOOKUP($E702,BD!$L$2:$Q$66,5,0),0)</f>
        <v>76.5</v>
      </c>
      <c r="J702" s="3">
        <f t="shared" si="43"/>
        <v>2021</v>
      </c>
    </row>
    <row r="703" spans="1:10" hidden="1" x14ac:dyDescent="0.25">
      <c r="A703" s="491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7">
        <v>256674</v>
      </c>
      <c r="F703" s="3" t="str">
        <f>IFERROR(VLOOKUP(E703,BD!$L$2:$Q$66,2,0),0)</f>
        <v>COCA-COLA PET 1.5LX2 RF</v>
      </c>
      <c r="G703" s="409">
        <f>198*6</f>
        <v>1188</v>
      </c>
      <c r="H703" s="3">
        <f>+IFERROR(VLOOKUP(E703,BD!$L$2:$Q$66,6,0),0)</f>
        <v>198</v>
      </c>
      <c r="I703" s="96">
        <f>IFERROR(G703*VLOOKUP($E703,BD!$L$2:$Q$66,5,0),0)</f>
        <v>201.96</v>
      </c>
      <c r="J703" s="3">
        <f t="shared" si="43"/>
        <v>2021</v>
      </c>
    </row>
    <row r="704" spans="1:10" hidden="1" x14ac:dyDescent="0.25">
      <c r="A704" s="491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7">
        <v>256488</v>
      </c>
      <c r="F704" s="3" t="str">
        <f>IFERROR(VLOOKUP(E704,BD!$L$2:$Q$66,2,0),0)</f>
        <v>INCA KOLA PET 3LX2 - RF</v>
      </c>
      <c r="G704" s="409">
        <f>120*3</f>
        <v>360</v>
      </c>
      <c r="H704" s="3">
        <f>+IFERROR(VLOOKUP(E704,BD!$L$2:$Q$66,6,0),0)</f>
        <v>120</v>
      </c>
      <c r="I704" s="96">
        <f>IFERROR(G704*VLOOKUP($E704,BD!$L$2:$Q$66,5,0),0)</f>
        <v>61.2</v>
      </c>
      <c r="J704" s="3">
        <f t="shared" si="43"/>
        <v>2021</v>
      </c>
    </row>
    <row r="705" spans="1:10" ht="15.75" hidden="1" thickBot="1" x14ac:dyDescent="0.3">
      <c r="A705" s="492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9">
        <v>254853</v>
      </c>
      <c r="F705" s="8" t="str">
        <f>IFERROR(VLOOKUP(E705,BD!$L$2:$Q$66,2,0),0)</f>
        <v>INCA KOLA SIN AZUCAR PET 1.5LX2</v>
      </c>
      <c r="G705" s="450">
        <f>198*3</f>
        <v>594</v>
      </c>
      <c r="H705" s="8">
        <f>+IFERROR(VLOOKUP(E705,BD!$L$2:$Q$66,6,0),0)</f>
        <v>198</v>
      </c>
      <c r="I705" s="98">
        <f>IFERROR(G705*VLOOKUP($E705,BD!$L$2:$Q$66,5,0),0)</f>
        <v>100.98</v>
      </c>
      <c r="J705" s="8">
        <f t="shared" si="43"/>
        <v>2021</v>
      </c>
    </row>
    <row r="706" spans="1:10" hidden="1" x14ac:dyDescent="0.25">
      <c r="A706" s="493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63">
        <v>251406</v>
      </c>
      <c r="F706" s="6" t="str">
        <f>IFERROR(VLOOKUP(E706,BD!$L$2:$Q$66,2,0),0)</f>
        <v>COCA-COLA SIN AZUCAR PET 1.5LX2</v>
      </c>
      <c r="G706" s="464">
        <f>198*3</f>
        <v>594</v>
      </c>
      <c r="H706" s="6">
        <f>+IFERROR(VLOOKUP(E706,BD!$L$2:$Q$66,6,0),0)</f>
        <v>198</v>
      </c>
      <c r="I706" s="97">
        <f>IFERROR(G706*VLOOKUP($E706,BD!$L$2:$Q$66,5,0),0)</f>
        <v>100.98</v>
      </c>
      <c r="J706" s="6">
        <f t="shared" si="43"/>
        <v>2021</v>
      </c>
    </row>
    <row r="707" spans="1:10" hidden="1" x14ac:dyDescent="0.25">
      <c r="A707" s="491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7">
        <v>256675</v>
      </c>
      <c r="F707" s="3" t="str">
        <f>IFERROR(VLOOKUP(E707,BD!$L$2:$Q$66,2,0),0)</f>
        <v>INCA KOLA PET 1.5LX2 RF</v>
      </c>
      <c r="G707" s="409">
        <f>198*7</f>
        <v>1386</v>
      </c>
      <c r="H707" s="3">
        <f>+IFERROR(VLOOKUP(E707,BD!$L$2:$Q$66,6,0),0)</f>
        <v>198</v>
      </c>
      <c r="I707" s="96">
        <f>IFERROR(G707*VLOOKUP($E707,BD!$L$2:$Q$66,5,0),0)</f>
        <v>235.62</v>
      </c>
      <c r="J707" s="3">
        <f t="shared" si="43"/>
        <v>2021</v>
      </c>
    </row>
    <row r="708" spans="1:10" hidden="1" x14ac:dyDescent="0.25">
      <c r="A708" s="491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7">
        <v>256680</v>
      </c>
      <c r="F708" s="3" t="str">
        <f>IFERROR(VLOOKUP(E708,BD!$L$2:$Q$66,2,0),0)</f>
        <v>TRIPACK CC+CC+IK PFM 3LX3 - RFNN</v>
      </c>
      <c r="G708" s="409">
        <f>90*3</f>
        <v>270</v>
      </c>
      <c r="H708" s="3">
        <f>+IFERROR(VLOOKUP(E708,BD!$L$2:$Q$66,6,0),0)</f>
        <v>90</v>
      </c>
      <c r="I708" s="96">
        <f>IFERROR(G708*VLOOKUP($E708,BD!$L$2:$Q$66,5,0),0)</f>
        <v>45.900000000000006</v>
      </c>
      <c r="J708" s="3">
        <f t="shared" ref="J708:J771" si="47">+YEAR(A708)</f>
        <v>2021</v>
      </c>
    </row>
    <row r="709" spans="1:10" hidden="1" x14ac:dyDescent="0.25">
      <c r="A709" s="491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7">
        <v>256676</v>
      </c>
      <c r="F709" s="3" t="str">
        <f>IFERROR(VLOOKUP(E709,BD!$L$2:$Q$66,2,0),0)</f>
        <v>TWO PACK CC PFM 3LX2 - RFCC</v>
      </c>
      <c r="G709" s="370">
        <f>120*3</f>
        <v>360</v>
      </c>
      <c r="H709" s="3">
        <f>+IFERROR(VLOOKUP(E709,BD!$L$2:$Q$66,6,0),0)</f>
        <v>120</v>
      </c>
      <c r="I709" s="96">
        <f>IFERROR(G709*VLOOKUP($E709,BD!$L$2:$Q$66,5,0),0)</f>
        <v>61.2</v>
      </c>
      <c r="J709" s="3">
        <f t="shared" si="47"/>
        <v>2021</v>
      </c>
    </row>
    <row r="710" spans="1:10" hidden="1" x14ac:dyDescent="0.25">
      <c r="A710" s="491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7">
        <v>256695</v>
      </c>
      <c r="F710" s="3" t="str">
        <f>IFERROR(VLOOKUP(E710,BD!$L$2:$Q$66,2,0),0)</f>
        <v>POWERADE 3MORA+3FRUT PET 473MLX6</v>
      </c>
      <c r="G710" s="409">
        <f>225*2</f>
        <v>450</v>
      </c>
      <c r="H710" s="3">
        <f>+IFERROR(VLOOKUP(E710,BD!$L$2:$Q$66,6,0),0)</f>
        <v>225</v>
      </c>
      <c r="I710" s="96">
        <f>IFERROR(G710*VLOOKUP($E710,BD!$L$2:$Q$66,5,0),0)</f>
        <v>189</v>
      </c>
      <c r="J710" s="3">
        <f t="shared" si="47"/>
        <v>2021</v>
      </c>
    </row>
    <row r="711" spans="1:10" s="9" customFormat="1" hidden="1" x14ac:dyDescent="0.25">
      <c r="A711" s="491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7">
        <v>251429</v>
      </c>
      <c r="F711" s="3" t="str">
        <f>IFERROR(VLOOKUP(E711,BD!$L$2:$Q$66,2,0),0)</f>
        <v>SAN LUIS SIN GAS PET2500X6 STICKER</v>
      </c>
      <c r="G711" s="409">
        <f>48*2</f>
        <v>96</v>
      </c>
      <c r="H711" s="3">
        <f>+IFERROR(VLOOKUP(E711,BD!$L$2:$Q$66,6,0),0)</f>
        <v>48</v>
      </c>
      <c r="I711" s="96">
        <f>IFERROR(G711*VLOOKUP($E711,BD!$L$2:$Q$66,5,0),0)</f>
        <v>38.400000000000006</v>
      </c>
      <c r="J711" s="3">
        <f t="shared" si="47"/>
        <v>2021</v>
      </c>
    </row>
    <row r="712" spans="1:10" s="9" customFormat="1" hidden="1" x14ac:dyDescent="0.25">
      <c r="A712" s="491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7">
        <v>256708</v>
      </c>
      <c r="F712" s="3" t="str">
        <f>IFERROR(VLOOKUP(E712,BD!$L$2:$Q$66,2,0),0)</f>
        <v>POWERADE ION4 FRUTA PET473X6 MOD (STICK)</v>
      </c>
      <c r="G712" s="409">
        <f>225*2</f>
        <v>450</v>
      </c>
      <c r="H712" s="3">
        <f>+IFERROR(VLOOKUP(E712,BD!$L$2:$Q$66,6,0),0)</f>
        <v>225</v>
      </c>
      <c r="I712" s="96">
        <f>IFERROR(G712*VLOOKUP($E712,BD!$L$2:$Q$66,5,0),0)</f>
        <v>180</v>
      </c>
      <c r="J712" s="3">
        <f t="shared" si="47"/>
        <v>2021</v>
      </c>
    </row>
    <row r="713" spans="1:10" s="9" customFormat="1" hidden="1" x14ac:dyDescent="0.25">
      <c r="A713" s="491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7">
        <v>256379</v>
      </c>
      <c r="F713" s="3" t="str">
        <f>IFERROR(VLOOKUP(E713,BD!$L$2:$Q$66,2,0),0)</f>
        <v>INCA KOLA VR 625MLX12 - STICKER</v>
      </c>
      <c r="G713" s="409">
        <f>50*3</f>
        <v>150</v>
      </c>
      <c r="H713" s="3">
        <f>+IFERROR(VLOOKUP(E713,BD!$L$2:$Q$66,6,0),0)</f>
        <v>50</v>
      </c>
      <c r="I713" s="96">
        <f>IFERROR(G713*VLOOKUP($E713,BD!$L$2:$Q$66,5,0),0)</f>
        <v>60</v>
      </c>
      <c r="J713" s="3">
        <f t="shared" si="47"/>
        <v>2021</v>
      </c>
    </row>
    <row r="714" spans="1:10" s="9" customFormat="1" hidden="1" x14ac:dyDescent="0.25">
      <c r="A714" s="491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7">
        <v>256381</v>
      </c>
      <c r="F714" s="3" t="str">
        <f>IFERROR(VLOOKUP(E714,BD!$L$2:$Q$66,2,0),0)</f>
        <v>INCA KOLA VR 1.5LX8 - STICKER</v>
      </c>
      <c r="G714" s="409">
        <f>30*3</f>
        <v>90</v>
      </c>
      <c r="H714" s="3">
        <f>+IFERROR(VLOOKUP(E714,BD!$L$2:$Q$66,6,0),0)</f>
        <v>30</v>
      </c>
      <c r="I714" s="96">
        <f>IFERROR(G714*VLOOKUP($E714,BD!$L$2:$Q$66,5,0),0)</f>
        <v>36</v>
      </c>
      <c r="J714" s="3">
        <f t="shared" si="47"/>
        <v>2021</v>
      </c>
    </row>
    <row r="715" spans="1:10" s="9" customFormat="1" hidden="1" x14ac:dyDescent="0.25">
      <c r="A715" s="491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7">
        <v>256382</v>
      </c>
      <c r="F715" s="3" t="str">
        <f>IFERROR(VLOOKUP(E715,BD!$L$2:$Q$66,2,0),0)</f>
        <v>COCA COLA VR 296MLX24 - STICKER</v>
      </c>
      <c r="G715" s="409">
        <f>40*2</f>
        <v>80</v>
      </c>
      <c r="H715" s="3">
        <f>+IFERROR(VLOOKUP(E715,BD!$L$2:$Q$66,6,0),0)</f>
        <v>40</v>
      </c>
      <c r="I715" s="96">
        <f>IFERROR(G715*VLOOKUP($E715,BD!$L$2:$Q$66,5,0),0)</f>
        <v>18.400000000000002</v>
      </c>
      <c r="J715" s="3">
        <f t="shared" si="47"/>
        <v>2021</v>
      </c>
    </row>
    <row r="716" spans="1:10" s="9" customFormat="1" hidden="1" x14ac:dyDescent="0.25">
      <c r="A716" s="491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7">
        <v>256383</v>
      </c>
      <c r="F716" s="3" t="str">
        <f>IFERROR(VLOOKUP(E716,BD!$L$2:$Q$66,2,0),0)</f>
        <v>COCA COLA VR 1.5LX8 - STICKER</v>
      </c>
      <c r="G716" s="409">
        <f>30*5</f>
        <v>150</v>
      </c>
      <c r="H716" s="3">
        <f>+IFERROR(VLOOKUP(E716,BD!$L$2:$Q$66,6,0),0)</f>
        <v>30</v>
      </c>
      <c r="I716" s="96">
        <f>IFERROR(G716*VLOOKUP($E716,BD!$L$2:$Q$66,5,0),0)</f>
        <v>34.5</v>
      </c>
      <c r="J716" s="3">
        <f t="shared" si="47"/>
        <v>2021</v>
      </c>
    </row>
    <row r="717" spans="1:10" s="9" customFormat="1" hidden="1" x14ac:dyDescent="0.25">
      <c r="A717" s="491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7">
        <v>256675</v>
      </c>
      <c r="F717" s="3" t="str">
        <f>IFERROR(VLOOKUP(E717,BD!$L$2:$Q$66,2,0),0)</f>
        <v>INCA KOLA PET 1.5LX2 RF</v>
      </c>
      <c r="G717" s="409">
        <f>198*10</f>
        <v>1980</v>
      </c>
      <c r="H717" s="3">
        <f>+IFERROR(VLOOKUP(E717,BD!$L$2:$Q$66,6,0),0)</f>
        <v>198</v>
      </c>
      <c r="I717" s="96">
        <f>IFERROR(G717*VLOOKUP($E717,BD!$L$2:$Q$66,5,0),0)</f>
        <v>336.6</v>
      </c>
      <c r="J717" s="3">
        <f t="shared" si="47"/>
        <v>2021</v>
      </c>
    </row>
    <row r="718" spans="1:10" s="9" customFormat="1" hidden="1" x14ac:dyDescent="0.25">
      <c r="A718" s="491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7">
        <v>251633</v>
      </c>
      <c r="F718" s="3" t="str">
        <f>IFERROR(VLOOKUP(E718,BD!$L$2:$Q$66,2,0),0)</f>
        <v>SAN LUIS CON GAS PET 625MLX6</v>
      </c>
      <c r="G718" s="409">
        <f>180*2</f>
        <v>360</v>
      </c>
      <c r="H718" s="3">
        <f>+IFERROR(VLOOKUP(E718,BD!$L$2:$Q$66,6,0),0)</f>
        <v>180</v>
      </c>
      <c r="I718" s="96">
        <f>IFERROR(G718*VLOOKUP($E718,BD!$L$2:$Q$66,5,0),0)</f>
        <v>151.19999999999999</v>
      </c>
      <c r="J718" s="3">
        <f t="shared" si="47"/>
        <v>2021</v>
      </c>
    </row>
    <row r="719" spans="1:10" s="9" customFormat="1" hidden="1" x14ac:dyDescent="0.25">
      <c r="A719" s="491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7">
        <v>256677</v>
      </c>
      <c r="F719" s="3" t="str">
        <f>IFERROR(VLOOKUP(E719,BD!$L$2:$Q$66,2,0),0)</f>
        <v>TWO PACK CC + IK PFM 3LX2 - RFNN</v>
      </c>
      <c r="G719" s="409">
        <f>120*10</f>
        <v>1200</v>
      </c>
      <c r="H719" s="3">
        <f>+IFERROR(VLOOKUP(E719,BD!$L$2:$Q$66,6,0),0)</f>
        <v>120</v>
      </c>
      <c r="I719" s="96">
        <f>IFERROR(G719*VLOOKUP($E719,BD!$L$2:$Q$66,5,0),0)</f>
        <v>204.00000000000003</v>
      </c>
      <c r="J719" s="3">
        <f t="shared" si="47"/>
        <v>2021</v>
      </c>
    </row>
    <row r="720" spans="1:10" s="9" customFormat="1" hidden="1" x14ac:dyDescent="0.25">
      <c r="A720" s="491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7">
        <v>256676</v>
      </c>
      <c r="F720" s="3" t="str">
        <f>IFERROR(VLOOKUP(E720,BD!$L$2:$Q$66,2,0),0)</f>
        <v>TWO PACK CC PFM 3LX2 - RFCC</v>
      </c>
      <c r="G720" s="370">
        <f>120*6</f>
        <v>720</v>
      </c>
      <c r="H720" s="3">
        <f>+IFERROR(VLOOKUP(E720,BD!$L$2:$Q$66,6,0),0)</f>
        <v>120</v>
      </c>
      <c r="I720" s="96">
        <f>IFERROR(G720*VLOOKUP($E720,BD!$L$2:$Q$66,5,0),0)</f>
        <v>122.4</v>
      </c>
      <c r="J720" s="3">
        <f t="shared" si="47"/>
        <v>2021</v>
      </c>
    </row>
    <row r="721" spans="1:10" s="9" customFormat="1" ht="15.75" hidden="1" thickBot="1" x14ac:dyDescent="0.3">
      <c r="A721" s="492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9">
        <v>256679</v>
      </c>
      <c r="F721" s="8" t="str">
        <f>IFERROR(VLOOKUP(E721,BD!$L$2:$Q$66,2,0),0)</f>
        <v>TRIPACK CC+IK+IK PFM 3LX3 - RFNN</v>
      </c>
      <c r="G721" s="450">
        <f>90*18</f>
        <v>1620</v>
      </c>
      <c r="H721" s="8">
        <f>+IFERROR(VLOOKUP(E721,BD!$L$2:$Q$66,6,0),0)</f>
        <v>90</v>
      </c>
      <c r="I721" s="98">
        <f>IFERROR(G721*VLOOKUP($E721,BD!$L$2:$Q$66,5,0),0)</f>
        <v>275.40000000000003</v>
      </c>
      <c r="J721" s="8">
        <f t="shared" si="47"/>
        <v>2021</v>
      </c>
    </row>
    <row r="722" spans="1:10" s="9" customFormat="1" hidden="1" x14ac:dyDescent="0.25">
      <c r="A722" s="493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63">
        <v>256601</v>
      </c>
      <c r="F722" s="6" t="str">
        <f>IFERROR(VLOOKUP(E722,BD!$L$2:$Q$66,2,0),0)</f>
        <v>INCA KOLA PET 2.25LX2 RF</v>
      </c>
      <c r="G722" s="464">
        <f>162*2</f>
        <v>324</v>
      </c>
      <c r="H722" s="6">
        <f>+IFERROR(VLOOKUP(E722,BD!$L$2:$Q$66,6,0),0)</f>
        <v>162</v>
      </c>
      <c r="I722" s="97">
        <f>IFERROR(G722*VLOOKUP($E722,BD!$L$2:$Q$66,5,0),0)</f>
        <v>55.080000000000005</v>
      </c>
      <c r="J722" s="6">
        <f t="shared" si="47"/>
        <v>2021</v>
      </c>
    </row>
    <row r="723" spans="1:10" s="9" customFormat="1" hidden="1" x14ac:dyDescent="0.25">
      <c r="A723" s="491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7">
        <v>256488</v>
      </c>
      <c r="F723" s="3" t="str">
        <f>IFERROR(VLOOKUP(E723,BD!$L$2:$Q$66,2,0),0)</f>
        <v>INCA KOLA PET 3LX2 - RF</v>
      </c>
      <c r="G723" s="409">
        <f>120*6</f>
        <v>720</v>
      </c>
      <c r="H723" s="3">
        <f>+IFERROR(VLOOKUP(E723,BD!$L$2:$Q$66,6,0),0)</f>
        <v>120</v>
      </c>
      <c r="I723" s="96">
        <f>IFERROR(G723*VLOOKUP($E723,BD!$L$2:$Q$66,5,0),0)</f>
        <v>122.4</v>
      </c>
      <c r="J723" s="3">
        <f t="shared" si="47"/>
        <v>2021</v>
      </c>
    </row>
    <row r="724" spans="1:10" s="9" customFormat="1" hidden="1" x14ac:dyDescent="0.25">
      <c r="A724" s="491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7">
        <v>256666</v>
      </c>
      <c r="F724" s="3" t="str">
        <f>IFERROR(VLOOKUP(E724,BD!$L$2:$Q$66,2,0),0)</f>
        <v>COCA-COLA PET 2.25LX2 RF</v>
      </c>
      <c r="G724" s="409">
        <f>162*2</f>
        <v>324</v>
      </c>
      <c r="H724" s="3">
        <f>+IFERROR(VLOOKUP(E724,BD!$L$2:$Q$66,6,0),0)</f>
        <v>162</v>
      </c>
      <c r="I724" s="96">
        <f>IFERROR(G724*VLOOKUP($E724,BD!$L$2:$Q$66,5,0),0)</f>
        <v>55.080000000000005</v>
      </c>
      <c r="J724" s="3">
        <f t="shared" si="47"/>
        <v>2021</v>
      </c>
    </row>
    <row r="725" spans="1:10" s="9" customFormat="1" hidden="1" x14ac:dyDescent="0.25">
      <c r="A725" s="421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20">
        <v>256677</v>
      </c>
      <c r="F725" s="3" t="str">
        <f>IFERROR(VLOOKUP(E725,BD!$L$2:$Q$66,2,0),0)</f>
        <v>TWO PACK CC + IK PFM 3LX2 - RFNN</v>
      </c>
      <c r="G725" s="409">
        <f>120*12</f>
        <v>1440</v>
      </c>
      <c r="H725" s="3">
        <f>+IFERROR(VLOOKUP(E725,BD!$L$2:$Q$66,6,0),0)</f>
        <v>120</v>
      </c>
      <c r="I725" s="96">
        <f>IFERROR(G725*VLOOKUP($E725,BD!$L$2:$Q$66,5,0),0)</f>
        <v>244.8</v>
      </c>
      <c r="J725" s="3">
        <f t="shared" si="47"/>
        <v>2021</v>
      </c>
    </row>
    <row r="726" spans="1:10" s="9" customFormat="1" ht="15.75" hidden="1" thickBot="1" x14ac:dyDescent="0.3">
      <c r="A726" s="423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75">
        <v>256666</v>
      </c>
      <c r="F726" s="8" t="str">
        <f>IFERROR(VLOOKUP(E726,BD!$L$2:$Q$66,2,0),0)</f>
        <v>COCA-COLA PET 2.25LX2 RF</v>
      </c>
      <c r="G726" s="450">
        <f>162*6</f>
        <v>972</v>
      </c>
      <c r="H726" s="8">
        <f>+IFERROR(VLOOKUP(E726,BD!$L$2:$Q$66,6,0),0)</f>
        <v>162</v>
      </c>
      <c r="I726" s="98">
        <f>IFERROR(G726*VLOOKUP($E726,BD!$L$2:$Q$66,5,0),0)</f>
        <v>165.24</v>
      </c>
      <c r="J726" s="8">
        <f t="shared" si="47"/>
        <v>2021</v>
      </c>
    </row>
    <row r="727" spans="1:10" s="9" customFormat="1" hidden="1" x14ac:dyDescent="0.25">
      <c r="A727" s="422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9">
        <v>256682</v>
      </c>
      <c r="F727" s="6" t="str">
        <f>IFERROR(VLOOKUP(E727,BD!$L$2:$Q$66,2,0),0)</f>
        <v>TRIPACK (FT NAR+SP)PET+IK RF PFM 3L</v>
      </c>
      <c r="G727" s="464">
        <f>90*3</f>
        <v>270</v>
      </c>
      <c r="H727" s="6">
        <f>+IFERROR(VLOOKUP(E727,BD!$L$2:$Q$66,6,0),0)</f>
        <v>90</v>
      </c>
      <c r="I727" s="97">
        <f>IFERROR(G727*VLOOKUP($E727,BD!$L$2:$Q$66,5,0),0)</f>
        <v>45.900000000000006</v>
      </c>
      <c r="J727" s="6">
        <f t="shared" si="47"/>
        <v>2021</v>
      </c>
    </row>
    <row r="728" spans="1:10" s="9" customFormat="1" hidden="1" x14ac:dyDescent="0.25">
      <c r="A728" s="421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20">
        <v>251429</v>
      </c>
      <c r="F728" s="3" t="str">
        <f>IFERROR(VLOOKUP(E728,BD!$L$2:$Q$66,2,0),0)</f>
        <v>SAN LUIS SIN GAS PET2500X6 STICKER</v>
      </c>
      <c r="G728" s="409">
        <f>48*2</f>
        <v>96</v>
      </c>
      <c r="H728" s="3">
        <f>+IFERROR(VLOOKUP(E728,BD!$L$2:$Q$66,6,0),0)</f>
        <v>48</v>
      </c>
      <c r="I728" s="96">
        <f>IFERROR(G728*VLOOKUP($E728,BD!$L$2:$Q$66,5,0),0)</f>
        <v>38.400000000000006</v>
      </c>
      <c r="J728" s="3">
        <f t="shared" si="47"/>
        <v>2021</v>
      </c>
    </row>
    <row r="729" spans="1:10" s="9" customFormat="1" hidden="1" x14ac:dyDescent="0.25">
      <c r="A729" s="421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20">
        <v>256617</v>
      </c>
      <c r="F729" s="3" t="str">
        <f>IFERROR(VLOOKUP(E729,BD!$L$2:$Q$66,2,0),0)</f>
        <v>TWO PACK SCHWEPPES GINGER ALE PET 1.5LX2</v>
      </c>
      <c r="G729" s="409">
        <v>198</v>
      </c>
      <c r="H729" s="3">
        <f>+IFERROR(VLOOKUP(E729,BD!$L$2:$Q$66,6,0),0)</f>
        <v>198</v>
      </c>
      <c r="I729" s="96">
        <f>IFERROR(G729*VLOOKUP($E729,BD!$L$2:$Q$66,5,0),0)</f>
        <v>33.660000000000004</v>
      </c>
      <c r="J729" s="3">
        <f t="shared" si="47"/>
        <v>2021</v>
      </c>
    </row>
    <row r="730" spans="1:10" s="9" customFormat="1" ht="15.75" hidden="1" thickBot="1" x14ac:dyDescent="0.3">
      <c r="A730" s="423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75">
        <v>251406</v>
      </c>
      <c r="F730" s="8" t="str">
        <f>IFERROR(VLOOKUP(E730,BD!$L$2:$Q$66,2,0),0)</f>
        <v>COCA-COLA SIN AZUCAR PET 1.5LX2</v>
      </c>
      <c r="G730" s="450">
        <f>198*9</f>
        <v>1782</v>
      </c>
      <c r="H730" s="8">
        <f>+IFERROR(VLOOKUP(E730,BD!$L$2:$Q$66,6,0),0)</f>
        <v>198</v>
      </c>
      <c r="I730" s="98">
        <f>IFERROR(G730*VLOOKUP($E730,BD!$L$2:$Q$66,5,0),0)</f>
        <v>302.94</v>
      </c>
      <c r="J730" s="8">
        <f t="shared" si="47"/>
        <v>2021</v>
      </c>
    </row>
    <row r="731" spans="1:10" s="9" customFormat="1" hidden="1" x14ac:dyDescent="0.25">
      <c r="A731" s="422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9">
        <v>751315</v>
      </c>
      <c r="F731" s="6" t="str">
        <f>IFERROR(VLOOKUP(E731,BD!$L$2:$Q$66,2,0),0)</f>
        <v>MONSTER ENERGY 473MLX4</v>
      </c>
      <c r="G731" s="464">
        <f>420*2</f>
        <v>840</v>
      </c>
      <c r="H731" s="6">
        <f>+IFERROR(VLOOKUP(E731,BD!$L$2:$Q$66,6,0),0)</f>
        <v>420</v>
      </c>
      <c r="I731" s="97">
        <f>IFERROR(G731*VLOOKUP($E731,BD!$L$2:$Q$66,5,0),0)</f>
        <v>352.8</v>
      </c>
      <c r="J731" s="6">
        <f t="shared" si="47"/>
        <v>2021</v>
      </c>
    </row>
    <row r="732" spans="1:10" s="9" customFormat="1" hidden="1" x14ac:dyDescent="0.25">
      <c r="A732" s="421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20">
        <v>256383</v>
      </c>
      <c r="F732" s="3" t="str">
        <f>IFERROR(VLOOKUP(E732,BD!$L$2:$Q$66,2,0),0)</f>
        <v>COCA COLA VR 1.5LX8 - STICKER</v>
      </c>
      <c r="G732" s="409">
        <f>30*5</f>
        <v>150</v>
      </c>
      <c r="H732" s="3">
        <f>+IFERROR(VLOOKUP(E732,BD!$L$2:$Q$66,6,0),0)</f>
        <v>30</v>
      </c>
      <c r="I732" s="96">
        <f>IFERROR(G732*VLOOKUP($E732,BD!$L$2:$Q$66,5,0),0)</f>
        <v>34.5</v>
      </c>
      <c r="J732" s="3">
        <f t="shared" si="47"/>
        <v>2021</v>
      </c>
    </row>
    <row r="733" spans="1:10" s="9" customFormat="1" hidden="1" x14ac:dyDescent="0.25">
      <c r="A733" s="421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20">
        <v>256685</v>
      </c>
      <c r="F733" s="3" t="str">
        <f>IFERROR(VLOOKUP(E733,BD!$L$2:$Q$66,2,0),0)</f>
        <v>SL S/G TAPA PLANA 1LT</v>
      </c>
      <c r="G733" s="409">
        <v>112</v>
      </c>
      <c r="H733" s="3">
        <f>+IFERROR(VLOOKUP(E733,BD!$L$2:$Q$66,6,0),0)</f>
        <v>112</v>
      </c>
      <c r="I733" s="96">
        <f>IFERROR(G733*VLOOKUP($E733,BD!$L$2:$Q$66,5,0),0)</f>
        <v>44.800000000000004</v>
      </c>
      <c r="J733" s="3">
        <f t="shared" si="47"/>
        <v>2021</v>
      </c>
    </row>
    <row r="734" spans="1:10" s="9" customFormat="1" hidden="1" x14ac:dyDescent="0.25">
      <c r="A734" s="421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20">
        <v>256695</v>
      </c>
      <c r="F734" s="3" t="str">
        <f>IFERROR(VLOOKUP(E734,BD!$L$2:$Q$66,2,0),0)</f>
        <v>POWERADE 3MORA+3FRUT PET 473MLX6</v>
      </c>
      <c r="G734" s="409">
        <f>225*2</f>
        <v>450</v>
      </c>
      <c r="H734" s="3">
        <f>+IFERROR(VLOOKUP(E734,BD!$L$2:$Q$66,6,0),0)</f>
        <v>225</v>
      </c>
      <c r="I734" s="96">
        <f>IFERROR(G734*VLOOKUP($E734,BD!$L$2:$Q$66,5,0),0)</f>
        <v>189</v>
      </c>
      <c r="J734" s="3">
        <f t="shared" si="47"/>
        <v>2021</v>
      </c>
    </row>
    <row r="735" spans="1:10" s="9" customFormat="1" hidden="1" x14ac:dyDescent="0.25">
      <c r="A735" s="421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20">
        <v>256601</v>
      </c>
      <c r="F735" s="3" t="str">
        <f>IFERROR(VLOOKUP(E735,BD!$L$2:$Q$66,2,0),0)</f>
        <v>INCA KOLA PET 2.25LX2 RF</v>
      </c>
      <c r="G735" s="409">
        <f>162*5</f>
        <v>810</v>
      </c>
      <c r="H735" s="3">
        <f>+IFERROR(VLOOKUP(E735,BD!$L$2:$Q$66,6,0),0)</f>
        <v>162</v>
      </c>
      <c r="I735" s="96">
        <f>IFERROR(G735*VLOOKUP($E735,BD!$L$2:$Q$66,5,0),0)</f>
        <v>137.70000000000002</v>
      </c>
      <c r="J735" s="3">
        <f t="shared" si="47"/>
        <v>2021</v>
      </c>
    </row>
    <row r="736" spans="1:10" s="9" customFormat="1" hidden="1" x14ac:dyDescent="0.25">
      <c r="A736" s="421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20">
        <v>256678</v>
      </c>
      <c r="F736" s="3" t="str">
        <f>IFERROR(VLOOKUP(E736,BD!$L$2:$Q$66,2,0),0)</f>
        <v>TRIPACK (CC+IK)PFM+FT PET 3LX3 - RFNN</v>
      </c>
      <c r="G736" s="409">
        <v>1440</v>
      </c>
      <c r="H736" s="3">
        <f>+IFERROR(VLOOKUP(E736,BD!$L$2:$Q$66,6,0),0)</f>
        <v>90</v>
      </c>
      <c r="I736" s="96">
        <f>IFERROR(G736*VLOOKUP($E736,BD!$L$2:$Q$66,5,0),0)</f>
        <v>244.8</v>
      </c>
      <c r="J736" s="3">
        <f t="shared" si="47"/>
        <v>2021</v>
      </c>
    </row>
    <row r="737" spans="1:10" s="9" customFormat="1" hidden="1" x14ac:dyDescent="0.25">
      <c r="A737" s="421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20">
        <v>256381</v>
      </c>
      <c r="F737" s="3" t="str">
        <f>IFERROR(VLOOKUP(E737,BD!$L$2:$Q$66,2,0),0)</f>
        <v>INCA KOLA VR 1.5LX8 - STICKER</v>
      </c>
      <c r="G737" s="409">
        <v>30</v>
      </c>
      <c r="H737" s="3">
        <f>+IFERROR(VLOOKUP(E737,BD!$L$2:$Q$66,6,0),0)</f>
        <v>30</v>
      </c>
      <c r="I737" s="96">
        <f>IFERROR(G737*VLOOKUP($E737,BD!$L$2:$Q$66,5,0),0)</f>
        <v>12</v>
      </c>
      <c r="J737" s="3">
        <f t="shared" si="47"/>
        <v>2021</v>
      </c>
    </row>
    <row r="738" spans="1:10" s="9" customFormat="1" hidden="1" x14ac:dyDescent="0.25">
      <c r="A738" s="421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20">
        <v>751468</v>
      </c>
      <c r="F738" s="3" t="str">
        <f>IFERROR(VLOOKUP(E738,BD!$L$2:$Q$66,2,0),0)</f>
        <v>MONSTER ENERGY ULTRA 473MLX4</v>
      </c>
      <c r="G738" s="409">
        <v>2520</v>
      </c>
      <c r="H738" s="3">
        <f>+IFERROR(VLOOKUP(E738,BD!$L$2:$Q$66,6,0),0)</f>
        <v>420</v>
      </c>
      <c r="I738" s="96">
        <f>IFERROR(G738*VLOOKUP($E738,BD!$L$2:$Q$66,5,0),0)</f>
        <v>1058.3999999999999</v>
      </c>
      <c r="J738" s="3">
        <f t="shared" si="47"/>
        <v>2021</v>
      </c>
    </row>
    <row r="739" spans="1:10" s="9" customFormat="1" hidden="1" x14ac:dyDescent="0.25">
      <c r="A739" s="421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20">
        <v>256652</v>
      </c>
      <c r="F739" s="3" t="str">
        <f>IFERROR(VLOOKUP(E739,BD!$L$2:$Q$66,2,0),0)</f>
        <v>TRIPACK FT NAR+FT KI+SP PET 3L</v>
      </c>
      <c r="G739" s="409">
        <f>90*2</f>
        <v>180</v>
      </c>
      <c r="H739" s="3">
        <f>+IFERROR(VLOOKUP(E739,BD!$L$2:$Q$66,6,0),0)</f>
        <v>90</v>
      </c>
      <c r="I739" s="96">
        <f>IFERROR(G739*VLOOKUP($E739,BD!$L$2:$Q$66,5,0),0)</f>
        <v>30.6</v>
      </c>
      <c r="J739" s="3">
        <f t="shared" si="47"/>
        <v>2021</v>
      </c>
    </row>
    <row r="740" spans="1:10" s="9" customFormat="1" hidden="1" x14ac:dyDescent="0.25">
      <c r="A740" s="421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20">
        <v>256381</v>
      </c>
      <c r="F740" s="3" t="str">
        <f>IFERROR(VLOOKUP(E740,BD!$L$2:$Q$66,2,0),0)</f>
        <v>INCA KOLA VR 1.5LX8 - STICKER</v>
      </c>
      <c r="G740" s="409">
        <f>30*2</f>
        <v>60</v>
      </c>
      <c r="H740" s="3">
        <f>+IFERROR(VLOOKUP(E740,BD!$L$2:$Q$66,6,0),0)</f>
        <v>30</v>
      </c>
      <c r="I740" s="96">
        <f>IFERROR(G740*VLOOKUP($E740,BD!$L$2:$Q$66,5,0),0)</f>
        <v>24</v>
      </c>
      <c r="J740" s="3">
        <f t="shared" si="47"/>
        <v>2021</v>
      </c>
    </row>
    <row r="741" spans="1:10" s="9" customFormat="1" hidden="1" x14ac:dyDescent="0.25">
      <c r="A741" s="421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20">
        <v>256685</v>
      </c>
      <c r="F741" s="3" t="str">
        <f>IFERROR(VLOOKUP(E741,BD!$L$2:$Q$66,2,0),0)</f>
        <v>SL S/G TAPA PLANA 1LT</v>
      </c>
      <c r="G741" s="409">
        <f>112*6</f>
        <v>672</v>
      </c>
      <c r="H741" s="3">
        <f>+IFERROR(VLOOKUP(E741,BD!$L$2:$Q$66,6,0),0)</f>
        <v>112</v>
      </c>
      <c r="I741" s="96">
        <f>IFERROR(G741*VLOOKUP($E741,BD!$L$2:$Q$66,5,0),0)</f>
        <v>268.8</v>
      </c>
      <c r="J741" s="3">
        <f t="shared" si="47"/>
        <v>2021</v>
      </c>
    </row>
    <row r="742" spans="1:10" s="9" customFormat="1" hidden="1" x14ac:dyDescent="0.25">
      <c r="A742" s="421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20">
        <v>251429</v>
      </c>
      <c r="F742" s="3" t="str">
        <f>IFERROR(VLOOKUP(E742,BD!$L$2:$Q$66,2,0),0)</f>
        <v>SAN LUIS SIN GAS PET2500X6 STICKER</v>
      </c>
      <c r="G742" s="409">
        <f>48*12</f>
        <v>576</v>
      </c>
      <c r="H742" s="3">
        <f>+IFERROR(VLOOKUP(E742,BD!$L$2:$Q$66,6,0),0)</f>
        <v>48</v>
      </c>
      <c r="I742" s="96">
        <f>IFERROR(G742*VLOOKUP($E742,BD!$L$2:$Q$66,5,0),0)</f>
        <v>230.4</v>
      </c>
      <c r="J742" s="3">
        <f t="shared" si="47"/>
        <v>2021</v>
      </c>
    </row>
    <row r="743" spans="1:10" s="9" customFormat="1" hidden="1" x14ac:dyDescent="0.25">
      <c r="A743" s="421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20">
        <v>751315</v>
      </c>
      <c r="F743" s="3" t="str">
        <f>IFERROR(VLOOKUP(E743,BD!$L$2:$Q$66,2,0),0)</f>
        <v>MONSTER ENERGY 473MLX4</v>
      </c>
      <c r="G743" s="409">
        <f>420*8</f>
        <v>3360</v>
      </c>
      <c r="H743" s="3">
        <f>+IFERROR(VLOOKUP(E743,BD!$L$2:$Q$66,6,0),0)</f>
        <v>420</v>
      </c>
      <c r="I743" s="96">
        <f>IFERROR(G743*VLOOKUP($E743,BD!$L$2:$Q$66,5,0),0)</f>
        <v>1411.2</v>
      </c>
      <c r="J743" s="3">
        <f t="shared" si="47"/>
        <v>2021</v>
      </c>
    </row>
    <row r="744" spans="1:10" s="9" customFormat="1" hidden="1" x14ac:dyDescent="0.25">
      <c r="A744" s="421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20">
        <v>251633</v>
      </c>
      <c r="F744" s="3" t="str">
        <f>IFERROR(VLOOKUP(E744,BD!$L$2:$Q$66,2,0),0)</f>
        <v>SAN LUIS CON GAS PET 625MLX6</v>
      </c>
      <c r="G744" s="409">
        <f>180*2</f>
        <v>360</v>
      </c>
      <c r="H744" s="3">
        <f>+IFERROR(VLOOKUP(E744,BD!$L$2:$Q$66,6,0),0)</f>
        <v>180</v>
      </c>
      <c r="I744" s="96">
        <f>IFERROR(G744*VLOOKUP($E744,BD!$L$2:$Q$66,5,0),0)</f>
        <v>151.19999999999999</v>
      </c>
      <c r="J744" s="3">
        <f t="shared" si="47"/>
        <v>2021</v>
      </c>
    </row>
    <row r="745" spans="1:10" s="9" customFormat="1" ht="15.75" hidden="1" thickBot="1" x14ac:dyDescent="0.3">
      <c r="A745" s="423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9">
        <v>251406</v>
      </c>
      <c r="F745" s="8" t="str">
        <f>IFERROR(VLOOKUP(E745,BD!$L$2:$Q$66,2,0),0)</f>
        <v>COCA-COLA SIN AZUCAR PET 1.5LX2</v>
      </c>
      <c r="G745" s="450">
        <f>198*7</f>
        <v>1386</v>
      </c>
      <c r="H745" s="8">
        <f>+IFERROR(VLOOKUP(E745,BD!$L$2:$Q$66,6,0),0)</f>
        <v>198</v>
      </c>
      <c r="I745" s="98">
        <f>IFERROR(G745*VLOOKUP($E745,BD!$L$2:$Q$66,5,0),0)</f>
        <v>235.62</v>
      </c>
      <c r="J745" s="8">
        <f t="shared" si="47"/>
        <v>2021</v>
      </c>
    </row>
    <row r="746" spans="1:10" s="9" customFormat="1" hidden="1" x14ac:dyDescent="0.25">
      <c r="A746" s="422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63">
        <v>254853</v>
      </c>
      <c r="F746" s="6" t="str">
        <f>IFERROR(VLOOKUP(E746,BD!$L$2:$Q$66,2,0),0)</f>
        <v>INCA KOLA SIN AZUCAR PET 1.5LX2</v>
      </c>
      <c r="G746" s="464">
        <f>198*7</f>
        <v>1386</v>
      </c>
      <c r="H746" s="6">
        <f>+IFERROR(VLOOKUP(E746,BD!$L$2:$Q$66,6,0),0)</f>
        <v>198</v>
      </c>
      <c r="I746" s="97">
        <f>IFERROR(G746*VLOOKUP($E746,BD!$L$2:$Q$66,5,0),0)</f>
        <v>235.62</v>
      </c>
      <c r="J746" s="6">
        <f t="shared" si="47"/>
        <v>2021</v>
      </c>
    </row>
    <row r="747" spans="1:10" s="9" customFormat="1" hidden="1" x14ac:dyDescent="0.25">
      <c r="A747" s="421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7">
        <v>256617</v>
      </c>
      <c r="F747" s="3" t="str">
        <f>IFERROR(VLOOKUP(E747,BD!$L$2:$Q$66,2,0),0)</f>
        <v>TWO PACK SCHWEPPES GINGER ALE PET 1.5LX2</v>
      </c>
      <c r="G747" s="409">
        <f>198*2</f>
        <v>396</v>
      </c>
      <c r="H747" s="3">
        <f>+IFERROR(VLOOKUP(E747,BD!$L$2:$Q$66,6,0),0)</f>
        <v>198</v>
      </c>
      <c r="I747" s="96">
        <f>IFERROR(G747*VLOOKUP($E747,BD!$L$2:$Q$66,5,0),0)</f>
        <v>67.320000000000007</v>
      </c>
      <c r="J747" s="3">
        <f t="shared" si="47"/>
        <v>2021</v>
      </c>
    </row>
    <row r="748" spans="1:10" s="9" customFormat="1" hidden="1" x14ac:dyDescent="0.25">
      <c r="A748" s="421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7">
        <v>256666</v>
      </c>
      <c r="F748" s="3" t="str">
        <f>IFERROR(VLOOKUP(E748,BD!$L$2:$Q$66,2,0),0)</f>
        <v>COCA-COLA PET 2.25LX2 RF</v>
      </c>
      <c r="G748" s="409">
        <f>162*3</f>
        <v>486</v>
      </c>
      <c r="H748" s="3">
        <f>+IFERROR(VLOOKUP(E748,BD!$L$2:$Q$66,6,0),0)</f>
        <v>162</v>
      </c>
      <c r="I748" s="96">
        <f>IFERROR(G748*VLOOKUP($E748,BD!$L$2:$Q$66,5,0),0)</f>
        <v>82.62</v>
      </c>
      <c r="J748" s="3">
        <f t="shared" si="47"/>
        <v>2021</v>
      </c>
    </row>
    <row r="749" spans="1:10" s="9" customFormat="1" hidden="1" x14ac:dyDescent="0.25">
      <c r="A749" s="421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7">
        <v>256601</v>
      </c>
      <c r="F749" s="3" t="str">
        <f>IFERROR(VLOOKUP(E749,BD!$L$2:$Q$66,2,0),0)</f>
        <v>INCA KOLA PET 2.25LX2 RF</v>
      </c>
      <c r="G749" s="409">
        <f>162*2</f>
        <v>324</v>
      </c>
      <c r="H749" s="3">
        <f>+IFERROR(VLOOKUP(E749,BD!$L$2:$Q$66,6,0),0)</f>
        <v>162</v>
      </c>
      <c r="I749" s="96">
        <f>IFERROR(G749*VLOOKUP($E749,BD!$L$2:$Q$66,5,0),0)</f>
        <v>55.080000000000005</v>
      </c>
      <c r="J749" s="3">
        <f t="shared" si="47"/>
        <v>2021</v>
      </c>
    </row>
    <row r="750" spans="1:10" s="9" customFormat="1" hidden="1" x14ac:dyDescent="0.25">
      <c r="A750" s="421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20">
        <v>256674</v>
      </c>
      <c r="F750" s="3" t="str">
        <f>IFERROR(VLOOKUP(E750,BD!$L$2:$Q$66,2,0),0)</f>
        <v>COCA-COLA PET 1.5LX2 RF</v>
      </c>
      <c r="G750" s="409">
        <f>198*9</f>
        <v>1782</v>
      </c>
      <c r="H750" s="3">
        <f>+IFERROR(VLOOKUP(E750,BD!$L$2:$Q$66,6,0),0)</f>
        <v>198</v>
      </c>
      <c r="I750" s="96">
        <f>IFERROR(G750*VLOOKUP($E750,BD!$L$2:$Q$66,5,0),0)</f>
        <v>302.94</v>
      </c>
      <c r="J750" s="3">
        <f t="shared" si="47"/>
        <v>2021</v>
      </c>
    </row>
    <row r="751" spans="1:10" s="9" customFormat="1" ht="15.75" hidden="1" thickBot="1" x14ac:dyDescent="0.3">
      <c r="A751" s="423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75">
        <v>256675</v>
      </c>
      <c r="F751" s="8" t="str">
        <f>IFERROR(VLOOKUP(E751,BD!$L$2:$Q$66,2,0),0)</f>
        <v>INCA KOLA PET 1.5LX2 RF</v>
      </c>
      <c r="G751" s="450">
        <f>198*7</f>
        <v>1386</v>
      </c>
      <c r="H751" s="8">
        <f>+IFERROR(VLOOKUP(E751,BD!$L$2:$Q$66,6,0),0)</f>
        <v>198</v>
      </c>
      <c r="I751" s="98">
        <f>IFERROR(G751*VLOOKUP($E751,BD!$L$2:$Q$66,5,0),0)</f>
        <v>235.62</v>
      </c>
      <c r="J751" s="8">
        <f t="shared" si="47"/>
        <v>2021</v>
      </c>
    </row>
    <row r="752" spans="1:10" s="9" customFormat="1" hidden="1" x14ac:dyDescent="0.25">
      <c r="A752" s="422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9">
        <v>256677</v>
      </c>
      <c r="F752" s="6" t="str">
        <f>IFERROR(VLOOKUP(E752,BD!$L$2:$Q$66,2,0),0)</f>
        <v>TWO PACK CC + IK PFM 3LX2 - RFNN</v>
      </c>
      <c r="G752" s="464">
        <f>120*8</f>
        <v>960</v>
      </c>
      <c r="H752" s="6">
        <f>+IFERROR(VLOOKUP(E752,BD!$L$2:$Q$66,6,0),0)</f>
        <v>120</v>
      </c>
      <c r="I752" s="97">
        <f>IFERROR(G752*VLOOKUP($E752,BD!$L$2:$Q$66,5,0),0)</f>
        <v>163.20000000000002</v>
      </c>
      <c r="J752" s="6">
        <f t="shared" si="47"/>
        <v>2021</v>
      </c>
    </row>
    <row r="753" spans="1:10" s="9" customFormat="1" hidden="1" x14ac:dyDescent="0.25">
      <c r="A753" s="421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20">
        <v>256680</v>
      </c>
      <c r="F753" s="3" t="str">
        <f>IFERROR(VLOOKUP(E753,BD!$L$2:$Q$66,2,0),0)</f>
        <v>TRIPACK CC+CC+IK PFM 3LX3 - RFNN</v>
      </c>
      <c r="G753" s="409">
        <v>90</v>
      </c>
      <c r="H753" s="3">
        <f>+IFERROR(VLOOKUP(E753,BD!$L$2:$Q$66,6,0),0)</f>
        <v>90</v>
      </c>
      <c r="I753" s="96">
        <f>IFERROR(G753*VLOOKUP($E753,BD!$L$2:$Q$66,5,0),0)</f>
        <v>15.3</v>
      </c>
      <c r="J753" s="3">
        <f t="shared" si="47"/>
        <v>2021</v>
      </c>
    </row>
    <row r="754" spans="1:10" s="9" customFormat="1" hidden="1" x14ac:dyDescent="0.25">
      <c r="A754" s="421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20">
        <v>256678</v>
      </c>
      <c r="F754" s="3" t="str">
        <f>IFERROR(VLOOKUP(E754,BD!$L$2:$Q$66,2,0),0)</f>
        <v>TRIPACK (CC+IK)PFM+FT PET 3LX3 - RFNN</v>
      </c>
      <c r="G754" s="409">
        <f>90*9</f>
        <v>810</v>
      </c>
      <c r="H754" s="3">
        <f>+IFERROR(VLOOKUP(E754,BD!$L$2:$Q$66,6,0),0)</f>
        <v>90</v>
      </c>
      <c r="I754" s="96">
        <f>IFERROR(G754*VLOOKUP($E754,BD!$L$2:$Q$66,5,0),0)</f>
        <v>137.70000000000002</v>
      </c>
      <c r="J754" s="3">
        <f t="shared" si="47"/>
        <v>2021</v>
      </c>
    </row>
    <row r="755" spans="1:10" s="9" customFormat="1" hidden="1" x14ac:dyDescent="0.25">
      <c r="A755" s="421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7">
        <v>256679</v>
      </c>
      <c r="F755" s="3" t="str">
        <f>IFERROR(VLOOKUP(E755,BD!$L$2:$Q$66,2,0),0)</f>
        <v>TRIPACK CC+IK+IK PFM 3LX3 - RFNN</v>
      </c>
      <c r="G755" s="409">
        <f>90*29</f>
        <v>2610</v>
      </c>
      <c r="H755" s="3">
        <f>+IFERROR(VLOOKUP(E755,BD!$L$2:$Q$66,6,0),0)</f>
        <v>90</v>
      </c>
      <c r="I755" s="96">
        <f>IFERROR(G755*VLOOKUP($E755,BD!$L$2:$Q$66,5,0),0)</f>
        <v>443.70000000000005</v>
      </c>
      <c r="J755" s="3">
        <f t="shared" si="47"/>
        <v>2021</v>
      </c>
    </row>
    <row r="756" spans="1:10" s="9" customFormat="1" hidden="1" x14ac:dyDescent="0.25">
      <c r="A756" s="421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7">
        <v>256678</v>
      </c>
      <c r="F756" s="3" t="str">
        <f>IFERROR(VLOOKUP(E756,BD!$L$2:$Q$66,2,0),0)</f>
        <v>TRIPACK (CC+IK)PFM+FT PET 3LX3 - RFNN</v>
      </c>
      <c r="G756" s="409">
        <f>90*3</f>
        <v>270</v>
      </c>
      <c r="H756" s="3">
        <f>+IFERROR(VLOOKUP(E756,BD!$L$2:$Q$66,6,0),0)</f>
        <v>90</v>
      </c>
      <c r="I756" s="96">
        <f>IFERROR(G756*VLOOKUP($E756,BD!$L$2:$Q$66,5,0),0)</f>
        <v>45.900000000000006</v>
      </c>
      <c r="J756" s="3">
        <f t="shared" si="47"/>
        <v>2021</v>
      </c>
    </row>
    <row r="757" spans="1:10" s="9" customFormat="1" hidden="1" x14ac:dyDescent="0.25">
      <c r="A757" s="421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7">
        <v>256682</v>
      </c>
      <c r="F757" s="3" t="str">
        <f>IFERROR(VLOOKUP(E757,BD!$L$2:$Q$66,2,0),0)</f>
        <v>TRIPACK (FT NAR+SP)PET+IK RF PFM 3L</v>
      </c>
      <c r="G757" s="409">
        <v>90</v>
      </c>
      <c r="H757" s="3">
        <f>+IFERROR(VLOOKUP(E757,BD!$L$2:$Q$66,6,0),0)</f>
        <v>90</v>
      </c>
      <c r="I757" s="96">
        <f>IFERROR(G757*VLOOKUP($E757,BD!$L$2:$Q$66,5,0),0)</f>
        <v>15.3</v>
      </c>
      <c r="J757" s="3">
        <f t="shared" si="47"/>
        <v>2021</v>
      </c>
    </row>
    <row r="758" spans="1:10" s="9" customFormat="1" hidden="1" x14ac:dyDescent="0.25">
      <c r="A758" s="421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7">
        <v>751315</v>
      </c>
      <c r="F758" s="3" t="str">
        <f>IFERROR(VLOOKUP(E758,BD!$L$2:$Q$66,2,0),0)</f>
        <v>MONSTER ENERGY 473MLX4</v>
      </c>
      <c r="G758" s="409">
        <f>420*2</f>
        <v>840</v>
      </c>
      <c r="H758" s="3">
        <f>+IFERROR(VLOOKUP(E758,BD!$L$2:$Q$66,6,0),0)</f>
        <v>420</v>
      </c>
      <c r="I758" s="96">
        <f>IFERROR(G758*VLOOKUP($E758,BD!$L$2:$Q$66,5,0),0)</f>
        <v>352.8</v>
      </c>
      <c r="J758" s="3">
        <f t="shared" si="47"/>
        <v>2021</v>
      </c>
    </row>
    <row r="759" spans="1:10" s="9" customFormat="1" hidden="1" x14ac:dyDescent="0.25">
      <c r="A759" s="421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7">
        <v>251633</v>
      </c>
      <c r="F759" s="3" t="str">
        <f>IFERROR(VLOOKUP(E759,BD!$L$2:$Q$66,2,0),0)</f>
        <v>SAN LUIS CON GAS PET 625MLX6</v>
      </c>
      <c r="G759" s="409">
        <v>180</v>
      </c>
      <c r="H759" s="3">
        <f>+IFERROR(VLOOKUP(E759,BD!$L$2:$Q$66,6,0),0)</f>
        <v>180</v>
      </c>
      <c r="I759" s="96">
        <f>IFERROR(G759*VLOOKUP($E759,BD!$L$2:$Q$66,5,0),0)</f>
        <v>75.599999999999994</v>
      </c>
      <c r="J759" s="3">
        <f t="shared" si="47"/>
        <v>2021</v>
      </c>
    </row>
    <row r="760" spans="1:10" s="9" customFormat="1" hidden="1" x14ac:dyDescent="0.25">
      <c r="A760" s="421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20">
        <v>256383</v>
      </c>
      <c r="F760" s="3" t="str">
        <f>IFERROR(VLOOKUP(E760,BD!$L$2:$Q$66,2,0),0)</f>
        <v>COCA COLA VR 1.5LX8 - STICKER</v>
      </c>
      <c r="G760" s="409">
        <v>30</v>
      </c>
      <c r="H760" s="3">
        <f>+IFERROR(VLOOKUP(E760,BD!$L$2:$Q$66,6,0),0)</f>
        <v>30</v>
      </c>
      <c r="I760" s="96">
        <f>IFERROR(G760*VLOOKUP($E760,BD!$L$2:$Q$66,5,0),0)</f>
        <v>6.9</v>
      </c>
      <c r="J760" s="3">
        <f t="shared" si="47"/>
        <v>2021</v>
      </c>
    </row>
    <row r="761" spans="1:10" s="9" customFormat="1" hidden="1" x14ac:dyDescent="0.25">
      <c r="A761" s="421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20">
        <v>256381</v>
      </c>
      <c r="F761" s="3" t="str">
        <f>IFERROR(VLOOKUP(E761,BD!$L$2:$Q$66,2,0),0)</f>
        <v>INCA KOLA VR 1.5LX8 - STICKER</v>
      </c>
      <c r="G761" s="409">
        <v>30</v>
      </c>
      <c r="H761" s="3">
        <f>+IFERROR(VLOOKUP(E761,BD!$L$2:$Q$66,6,0),0)</f>
        <v>30</v>
      </c>
      <c r="I761" s="96">
        <f>IFERROR(G761*VLOOKUP($E761,BD!$L$2:$Q$66,5,0),0)</f>
        <v>12</v>
      </c>
      <c r="J761" s="3">
        <f t="shared" si="47"/>
        <v>2021</v>
      </c>
    </row>
    <row r="762" spans="1:10" s="9" customFormat="1" hidden="1" x14ac:dyDescent="0.25">
      <c r="A762" s="421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20">
        <v>256380</v>
      </c>
      <c r="F762" s="3" t="str">
        <f>IFERROR(VLOOKUP(E762,BD!$L$2:$Q$66,2,0),0)</f>
        <v>INCA KOLA VR 296MLX24 - STICKER</v>
      </c>
      <c r="G762" s="409">
        <v>40</v>
      </c>
      <c r="H762" s="3">
        <f>+IFERROR(VLOOKUP(E762,BD!$L$2:$Q$66,6,0),0)</f>
        <v>40</v>
      </c>
      <c r="I762" s="96">
        <f>IFERROR(G762*VLOOKUP($E762,BD!$L$2:$Q$66,5,0),0)</f>
        <v>9.2000000000000011</v>
      </c>
      <c r="J762" s="3">
        <f t="shared" si="47"/>
        <v>2021</v>
      </c>
    </row>
    <row r="763" spans="1:10" s="9" customFormat="1" hidden="1" x14ac:dyDescent="0.25">
      <c r="A763" s="421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20">
        <v>251429</v>
      </c>
      <c r="F763" s="3" t="str">
        <f>IFERROR(VLOOKUP(E763,BD!$L$2:$Q$66,2,0),0)</f>
        <v>SAN LUIS SIN GAS PET2500X6 STICKER</v>
      </c>
      <c r="G763" s="409">
        <f>48*22</f>
        <v>1056</v>
      </c>
      <c r="H763" s="3">
        <f>+IFERROR(VLOOKUP(E763,BD!$L$2:$Q$66,6,0),0)</f>
        <v>48</v>
      </c>
      <c r="I763" s="96">
        <f>IFERROR(G763*VLOOKUP($E763,BD!$L$2:$Q$66,5,0),0)</f>
        <v>422.40000000000003</v>
      </c>
      <c r="J763" s="3">
        <f t="shared" si="47"/>
        <v>2021</v>
      </c>
    </row>
    <row r="764" spans="1:10" s="9" customFormat="1" hidden="1" x14ac:dyDescent="0.25">
      <c r="A764" s="421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20">
        <v>251406</v>
      </c>
      <c r="F764" s="3" t="str">
        <f>IFERROR(VLOOKUP(E764,BD!$L$2:$Q$66,2,0),0)</f>
        <v>COCA-COLA SIN AZUCAR PET 1.5LX2</v>
      </c>
      <c r="G764" s="409">
        <f>198*6</f>
        <v>1188</v>
      </c>
      <c r="H764" s="3">
        <f>+IFERROR(VLOOKUP(E764,BD!$L$2:$Q$66,6,0),0)</f>
        <v>198</v>
      </c>
      <c r="I764" s="96">
        <f>IFERROR(G764*VLOOKUP($E764,BD!$L$2:$Q$66,5,0),0)</f>
        <v>201.96</v>
      </c>
      <c r="J764" s="3">
        <f t="shared" si="47"/>
        <v>2021</v>
      </c>
    </row>
    <row r="765" spans="1:10" s="9" customFormat="1" hidden="1" x14ac:dyDescent="0.25">
      <c r="A765" s="421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20">
        <v>254853</v>
      </c>
      <c r="F765" s="3" t="str">
        <f>IFERROR(VLOOKUP(E765,BD!$L$2:$Q$66,2,0),0)</f>
        <v>INCA KOLA SIN AZUCAR PET 1.5LX2</v>
      </c>
      <c r="G765" s="409">
        <f>198*6</f>
        <v>1188</v>
      </c>
      <c r="H765" s="3">
        <f>+IFERROR(VLOOKUP(E765,BD!$L$2:$Q$66,6,0),0)</f>
        <v>198</v>
      </c>
      <c r="I765" s="96">
        <f>IFERROR(G765*VLOOKUP($E765,BD!$L$2:$Q$66,5,0),0)</f>
        <v>201.96</v>
      </c>
      <c r="J765" s="3">
        <f t="shared" si="47"/>
        <v>2021</v>
      </c>
    </row>
    <row r="766" spans="1:10" s="9" customFormat="1" ht="15.75" hidden="1" thickBot="1" x14ac:dyDescent="0.3">
      <c r="A766" s="423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75">
        <v>256617</v>
      </c>
      <c r="F766" s="8" t="str">
        <f>IFERROR(VLOOKUP(E766,BD!$L$2:$Q$66,2,0),0)</f>
        <v>TWO PACK SCHWEPPES GINGER ALE PET 1.5LX2</v>
      </c>
      <c r="G766" s="450">
        <f>198*4</f>
        <v>792</v>
      </c>
      <c r="H766" s="8">
        <f>+IFERROR(VLOOKUP(E766,BD!$L$2:$Q$66,6,0),0)</f>
        <v>198</v>
      </c>
      <c r="I766" s="98">
        <f>IFERROR(G766*VLOOKUP($E766,BD!$L$2:$Q$66,5,0),0)</f>
        <v>134.64000000000001</v>
      </c>
      <c r="J766" s="8">
        <f t="shared" si="47"/>
        <v>2021</v>
      </c>
    </row>
    <row r="767" spans="1:10" s="9" customFormat="1" hidden="1" x14ac:dyDescent="0.25">
      <c r="A767" s="422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9">
        <v>256666</v>
      </c>
      <c r="F767" s="6" t="str">
        <f>IFERROR(VLOOKUP(E767,BD!$L$2:$Q$66,2,0),0)</f>
        <v>COCA-COLA PET 2.25LX2 RF</v>
      </c>
      <c r="G767" s="464">
        <f>162*5</f>
        <v>810</v>
      </c>
      <c r="H767" s="6">
        <f>+IFERROR(VLOOKUP(E767,BD!$L$2:$Q$66,6,0),0)</f>
        <v>162</v>
      </c>
      <c r="I767" s="97">
        <f>IFERROR(G767*VLOOKUP($E767,BD!$L$2:$Q$66,5,0),0)</f>
        <v>137.70000000000002</v>
      </c>
      <c r="J767" s="6">
        <f t="shared" si="47"/>
        <v>2021</v>
      </c>
    </row>
    <row r="768" spans="1:10" s="9" customFormat="1" hidden="1" x14ac:dyDescent="0.25">
      <c r="A768" s="421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20">
        <v>256601</v>
      </c>
      <c r="F768" s="3" t="str">
        <f>IFERROR(VLOOKUP(E768,BD!$L$2:$Q$66,2,0),0)</f>
        <v>INCA KOLA PET 2.25LX2 RF</v>
      </c>
      <c r="G768" s="409">
        <f>162*4</f>
        <v>648</v>
      </c>
      <c r="H768" s="3">
        <f>+IFERROR(VLOOKUP(E768,BD!$L$2:$Q$66,6,0),0)</f>
        <v>162</v>
      </c>
      <c r="I768" s="96">
        <f>IFERROR(G768*VLOOKUP($E768,BD!$L$2:$Q$66,5,0),0)</f>
        <v>110.16000000000001</v>
      </c>
      <c r="J768" s="3">
        <f t="shared" si="47"/>
        <v>2021</v>
      </c>
    </row>
    <row r="769" spans="1:10" s="9" customFormat="1" hidden="1" x14ac:dyDescent="0.25">
      <c r="A769" s="421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20">
        <v>256488</v>
      </c>
      <c r="F769" s="3" t="str">
        <f>IFERROR(VLOOKUP(E769,BD!$L$2:$Q$66,2,0),0)</f>
        <v>INCA KOLA PET 3LX2 - RF</v>
      </c>
      <c r="G769" s="409">
        <f>120*2</f>
        <v>240</v>
      </c>
      <c r="H769" s="3">
        <f>+IFERROR(VLOOKUP(E769,BD!$L$2:$Q$66,6,0),0)</f>
        <v>120</v>
      </c>
      <c r="I769" s="96">
        <f>IFERROR(G769*VLOOKUP($E769,BD!$L$2:$Q$66,5,0),0)</f>
        <v>40.800000000000004</v>
      </c>
      <c r="J769" s="3">
        <f t="shared" si="47"/>
        <v>2021</v>
      </c>
    </row>
    <row r="770" spans="1:10" s="9" customFormat="1" hidden="1" x14ac:dyDescent="0.25">
      <c r="A770" s="421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20">
        <v>256676</v>
      </c>
      <c r="F770" s="3" t="str">
        <f>IFERROR(VLOOKUP(E770,BD!$L$2:$Q$66,2,0),0)</f>
        <v>TWO PACK CC PFM 3LX2 - RFCC</v>
      </c>
      <c r="G770" s="370">
        <f>120*3</f>
        <v>360</v>
      </c>
      <c r="H770" s="3">
        <f>+IFERROR(VLOOKUP(E770,BD!$L$2:$Q$66,6,0),0)</f>
        <v>120</v>
      </c>
      <c r="I770" s="96">
        <f>IFERROR(G770*VLOOKUP($E770,BD!$L$2:$Q$66,5,0),0)</f>
        <v>61.2</v>
      </c>
      <c r="J770" s="3">
        <f t="shared" si="47"/>
        <v>2021</v>
      </c>
    </row>
    <row r="771" spans="1:10" s="9" customFormat="1" hidden="1" x14ac:dyDescent="0.25">
      <c r="A771" s="421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20">
        <v>256674</v>
      </c>
      <c r="F771" s="3" t="str">
        <f>IFERROR(VLOOKUP(E771,BD!$L$2:$Q$66,2,0),0)</f>
        <v>COCA-COLA PET 1.5LX2 RF</v>
      </c>
      <c r="G771" s="409">
        <f>198*12</f>
        <v>2376</v>
      </c>
      <c r="H771" s="3">
        <f>+IFERROR(VLOOKUP(E771,BD!$L$2:$Q$66,6,0),0)</f>
        <v>198</v>
      </c>
      <c r="I771" s="96">
        <f>IFERROR(G771*VLOOKUP($E771,BD!$L$2:$Q$66,5,0),0)</f>
        <v>403.92</v>
      </c>
      <c r="J771" s="3">
        <f t="shared" si="47"/>
        <v>2021</v>
      </c>
    </row>
    <row r="772" spans="1:10" s="9" customFormat="1" hidden="1" x14ac:dyDescent="0.25">
      <c r="A772" s="421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20">
        <v>256675</v>
      </c>
      <c r="F772" s="3" t="str">
        <f>IFERROR(VLOOKUP(E772,BD!$L$2:$Q$66,2,0),0)</f>
        <v>INCA KOLA PET 1.5LX2 RF</v>
      </c>
      <c r="G772" s="409">
        <f>198*3</f>
        <v>594</v>
      </c>
      <c r="H772" s="3">
        <f>+IFERROR(VLOOKUP(E772,BD!$L$2:$Q$66,6,0),0)</f>
        <v>198</v>
      </c>
      <c r="I772" s="96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hidden="1" x14ac:dyDescent="0.25">
      <c r="A773" s="421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20">
        <v>256652</v>
      </c>
      <c r="F773" s="3" t="str">
        <f>IFERROR(VLOOKUP(E773,BD!$L$2:$Q$66,2,0),0)</f>
        <v>TRIPACK FT NAR+FT KI+SP PET 3L</v>
      </c>
      <c r="G773" s="409">
        <v>270</v>
      </c>
      <c r="H773" s="3">
        <f>+IFERROR(VLOOKUP(E773,BD!$L$2:$Q$66,6,0),0)</f>
        <v>90</v>
      </c>
      <c r="I773" s="96">
        <f>IFERROR(G773*VLOOKUP($E773,BD!$L$2:$Q$66,5,0),0)</f>
        <v>45.900000000000006</v>
      </c>
      <c r="J773" s="3">
        <f t="shared" si="51"/>
        <v>2021</v>
      </c>
    </row>
    <row r="774" spans="1:10" s="9" customFormat="1" hidden="1" x14ac:dyDescent="0.25">
      <c r="A774" s="421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20">
        <v>256680</v>
      </c>
      <c r="F774" s="3" t="str">
        <f>IFERROR(VLOOKUP(E774,BD!$L$2:$Q$66,2,0),0)</f>
        <v>TRIPACK CC+CC+IK PFM 3LX3 - RFNN</v>
      </c>
      <c r="G774" s="409">
        <v>270</v>
      </c>
      <c r="H774" s="3">
        <f>+IFERROR(VLOOKUP(E774,BD!$L$2:$Q$66,6,0),0)</f>
        <v>90</v>
      </c>
      <c r="I774" s="96">
        <f>IFERROR(G774*VLOOKUP($E774,BD!$L$2:$Q$66,5,0),0)</f>
        <v>45.900000000000006</v>
      </c>
      <c r="J774" s="3">
        <f t="shared" si="51"/>
        <v>2021</v>
      </c>
    </row>
    <row r="775" spans="1:10" s="9" customFormat="1" hidden="1" x14ac:dyDescent="0.25">
      <c r="A775" s="421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7">
        <v>256381</v>
      </c>
      <c r="F775" s="3" t="str">
        <f>IFERROR(VLOOKUP(E775,BD!$L$2:$Q$66,2,0),0)</f>
        <v>INCA KOLA VR 1.5LX8 - STICKER</v>
      </c>
      <c r="G775" s="409">
        <v>30</v>
      </c>
      <c r="H775" s="3">
        <f>+IFERROR(VLOOKUP(E775,BD!$L$2:$Q$66,6,0),0)</f>
        <v>30</v>
      </c>
      <c r="I775" s="96">
        <f>IFERROR(G775*VLOOKUP($E775,BD!$L$2:$Q$66,5,0),0)</f>
        <v>12</v>
      </c>
      <c r="J775" s="3">
        <f t="shared" si="51"/>
        <v>2021</v>
      </c>
    </row>
    <row r="776" spans="1:10" s="9" customFormat="1" hidden="1" x14ac:dyDescent="0.25">
      <c r="A776" s="421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7">
        <v>251429</v>
      </c>
      <c r="F776" s="3" t="str">
        <f>IFERROR(VLOOKUP(E776,BD!$L$2:$Q$66,2,0),0)</f>
        <v>SAN LUIS SIN GAS PET2500X6 STICKER</v>
      </c>
      <c r="G776" s="409">
        <f>48*12</f>
        <v>576</v>
      </c>
      <c r="H776" s="3">
        <f>+IFERROR(VLOOKUP(E776,BD!$L$2:$Q$66,6,0),0)</f>
        <v>48</v>
      </c>
      <c r="I776" s="96">
        <f>IFERROR(G776*VLOOKUP($E776,BD!$L$2:$Q$66,5,0),0)</f>
        <v>230.4</v>
      </c>
      <c r="J776" s="3">
        <f t="shared" si="51"/>
        <v>2021</v>
      </c>
    </row>
    <row r="777" spans="1:10" s="9" customFormat="1" hidden="1" x14ac:dyDescent="0.25">
      <c r="A777" s="421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7">
        <v>751315</v>
      </c>
      <c r="F777" s="3" t="str">
        <f>IFERROR(VLOOKUP(E777,BD!$L$2:$Q$66,2,0),0)</f>
        <v>MONSTER ENERGY 473MLX4</v>
      </c>
      <c r="G777" s="409">
        <v>420</v>
      </c>
      <c r="H777" s="3">
        <f>+IFERROR(VLOOKUP(E777,BD!$L$2:$Q$66,6,0),0)</f>
        <v>420</v>
      </c>
      <c r="I777" s="96">
        <f>IFERROR(G777*VLOOKUP($E777,BD!$L$2:$Q$66,5,0),0)</f>
        <v>176.4</v>
      </c>
      <c r="J777" s="3">
        <f t="shared" si="51"/>
        <v>2021</v>
      </c>
    </row>
    <row r="778" spans="1:10" s="9" customFormat="1" hidden="1" x14ac:dyDescent="0.25">
      <c r="A778" s="421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7">
        <v>751468</v>
      </c>
      <c r="F778" s="3" t="str">
        <f>IFERROR(VLOOKUP(E778,BD!$L$2:$Q$66,2,0),0)</f>
        <v>MONSTER ENERGY ULTRA 473MLX4</v>
      </c>
      <c r="G778" s="409">
        <f>2*420</f>
        <v>840</v>
      </c>
      <c r="H778" s="3">
        <f>+IFERROR(VLOOKUP(E778,BD!$L$2:$Q$66,6,0),0)</f>
        <v>420</v>
      </c>
      <c r="I778" s="96">
        <f>IFERROR(G778*VLOOKUP($E778,BD!$L$2:$Q$66,5,0),0)</f>
        <v>352.8</v>
      </c>
      <c r="J778" s="3">
        <f t="shared" si="51"/>
        <v>2021</v>
      </c>
    </row>
    <row r="779" spans="1:10" s="9" customFormat="1" hidden="1" x14ac:dyDescent="0.25">
      <c r="A779" s="421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7">
        <v>251633</v>
      </c>
      <c r="F779" s="3" t="str">
        <f>IFERROR(VLOOKUP(E779,BD!$L$2:$Q$66,2,0),0)</f>
        <v>SAN LUIS CON GAS PET 625MLX6</v>
      </c>
      <c r="G779" s="409">
        <v>180</v>
      </c>
      <c r="H779" s="3">
        <f>+IFERROR(VLOOKUP(E779,BD!$L$2:$Q$66,6,0),0)</f>
        <v>180</v>
      </c>
      <c r="I779" s="96">
        <f>IFERROR(G779*VLOOKUP($E779,BD!$L$2:$Q$66,5,0),0)</f>
        <v>75.599999999999994</v>
      </c>
      <c r="J779" s="3">
        <f t="shared" si="51"/>
        <v>2021</v>
      </c>
    </row>
    <row r="780" spans="1:10" s="9" customFormat="1" hidden="1" x14ac:dyDescent="0.25">
      <c r="A780" s="421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7">
        <v>251406</v>
      </c>
      <c r="F780" s="3" t="str">
        <f>IFERROR(VLOOKUP(E780,BD!$L$2:$Q$66,2,0),0)</f>
        <v>COCA-COLA SIN AZUCAR PET 1.5LX2</v>
      </c>
      <c r="G780" s="409">
        <f>198*9</f>
        <v>1782</v>
      </c>
      <c r="H780" s="3">
        <f>+IFERROR(VLOOKUP(E780,BD!$L$2:$Q$66,6,0),0)</f>
        <v>198</v>
      </c>
      <c r="I780" s="96">
        <f>IFERROR(G780*VLOOKUP($E780,BD!$L$2:$Q$66,5,0),0)</f>
        <v>302.94</v>
      </c>
      <c r="J780" s="3">
        <f t="shared" si="51"/>
        <v>2021</v>
      </c>
    </row>
    <row r="781" spans="1:10" s="9" customFormat="1" ht="15.75" hidden="1" thickBot="1" x14ac:dyDescent="0.3">
      <c r="A781" s="423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9">
        <v>256674</v>
      </c>
      <c r="F781" s="8" t="str">
        <f>IFERROR(VLOOKUP(E781,BD!$L$2:$Q$66,2,0),0)</f>
        <v>COCA-COLA PET 1.5LX2 RF</v>
      </c>
      <c r="G781" s="450">
        <f>198*7</f>
        <v>1386</v>
      </c>
      <c r="H781" s="8">
        <f>+IFERROR(VLOOKUP(E781,BD!$L$2:$Q$66,6,0),0)</f>
        <v>198</v>
      </c>
      <c r="I781" s="98">
        <f>IFERROR(G781*VLOOKUP($E781,BD!$L$2:$Q$66,5,0),0)</f>
        <v>235.62</v>
      </c>
      <c r="J781" s="8">
        <f t="shared" si="51"/>
        <v>2021</v>
      </c>
    </row>
    <row r="782" spans="1:10" s="9" customFormat="1" hidden="1" x14ac:dyDescent="0.25">
      <c r="A782" s="422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63">
        <v>256675</v>
      </c>
      <c r="F782" s="6" t="str">
        <f>IFERROR(VLOOKUP(E782,BD!$L$2:$Q$66,2,0),0)</f>
        <v>INCA KOLA PET 1.5LX2 RF</v>
      </c>
      <c r="G782" s="464">
        <f>198*4</f>
        <v>792</v>
      </c>
      <c r="H782" s="6">
        <f>+IFERROR(VLOOKUP(E782,BD!$L$2:$Q$66,6,0),0)</f>
        <v>198</v>
      </c>
      <c r="I782" s="97">
        <f>IFERROR(G782*VLOOKUP($E782,BD!$L$2:$Q$66,5,0),0)</f>
        <v>134.64000000000001</v>
      </c>
      <c r="J782" s="6">
        <f t="shared" si="51"/>
        <v>2021</v>
      </c>
    </row>
    <row r="783" spans="1:10" s="9" customFormat="1" hidden="1" x14ac:dyDescent="0.25">
      <c r="A783" s="421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7">
        <v>256652</v>
      </c>
      <c r="F783" s="3" t="str">
        <f>IFERROR(VLOOKUP(E783,BD!$L$2:$Q$66,2,0),0)</f>
        <v>TRIPACK FT NAR+FT KI+SP PET 3L</v>
      </c>
      <c r="G783" s="409">
        <f>6*90</f>
        <v>540</v>
      </c>
      <c r="H783" s="3">
        <f>+IFERROR(VLOOKUP(E783,BD!$L$2:$Q$66,6,0),0)</f>
        <v>90</v>
      </c>
      <c r="I783" s="96">
        <f>IFERROR(G783*VLOOKUP($E783,BD!$L$2:$Q$66,5,0),0)</f>
        <v>91.800000000000011</v>
      </c>
      <c r="J783" s="3">
        <f t="shared" si="51"/>
        <v>2021</v>
      </c>
    </row>
    <row r="784" spans="1:10" s="9" customFormat="1" hidden="1" x14ac:dyDescent="0.25">
      <c r="A784" s="421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7">
        <v>256677</v>
      </c>
      <c r="F784" s="3" t="str">
        <f>IFERROR(VLOOKUP(E784,BD!$L$2:$Q$66,2,0),0)</f>
        <v>TWO PACK CC + IK PFM 3LX2 - RFNN</v>
      </c>
      <c r="G784" s="409">
        <f>25*120</f>
        <v>3000</v>
      </c>
      <c r="H784" s="3">
        <f>+IFERROR(VLOOKUP(E784,BD!$L$2:$Q$66,6,0),0)</f>
        <v>120</v>
      </c>
      <c r="I784" s="96">
        <f>IFERROR(G784*VLOOKUP($E784,BD!$L$2:$Q$66,5,0),0)</f>
        <v>510.00000000000006</v>
      </c>
      <c r="J784" s="3">
        <f t="shared" si="51"/>
        <v>2021</v>
      </c>
    </row>
    <row r="785" spans="1:10" s="9" customFormat="1" hidden="1" x14ac:dyDescent="0.25">
      <c r="A785" s="421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7">
        <v>256680</v>
      </c>
      <c r="F785" s="3" t="str">
        <f>IFERROR(VLOOKUP(E785,BD!$L$2:$Q$66,2,0),0)</f>
        <v>TRIPACK CC+CC+IK PFM 3LX3 - RFNN</v>
      </c>
      <c r="G785" s="409">
        <v>90</v>
      </c>
      <c r="H785" s="3">
        <f>+IFERROR(VLOOKUP(E785,BD!$L$2:$Q$66,6,0),0)</f>
        <v>90</v>
      </c>
      <c r="I785" s="96">
        <f>IFERROR(G785*VLOOKUP($E785,BD!$L$2:$Q$66,5,0),0)</f>
        <v>15.3</v>
      </c>
      <c r="J785" s="3">
        <f t="shared" si="51"/>
        <v>2021</v>
      </c>
    </row>
    <row r="786" spans="1:10" s="9" customFormat="1" hidden="1" x14ac:dyDescent="0.25">
      <c r="A786" s="421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7">
        <v>256679</v>
      </c>
      <c r="F786" s="3" t="str">
        <f>IFERROR(VLOOKUP(E786,BD!$L$2:$Q$66,2,0),0)</f>
        <v>TRIPACK CC+IK+IK PFM 3LX3 - RFNN</v>
      </c>
      <c r="G786" s="409">
        <f>4*90</f>
        <v>360</v>
      </c>
      <c r="H786" s="3">
        <f>+IFERROR(VLOOKUP(E786,BD!$L$2:$Q$66,6,0),0)</f>
        <v>90</v>
      </c>
      <c r="I786" s="96">
        <f>IFERROR(G786*VLOOKUP($E786,BD!$L$2:$Q$66,5,0),0)</f>
        <v>61.2</v>
      </c>
      <c r="J786" s="3">
        <f t="shared" si="51"/>
        <v>2021</v>
      </c>
    </row>
    <row r="787" spans="1:10" s="9" customFormat="1" ht="15.75" hidden="1" thickBot="1" x14ac:dyDescent="0.3">
      <c r="A787" s="423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75">
        <v>256678</v>
      </c>
      <c r="F787" s="8" t="str">
        <f>IFERROR(VLOOKUP(E787,BD!$L$2:$Q$66,2,0),0)</f>
        <v>TRIPACK (CC+IK)PFM+FT PET 3LX3 - RFNN</v>
      </c>
      <c r="G787" s="450">
        <f>90*19</f>
        <v>1710</v>
      </c>
      <c r="H787" s="8">
        <f>+IFERROR(VLOOKUP(E787,BD!$L$2:$Q$66,6,0),0)</f>
        <v>90</v>
      </c>
      <c r="I787" s="98">
        <f>IFERROR(G787*VLOOKUP($E787,BD!$L$2:$Q$66,5,0),0)</f>
        <v>290.70000000000005</v>
      </c>
      <c r="J787" s="8">
        <f t="shared" si="51"/>
        <v>2021</v>
      </c>
    </row>
    <row r="788" spans="1:10" s="9" customFormat="1" hidden="1" x14ac:dyDescent="0.25">
      <c r="A788" s="422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9">
        <v>256695</v>
      </c>
      <c r="F788" s="6" t="str">
        <f>IFERROR(VLOOKUP(E788,BD!$L$2:$Q$66,2,0),0)</f>
        <v>POWERADE 3MORA+3FRUT PET 473MLX6</v>
      </c>
      <c r="G788" s="464">
        <f>225*3</f>
        <v>675</v>
      </c>
      <c r="H788" s="6">
        <f>+IFERROR(VLOOKUP(E788,BD!$L$2:$Q$66,6,0),0)</f>
        <v>225</v>
      </c>
      <c r="I788" s="97">
        <f>IFERROR(G788*VLOOKUP($E788,BD!$L$2:$Q$66,5,0),0)</f>
        <v>283.5</v>
      </c>
      <c r="J788" s="6">
        <f t="shared" si="51"/>
        <v>2021</v>
      </c>
    </row>
    <row r="789" spans="1:10" s="9" customFormat="1" hidden="1" x14ac:dyDescent="0.25">
      <c r="A789" s="421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20">
        <v>256708</v>
      </c>
      <c r="F789" s="3" t="str">
        <f>IFERROR(VLOOKUP(E789,BD!$L$2:$Q$66,2,0),0)</f>
        <v>POWERADE ION4 FRUTA PET473X6 MOD (STICK)</v>
      </c>
      <c r="G789" s="409">
        <v>225</v>
      </c>
      <c r="H789" s="3">
        <f>+IFERROR(VLOOKUP(E789,BD!$L$2:$Q$66,6,0),0)</f>
        <v>225</v>
      </c>
      <c r="I789" s="96">
        <f>IFERROR(G789*VLOOKUP($E789,BD!$L$2:$Q$66,5,0),0)</f>
        <v>90</v>
      </c>
      <c r="J789" s="3">
        <f t="shared" si="51"/>
        <v>2021</v>
      </c>
    </row>
    <row r="790" spans="1:10" s="9" customFormat="1" ht="15.75" hidden="1" thickBot="1" x14ac:dyDescent="0.3">
      <c r="A790" s="423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75">
        <v>256709</v>
      </c>
      <c r="F790" s="8" t="str">
        <f>IFERROR(VLOOKUP(E790,BD!$L$2:$Q$66,2,0),0)</f>
        <v>POWERADE ION4 MORA AZ PET473X6 MOD(STCK)</v>
      </c>
      <c r="G790" s="450">
        <v>225</v>
      </c>
      <c r="H790" s="8">
        <f>+IFERROR(VLOOKUP(E790,BD!$L$2:$Q$66,6,0),0)</f>
        <v>225</v>
      </c>
      <c r="I790" s="98">
        <f>IFERROR(G790*VLOOKUP($E790,BD!$L$2:$Q$66,5,0),0)</f>
        <v>90</v>
      </c>
      <c r="J790" s="8">
        <f t="shared" si="51"/>
        <v>2021</v>
      </c>
    </row>
    <row r="791" spans="1:10" s="9" customFormat="1" hidden="1" x14ac:dyDescent="0.25">
      <c r="A791" s="422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9">
        <v>256682</v>
      </c>
      <c r="F791" s="6" t="str">
        <f>IFERROR(VLOOKUP(E791,BD!$L$2:$Q$66,2,0),0)</f>
        <v>TRIPACK (FT NAR+SP)PET+IK RF PFM 3L</v>
      </c>
      <c r="G791" s="464">
        <v>90</v>
      </c>
      <c r="H791" s="6">
        <f>+IFERROR(VLOOKUP(E791,BD!$L$2:$Q$66,6,0),0)</f>
        <v>90</v>
      </c>
      <c r="I791" s="97">
        <f>IFERROR(G791*VLOOKUP($E791,BD!$L$2:$Q$66,5,0),0)</f>
        <v>15.3</v>
      </c>
      <c r="J791" s="6">
        <f t="shared" si="51"/>
        <v>2021</v>
      </c>
    </row>
    <row r="792" spans="1:10" s="9" customFormat="1" hidden="1" x14ac:dyDescent="0.25">
      <c r="A792" s="421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7">
        <v>751315</v>
      </c>
      <c r="F792" s="3" t="str">
        <f>IFERROR(VLOOKUP(E792,BD!$L$2:$Q$66,2,0),0)</f>
        <v>MONSTER ENERGY 473MLX4</v>
      </c>
      <c r="G792" s="409">
        <v>420</v>
      </c>
      <c r="H792" s="3">
        <f>+IFERROR(VLOOKUP(E792,BD!$L$2:$Q$66,6,0),0)</f>
        <v>420</v>
      </c>
      <c r="I792" s="96">
        <f>IFERROR(G792*VLOOKUP($E792,BD!$L$2:$Q$66,5,0),0)</f>
        <v>176.4</v>
      </c>
      <c r="J792" s="3">
        <f t="shared" si="51"/>
        <v>2021</v>
      </c>
    </row>
    <row r="793" spans="1:10" s="9" customFormat="1" hidden="1" x14ac:dyDescent="0.25">
      <c r="A793" s="421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7">
        <v>256381</v>
      </c>
      <c r="F793" s="3" t="str">
        <f>IFERROR(VLOOKUP(E793,BD!$L$2:$Q$66,2,0),0)</f>
        <v>INCA KOLA VR 1.5LX8 - STICKER</v>
      </c>
      <c r="G793" s="409">
        <f>30*3</f>
        <v>90</v>
      </c>
      <c r="H793" s="3">
        <f>+IFERROR(VLOOKUP(E793,BD!$L$2:$Q$66,6,0),0)</f>
        <v>30</v>
      </c>
      <c r="I793" s="96">
        <f>IFERROR(G793*VLOOKUP($E793,BD!$L$2:$Q$66,5,0),0)</f>
        <v>36</v>
      </c>
      <c r="J793" s="3">
        <f t="shared" si="51"/>
        <v>2021</v>
      </c>
    </row>
    <row r="794" spans="1:10" s="9" customFormat="1" hidden="1" x14ac:dyDescent="0.25">
      <c r="A794" s="421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20">
        <v>256695</v>
      </c>
      <c r="F794" s="3" t="str">
        <f>IFERROR(VLOOKUP(E794,BD!$L$2:$Q$66,2,0),0)</f>
        <v>POWERADE 3MORA+3FRUT PET 473MLX6</v>
      </c>
      <c r="G794" s="409">
        <f>225*2</f>
        <v>450</v>
      </c>
      <c r="H794" s="3">
        <f>+IFERROR(VLOOKUP(E794,BD!$L$2:$Q$66,6,0),0)</f>
        <v>225</v>
      </c>
      <c r="I794" s="96">
        <f>IFERROR(G794*VLOOKUP($E794,BD!$L$2:$Q$66,5,0),0)</f>
        <v>189</v>
      </c>
      <c r="J794" s="3">
        <f t="shared" si="51"/>
        <v>2021</v>
      </c>
    </row>
    <row r="795" spans="1:10" s="9" customFormat="1" hidden="1" x14ac:dyDescent="0.25">
      <c r="A795" s="421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20">
        <v>256708</v>
      </c>
      <c r="F795" s="3" t="str">
        <f>IFERROR(VLOOKUP(E795,BD!$L$2:$Q$66,2,0),0)</f>
        <v>POWERADE ION4 FRUTA PET473X6 MOD (STICK)</v>
      </c>
      <c r="G795" s="409">
        <v>225</v>
      </c>
      <c r="H795" s="3">
        <f>+IFERROR(VLOOKUP(E795,BD!$L$2:$Q$66,6,0),0)</f>
        <v>225</v>
      </c>
      <c r="I795" s="96">
        <f>IFERROR(G795*VLOOKUP($E795,BD!$L$2:$Q$66,5,0),0)</f>
        <v>90</v>
      </c>
      <c r="J795" s="3">
        <f t="shared" si="51"/>
        <v>2021</v>
      </c>
    </row>
    <row r="796" spans="1:10" s="9" customFormat="1" hidden="1" x14ac:dyDescent="0.25">
      <c r="A796" s="421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20">
        <v>251633</v>
      </c>
      <c r="F796" s="3" t="str">
        <f>IFERROR(VLOOKUP(E796,BD!$L$2:$Q$66,2,0),0)</f>
        <v>SAN LUIS CON GAS PET 625MLX6</v>
      </c>
      <c r="G796" s="409">
        <v>180</v>
      </c>
      <c r="H796" s="3">
        <f>+IFERROR(VLOOKUP(E796,BD!$L$2:$Q$66,6,0),0)</f>
        <v>180</v>
      </c>
      <c r="I796" s="96">
        <f>IFERROR(G796*VLOOKUP($E796,BD!$L$2:$Q$66,5,0),0)</f>
        <v>75.599999999999994</v>
      </c>
      <c r="J796" s="3">
        <f t="shared" si="51"/>
        <v>2021</v>
      </c>
    </row>
    <row r="797" spans="1:10" s="9" customFormat="1" hidden="1" x14ac:dyDescent="0.25">
      <c r="A797" s="421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20">
        <v>251429</v>
      </c>
      <c r="F797" s="3" t="str">
        <f>IFERROR(VLOOKUP(E797,BD!$L$2:$Q$66,2,0),0)</f>
        <v>SAN LUIS SIN GAS PET2500X6 STICKER</v>
      </c>
      <c r="G797" s="409">
        <f>13*48</f>
        <v>624</v>
      </c>
      <c r="H797" s="3">
        <f>+IFERROR(VLOOKUP(E797,BD!$L$2:$Q$66,6,0),0)</f>
        <v>48</v>
      </c>
      <c r="I797" s="96">
        <f>IFERROR(G797*VLOOKUP($E797,BD!$L$2:$Q$66,5,0),0)</f>
        <v>249.60000000000002</v>
      </c>
      <c r="J797" s="3">
        <f t="shared" si="51"/>
        <v>2021</v>
      </c>
    </row>
    <row r="798" spans="1:10" s="9" customFormat="1" hidden="1" x14ac:dyDescent="0.25">
      <c r="A798" s="421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20">
        <v>256674</v>
      </c>
      <c r="F798" s="3" t="str">
        <f>IFERROR(VLOOKUP(E798,BD!$L$2:$Q$66,2,0),0)</f>
        <v>COCA-COLA PET 1.5LX2 RF</v>
      </c>
      <c r="G798" s="409">
        <f>198*8</f>
        <v>1584</v>
      </c>
      <c r="H798" s="3">
        <f>+IFERROR(VLOOKUP(E798,BD!$L$2:$Q$66,6,0),0)</f>
        <v>198</v>
      </c>
      <c r="I798" s="96">
        <f>IFERROR(G798*VLOOKUP($E798,BD!$L$2:$Q$66,5,0),0)</f>
        <v>269.28000000000003</v>
      </c>
      <c r="J798" s="3">
        <f t="shared" si="51"/>
        <v>2021</v>
      </c>
    </row>
    <row r="799" spans="1:10" s="9" customFormat="1" hidden="1" x14ac:dyDescent="0.25">
      <c r="A799" s="421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20">
        <v>251406</v>
      </c>
      <c r="F799" s="3" t="str">
        <f>IFERROR(VLOOKUP(E799,BD!$L$2:$Q$66,2,0),0)</f>
        <v>COCA-COLA SIN AZUCAR PET 1.5LX2</v>
      </c>
      <c r="G799" s="409">
        <f>198*13</f>
        <v>2574</v>
      </c>
      <c r="H799" s="3">
        <f>+IFERROR(VLOOKUP(E799,BD!$L$2:$Q$66,6,0),0)</f>
        <v>198</v>
      </c>
      <c r="I799" s="96">
        <f>IFERROR(G799*VLOOKUP($E799,BD!$L$2:$Q$66,5,0),0)</f>
        <v>437.58000000000004</v>
      </c>
      <c r="J799" s="3">
        <f t="shared" si="51"/>
        <v>2021</v>
      </c>
    </row>
    <row r="800" spans="1:10" s="9" customFormat="1" hidden="1" x14ac:dyDescent="0.25">
      <c r="A800" s="421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20">
        <v>256601</v>
      </c>
      <c r="F800" s="3" t="str">
        <f>IFERROR(VLOOKUP(E800,BD!$L$2:$Q$66,2,0),0)</f>
        <v>INCA KOLA PET 2.25LX2 RF</v>
      </c>
      <c r="G800" s="409">
        <f>162*5</f>
        <v>810</v>
      </c>
      <c r="H800" s="3">
        <f>+IFERROR(VLOOKUP(E800,BD!$L$2:$Q$66,6,0),0)</f>
        <v>162</v>
      </c>
      <c r="I800" s="96">
        <f>IFERROR(G800*VLOOKUP($E800,BD!$L$2:$Q$66,5,0),0)</f>
        <v>137.70000000000002</v>
      </c>
      <c r="J800" s="3">
        <f t="shared" si="51"/>
        <v>2021</v>
      </c>
    </row>
    <row r="801" spans="1:10" s="9" customFormat="1" hidden="1" x14ac:dyDescent="0.25">
      <c r="A801" s="421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20">
        <v>256678</v>
      </c>
      <c r="F801" s="3" t="str">
        <f>IFERROR(VLOOKUP(E801,BD!$L$2:$Q$66,2,0),0)</f>
        <v>TRIPACK (CC+IK)PFM+FT PET 3LX3 - RFNN</v>
      </c>
      <c r="G801" s="409">
        <f>90*10</f>
        <v>900</v>
      </c>
      <c r="H801" s="3">
        <f>+IFERROR(VLOOKUP(E801,BD!$L$2:$Q$66,6,0),0)</f>
        <v>90</v>
      </c>
      <c r="I801" s="96">
        <f>IFERROR(G801*VLOOKUP($E801,BD!$L$2:$Q$66,5,0),0)</f>
        <v>153</v>
      </c>
      <c r="J801" s="3">
        <f t="shared" si="51"/>
        <v>2021</v>
      </c>
    </row>
    <row r="802" spans="1:10" s="9" customFormat="1" hidden="1" x14ac:dyDescent="0.25">
      <c r="A802" s="421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20">
        <v>256488</v>
      </c>
      <c r="F802" s="3" t="str">
        <f>IFERROR(VLOOKUP(E802,BD!$L$2:$Q$66,2,0),0)</f>
        <v>INCA KOLA PET 3LX2 - RF</v>
      </c>
      <c r="G802" s="409">
        <f>120*5</f>
        <v>600</v>
      </c>
      <c r="H802" s="3">
        <f>+IFERROR(VLOOKUP(E802,BD!$L$2:$Q$66,6,0),0)</f>
        <v>120</v>
      </c>
      <c r="I802" s="96">
        <f>IFERROR(G802*VLOOKUP($E802,BD!$L$2:$Q$66,5,0),0)</f>
        <v>102.00000000000001</v>
      </c>
      <c r="J802" s="3">
        <f t="shared" si="51"/>
        <v>2021</v>
      </c>
    </row>
    <row r="803" spans="1:10" s="9" customFormat="1" hidden="1" x14ac:dyDescent="0.25">
      <c r="A803" s="421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20">
        <v>256677</v>
      </c>
      <c r="F803" s="3" t="str">
        <f>IFERROR(VLOOKUP(E803,BD!$L$2:$Q$66,2,0),0)</f>
        <v>TWO PACK CC + IK PFM 3LX2 - RFNN</v>
      </c>
      <c r="G803" s="409">
        <f>120*12</f>
        <v>1440</v>
      </c>
      <c r="H803" s="3">
        <f>+IFERROR(VLOOKUP(E803,BD!$L$2:$Q$66,6,0),0)</f>
        <v>120</v>
      </c>
      <c r="I803" s="96">
        <f>IFERROR(G803*VLOOKUP($E803,BD!$L$2:$Q$66,5,0),0)</f>
        <v>244.8</v>
      </c>
      <c r="J803" s="3">
        <f t="shared" si="51"/>
        <v>2021</v>
      </c>
    </row>
    <row r="804" spans="1:10" s="9" customFormat="1" hidden="1" x14ac:dyDescent="0.25">
      <c r="A804" s="421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20">
        <v>256383</v>
      </c>
      <c r="F804" s="3" t="str">
        <f>IFERROR(VLOOKUP(E804,BD!$L$2:$Q$66,2,0),0)</f>
        <v>COCA COLA VR 1.5LX8 - STICKER</v>
      </c>
      <c r="G804" s="409">
        <f>30*2</f>
        <v>60</v>
      </c>
      <c r="H804" s="3">
        <f>+IFERROR(VLOOKUP(E804,BD!$L$2:$Q$66,6,0),0)</f>
        <v>30</v>
      </c>
      <c r="I804" s="96">
        <f>IFERROR(G804*VLOOKUP($E804,BD!$L$2:$Q$66,5,0),0)</f>
        <v>13.8</v>
      </c>
      <c r="J804" s="3">
        <f t="shared" si="51"/>
        <v>2021</v>
      </c>
    </row>
    <row r="805" spans="1:10" s="9" customFormat="1" ht="15.75" hidden="1" thickBot="1" x14ac:dyDescent="0.3">
      <c r="A805" s="423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75">
        <v>256380</v>
      </c>
      <c r="F805" s="8" t="str">
        <f>IFERROR(VLOOKUP(E805,BD!$L$2:$Q$66,2,0),0)</f>
        <v>INCA KOLA VR 296MLX24 - STICKER</v>
      </c>
      <c r="G805" s="450">
        <v>40</v>
      </c>
      <c r="H805" s="8">
        <f>+IFERROR(VLOOKUP(E805,BD!$L$2:$Q$66,6,0),0)</f>
        <v>40</v>
      </c>
      <c r="I805" s="98">
        <f>IFERROR(G805*VLOOKUP($E805,BD!$L$2:$Q$66,5,0),0)</f>
        <v>9.2000000000000011</v>
      </c>
      <c r="J805" s="8">
        <f t="shared" si="51"/>
        <v>2021</v>
      </c>
    </row>
    <row r="806" spans="1:10" s="9" customFormat="1" hidden="1" x14ac:dyDescent="0.25">
      <c r="A806" s="422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9">
        <v>256379</v>
      </c>
      <c r="F806" s="6" t="str">
        <f>IFERROR(VLOOKUP(E806,BD!$L$2:$Q$66,2,0),0)</f>
        <v>INCA KOLA VR 625MLX12 - STICKER</v>
      </c>
      <c r="G806" s="464">
        <v>50</v>
      </c>
      <c r="H806" s="6">
        <f>+IFERROR(VLOOKUP(E806,BD!$L$2:$Q$66,6,0),0)</f>
        <v>50</v>
      </c>
      <c r="I806" s="97">
        <f>IFERROR(G806*VLOOKUP($E806,BD!$L$2:$Q$66,5,0),0)</f>
        <v>20</v>
      </c>
      <c r="J806" s="6">
        <f t="shared" si="51"/>
        <v>2021</v>
      </c>
    </row>
    <row r="807" spans="1:10" s="9" customFormat="1" hidden="1" x14ac:dyDescent="0.25">
      <c r="A807" s="421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20">
        <v>256675</v>
      </c>
      <c r="F807" s="3" t="str">
        <f>IFERROR(VLOOKUP(E807,BD!$L$2:$Q$66,2,0),0)</f>
        <v>INCA KOLA PET 1.5LX2 RF</v>
      </c>
      <c r="G807" s="409">
        <f>198*3</f>
        <v>594</v>
      </c>
      <c r="H807" s="3">
        <f>+IFERROR(VLOOKUP(E807,BD!$L$2:$Q$66,6,0),0)</f>
        <v>198</v>
      </c>
      <c r="I807" s="96">
        <f>IFERROR(G807*VLOOKUP($E807,BD!$L$2:$Q$66,5,0),0)</f>
        <v>100.98</v>
      </c>
      <c r="J807" s="3">
        <f t="shared" si="51"/>
        <v>2021</v>
      </c>
    </row>
    <row r="808" spans="1:10" s="9" customFormat="1" hidden="1" x14ac:dyDescent="0.25">
      <c r="A808" s="421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20">
        <v>256676</v>
      </c>
      <c r="F808" s="3" t="str">
        <f>IFERROR(VLOOKUP(E808,BD!$L$2:$Q$66,2,0),0)</f>
        <v>TWO PACK CC PFM 3LX2 - RFCC</v>
      </c>
      <c r="G808" s="370">
        <f>120*5</f>
        <v>600</v>
      </c>
      <c r="H808" s="3">
        <f>+IFERROR(VLOOKUP(E808,BD!$L$2:$Q$66,6,0),0)</f>
        <v>120</v>
      </c>
      <c r="I808" s="96">
        <f>IFERROR(G808*VLOOKUP($E808,BD!$L$2:$Q$66,5,0),0)</f>
        <v>102.00000000000001</v>
      </c>
      <c r="J808" s="3">
        <f t="shared" si="51"/>
        <v>2021</v>
      </c>
    </row>
    <row r="809" spans="1:10" s="9" customFormat="1" hidden="1" x14ac:dyDescent="0.25">
      <c r="A809" s="421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20">
        <v>256679</v>
      </c>
      <c r="F809" s="3" t="str">
        <f>IFERROR(VLOOKUP(E809,BD!$L$2:$Q$66,2,0),0)</f>
        <v>TRIPACK CC+IK+IK PFM 3LX3 - RFNN</v>
      </c>
      <c r="G809" s="409">
        <f>90*4</f>
        <v>360</v>
      </c>
      <c r="H809" s="3">
        <f>+IFERROR(VLOOKUP(E809,BD!$L$2:$Q$66,6,0),0)</f>
        <v>90</v>
      </c>
      <c r="I809" s="96">
        <f>IFERROR(G809*VLOOKUP($E809,BD!$L$2:$Q$66,5,0),0)</f>
        <v>61.2</v>
      </c>
      <c r="J809" s="3">
        <f t="shared" si="51"/>
        <v>2021</v>
      </c>
    </row>
    <row r="810" spans="1:10" s="9" customFormat="1" hidden="1" x14ac:dyDescent="0.25">
      <c r="A810" s="421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20">
        <v>256652</v>
      </c>
      <c r="F810" s="3" t="str">
        <f>IFERROR(VLOOKUP(E810,BD!$L$2:$Q$66,2,0),0)</f>
        <v>TRIPACK FT NAR+FT KI+SP PET 3L</v>
      </c>
      <c r="G810" s="409">
        <f>90*6</f>
        <v>540</v>
      </c>
      <c r="H810" s="3">
        <f>+IFERROR(VLOOKUP(E810,BD!$L$2:$Q$66,6,0),0)</f>
        <v>90</v>
      </c>
      <c r="I810" s="96">
        <f>IFERROR(G810*VLOOKUP($E810,BD!$L$2:$Q$66,5,0),0)</f>
        <v>91.800000000000011</v>
      </c>
      <c r="J810" s="3">
        <f t="shared" si="51"/>
        <v>2021</v>
      </c>
    </row>
    <row r="811" spans="1:10" s="9" customFormat="1" hidden="1" x14ac:dyDescent="0.25">
      <c r="A811" s="421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20">
        <v>256666</v>
      </c>
      <c r="F811" s="3" t="str">
        <f>IFERROR(VLOOKUP(E811,BD!$L$2:$Q$66,2,0),0)</f>
        <v>COCA-COLA PET 2.25LX2 RF</v>
      </c>
      <c r="G811" s="409">
        <f>162*3</f>
        <v>486</v>
      </c>
      <c r="H811" s="3">
        <f>+IFERROR(VLOOKUP(E811,BD!$L$2:$Q$66,6,0),0)</f>
        <v>162</v>
      </c>
      <c r="I811" s="96">
        <f>IFERROR(G811*VLOOKUP($E811,BD!$L$2:$Q$66,5,0),0)</f>
        <v>82.62</v>
      </c>
      <c r="J811" s="3">
        <f t="shared" si="51"/>
        <v>2021</v>
      </c>
    </row>
    <row r="812" spans="1:10" s="9" customFormat="1" hidden="1" x14ac:dyDescent="0.25">
      <c r="A812" s="421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20">
        <v>256685</v>
      </c>
      <c r="F812" s="3" t="str">
        <f>IFERROR(VLOOKUP(E812,BD!$L$2:$Q$66,2,0),0)</f>
        <v>SL S/G TAPA PLANA 1LT</v>
      </c>
      <c r="G812" s="409">
        <v>224</v>
      </c>
      <c r="H812" s="3">
        <f>+IFERROR(VLOOKUP(E812,BD!$L$2:$Q$66,6,0),0)</f>
        <v>112</v>
      </c>
      <c r="I812" s="96">
        <f>IFERROR(G812*VLOOKUP($E812,BD!$L$2:$Q$66,5,0),0)</f>
        <v>89.600000000000009</v>
      </c>
      <c r="J812" s="3">
        <f t="shared" si="51"/>
        <v>2021</v>
      </c>
    </row>
    <row r="813" spans="1:10" s="9" customFormat="1" hidden="1" x14ac:dyDescent="0.25">
      <c r="A813" s="421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20">
        <v>251406</v>
      </c>
      <c r="F813" s="3" t="str">
        <f>IFERROR(VLOOKUP(E813,BD!$L$2:$Q$66,2,0),0)</f>
        <v>COCA-COLA SIN AZUCAR PET 1.5LX2</v>
      </c>
      <c r="G813" s="409">
        <f>198*9</f>
        <v>1782</v>
      </c>
      <c r="H813" s="3">
        <f>+IFERROR(VLOOKUP(E813,BD!$L$2:$Q$66,6,0),0)</f>
        <v>198</v>
      </c>
      <c r="I813" s="96">
        <f>IFERROR(G813*VLOOKUP($E813,BD!$L$2:$Q$66,5,0),0)</f>
        <v>302.94</v>
      </c>
      <c r="J813" s="3">
        <f t="shared" si="51"/>
        <v>2021</v>
      </c>
    </row>
    <row r="814" spans="1:10" s="9" customFormat="1" hidden="1" x14ac:dyDescent="0.25">
      <c r="A814" s="421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20">
        <v>256601</v>
      </c>
      <c r="F814" s="3" t="str">
        <f>IFERROR(VLOOKUP(E814,BD!$L$2:$Q$66,2,0),0)</f>
        <v>INCA KOLA PET 2.25LX2 RF</v>
      </c>
      <c r="G814" s="409">
        <f>162*4</f>
        <v>648</v>
      </c>
      <c r="H814" s="3">
        <f>+IFERROR(VLOOKUP(E814,BD!$L$2:$Q$66,6,0),0)</f>
        <v>162</v>
      </c>
      <c r="I814" s="96">
        <f>IFERROR(G814*VLOOKUP($E814,BD!$L$2:$Q$66,5,0),0)</f>
        <v>110.16000000000001</v>
      </c>
      <c r="J814" s="3">
        <f t="shared" si="51"/>
        <v>2021</v>
      </c>
    </row>
    <row r="815" spans="1:10" s="9" customFormat="1" hidden="1" x14ac:dyDescent="0.25">
      <c r="A815" s="421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20">
        <v>256488</v>
      </c>
      <c r="F815" s="3" t="str">
        <f>IFERROR(VLOOKUP(E815,BD!$L$2:$Q$66,2,0),0)</f>
        <v>INCA KOLA PET 3LX2 - RF</v>
      </c>
      <c r="G815" s="409">
        <f>120*11</f>
        <v>1320</v>
      </c>
      <c r="H815" s="3">
        <f>+IFERROR(VLOOKUP(E815,BD!$L$2:$Q$66,6,0),0)</f>
        <v>120</v>
      </c>
      <c r="I815" s="96">
        <f>IFERROR(G815*VLOOKUP($E815,BD!$L$2:$Q$66,5,0),0)</f>
        <v>224.4</v>
      </c>
      <c r="J815" s="3">
        <f t="shared" si="51"/>
        <v>2021</v>
      </c>
    </row>
    <row r="816" spans="1:10" s="9" customFormat="1" hidden="1" x14ac:dyDescent="0.25">
      <c r="A816" s="421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20">
        <v>254853</v>
      </c>
      <c r="F816" s="3" t="str">
        <f>IFERROR(VLOOKUP(E816,BD!$L$2:$Q$66,2,0),0)</f>
        <v>INCA KOLA SIN AZUCAR PET 1.5LX2</v>
      </c>
      <c r="G816" s="409">
        <f>198*15</f>
        <v>2970</v>
      </c>
      <c r="H816" s="3">
        <f>+IFERROR(VLOOKUP(E816,BD!$L$2:$Q$66,6,0),0)</f>
        <v>198</v>
      </c>
      <c r="I816" s="96">
        <f>IFERROR(G816*VLOOKUP($E816,BD!$L$2:$Q$66,5,0),0)</f>
        <v>504.90000000000003</v>
      </c>
      <c r="J816" s="3">
        <f t="shared" si="51"/>
        <v>2021</v>
      </c>
    </row>
    <row r="817" spans="1:10" s="9" customFormat="1" hidden="1" x14ac:dyDescent="0.25">
      <c r="A817" s="421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20">
        <v>256682</v>
      </c>
      <c r="F817" s="3" t="str">
        <f>IFERROR(VLOOKUP(E817,BD!$L$2:$Q$66,2,0),0)</f>
        <v>TRIPACK (FT NAR+SP)PET+IK RF PFM 3L</v>
      </c>
      <c r="G817" s="409">
        <v>90</v>
      </c>
      <c r="H817" s="3">
        <f>+IFERROR(VLOOKUP(E817,BD!$L$2:$Q$66,6,0),0)</f>
        <v>90</v>
      </c>
      <c r="I817" s="96">
        <f>IFERROR(G817*VLOOKUP($E817,BD!$L$2:$Q$66,5,0),0)</f>
        <v>15.3</v>
      </c>
      <c r="J817" s="3">
        <f t="shared" si="51"/>
        <v>2021</v>
      </c>
    </row>
    <row r="818" spans="1:10" s="9" customFormat="1" hidden="1" x14ac:dyDescent="0.25">
      <c r="A818" s="421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20">
        <v>256617</v>
      </c>
      <c r="F818" s="3" t="str">
        <f>IFERROR(VLOOKUP(E818,BD!$L$2:$Q$66,2,0),0)</f>
        <v>TWO PACK SCHWEPPES GINGER ALE PET 1.5LX2</v>
      </c>
      <c r="G818" s="409">
        <f>198*4</f>
        <v>792</v>
      </c>
      <c r="H818" s="3">
        <f>+IFERROR(VLOOKUP(E818,BD!$L$2:$Q$66,6,0),0)</f>
        <v>198</v>
      </c>
      <c r="I818" s="96">
        <f>IFERROR(G818*VLOOKUP($E818,BD!$L$2:$Q$66,5,0),0)</f>
        <v>134.64000000000001</v>
      </c>
      <c r="J818" s="3">
        <f t="shared" si="51"/>
        <v>2021</v>
      </c>
    </row>
    <row r="819" spans="1:10" s="9" customFormat="1" ht="15.75" hidden="1" thickBot="1" x14ac:dyDescent="0.3">
      <c r="A819" s="423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75">
        <v>256652</v>
      </c>
      <c r="F819" s="8" t="str">
        <f>IFERROR(VLOOKUP(E819,BD!$L$2:$Q$66,2,0),0)</f>
        <v>TRIPACK FT NAR+FT KI+SP PET 3L</v>
      </c>
      <c r="G819" s="450">
        <f>90*16</f>
        <v>1440</v>
      </c>
      <c r="H819" s="8">
        <f>+IFERROR(VLOOKUP(E819,BD!$L$2:$Q$66,6,0),0)</f>
        <v>90</v>
      </c>
      <c r="I819" s="98">
        <f>IFERROR(G819*VLOOKUP($E819,BD!$L$2:$Q$66,5,0),0)</f>
        <v>244.8</v>
      </c>
      <c r="J819" s="8">
        <f t="shared" si="51"/>
        <v>2021</v>
      </c>
    </row>
    <row r="820" spans="1:10" s="9" customFormat="1" ht="15.75" hidden="1" thickBot="1" x14ac:dyDescent="0.3">
      <c r="A820" s="485">
        <v>44398</v>
      </c>
      <c r="B820" s="486" t="str">
        <f t="shared" si="48"/>
        <v>JULIO</v>
      </c>
      <c r="C820" s="486">
        <f t="shared" si="49"/>
        <v>30</v>
      </c>
      <c r="D820" s="487" t="str">
        <f t="shared" si="50"/>
        <v>MIÉRCOLES</v>
      </c>
      <c r="E820" s="488">
        <v>256666</v>
      </c>
      <c r="F820" s="487" t="str">
        <f>IFERROR(VLOOKUP(E820,BD!$L$2:$Q$66,2,0),0)</f>
        <v>COCA-COLA PET 2.25LX2 RF</v>
      </c>
      <c r="G820" s="489">
        <f>162*3</f>
        <v>486</v>
      </c>
      <c r="H820" s="487">
        <f>+IFERROR(VLOOKUP(E820,BD!$L$2:$Q$66,6,0),0)</f>
        <v>162</v>
      </c>
      <c r="I820" s="490">
        <f>IFERROR(G820*VLOOKUP($E820,BD!$L$2:$Q$66,5,0),0)</f>
        <v>82.62</v>
      </c>
      <c r="J820" s="487">
        <f t="shared" si="51"/>
        <v>2021</v>
      </c>
    </row>
    <row r="821" spans="1:10" s="9" customFormat="1" hidden="1" x14ac:dyDescent="0.25">
      <c r="A821" s="422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9">
        <v>256680</v>
      </c>
      <c r="F821" s="6" t="str">
        <f>IFERROR(VLOOKUP(E821,BD!$L$2:$Q$66,2,0),0)</f>
        <v>TRIPACK CC+CC+IK PFM 3LX3 - RFNN</v>
      </c>
      <c r="G821" s="464">
        <f>90*5</f>
        <v>450</v>
      </c>
      <c r="H821" s="6">
        <f>+IFERROR(VLOOKUP(E821,BD!$L$2:$Q$66,6,0),0)</f>
        <v>90</v>
      </c>
      <c r="I821" s="97">
        <f>IFERROR(G821*VLOOKUP($E821,BD!$L$2:$Q$66,5,0),0)</f>
        <v>76.5</v>
      </c>
      <c r="J821" s="6">
        <f t="shared" si="51"/>
        <v>2021</v>
      </c>
    </row>
    <row r="822" spans="1:10" s="9" customFormat="1" hidden="1" x14ac:dyDescent="0.25">
      <c r="A822" s="421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20">
        <v>256677</v>
      </c>
      <c r="F822" s="3" t="str">
        <f>IFERROR(VLOOKUP(E822,BD!$L$2:$Q$66,2,0),0)</f>
        <v>TWO PACK CC + IK PFM 3LX2 - RFNN</v>
      </c>
      <c r="G822" s="409">
        <f>120*12</f>
        <v>1440</v>
      </c>
      <c r="H822" s="3">
        <f>+IFERROR(VLOOKUP(E822,BD!$L$2:$Q$66,6,0),0)</f>
        <v>120</v>
      </c>
      <c r="I822" s="96">
        <f>IFERROR(G822*VLOOKUP($E822,BD!$L$2:$Q$66,5,0),0)</f>
        <v>244.8</v>
      </c>
      <c r="J822" s="3">
        <f t="shared" si="51"/>
        <v>2021</v>
      </c>
    </row>
    <row r="823" spans="1:10" s="9" customFormat="1" hidden="1" x14ac:dyDescent="0.25">
      <c r="A823" s="421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20">
        <v>256679</v>
      </c>
      <c r="F823" s="3" t="str">
        <f>IFERROR(VLOOKUP(E823,BD!$L$2:$Q$66,2,0),0)</f>
        <v>TRIPACK CC+IK+IK PFM 3LX3 - RFNN</v>
      </c>
      <c r="G823" s="409">
        <f>90*7</f>
        <v>630</v>
      </c>
      <c r="H823" s="3">
        <f>+IFERROR(VLOOKUP(E823,BD!$L$2:$Q$66,6,0),0)</f>
        <v>90</v>
      </c>
      <c r="I823" s="96">
        <f>IFERROR(G823*VLOOKUP($E823,BD!$L$2:$Q$66,5,0),0)</f>
        <v>107.10000000000001</v>
      </c>
      <c r="J823" s="3">
        <f t="shared" si="51"/>
        <v>2021</v>
      </c>
    </row>
    <row r="824" spans="1:10" s="9" customFormat="1" hidden="1" x14ac:dyDescent="0.25">
      <c r="A824" s="421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20">
        <v>256676</v>
      </c>
      <c r="F824" s="3" t="str">
        <f>IFERROR(VLOOKUP(E824,BD!$L$2:$Q$66,2,0),0)</f>
        <v>TWO PACK CC PFM 3LX2 - RFCC</v>
      </c>
      <c r="G824" s="370">
        <f>120*8</f>
        <v>960</v>
      </c>
      <c r="H824" s="3">
        <f>+IFERROR(VLOOKUP(E824,BD!$L$2:$Q$66,6,0),0)</f>
        <v>120</v>
      </c>
      <c r="I824" s="96">
        <f>IFERROR(G824*VLOOKUP($E824,BD!$L$2:$Q$66,5,0),0)</f>
        <v>163.20000000000002</v>
      </c>
      <c r="J824" s="3">
        <f t="shared" si="51"/>
        <v>2021</v>
      </c>
    </row>
    <row r="825" spans="1:10" s="9" customFormat="1" hidden="1" x14ac:dyDescent="0.25">
      <c r="A825" s="421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20">
        <v>256678</v>
      </c>
      <c r="F825" s="3" t="str">
        <f>IFERROR(VLOOKUP(E825,BD!$L$2:$Q$66,2,0),0)</f>
        <v>TRIPACK (CC+IK)PFM+FT PET 3LX3 - RFNN</v>
      </c>
      <c r="G825" s="409">
        <f>90*16</f>
        <v>1440</v>
      </c>
      <c r="H825" s="3">
        <f>+IFERROR(VLOOKUP(E825,BD!$L$2:$Q$66,6,0),0)</f>
        <v>90</v>
      </c>
      <c r="I825" s="96">
        <f>IFERROR(G825*VLOOKUP($E825,BD!$L$2:$Q$66,5,0),0)</f>
        <v>244.8</v>
      </c>
      <c r="J825" s="3">
        <f t="shared" si="51"/>
        <v>2021</v>
      </c>
    </row>
    <row r="826" spans="1:10" s="9" customFormat="1" hidden="1" x14ac:dyDescent="0.25">
      <c r="A826" s="421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6">
        <v>256674</v>
      </c>
      <c r="F826" s="3" t="str">
        <f>IFERROR(VLOOKUP(E826,BD!$L$2:$Q$66,2,0),0)</f>
        <v>COCA-COLA PET 1.5LX2 RF</v>
      </c>
      <c r="G826" s="409">
        <f>198*5</f>
        <v>990</v>
      </c>
      <c r="H826" s="3">
        <f>+IFERROR(VLOOKUP(E826,BD!$L$2:$Q$66,6,0),0)</f>
        <v>198</v>
      </c>
      <c r="I826" s="96">
        <f>IFERROR(G826*VLOOKUP($E826,BD!$L$2:$Q$66,5,0),0)</f>
        <v>168.3</v>
      </c>
      <c r="J826" s="3">
        <f t="shared" si="51"/>
        <v>2021</v>
      </c>
    </row>
    <row r="827" spans="1:10" s="9" customFormat="1" hidden="1" x14ac:dyDescent="0.25">
      <c r="A827" s="421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6">
        <v>256675</v>
      </c>
      <c r="F827" s="3" t="str">
        <f>IFERROR(VLOOKUP(E827,BD!$L$2:$Q$66,2,0),0)</f>
        <v>INCA KOLA PET 1.5LX2 RF</v>
      </c>
      <c r="G827" s="409">
        <v>792</v>
      </c>
      <c r="H827" s="3">
        <f>+IFERROR(VLOOKUP(E827,BD!$L$2:$Q$66,6,0),0)</f>
        <v>198</v>
      </c>
      <c r="I827" s="96">
        <f>IFERROR(G827*VLOOKUP($E827,BD!$L$2:$Q$66,5,0),0)</f>
        <v>134.64000000000001</v>
      </c>
      <c r="J827" s="3">
        <f t="shared" si="51"/>
        <v>2021</v>
      </c>
    </row>
    <row r="828" spans="1:10" s="9" customFormat="1" hidden="1" x14ac:dyDescent="0.25">
      <c r="A828" s="421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6">
        <v>256674</v>
      </c>
      <c r="F828" s="3" t="str">
        <f>IFERROR(VLOOKUP(E828,BD!$L$2:$Q$66,2,0),0)</f>
        <v>COCA-COLA PET 1.5LX2 RF</v>
      </c>
      <c r="G828" s="409">
        <f>198*11</f>
        <v>2178</v>
      </c>
      <c r="H828" s="3">
        <f>+IFERROR(VLOOKUP(E828,BD!$L$2:$Q$66,6,0),0)</f>
        <v>198</v>
      </c>
      <c r="I828" s="96">
        <f>IFERROR(G828*VLOOKUP($E828,BD!$L$2:$Q$66,5,0),0)</f>
        <v>370.26000000000005</v>
      </c>
      <c r="J828" s="3">
        <f t="shared" si="51"/>
        <v>2021</v>
      </c>
    </row>
    <row r="829" spans="1:10" s="9" customFormat="1" hidden="1" x14ac:dyDescent="0.25">
      <c r="A829" s="421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6">
        <v>254853</v>
      </c>
      <c r="F829" s="3" t="str">
        <f>IFERROR(VLOOKUP(E829,BD!$L$2:$Q$66,2,0),0)</f>
        <v>INCA KOLA SIN AZUCAR PET 1.5LX2</v>
      </c>
      <c r="G829" s="409">
        <f>198*10</f>
        <v>1980</v>
      </c>
      <c r="H829" s="3">
        <f>+IFERROR(VLOOKUP(E829,BD!$L$2:$Q$66,6,0),0)</f>
        <v>198</v>
      </c>
      <c r="I829" s="96">
        <f>IFERROR(G829*VLOOKUP($E829,BD!$L$2:$Q$66,5,0),0)</f>
        <v>336.6</v>
      </c>
      <c r="J829" s="3">
        <f t="shared" si="51"/>
        <v>2021</v>
      </c>
    </row>
    <row r="830" spans="1:10" s="9" customFormat="1" hidden="1" x14ac:dyDescent="0.25">
      <c r="A830" s="421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6">
        <v>251406</v>
      </c>
      <c r="F830" s="3" t="str">
        <f>IFERROR(VLOOKUP(E830,BD!$L$2:$Q$66,2,0),0)</f>
        <v>COCA-COLA SIN AZUCAR PET 1.5LX2</v>
      </c>
      <c r="G830" s="409">
        <f>198*12</f>
        <v>2376</v>
      </c>
      <c r="H830" s="3">
        <f>+IFERROR(VLOOKUP(E830,BD!$L$2:$Q$66,6,0),0)</f>
        <v>198</v>
      </c>
      <c r="I830" s="96">
        <f>IFERROR(G830*VLOOKUP($E830,BD!$L$2:$Q$66,5,0),0)</f>
        <v>403.92</v>
      </c>
      <c r="J830" s="3">
        <f t="shared" si="51"/>
        <v>2021</v>
      </c>
    </row>
    <row r="831" spans="1:10" s="9" customFormat="1" hidden="1" x14ac:dyDescent="0.25">
      <c r="A831" s="421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20">
        <v>256678</v>
      </c>
      <c r="F831" s="3" t="str">
        <f>IFERROR(VLOOKUP(E831,BD!$L$2:$Q$66,2,0),0)</f>
        <v>TRIPACK (CC+IK)PFM+FT PET 3LX3 - RFNN</v>
      </c>
      <c r="G831" s="409">
        <f>90*48</f>
        <v>4320</v>
      </c>
      <c r="H831" s="3">
        <f>+IFERROR(VLOOKUP(E831,BD!$L$2:$Q$66,6,0),0)</f>
        <v>90</v>
      </c>
      <c r="I831" s="96">
        <f>IFERROR(G831*VLOOKUP($E831,BD!$L$2:$Q$66,5,0),0)</f>
        <v>734.40000000000009</v>
      </c>
      <c r="J831" s="3">
        <f t="shared" si="51"/>
        <v>2021</v>
      </c>
    </row>
    <row r="832" spans="1:10" s="9" customFormat="1" hidden="1" x14ac:dyDescent="0.25">
      <c r="A832" s="421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20">
        <v>251429</v>
      </c>
      <c r="F832" s="3" t="str">
        <f>IFERROR(VLOOKUP(E832,BD!$L$2:$Q$66,2,0),0)</f>
        <v>SAN LUIS SIN GAS PET2500X6 STICKER</v>
      </c>
      <c r="G832" s="409">
        <f>48*12</f>
        <v>576</v>
      </c>
      <c r="H832" s="3">
        <f>+IFERROR(VLOOKUP(E832,BD!$L$2:$Q$66,6,0),0)</f>
        <v>48</v>
      </c>
      <c r="I832" s="96">
        <f>IFERROR(G832*VLOOKUP($E832,BD!$L$2:$Q$66,5,0),0)</f>
        <v>230.4</v>
      </c>
      <c r="J832" s="3">
        <f t="shared" si="51"/>
        <v>2021</v>
      </c>
    </row>
    <row r="833" spans="1:10" s="9" customFormat="1" hidden="1" x14ac:dyDescent="0.25">
      <c r="A833" s="421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20">
        <v>256381</v>
      </c>
      <c r="F833" s="3" t="str">
        <f>IFERROR(VLOOKUP(E833,BD!$L$2:$Q$66,2,0),0)</f>
        <v>INCA KOLA VR 1.5LX8 - STICKER</v>
      </c>
      <c r="G833" s="409">
        <v>60</v>
      </c>
      <c r="H833" s="3">
        <f>+IFERROR(VLOOKUP(E833,BD!$L$2:$Q$66,6,0),0)</f>
        <v>30</v>
      </c>
      <c r="I833" s="96">
        <f>IFERROR(G833*VLOOKUP($E833,BD!$L$2:$Q$66,5,0),0)</f>
        <v>24</v>
      </c>
      <c r="J833" s="3">
        <f t="shared" si="51"/>
        <v>2021</v>
      </c>
    </row>
    <row r="834" spans="1:10" s="9" customFormat="1" hidden="1" x14ac:dyDescent="0.25">
      <c r="A834" s="421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20">
        <v>256708</v>
      </c>
      <c r="F834" s="3" t="str">
        <f>IFERROR(VLOOKUP(E834,BD!$L$2:$Q$66,2,0),0)</f>
        <v>POWERADE ION4 FRUTA PET473X6 MOD (STICK)</v>
      </c>
      <c r="G834" s="409">
        <f>225*4</f>
        <v>900</v>
      </c>
      <c r="H834" s="3">
        <f>+IFERROR(VLOOKUP(E834,BD!$L$2:$Q$66,6,0),0)</f>
        <v>225</v>
      </c>
      <c r="I834" s="96">
        <f>IFERROR(G834*VLOOKUP($E834,BD!$L$2:$Q$66,5,0),0)</f>
        <v>360</v>
      </c>
      <c r="J834" s="3">
        <f t="shared" si="51"/>
        <v>2021</v>
      </c>
    </row>
    <row r="835" spans="1:10" s="9" customFormat="1" ht="15.75" hidden="1" thickBot="1" x14ac:dyDescent="0.3">
      <c r="A835" s="423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75">
        <v>256709</v>
      </c>
      <c r="F835" s="8" t="str">
        <f>IFERROR(VLOOKUP(E835,BD!$L$2:$Q$66,2,0),0)</f>
        <v>POWERADE ION4 MORA AZ PET473X6 MOD(STCK)</v>
      </c>
      <c r="G835" s="450">
        <v>225</v>
      </c>
      <c r="H835" s="8">
        <f>+IFERROR(VLOOKUP(E835,BD!$L$2:$Q$66,6,0),0)</f>
        <v>225</v>
      </c>
      <c r="I835" s="98">
        <f>IFERROR(G835*VLOOKUP($E835,BD!$L$2:$Q$66,5,0),0)</f>
        <v>90</v>
      </c>
      <c r="J835" s="8">
        <f t="shared" si="51"/>
        <v>2021</v>
      </c>
    </row>
    <row r="836" spans="1:10" s="9" customFormat="1" hidden="1" x14ac:dyDescent="0.25">
      <c r="A836" s="422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9">
        <v>256488</v>
      </c>
      <c r="F836" s="6" t="str">
        <f>IFERROR(VLOOKUP(E836,BD!$L$2:$Q$66,2,0),0)</f>
        <v>INCA KOLA PET 3LX2 - RF</v>
      </c>
      <c r="G836" s="464">
        <v>120</v>
      </c>
      <c r="H836" s="6">
        <f>+IFERROR(VLOOKUP(E836,BD!$L$2:$Q$66,6,0),0)</f>
        <v>120</v>
      </c>
      <c r="I836" s="97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hidden="1" x14ac:dyDescent="0.25">
      <c r="A837" s="421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20">
        <v>751468</v>
      </c>
      <c r="F837" s="3" t="str">
        <f>IFERROR(VLOOKUP(E837,BD!$L$2:$Q$66,2,0),0)</f>
        <v>MONSTER ENERGY ULTRA 473MLX4</v>
      </c>
      <c r="G837" s="409">
        <f>420*6</f>
        <v>2520</v>
      </c>
      <c r="H837" s="3">
        <f>+IFERROR(VLOOKUP(E837,BD!$L$2:$Q$66,6,0),0)</f>
        <v>420</v>
      </c>
      <c r="I837" s="96">
        <f>IFERROR(G837*VLOOKUP($E837,BD!$L$2:$Q$66,5,0),0)</f>
        <v>1058.3999999999999</v>
      </c>
      <c r="J837" s="3">
        <f t="shared" si="55"/>
        <v>2021</v>
      </c>
    </row>
    <row r="838" spans="1:10" s="9" customFormat="1" ht="15.75" hidden="1" thickBot="1" x14ac:dyDescent="0.3">
      <c r="A838" s="423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75">
        <v>751315</v>
      </c>
      <c r="F838" s="8" t="str">
        <f>IFERROR(VLOOKUP(E838,BD!$L$2:$Q$66,2,0),0)</f>
        <v>MONSTER ENERGY 473MLX4</v>
      </c>
      <c r="G838" s="450">
        <f>420*2</f>
        <v>840</v>
      </c>
      <c r="H838" s="8">
        <f>+IFERROR(VLOOKUP(E838,BD!$L$2:$Q$66,6,0),0)</f>
        <v>420</v>
      </c>
      <c r="I838" s="98">
        <f>IFERROR(G838*VLOOKUP($E838,BD!$L$2:$Q$66,5,0),0)</f>
        <v>352.8</v>
      </c>
      <c r="J838" s="8">
        <f t="shared" si="55"/>
        <v>2021</v>
      </c>
    </row>
    <row r="839" spans="1:10" s="9" customFormat="1" hidden="1" x14ac:dyDescent="0.25">
      <c r="A839" s="422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9">
        <v>256695</v>
      </c>
      <c r="F839" s="6" t="str">
        <f>IFERROR(VLOOKUP(E839,BD!$L$2:$Q$66,2,0),0)</f>
        <v>POWERADE 3MORA+3FRUT PET 473MLX6</v>
      </c>
      <c r="G839" s="464">
        <f>225*8</f>
        <v>1800</v>
      </c>
      <c r="H839" s="6">
        <f>+IFERROR(VLOOKUP(E839,BD!$L$2:$Q$66,6,0),0)</f>
        <v>225</v>
      </c>
      <c r="I839" s="97">
        <f>IFERROR(G839*VLOOKUP($E839,BD!$L$2:$Q$66,5,0),0)</f>
        <v>756</v>
      </c>
      <c r="J839" s="6">
        <f t="shared" si="55"/>
        <v>2021</v>
      </c>
    </row>
    <row r="840" spans="1:10" s="9" customFormat="1" hidden="1" x14ac:dyDescent="0.25">
      <c r="A840" s="421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20">
        <v>256675</v>
      </c>
      <c r="F840" s="3" t="str">
        <f>IFERROR(VLOOKUP(E840,BD!$L$2:$Q$66,2,0),0)</f>
        <v>INCA KOLA PET 1.5LX2 RF</v>
      </c>
      <c r="G840" s="409">
        <f>198*3</f>
        <v>594</v>
      </c>
      <c r="H840" s="3">
        <f>+IFERROR(VLOOKUP(E840,BD!$L$2:$Q$66,6,0),0)</f>
        <v>198</v>
      </c>
      <c r="I840" s="96">
        <f>IFERROR(G840*VLOOKUP($E840,BD!$L$2:$Q$66,5,0),0)</f>
        <v>100.98</v>
      </c>
      <c r="J840" s="3">
        <f t="shared" si="55"/>
        <v>2021</v>
      </c>
    </row>
    <row r="841" spans="1:10" s="9" customFormat="1" hidden="1" x14ac:dyDescent="0.25">
      <c r="A841" s="421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20">
        <v>256380</v>
      </c>
      <c r="F841" s="3" t="str">
        <f>IFERROR(VLOOKUP(E841,BD!$L$2:$Q$66,2,0),0)</f>
        <v>INCA KOLA VR 296MLX24 - STICKER</v>
      </c>
      <c r="G841" s="409">
        <v>40</v>
      </c>
      <c r="H841" s="3">
        <f>+IFERROR(VLOOKUP(E841,BD!$L$2:$Q$66,6,0),0)</f>
        <v>40</v>
      </c>
      <c r="I841" s="96">
        <f>IFERROR(G841*VLOOKUP($E841,BD!$L$2:$Q$66,5,0),0)</f>
        <v>9.2000000000000011</v>
      </c>
      <c r="J841" s="3">
        <f t="shared" si="55"/>
        <v>2021</v>
      </c>
    </row>
    <row r="842" spans="1:10" s="9" customFormat="1" hidden="1" x14ac:dyDescent="0.25">
      <c r="A842" s="421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20">
        <v>256677</v>
      </c>
      <c r="F842" s="3" t="str">
        <f>IFERROR(VLOOKUP(E842,BD!$L$2:$Q$66,2,0),0)</f>
        <v>TWO PACK CC + IK PFM 3LX2 - RFNN</v>
      </c>
      <c r="G842" s="409">
        <v>720</v>
      </c>
      <c r="H842" s="3">
        <f>+IFERROR(VLOOKUP(E842,BD!$L$2:$Q$66,6,0),0)</f>
        <v>120</v>
      </c>
      <c r="I842" s="96">
        <f>IFERROR(G842*VLOOKUP($E842,BD!$L$2:$Q$66,5,0),0)</f>
        <v>122.4</v>
      </c>
      <c r="J842" s="3">
        <f t="shared" si="55"/>
        <v>2021</v>
      </c>
    </row>
    <row r="843" spans="1:10" s="9" customFormat="1" hidden="1" x14ac:dyDescent="0.25">
      <c r="A843" s="421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7">
        <v>256652</v>
      </c>
      <c r="F843" s="3" t="str">
        <f>IFERROR(VLOOKUP(E843,BD!$L$2:$Q$66,2,0),0)</f>
        <v>TRIPACK FT NAR+FT KI+SP PET 3L</v>
      </c>
      <c r="G843" s="409">
        <v>180</v>
      </c>
      <c r="H843" s="3">
        <f>+IFERROR(VLOOKUP(E843,BD!$L$2:$Q$66,6,0),0)</f>
        <v>90</v>
      </c>
      <c r="I843" s="96">
        <f>IFERROR(G843*VLOOKUP($E843,BD!$L$2:$Q$66,5,0),0)</f>
        <v>30.6</v>
      </c>
      <c r="J843" s="3">
        <f t="shared" si="55"/>
        <v>2021</v>
      </c>
    </row>
    <row r="844" spans="1:10" s="9" customFormat="1" hidden="1" x14ac:dyDescent="0.25">
      <c r="A844" s="421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7">
        <v>256383</v>
      </c>
      <c r="F844" s="3" t="str">
        <f>IFERROR(VLOOKUP(E844,BD!$L$2:$Q$66,2,0),0)</f>
        <v>COCA COLA VR 1.5LX8 - STICKER</v>
      </c>
      <c r="G844" s="409">
        <v>30</v>
      </c>
      <c r="H844" s="3">
        <f>+IFERROR(VLOOKUP(E844,BD!$L$2:$Q$66,6,0),0)</f>
        <v>30</v>
      </c>
      <c r="I844" s="96">
        <f>IFERROR(G844*VLOOKUP($E844,BD!$L$2:$Q$66,5,0),0)</f>
        <v>6.9</v>
      </c>
      <c r="J844" s="3">
        <f t="shared" si="55"/>
        <v>2021</v>
      </c>
    </row>
    <row r="845" spans="1:10" s="9" customFormat="1" hidden="1" x14ac:dyDescent="0.25">
      <c r="A845" s="421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7">
        <v>256382</v>
      </c>
      <c r="F845" s="3" t="str">
        <f>IFERROR(VLOOKUP(E845,BD!$L$2:$Q$66,2,0),0)</f>
        <v>COCA COLA VR 296MLX24 - STICKER</v>
      </c>
      <c r="G845" s="409">
        <v>40</v>
      </c>
      <c r="H845" s="3">
        <f>+IFERROR(VLOOKUP(E845,BD!$L$2:$Q$66,6,0),0)</f>
        <v>40</v>
      </c>
      <c r="I845" s="96">
        <f>IFERROR(G845*VLOOKUP($E845,BD!$L$2:$Q$66,5,0),0)</f>
        <v>9.2000000000000011</v>
      </c>
      <c r="J845" s="3">
        <f t="shared" si="55"/>
        <v>2021</v>
      </c>
    </row>
    <row r="846" spans="1:10" s="9" customFormat="1" hidden="1" x14ac:dyDescent="0.25">
      <c r="A846" s="421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7">
        <v>256379</v>
      </c>
      <c r="F846" s="3" t="str">
        <f>IFERROR(VLOOKUP(E846,BD!$L$2:$Q$66,2,0),0)</f>
        <v>INCA KOLA VR 625MLX12 - STICKER</v>
      </c>
      <c r="G846" s="409">
        <f>50*4</f>
        <v>200</v>
      </c>
      <c r="H846" s="3">
        <f>+IFERROR(VLOOKUP(E846,BD!$L$2:$Q$66,6,0),0)</f>
        <v>50</v>
      </c>
      <c r="I846" s="96">
        <f>IFERROR(G846*VLOOKUP($E846,BD!$L$2:$Q$66,5,0),0)</f>
        <v>80</v>
      </c>
      <c r="J846" s="3">
        <f t="shared" si="55"/>
        <v>2021</v>
      </c>
    </row>
    <row r="847" spans="1:10" s="9" customFormat="1" hidden="1" x14ac:dyDescent="0.25">
      <c r="A847" s="421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7">
        <v>251429</v>
      </c>
      <c r="F847" s="3" t="str">
        <f>IFERROR(VLOOKUP(E847,BD!$L$2:$Q$66,2,0),0)</f>
        <v>SAN LUIS SIN GAS PET2500X6 STICKER</v>
      </c>
      <c r="G847" s="409">
        <f>48*2</f>
        <v>96</v>
      </c>
      <c r="H847" s="3">
        <f>+IFERROR(VLOOKUP(E847,BD!$L$2:$Q$66,6,0),0)</f>
        <v>48</v>
      </c>
      <c r="I847" s="96">
        <f>IFERROR(G847*VLOOKUP($E847,BD!$L$2:$Q$66,5,0),0)</f>
        <v>38.400000000000006</v>
      </c>
      <c r="J847" s="3">
        <f t="shared" si="55"/>
        <v>2021</v>
      </c>
    </row>
    <row r="848" spans="1:10" s="9" customFormat="1" hidden="1" x14ac:dyDescent="0.25">
      <c r="A848" s="421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7">
        <v>256685</v>
      </c>
      <c r="F848" s="3" t="str">
        <f>IFERROR(VLOOKUP(E848,BD!$L$2:$Q$66,2,0),0)</f>
        <v>SL S/G TAPA PLANA 1LT</v>
      </c>
      <c r="G848" s="409">
        <v>112</v>
      </c>
      <c r="H848" s="3">
        <f>+IFERROR(VLOOKUP(E848,BD!$L$2:$Q$66,6,0),0)</f>
        <v>112</v>
      </c>
      <c r="I848" s="96">
        <f>IFERROR(G848*VLOOKUP($E848,BD!$L$2:$Q$66,5,0),0)</f>
        <v>44.800000000000004</v>
      </c>
      <c r="J848" s="3">
        <f t="shared" si="55"/>
        <v>2021</v>
      </c>
    </row>
    <row r="849" spans="1:10" s="9" customFormat="1" hidden="1" x14ac:dyDescent="0.25">
      <c r="A849" s="421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7">
        <v>251406</v>
      </c>
      <c r="F849" s="3" t="str">
        <f>IFERROR(VLOOKUP(E849,BD!$L$2:$Q$66,2,0),0)</f>
        <v>COCA-COLA SIN AZUCAR PET 1.5LX2</v>
      </c>
      <c r="G849" s="409">
        <f>198*7</f>
        <v>1386</v>
      </c>
      <c r="H849" s="3">
        <f>+IFERROR(VLOOKUP(E849,BD!$L$2:$Q$66,6,0),0)</f>
        <v>198</v>
      </c>
      <c r="I849" s="96">
        <f>IFERROR(G849*VLOOKUP($E849,BD!$L$2:$Q$66,5,0),0)</f>
        <v>235.62</v>
      </c>
      <c r="J849" s="3">
        <f t="shared" si="55"/>
        <v>2021</v>
      </c>
    </row>
    <row r="850" spans="1:10" s="9" customFormat="1" hidden="1" x14ac:dyDescent="0.25">
      <c r="A850" s="421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7">
        <v>254853</v>
      </c>
      <c r="F850" s="3" t="str">
        <f>IFERROR(VLOOKUP(E850,BD!$L$2:$Q$66,2,0),0)</f>
        <v>INCA KOLA SIN AZUCAR PET 1.5LX2</v>
      </c>
      <c r="G850" s="409">
        <f>198*5</f>
        <v>990</v>
      </c>
      <c r="H850" s="3">
        <f>+IFERROR(VLOOKUP(E850,BD!$L$2:$Q$66,6,0),0)</f>
        <v>198</v>
      </c>
      <c r="I850" s="96">
        <f>IFERROR(G850*VLOOKUP($E850,BD!$L$2:$Q$66,5,0),0)</f>
        <v>168.3</v>
      </c>
      <c r="J850" s="3">
        <f t="shared" si="55"/>
        <v>2021</v>
      </c>
    </row>
    <row r="851" spans="1:10" s="9" customFormat="1" hidden="1" x14ac:dyDescent="0.25">
      <c r="A851" s="421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7">
        <v>256616</v>
      </c>
      <c r="F851" s="3" t="str">
        <f>IFERROR(VLOOKUP(E851,BD!$L$2:$Q$66,2,0),0)</f>
        <v>TWO PACK SCHWEPPES CITRUS PET 1.5LX2</v>
      </c>
      <c r="G851" s="409">
        <f>198*10</f>
        <v>1980</v>
      </c>
      <c r="H851" s="3">
        <f>+IFERROR(VLOOKUP(E851,BD!$L$2:$Q$66,6,0),0)</f>
        <v>198</v>
      </c>
      <c r="I851" s="96">
        <f>IFERROR(G851*VLOOKUP($E851,BD!$L$2:$Q$66,5,0),0)</f>
        <v>336.6</v>
      </c>
      <c r="J851" s="3">
        <f t="shared" si="55"/>
        <v>2021</v>
      </c>
    </row>
    <row r="852" spans="1:10" s="9" customFormat="1" hidden="1" x14ac:dyDescent="0.25">
      <c r="A852" s="421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7">
        <v>256666</v>
      </c>
      <c r="F852" s="3" t="str">
        <f>IFERROR(VLOOKUP(E852,BD!$L$2:$Q$66,2,0),0)</f>
        <v>COCA-COLA PET 2.25LX2 RF</v>
      </c>
      <c r="G852" s="409">
        <v>162</v>
      </c>
      <c r="H852" s="3">
        <f>+IFERROR(VLOOKUP(E852,BD!$L$2:$Q$66,6,0),0)</f>
        <v>162</v>
      </c>
      <c r="I852" s="96">
        <f>IFERROR(G852*VLOOKUP($E852,BD!$L$2:$Q$66,5,0),0)</f>
        <v>27.540000000000003</v>
      </c>
      <c r="J852" s="3">
        <f t="shared" si="55"/>
        <v>2021</v>
      </c>
    </row>
    <row r="853" spans="1:10" s="9" customFormat="1" ht="15.75" hidden="1" thickBot="1" x14ac:dyDescent="0.3">
      <c r="A853" s="423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9">
        <v>256488</v>
      </c>
      <c r="F853" s="8" t="str">
        <f>IFERROR(VLOOKUP(E853,BD!$L$2:$Q$66,2,0),0)</f>
        <v>INCA KOLA PET 3LX2 - RF</v>
      </c>
      <c r="G853" s="450">
        <f>120*17</f>
        <v>2040</v>
      </c>
      <c r="H853" s="8">
        <f>+IFERROR(VLOOKUP(E853,BD!$L$2:$Q$66,6,0),0)</f>
        <v>120</v>
      </c>
      <c r="I853" s="98">
        <f>IFERROR(G853*VLOOKUP($E853,BD!$L$2:$Q$66,5,0),0)</f>
        <v>346.8</v>
      </c>
      <c r="J853" s="8">
        <f t="shared" si="55"/>
        <v>2021</v>
      </c>
    </row>
    <row r="854" spans="1:10" s="9" customFormat="1" hidden="1" x14ac:dyDescent="0.25">
      <c r="A854" s="422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63">
        <v>256675</v>
      </c>
      <c r="F854" s="6" t="str">
        <f>IFERROR(VLOOKUP(E854,BD!$L$2:$Q$66,2,0),0)</f>
        <v>INCA KOLA PET 1.5LX2 RF</v>
      </c>
      <c r="G854" s="464">
        <f>198*18</f>
        <v>3564</v>
      </c>
      <c r="H854" s="6">
        <f>+IFERROR(VLOOKUP(E854,BD!$L$2:$Q$66,6,0),0)</f>
        <v>198</v>
      </c>
      <c r="I854" s="97">
        <f>IFERROR(G854*VLOOKUP($E854,BD!$L$2:$Q$66,5,0),0)</f>
        <v>605.88</v>
      </c>
      <c r="J854" s="6">
        <f t="shared" si="55"/>
        <v>2021</v>
      </c>
    </row>
    <row r="855" spans="1:10" s="9" customFormat="1" hidden="1" x14ac:dyDescent="0.25">
      <c r="A855" s="421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7">
        <v>256652</v>
      </c>
      <c r="F855" s="3" t="str">
        <f>IFERROR(VLOOKUP(E855,BD!$L$2:$Q$66,2,0),0)</f>
        <v>TRIPACK FT NAR+FT KI+SP PET 3L</v>
      </c>
      <c r="G855" s="409">
        <f>90*16</f>
        <v>1440</v>
      </c>
      <c r="H855" s="3">
        <f>+IFERROR(VLOOKUP(E855,BD!$L$2:$Q$66,6,0),0)</f>
        <v>90</v>
      </c>
      <c r="I855" s="96">
        <f>IFERROR(G855*VLOOKUP($E855,BD!$L$2:$Q$66,5,0),0)</f>
        <v>244.8</v>
      </c>
      <c r="J855" s="3">
        <f t="shared" si="55"/>
        <v>2021</v>
      </c>
    </row>
    <row r="856" spans="1:10" s="9" customFormat="1" hidden="1" x14ac:dyDescent="0.25">
      <c r="A856" s="421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7">
        <v>256677</v>
      </c>
      <c r="F856" s="3" t="str">
        <f>IFERROR(VLOOKUP(E856,BD!$L$2:$Q$66,2,0),0)</f>
        <v>TWO PACK CC + IK PFM 3LX2 - RFNN</v>
      </c>
      <c r="G856" s="409">
        <f>120*10</f>
        <v>1200</v>
      </c>
      <c r="H856" s="3">
        <f>+IFERROR(VLOOKUP(E856,BD!$L$2:$Q$66,6,0),0)</f>
        <v>120</v>
      </c>
      <c r="I856" s="96">
        <f>IFERROR(G856*VLOOKUP($E856,BD!$L$2:$Q$66,5,0),0)</f>
        <v>204.00000000000003</v>
      </c>
      <c r="J856" s="3">
        <f t="shared" si="55"/>
        <v>2021</v>
      </c>
    </row>
    <row r="857" spans="1:10" s="9" customFormat="1" hidden="1" x14ac:dyDescent="0.25">
      <c r="A857" s="421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7">
        <v>256679</v>
      </c>
      <c r="F857" s="3" t="str">
        <f>IFERROR(VLOOKUP(E857,BD!$L$2:$Q$66,2,0),0)</f>
        <v>TRIPACK CC+IK+IK PFM 3LX3 - RFNN</v>
      </c>
      <c r="G857" s="409">
        <f>90*4</f>
        <v>360</v>
      </c>
      <c r="H857" s="3">
        <f>+IFERROR(VLOOKUP(E857,BD!$L$2:$Q$66,6,0),0)</f>
        <v>90</v>
      </c>
      <c r="I857" s="96">
        <f>IFERROR(G857*VLOOKUP($E857,BD!$L$2:$Q$66,5,0),0)</f>
        <v>61.2</v>
      </c>
      <c r="J857" s="3">
        <f t="shared" si="55"/>
        <v>2021</v>
      </c>
    </row>
    <row r="858" spans="1:10" s="9" customFormat="1" hidden="1" x14ac:dyDescent="0.25">
      <c r="A858" s="421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7">
        <v>256678</v>
      </c>
      <c r="F858" s="3" t="str">
        <f>IFERROR(VLOOKUP(E858,BD!$L$2:$Q$66,2,0),0)</f>
        <v>TRIPACK (CC+IK)PFM+FT PET 3LX3 - RFNN</v>
      </c>
      <c r="G858" s="409">
        <f>90*4</f>
        <v>360</v>
      </c>
      <c r="H858" s="3">
        <f>+IFERROR(VLOOKUP(E858,BD!$L$2:$Q$66,6,0),0)</f>
        <v>90</v>
      </c>
      <c r="I858" s="96">
        <f>IFERROR(G858*VLOOKUP($E858,BD!$L$2:$Q$66,5,0),0)</f>
        <v>61.2</v>
      </c>
      <c r="J858" s="3">
        <f t="shared" si="55"/>
        <v>2021</v>
      </c>
    </row>
    <row r="859" spans="1:10" s="9" customFormat="1" hidden="1" x14ac:dyDescent="0.25">
      <c r="A859" s="480">
        <v>44400</v>
      </c>
      <c r="B859" s="430" t="str">
        <f t="shared" si="52"/>
        <v>JULIO</v>
      </c>
      <c r="C859" s="430">
        <f t="shared" si="53"/>
        <v>30</v>
      </c>
      <c r="D859" s="102" t="str">
        <f t="shared" si="54"/>
        <v>VIERNES</v>
      </c>
      <c r="E859" s="431">
        <v>256601</v>
      </c>
      <c r="F859" s="102" t="str">
        <f>IFERROR(VLOOKUP(E859,BD!$L$2:$Q$66,2,0),0)</f>
        <v>INCA KOLA PET 2.25LX2 RF</v>
      </c>
      <c r="G859" s="409">
        <v>162</v>
      </c>
      <c r="H859" s="3">
        <f>+IFERROR(VLOOKUP(E859,BD!$L$2:$Q$66,6,0),0)</f>
        <v>162</v>
      </c>
      <c r="I859" s="96">
        <f>IFERROR(G859*VLOOKUP($E859,BD!$L$2:$Q$66,5,0),0)</f>
        <v>27.540000000000003</v>
      </c>
      <c r="J859" s="102">
        <f t="shared" si="55"/>
        <v>2021</v>
      </c>
    </row>
    <row r="860" spans="1:10" s="9" customFormat="1" hidden="1" x14ac:dyDescent="0.25">
      <c r="A860" s="421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7">
        <v>256680</v>
      </c>
      <c r="F860" s="3" t="str">
        <f>IFERROR(VLOOKUP(E860,BD!$L$2:$Q$66,2,0),0)</f>
        <v>TRIPACK CC+CC+IK PFM 3LX3 - RFNN</v>
      </c>
      <c r="G860" s="409">
        <f>90*6</f>
        <v>540</v>
      </c>
      <c r="H860" s="3">
        <f>+IFERROR(VLOOKUP(E860,BD!$L$2:$Q$66,6,0),0)</f>
        <v>90</v>
      </c>
      <c r="I860" s="96">
        <f>IFERROR(G860*VLOOKUP($E860,BD!$L$2:$Q$66,5,0),0)</f>
        <v>91.800000000000011</v>
      </c>
      <c r="J860" s="3">
        <f t="shared" si="55"/>
        <v>2021</v>
      </c>
    </row>
    <row r="861" spans="1:10" s="9" customFormat="1" hidden="1" x14ac:dyDescent="0.25">
      <c r="A861" s="421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7">
        <v>256682</v>
      </c>
      <c r="F861" s="3" t="str">
        <f>IFERROR(VLOOKUP(E861,BD!$L$2:$Q$66,2,0),0)</f>
        <v>TRIPACK (FT NAR+SP)PET+IK RF PFM 3L</v>
      </c>
      <c r="G861" s="409">
        <f>90*8</f>
        <v>720</v>
      </c>
      <c r="H861" s="3">
        <f>+IFERROR(VLOOKUP(E861,BD!$L$2:$Q$66,6,0),0)</f>
        <v>90</v>
      </c>
      <c r="I861" s="96">
        <f>IFERROR(G861*VLOOKUP($E861,BD!$L$2:$Q$66,5,0),0)</f>
        <v>122.4</v>
      </c>
      <c r="J861" s="3">
        <f t="shared" si="55"/>
        <v>2021</v>
      </c>
    </row>
    <row r="862" spans="1:10" s="9" customFormat="1" hidden="1" x14ac:dyDescent="0.25">
      <c r="A862" s="421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7">
        <v>251633</v>
      </c>
      <c r="F862" s="3" t="str">
        <f>IFERROR(VLOOKUP(E862,BD!$L$2:$Q$66,2,0),0)</f>
        <v>SAN LUIS CON GAS PET 625MLX6</v>
      </c>
      <c r="G862" s="409">
        <f>180*2</f>
        <v>360</v>
      </c>
      <c r="H862" s="3">
        <f>+IFERROR(VLOOKUP(E862,BD!$L$2:$Q$66,6,0),0)</f>
        <v>180</v>
      </c>
      <c r="I862" s="96">
        <f>IFERROR(G862*VLOOKUP($E862,BD!$L$2:$Q$66,5,0),0)</f>
        <v>151.19999999999999</v>
      </c>
      <c r="J862" s="3">
        <f t="shared" si="55"/>
        <v>2021</v>
      </c>
    </row>
    <row r="863" spans="1:10" s="9" customFormat="1" hidden="1" x14ac:dyDescent="0.25">
      <c r="A863" s="421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7">
        <v>256695</v>
      </c>
      <c r="F863" s="3" t="str">
        <f>IFERROR(VLOOKUP(E863,BD!$L$2:$Q$66,2,0),0)</f>
        <v>POWERADE 3MORA+3FRUT PET 473MLX6</v>
      </c>
      <c r="G863" s="409">
        <f>225*20</f>
        <v>4500</v>
      </c>
      <c r="H863" s="3">
        <f>+IFERROR(VLOOKUP(E863,BD!$L$2:$Q$66,6,0),0)</f>
        <v>225</v>
      </c>
      <c r="I863" s="96">
        <f>IFERROR(G863*VLOOKUP($E863,BD!$L$2:$Q$66,5,0),0)</f>
        <v>1890</v>
      </c>
      <c r="J863" s="3">
        <f t="shared" si="55"/>
        <v>2021</v>
      </c>
    </row>
    <row r="864" spans="1:10" s="9" customFormat="1" hidden="1" x14ac:dyDescent="0.25">
      <c r="A864" s="421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7">
        <v>256680</v>
      </c>
      <c r="F864" s="3" t="str">
        <f>IFERROR(VLOOKUP(E864,BD!$L$2:$Q$66,2,0),0)</f>
        <v>TRIPACK CC+CC+IK PFM 3LX3 - RFNN</v>
      </c>
      <c r="G864" s="409">
        <f>90*2</f>
        <v>180</v>
      </c>
      <c r="H864" s="3">
        <f>+IFERROR(VLOOKUP(E864,BD!$L$2:$Q$66,6,0),0)</f>
        <v>90</v>
      </c>
      <c r="I864" s="96">
        <f>IFERROR(G864*VLOOKUP($E864,BD!$L$2:$Q$66,5,0),0)</f>
        <v>30.6</v>
      </c>
      <c r="J864" s="3">
        <f t="shared" si="55"/>
        <v>2021</v>
      </c>
    </row>
    <row r="865" spans="1:10" s="9" customFormat="1" hidden="1" x14ac:dyDescent="0.25">
      <c r="A865" s="421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7">
        <v>256679</v>
      </c>
      <c r="F865" s="3" t="str">
        <f>IFERROR(VLOOKUP(E865,BD!$L$2:$Q$66,2,0),0)</f>
        <v>TRIPACK CC+IK+IK PFM 3LX3 - RFNN</v>
      </c>
      <c r="G865" s="409">
        <f>90*3</f>
        <v>270</v>
      </c>
      <c r="H865" s="3">
        <f>+IFERROR(VLOOKUP(E865,BD!$L$2:$Q$66,6,0),0)</f>
        <v>90</v>
      </c>
      <c r="I865" s="96">
        <f>IFERROR(G865*VLOOKUP($E865,BD!$L$2:$Q$66,5,0),0)</f>
        <v>45.900000000000006</v>
      </c>
      <c r="J865" s="3">
        <f t="shared" si="55"/>
        <v>2021</v>
      </c>
    </row>
    <row r="866" spans="1:10" s="9" customFormat="1" hidden="1" x14ac:dyDescent="0.25">
      <c r="A866" s="421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7">
        <v>256678</v>
      </c>
      <c r="F866" s="3" t="str">
        <f>IFERROR(VLOOKUP(E866,BD!$L$2:$Q$66,2,0),0)</f>
        <v>TRIPACK (CC+IK)PFM+FT PET 3LX3 - RFNN</v>
      </c>
      <c r="G866" s="409">
        <f>90*35</f>
        <v>3150</v>
      </c>
      <c r="H866" s="3">
        <f>+IFERROR(VLOOKUP(E866,BD!$L$2:$Q$66,6,0),0)</f>
        <v>90</v>
      </c>
      <c r="I866" s="96">
        <f>IFERROR(G866*VLOOKUP($E866,BD!$L$2:$Q$66,5,0),0)</f>
        <v>535.5</v>
      </c>
      <c r="J866" s="3">
        <f t="shared" si="55"/>
        <v>2021</v>
      </c>
    </row>
    <row r="867" spans="1:10" s="9" customFormat="1" hidden="1" x14ac:dyDescent="0.25">
      <c r="A867" s="421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7">
        <v>751315</v>
      </c>
      <c r="F867" s="3" t="str">
        <f>IFERROR(VLOOKUP(E867,BD!$L$2:$Q$66,2,0),0)</f>
        <v>MONSTER ENERGY 473MLX4</v>
      </c>
      <c r="G867" s="409">
        <v>473</v>
      </c>
      <c r="H867" s="3">
        <f>+IFERROR(VLOOKUP(E867,BD!$L$2:$Q$66,6,0),0)</f>
        <v>420</v>
      </c>
      <c r="I867" s="96">
        <f>IFERROR(G867*VLOOKUP($E867,BD!$L$2:$Q$66,5,0),0)</f>
        <v>198.66</v>
      </c>
      <c r="J867" s="3">
        <f t="shared" si="55"/>
        <v>2021</v>
      </c>
    </row>
    <row r="868" spans="1:10" s="9" customFormat="1" hidden="1" x14ac:dyDescent="0.25">
      <c r="A868" s="421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7">
        <v>256381</v>
      </c>
      <c r="F868" s="3" t="str">
        <f>IFERROR(VLOOKUP(E868,BD!$L$2:$Q$66,2,0),0)</f>
        <v>INCA KOLA VR 1.5LX8 - STICKER</v>
      </c>
      <c r="G868" s="427">
        <v>30</v>
      </c>
      <c r="H868" s="3">
        <f>+IFERROR(VLOOKUP(E868,BD!$L$2:$Q$66,6,0),0)</f>
        <v>30</v>
      </c>
      <c r="I868" s="96">
        <f>IFERROR(G868*VLOOKUP($E868,BD!$L$2:$Q$66,5,0),0)</f>
        <v>12</v>
      </c>
      <c r="J868" s="3">
        <f t="shared" si="55"/>
        <v>2021</v>
      </c>
    </row>
    <row r="869" spans="1:10" s="9" customFormat="1" hidden="1" x14ac:dyDescent="0.25">
      <c r="A869" s="421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7">
        <v>256676</v>
      </c>
      <c r="F869" s="3" t="str">
        <f>IFERROR(VLOOKUP(E869,BD!$L$2:$Q$66,2,0),0)</f>
        <v>TWO PACK CC PFM 3LX2 - RFCC</v>
      </c>
      <c r="G869" s="378">
        <f>120*3</f>
        <v>360</v>
      </c>
      <c r="H869" s="3">
        <f>+IFERROR(VLOOKUP(E869,BD!$L$2:$Q$66,6,0),0)</f>
        <v>120</v>
      </c>
      <c r="I869" s="96">
        <f>IFERROR(G869*VLOOKUP($E869,BD!$L$2:$Q$66,5,0),0)</f>
        <v>61.2</v>
      </c>
      <c r="J869" s="3">
        <f t="shared" si="55"/>
        <v>2021</v>
      </c>
    </row>
    <row r="870" spans="1:10" s="9" customFormat="1" ht="15.75" hidden="1" thickBot="1" x14ac:dyDescent="0.3">
      <c r="A870" s="423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9">
        <v>256488</v>
      </c>
      <c r="F870" s="8" t="str">
        <f>IFERROR(VLOOKUP(E870,BD!$L$2:$Q$66,2,0),0)</f>
        <v>INCA KOLA PET 3LX2 - RF</v>
      </c>
      <c r="G870" s="449">
        <f>120*2</f>
        <v>240</v>
      </c>
      <c r="H870" s="8">
        <f>+IFERROR(VLOOKUP(E870,BD!$L$2:$Q$66,6,0),0)</f>
        <v>120</v>
      </c>
      <c r="I870" s="98">
        <f>IFERROR(G870*VLOOKUP($E870,BD!$L$2:$Q$66,5,0),0)</f>
        <v>40.800000000000004</v>
      </c>
      <c r="J870" s="8">
        <f t="shared" si="55"/>
        <v>2021</v>
      </c>
    </row>
    <row r="871" spans="1:10" s="9" customFormat="1" hidden="1" x14ac:dyDescent="0.25">
      <c r="A871" s="422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63">
        <v>256675</v>
      </c>
      <c r="F871" s="6" t="str">
        <f>IFERROR(VLOOKUP(E871,BD!$L$2:$Q$66,2,0),0)</f>
        <v>INCA KOLA PET 1.5LX2 RF</v>
      </c>
      <c r="G871" s="463">
        <f>198*8</f>
        <v>1584</v>
      </c>
      <c r="H871" s="6">
        <f>+IFERROR(VLOOKUP(E871,BD!$L$2:$Q$66,6,0),0)</f>
        <v>198</v>
      </c>
      <c r="I871" s="97">
        <f>IFERROR(G871*VLOOKUP($E871,BD!$L$2:$Q$66,5,0),0)</f>
        <v>269.28000000000003</v>
      </c>
      <c r="J871" s="6">
        <f t="shared" si="55"/>
        <v>2021</v>
      </c>
    </row>
    <row r="872" spans="1:10" s="9" customFormat="1" hidden="1" x14ac:dyDescent="0.25">
      <c r="A872" s="421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7">
        <v>251429</v>
      </c>
      <c r="F872" s="3" t="str">
        <f>IFERROR(VLOOKUP(E872,BD!$L$2:$Q$66,2,0),0)</f>
        <v>SAN LUIS SIN GAS PET2500X6 STICKER</v>
      </c>
      <c r="G872" s="427">
        <f>48*14</f>
        <v>672</v>
      </c>
      <c r="H872" s="3">
        <f>+IFERROR(VLOOKUP(E872,BD!$L$2:$Q$66,6,0),0)</f>
        <v>48</v>
      </c>
      <c r="I872" s="96">
        <f>IFERROR(G872*VLOOKUP($E872,BD!$L$2:$Q$66,5,0),0)</f>
        <v>268.8</v>
      </c>
      <c r="J872" s="3">
        <f t="shared" si="55"/>
        <v>2021</v>
      </c>
    </row>
    <row r="873" spans="1:10" s="9" customFormat="1" hidden="1" x14ac:dyDescent="0.25">
      <c r="A873" s="421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7">
        <v>256379</v>
      </c>
      <c r="F873" s="3" t="str">
        <f>IFERROR(VLOOKUP(E873,BD!$L$2:$Q$66,2,0),0)</f>
        <v>INCA KOLA VR 625MLX12 - STICKER</v>
      </c>
      <c r="G873" s="427">
        <f>50*2</f>
        <v>100</v>
      </c>
      <c r="H873" s="3">
        <f>+IFERROR(VLOOKUP(E873,BD!$L$2:$Q$66,6,0),0)</f>
        <v>50</v>
      </c>
      <c r="I873" s="96">
        <f>IFERROR(G873*VLOOKUP($E873,BD!$L$2:$Q$66,5,0),0)</f>
        <v>40</v>
      </c>
      <c r="J873" s="3">
        <f t="shared" si="55"/>
        <v>2021</v>
      </c>
    </row>
    <row r="874" spans="1:10" s="9" customFormat="1" hidden="1" x14ac:dyDescent="0.25">
      <c r="A874" s="421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20">
        <v>256677</v>
      </c>
      <c r="F874" s="3" t="str">
        <f>IFERROR(VLOOKUP(E874,BD!$L$2:$Q$66,2,0),0)</f>
        <v>TWO PACK CC + IK PFM 3LX2 - RFNN</v>
      </c>
      <c r="G874" s="409">
        <f>120*12</f>
        <v>1440</v>
      </c>
      <c r="H874" s="3">
        <f>+IFERROR(VLOOKUP(E874,BD!$L$2:$Q$66,6,0),0)</f>
        <v>120</v>
      </c>
      <c r="I874" s="96">
        <f>IFERROR(G874*VLOOKUP($E874,BD!$L$2:$Q$66,5,0),0)</f>
        <v>244.8</v>
      </c>
      <c r="J874" s="3">
        <f t="shared" si="55"/>
        <v>2021</v>
      </c>
    </row>
    <row r="875" spans="1:10" s="9" customFormat="1" hidden="1" x14ac:dyDescent="0.25">
      <c r="A875" s="421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6">
        <v>256616</v>
      </c>
      <c r="F875" s="3" t="str">
        <f>IFERROR(VLOOKUP(E875,BD!$L$2:$Q$66,2,0),0)</f>
        <v>TWO PACK SCHWEPPES CITRUS PET 1.5LX2</v>
      </c>
      <c r="G875" s="409">
        <f>198*2</f>
        <v>396</v>
      </c>
      <c r="H875" s="3">
        <f>+IFERROR(VLOOKUP(E875,BD!$L$2:$Q$66,6,0),0)</f>
        <v>198</v>
      </c>
      <c r="I875" s="96">
        <f>IFERROR(G875*VLOOKUP($E875,BD!$L$2:$Q$66,5,0),0)</f>
        <v>67.320000000000007</v>
      </c>
      <c r="J875" s="3">
        <f t="shared" si="55"/>
        <v>2021</v>
      </c>
    </row>
    <row r="876" spans="1:10" s="9" customFormat="1" hidden="1" x14ac:dyDescent="0.25">
      <c r="A876" s="421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6">
        <v>256680</v>
      </c>
      <c r="F876" s="3" t="str">
        <f>IFERROR(VLOOKUP(E876,BD!$L$2:$Q$66,2,0),0)</f>
        <v>TRIPACK CC+CC+IK PFM 3LX3 - RFNN</v>
      </c>
      <c r="G876" s="409">
        <f>90*7</f>
        <v>630</v>
      </c>
      <c r="H876" s="3">
        <f>+IFERROR(VLOOKUP(E876,BD!$L$2:$Q$66,6,0),0)</f>
        <v>90</v>
      </c>
      <c r="I876" s="96">
        <f>IFERROR(G876*VLOOKUP($E876,BD!$L$2:$Q$66,5,0),0)</f>
        <v>107.10000000000001</v>
      </c>
      <c r="J876" s="3">
        <f t="shared" si="55"/>
        <v>2021</v>
      </c>
    </row>
    <row r="877" spans="1:10" s="9" customFormat="1" hidden="1" x14ac:dyDescent="0.25">
      <c r="A877" s="421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6">
        <v>751315</v>
      </c>
      <c r="F877" s="3" t="str">
        <f>IFERROR(VLOOKUP(E877,BD!$L$2:$Q$66,2,0),0)</f>
        <v>MONSTER ENERGY 473MLX4</v>
      </c>
      <c r="G877" s="409">
        <f>420*3</f>
        <v>1260</v>
      </c>
      <c r="H877" s="3">
        <f>+IFERROR(VLOOKUP(E877,BD!$L$2:$Q$66,6,0),0)</f>
        <v>420</v>
      </c>
      <c r="I877" s="96">
        <f>IFERROR(G877*VLOOKUP($E877,BD!$L$2:$Q$66,5,0),0)</f>
        <v>529.19999999999993</v>
      </c>
      <c r="J877" s="3">
        <f t="shared" si="55"/>
        <v>2021</v>
      </c>
    </row>
    <row r="878" spans="1:10" s="9" customFormat="1" hidden="1" x14ac:dyDescent="0.25">
      <c r="A878" s="421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6">
        <v>256679</v>
      </c>
      <c r="F878" s="3" t="str">
        <f>IFERROR(VLOOKUP(E878,BD!$L$2:$Q$66,2,0),0)</f>
        <v>TRIPACK CC+IK+IK PFM 3LX3 - RFNN</v>
      </c>
      <c r="G878" s="409">
        <f>90*10</f>
        <v>900</v>
      </c>
      <c r="H878" s="3">
        <f>+IFERROR(VLOOKUP(E878,BD!$L$2:$Q$66,6,0),0)</f>
        <v>90</v>
      </c>
      <c r="I878" s="96">
        <f>IFERROR(G878*VLOOKUP($E878,BD!$L$2:$Q$66,5,0),0)</f>
        <v>153</v>
      </c>
      <c r="J878" s="3">
        <f t="shared" si="55"/>
        <v>2021</v>
      </c>
    </row>
    <row r="879" spans="1:10" s="9" customFormat="1" hidden="1" x14ac:dyDescent="0.25">
      <c r="A879" s="421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6">
        <v>254853</v>
      </c>
      <c r="F879" s="3" t="str">
        <f>IFERROR(VLOOKUP(E879,BD!$L$2:$Q$66,2,0),0)</f>
        <v>INCA KOLA SIN AZUCAR PET 1.5LX2</v>
      </c>
      <c r="G879" s="409">
        <f>198*9</f>
        <v>1782</v>
      </c>
      <c r="H879" s="3">
        <f>+IFERROR(VLOOKUP(E879,BD!$L$2:$Q$66,6,0),0)</f>
        <v>198</v>
      </c>
      <c r="I879" s="96">
        <f>IFERROR(G879*VLOOKUP($E879,BD!$L$2:$Q$66,5,0),0)</f>
        <v>302.94</v>
      </c>
      <c r="J879" s="3">
        <f t="shared" si="55"/>
        <v>2021</v>
      </c>
    </row>
    <row r="880" spans="1:10" s="9" customFormat="1" hidden="1" x14ac:dyDescent="0.25">
      <c r="A880" s="421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20">
        <v>251406</v>
      </c>
      <c r="F880" s="3" t="str">
        <f>IFERROR(VLOOKUP(E880,BD!$L$2:$Q$66,2,0),0)</f>
        <v>COCA-COLA SIN AZUCAR PET 1.5LX2</v>
      </c>
      <c r="G880" s="409">
        <f>198*11</f>
        <v>2178</v>
      </c>
      <c r="H880" s="3">
        <f>+IFERROR(VLOOKUP(E880,BD!$L$2:$Q$66,6,0),0)</f>
        <v>198</v>
      </c>
      <c r="I880" s="96">
        <f>IFERROR(G880*VLOOKUP($E880,BD!$L$2:$Q$66,5,0),0)</f>
        <v>370.26000000000005</v>
      </c>
      <c r="J880" s="3">
        <f t="shared" si="55"/>
        <v>2021</v>
      </c>
    </row>
    <row r="881" spans="1:10" s="9" customFormat="1" hidden="1" x14ac:dyDescent="0.25">
      <c r="A881" s="421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20">
        <v>256674</v>
      </c>
      <c r="F881" s="3" t="str">
        <f>IFERROR(VLOOKUP(E881,BD!$L$2:$Q$66,2,0),0)</f>
        <v>COCA-COLA PET 1.5LX2 RF</v>
      </c>
      <c r="G881" s="409">
        <f>198*16</f>
        <v>3168</v>
      </c>
      <c r="H881" s="3">
        <f>+IFERROR(VLOOKUP(E881,BD!$L$2:$Q$66,6,0),0)</f>
        <v>198</v>
      </c>
      <c r="I881" s="96">
        <f>IFERROR(G881*VLOOKUP($E881,BD!$L$2:$Q$66,5,0),0)</f>
        <v>538.56000000000006</v>
      </c>
      <c r="J881" s="3">
        <f t="shared" si="55"/>
        <v>2021</v>
      </c>
    </row>
    <row r="882" spans="1:10" s="9" customFormat="1" hidden="1" x14ac:dyDescent="0.25">
      <c r="A882" s="421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20">
        <v>256652</v>
      </c>
      <c r="F882" s="3" t="str">
        <f>IFERROR(VLOOKUP(E882,BD!$L$2:$Q$66,2,0),0)</f>
        <v>TRIPACK FT NAR+FT KI+SP PET 3L</v>
      </c>
      <c r="G882" s="409">
        <f>90*8</f>
        <v>720</v>
      </c>
      <c r="H882" s="3">
        <f>+IFERROR(VLOOKUP(E882,BD!$L$2:$Q$66,6,0),0)</f>
        <v>90</v>
      </c>
      <c r="I882" s="96">
        <f>IFERROR(G882*VLOOKUP($E882,BD!$L$2:$Q$66,5,0),0)</f>
        <v>122.4</v>
      </c>
      <c r="J882" s="3">
        <f t="shared" si="55"/>
        <v>2021</v>
      </c>
    </row>
    <row r="883" spans="1:10" s="9" customFormat="1" hidden="1" x14ac:dyDescent="0.25">
      <c r="A883" s="421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20">
        <v>251633</v>
      </c>
      <c r="F883" s="3" t="str">
        <f>IFERROR(VLOOKUP(E883,BD!$L$2:$Q$66,2,0),0)</f>
        <v>SAN LUIS CON GAS PET 625MLX6</v>
      </c>
      <c r="G883" s="409">
        <f>180*5</f>
        <v>900</v>
      </c>
      <c r="H883" s="3">
        <f>+IFERROR(VLOOKUP(E883,BD!$L$2:$Q$66,6,0),0)</f>
        <v>180</v>
      </c>
      <c r="I883" s="96">
        <f>IFERROR(G883*VLOOKUP($E883,BD!$L$2:$Q$66,5,0),0)</f>
        <v>378</v>
      </c>
      <c r="J883" s="3">
        <f t="shared" si="55"/>
        <v>2021</v>
      </c>
    </row>
    <row r="884" spans="1:10" s="9" customFormat="1" hidden="1" x14ac:dyDescent="0.25">
      <c r="A884" s="421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20">
        <v>256708</v>
      </c>
      <c r="F884" s="3" t="str">
        <f>IFERROR(VLOOKUP(E884,BD!$L$2:$Q$66,2,0),0)</f>
        <v>POWERADE ION4 FRUTA PET473X6 MOD (STICK)</v>
      </c>
      <c r="G884" s="409">
        <f>225*3</f>
        <v>675</v>
      </c>
      <c r="H884" s="3">
        <f>+IFERROR(VLOOKUP(E884,BD!$L$2:$Q$66,6,0),0)</f>
        <v>225</v>
      </c>
      <c r="I884" s="96">
        <f>IFERROR(G884*VLOOKUP($E884,BD!$L$2:$Q$66,5,0),0)</f>
        <v>270</v>
      </c>
      <c r="J884" s="3">
        <f t="shared" si="55"/>
        <v>2021</v>
      </c>
    </row>
    <row r="885" spans="1:10" s="9" customFormat="1" ht="15.75" hidden="1" thickBot="1" x14ac:dyDescent="0.3">
      <c r="A885" s="423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75">
        <v>256382</v>
      </c>
      <c r="F885" s="8" t="str">
        <f>IFERROR(VLOOKUP(E885,BD!$L$2:$Q$66,2,0),0)</f>
        <v>COCA COLA VR 296MLX24 - STICKER</v>
      </c>
      <c r="G885" s="450">
        <v>40</v>
      </c>
      <c r="H885" s="8">
        <f>+IFERROR(VLOOKUP(E885,BD!$L$2:$Q$66,6,0),0)</f>
        <v>40</v>
      </c>
      <c r="I885" s="98">
        <f>IFERROR(G885*VLOOKUP($E885,BD!$L$2:$Q$66,5,0),0)</f>
        <v>9.2000000000000011</v>
      </c>
      <c r="J885" s="8">
        <f t="shared" si="55"/>
        <v>2021</v>
      </c>
    </row>
    <row r="886" spans="1:10" s="9" customFormat="1" hidden="1" x14ac:dyDescent="0.25">
      <c r="A886" s="422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9">
        <v>256380</v>
      </c>
      <c r="F886" s="6" t="str">
        <f>IFERROR(VLOOKUP(E886,BD!$L$2:$Q$66,2,0),0)</f>
        <v>INCA KOLA VR 296MLX24 - STICKER</v>
      </c>
      <c r="G886" s="464">
        <v>40</v>
      </c>
      <c r="H886" s="6">
        <f>+IFERROR(VLOOKUP(E886,BD!$L$2:$Q$66,6,0),0)</f>
        <v>40</v>
      </c>
      <c r="I886" s="97">
        <f>IFERROR(G886*VLOOKUP($E886,BD!$L$2:$Q$66,5,0),0)</f>
        <v>9.2000000000000011</v>
      </c>
      <c r="J886" s="6">
        <f t="shared" si="55"/>
        <v>2021</v>
      </c>
    </row>
    <row r="887" spans="1:10" s="9" customFormat="1" hidden="1" x14ac:dyDescent="0.25">
      <c r="A887" s="421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20">
        <v>256709</v>
      </c>
      <c r="F887" s="3" t="str">
        <f>IFERROR(VLOOKUP(E887,BD!$L$2:$Q$66,2,0),0)</f>
        <v>POWERADE ION4 MORA AZ PET473X6 MOD(STCK)</v>
      </c>
      <c r="G887" s="409">
        <v>225</v>
      </c>
      <c r="H887" s="3">
        <f>+IFERROR(VLOOKUP(E887,BD!$L$2:$Q$66,6,0),0)</f>
        <v>225</v>
      </c>
      <c r="I887" s="96">
        <f>IFERROR(G887*VLOOKUP($E887,BD!$L$2:$Q$66,5,0),0)</f>
        <v>90</v>
      </c>
      <c r="J887" s="3">
        <f t="shared" si="55"/>
        <v>2021</v>
      </c>
    </row>
    <row r="888" spans="1:10" s="9" customFormat="1" hidden="1" x14ac:dyDescent="0.25">
      <c r="A888" s="421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20">
        <v>256383</v>
      </c>
      <c r="F888" s="3" t="str">
        <f>IFERROR(VLOOKUP(E888,BD!$L$2:$Q$66,2,0),0)</f>
        <v>COCA COLA VR 1.5LX8 - STICKER</v>
      </c>
      <c r="G888" s="409">
        <v>60</v>
      </c>
      <c r="H888" s="3">
        <f>+IFERROR(VLOOKUP(E888,BD!$L$2:$Q$66,6,0),0)</f>
        <v>30</v>
      </c>
      <c r="I888" s="96">
        <f>IFERROR(G888*VLOOKUP($E888,BD!$L$2:$Q$66,5,0),0)</f>
        <v>13.8</v>
      </c>
      <c r="J888" s="3">
        <f t="shared" si="55"/>
        <v>2021</v>
      </c>
    </row>
    <row r="889" spans="1:10" s="9" customFormat="1" hidden="1" x14ac:dyDescent="0.25">
      <c r="A889" s="421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20">
        <v>256709</v>
      </c>
      <c r="F889" s="3" t="str">
        <f>IFERROR(VLOOKUP(E889,BD!$L$2:$Q$66,2,0),0)</f>
        <v>POWERADE ION4 MORA AZ PET473X6 MOD(STCK)</v>
      </c>
      <c r="G889" s="409">
        <v>225</v>
      </c>
      <c r="H889" s="3">
        <f>+IFERROR(VLOOKUP(E889,BD!$L$2:$Q$66,6,0),0)</f>
        <v>225</v>
      </c>
      <c r="I889" s="96">
        <f>IFERROR(G889*VLOOKUP($E889,BD!$L$2:$Q$66,5,0),0)</f>
        <v>90</v>
      </c>
      <c r="J889" s="3">
        <f t="shared" si="55"/>
        <v>2021</v>
      </c>
    </row>
    <row r="890" spans="1:10" s="9" customFormat="1" hidden="1" x14ac:dyDescent="0.25">
      <c r="A890" s="421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20">
        <v>256685</v>
      </c>
      <c r="F890" s="3" t="str">
        <f>IFERROR(VLOOKUP(E890,BD!$L$2:$Q$66,2,0),0)</f>
        <v>SL S/G TAPA PLANA 1LT</v>
      </c>
      <c r="G890" s="409">
        <f>112*2</f>
        <v>224</v>
      </c>
      <c r="H890" s="3">
        <f>+IFERROR(VLOOKUP(E890,BD!$L$2:$Q$66,6,0),0)</f>
        <v>112</v>
      </c>
      <c r="I890" s="96">
        <f>IFERROR(G890*VLOOKUP($E890,BD!$L$2:$Q$66,5,0),0)</f>
        <v>89.600000000000009</v>
      </c>
      <c r="J890" s="3">
        <f t="shared" si="55"/>
        <v>2021</v>
      </c>
    </row>
    <row r="891" spans="1:10" s="9" customFormat="1" hidden="1" x14ac:dyDescent="0.25">
      <c r="A891" s="421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20">
        <v>256695</v>
      </c>
      <c r="F891" s="3" t="str">
        <f>IFERROR(VLOOKUP(E891,BD!$L$2:$Q$66,2,0),0)</f>
        <v>POWERADE 3MORA+3FRUT PET 473MLX6</v>
      </c>
      <c r="G891" s="409">
        <f>225*13</f>
        <v>2925</v>
      </c>
      <c r="H891" s="3">
        <f>+IFERROR(VLOOKUP(E891,BD!$L$2:$Q$66,6,0),0)</f>
        <v>225</v>
      </c>
      <c r="I891" s="96">
        <f>IFERROR(G891*VLOOKUP($E891,BD!$L$2:$Q$66,5,0),0)</f>
        <v>1228.5</v>
      </c>
      <c r="J891" s="3">
        <f t="shared" si="55"/>
        <v>2021</v>
      </c>
    </row>
    <row r="892" spans="1:10" s="9" customFormat="1" ht="15.75" hidden="1" thickBot="1" x14ac:dyDescent="0.3">
      <c r="A892" s="423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75">
        <v>256617</v>
      </c>
      <c r="F892" s="8" t="str">
        <f>IFERROR(VLOOKUP(E892,BD!$L$2:$Q$66,2,0),0)</f>
        <v>TWO PACK SCHWEPPES GINGER ALE PET 1.5LX2</v>
      </c>
      <c r="G892" s="450">
        <f>198*4</f>
        <v>792</v>
      </c>
      <c r="H892" s="8">
        <f>+IFERROR(VLOOKUP(E892,BD!$L$2:$Q$66,6,0),0)</f>
        <v>198</v>
      </c>
      <c r="I892" s="98">
        <f>IFERROR(G892*VLOOKUP($E892,BD!$L$2:$Q$66,5,0),0)</f>
        <v>134.64000000000001</v>
      </c>
      <c r="J892" s="8">
        <f t="shared" si="55"/>
        <v>2021</v>
      </c>
    </row>
    <row r="893" spans="1:10" s="9" customFormat="1" hidden="1" x14ac:dyDescent="0.25">
      <c r="A893" s="422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9">
        <v>251406</v>
      </c>
      <c r="F893" s="6" t="str">
        <f>IFERROR(VLOOKUP(E893,BD!$L$2:$Q$66,2,0),0)</f>
        <v>COCA-COLA SIN AZUCAR PET 1.5LX2</v>
      </c>
      <c r="G893" s="464">
        <f>198*8</f>
        <v>1584</v>
      </c>
      <c r="H893" s="6">
        <f>+IFERROR(VLOOKUP(E893,BD!$L$2:$Q$66,6,0),0)</f>
        <v>198</v>
      </c>
      <c r="I893" s="97">
        <f>IFERROR(G893*VLOOKUP($E893,BD!$L$2:$Q$66,5,0),0)</f>
        <v>269.28000000000003</v>
      </c>
      <c r="J893" s="6">
        <f t="shared" si="55"/>
        <v>2021</v>
      </c>
    </row>
    <row r="894" spans="1:10" s="9" customFormat="1" hidden="1" x14ac:dyDescent="0.25">
      <c r="A894" s="421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6">
        <v>256616</v>
      </c>
      <c r="F894" s="3" t="str">
        <f>IFERROR(VLOOKUP(E894,BD!$L$2:$Q$66,2,0),0)</f>
        <v>TWO PACK SCHWEPPES CITRUS PET 1.5LX2</v>
      </c>
      <c r="G894" s="409">
        <f>198*2</f>
        <v>396</v>
      </c>
      <c r="H894" s="3">
        <f>+IFERROR(VLOOKUP(E894,BD!$L$2:$Q$66,6,0),0)</f>
        <v>198</v>
      </c>
      <c r="I894" s="96">
        <f>IFERROR(G894*VLOOKUP($E894,BD!$L$2:$Q$66,5,0),0)</f>
        <v>67.320000000000007</v>
      </c>
      <c r="J894" s="3">
        <f t="shared" si="55"/>
        <v>2021</v>
      </c>
    </row>
    <row r="895" spans="1:10" s="9" customFormat="1" hidden="1" x14ac:dyDescent="0.25">
      <c r="A895" s="421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20">
        <v>256601</v>
      </c>
      <c r="F895" s="3" t="str">
        <f>IFERROR(VLOOKUP(E895,BD!$L$2:$Q$66,2,0),0)</f>
        <v>INCA KOLA PET 2.25LX2 RF</v>
      </c>
      <c r="G895" s="409">
        <f>162*6</f>
        <v>972</v>
      </c>
      <c r="H895" s="3">
        <f>+IFERROR(VLOOKUP(E895,BD!$L$2:$Q$66,6,0),0)</f>
        <v>162</v>
      </c>
      <c r="I895" s="96">
        <f>IFERROR(G895*VLOOKUP($E895,BD!$L$2:$Q$66,5,0),0)</f>
        <v>165.24</v>
      </c>
      <c r="J895" s="3">
        <f t="shared" si="55"/>
        <v>2021</v>
      </c>
    </row>
    <row r="896" spans="1:10" s="9" customFormat="1" hidden="1" x14ac:dyDescent="0.25">
      <c r="A896" s="421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20">
        <v>256676</v>
      </c>
      <c r="F896" s="3" t="str">
        <f>IFERROR(VLOOKUP(E896,BD!$L$2:$Q$66,2,0),0)</f>
        <v>TWO PACK CC PFM 3LX2 - RFCC</v>
      </c>
      <c r="G896" s="370">
        <f>120*5</f>
        <v>600</v>
      </c>
      <c r="H896" s="3">
        <f>+IFERROR(VLOOKUP(E896,BD!$L$2:$Q$66,6,0),0)</f>
        <v>120</v>
      </c>
      <c r="I896" s="96">
        <f>IFERROR(G896*VLOOKUP($E896,BD!$L$2:$Q$66,5,0),0)</f>
        <v>102.00000000000001</v>
      </c>
      <c r="J896" s="3">
        <f t="shared" si="55"/>
        <v>2021</v>
      </c>
    </row>
    <row r="897" spans="1:10" s="9" customFormat="1" hidden="1" x14ac:dyDescent="0.25">
      <c r="A897" s="421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20">
        <v>256666</v>
      </c>
      <c r="F897" s="3" t="str">
        <f>IFERROR(VLOOKUP(E897,BD!$L$2:$Q$66,2,0),0)</f>
        <v>COCA-COLA PET 2.25LX2 RF</v>
      </c>
      <c r="G897" s="409">
        <f>162*4</f>
        <v>648</v>
      </c>
      <c r="H897" s="3">
        <f>+IFERROR(VLOOKUP(E897,BD!$L$2:$Q$66,6,0),0)</f>
        <v>162</v>
      </c>
      <c r="I897" s="96">
        <f>IFERROR(G897*VLOOKUP($E897,BD!$L$2:$Q$66,5,0),0)</f>
        <v>110.16000000000001</v>
      </c>
      <c r="J897" s="3">
        <f t="shared" si="55"/>
        <v>2021</v>
      </c>
    </row>
    <row r="898" spans="1:10" s="9" customFormat="1" hidden="1" x14ac:dyDescent="0.25">
      <c r="A898" s="421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20">
        <v>256488</v>
      </c>
      <c r="F898" s="3" t="str">
        <f>IFERROR(VLOOKUP(E898,BD!$L$2:$Q$66,2,0),0)</f>
        <v>INCA KOLA PET 3LX2 - RF</v>
      </c>
      <c r="G898" s="409">
        <f>120*15</f>
        <v>1800</v>
      </c>
      <c r="H898" s="3">
        <f>+IFERROR(VLOOKUP(E898,BD!$L$2:$Q$66,6,0),0)</f>
        <v>120</v>
      </c>
      <c r="I898" s="96">
        <f>IFERROR(G898*VLOOKUP($E898,BD!$L$2:$Q$66,5,0),0)</f>
        <v>306</v>
      </c>
      <c r="J898" s="3">
        <f t="shared" si="55"/>
        <v>2021</v>
      </c>
    </row>
    <row r="899" spans="1:10" s="9" customFormat="1" hidden="1" x14ac:dyDescent="0.25">
      <c r="A899" s="421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20">
        <v>256675</v>
      </c>
      <c r="F899" s="3" t="str">
        <f>IFERROR(VLOOKUP(E899,BD!$L$2:$Q$66,2,0),0)</f>
        <v>INCA KOLA PET 1.5LX2 RF</v>
      </c>
      <c r="G899" s="409">
        <f>198*4</f>
        <v>792</v>
      </c>
      <c r="H899" s="3">
        <f>+IFERROR(VLOOKUP(E899,BD!$L$2:$Q$66,6,0),0)</f>
        <v>198</v>
      </c>
      <c r="I899" s="96">
        <f>IFERROR(G899*VLOOKUP($E899,BD!$L$2:$Q$66,5,0),0)</f>
        <v>134.64000000000001</v>
      </c>
      <c r="J899" s="3">
        <f t="shared" si="55"/>
        <v>2021</v>
      </c>
    </row>
    <row r="900" spans="1:10" s="9" customFormat="1" hidden="1" x14ac:dyDescent="0.25">
      <c r="A900" s="421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20">
        <v>256677</v>
      </c>
      <c r="F900" s="3" t="str">
        <f>IFERROR(VLOOKUP(E900,BD!$L$2:$Q$66,2,0),0)</f>
        <v>TWO PACK CC + IK PFM 3LX2 - RFNN</v>
      </c>
      <c r="G900" s="409">
        <f>120*38</f>
        <v>4560</v>
      </c>
      <c r="H900" s="3">
        <f>+IFERROR(VLOOKUP(E900,BD!$L$2:$Q$66,6,0),0)</f>
        <v>120</v>
      </c>
      <c r="I900" s="96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hidden="1" x14ac:dyDescent="0.25">
      <c r="A901" s="421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20">
        <v>256383</v>
      </c>
      <c r="F901" s="3" t="str">
        <f>IFERROR(VLOOKUP(E901,BD!$L$2:$Q$66,2,0),0)</f>
        <v>COCA COLA VR 1.5LX8 - STICKER</v>
      </c>
      <c r="G901" s="409">
        <f>30*4</f>
        <v>120</v>
      </c>
      <c r="H901" s="3">
        <f>+IFERROR(VLOOKUP(E901,BD!$L$2:$Q$66,6,0),0)</f>
        <v>30</v>
      </c>
      <c r="I901" s="96">
        <f>IFERROR(G901*VLOOKUP($E901,BD!$L$2:$Q$66,5,0),0)</f>
        <v>27.6</v>
      </c>
      <c r="J901" s="3">
        <f t="shared" si="59"/>
        <v>2021</v>
      </c>
    </row>
    <row r="902" spans="1:10" s="9" customFormat="1" hidden="1" x14ac:dyDescent="0.25">
      <c r="A902" s="421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20">
        <v>256381</v>
      </c>
      <c r="F902" s="3" t="str">
        <f>IFERROR(VLOOKUP(E902,BD!$L$2:$Q$66,2,0),0)</f>
        <v>INCA KOLA VR 1.5LX8 - STICKER</v>
      </c>
      <c r="G902" s="409">
        <f>30*2</f>
        <v>60</v>
      </c>
      <c r="H902" s="3">
        <f>+IFERROR(VLOOKUP(E902,BD!$L$2:$Q$66,6,0),0)</f>
        <v>30</v>
      </c>
      <c r="I902" s="96">
        <f>IFERROR(G902*VLOOKUP($E902,BD!$L$2:$Q$66,5,0),0)</f>
        <v>24</v>
      </c>
      <c r="J902" s="3">
        <f t="shared" si="59"/>
        <v>2021</v>
      </c>
    </row>
    <row r="903" spans="1:10" s="9" customFormat="1" hidden="1" x14ac:dyDescent="0.25">
      <c r="A903" s="421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6">
        <v>256379</v>
      </c>
      <c r="F903" s="3" t="str">
        <f>IFERROR(VLOOKUP(E903,BD!$L$2:$Q$66,2,0),0)</f>
        <v>INCA KOLA VR 625MLX12 - STICKER</v>
      </c>
      <c r="G903" s="409">
        <f>50*2</f>
        <v>100</v>
      </c>
      <c r="H903" s="3">
        <f>+IFERROR(VLOOKUP(E903,BD!$L$2:$Q$66,6,0),0)</f>
        <v>50</v>
      </c>
      <c r="I903" s="96">
        <f>IFERROR(G903*VLOOKUP($E903,BD!$L$2:$Q$66,5,0),0)</f>
        <v>40</v>
      </c>
      <c r="J903" s="3">
        <f t="shared" si="59"/>
        <v>2021</v>
      </c>
    </row>
    <row r="904" spans="1:10" s="9" customFormat="1" hidden="1" x14ac:dyDescent="0.25">
      <c r="A904" s="421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6">
        <v>256676</v>
      </c>
      <c r="F904" s="3" t="str">
        <f>IFERROR(VLOOKUP(E904,BD!$L$2:$Q$66,2,0),0)</f>
        <v>TWO PACK CC PFM 3LX2 - RFCC</v>
      </c>
      <c r="G904" s="409">
        <f>90*8</f>
        <v>720</v>
      </c>
      <c r="H904" s="3">
        <f>+IFERROR(VLOOKUP(E904,BD!$L$2:$Q$66,6,0),0)</f>
        <v>120</v>
      </c>
      <c r="I904" s="96">
        <f>IFERROR(G904*VLOOKUP($E904,BD!$L$2:$Q$66,5,0),0)</f>
        <v>122.4</v>
      </c>
      <c r="J904" s="3">
        <f t="shared" si="59"/>
        <v>2021</v>
      </c>
    </row>
    <row r="905" spans="1:10" s="9" customFormat="1" hidden="1" x14ac:dyDescent="0.25">
      <c r="A905" s="421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6">
        <v>256652</v>
      </c>
      <c r="F905" s="3" t="str">
        <f>IFERROR(VLOOKUP(E905,BD!$L$2:$Q$66,2,0),0)</f>
        <v>TRIPACK FT NAR+FT KI+SP PET 3L</v>
      </c>
      <c r="G905" s="409">
        <f>90*8</f>
        <v>720</v>
      </c>
      <c r="H905" s="3">
        <f>+IFERROR(VLOOKUP(E905,BD!$L$2:$Q$66,6,0),0)</f>
        <v>90</v>
      </c>
      <c r="I905" s="96">
        <f>IFERROR(G905*VLOOKUP($E905,BD!$L$2:$Q$66,5,0),0)</f>
        <v>122.4</v>
      </c>
      <c r="J905" s="3">
        <f t="shared" si="59"/>
        <v>2021</v>
      </c>
    </row>
    <row r="906" spans="1:10" s="9" customFormat="1" hidden="1" x14ac:dyDescent="0.25">
      <c r="A906" s="421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6">
        <v>256679</v>
      </c>
      <c r="F906" s="3" t="str">
        <f>IFERROR(VLOOKUP(E906,BD!$L$2:$Q$66,2,0),0)</f>
        <v>TRIPACK CC+IK+IK PFM 3LX3 - RFNN</v>
      </c>
      <c r="G906" s="409">
        <f>90*8</f>
        <v>720</v>
      </c>
      <c r="H906" s="3">
        <f>+IFERROR(VLOOKUP(E906,BD!$L$2:$Q$66,6,0),0)</f>
        <v>90</v>
      </c>
      <c r="I906" s="96">
        <f>IFERROR(G906*VLOOKUP($E906,BD!$L$2:$Q$66,5,0),0)</f>
        <v>122.4</v>
      </c>
      <c r="J906" s="3">
        <f t="shared" si="59"/>
        <v>2021</v>
      </c>
    </row>
    <row r="907" spans="1:10" s="9" customFormat="1" ht="15.75" hidden="1" thickBot="1" x14ac:dyDescent="0.3">
      <c r="A907" s="423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8">
        <v>251633</v>
      </c>
      <c r="F907" s="8" t="str">
        <f>IFERROR(VLOOKUP(E907,BD!$L$2:$Q$66,2,0),0)</f>
        <v>SAN LUIS CON GAS PET 625MLX6</v>
      </c>
      <c r="G907" s="450">
        <f>180*2</f>
        <v>360</v>
      </c>
      <c r="H907" s="8">
        <f>+IFERROR(VLOOKUP(E907,BD!$L$2:$Q$66,6,0),0)</f>
        <v>180</v>
      </c>
      <c r="I907" s="98">
        <f>IFERROR(G907*VLOOKUP($E907,BD!$L$2:$Q$66,5,0),0)</f>
        <v>151.19999999999999</v>
      </c>
      <c r="J907" s="8">
        <f t="shared" si="59"/>
        <v>2021</v>
      </c>
    </row>
    <row r="908" spans="1:10" s="9" customFormat="1" hidden="1" x14ac:dyDescent="0.25">
      <c r="A908" s="422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9">
        <v>251429</v>
      </c>
      <c r="F908" s="6" t="str">
        <f>IFERROR(VLOOKUP(E908,BD!$L$2:$Q$66,2,0),0)</f>
        <v>SAN LUIS SIN GAS PET2500X6 STICKER</v>
      </c>
      <c r="G908" s="464">
        <v>672</v>
      </c>
      <c r="H908" s="6">
        <f>+IFERROR(VLOOKUP(E908,BD!$L$2:$Q$66,6,0),0)</f>
        <v>48</v>
      </c>
      <c r="I908" s="97">
        <f>IFERROR(G908*VLOOKUP($E908,BD!$L$2:$Q$66,5,0),0)</f>
        <v>268.8</v>
      </c>
      <c r="J908" s="6">
        <f t="shared" si="59"/>
        <v>2021</v>
      </c>
    </row>
    <row r="909" spans="1:10" s="9" customFormat="1" hidden="1" x14ac:dyDescent="0.25">
      <c r="A909" s="421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20">
        <v>256708</v>
      </c>
      <c r="F909" s="3" t="str">
        <f>IFERROR(VLOOKUP(E909,BD!$L$2:$Q$66,2,0),0)</f>
        <v>POWERADE ION4 FRUTA PET473X6 MOD (STICK)</v>
      </c>
      <c r="G909" s="409">
        <v>672</v>
      </c>
      <c r="H909" s="3">
        <f>+IFERROR(VLOOKUP(E909,BD!$L$2:$Q$66,6,0),0)</f>
        <v>225</v>
      </c>
      <c r="I909" s="96">
        <f>IFERROR(G909*VLOOKUP($E909,BD!$L$2:$Q$66,5,0),0)</f>
        <v>268.8</v>
      </c>
      <c r="J909" s="3">
        <f t="shared" si="59"/>
        <v>2021</v>
      </c>
    </row>
    <row r="910" spans="1:10" s="9" customFormat="1" hidden="1" x14ac:dyDescent="0.25">
      <c r="A910" s="421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7">
        <v>256666</v>
      </c>
      <c r="F910" s="3" t="str">
        <f>IFERROR(VLOOKUP(E910,BD!$L$2:$Q$66,2,0),0)</f>
        <v>COCA-COLA PET 2.25LX2 RF</v>
      </c>
      <c r="G910" s="409">
        <f>162*8</f>
        <v>1296</v>
      </c>
      <c r="H910" s="3">
        <f>+IFERROR(VLOOKUP(E910,BD!$L$2:$Q$66,6,0),0)</f>
        <v>162</v>
      </c>
      <c r="I910" s="96">
        <f>IFERROR(G910*VLOOKUP($E910,BD!$L$2:$Q$66,5,0),0)</f>
        <v>220.32000000000002</v>
      </c>
      <c r="J910" s="3">
        <f t="shared" si="59"/>
        <v>2021</v>
      </c>
    </row>
    <row r="911" spans="1:10" s="9" customFormat="1" ht="15.75" hidden="1" thickBot="1" x14ac:dyDescent="0.3">
      <c r="A911" s="423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8">
        <v>251466</v>
      </c>
      <c r="F911" s="8">
        <f>IFERROR(VLOOKUP(E911,BD!$L$2:$Q$66,2,0),0)</f>
        <v>0</v>
      </c>
      <c r="G911" s="450">
        <f>198*9</f>
        <v>1782</v>
      </c>
      <c r="H911" s="8">
        <f>+IFERROR(VLOOKUP(E911,BD!$L$2:$Q$66,6,0),0)</f>
        <v>0</v>
      </c>
      <c r="I911" s="98">
        <f>IFERROR(G911*VLOOKUP($E911,BD!$L$2:$Q$66,5,0),0)</f>
        <v>0</v>
      </c>
      <c r="J911" s="8">
        <f t="shared" si="59"/>
        <v>2021</v>
      </c>
    </row>
    <row r="912" spans="1:10" s="9" customFormat="1" hidden="1" x14ac:dyDescent="0.25">
      <c r="A912" s="422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9">
        <v>254853</v>
      </c>
      <c r="F912" s="6" t="str">
        <f>IFERROR(VLOOKUP(E912,BD!$L$2:$Q$66,2,0),0)</f>
        <v>INCA KOLA SIN AZUCAR PET 1.5LX2</v>
      </c>
      <c r="G912" s="464">
        <f>198*11</f>
        <v>2178</v>
      </c>
      <c r="H912" s="6">
        <f>+IFERROR(VLOOKUP(E912,BD!$L$2:$Q$66,6,0),0)</f>
        <v>198</v>
      </c>
      <c r="I912" s="97">
        <f>IFERROR(G912*VLOOKUP($E912,BD!$L$2:$Q$66,5,0),0)</f>
        <v>370.26000000000005</v>
      </c>
      <c r="J912" s="6">
        <f t="shared" si="59"/>
        <v>2021</v>
      </c>
    </row>
    <row r="913" spans="1:10" s="9" customFormat="1" hidden="1" x14ac:dyDescent="0.25">
      <c r="A913" s="421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6">
        <v>256616</v>
      </c>
      <c r="F913" s="3" t="str">
        <f>IFERROR(VLOOKUP(E913,BD!$L$2:$Q$66,2,0),0)</f>
        <v>TWO PACK SCHWEPPES CITRUS PET 1.5LX2</v>
      </c>
      <c r="G913" s="409">
        <f>198*4</f>
        <v>792</v>
      </c>
      <c r="H913" s="3">
        <f>+IFERROR(VLOOKUP(E913,BD!$L$2:$Q$66,6,0),0)</f>
        <v>198</v>
      </c>
      <c r="I913" s="96">
        <f>IFERROR(G913*VLOOKUP($E913,BD!$L$2:$Q$66,5,0),0)</f>
        <v>134.64000000000001</v>
      </c>
      <c r="J913" s="3">
        <f t="shared" si="59"/>
        <v>2021</v>
      </c>
    </row>
    <row r="914" spans="1:10" s="9" customFormat="1" hidden="1" x14ac:dyDescent="0.25">
      <c r="A914" s="421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6">
        <v>256675</v>
      </c>
      <c r="F914" s="3" t="str">
        <f>IFERROR(VLOOKUP(E914,BD!$L$2:$Q$66,2,0),0)</f>
        <v>INCA KOLA PET 1.5LX2 RF</v>
      </c>
      <c r="G914" s="409">
        <f>198*13</f>
        <v>2574</v>
      </c>
      <c r="H914" s="3">
        <f>+IFERROR(VLOOKUP(E914,BD!$L$2:$Q$66,6,0),0)</f>
        <v>198</v>
      </c>
      <c r="I914" s="96">
        <f>IFERROR(G914*VLOOKUP($E914,BD!$L$2:$Q$66,5,0),0)</f>
        <v>437.58000000000004</v>
      </c>
      <c r="J914" s="3">
        <f t="shared" si="59"/>
        <v>2021</v>
      </c>
    </row>
    <row r="915" spans="1:10" s="9" customFormat="1" hidden="1" x14ac:dyDescent="0.25">
      <c r="A915" s="421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6">
        <v>256601</v>
      </c>
      <c r="F915" s="3" t="str">
        <f>IFERROR(VLOOKUP(E915,BD!$L$2:$Q$66,2,0),0)</f>
        <v>INCA KOLA PET 2.25LX2 RF</v>
      </c>
      <c r="G915" s="409">
        <f>162*8</f>
        <v>1296</v>
      </c>
      <c r="H915" s="3">
        <f>+IFERROR(VLOOKUP(E915,BD!$L$2:$Q$66,6,0),0)</f>
        <v>162</v>
      </c>
      <c r="I915" s="96">
        <f>IFERROR(G915*VLOOKUP($E915,BD!$L$2:$Q$66,5,0),0)</f>
        <v>220.32000000000002</v>
      </c>
      <c r="J915" s="3">
        <f t="shared" si="59"/>
        <v>2021</v>
      </c>
    </row>
    <row r="916" spans="1:10" s="9" customFormat="1" hidden="1" x14ac:dyDescent="0.25">
      <c r="A916" s="421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20">
        <v>256674</v>
      </c>
      <c r="F916" s="3" t="str">
        <f>IFERROR(VLOOKUP(E916,BD!$L$2:$Q$66,2,0),0)</f>
        <v>COCA-COLA PET 1.5LX2 RF</v>
      </c>
      <c r="G916" s="409">
        <f>198*8</f>
        <v>1584</v>
      </c>
      <c r="H916" s="3">
        <f>+IFERROR(VLOOKUP(E916,BD!$L$2:$Q$66,6,0),0)</f>
        <v>198</v>
      </c>
      <c r="I916" s="96">
        <f>IFERROR(G916*VLOOKUP($E916,BD!$L$2:$Q$66,5,0),0)</f>
        <v>269.28000000000003</v>
      </c>
      <c r="J916" s="3">
        <f t="shared" si="59"/>
        <v>2021</v>
      </c>
    </row>
    <row r="917" spans="1:10" s="9" customFormat="1" hidden="1" x14ac:dyDescent="0.25">
      <c r="A917" s="421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20">
        <v>256678</v>
      </c>
      <c r="F917" s="3" t="str">
        <f>IFERROR(VLOOKUP(E917,BD!$L$2:$Q$66,2,0),0)</f>
        <v>TRIPACK (CC+IK)PFM+FT PET 3LX3 - RFNN</v>
      </c>
      <c r="G917" s="409">
        <f>90*24</f>
        <v>2160</v>
      </c>
      <c r="H917" s="3">
        <f>+IFERROR(VLOOKUP(E917,BD!$L$2:$Q$66,6,0),0)</f>
        <v>90</v>
      </c>
      <c r="I917" s="96">
        <f>IFERROR(G917*VLOOKUP($E917,BD!$L$2:$Q$66,5,0),0)</f>
        <v>367.20000000000005</v>
      </c>
      <c r="J917" s="3">
        <f t="shared" si="59"/>
        <v>2021</v>
      </c>
    </row>
    <row r="918" spans="1:10" s="9" customFormat="1" hidden="1" x14ac:dyDescent="0.25">
      <c r="A918" s="421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20">
        <v>751315</v>
      </c>
      <c r="F918" s="3" t="str">
        <f>IFERROR(VLOOKUP(E918,BD!$L$2:$Q$66,2,0),0)</f>
        <v>MONSTER ENERGY 473MLX4</v>
      </c>
      <c r="G918" s="409">
        <f>473*3</f>
        <v>1419</v>
      </c>
      <c r="H918" s="3">
        <f>+IFERROR(VLOOKUP(E918,BD!$L$2:$Q$66,6,0),0)</f>
        <v>420</v>
      </c>
      <c r="I918" s="96">
        <f>IFERROR(G918*VLOOKUP($E918,BD!$L$2:$Q$66,5,0),0)</f>
        <v>595.98</v>
      </c>
      <c r="J918" s="3">
        <f t="shared" si="59"/>
        <v>2021</v>
      </c>
    </row>
    <row r="919" spans="1:10" s="9" customFormat="1" hidden="1" x14ac:dyDescent="0.25">
      <c r="A919" s="421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20">
        <v>256617</v>
      </c>
      <c r="F919" s="3" t="str">
        <f>IFERROR(VLOOKUP(E919,BD!$L$2:$Q$66,2,0),0)</f>
        <v>TWO PACK SCHWEPPES GINGER ALE PET 1.5LX2</v>
      </c>
      <c r="G919" s="409">
        <f>198*2</f>
        <v>396</v>
      </c>
      <c r="H919" s="3">
        <f>+IFERROR(VLOOKUP(E919,BD!$L$2:$Q$66,6,0),0)</f>
        <v>198</v>
      </c>
      <c r="I919" s="96">
        <f>IFERROR(G919*VLOOKUP($E919,BD!$L$2:$Q$66,5,0),0)</f>
        <v>67.320000000000007</v>
      </c>
      <c r="J919" s="3">
        <f t="shared" si="59"/>
        <v>2021</v>
      </c>
    </row>
    <row r="920" spans="1:10" s="9" customFormat="1" hidden="1" x14ac:dyDescent="0.25">
      <c r="A920" s="421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20">
        <v>251429</v>
      </c>
      <c r="F920" s="3" t="str">
        <f>IFERROR(VLOOKUP(E920,BD!$L$2:$Q$66,2,0),0)</f>
        <v>SAN LUIS SIN GAS PET2500X6 STICKER</v>
      </c>
      <c r="G920" s="409">
        <f>48*15</f>
        <v>720</v>
      </c>
      <c r="H920" s="3">
        <f>+IFERROR(VLOOKUP(E920,BD!$L$2:$Q$66,6,0),0)</f>
        <v>48</v>
      </c>
      <c r="I920" s="96">
        <f>IFERROR(G920*VLOOKUP($E920,BD!$L$2:$Q$66,5,0),0)</f>
        <v>288</v>
      </c>
      <c r="J920" s="3">
        <f t="shared" si="59"/>
        <v>2021</v>
      </c>
    </row>
    <row r="921" spans="1:10" s="9" customFormat="1" hidden="1" x14ac:dyDescent="0.25">
      <c r="A921" s="421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20">
        <v>256379</v>
      </c>
      <c r="F921" s="3" t="str">
        <f>IFERROR(VLOOKUP(E921,BD!$L$2:$Q$66,2,0),0)</f>
        <v>INCA KOLA VR 625MLX12 - STICKER</v>
      </c>
      <c r="G921" s="409">
        <f>50*6</f>
        <v>300</v>
      </c>
      <c r="H921" s="3">
        <f>+IFERROR(VLOOKUP(E921,BD!$L$2:$Q$66,6,0),0)</f>
        <v>50</v>
      </c>
      <c r="I921" s="96">
        <f>IFERROR(G921*VLOOKUP($E921,BD!$L$2:$Q$66,5,0),0)</f>
        <v>120</v>
      </c>
      <c r="J921" s="3">
        <f t="shared" si="59"/>
        <v>2021</v>
      </c>
    </row>
    <row r="922" spans="1:10" s="9" customFormat="1" hidden="1" x14ac:dyDescent="0.25">
      <c r="A922" s="421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20">
        <v>256677</v>
      </c>
      <c r="F922" s="3" t="str">
        <f>IFERROR(VLOOKUP(E922,BD!$L$2:$Q$66,2,0),0)</f>
        <v>TWO PACK CC + IK PFM 3LX2 - RFNN</v>
      </c>
      <c r="G922" s="409">
        <f>120*6</f>
        <v>720</v>
      </c>
      <c r="H922" s="3">
        <f>+IFERROR(VLOOKUP(E922,BD!$L$2:$Q$66,6,0),0)</f>
        <v>120</v>
      </c>
      <c r="I922" s="96">
        <f>IFERROR(G922*VLOOKUP($E922,BD!$L$2:$Q$66,5,0),0)</f>
        <v>122.4</v>
      </c>
      <c r="J922" s="3">
        <f t="shared" si="59"/>
        <v>2021</v>
      </c>
    </row>
    <row r="923" spans="1:10" s="9" customFormat="1" hidden="1" x14ac:dyDescent="0.25">
      <c r="A923" s="421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20">
        <v>256676</v>
      </c>
      <c r="F923" s="3" t="str">
        <f>IFERROR(VLOOKUP(E923,BD!$L$2:$Q$66,2,0),0)</f>
        <v>TWO PACK CC PFM 3LX2 - RFCC</v>
      </c>
      <c r="G923" s="370">
        <v>480</v>
      </c>
      <c r="H923" s="3">
        <f>+IFERROR(VLOOKUP(E923,BD!$L$2:$Q$66,6,0),0)</f>
        <v>120</v>
      </c>
      <c r="I923" s="96">
        <f>IFERROR(G923*VLOOKUP($E923,BD!$L$2:$Q$66,5,0),0)</f>
        <v>81.600000000000009</v>
      </c>
      <c r="J923" s="3">
        <f t="shared" si="59"/>
        <v>2021</v>
      </c>
    </row>
    <row r="924" spans="1:10" s="9" customFormat="1" hidden="1" x14ac:dyDescent="0.25">
      <c r="A924" s="421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20">
        <v>256708</v>
      </c>
      <c r="F924" s="3" t="str">
        <f>IFERROR(VLOOKUP(E924,BD!$L$2:$Q$66,2,0),0)</f>
        <v>POWERADE ION4 FRUTA PET473X6 MOD (STICK)</v>
      </c>
      <c r="G924" s="409">
        <v>225</v>
      </c>
      <c r="H924" s="3">
        <f>+IFERROR(VLOOKUP(E924,BD!$L$2:$Q$66,6,0),0)</f>
        <v>225</v>
      </c>
      <c r="I924" s="96">
        <f>IFERROR(G924*VLOOKUP($E924,BD!$L$2:$Q$66,5,0),0)</f>
        <v>90</v>
      </c>
      <c r="J924" s="3">
        <f t="shared" si="59"/>
        <v>2021</v>
      </c>
    </row>
    <row r="925" spans="1:10" s="9" customFormat="1" hidden="1" x14ac:dyDescent="0.25">
      <c r="A925" s="421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6">
        <v>256695</v>
      </c>
      <c r="F925" s="3" t="str">
        <f>IFERROR(VLOOKUP(E925,BD!$L$2:$Q$66,2,0),0)</f>
        <v>POWERADE 3MORA+3FRUT PET 473MLX6</v>
      </c>
      <c r="G925" s="409">
        <f>225*7</f>
        <v>1575</v>
      </c>
      <c r="H925" s="3">
        <f>+IFERROR(VLOOKUP(E925,BD!$L$2:$Q$66,6,0),0)</f>
        <v>225</v>
      </c>
      <c r="I925" s="96">
        <f>IFERROR(G925*VLOOKUP($E925,BD!$L$2:$Q$66,5,0),0)</f>
        <v>661.5</v>
      </c>
      <c r="J925" s="3">
        <f t="shared" si="59"/>
        <v>2021</v>
      </c>
    </row>
    <row r="926" spans="1:10" s="9" customFormat="1" hidden="1" x14ac:dyDescent="0.25">
      <c r="A926" s="421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6">
        <v>256383</v>
      </c>
      <c r="F926" s="3" t="str">
        <f>IFERROR(VLOOKUP(E926,BD!$L$2:$Q$66,2,0),0)</f>
        <v>COCA COLA VR 1.5LX8 - STICKER</v>
      </c>
      <c r="G926" s="409">
        <v>120</v>
      </c>
      <c r="H926" s="3">
        <f>+IFERROR(VLOOKUP(E926,BD!$L$2:$Q$66,6,0),0)</f>
        <v>30</v>
      </c>
      <c r="I926" s="96">
        <f>IFERROR(G926*VLOOKUP($E926,BD!$L$2:$Q$66,5,0),0)</f>
        <v>27.6</v>
      </c>
      <c r="J926" s="3">
        <f t="shared" si="59"/>
        <v>2021</v>
      </c>
    </row>
    <row r="927" spans="1:10" s="9" customFormat="1" ht="15.75" hidden="1" thickBot="1" x14ac:dyDescent="0.3">
      <c r="A927" s="423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8">
        <v>256381</v>
      </c>
      <c r="F927" s="8" t="str">
        <f>IFERROR(VLOOKUP(E927,BD!$L$2:$Q$66,2,0),0)</f>
        <v>INCA KOLA VR 1.5LX8 - STICKER</v>
      </c>
      <c r="G927" s="450">
        <v>180</v>
      </c>
      <c r="H927" s="8">
        <f>+IFERROR(VLOOKUP(E927,BD!$L$2:$Q$66,6,0),0)</f>
        <v>30</v>
      </c>
      <c r="I927" s="98">
        <f>IFERROR(G927*VLOOKUP($E927,BD!$L$2:$Q$66,5,0),0)</f>
        <v>72</v>
      </c>
      <c r="J927" s="8">
        <f t="shared" si="59"/>
        <v>2021</v>
      </c>
    </row>
    <row r="928" spans="1:10" s="9" customFormat="1" hidden="1" x14ac:dyDescent="0.25">
      <c r="A928" s="422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9">
        <v>256652</v>
      </c>
      <c r="F928" s="6" t="str">
        <f>IFERROR(VLOOKUP(E928,BD!$L$2:$Q$66,2,0),0)</f>
        <v>TRIPACK FT NAR+FT KI+SP PET 3L</v>
      </c>
      <c r="G928" s="464">
        <f>90*16</f>
        <v>1440</v>
      </c>
      <c r="H928" s="6">
        <f>+IFERROR(VLOOKUP(E928,BD!$L$2:$Q$66,6,0),0)</f>
        <v>90</v>
      </c>
      <c r="I928" s="97">
        <f>IFERROR(G928*VLOOKUP($E928,BD!$L$2:$Q$66,5,0),0)</f>
        <v>244.8</v>
      </c>
      <c r="J928" s="6">
        <f t="shared" si="59"/>
        <v>2021</v>
      </c>
    </row>
    <row r="929" spans="1:10" s="9" customFormat="1" hidden="1" x14ac:dyDescent="0.25">
      <c r="A929" s="421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20">
        <v>256677</v>
      </c>
      <c r="F929" s="3" t="str">
        <f>IFERROR(VLOOKUP(E929,BD!$L$2:$Q$66,2,0),0)</f>
        <v>TWO PACK CC + IK PFM 3LX2 - RFNN</v>
      </c>
      <c r="G929" s="409">
        <f>120*12</f>
        <v>1440</v>
      </c>
      <c r="H929" s="3">
        <f>+IFERROR(VLOOKUP(E929,BD!$L$2:$Q$66,6,0),0)</f>
        <v>120</v>
      </c>
      <c r="I929" s="96">
        <f>IFERROR(G929*VLOOKUP($E929,BD!$L$2:$Q$66,5,0),0)</f>
        <v>244.8</v>
      </c>
      <c r="J929" s="3">
        <f t="shared" si="59"/>
        <v>2021</v>
      </c>
    </row>
    <row r="930" spans="1:10" s="9" customFormat="1" hidden="1" x14ac:dyDescent="0.25">
      <c r="A930" s="421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20">
        <v>256680</v>
      </c>
      <c r="F930" s="3" t="str">
        <f>IFERROR(VLOOKUP(E930,BD!$L$2:$Q$66,2,0),0)</f>
        <v>TRIPACK CC+CC+IK PFM 3LX3 - RFNN</v>
      </c>
      <c r="G930" s="409">
        <f>90*10</f>
        <v>900</v>
      </c>
      <c r="H930" s="3">
        <f>+IFERROR(VLOOKUP(E930,BD!$L$2:$Q$66,6,0),0)</f>
        <v>90</v>
      </c>
      <c r="I930" s="96">
        <f>IFERROR(G930*VLOOKUP($E930,BD!$L$2:$Q$66,5,0),0)</f>
        <v>153</v>
      </c>
      <c r="J930" s="3">
        <f t="shared" si="59"/>
        <v>2021</v>
      </c>
    </row>
    <row r="931" spans="1:10" s="9" customFormat="1" hidden="1" x14ac:dyDescent="0.25">
      <c r="A931" s="421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20">
        <v>256679</v>
      </c>
      <c r="F931" s="3" t="str">
        <f>IFERROR(VLOOKUP(E931,BD!$L$2:$Q$66,2,0),0)</f>
        <v>TRIPACK CC+IK+IK PFM 3LX3 - RFNN</v>
      </c>
      <c r="G931" s="409">
        <f>90*24</f>
        <v>2160</v>
      </c>
      <c r="H931" s="3">
        <f>+IFERROR(VLOOKUP(E931,BD!$L$2:$Q$66,6,0),0)</f>
        <v>90</v>
      </c>
      <c r="I931" s="96">
        <f>IFERROR(G931*VLOOKUP($E931,BD!$L$2:$Q$66,5,0),0)</f>
        <v>367.20000000000005</v>
      </c>
      <c r="J931" s="3">
        <f t="shared" si="59"/>
        <v>2021</v>
      </c>
    </row>
    <row r="932" spans="1:10" s="9" customFormat="1" ht="15.75" hidden="1" thickBot="1" x14ac:dyDescent="0.3">
      <c r="A932" s="423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75">
        <v>256682</v>
      </c>
      <c r="F932" s="8" t="str">
        <f>IFERROR(VLOOKUP(E932,BD!$L$2:$Q$66,2,0),0)</f>
        <v>TRIPACK (FT NAR+SP)PET+IK RF PFM 3L</v>
      </c>
      <c r="G932" s="450">
        <f>90*5</f>
        <v>450</v>
      </c>
      <c r="H932" s="8">
        <f>+IFERROR(VLOOKUP(E932,BD!$L$2:$Q$66,6,0),0)</f>
        <v>90</v>
      </c>
      <c r="I932" s="98">
        <f>IFERROR(G932*VLOOKUP($E932,BD!$L$2:$Q$66,5,0),0)</f>
        <v>76.5</v>
      </c>
      <c r="J932" s="8">
        <f t="shared" si="59"/>
        <v>2021</v>
      </c>
    </row>
    <row r="933" spans="1:10" s="9" customFormat="1" hidden="1" x14ac:dyDescent="0.25">
      <c r="A933" s="422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9">
        <v>751315</v>
      </c>
      <c r="F933" s="6" t="str">
        <f>IFERROR(VLOOKUP(E933,BD!$L$2:$Q$66,2,0),0)</f>
        <v>MONSTER ENERGY 473MLX4</v>
      </c>
      <c r="G933" s="464">
        <f>420*5</f>
        <v>2100</v>
      </c>
      <c r="H933" s="6">
        <f>+IFERROR(VLOOKUP(E933,BD!$L$2:$Q$66,6,0),0)</f>
        <v>420</v>
      </c>
      <c r="I933" s="97">
        <f>IFERROR(G933*VLOOKUP($E933,BD!$L$2:$Q$66,5,0),0)</f>
        <v>882</v>
      </c>
      <c r="J933" s="6">
        <f t="shared" si="59"/>
        <v>2021</v>
      </c>
    </row>
    <row r="934" spans="1:10" s="9" customFormat="1" hidden="1" x14ac:dyDescent="0.25">
      <c r="A934" s="421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20">
        <v>256380</v>
      </c>
      <c r="F934" s="3" t="str">
        <f>IFERROR(VLOOKUP(E934,BD!$L$2:$Q$66,2,0),0)</f>
        <v>INCA KOLA VR 296MLX24 - STICKER</v>
      </c>
      <c r="G934" s="409">
        <v>40</v>
      </c>
      <c r="H934" s="3">
        <f>+IFERROR(VLOOKUP(E934,BD!$L$2:$Q$66,6,0),0)</f>
        <v>40</v>
      </c>
      <c r="I934" s="96">
        <f>IFERROR(G934*VLOOKUP($E934,BD!$L$2:$Q$66,5,0),0)</f>
        <v>9.2000000000000011</v>
      </c>
      <c r="J934" s="3">
        <f t="shared" si="59"/>
        <v>2021</v>
      </c>
    </row>
    <row r="935" spans="1:10" s="9" customFormat="1" hidden="1" x14ac:dyDescent="0.25">
      <c r="A935" s="421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20">
        <v>256685</v>
      </c>
      <c r="F935" s="3" t="str">
        <f>IFERROR(VLOOKUP(E935,BD!$L$2:$Q$66,2,0),0)</f>
        <v>SL S/G TAPA PLANA 1LT</v>
      </c>
      <c r="G935" s="409">
        <f>112*5</f>
        <v>560</v>
      </c>
      <c r="H935" s="3">
        <f>+IFERROR(VLOOKUP(E935,BD!$L$2:$Q$66,6,0),0)</f>
        <v>112</v>
      </c>
      <c r="I935" s="96">
        <f>IFERROR(G935*VLOOKUP($E935,BD!$L$2:$Q$66,5,0),0)</f>
        <v>224</v>
      </c>
      <c r="J935" s="3">
        <f t="shared" si="59"/>
        <v>2021</v>
      </c>
    </row>
    <row r="936" spans="1:10" s="9" customFormat="1" hidden="1" x14ac:dyDescent="0.25">
      <c r="A936" s="421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20">
        <v>256379</v>
      </c>
      <c r="F936" s="3" t="str">
        <f>IFERROR(VLOOKUP(E936,BD!$L$2:$Q$66,2,0),0)</f>
        <v>INCA KOLA VR 625MLX12 - STICKER</v>
      </c>
      <c r="G936" s="409">
        <v>50</v>
      </c>
      <c r="H936" s="3">
        <f>+IFERROR(VLOOKUP(E936,BD!$L$2:$Q$66,6,0),0)</f>
        <v>50</v>
      </c>
      <c r="I936" s="96">
        <f>IFERROR(G936*VLOOKUP($E936,BD!$L$2:$Q$66,5,0),0)</f>
        <v>20</v>
      </c>
      <c r="J936" s="3">
        <f t="shared" si="59"/>
        <v>2021</v>
      </c>
    </row>
    <row r="937" spans="1:10" s="9" customFormat="1" hidden="1" x14ac:dyDescent="0.25">
      <c r="A937" s="421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20">
        <v>256383</v>
      </c>
      <c r="F937" s="3" t="str">
        <f>IFERROR(VLOOKUP(E937,BD!$L$2:$Q$66,2,0),0)</f>
        <v>COCA COLA VR 1.5LX8 - STICKER</v>
      </c>
      <c r="G937" s="409">
        <v>30</v>
      </c>
      <c r="H937" s="3">
        <f>+IFERROR(VLOOKUP(E937,BD!$L$2:$Q$66,6,0),0)</f>
        <v>30</v>
      </c>
      <c r="I937" s="96">
        <f>IFERROR(G937*VLOOKUP($E937,BD!$L$2:$Q$66,5,0),0)</f>
        <v>6.9</v>
      </c>
      <c r="J937" s="3">
        <f t="shared" si="59"/>
        <v>2021</v>
      </c>
    </row>
    <row r="938" spans="1:10" s="9" customFormat="1" ht="15.75" hidden="1" thickBot="1" x14ac:dyDescent="0.3">
      <c r="A938" s="423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75">
        <v>256381</v>
      </c>
      <c r="F938" s="8" t="str">
        <f>IFERROR(VLOOKUP(E938,BD!$L$2:$Q$66,2,0),0)</f>
        <v>INCA KOLA VR 1.5LX8 - STICKER</v>
      </c>
      <c r="G938" s="450">
        <v>30</v>
      </c>
      <c r="H938" s="8">
        <f>+IFERROR(VLOOKUP(E938,BD!$L$2:$Q$66,6,0),0)</f>
        <v>30</v>
      </c>
      <c r="I938" s="98">
        <f>IFERROR(G938*VLOOKUP($E938,BD!$L$2:$Q$66,5,0),0)</f>
        <v>12</v>
      </c>
      <c r="J938" s="8">
        <f t="shared" si="59"/>
        <v>2021</v>
      </c>
    </row>
    <row r="939" spans="1:10" s="9" customFormat="1" hidden="1" x14ac:dyDescent="0.25">
      <c r="A939" s="422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9">
        <v>251429</v>
      </c>
      <c r="F939" s="6" t="str">
        <f>IFERROR(VLOOKUP(E939,BD!$L$2:$Q$66,2,0),0)</f>
        <v>SAN LUIS SIN GAS PET2500X6 STICKER</v>
      </c>
      <c r="G939" s="464">
        <f>48*12</f>
        <v>576</v>
      </c>
      <c r="H939" s="6">
        <f>+IFERROR(VLOOKUP(E939,BD!$L$2:$Q$66,6,0),0)</f>
        <v>48</v>
      </c>
      <c r="I939" s="97">
        <f>IFERROR(G939*VLOOKUP($E939,BD!$L$2:$Q$66,5,0),0)</f>
        <v>230.4</v>
      </c>
      <c r="J939" s="6">
        <f t="shared" si="59"/>
        <v>2021</v>
      </c>
    </row>
    <row r="940" spans="1:10" s="9" customFormat="1" hidden="1" x14ac:dyDescent="0.25">
      <c r="A940" s="421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20">
        <v>256708</v>
      </c>
      <c r="F940" s="3" t="str">
        <f>IFERROR(VLOOKUP(E940,BD!$L$2:$Q$66,2,0),0)</f>
        <v>POWERADE ION4 FRUTA PET473X6 MOD (STICK)</v>
      </c>
      <c r="G940" s="409">
        <f>225*3</f>
        <v>675</v>
      </c>
      <c r="H940" s="3">
        <f>+IFERROR(VLOOKUP(E940,BD!$L$2:$Q$66,6,0),0)</f>
        <v>225</v>
      </c>
      <c r="I940" s="96">
        <f>IFERROR(G940*VLOOKUP($E940,BD!$L$2:$Q$66,5,0),0)</f>
        <v>270</v>
      </c>
      <c r="J940" s="3">
        <f t="shared" si="59"/>
        <v>2021</v>
      </c>
    </row>
    <row r="941" spans="1:10" s="9" customFormat="1" hidden="1" x14ac:dyDescent="0.25">
      <c r="A941" s="421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20">
        <v>256709</v>
      </c>
      <c r="F941" s="3" t="str">
        <f>IFERROR(VLOOKUP(E941,BD!$L$2:$Q$66,2,0),0)</f>
        <v>POWERADE ION4 MORA AZ PET473X6 MOD(STCK)</v>
      </c>
      <c r="G941" s="409">
        <f>225*3</f>
        <v>675</v>
      </c>
      <c r="H941" s="3">
        <f>+IFERROR(VLOOKUP(E941,BD!$L$2:$Q$66,6,0),0)</f>
        <v>225</v>
      </c>
      <c r="I941" s="96">
        <f>IFERROR(G941*VLOOKUP($E941,BD!$L$2:$Q$66,5,0),0)</f>
        <v>270</v>
      </c>
      <c r="J941" s="3">
        <f t="shared" si="59"/>
        <v>2021</v>
      </c>
    </row>
    <row r="942" spans="1:10" s="9" customFormat="1" hidden="1" x14ac:dyDescent="0.25">
      <c r="A942" s="483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8">
        <v>256382</v>
      </c>
      <c r="F942" s="33" t="str">
        <f>IFERROR(VLOOKUP(E942,BD!$L$2:$Q$66,2,0),0)</f>
        <v>COCA COLA VR 296MLX24 - STICKER</v>
      </c>
      <c r="G942" s="471">
        <v>80</v>
      </c>
      <c r="H942" s="33">
        <f>+IFERROR(VLOOKUP(E942,BD!$L$2:$Q$66,6,0),0)</f>
        <v>40</v>
      </c>
      <c r="I942" s="499">
        <f>IFERROR(G942*VLOOKUP($E942,BD!$L$2:$Q$66,5,0),0)</f>
        <v>18.400000000000002</v>
      </c>
      <c r="J942" s="33">
        <f t="shared" si="59"/>
        <v>2021</v>
      </c>
    </row>
    <row r="943" spans="1:10" s="9" customFormat="1" hidden="1" x14ac:dyDescent="0.25">
      <c r="A943" s="493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63">
        <v>256677</v>
      </c>
      <c r="F943" s="6" t="str">
        <f>IFERROR(VLOOKUP(E943,BD!$L$2:$Q$66,2,0),0)</f>
        <v>TWO PACK CC + IK PFM 3LX2 - RFNN</v>
      </c>
      <c r="G943" s="464">
        <v>1440</v>
      </c>
      <c r="H943" s="6">
        <f>+IFERROR(VLOOKUP(E943,BD!$L$2:$Q$66,6,0),0)</f>
        <v>120</v>
      </c>
      <c r="I943" s="97">
        <f>IFERROR(G943*VLOOKUP($E943,BD!$L$2:$Q$66,5,0),0)</f>
        <v>244.8</v>
      </c>
      <c r="J943" s="109">
        <f t="shared" si="59"/>
        <v>2021</v>
      </c>
    </row>
    <row r="944" spans="1:10" s="9" customFormat="1" hidden="1" x14ac:dyDescent="0.25">
      <c r="A944" s="491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7">
        <v>256652</v>
      </c>
      <c r="F944" s="3" t="str">
        <f>IFERROR(VLOOKUP(E944,BD!$L$2:$Q$66,2,0),0)</f>
        <v>TRIPACK FT NAR+FT KI+SP PET 3L</v>
      </c>
      <c r="G944" s="409">
        <v>720</v>
      </c>
      <c r="H944" s="3">
        <f>+IFERROR(VLOOKUP(E944,BD!$L$2:$Q$66,6,0),0)</f>
        <v>90</v>
      </c>
      <c r="I944" s="96">
        <f>IFERROR(G944*VLOOKUP($E944,BD!$L$2:$Q$66,5,0),0)</f>
        <v>122.4</v>
      </c>
      <c r="J944" s="5">
        <f t="shared" si="59"/>
        <v>2021</v>
      </c>
    </row>
    <row r="945" spans="1:10" s="9" customFormat="1" ht="15.75" hidden="1" thickBot="1" x14ac:dyDescent="0.3">
      <c r="A945" s="492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9">
        <v>256678</v>
      </c>
      <c r="F945" s="8" t="str">
        <f>IFERROR(VLOOKUP(E945,BD!$L$2:$Q$66,2,0),0)</f>
        <v>TRIPACK (CC+IK)PFM+FT PET 3LX3 - RFNN</v>
      </c>
      <c r="G945" s="450">
        <v>720</v>
      </c>
      <c r="H945" s="8">
        <f>+IFERROR(VLOOKUP(E945,BD!$L$2:$Q$66,6,0),0)</f>
        <v>90</v>
      </c>
      <c r="I945" s="98">
        <f>IFERROR(G945*VLOOKUP($E945,BD!$L$2:$Q$66,5,0),0)</f>
        <v>122.4</v>
      </c>
      <c r="J945" s="110">
        <f t="shared" si="59"/>
        <v>2021</v>
      </c>
    </row>
    <row r="946" spans="1:10" s="9" customFormat="1" hidden="1" x14ac:dyDescent="0.25">
      <c r="A946" s="422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9">
        <v>251406</v>
      </c>
      <c r="F946" s="6" t="str">
        <f>IFERROR(VLOOKUP(E946,BD!$L$2:$Q$66,2,0),0)</f>
        <v>COCA-COLA SIN AZUCAR PET 1.5LX2</v>
      </c>
      <c r="G946" s="502">
        <f>198*5</f>
        <v>990</v>
      </c>
      <c r="H946" s="6">
        <f>+IFERROR(VLOOKUP(E946,BD!$L$2:$Q$66,6,0),0)</f>
        <v>198</v>
      </c>
      <c r="I946" s="97">
        <f>IFERROR(G946*VLOOKUP($E946,BD!$L$2:$Q$66,5,0),0)</f>
        <v>168.3</v>
      </c>
      <c r="J946" s="109">
        <f t="shared" si="59"/>
        <v>2021</v>
      </c>
    </row>
    <row r="947" spans="1:10" s="9" customFormat="1" hidden="1" x14ac:dyDescent="0.25">
      <c r="A947" s="421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6">
        <v>256488</v>
      </c>
      <c r="F947" s="3" t="str">
        <f>IFERROR(VLOOKUP(E947,BD!$L$2:$Q$66,2,0),0)</f>
        <v>INCA KOLA PET 3LX2 - RF</v>
      </c>
      <c r="G947" s="409">
        <f>120*4</f>
        <v>480</v>
      </c>
      <c r="H947" s="3">
        <f>+IFERROR(VLOOKUP(E947,BD!$L$2:$Q$66,6,0),0)</f>
        <v>120</v>
      </c>
      <c r="I947" s="96">
        <f>IFERROR(G947*VLOOKUP($E947,BD!$L$2:$Q$66,5,0),0)</f>
        <v>81.600000000000009</v>
      </c>
      <c r="J947" s="5">
        <f t="shared" si="59"/>
        <v>2021</v>
      </c>
    </row>
    <row r="948" spans="1:10" s="9" customFormat="1" hidden="1" x14ac:dyDescent="0.25">
      <c r="A948" s="421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6">
        <v>254853</v>
      </c>
      <c r="F948" s="3" t="str">
        <f>IFERROR(VLOOKUP(E948,BD!$L$2:$Q$66,2,0),0)</f>
        <v>INCA KOLA SIN AZUCAR PET 1.5LX2</v>
      </c>
      <c r="G948" s="370">
        <f>198*6</f>
        <v>1188</v>
      </c>
      <c r="H948" s="3">
        <f>+IFERROR(VLOOKUP(E948,BD!$L$2:$Q$66,6,0),0)</f>
        <v>198</v>
      </c>
      <c r="I948" s="96">
        <f>IFERROR(G948*VLOOKUP($E948,BD!$L$2:$Q$66,5,0),0)</f>
        <v>201.96</v>
      </c>
      <c r="J948" s="5">
        <f t="shared" si="59"/>
        <v>2021</v>
      </c>
    </row>
    <row r="949" spans="1:10" s="9" customFormat="1" hidden="1" x14ac:dyDescent="0.25">
      <c r="A949" s="421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20">
        <v>256616</v>
      </c>
      <c r="F949" s="3" t="str">
        <f>IFERROR(VLOOKUP(E949,BD!$L$2:$Q$66,2,0),0)</f>
        <v>TWO PACK SCHWEPPES CITRUS PET 1.5LX2</v>
      </c>
      <c r="G949" s="409">
        <f>198*2</f>
        <v>396</v>
      </c>
      <c r="H949" s="3">
        <f>+IFERROR(VLOOKUP(E949,BD!$L$2:$Q$66,6,0),0)</f>
        <v>198</v>
      </c>
      <c r="I949" s="96">
        <f>IFERROR(G949*VLOOKUP($E949,BD!$L$2:$Q$66,5,0),0)</f>
        <v>67.320000000000007</v>
      </c>
      <c r="J949" s="5">
        <f t="shared" si="59"/>
        <v>2021</v>
      </c>
    </row>
    <row r="950" spans="1:10" s="9" customFormat="1" hidden="1" x14ac:dyDescent="0.25">
      <c r="A950" s="421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20">
        <v>256617</v>
      </c>
      <c r="F950" s="3" t="str">
        <f>IFERROR(VLOOKUP(E950,BD!$L$2:$Q$66,2,0),0)</f>
        <v>TWO PACK SCHWEPPES GINGER ALE PET 1.5LX2</v>
      </c>
      <c r="G950" s="409">
        <f>198*6</f>
        <v>1188</v>
      </c>
      <c r="H950" s="3">
        <f>+IFERROR(VLOOKUP(E950,BD!$L$2:$Q$66,6,0),0)</f>
        <v>198</v>
      </c>
      <c r="I950" s="96">
        <f>IFERROR(G950*VLOOKUP($E950,BD!$L$2:$Q$66,5,0),0)</f>
        <v>201.96</v>
      </c>
      <c r="J950" s="5">
        <f t="shared" si="59"/>
        <v>2021</v>
      </c>
    </row>
    <row r="951" spans="1:10" s="9" customFormat="1" hidden="1" x14ac:dyDescent="0.25">
      <c r="A951" s="421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20">
        <v>256679</v>
      </c>
      <c r="F951" s="3" t="str">
        <f>IFERROR(VLOOKUP(E951,BD!$L$2:$Q$66,2,0),0)</f>
        <v>TRIPACK CC+IK+IK PFM 3LX3 - RFNN</v>
      </c>
      <c r="G951" s="409">
        <f>90*5</f>
        <v>450</v>
      </c>
      <c r="H951" s="3">
        <f>+IFERROR(VLOOKUP(E951,BD!$L$2:$Q$66,6,0),0)</f>
        <v>90</v>
      </c>
      <c r="I951" s="96">
        <f>IFERROR(G951*VLOOKUP($E951,BD!$L$2:$Q$66,5,0),0)</f>
        <v>76.5</v>
      </c>
      <c r="J951" s="5">
        <f t="shared" si="59"/>
        <v>2021</v>
      </c>
    </row>
    <row r="952" spans="1:10" s="9" customFormat="1" hidden="1" x14ac:dyDescent="0.25">
      <c r="A952" s="421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6">
        <v>256678</v>
      </c>
      <c r="F952" s="3" t="str">
        <f>IFERROR(VLOOKUP(E952,BD!$L$2:$Q$66,2,0),0)</f>
        <v>TRIPACK (CC+IK)PFM+FT PET 3LX3 - RFNN</v>
      </c>
      <c r="G952" s="409">
        <f>90*13</f>
        <v>1170</v>
      </c>
      <c r="H952" s="3">
        <f>+IFERROR(VLOOKUP(E952,BD!$L$2:$Q$66,6,0),0)</f>
        <v>90</v>
      </c>
      <c r="I952" s="96">
        <f>IFERROR(G952*VLOOKUP($E952,BD!$L$2:$Q$66,5,0),0)</f>
        <v>198.9</v>
      </c>
      <c r="J952" s="5">
        <f t="shared" si="59"/>
        <v>2021</v>
      </c>
    </row>
    <row r="953" spans="1:10" s="9" customFormat="1" hidden="1" x14ac:dyDescent="0.25">
      <c r="A953" s="421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20">
        <v>256674</v>
      </c>
      <c r="F953" s="3" t="str">
        <f>IFERROR(VLOOKUP(E953,BD!$L$2:$Q$66,2,0),0)</f>
        <v>COCA-COLA PET 1.5LX2 RF</v>
      </c>
      <c r="G953" s="370">
        <f>198*4</f>
        <v>792</v>
      </c>
      <c r="H953" s="3">
        <f>+IFERROR(VLOOKUP(E953,BD!$L$2:$Q$66,6,0),0)</f>
        <v>198</v>
      </c>
      <c r="I953" s="96">
        <f>IFERROR(G953*VLOOKUP($E953,BD!$L$2:$Q$66,5,0),0)</f>
        <v>134.64000000000001</v>
      </c>
      <c r="J953" s="5">
        <f t="shared" si="59"/>
        <v>2021</v>
      </c>
    </row>
    <row r="954" spans="1:10" s="9" customFormat="1" hidden="1" x14ac:dyDescent="0.25">
      <c r="A954" s="421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20">
        <v>256675</v>
      </c>
      <c r="F954" s="3" t="str">
        <f>IFERROR(VLOOKUP(E954,BD!$L$2:$Q$66,2,0),0)</f>
        <v>INCA KOLA PET 1.5LX2 RF</v>
      </c>
      <c r="G954" s="370">
        <f>198*3</f>
        <v>594</v>
      </c>
      <c r="H954" s="3">
        <f>+IFERROR(VLOOKUP(E954,BD!$L$2:$Q$66,6,0),0)</f>
        <v>198</v>
      </c>
      <c r="I954" s="96">
        <f>IFERROR(G954*VLOOKUP($E954,BD!$L$2:$Q$66,5,0),0)</f>
        <v>100.98</v>
      </c>
      <c r="J954" s="5">
        <f t="shared" si="59"/>
        <v>2021</v>
      </c>
    </row>
    <row r="955" spans="1:10" s="9" customFormat="1" hidden="1" x14ac:dyDescent="0.25">
      <c r="A955" s="421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20">
        <v>256695</v>
      </c>
      <c r="F955" s="3" t="str">
        <f>IFERROR(VLOOKUP(E955,BD!$L$2:$Q$66,2,0),0)</f>
        <v>POWERADE 3MORA+3FRUT PET 473MLX6</v>
      </c>
      <c r="G955" s="409">
        <f>225*9</f>
        <v>2025</v>
      </c>
      <c r="H955" s="3">
        <f>+IFERROR(VLOOKUP(E955,BD!$L$2:$Q$66,6,0),0)</f>
        <v>225</v>
      </c>
      <c r="I955" s="96">
        <f>IFERROR(G955*VLOOKUP($E955,BD!$L$2:$Q$66,5,0),0)</f>
        <v>850.5</v>
      </c>
      <c r="J955" s="5">
        <f t="shared" si="59"/>
        <v>2021</v>
      </c>
    </row>
    <row r="956" spans="1:10" s="9" customFormat="1" hidden="1" x14ac:dyDescent="0.25">
      <c r="A956" s="421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6">
        <v>252436</v>
      </c>
      <c r="F956" s="3" t="str">
        <f>IFERROR(VLOOKUP(E956,BD!$L$2:$Q$66,2,0),0)</f>
        <v>SAN LUIS SIN GAS PET 625MLX15 C/STICKER</v>
      </c>
      <c r="G956" s="409">
        <f>90*8</f>
        <v>720</v>
      </c>
      <c r="H956" s="3">
        <f>+IFERROR(VLOOKUP(E956,BD!$L$2:$Q$66,6,0),0)</f>
        <v>90</v>
      </c>
      <c r="I956" s="96">
        <f>IFERROR(G956*VLOOKUP($E956,BD!$L$2:$Q$66,5,0),0)</f>
        <v>288</v>
      </c>
      <c r="J956" s="5">
        <f t="shared" si="59"/>
        <v>2021</v>
      </c>
    </row>
    <row r="957" spans="1:10" s="9" customFormat="1" hidden="1" x14ac:dyDescent="0.25">
      <c r="A957" s="421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6">
        <v>256709</v>
      </c>
      <c r="F957" s="3" t="str">
        <f>IFERROR(VLOOKUP(E957,BD!$L$2:$Q$66,2,0),0)</f>
        <v>POWERADE ION4 MORA AZ PET473X6 MOD(STCK)</v>
      </c>
      <c r="G957" s="409">
        <f>225*8</f>
        <v>1800</v>
      </c>
      <c r="H957" s="3">
        <f>+IFERROR(VLOOKUP(E957,BD!$L$2:$Q$66,6,0),0)</f>
        <v>225</v>
      </c>
      <c r="I957" s="96">
        <f>IFERROR(G957*VLOOKUP($E957,BD!$L$2:$Q$66,5,0),0)</f>
        <v>720</v>
      </c>
      <c r="J957" s="5">
        <f t="shared" si="59"/>
        <v>2021</v>
      </c>
    </row>
    <row r="958" spans="1:10" s="9" customFormat="1" hidden="1" x14ac:dyDescent="0.25">
      <c r="A958" s="421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20">
        <v>256708</v>
      </c>
      <c r="F958" s="3" t="str">
        <f>IFERROR(VLOOKUP(E958,BD!$L$2:$Q$66,2,0),0)</f>
        <v>POWERADE ION4 FRUTA PET473X6 MOD (STICK)</v>
      </c>
      <c r="G958" s="409">
        <f>225*10</f>
        <v>2250</v>
      </c>
      <c r="H958" s="3">
        <f>+IFERROR(VLOOKUP(E958,BD!$L$2:$Q$66,6,0),0)</f>
        <v>225</v>
      </c>
      <c r="I958" s="96">
        <f>IFERROR(G958*VLOOKUP($E958,BD!$L$2:$Q$66,5,0),0)</f>
        <v>900</v>
      </c>
      <c r="J958" s="5">
        <f t="shared" si="59"/>
        <v>2021</v>
      </c>
    </row>
    <row r="959" spans="1:10" s="9" customFormat="1" ht="15.75" hidden="1" thickBot="1" x14ac:dyDescent="0.3">
      <c r="A959" s="423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75">
        <v>256381</v>
      </c>
      <c r="F959" s="8" t="str">
        <f>IFERROR(VLOOKUP(E959,BD!$L$2:$Q$66,2,0),0)</f>
        <v>INCA KOLA VR 1.5LX8 - STICKER</v>
      </c>
      <c r="G959" s="450">
        <v>30</v>
      </c>
      <c r="H959" s="8">
        <f>+IFERROR(VLOOKUP(E959,BD!$L$2:$Q$66,6,0),0)</f>
        <v>30</v>
      </c>
      <c r="I959" s="98">
        <f>IFERROR(G959*VLOOKUP($E959,BD!$L$2:$Q$66,5,0),0)</f>
        <v>12</v>
      </c>
      <c r="J959" s="110">
        <f t="shared" si="59"/>
        <v>2021</v>
      </c>
    </row>
    <row r="960" spans="1:10" s="9" customFormat="1" hidden="1" x14ac:dyDescent="0.25">
      <c r="A960" s="422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9">
        <v>256695</v>
      </c>
      <c r="F960" s="6" t="str">
        <f>IFERROR(VLOOKUP(E960,BD!$L$2:$Q$66,2,0),0)</f>
        <v>POWERADE 3MORA+3FRUT PET 473MLX6</v>
      </c>
      <c r="G960" s="464">
        <f>225*6</f>
        <v>1350</v>
      </c>
      <c r="H960" s="6">
        <f>+IFERROR(VLOOKUP(E960,BD!$L$2:$Q$66,6,0),0)</f>
        <v>225</v>
      </c>
      <c r="I960" s="97">
        <f>IFERROR(G960*VLOOKUP($E960,BD!$L$2:$Q$66,5,0),0)</f>
        <v>567</v>
      </c>
      <c r="J960" s="109">
        <f t="shared" si="59"/>
        <v>2021</v>
      </c>
    </row>
    <row r="961" spans="1:10" s="9" customFormat="1" hidden="1" x14ac:dyDescent="0.25">
      <c r="A961" s="421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20">
        <v>251406</v>
      </c>
      <c r="F961" s="3" t="str">
        <f>IFERROR(VLOOKUP(E961,BD!$L$2:$Q$66,2,0),0)</f>
        <v>COCA-COLA SIN AZUCAR PET 1.5LX2</v>
      </c>
      <c r="G961" s="370">
        <f>198*2</f>
        <v>396</v>
      </c>
      <c r="H961" s="3">
        <f>+IFERROR(VLOOKUP(E961,BD!$L$2:$Q$66,6,0),0)</f>
        <v>198</v>
      </c>
      <c r="I961" s="96">
        <f>IFERROR(G961*VLOOKUP($E961,BD!$L$2:$Q$66,5,0),0)</f>
        <v>67.320000000000007</v>
      </c>
      <c r="J961" s="5">
        <f t="shared" si="59"/>
        <v>2021</v>
      </c>
    </row>
    <row r="962" spans="1:10" s="9" customFormat="1" hidden="1" x14ac:dyDescent="0.25">
      <c r="A962" s="421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20">
        <v>256488</v>
      </c>
      <c r="F962" s="3" t="str">
        <f>IFERROR(VLOOKUP(E962,BD!$L$2:$Q$66,2,0),0)</f>
        <v>INCA KOLA PET 3LX2 - RF</v>
      </c>
      <c r="G962" s="409">
        <f>120*4</f>
        <v>480</v>
      </c>
      <c r="H962" s="3">
        <f>+IFERROR(VLOOKUP(E962,BD!$L$2:$Q$66,6,0),0)</f>
        <v>120</v>
      </c>
      <c r="I962" s="96">
        <f>IFERROR(G962*VLOOKUP($E962,BD!$L$2:$Q$66,5,0),0)</f>
        <v>81.600000000000009</v>
      </c>
      <c r="J962" s="5">
        <f t="shared" si="59"/>
        <v>2021</v>
      </c>
    </row>
    <row r="963" spans="1:10" s="9" customFormat="1" hidden="1" x14ac:dyDescent="0.25">
      <c r="A963" s="421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20">
        <v>254853</v>
      </c>
      <c r="F963" s="3" t="str">
        <f>IFERROR(VLOOKUP(E963,BD!$L$2:$Q$66,2,0),0)</f>
        <v>INCA KOLA SIN AZUCAR PET 1.5LX2</v>
      </c>
      <c r="G963" s="370">
        <f>198*6</f>
        <v>1188</v>
      </c>
      <c r="H963" s="3">
        <f>+IFERROR(VLOOKUP(E963,BD!$L$2:$Q$66,6,0),0)</f>
        <v>198</v>
      </c>
      <c r="I963" s="96">
        <f>IFERROR(G963*VLOOKUP($E963,BD!$L$2:$Q$66,5,0),0)</f>
        <v>201.96</v>
      </c>
      <c r="J963" s="5">
        <f t="shared" si="59"/>
        <v>2021</v>
      </c>
    </row>
    <row r="964" spans="1:10" s="9" customFormat="1" hidden="1" x14ac:dyDescent="0.25">
      <c r="A964" s="421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20">
        <v>256682</v>
      </c>
      <c r="F964" s="3" t="str">
        <f>IFERROR(VLOOKUP(E964,BD!$L$2:$Q$66,2,0),0)</f>
        <v>TRIPACK (FT NAR+SP)PET+IK RF PFM 3L</v>
      </c>
      <c r="G964" s="378">
        <f>90*2</f>
        <v>180</v>
      </c>
      <c r="H964" s="3">
        <f>+IFERROR(VLOOKUP(E964,BD!$L$2:$Q$66,6,0),0)</f>
        <v>90</v>
      </c>
      <c r="I964" s="96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hidden="1" x14ac:dyDescent="0.25">
      <c r="A965" s="421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20">
        <v>256617</v>
      </c>
      <c r="F965" s="3" t="str">
        <f>IFERROR(VLOOKUP(E965,BD!$L$2:$Q$66,2,0),0)</f>
        <v>TWO PACK SCHWEPPES GINGER ALE PET 1.5LX2</v>
      </c>
      <c r="G965" s="409">
        <f>198*3</f>
        <v>594</v>
      </c>
      <c r="H965" s="3">
        <f>+IFERROR(VLOOKUP(E965,BD!$L$2:$Q$66,6,0),0)</f>
        <v>198</v>
      </c>
      <c r="I965" s="96">
        <f>IFERROR(G965*VLOOKUP($E965,BD!$L$2:$Q$66,5,0),0)</f>
        <v>100.98</v>
      </c>
      <c r="J965" s="5">
        <f t="shared" si="63"/>
        <v>2021</v>
      </c>
    </row>
    <row r="966" spans="1:10" s="9" customFormat="1" hidden="1" x14ac:dyDescent="0.25">
      <c r="A966" s="421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20">
        <v>256652</v>
      </c>
      <c r="F966" s="3" t="str">
        <f>IFERROR(VLOOKUP(E966,BD!$L$2:$Q$66,2,0),0)</f>
        <v>TRIPACK FT NAR+FT KI+SP PET 3L</v>
      </c>
      <c r="G966" s="409">
        <f>90*16</f>
        <v>1440</v>
      </c>
      <c r="H966" s="3">
        <f>+IFERROR(VLOOKUP(E966,BD!$L$2:$Q$66,6,0),0)</f>
        <v>90</v>
      </c>
      <c r="I966" s="96">
        <f>IFERROR(G966*VLOOKUP($E966,BD!$L$2:$Q$66,5,0),0)</f>
        <v>244.8</v>
      </c>
      <c r="J966" s="5">
        <f t="shared" si="63"/>
        <v>2021</v>
      </c>
    </row>
    <row r="967" spans="1:10" s="9" customFormat="1" hidden="1" x14ac:dyDescent="0.25">
      <c r="A967" s="421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20">
        <v>256666</v>
      </c>
      <c r="F967" s="3" t="str">
        <f>IFERROR(VLOOKUP(E967,BD!$L$2:$Q$66,2,0),0)</f>
        <v>COCA-COLA PET 2.25LX2 RF</v>
      </c>
      <c r="G967" s="409">
        <f>162*5</f>
        <v>810</v>
      </c>
      <c r="H967" s="3">
        <f>+IFERROR(VLOOKUP(E967,BD!$L$2:$Q$66,6,0),0)</f>
        <v>162</v>
      </c>
      <c r="I967" s="96">
        <f>IFERROR(G967*VLOOKUP($E967,BD!$L$2:$Q$66,5,0),0)</f>
        <v>137.70000000000002</v>
      </c>
      <c r="J967" s="5">
        <f t="shared" si="63"/>
        <v>2021</v>
      </c>
    </row>
    <row r="968" spans="1:10" s="9" customFormat="1" hidden="1" x14ac:dyDescent="0.25">
      <c r="A968" s="421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20">
        <v>256680</v>
      </c>
      <c r="F968" s="3" t="str">
        <f>IFERROR(VLOOKUP(E968,BD!$L$2:$Q$66,2,0),0)</f>
        <v>TRIPACK CC+CC+IK PFM 3LX3 - RFNN</v>
      </c>
      <c r="G968" s="409">
        <v>90</v>
      </c>
      <c r="H968" s="3">
        <f>+IFERROR(VLOOKUP(E968,BD!$L$2:$Q$66,6,0),0)</f>
        <v>90</v>
      </c>
      <c r="I968" s="96">
        <f>IFERROR(G968*VLOOKUP($E968,BD!$L$2:$Q$66,5,0),0)</f>
        <v>15.3</v>
      </c>
      <c r="J968" s="5">
        <f t="shared" si="63"/>
        <v>2021</v>
      </c>
    </row>
    <row r="969" spans="1:10" s="9" customFormat="1" hidden="1" x14ac:dyDescent="0.25">
      <c r="A969" s="421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20">
        <v>256677</v>
      </c>
      <c r="F969" s="3" t="str">
        <f>IFERROR(VLOOKUP(E969,BD!$L$2:$Q$66,2,0),0)</f>
        <v>TWO PACK CC + IK PFM 3LX2 - RFNN</v>
      </c>
      <c r="G969" s="409">
        <f>120*10</f>
        <v>1200</v>
      </c>
      <c r="H969" s="3">
        <f>+IFERROR(VLOOKUP(E969,BD!$L$2:$Q$66,6,0),0)</f>
        <v>120</v>
      </c>
      <c r="I969" s="96">
        <f>IFERROR(G969*VLOOKUP($E969,BD!$L$2:$Q$66,5,0),0)</f>
        <v>204.00000000000003</v>
      </c>
      <c r="J969" s="5">
        <f t="shared" si="63"/>
        <v>2021</v>
      </c>
    </row>
    <row r="970" spans="1:10" s="9" customFormat="1" hidden="1" x14ac:dyDescent="0.25">
      <c r="A970" s="421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20">
        <v>256679</v>
      </c>
      <c r="F970" s="3" t="str">
        <f>IFERROR(VLOOKUP(E970,BD!$L$2:$Q$66,2,0),0)</f>
        <v>TRIPACK CC+IK+IK PFM 3LX3 - RFNN</v>
      </c>
      <c r="G970" s="409">
        <f>90*8</f>
        <v>720</v>
      </c>
      <c r="H970" s="3">
        <f>+IFERROR(VLOOKUP(E970,BD!$L$2:$Q$66,6,0),0)</f>
        <v>90</v>
      </c>
      <c r="I970" s="96">
        <f>IFERROR(G970*VLOOKUP($E970,BD!$L$2:$Q$66,5,0),0)</f>
        <v>122.4</v>
      </c>
      <c r="J970" s="5">
        <f t="shared" si="63"/>
        <v>2021</v>
      </c>
    </row>
    <row r="971" spans="1:10" s="9" customFormat="1" hidden="1" x14ac:dyDescent="0.25">
      <c r="A971" s="421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20">
        <v>256676</v>
      </c>
      <c r="F971" s="3" t="str">
        <f>IFERROR(VLOOKUP(E971,BD!$L$2:$Q$66,2,0),0)</f>
        <v>TWO PACK CC PFM 3LX2 - RFCC</v>
      </c>
      <c r="G971" s="409">
        <f>120*4</f>
        <v>480</v>
      </c>
      <c r="H971" s="3">
        <f>+IFERROR(VLOOKUP(E971,BD!$L$2:$Q$66,6,0),0)</f>
        <v>120</v>
      </c>
      <c r="I971" s="96">
        <f>IFERROR(G971*VLOOKUP($E971,BD!$L$2:$Q$66,5,0),0)</f>
        <v>81.600000000000009</v>
      </c>
      <c r="J971" s="5">
        <f t="shared" si="63"/>
        <v>2021</v>
      </c>
    </row>
    <row r="972" spans="1:10" s="9" customFormat="1" hidden="1" x14ac:dyDescent="0.25">
      <c r="A972" s="491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7">
        <v>256678</v>
      </c>
      <c r="F972" s="3" t="str">
        <f>IFERROR(VLOOKUP(E972,BD!$L$2:$Q$66,2,0),0)</f>
        <v>TRIPACK (CC+IK)PFM+FT PET 3LX3 - RFNN</v>
      </c>
      <c r="G972" s="409">
        <f>90*32</f>
        <v>2880</v>
      </c>
      <c r="H972" s="3">
        <f>+IFERROR(VLOOKUP(E972,BD!$L$2:$Q$66,6,0),0)</f>
        <v>90</v>
      </c>
      <c r="I972" s="96">
        <f>IFERROR(G972*VLOOKUP($E972,BD!$L$2:$Q$66,5,0),0)</f>
        <v>489.6</v>
      </c>
      <c r="J972" s="5">
        <f t="shared" si="63"/>
        <v>2021</v>
      </c>
    </row>
    <row r="973" spans="1:10" s="9" customFormat="1" hidden="1" x14ac:dyDescent="0.25">
      <c r="A973" s="491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7">
        <v>256675</v>
      </c>
      <c r="F973" s="3" t="str">
        <f>IFERROR(VLOOKUP(E973,BD!$L$2:$Q$66,2,0),0)</f>
        <v>INCA KOLA PET 1.5LX2 RF</v>
      </c>
      <c r="G973" s="370">
        <f>198*8</f>
        <v>1584</v>
      </c>
      <c r="H973" s="3">
        <f>+IFERROR(VLOOKUP(E973,BD!$L$2:$Q$66,6,0),0)</f>
        <v>198</v>
      </c>
      <c r="I973" s="96">
        <f>IFERROR(G973*VLOOKUP($E973,BD!$L$2:$Q$66,5,0),0)</f>
        <v>269.28000000000003</v>
      </c>
      <c r="J973" s="5">
        <f t="shared" si="63"/>
        <v>2021</v>
      </c>
    </row>
    <row r="974" spans="1:10" s="9" customFormat="1" hidden="1" x14ac:dyDescent="0.25">
      <c r="A974" s="491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7">
        <v>251633</v>
      </c>
      <c r="F974" s="3" t="str">
        <f>IFERROR(VLOOKUP(E974,BD!$L$2:$Q$66,2,0),0)</f>
        <v>SAN LUIS CON GAS PET 625MLX6</v>
      </c>
      <c r="G974" s="409">
        <f>180*3</f>
        <v>540</v>
      </c>
      <c r="H974" s="3">
        <f>+IFERROR(VLOOKUP(E974,BD!$L$2:$Q$66,6,0),0)</f>
        <v>180</v>
      </c>
      <c r="I974" s="96">
        <f>IFERROR(G974*VLOOKUP($E974,BD!$L$2:$Q$66,5,0),0)</f>
        <v>226.79999999999998</v>
      </c>
      <c r="J974" s="5">
        <f t="shared" si="63"/>
        <v>2021</v>
      </c>
    </row>
    <row r="975" spans="1:10" s="9" customFormat="1" ht="15.75" hidden="1" thickBot="1" x14ac:dyDescent="0.3">
      <c r="A975" s="492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9">
        <v>751315</v>
      </c>
      <c r="F975" s="8" t="str">
        <f>IFERROR(VLOOKUP(E975,BD!$L$2:$Q$66,2,0),0)</f>
        <v>MONSTER ENERGY 473MLX4</v>
      </c>
      <c r="G975" s="450">
        <f>420*3</f>
        <v>1260</v>
      </c>
      <c r="H975" s="8">
        <f>+IFERROR(VLOOKUP(E975,BD!$L$2:$Q$66,6,0),0)</f>
        <v>420</v>
      </c>
      <c r="I975" s="98">
        <f>IFERROR(G975*VLOOKUP($E975,BD!$L$2:$Q$66,5,0),0)</f>
        <v>529.19999999999993</v>
      </c>
      <c r="J975" s="110">
        <f t="shared" si="63"/>
        <v>2021</v>
      </c>
    </row>
    <row r="976" spans="1:10" s="9" customFormat="1" hidden="1" x14ac:dyDescent="0.25">
      <c r="A976" s="493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63">
        <v>256488</v>
      </c>
      <c r="F976" s="6" t="str">
        <f>IFERROR(VLOOKUP(E976,BD!$L$2:$Q$66,2,0),0)</f>
        <v>INCA KOLA PET 3LX2 - RF</v>
      </c>
      <c r="G976" s="464">
        <f>120*16</f>
        <v>1920</v>
      </c>
      <c r="H976" s="6">
        <f>+IFERROR(VLOOKUP(E976,BD!$L$2:$Q$66,6,0),0)</f>
        <v>120</v>
      </c>
      <c r="I976" s="97">
        <f>IFERROR(G976*VLOOKUP($E976,BD!$L$2:$Q$66,5,0),0)</f>
        <v>326.40000000000003</v>
      </c>
      <c r="J976" s="109">
        <f t="shared" si="63"/>
        <v>2021</v>
      </c>
    </row>
    <row r="977" spans="1:10" s="9" customFormat="1" hidden="1" x14ac:dyDescent="0.25">
      <c r="A977" s="491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7">
        <v>256617</v>
      </c>
      <c r="F977" s="3" t="str">
        <f>IFERROR(VLOOKUP(E977,BD!$L$2:$Q$66,2,0),0)</f>
        <v>TWO PACK SCHWEPPES GINGER ALE PET 1.5LX2</v>
      </c>
      <c r="G977" s="409">
        <f>198*6</f>
        <v>1188</v>
      </c>
      <c r="H977" s="3">
        <f>+IFERROR(VLOOKUP(E977,BD!$L$2:$Q$66,6,0),0)</f>
        <v>198</v>
      </c>
      <c r="I977" s="96">
        <f>IFERROR(G977*VLOOKUP($E977,BD!$L$2:$Q$66,5,0),0)</f>
        <v>201.96</v>
      </c>
      <c r="J977" s="5">
        <f t="shared" si="63"/>
        <v>2021</v>
      </c>
    </row>
    <row r="978" spans="1:10" s="9" customFormat="1" hidden="1" x14ac:dyDescent="0.25">
      <c r="A978" s="491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7">
        <v>251406</v>
      </c>
      <c r="F978" s="3" t="str">
        <f>IFERROR(VLOOKUP(E978,BD!$L$2:$Q$66,2,0),0)</f>
        <v>COCA-COLA SIN AZUCAR PET 1.5LX2</v>
      </c>
      <c r="G978" s="370">
        <f>198*10</f>
        <v>1980</v>
      </c>
      <c r="H978" s="3">
        <f>+IFERROR(VLOOKUP(E978,BD!$L$2:$Q$66,6,0),0)</f>
        <v>198</v>
      </c>
      <c r="I978" s="96">
        <f>IFERROR(G978*VLOOKUP($E978,BD!$L$2:$Q$66,5,0),0)</f>
        <v>336.6</v>
      </c>
      <c r="J978" s="5">
        <f t="shared" si="63"/>
        <v>2021</v>
      </c>
    </row>
    <row r="979" spans="1:10" s="9" customFormat="1" hidden="1" x14ac:dyDescent="0.25">
      <c r="A979" s="491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7">
        <v>256674</v>
      </c>
      <c r="F979" s="3" t="str">
        <f>IFERROR(VLOOKUP(E979,BD!$L$2:$Q$66,2,0),0)</f>
        <v>COCA-COLA PET 1.5LX2 RF</v>
      </c>
      <c r="G979" s="370">
        <f>198*8</f>
        <v>1584</v>
      </c>
      <c r="H979" s="3">
        <f>+IFERROR(VLOOKUP(E979,BD!$L$2:$Q$66,6,0),0)</f>
        <v>198</v>
      </c>
      <c r="I979" s="96">
        <f>IFERROR(G979*VLOOKUP($E979,BD!$L$2:$Q$66,5,0),0)</f>
        <v>269.28000000000003</v>
      </c>
      <c r="J979" s="5">
        <f t="shared" si="63"/>
        <v>2021</v>
      </c>
    </row>
    <row r="980" spans="1:10" s="9" customFormat="1" hidden="1" x14ac:dyDescent="0.25">
      <c r="A980" s="491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7">
        <v>256677</v>
      </c>
      <c r="F980" s="3" t="str">
        <f>IFERROR(VLOOKUP(E980,BD!$L$2:$Q$66,2,0),0)</f>
        <v>TWO PACK CC + IK PFM 3LX2 - RFNN</v>
      </c>
      <c r="G980" s="409">
        <f>120*16</f>
        <v>1920</v>
      </c>
      <c r="H980" s="3">
        <f>+IFERROR(VLOOKUP(E980,BD!$L$2:$Q$66,6,0),0)</f>
        <v>120</v>
      </c>
      <c r="I980" s="96">
        <f>IFERROR(G980*VLOOKUP($E980,BD!$L$2:$Q$66,5,0),0)</f>
        <v>326.40000000000003</v>
      </c>
      <c r="J980" s="5">
        <f t="shared" si="63"/>
        <v>2021</v>
      </c>
    </row>
    <row r="981" spans="1:10" s="9" customFormat="1" hidden="1" x14ac:dyDescent="0.25">
      <c r="A981" s="491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7">
        <v>256383</v>
      </c>
      <c r="F981" s="3" t="str">
        <f>IFERROR(VLOOKUP(E981,BD!$L$2:$Q$66,2,0),0)</f>
        <v>COCA COLA VR 1.5LX8 - STICKER</v>
      </c>
      <c r="G981" s="409">
        <f>30*4</f>
        <v>120</v>
      </c>
      <c r="H981" s="3">
        <f>+IFERROR(VLOOKUP(E981,BD!$L$2:$Q$66,6,0),0)</f>
        <v>30</v>
      </c>
      <c r="I981" s="96">
        <f>IFERROR(G981*VLOOKUP($E981,BD!$L$2:$Q$66,5,0),0)</f>
        <v>27.6</v>
      </c>
      <c r="J981" s="5">
        <f t="shared" si="63"/>
        <v>2021</v>
      </c>
    </row>
    <row r="982" spans="1:10" s="9" customFormat="1" hidden="1" x14ac:dyDescent="0.25">
      <c r="A982" s="491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7">
        <v>256381</v>
      </c>
      <c r="F982" s="3" t="str">
        <f>IFERROR(VLOOKUP(E982,BD!$L$2:$Q$66,2,0),0)</f>
        <v>INCA KOLA VR 1.5LX8 - STICKER</v>
      </c>
      <c r="G982" s="409">
        <f>30*6</f>
        <v>180</v>
      </c>
      <c r="H982" s="3">
        <f>+IFERROR(VLOOKUP(E982,BD!$L$2:$Q$66,6,0),0)</f>
        <v>30</v>
      </c>
      <c r="I982" s="96">
        <f>IFERROR(G982*VLOOKUP($E982,BD!$L$2:$Q$66,5,0),0)</f>
        <v>72</v>
      </c>
      <c r="J982" s="5">
        <f t="shared" si="63"/>
        <v>2021</v>
      </c>
    </row>
    <row r="983" spans="1:10" s="9" customFormat="1" hidden="1" x14ac:dyDescent="0.25">
      <c r="A983" s="491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7">
        <v>251429</v>
      </c>
      <c r="F983" s="3" t="str">
        <f>IFERROR(VLOOKUP(E983,BD!$L$2:$Q$66,2,0),0)</f>
        <v>SAN LUIS SIN GAS PET2500X6 STICKER</v>
      </c>
      <c r="G983" s="409">
        <f>48*14</f>
        <v>672</v>
      </c>
      <c r="H983" s="3">
        <f>+IFERROR(VLOOKUP(E983,BD!$L$2:$Q$66,6,0),0)</f>
        <v>48</v>
      </c>
      <c r="I983" s="96">
        <f>IFERROR(G983*VLOOKUP($E983,BD!$L$2:$Q$66,5,0),0)</f>
        <v>268.8</v>
      </c>
      <c r="J983" s="5">
        <f t="shared" si="63"/>
        <v>2021</v>
      </c>
    </row>
    <row r="984" spans="1:10" s="9" customFormat="1" hidden="1" x14ac:dyDescent="0.25">
      <c r="A984" s="491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7">
        <v>256680</v>
      </c>
      <c r="F984" s="3" t="str">
        <f>IFERROR(VLOOKUP(E984,BD!$L$2:$Q$66,2,0),0)</f>
        <v>TRIPACK CC+CC+IK PFM 3LX3 - RFNN</v>
      </c>
      <c r="G984" s="409">
        <f>90*16</f>
        <v>1440</v>
      </c>
      <c r="H984" s="3">
        <f>+IFERROR(VLOOKUP(E984,BD!$L$2:$Q$66,6,0),0)</f>
        <v>90</v>
      </c>
      <c r="I984" s="96">
        <f>IFERROR(G984*VLOOKUP($E984,BD!$L$2:$Q$66,5,0),0)</f>
        <v>244.8</v>
      </c>
      <c r="J984" s="5">
        <f t="shared" si="63"/>
        <v>2021</v>
      </c>
    </row>
    <row r="985" spans="1:10" s="9" customFormat="1" hidden="1" x14ac:dyDescent="0.25">
      <c r="A985" s="491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7">
        <v>256382</v>
      </c>
      <c r="F985" s="3" t="str">
        <f>IFERROR(VLOOKUP(E985,BD!$L$2:$Q$66,2,0),0)</f>
        <v>COCA COLA VR 296MLX24 - STICKER</v>
      </c>
      <c r="G985" s="409">
        <f>40*1</f>
        <v>40</v>
      </c>
      <c r="H985" s="3">
        <f>+IFERROR(VLOOKUP(E985,BD!$L$2:$Q$66,6,0),0)</f>
        <v>40</v>
      </c>
      <c r="I985" s="96">
        <f>IFERROR(G985*VLOOKUP($E985,BD!$L$2:$Q$66,5,0),0)</f>
        <v>9.2000000000000011</v>
      </c>
      <c r="J985" s="5">
        <f t="shared" si="63"/>
        <v>2021</v>
      </c>
    </row>
    <row r="986" spans="1:10" s="9" customFormat="1" hidden="1" x14ac:dyDescent="0.25">
      <c r="A986" s="491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7">
        <v>256380</v>
      </c>
      <c r="F986" s="3" t="str">
        <f>IFERROR(VLOOKUP(E986,BD!$L$2:$Q$66,2,0),0)</f>
        <v>INCA KOLA VR 296MLX24 - STICKER</v>
      </c>
      <c r="G986" s="409">
        <v>40</v>
      </c>
      <c r="H986" s="3">
        <f>+IFERROR(VLOOKUP(E986,BD!$L$2:$Q$66,6,0),0)</f>
        <v>40</v>
      </c>
      <c r="I986" s="96">
        <f>IFERROR(G986*VLOOKUP($E986,BD!$L$2:$Q$66,5,0),0)</f>
        <v>9.2000000000000011</v>
      </c>
      <c r="J986" s="5">
        <f t="shared" si="63"/>
        <v>2021</v>
      </c>
    </row>
    <row r="987" spans="1:10" s="9" customFormat="1" hidden="1" x14ac:dyDescent="0.25">
      <c r="A987" s="491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7">
        <v>256379</v>
      </c>
      <c r="F987" s="3" t="str">
        <f>IFERROR(VLOOKUP(E987,BD!$L$2:$Q$66,2,0),0)</f>
        <v>INCA KOLA VR 625MLX12 - STICKER</v>
      </c>
      <c r="G987" s="409">
        <v>200</v>
      </c>
      <c r="H987" s="3">
        <f>+IFERROR(VLOOKUP(E987,BD!$L$2:$Q$66,6,0),0)</f>
        <v>50</v>
      </c>
      <c r="I987" s="96">
        <f>IFERROR(G987*VLOOKUP($E987,BD!$L$2:$Q$66,5,0),0)</f>
        <v>80</v>
      </c>
      <c r="J987" s="5">
        <f t="shared" si="63"/>
        <v>2021</v>
      </c>
    </row>
    <row r="988" spans="1:10" s="9" customFormat="1" hidden="1" x14ac:dyDescent="0.25">
      <c r="A988" s="491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7">
        <v>256679</v>
      </c>
      <c r="F988" s="3" t="str">
        <f>IFERROR(VLOOKUP(E988,BD!$L$2:$Q$66,2,0),0)</f>
        <v>TRIPACK CC+IK+IK PFM 3LX3 - RFNN</v>
      </c>
      <c r="G988" s="409">
        <v>2160</v>
      </c>
      <c r="H988" s="3">
        <f>+IFERROR(VLOOKUP(E988,BD!$L$2:$Q$66,6,0),0)</f>
        <v>90</v>
      </c>
      <c r="I988" s="96">
        <f>IFERROR(G988*VLOOKUP($E988,BD!$L$2:$Q$66,5,0),0)</f>
        <v>367.20000000000005</v>
      </c>
      <c r="J988" s="5">
        <f t="shared" si="63"/>
        <v>2021</v>
      </c>
    </row>
    <row r="989" spans="1:10" s="9" customFormat="1" hidden="1" x14ac:dyDescent="0.25">
      <c r="A989" s="491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7">
        <v>252436</v>
      </c>
      <c r="F989" s="3" t="str">
        <f>IFERROR(VLOOKUP(E989,BD!$L$2:$Q$66,2,0),0)</f>
        <v>SAN LUIS SIN GAS PET 625MLX15 C/STICKER</v>
      </c>
      <c r="G989" s="409">
        <v>360</v>
      </c>
      <c r="H989" s="3">
        <f>+IFERROR(VLOOKUP(E989,BD!$L$2:$Q$66,6,0),0)</f>
        <v>90</v>
      </c>
      <c r="I989" s="96">
        <f>IFERROR(G989*VLOOKUP($E989,BD!$L$2:$Q$66,5,0),0)</f>
        <v>144</v>
      </c>
      <c r="J989" s="5">
        <f t="shared" si="63"/>
        <v>2021</v>
      </c>
    </row>
    <row r="990" spans="1:10" s="9" customFormat="1" ht="15.75" hidden="1" thickBot="1" x14ac:dyDescent="0.3">
      <c r="A990" s="492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9">
        <v>256682</v>
      </c>
      <c r="F990" s="8" t="str">
        <f>IFERROR(VLOOKUP(E990,BD!$L$2:$Q$66,2,0),0)</f>
        <v>TRIPACK (FT NAR+SP)PET+IK RF PFM 3L</v>
      </c>
      <c r="G990" s="506">
        <v>720</v>
      </c>
      <c r="H990" s="8">
        <f>+IFERROR(VLOOKUP(E990,BD!$L$2:$Q$66,6,0),0)</f>
        <v>90</v>
      </c>
      <c r="I990" s="98">
        <f>IFERROR(G990*VLOOKUP($E990,BD!$L$2:$Q$66,5,0),0)</f>
        <v>122.4</v>
      </c>
      <c r="J990" s="110">
        <f t="shared" si="63"/>
        <v>2021</v>
      </c>
    </row>
    <row r="991" spans="1:10" s="9" customFormat="1" hidden="1" x14ac:dyDescent="0.25">
      <c r="A991" s="493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63">
        <v>256666</v>
      </c>
      <c r="F991" s="6" t="str">
        <f>IFERROR(VLOOKUP(E991,BD!$L$2:$Q$66,2,0),0)</f>
        <v>COCA-COLA PET 2.25LX2 RF</v>
      </c>
      <c r="G991" s="464">
        <f>162*2</f>
        <v>324</v>
      </c>
      <c r="H991" s="6">
        <f>+IFERROR(VLOOKUP(E991,BD!$L$2:$Q$66,6,0),0)</f>
        <v>162</v>
      </c>
      <c r="I991" s="97">
        <f>IFERROR(G991*VLOOKUP($E991,BD!$L$2:$Q$66,5,0),0)</f>
        <v>55.080000000000005</v>
      </c>
      <c r="J991" s="109">
        <f t="shared" si="63"/>
        <v>2021</v>
      </c>
    </row>
    <row r="992" spans="1:10" s="9" customFormat="1" hidden="1" x14ac:dyDescent="0.25">
      <c r="A992" s="491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7">
        <v>256488</v>
      </c>
      <c r="F992" s="3" t="str">
        <f>IFERROR(VLOOKUP(E992,BD!$L$2:$Q$66,2,0),0)</f>
        <v>INCA KOLA PET 3LX2 - RF</v>
      </c>
      <c r="G992" s="409">
        <f>120*9</f>
        <v>1080</v>
      </c>
      <c r="H992" s="3">
        <f>+IFERROR(VLOOKUP(E992,BD!$L$2:$Q$66,6,0),0)</f>
        <v>120</v>
      </c>
      <c r="I992" s="96">
        <f>IFERROR(G992*VLOOKUP($E992,BD!$L$2:$Q$66,5,0),0)</f>
        <v>183.60000000000002</v>
      </c>
      <c r="J992" s="5">
        <f t="shared" si="63"/>
        <v>2021</v>
      </c>
    </row>
    <row r="993" spans="1:10" s="9" customFormat="1" hidden="1" x14ac:dyDescent="0.25">
      <c r="A993" s="491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7">
        <v>256674</v>
      </c>
      <c r="F993" s="3" t="str">
        <f>IFERROR(VLOOKUP(E993,BD!$L$2:$Q$66,2,0),0)</f>
        <v>COCA-COLA PET 1.5LX2 RF</v>
      </c>
      <c r="G993" s="370">
        <f>198*7</f>
        <v>1386</v>
      </c>
      <c r="H993" s="3">
        <f>+IFERROR(VLOOKUP(E993,BD!$L$2:$Q$66,6,0),0)</f>
        <v>198</v>
      </c>
      <c r="I993" s="96">
        <f>IFERROR(G993*VLOOKUP($E993,BD!$L$2:$Q$66,5,0),0)</f>
        <v>235.62</v>
      </c>
      <c r="J993" s="5">
        <f t="shared" si="63"/>
        <v>2021</v>
      </c>
    </row>
    <row r="994" spans="1:10" s="9" customFormat="1" hidden="1" x14ac:dyDescent="0.25">
      <c r="A994" s="491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7">
        <v>251633</v>
      </c>
      <c r="F994" s="3" t="str">
        <f>IFERROR(VLOOKUP(E994,BD!$L$2:$Q$66,2,0),0)</f>
        <v>SAN LUIS CON GAS PET 625MLX6</v>
      </c>
      <c r="G994" s="409">
        <f>180*4</f>
        <v>720</v>
      </c>
      <c r="H994" s="3">
        <f>+IFERROR(VLOOKUP(E994,BD!$L$2:$Q$66,6,0),0)</f>
        <v>180</v>
      </c>
      <c r="I994" s="96">
        <f>IFERROR(G994*VLOOKUP($E994,BD!$L$2:$Q$66,5,0),0)</f>
        <v>302.39999999999998</v>
      </c>
      <c r="J994" s="5">
        <f t="shared" si="63"/>
        <v>2021</v>
      </c>
    </row>
    <row r="995" spans="1:10" s="9" customFormat="1" hidden="1" x14ac:dyDescent="0.25">
      <c r="A995" s="491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7">
        <v>251406</v>
      </c>
      <c r="F995" s="3" t="str">
        <f>IFERROR(VLOOKUP(E995,BD!$L$2:$Q$66,2,0),0)</f>
        <v>COCA-COLA SIN AZUCAR PET 1.5LX2</v>
      </c>
      <c r="G995" s="370">
        <f>198*4</f>
        <v>792</v>
      </c>
      <c r="H995" s="3">
        <f>+IFERROR(VLOOKUP(E995,BD!$L$2:$Q$66,6,0),0)</f>
        <v>198</v>
      </c>
      <c r="I995" s="96">
        <f>IFERROR(G995*VLOOKUP($E995,BD!$L$2:$Q$66,5,0),0)</f>
        <v>134.64000000000001</v>
      </c>
      <c r="J995" s="5">
        <f t="shared" si="63"/>
        <v>2021</v>
      </c>
    </row>
    <row r="996" spans="1:10" s="9" customFormat="1" hidden="1" x14ac:dyDescent="0.25">
      <c r="A996" s="491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7">
        <v>256680</v>
      </c>
      <c r="F996" s="3" t="str">
        <f>IFERROR(VLOOKUP(E996,BD!$L$2:$Q$66,2,0),0)</f>
        <v>TRIPACK CC+CC+IK PFM 3LX3 - RFNN</v>
      </c>
      <c r="G996" s="409">
        <f>90*5</f>
        <v>450</v>
      </c>
      <c r="H996" s="3">
        <f>+IFERROR(VLOOKUP(E996,BD!$L$2:$Q$66,6,0),0)</f>
        <v>90</v>
      </c>
      <c r="I996" s="96">
        <f>IFERROR(G996*VLOOKUP($E996,BD!$L$2:$Q$66,5,0),0)</f>
        <v>76.5</v>
      </c>
      <c r="J996" s="5">
        <f t="shared" si="63"/>
        <v>2021</v>
      </c>
    </row>
    <row r="997" spans="1:10" s="9" customFormat="1" hidden="1" x14ac:dyDescent="0.25">
      <c r="A997" s="491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7">
        <v>256676</v>
      </c>
      <c r="F997" s="3" t="str">
        <f>IFERROR(VLOOKUP(E997,BD!$L$2:$Q$66,2,0),0)</f>
        <v>TWO PACK CC PFM 3LX2 - RFCC</v>
      </c>
      <c r="G997" s="409">
        <f>120*10</f>
        <v>1200</v>
      </c>
      <c r="H997" s="3">
        <f>+IFERROR(VLOOKUP(E997,BD!$L$2:$Q$66,6,0),0)</f>
        <v>120</v>
      </c>
      <c r="I997" s="96">
        <f>IFERROR(G997*VLOOKUP($E997,BD!$L$2:$Q$66,5,0),0)</f>
        <v>204.00000000000003</v>
      </c>
      <c r="J997" s="5">
        <f t="shared" si="63"/>
        <v>2021</v>
      </c>
    </row>
    <row r="998" spans="1:10" s="9" customFormat="1" hidden="1" x14ac:dyDescent="0.25">
      <c r="A998" s="491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7">
        <v>256617</v>
      </c>
      <c r="F998" s="3" t="str">
        <f>IFERROR(VLOOKUP(E998,BD!$L$2:$Q$66,2,0),0)</f>
        <v>TWO PACK SCHWEPPES GINGER ALE PET 1.5LX2</v>
      </c>
      <c r="G998" s="409">
        <f>198*2</f>
        <v>396</v>
      </c>
      <c r="H998" s="3">
        <f>+IFERROR(VLOOKUP(E998,BD!$L$2:$Q$66,6,0),0)</f>
        <v>198</v>
      </c>
      <c r="I998" s="96">
        <f>IFERROR(G998*VLOOKUP($E998,BD!$L$2:$Q$66,5,0),0)</f>
        <v>67.320000000000007</v>
      </c>
      <c r="J998" s="5">
        <f t="shared" si="63"/>
        <v>2021</v>
      </c>
    </row>
    <row r="999" spans="1:10" s="9" customFormat="1" hidden="1" x14ac:dyDescent="0.25">
      <c r="A999" s="491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7">
        <v>256548</v>
      </c>
      <c r="F999" s="3" t="str">
        <f>IFERROR(VLOOKUP(E999,BD!$L$2:$Q$66,2,0),0)</f>
        <v>TWO PACK CC PET 1.5LX2 - CRC</v>
      </c>
      <c r="G999" s="409">
        <f>198*2</f>
        <v>396</v>
      </c>
      <c r="H999" s="3">
        <f>+IFERROR(VLOOKUP(E999,BD!$L$2:$Q$66,6,0),0)</f>
        <v>198</v>
      </c>
      <c r="I999" s="96">
        <f>IFERROR(G999*VLOOKUP($E999,BD!$L$2:$Q$66,5,0),0)</f>
        <v>67.320000000000007</v>
      </c>
      <c r="J999" s="5">
        <f t="shared" si="63"/>
        <v>2021</v>
      </c>
    </row>
    <row r="1000" spans="1:10" s="9" customFormat="1" hidden="1" x14ac:dyDescent="0.25">
      <c r="A1000" s="491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7">
        <v>256695</v>
      </c>
      <c r="F1000" s="3" t="str">
        <f>IFERROR(VLOOKUP(E1000,BD!$L$2:$Q$66,2,0),0)</f>
        <v>POWERADE 3MORA+3FRUT PET 473MLX6</v>
      </c>
      <c r="G1000" s="409">
        <f>225*2</f>
        <v>450</v>
      </c>
      <c r="H1000" s="3">
        <f>+IFERROR(VLOOKUP(E1000,BD!$L$2:$Q$66,6,0),0)</f>
        <v>225</v>
      </c>
      <c r="I1000" s="96">
        <f>IFERROR(G1000*VLOOKUP($E1000,BD!$L$2:$Q$66,5,0),0)</f>
        <v>189</v>
      </c>
      <c r="J1000" s="5">
        <f t="shared" si="63"/>
        <v>2021</v>
      </c>
    </row>
    <row r="1001" spans="1:10" s="9" customFormat="1" hidden="1" x14ac:dyDescent="0.25">
      <c r="A1001" s="491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7">
        <v>256549</v>
      </c>
      <c r="F1001" s="3" t="str">
        <f>IFERROR(VLOOKUP(E1001,BD!$L$2:$Q$66,2,0),0)</f>
        <v>TWO PACK IK PET 1.5LX2 - CRCG</v>
      </c>
      <c r="G1001" s="409">
        <f>198*1</f>
        <v>198</v>
      </c>
      <c r="H1001" s="3">
        <f>+IFERROR(VLOOKUP(E1001,BD!$L$2:$Q$66,6,0),0)</f>
        <v>198</v>
      </c>
      <c r="I1001" s="96">
        <f>IFERROR(G1001*VLOOKUP($E1001,BD!$L$2:$Q$66,5,0),0)</f>
        <v>33.660000000000004</v>
      </c>
      <c r="J1001" s="5">
        <f t="shared" si="63"/>
        <v>2021</v>
      </c>
    </row>
    <row r="1002" spans="1:10" s="9" customFormat="1" hidden="1" x14ac:dyDescent="0.25">
      <c r="A1002" s="491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7">
        <v>256616</v>
      </c>
      <c r="F1002" s="3" t="str">
        <f>IFERROR(VLOOKUP(E1002,BD!$L$2:$Q$66,2,0),0)</f>
        <v>TWO PACK SCHWEPPES CITRUS PET 1.5LX2</v>
      </c>
      <c r="G1002" s="409">
        <v>198</v>
      </c>
      <c r="H1002" s="3">
        <f>+IFERROR(VLOOKUP(E1002,BD!$L$2:$Q$66,6,0),0)</f>
        <v>198</v>
      </c>
      <c r="I1002" s="96">
        <f>IFERROR(G1002*VLOOKUP($E1002,BD!$L$2:$Q$66,5,0),0)</f>
        <v>33.660000000000004</v>
      </c>
      <c r="J1002" s="5">
        <f t="shared" si="63"/>
        <v>2021</v>
      </c>
    </row>
    <row r="1003" spans="1:10" s="9" customFormat="1" hidden="1" x14ac:dyDescent="0.25">
      <c r="A1003" s="491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7">
        <v>256675</v>
      </c>
      <c r="F1003" s="3" t="str">
        <f>IFERROR(VLOOKUP(E1003,BD!$L$2:$Q$66,2,0),0)</f>
        <v>INCA KOLA PET 1.5LX2 RF</v>
      </c>
      <c r="G1003" s="370">
        <f>198*2</f>
        <v>396</v>
      </c>
      <c r="H1003" s="3">
        <f>+IFERROR(VLOOKUP(E1003,BD!$L$2:$Q$66,6,0),0)</f>
        <v>198</v>
      </c>
      <c r="I1003" s="96">
        <f>IFERROR(G1003*VLOOKUP($E1003,BD!$L$2:$Q$66,5,0),0)</f>
        <v>67.320000000000007</v>
      </c>
      <c r="J1003" s="5">
        <f t="shared" si="63"/>
        <v>2021</v>
      </c>
    </row>
    <row r="1004" spans="1:10" s="9" customFormat="1" hidden="1" x14ac:dyDescent="0.25">
      <c r="A1004" s="491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7">
        <v>256678</v>
      </c>
      <c r="F1004" s="3" t="str">
        <f>IFERROR(VLOOKUP(E1004,BD!$L$2:$Q$66,2,0),0)</f>
        <v>TRIPACK (CC+IK)PFM+FT PET 3LX3 - RFNN</v>
      </c>
      <c r="G1004" s="409">
        <v>810</v>
      </c>
      <c r="H1004" s="3">
        <f>+IFERROR(VLOOKUP(E1004,BD!$L$2:$Q$66,6,0),0)</f>
        <v>90</v>
      </c>
      <c r="I1004" s="96">
        <f>IFERROR(G1004*VLOOKUP($E1004,BD!$L$2:$Q$66,5,0),0)</f>
        <v>137.70000000000002</v>
      </c>
      <c r="J1004" s="5">
        <f t="shared" si="63"/>
        <v>2021</v>
      </c>
    </row>
    <row r="1005" spans="1:10" s="9" customFormat="1" ht="15.75" hidden="1" thickBot="1" x14ac:dyDescent="0.3">
      <c r="A1005" s="492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9">
        <v>256677</v>
      </c>
      <c r="F1005" s="8" t="str">
        <f>IFERROR(VLOOKUP(E1005,BD!$L$2:$Q$66,2,0),0)</f>
        <v>TWO PACK CC + IK PFM 3LX2 - RFNN</v>
      </c>
      <c r="G1005" s="450">
        <v>480</v>
      </c>
      <c r="H1005" s="8">
        <f>+IFERROR(VLOOKUP(E1005,BD!$L$2:$Q$66,6,0),0)</f>
        <v>120</v>
      </c>
      <c r="I1005" s="98">
        <f>IFERROR(G1005*VLOOKUP($E1005,BD!$L$2:$Q$66,5,0),0)</f>
        <v>81.600000000000009</v>
      </c>
      <c r="J1005" s="110">
        <f t="shared" si="63"/>
        <v>2021</v>
      </c>
    </row>
    <row r="1006" spans="1:10" s="9" customFormat="1" hidden="1" x14ac:dyDescent="0.25">
      <c r="A1006" s="493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63">
        <v>751315</v>
      </c>
      <c r="F1006" s="6" t="str">
        <f>IFERROR(VLOOKUP(E1006,BD!$L$2:$Q$66,2,0),0)</f>
        <v>MONSTER ENERGY 473MLX4</v>
      </c>
      <c r="G1006" s="464">
        <f>420*4</f>
        <v>1680</v>
      </c>
      <c r="H1006" s="6">
        <f>+IFERROR(VLOOKUP(E1006,BD!$L$2:$Q$66,6,0),0)</f>
        <v>420</v>
      </c>
      <c r="I1006" s="97">
        <f>IFERROR(G1006*VLOOKUP($E1006,BD!$L$2:$Q$66,5,0),0)</f>
        <v>705.6</v>
      </c>
      <c r="J1006" s="109">
        <f t="shared" si="63"/>
        <v>2021</v>
      </c>
    </row>
    <row r="1007" spans="1:10" s="9" customFormat="1" hidden="1" x14ac:dyDescent="0.25">
      <c r="A1007" s="491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7">
        <v>256382</v>
      </c>
      <c r="F1007" s="3" t="str">
        <f>IFERROR(VLOOKUP(E1007,BD!$L$2:$Q$66,2,0),0)</f>
        <v>COCA COLA VR 296MLX24 - STICKER</v>
      </c>
      <c r="G1007" s="409">
        <f>40*2</f>
        <v>80</v>
      </c>
      <c r="H1007" s="3">
        <f>+IFERROR(VLOOKUP(E1007,BD!$L$2:$Q$66,6,0),0)</f>
        <v>40</v>
      </c>
      <c r="I1007" s="96">
        <f>IFERROR(G1007*VLOOKUP($E1007,BD!$L$2:$Q$66,5,0),0)</f>
        <v>18.400000000000002</v>
      </c>
      <c r="J1007" s="5">
        <f t="shared" si="63"/>
        <v>2021</v>
      </c>
    </row>
    <row r="1008" spans="1:10" s="9" customFormat="1" hidden="1" x14ac:dyDescent="0.25">
      <c r="A1008" s="491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7">
        <v>256383</v>
      </c>
      <c r="F1008" s="3" t="str">
        <f>IFERROR(VLOOKUP(E1008,BD!$L$2:$Q$66,2,0),0)</f>
        <v>COCA COLA VR 1.5LX8 - STICKER</v>
      </c>
      <c r="G1008" s="409">
        <f>30*10</f>
        <v>300</v>
      </c>
      <c r="H1008" s="3">
        <f>+IFERROR(VLOOKUP(E1008,BD!$L$2:$Q$66,6,0),0)</f>
        <v>30</v>
      </c>
      <c r="I1008" s="96">
        <f>IFERROR(G1008*VLOOKUP($E1008,BD!$L$2:$Q$66,5,0),0)</f>
        <v>69</v>
      </c>
      <c r="J1008" s="5">
        <f t="shared" si="63"/>
        <v>2021</v>
      </c>
    </row>
    <row r="1009" spans="1:10" s="9" customFormat="1" hidden="1" x14ac:dyDescent="0.25">
      <c r="A1009" s="491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7">
        <v>251429</v>
      </c>
      <c r="F1009" s="3" t="str">
        <f>IFERROR(VLOOKUP(E1009,BD!$L$2:$Q$66,2,0),0)</f>
        <v>SAN LUIS SIN GAS PET2500X6 STICKER</v>
      </c>
      <c r="G1009" s="409">
        <f>48*10</f>
        <v>480</v>
      </c>
      <c r="H1009" s="3">
        <f>+IFERROR(VLOOKUP(E1009,BD!$L$2:$Q$66,6,0),0)</f>
        <v>48</v>
      </c>
      <c r="I1009" s="96">
        <f>IFERROR(G1009*VLOOKUP($E1009,BD!$L$2:$Q$66,5,0),0)</f>
        <v>192</v>
      </c>
      <c r="J1009" s="5">
        <f t="shared" si="63"/>
        <v>2021</v>
      </c>
    </row>
    <row r="1010" spans="1:10" s="9" customFormat="1" hidden="1" x14ac:dyDescent="0.25">
      <c r="A1010" s="491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7">
        <v>256674</v>
      </c>
      <c r="F1010" s="3" t="str">
        <f>IFERROR(VLOOKUP(E1010,BD!$L$2:$Q$66,2,0),0)</f>
        <v>COCA-COLA PET 1.5LX2 RF</v>
      </c>
      <c r="G1010" s="370">
        <f>198*3</f>
        <v>594</v>
      </c>
      <c r="H1010" s="3">
        <f>+IFERROR(VLOOKUP(E1010,BD!$L$2:$Q$66,6,0),0)</f>
        <v>198</v>
      </c>
      <c r="I1010" s="96">
        <f>IFERROR(G1010*VLOOKUP($E1010,BD!$L$2:$Q$66,5,0),0)</f>
        <v>100.98</v>
      </c>
      <c r="J1010" s="5">
        <f t="shared" si="63"/>
        <v>2021</v>
      </c>
    </row>
    <row r="1011" spans="1:10" s="9" customFormat="1" hidden="1" x14ac:dyDescent="0.25">
      <c r="A1011" s="491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7">
        <v>256488</v>
      </c>
      <c r="F1011" s="3" t="str">
        <f>IFERROR(VLOOKUP(E1011,BD!$L$2:$Q$66,2,0),0)</f>
        <v>INCA KOLA PET 3LX2 - RF</v>
      </c>
      <c r="G1011" s="409">
        <f>120*6</f>
        <v>720</v>
      </c>
      <c r="H1011" s="3">
        <f>+IFERROR(VLOOKUP(E1011,BD!$L$2:$Q$66,6,0),0)</f>
        <v>120</v>
      </c>
      <c r="I1011" s="96">
        <f>IFERROR(G1011*VLOOKUP($E1011,BD!$L$2:$Q$66,5,0),0)</f>
        <v>122.4</v>
      </c>
      <c r="J1011" s="5">
        <f t="shared" si="63"/>
        <v>2021</v>
      </c>
    </row>
    <row r="1012" spans="1:10" hidden="1" x14ac:dyDescent="0.25">
      <c r="A1012" s="491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7">
        <v>256601</v>
      </c>
      <c r="F1012" s="3" t="str">
        <f>IFERROR(VLOOKUP(E1012,BD!$L$2:$Q$66,2,0),0)</f>
        <v>INCA KOLA PET 2.25LX2 RF</v>
      </c>
      <c r="G1012" s="409">
        <f>162*2</f>
        <v>324</v>
      </c>
      <c r="H1012" s="3">
        <f>+IFERROR(VLOOKUP(E1012,BD!$L$2:$Q$66,6,0),0)</f>
        <v>162</v>
      </c>
      <c r="I1012" s="96">
        <f>IFERROR(G1012*VLOOKUP($E1012,BD!$L$2:$Q$66,5,0),0)</f>
        <v>55.080000000000005</v>
      </c>
      <c r="J1012" s="5">
        <f t="shared" si="63"/>
        <v>2021</v>
      </c>
    </row>
    <row r="1013" spans="1:10" hidden="1" x14ac:dyDescent="0.25">
      <c r="A1013" s="491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7">
        <v>256682</v>
      </c>
      <c r="F1013" s="3" t="str">
        <f>IFERROR(VLOOKUP(E1013,BD!$L$2:$Q$66,2,0),0)</f>
        <v>TRIPACK (FT NAR+SP)PET+IK RF PFM 3L</v>
      </c>
      <c r="G1013" s="378">
        <f>90*3</f>
        <v>270</v>
      </c>
      <c r="H1013" s="3">
        <f>+IFERROR(VLOOKUP(E1013,BD!$L$2:$Q$66,6,0),0)</f>
        <v>90</v>
      </c>
      <c r="I1013" s="96">
        <f>IFERROR(G1013*VLOOKUP($E1013,BD!$L$2:$Q$66,5,0),0)</f>
        <v>45.900000000000006</v>
      </c>
      <c r="J1013" s="5">
        <f t="shared" si="63"/>
        <v>2021</v>
      </c>
    </row>
    <row r="1014" spans="1:10" s="9" customFormat="1" hidden="1" x14ac:dyDescent="0.25">
      <c r="A1014" s="491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7">
        <v>256685</v>
      </c>
      <c r="F1014" s="3" t="str">
        <f>IFERROR(VLOOKUP(E1014,BD!$L$2:$Q$66,2,0),0)</f>
        <v>SL S/G TAPA PLANA 1LT</v>
      </c>
      <c r="G1014" s="409">
        <f>112*2</f>
        <v>224</v>
      </c>
      <c r="H1014" s="3">
        <f>+IFERROR(VLOOKUP(E1014,BD!$L$2:$Q$66,6,0),0)</f>
        <v>112</v>
      </c>
      <c r="I1014" s="96">
        <f>IFERROR(G1014*VLOOKUP($E1014,BD!$L$2:$Q$66,5,0),0)</f>
        <v>89.600000000000009</v>
      </c>
      <c r="J1014" s="5">
        <f t="shared" si="63"/>
        <v>2021</v>
      </c>
    </row>
    <row r="1015" spans="1:10" s="9" customFormat="1" hidden="1" x14ac:dyDescent="0.25">
      <c r="A1015" s="491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7">
        <v>256709</v>
      </c>
      <c r="F1015" s="3" t="str">
        <f>IFERROR(VLOOKUP(E1015,BD!$L$2:$Q$66,2,0),0)</f>
        <v>POWERADE ION4 MORA AZ PET473X6 MOD(STCK)</v>
      </c>
      <c r="G1015" s="409">
        <v>225</v>
      </c>
      <c r="H1015" s="3">
        <f>+IFERROR(VLOOKUP(E1015,BD!$L$2:$Q$66,6,0),0)</f>
        <v>225</v>
      </c>
      <c r="I1015" s="96">
        <f>IFERROR(G1015*VLOOKUP($E1015,BD!$L$2:$Q$66,5,0),0)</f>
        <v>90</v>
      </c>
      <c r="J1015" s="5">
        <f t="shared" si="63"/>
        <v>2021</v>
      </c>
    </row>
    <row r="1016" spans="1:10" s="9" customFormat="1" hidden="1" x14ac:dyDescent="0.25">
      <c r="A1016" s="491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7">
        <v>256695</v>
      </c>
      <c r="F1016" s="3" t="str">
        <f>IFERROR(VLOOKUP(E1016,BD!$L$2:$Q$66,2,0),0)</f>
        <v>POWERADE 3MORA+3FRUT PET 473MLX6</v>
      </c>
      <c r="G1016" s="409">
        <f>225*2</f>
        <v>450</v>
      </c>
      <c r="H1016" s="3">
        <f>+IFERROR(VLOOKUP(E1016,BD!$L$2:$Q$66,6,0),0)</f>
        <v>225</v>
      </c>
      <c r="I1016" s="96">
        <f>IFERROR(G1016*VLOOKUP($E1016,BD!$L$2:$Q$66,5,0),0)</f>
        <v>189</v>
      </c>
      <c r="J1016" s="5">
        <f t="shared" si="63"/>
        <v>2021</v>
      </c>
    </row>
    <row r="1017" spans="1:10" s="9" customFormat="1" hidden="1" x14ac:dyDescent="0.25">
      <c r="A1017" s="491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7">
        <v>256678</v>
      </c>
      <c r="F1017" s="3" t="str">
        <f>IFERROR(VLOOKUP(E1017,BD!$L$2:$Q$66,2,0),0)</f>
        <v>TRIPACK (CC+IK)PFM+FT PET 3LX3 - RFNN</v>
      </c>
      <c r="G1017" s="409">
        <f>90*17</f>
        <v>1530</v>
      </c>
      <c r="H1017" s="3">
        <f>+IFERROR(VLOOKUP(E1017,BD!$L$2:$Q$66,6,0),0)</f>
        <v>90</v>
      </c>
      <c r="I1017" s="96">
        <f>IFERROR(G1017*VLOOKUP($E1017,BD!$L$2:$Q$66,5,0),0)</f>
        <v>260.10000000000002</v>
      </c>
      <c r="J1017" s="5">
        <f t="shared" si="63"/>
        <v>2021</v>
      </c>
    </row>
    <row r="1018" spans="1:10" s="9" customFormat="1" hidden="1" x14ac:dyDescent="0.25">
      <c r="A1018" s="491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7">
        <v>256617</v>
      </c>
      <c r="F1018" s="3" t="str">
        <f>IFERROR(VLOOKUP(E1018,BD!$L$2:$Q$66,2,0),0)</f>
        <v>TWO PACK SCHWEPPES GINGER ALE PET 1.5LX2</v>
      </c>
      <c r="G1018" s="409">
        <f>198*3</f>
        <v>594</v>
      </c>
      <c r="H1018" s="3">
        <f>+IFERROR(VLOOKUP(E1018,BD!$L$2:$Q$66,6,0),0)</f>
        <v>198</v>
      </c>
      <c r="I1018" s="96">
        <f>IFERROR(G1018*VLOOKUP($E1018,BD!$L$2:$Q$66,5,0),0)</f>
        <v>100.98</v>
      </c>
      <c r="J1018" s="5">
        <f t="shared" si="63"/>
        <v>2021</v>
      </c>
    </row>
    <row r="1019" spans="1:10" s="9" customFormat="1" hidden="1" x14ac:dyDescent="0.25">
      <c r="A1019" s="491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7">
        <v>256675</v>
      </c>
      <c r="F1019" s="3" t="str">
        <f>IFERROR(VLOOKUP(E1019,BD!$L$2:$Q$66,2,0),0)</f>
        <v>INCA KOLA PET 1.5LX2 RF</v>
      </c>
      <c r="G1019" s="370">
        <f>198*4</f>
        <v>792</v>
      </c>
      <c r="H1019" s="3">
        <f>+IFERROR(VLOOKUP(E1019,BD!$L$2:$Q$66,6,0),0)</f>
        <v>198</v>
      </c>
      <c r="I1019" s="96">
        <f>IFERROR(G1019*VLOOKUP($E1019,BD!$L$2:$Q$66,5,0),0)</f>
        <v>134.64000000000001</v>
      </c>
      <c r="J1019" s="5">
        <f t="shared" si="63"/>
        <v>2021</v>
      </c>
    </row>
    <row r="1020" spans="1:10" s="9" customFormat="1" hidden="1" x14ac:dyDescent="0.25">
      <c r="A1020" s="491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7">
        <v>254853</v>
      </c>
      <c r="F1020" s="3" t="str">
        <f>IFERROR(VLOOKUP(E1020,BD!$L$2:$Q$66,2,0),0)</f>
        <v>INCA KOLA SIN AZUCAR PET 1.5LX2</v>
      </c>
      <c r="G1020" s="370">
        <f>198*9</f>
        <v>1782</v>
      </c>
      <c r="H1020" s="3">
        <f>+IFERROR(VLOOKUP(E1020,BD!$L$2:$Q$66,6,0),0)</f>
        <v>198</v>
      </c>
      <c r="I1020" s="96">
        <f>IFERROR(G1020*VLOOKUP($E1020,BD!$L$2:$Q$66,5,0),0)</f>
        <v>302.94</v>
      </c>
      <c r="J1020" s="5">
        <f t="shared" si="63"/>
        <v>2021</v>
      </c>
    </row>
    <row r="1021" spans="1:10" s="9" customFormat="1" hidden="1" x14ac:dyDescent="0.25">
      <c r="A1021" s="491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7">
        <v>256379</v>
      </c>
      <c r="F1021" s="3" t="str">
        <f>IFERROR(VLOOKUP(E1021,BD!$L$2:$Q$66,2,0),0)</f>
        <v>INCA KOLA VR 625MLX12 - STICKER</v>
      </c>
      <c r="G1021" s="409">
        <f>50*10</f>
        <v>500</v>
      </c>
      <c r="H1021" s="3">
        <f>+IFERROR(VLOOKUP(E1021,BD!$L$2:$Q$66,6,0),0)</f>
        <v>50</v>
      </c>
      <c r="I1021" s="96">
        <f>IFERROR(G1021*VLOOKUP($E1021,BD!$L$2:$Q$66,5,0),0)</f>
        <v>200</v>
      </c>
      <c r="J1021" s="5">
        <f t="shared" si="63"/>
        <v>2021</v>
      </c>
    </row>
    <row r="1022" spans="1:10" s="9" customFormat="1" hidden="1" x14ac:dyDescent="0.25">
      <c r="A1022" s="491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7">
        <v>256381</v>
      </c>
      <c r="F1022" s="3" t="str">
        <f>IFERROR(VLOOKUP(E1022,BD!$L$2:$Q$66,2,0),0)</f>
        <v>INCA KOLA VR 1.5LX8 - STICKER</v>
      </c>
      <c r="G1022" s="409">
        <f>30*8</f>
        <v>240</v>
      </c>
      <c r="H1022" s="3">
        <f>+IFERROR(VLOOKUP(E1022,BD!$L$2:$Q$66,6,0),0)</f>
        <v>30</v>
      </c>
      <c r="I1022" s="96">
        <f>IFERROR(G1022*VLOOKUP($E1022,BD!$L$2:$Q$66,5,0),0)</f>
        <v>96</v>
      </c>
      <c r="J1022" s="5">
        <f t="shared" si="63"/>
        <v>2021</v>
      </c>
    </row>
    <row r="1023" spans="1:10" s="9" customFormat="1" hidden="1" x14ac:dyDescent="0.25">
      <c r="A1023" s="491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7">
        <v>256380</v>
      </c>
      <c r="F1023" s="3" t="str">
        <f>IFERROR(VLOOKUP(E1023,BD!$L$2:$Q$66,2,0),0)</f>
        <v>INCA KOLA VR 296MLX24 - STICKER</v>
      </c>
      <c r="G1023" s="409">
        <f>40*5</f>
        <v>200</v>
      </c>
      <c r="H1023" s="3">
        <f>+IFERROR(VLOOKUP(E1023,BD!$L$2:$Q$66,6,0),0)</f>
        <v>40</v>
      </c>
      <c r="I1023" s="96">
        <f>IFERROR(G1023*VLOOKUP($E1023,BD!$L$2:$Q$66,5,0),0)</f>
        <v>46</v>
      </c>
      <c r="J1023" s="5">
        <f t="shared" si="63"/>
        <v>2021</v>
      </c>
    </row>
    <row r="1024" spans="1:10" s="9" customFormat="1" hidden="1" x14ac:dyDescent="0.25">
      <c r="A1024" s="491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7">
        <v>256679</v>
      </c>
      <c r="F1024" s="3" t="str">
        <f>IFERROR(VLOOKUP(E1024,BD!$L$2:$Q$66,2,0),0)</f>
        <v>TRIPACK CC+IK+IK PFM 3LX3 - RFNN</v>
      </c>
      <c r="G1024" s="409">
        <f>90*6</f>
        <v>540</v>
      </c>
      <c r="H1024" s="3">
        <f>+IFERROR(VLOOKUP(E1024,BD!$L$2:$Q$66,6,0),0)</f>
        <v>90</v>
      </c>
      <c r="I1024" s="96">
        <f>IFERROR(G1024*VLOOKUP($E1024,BD!$L$2:$Q$66,5,0),0)</f>
        <v>91.800000000000011</v>
      </c>
      <c r="J1024" s="5">
        <f t="shared" si="63"/>
        <v>2021</v>
      </c>
    </row>
    <row r="1025" spans="1:10" s="9" customFormat="1" hidden="1" x14ac:dyDescent="0.25">
      <c r="A1025" s="491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7">
        <v>256676</v>
      </c>
      <c r="F1025" s="3" t="str">
        <f>IFERROR(VLOOKUP(E1025,BD!$L$2:$Q$66,2,0),0)</f>
        <v>TWO PACK CC PFM 3LX2 - RFCC</v>
      </c>
      <c r="G1025" s="409">
        <f>120*6</f>
        <v>720</v>
      </c>
      <c r="H1025" s="3">
        <f>+IFERROR(VLOOKUP(E1025,BD!$L$2:$Q$66,6,0),0)</f>
        <v>120</v>
      </c>
      <c r="I1025" s="96">
        <f>IFERROR(G1025*VLOOKUP($E1025,BD!$L$2:$Q$66,5,0),0)</f>
        <v>122.4</v>
      </c>
      <c r="J1025" s="5">
        <f t="shared" si="63"/>
        <v>2021</v>
      </c>
    </row>
    <row r="1026" spans="1:10" s="9" customFormat="1" hidden="1" x14ac:dyDescent="0.25">
      <c r="A1026" s="491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7">
        <v>251406</v>
      </c>
      <c r="F1026" s="3" t="str">
        <f>IFERROR(VLOOKUP(E1026,BD!$L$2:$Q$66,2,0),0)</f>
        <v>COCA-COLA SIN AZUCAR PET 1.5LX2</v>
      </c>
      <c r="G1026" s="370">
        <f>198*13</f>
        <v>2574</v>
      </c>
      <c r="H1026" s="3">
        <f>+IFERROR(VLOOKUP(E1026,BD!$L$2:$Q$66,6,0),0)</f>
        <v>198</v>
      </c>
      <c r="I1026" s="96">
        <f>IFERROR(G1026*VLOOKUP($E1026,BD!$L$2:$Q$66,5,0),0)</f>
        <v>437.58000000000004</v>
      </c>
      <c r="J1026" s="5">
        <f t="shared" si="63"/>
        <v>2021</v>
      </c>
    </row>
    <row r="1027" spans="1:10" s="9" customFormat="1" hidden="1" x14ac:dyDescent="0.25">
      <c r="A1027" s="491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7">
        <v>256677</v>
      </c>
      <c r="F1027" s="3" t="str">
        <f>IFERROR(VLOOKUP(E1027,BD!$L$2:$Q$66,2,0),0)</f>
        <v>TWO PACK CC + IK PFM 3LX2 - RFNN</v>
      </c>
      <c r="G1027" s="409">
        <f>120*14</f>
        <v>1680</v>
      </c>
      <c r="H1027" s="3">
        <f>+IFERROR(VLOOKUP(E1027,BD!$L$2:$Q$66,6,0),0)</f>
        <v>120</v>
      </c>
      <c r="I1027" s="96">
        <f>IFERROR(G1027*VLOOKUP($E1027,BD!$L$2:$Q$66,5,0),0)</f>
        <v>285.60000000000002</v>
      </c>
      <c r="J1027" s="5">
        <f t="shared" si="63"/>
        <v>2021</v>
      </c>
    </row>
    <row r="1028" spans="1:10" s="9" customFormat="1" ht="15.75" hidden="1" thickBot="1" x14ac:dyDescent="0.3">
      <c r="A1028" s="492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9">
        <v>256680</v>
      </c>
      <c r="F1028" s="8" t="str">
        <f>IFERROR(VLOOKUP(E1028,BD!$L$2:$Q$66,2,0),0)</f>
        <v>TRIPACK CC+CC+IK PFM 3LX3 - RFNN</v>
      </c>
      <c r="G1028" s="450">
        <v>450</v>
      </c>
      <c r="H1028" s="8">
        <f>+IFERROR(VLOOKUP(E1028,BD!$L$2:$Q$66,6,0),0)</f>
        <v>90</v>
      </c>
      <c r="I1028" s="98">
        <f>IFERROR(G1028*VLOOKUP($E1028,BD!$L$2:$Q$66,5,0),0)</f>
        <v>76.5</v>
      </c>
      <c r="J1028" s="110">
        <f t="shared" ref="J1028:J1091" si="67">+YEAR(A1028)</f>
        <v>2021</v>
      </c>
    </row>
    <row r="1029" spans="1:10" s="9" customFormat="1" hidden="1" x14ac:dyDescent="0.25">
      <c r="A1029" s="484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8">
        <v>256381</v>
      </c>
      <c r="F1029" s="21" t="str">
        <f>IFERROR(VLOOKUP(E1029,BD!$L$2:$Q$66,2,0),0)</f>
        <v>INCA KOLA VR 1.5LX8 - STICKER</v>
      </c>
      <c r="G1029" s="455">
        <f>30*3</f>
        <v>90</v>
      </c>
      <c r="H1029" s="21">
        <f>+IFERROR(VLOOKUP(E1029,BD!$L$2:$Q$66,6,0),0)</f>
        <v>30</v>
      </c>
      <c r="I1029" s="467">
        <f>IFERROR(G1029*VLOOKUP($E1029,BD!$L$2:$Q$66,5,0),0)</f>
        <v>36</v>
      </c>
      <c r="J1029" s="21">
        <f t="shared" si="67"/>
        <v>2021</v>
      </c>
    </row>
    <row r="1030" spans="1:10" s="9" customFormat="1" hidden="1" x14ac:dyDescent="0.25">
      <c r="A1030" s="447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7">
        <v>256383</v>
      </c>
      <c r="F1030" s="3" t="str">
        <f>IFERROR(VLOOKUP(E1030,BD!$L$2:$Q$66,2,0),0)</f>
        <v>COCA COLA VR 1.5LX8 - STICKER</v>
      </c>
      <c r="G1030" s="409">
        <f>30*2</f>
        <v>60</v>
      </c>
      <c r="H1030" s="3">
        <f>+IFERROR(VLOOKUP(E1030,BD!$L$2:$Q$66,6,0),0)</f>
        <v>30</v>
      </c>
      <c r="I1030" s="96">
        <f>IFERROR(G1030*VLOOKUP($E1030,BD!$L$2:$Q$66,5,0),0)</f>
        <v>13.8</v>
      </c>
      <c r="J1030" s="3">
        <f t="shared" si="67"/>
        <v>2021</v>
      </c>
    </row>
    <row r="1031" spans="1:10" s="9" customFormat="1" hidden="1" x14ac:dyDescent="0.25">
      <c r="A1031" s="447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7">
        <v>256380</v>
      </c>
      <c r="F1031" s="3" t="str">
        <f>IFERROR(VLOOKUP(E1031,BD!$L$2:$Q$66,2,0),0)</f>
        <v>INCA KOLA VR 296MLX24 - STICKER</v>
      </c>
      <c r="G1031" s="409">
        <f>40*2</f>
        <v>80</v>
      </c>
      <c r="H1031" s="3">
        <f>+IFERROR(VLOOKUP(E1031,BD!$L$2:$Q$66,6,0),0)</f>
        <v>40</v>
      </c>
      <c r="I1031" s="96">
        <f>IFERROR(G1031*VLOOKUP($E1031,BD!$L$2:$Q$66,5,0),0)</f>
        <v>18.400000000000002</v>
      </c>
      <c r="J1031" s="3">
        <f t="shared" si="67"/>
        <v>2021</v>
      </c>
    </row>
    <row r="1032" spans="1:10" s="9" customFormat="1" hidden="1" x14ac:dyDescent="0.25">
      <c r="A1032" s="447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7">
        <v>256679</v>
      </c>
      <c r="F1032" s="3" t="str">
        <f>IFERROR(VLOOKUP(E1032,BD!$L$2:$Q$66,2,0),0)</f>
        <v>TRIPACK CC+IK+IK PFM 3LX3 - RFNN</v>
      </c>
      <c r="G1032" s="409">
        <f>90*4</f>
        <v>360</v>
      </c>
      <c r="H1032" s="3">
        <f>+IFERROR(VLOOKUP(E1032,BD!$L$2:$Q$66,6,0),0)</f>
        <v>90</v>
      </c>
      <c r="I1032" s="96">
        <f>IFERROR(G1032*VLOOKUP($E1032,BD!$L$2:$Q$66,5,0),0)</f>
        <v>61.2</v>
      </c>
      <c r="J1032" s="3">
        <f t="shared" si="67"/>
        <v>2021</v>
      </c>
    </row>
    <row r="1033" spans="1:10" s="9" customFormat="1" hidden="1" x14ac:dyDescent="0.25">
      <c r="A1033" s="447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7">
        <v>256382</v>
      </c>
      <c r="F1033" s="3" t="str">
        <f>IFERROR(VLOOKUP(E1033,BD!$L$2:$Q$66,2,0),0)</f>
        <v>COCA COLA VR 296MLX24 - STICKER</v>
      </c>
      <c r="G1033" s="409">
        <f>40*2</f>
        <v>80</v>
      </c>
      <c r="H1033" s="3">
        <f>+IFERROR(VLOOKUP(E1033,BD!$L$2:$Q$66,6,0),0)</f>
        <v>40</v>
      </c>
      <c r="I1033" s="96">
        <f>IFERROR(G1033*VLOOKUP($E1033,BD!$L$2:$Q$66,5,0),0)</f>
        <v>18.400000000000002</v>
      </c>
      <c r="J1033" s="3">
        <f t="shared" si="67"/>
        <v>2021</v>
      </c>
    </row>
    <row r="1034" spans="1:10" s="9" customFormat="1" hidden="1" x14ac:dyDescent="0.25">
      <c r="A1034" s="447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7">
        <v>256677</v>
      </c>
      <c r="F1034" s="3" t="str">
        <f>IFERROR(VLOOKUP(E1034,BD!$L$2:$Q$66,2,0),0)</f>
        <v>TWO PACK CC + IK PFM 3LX2 - RFNN</v>
      </c>
      <c r="G1034" s="409">
        <f>120*12</f>
        <v>1440</v>
      </c>
      <c r="H1034" s="3">
        <f>+IFERROR(VLOOKUP(E1034,BD!$L$2:$Q$66,6,0),0)</f>
        <v>120</v>
      </c>
      <c r="I1034" s="96">
        <f>IFERROR(G1034*VLOOKUP($E1034,BD!$L$2:$Q$66,5,0),0)</f>
        <v>244.8</v>
      </c>
      <c r="J1034" s="3">
        <f t="shared" si="67"/>
        <v>2021</v>
      </c>
    </row>
    <row r="1035" spans="1:10" s="9" customFormat="1" hidden="1" x14ac:dyDescent="0.25">
      <c r="A1035" s="447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7">
        <v>256675</v>
      </c>
      <c r="F1035" s="3" t="str">
        <f>IFERROR(VLOOKUP(E1035,BD!$L$2:$Q$66,2,0),0)</f>
        <v>INCA KOLA PET 1.5LX2 RF</v>
      </c>
      <c r="G1035" s="370">
        <f>198*7</f>
        <v>1386</v>
      </c>
      <c r="H1035" s="3">
        <f>+IFERROR(VLOOKUP(E1035,BD!$L$2:$Q$66,6,0),0)</f>
        <v>198</v>
      </c>
      <c r="I1035" s="96">
        <f>IFERROR(G1035*VLOOKUP($E1035,BD!$L$2:$Q$66,5,0),0)</f>
        <v>235.62</v>
      </c>
      <c r="J1035" s="3">
        <f t="shared" si="67"/>
        <v>2021</v>
      </c>
    </row>
    <row r="1036" spans="1:10" s="9" customFormat="1" hidden="1" x14ac:dyDescent="0.25">
      <c r="A1036" s="447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7">
        <v>256617</v>
      </c>
      <c r="F1036" s="3" t="str">
        <f>IFERROR(VLOOKUP(E1036,BD!$L$2:$Q$66,2,0),0)</f>
        <v>TWO PACK SCHWEPPES GINGER ALE PET 1.5LX2</v>
      </c>
      <c r="G1036" s="409">
        <v>198</v>
      </c>
      <c r="H1036" s="3">
        <f>+IFERROR(VLOOKUP(E1036,BD!$L$2:$Q$66,6,0),0)</f>
        <v>198</v>
      </c>
      <c r="I1036" s="96">
        <f>IFERROR(G1036*VLOOKUP($E1036,BD!$L$2:$Q$66,5,0),0)</f>
        <v>33.660000000000004</v>
      </c>
      <c r="J1036" s="3">
        <f t="shared" si="67"/>
        <v>2021</v>
      </c>
    </row>
    <row r="1037" spans="1:10" s="9" customFormat="1" hidden="1" x14ac:dyDescent="0.25">
      <c r="A1037" s="447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7">
        <v>254853</v>
      </c>
      <c r="F1037" s="3" t="str">
        <f>IFERROR(VLOOKUP(E1037,BD!$L$2:$Q$66,2,0),0)</f>
        <v>INCA KOLA SIN AZUCAR PET 1.5LX2</v>
      </c>
      <c r="G1037" s="370">
        <f>198*5</f>
        <v>990</v>
      </c>
      <c r="H1037" s="3">
        <f>+IFERROR(VLOOKUP(E1037,BD!$L$2:$Q$66,6,0),0)</f>
        <v>198</v>
      </c>
      <c r="I1037" s="96">
        <f>IFERROR(G1037*VLOOKUP($E1037,BD!$L$2:$Q$66,5,0),0)</f>
        <v>168.3</v>
      </c>
      <c r="J1037" s="3">
        <f t="shared" si="67"/>
        <v>2021</v>
      </c>
    </row>
    <row r="1038" spans="1:10" s="9" customFormat="1" hidden="1" x14ac:dyDescent="0.25">
      <c r="A1038" s="447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7">
        <v>256674</v>
      </c>
      <c r="F1038" s="3" t="str">
        <f>IFERROR(VLOOKUP(E1038,BD!$L$2:$Q$66,2,0),0)</f>
        <v>COCA-COLA PET 1.5LX2 RF</v>
      </c>
      <c r="G1038" s="370">
        <f>198*5</f>
        <v>990</v>
      </c>
      <c r="H1038" s="3">
        <f>+IFERROR(VLOOKUP(E1038,BD!$L$2:$Q$66,6,0),0)</f>
        <v>198</v>
      </c>
      <c r="I1038" s="96">
        <f>IFERROR(G1038*VLOOKUP($E1038,BD!$L$2:$Q$66,5,0),0)</f>
        <v>168.3</v>
      </c>
      <c r="J1038" s="3">
        <f t="shared" si="67"/>
        <v>2021</v>
      </c>
    </row>
    <row r="1039" spans="1:10" s="9" customFormat="1" hidden="1" x14ac:dyDescent="0.25">
      <c r="A1039" s="447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7">
        <v>256682</v>
      </c>
      <c r="F1039" s="3" t="str">
        <f>IFERROR(VLOOKUP(E1039,BD!$L$2:$Q$66,2,0),0)</f>
        <v>TRIPACK (FT NAR+SP)PET+IK RF PFM 3L</v>
      </c>
      <c r="G1039" s="378">
        <f>90*2</f>
        <v>180</v>
      </c>
      <c r="H1039" s="3">
        <f>+IFERROR(VLOOKUP(E1039,BD!$L$2:$Q$66,6,0),0)</f>
        <v>90</v>
      </c>
      <c r="I1039" s="96">
        <f>IFERROR(G1039*VLOOKUP($E1039,BD!$L$2:$Q$66,5,0),0)</f>
        <v>30.6</v>
      </c>
      <c r="J1039" s="3">
        <f t="shared" si="67"/>
        <v>2021</v>
      </c>
    </row>
    <row r="1040" spans="1:10" s="9" customFormat="1" hidden="1" x14ac:dyDescent="0.25">
      <c r="A1040" s="447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7">
        <v>251429</v>
      </c>
      <c r="F1040" s="3" t="str">
        <f>IFERROR(VLOOKUP(E1040,BD!$L$2:$Q$66,2,0),0)</f>
        <v>SAN LUIS SIN GAS PET2500X6 STICKER</v>
      </c>
      <c r="G1040" s="409">
        <f>48*10</f>
        <v>480</v>
      </c>
      <c r="H1040" s="3">
        <f>+IFERROR(VLOOKUP(E1040,BD!$L$2:$Q$66,6,0),0)</f>
        <v>48</v>
      </c>
      <c r="I1040" s="96">
        <f>IFERROR(G1040*VLOOKUP($E1040,BD!$L$2:$Q$66,5,0),0)</f>
        <v>192</v>
      </c>
      <c r="J1040" s="3">
        <f t="shared" si="67"/>
        <v>2021</v>
      </c>
    </row>
    <row r="1041" spans="1:10" s="9" customFormat="1" hidden="1" x14ac:dyDescent="0.25">
      <c r="A1041" s="447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7">
        <v>256679</v>
      </c>
      <c r="F1041" s="3" t="str">
        <f>IFERROR(VLOOKUP(E1041,BD!$L$2:$Q$66,2,0),0)</f>
        <v>TRIPACK CC+IK+IK PFM 3LX3 - RFNN</v>
      </c>
      <c r="G1041" s="409">
        <f>90*2</f>
        <v>180</v>
      </c>
      <c r="H1041" s="3">
        <f>+IFERROR(VLOOKUP(E1041,BD!$L$2:$Q$66,6,0),0)</f>
        <v>90</v>
      </c>
      <c r="I1041" s="96">
        <f>IFERROR(G1041*VLOOKUP($E1041,BD!$L$2:$Q$66,5,0),0)</f>
        <v>30.6</v>
      </c>
      <c r="J1041" s="3">
        <f t="shared" si="67"/>
        <v>2021</v>
      </c>
    </row>
    <row r="1042" spans="1:10" s="9" customFormat="1" hidden="1" x14ac:dyDescent="0.25">
      <c r="A1042" s="447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7">
        <v>256652</v>
      </c>
      <c r="F1042" s="3" t="str">
        <f>IFERROR(VLOOKUP(E1042,BD!$L$2:$Q$66,2,0),0)</f>
        <v>TRIPACK FT NAR+FT KI+SP PET 3L</v>
      </c>
      <c r="G1042" s="409">
        <f>90*29</f>
        <v>2610</v>
      </c>
      <c r="H1042" s="3">
        <f>+IFERROR(VLOOKUP(E1042,BD!$L$2:$Q$66,6,0),0)</f>
        <v>90</v>
      </c>
      <c r="I1042" s="96">
        <f>IFERROR(G1042*VLOOKUP($E1042,BD!$L$2:$Q$66,5,0),0)</f>
        <v>443.70000000000005</v>
      </c>
      <c r="J1042" s="3">
        <f t="shared" si="67"/>
        <v>2021</v>
      </c>
    </row>
    <row r="1043" spans="1:10" s="9" customFormat="1" hidden="1" x14ac:dyDescent="0.25">
      <c r="A1043" s="447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7">
        <v>751315</v>
      </c>
      <c r="F1043" s="3" t="str">
        <f>IFERROR(VLOOKUP(E1043,BD!$L$2:$Q$66,2,0),0)</f>
        <v>MONSTER ENERGY 473MLX4</v>
      </c>
      <c r="G1043" s="409">
        <f>420*2</f>
        <v>840</v>
      </c>
      <c r="H1043" s="3">
        <f>+IFERROR(VLOOKUP(E1043,BD!$L$2:$Q$66,6,0),0)</f>
        <v>420</v>
      </c>
      <c r="I1043" s="96">
        <f>IFERROR(G1043*VLOOKUP($E1043,BD!$L$2:$Q$66,5,0),0)</f>
        <v>352.8</v>
      </c>
      <c r="J1043" s="3">
        <f t="shared" si="67"/>
        <v>2021</v>
      </c>
    </row>
    <row r="1044" spans="1:10" s="9" customFormat="1" hidden="1" x14ac:dyDescent="0.25">
      <c r="A1044" s="447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7">
        <v>256685</v>
      </c>
      <c r="F1044" s="3" t="str">
        <f>IFERROR(VLOOKUP(E1044,BD!$L$2:$Q$66,2,0),0)</f>
        <v>SL S/G TAPA PLANA 1LT</v>
      </c>
      <c r="G1044" s="409">
        <f>112*3</f>
        <v>336</v>
      </c>
      <c r="H1044" s="3">
        <f>+IFERROR(VLOOKUP(E1044,BD!$L$2:$Q$66,6,0),0)</f>
        <v>112</v>
      </c>
      <c r="I1044" s="96">
        <f>IFERROR(G1044*VLOOKUP($E1044,BD!$L$2:$Q$66,5,0),0)</f>
        <v>134.4</v>
      </c>
      <c r="J1044" s="3">
        <f t="shared" si="67"/>
        <v>2021</v>
      </c>
    </row>
    <row r="1045" spans="1:10" s="9" customFormat="1" hidden="1" x14ac:dyDescent="0.25">
      <c r="A1045" s="447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7">
        <v>256678</v>
      </c>
      <c r="F1045" s="3" t="str">
        <f>IFERROR(VLOOKUP(E1045,BD!$L$2:$Q$66,2,0),0)</f>
        <v>TRIPACK (CC+IK)PFM+FT PET 3LX3 - RFNN</v>
      </c>
      <c r="G1045" s="409">
        <f>90*29</f>
        <v>2610</v>
      </c>
      <c r="H1045" s="3">
        <f>+IFERROR(VLOOKUP(E1045,BD!$L$2:$Q$66,6,0),0)</f>
        <v>90</v>
      </c>
      <c r="I1045" s="96">
        <f>IFERROR(G1045*VLOOKUP($E1045,BD!$L$2:$Q$66,5,0),0)</f>
        <v>443.70000000000005</v>
      </c>
      <c r="J1045" s="3">
        <f t="shared" si="67"/>
        <v>2021</v>
      </c>
    </row>
    <row r="1046" spans="1:10" s="9" customFormat="1" hidden="1" x14ac:dyDescent="0.25">
      <c r="A1046" s="447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7">
        <v>751544</v>
      </c>
      <c r="F1046" s="3" t="str">
        <f>IFERROR(VLOOKUP(E1046,BD!$L$2:$Q$66,2,0),0)</f>
        <v>MONSTER ENERGY ZERO 473MLX4</v>
      </c>
      <c r="G1046" s="409">
        <f>420*4</f>
        <v>1680</v>
      </c>
      <c r="H1046" s="3">
        <f>+IFERROR(VLOOKUP(E1046,BD!$L$2:$Q$66,6,0),0)</f>
        <v>420</v>
      </c>
      <c r="I1046" s="96">
        <f>IFERROR(G1046*VLOOKUP($E1046,BD!$L$2:$Q$66,5,0),0)</f>
        <v>705.6</v>
      </c>
      <c r="J1046" s="3">
        <f t="shared" si="67"/>
        <v>2021</v>
      </c>
    </row>
    <row r="1047" spans="1:10" s="9" customFormat="1" hidden="1" x14ac:dyDescent="0.25">
      <c r="A1047" s="447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7">
        <v>256676</v>
      </c>
      <c r="F1047" s="3" t="str">
        <f>IFERROR(VLOOKUP(E1047,BD!$L$2:$Q$66,2,0),0)</f>
        <v>TWO PACK CC PFM 3LX2 - RFCC</v>
      </c>
      <c r="G1047" s="409">
        <f>120*4</f>
        <v>480</v>
      </c>
      <c r="H1047" s="3">
        <f>+IFERROR(VLOOKUP(E1047,BD!$L$2:$Q$66,6,0),0)</f>
        <v>120</v>
      </c>
      <c r="I1047" s="96">
        <f>IFERROR(G1047*VLOOKUP($E1047,BD!$L$2:$Q$66,5,0),0)</f>
        <v>81.600000000000009</v>
      </c>
      <c r="J1047" s="3">
        <f t="shared" si="67"/>
        <v>2021</v>
      </c>
    </row>
    <row r="1048" spans="1:10" s="9" customFormat="1" hidden="1" x14ac:dyDescent="0.25">
      <c r="A1048" s="447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7">
        <v>256488</v>
      </c>
      <c r="F1048" s="3" t="str">
        <f>IFERROR(VLOOKUP(E1048,BD!$L$2:$Q$66,2,0),0)</f>
        <v>INCA KOLA PET 3LX2 - RF</v>
      </c>
      <c r="G1048" s="409">
        <f>120*6</f>
        <v>720</v>
      </c>
      <c r="H1048" s="3">
        <f>+IFERROR(VLOOKUP(E1048,BD!$L$2:$Q$66,6,0),0)</f>
        <v>120</v>
      </c>
      <c r="I1048" s="96">
        <f>IFERROR(G1048*VLOOKUP($E1048,BD!$L$2:$Q$66,5,0),0)</f>
        <v>122.4</v>
      </c>
      <c r="J1048" s="3">
        <f t="shared" si="67"/>
        <v>2021</v>
      </c>
    </row>
    <row r="1049" spans="1:10" s="9" customFormat="1" hidden="1" x14ac:dyDescent="0.25">
      <c r="A1049" s="447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7">
        <v>251633</v>
      </c>
      <c r="F1049" s="3" t="str">
        <f>IFERROR(VLOOKUP(E1049,BD!$L$2:$Q$66,2,0),0)</f>
        <v>SAN LUIS CON GAS PET 625MLX6</v>
      </c>
      <c r="G1049" s="409">
        <v>540</v>
      </c>
      <c r="H1049" s="3">
        <f>+IFERROR(VLOOKUP(E1049,BD!$L$2:$Q$66,6,0),0)</f>
        <v>180</v>
      </c>
      <c r="I1049" s="96">
        <f>IFERROR(G1049*VLOOKUP($E1049,BD!$L$2:$Q$66,5,0),0)</f>
        <v>226.79999999999998</v>
      </c>
      <c r="J1049" s="3">
        <f t="shared" si="67"/>
        <v>2021</v>
      </c>
    </row>
    <row r="1050" spans="1:10" s="9" customFormat="1" hidden="1" x14ac:dyDescent="0.25">
      <c r="A1050" s="447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7">
        <v>256674</v>
      </c>
      <c r="F1050" s="3" t="str">
        <f>IFERROR(VLOOKUP(E1050,BD!$L$2:$Q$66,2,0),0)</f>
        <v>COCA-COLA PET 1.5LX2 RF</v>
      </c>
      <c r="G1050" s="370">
        <f>216*13</f>
        <v>2808</v>
      </c>
      <c r="H1050" s="3">
        <f>+IFERROR(VLOOKUP(E1050,BD!$L$2:$Q$66,6,0),0)</f>
        <v>198</v>
      </c>
      <c r="I1050" s="96">
        <f>IFERROR(G1050*VLOOKUP($E1050,BD!$L$2:$Q$66,5,0),0)</f>
        <v>477.36</v>
      </c>
      <c r="J1050" s="3">
        <f t="shared" si="67"/>
        <v>2021</v>
      </c>
    </row>
    <row r="1051" spans="1:10" s="9" customFormat="1" hidden="1" x14ac:dyDescent="0.25">
      <c r="A1051" s="447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7">
        <v>254853</v>
      </c>
      <c r="F1051" s="3" t="str">
        <f>IFERROR(VLOOKUP(E1051,BD!$L$2:$Q$66,2,0),0)</f>
        <v>INCA KOLA SIN AZUCAR PET 1.5LX2</v>
      </c>
      <c r="G1051" s="370">
        <f>198*6</f>
        <v>1188</v>
      </c>
      <c r="H1051" s="3">
        <f>+IFERROR(VLOOKUP(E1051,BD!$L$2:$Q$66,6,0),0)</f>
        <v>198</v>
      </c>
      <c r="I1051" s="96">
        <f>IFERROR(G1051*VLOOKUP($E1051,BD!$L$2:$Q$66,5,0),0)</f>
        <v>201.96</v>
      </c>
      <c r="J1051" s="3">
        <f t="shared" si="67"/>
        <v>2021</v>
      </c>
    </row>
    <row r="1052" spans="1:10" s="9" customFormat="1" hidden="1" x14ac:dyDescent="0.25">
      <c r="A1052" s="447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7">
        <v>256675</v>
      </c>
      <c r="F1052" s="3" t="str">
        <f>IFERROR(VLOOKUP(E1052,BD!$L$2:$Q$66,2,0),0)</f>
        <v>INCA KOLA PET 1.5LX2 RF</v>
      </c>
      <c r="G1052" s="370">
        <f>198*6</f>
        <v>1188</v>
      </c>
      <c r="H1052" s="3">
        <f>+IFERROR(VLOOKUP(E1052,BD!$L$2:$Q$66,6,0),0)</f>
        <v>198</v>
      </c>
      <c r="I1052" s="96">
        <f>IFERROR(G1052*VLOOKUP($E1052,BD!$L$2:$Q$66,5,0),0)</f>
        <v>201.96</v>
      </c>
      <c r="J1052" s="3">
        <f t="shared" si="67"/>
        <v>2021</v>
      </c>
    </row>
    <row r="1053" spans="1:10" s="9" customFormat="1" hidden="1" x14ac:dyDescent="0.25">
      <c r="A1053" s="447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7">
        <v>256677</v>
      </c>
      <c r="F1053" s="3" t="str">
        <f>IFERROR(VLOOKUP(E1053,BD!$L$2:$Q$66,2,0),0)</f>
        <v>TWO PACK CC + IK PFM 3LX2 - RFNN</v>
      </c>
      <c r="G1053" s="409">
        <f>120*2</f>
        <v>240</v>
      </c>
      <c r="H1053" s="3">
        <f>+IFERROR(VLOOKUP(E1053,BD!$L$2:$Q$66,6,0),0)</f>
        <v>120</v>
      </c>
      <c r="I1053" s="96">
        <f>IFERROR(G1053*VLOOKUP($E1053,BD!$L$2:$Q$66,5,0),0)</f>
        <v>40.800000000000004</v>
      </c>
      <c r="J1053" s="3">
        <f t="shared" si="67"/>
        <v>2021</v>
      </c>
    </row>
    <row r="1054" spans="1:10" s="9" customFormat="1" hidden="1" x14ac:dyDescent="0.25">
      <c r="A1054" s="447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7">
        <v>251406</v>
      </c>
      <c r="F1054" s="3" t="str">
        <f>IFERROR(VLOOKUP(E1054,BD!$L$2:$Q$66,2,0),0)</f>
        <v>COCA-COLA SIN AZUCAR PET 1.5LX2</v>
      </c>
      <c r="G1054" s="370">
        <f>198*6</f>
        <v>1188</v>
      </c>
      <c r="H1054" s="3">
        <f>+IFERROR(VLOOKUP(E1054,BD!$L$2:$Q$66,6,0),0)</f>
        <v>198</v>
      </c>
      <c r="I1054" s="96">
        <f>IFERROR(G1054*VLOOKUP($E1054,BD!$L$2:$Q$66,5,0),0)</f>
        <v>201.96</v>
      </c>
      <c r="J1054" s="3">
        <f t="shared" si="67"/>
        <v>2021</v>
      </c>
    </row>
    <row r="1055" spans="1:10" s="9" customFormat="1" hidden="1" x14ac:dyDescent="0.25">
      <c r="A1055" s="447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7">
        <v>256666</v>
      </c>
      <c r="F1055" s="3" t="str">
        <f>IFERROR(VLOOKUP(E1055,BD!$L$2:$Q$66,2,0),0)</f>
        <v>COCA-COLA PET 2.25LX2 RF</v>
      </c>
      <c r="G1055" s="409">
        <f>162*2</f>
        <v>324</v>
      </c>
      <c r="H1055" s="3">
        <f>+IFERROR(VLOOKUP(E1055,BD!$L$2:$Q$66,6,0),0)</f>
        <v>162</v>
      </c>
      <c r="I1055" s="96">
        <f>IFERROR(G1055*VLOOKUP($E1055,BD!$L$2:$Q$66,5,0),0)</f>
        <v>55.080000000000005</v>
      </c>
      <c r="J1055" s="3">
        <f t="shared" si="67"/>
        <v>2021</v>
      </c>
    </row>
    <row r="1056" spans="1:10" s="9" customFormat="1" hidden="1" x14ac:dyDescent="0.25">
      <c r="A1056" s="447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7">
        <v>256679</v>
      </c>
      <c r="F1056" s="3" t="str">
        <f>IFERROR(VLOOKUP(E1056,BD!$L$2:$Q$66,2,0),0)</f>
        <v>TRIPACK CC+IK+IK PFM 3LX3 - RFNN</v>
      </c>
      <c r="G1056" s="409">
        <v>180</v>
      </c>
      <c r="H1056" s="3">
        <f>+IFERROR(VLOOKUP(E1056,BD!$L$2:$Q$66,6,0),0)</f>
        <v>90</v>
      </c>
      <c r="I1056" s="96">
        <f>IFERROR(G1056*VLOOKUP($E1056,BD!$L$2:$Q$66,5,0),0)</f>
        <v>30.6</v>
      </c>
      <c r="J1056" s="3">
        <f t="shared" si="67"/>
        <v>2021</v>
      </c>
    </row>
    <row r="1057" spans="1:10" s="9" customFormat="1" hidden="1" x14ac:dyDescent="0.25">
      <c r="A1057" s="447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7">
        <v>256680</v>
      </c>
      <c r="F1057" s="3" t="str">
        <f>IFERROR(VLOOKUP(E1057,BD!$L$2:$Q$66,2,0),0)</f>
        <v>TRIPACK CC+CC+IK PFM 3LX3 - RFNN</v>
      </c>
      <c r="G1057" s="409">
        <v>90</v>
      </c>
      <c r="H1057" s="3">
        <f>+IFERROR(VLOOKUP(E1057,BD!$L$2:$Q$66,6,0),0)</f>
        <v>90</v>
      </c>
      <c r="I1057" s="96">
        <f>IFERROR(G1057*VLOOKUP($E1057,BD!$L$2:$Q$66,5,0),0)</f>
        <v>15.3</v>
      </c>
      <c r="J1057" s="3">
        <f t="shared" si="67"/>
        <v>2021</v>
      </c>
    </row>
    <row r="1058" spans="1:10" s="9" customFormat="1" hidden="1" x14ac:dyDescent="0.25">
      <c r="A1058" s="447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7">
        <v>256382</v>
      </c>
      <c r="F1058" s="3" t="str">
        <f>IFERROR(VLOOKUP(E1058,BD!$L$2:$Q$66,2,0),0)</f>
        <v>COCA COLA VR 296MLX24 - STICKER</v>
      </c>
      <c r="G1058" s="409">
        <v>40</v>
      </c>
      <c r="H1058" s="3">
        <f>+IFERROR(VLOOKUP(E1058,BD!$L$2:$Q$66,6,0),0)</f>
        <v>40</v>
      </c>
      <c r="I1058" s="96">
        <f>IFERROR(G1058*VLOOKUP($E1058,BD!$L$2:$Q$66,5,0),0)</f>
        <v>9.2000000000000011</v>
      </c>
      <c r="J1058" s="3">
        <f t="shared" si="67"/>
        <v>2021</v>
      </c>
    </row>
    <row r="1059" spans="1:10" s="9" customFormat="1" hidden="1" x14ac:dyDescent="0.25">
      <c r="A1059" s="447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7">
        <v>256708</v>
      </c>
      <c r="F1059" s="3" t="str">
        <f>IFERROR(VLOOKUP(E1059,BD!$L$2:$Q$66,2,0),0)</f>
        <v>POWERADE ION4 FRUTA PET473X6 MOD (STICK)</v>
      </c>
      <c r="G1059" s="409">
        <v>225</v>
      </c>
      <c r="H1059" s="3">
        <f>+IFERROR(VLOOKUP(E1059,BD!$L$2:$Q$66,6,0),0)</f>
        <v>225</v>
      </c>
      <c r="I1059" s="96">
        <f>IFERROR(G1059*VLOOKUP($E1059,BD!$L$2:$Q$66,5,0),0)</f>
        <v>90</v>
      </c>
      <c r="J1059" s="3">
        <f t="shared" si="67"/>
        <v>2021</v>
      </c>
    </row>
    <row r="1060" spans="1:10" s="9" customFormat="1" hidden="1" x14ac:dyDescent="0.25">
      <c r="A1060" s="447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7">
        <v>256383</v>
      </c>
      <c r="F1060" s="3" t="str">
        <f>IFERROR(VLOOKUP(E1060,BD!$L$2:$Q$66,2,0),0)</f>
        <v>COCA COLA VR 1.5LX8 - STICKER</v>
      </c>
      <c r="G1060" s="409">
        <f>30*3</f>
        <v>90</v>
      </c>
      <c r="H1060" s="3">
        <f>+IFERROR(VLOOKUP(E1060,BD!$L$2:$Q$66,6,0),0)</f>
        <v>30</v>
      </c>
      <c r="I1060" s="96">
        <f>IFERROR(G1060*VLOOKUP($E1060,BD!$L$2:$Q$66,5,0),0)</f>
        <v>20.7</v>
      </c>
      <c r="J1060" s="3">
        <f t="shared" si="67"/>
        <v>2021</v>
      </c>
    </row>
    <row r="1061" spans="1:10" s="9" customFormat="1" hidden="1" x14ac:dyDescent="0.25">
      <c r="A1061" s="447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7">
        <v>256601</v>
      </c>
      <c r="F1061" s="3" t="str">
        <f>IFERROR(VLOOKUP(E1061,BD!$L$2:$Q$66,2,0),0)</f>
        <v>INCA KOLA PET 2.25LX2 RF</v>
      </c>
      <c r="G1061" s="409">
        <f>162*2</f>
        <v>324</v>
      </c>
      <c r="H1061" s="3">
        <f>+IFERROR(VLOOKUP(E1061,BD!$L$2:$Q$66,6,0),0)</f>
        <v>162</v>
      </c>
      <c r="I1061" s="96">
        <f>IFERROR(G1061*VLOOKUP($E1061,BD!$L$2:$Q$66,5,0),0)</f>
        <v>55.080000000000005</v>
      </c>
      <c r="J1061" s="3">
        <f t="shared" si="67"/>
        <v>2021</v>
      </c>
    </row>
    <row r="1062" spans="1:10" s="9" customFormat="1" hidden="1" x14ac:dyDescent="0.25">
      <c r="A1062" s="447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7">
        <v>256677</v>
      </c>
      <c r="F1062" s="3" t="str">
        <f>IFERROR(VLOOKUP(E1062,BD!$L$2:$Q$66,2,0),0)</f>
        <v>TWO PACK CC + IK PFM 3LX2 - RFNN</v>
      </c>
      <c r="G1062" s="409">
        <v>120</v>
      </c>
      <c r="H1062" s="3">
        <f>+IFERROR(VLOOKUP(E1062,BD!$L$2:$Q$66,6,0),0)</f>
        <v>120</v>
      </c>
      <c r="I1062" s="96">
        <f>IFERROR(G1062*VLOOKUP($E1062,BD!$L$2:$Q$66,5,0),0)</f>
        <v>20.400000000000002</v>
      </c>
      <c r="J1062" s="3">
        <f t="shared" si="67"/>
        <v>2021</v>
      </c>
    </row>
    <row r="1063" spans="1:10" s="9" customFormat="1" hidden="1" x14ac:dyDescent="0.25">
      <c r="A1063" s="447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7">
        <v>256679</v>
      </c>
      <c r="F1063" s="3" t="str">
        <f>IFERROR(VLOOKUP(E1063,BD!$L$2:$Q$66,2,0),0)</f>
        <v>TRIPACK CC+IK+IK PFM 3LX3 - RFNN</v>
      </c>
      <c r="G1063" s="409">
        <f>90*5</f>
        <v>450</v>
      </c>
      <c r="H1063" s="3">
        <f>+IFERROR(VLOOKUP(E1063,BD!$L$2:$Q$66,6,0),0)</f>
        <v>90</v>
      </c>
      <c r="I1063" s="96">
        <f>IFERROR(G1063*VLOOKUP($E1063,BD!$L$2:$Q$66,5,0),0)</f>
        <v>76.5</v>
      </c>
      <c r="J1063" s="3">
        <f t="shared" si="67"/>
        <v>2021</v>
      </c>
    </row>
    <row r="1064" spans="1:10" s="9" customFormat="1" hidden="1" x14ac:dyDescent="0.25">
      <c r="A1064" s="447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7">
        <v>256652</v>
      </c>
      <c r="F1064" s="3" t="str">
        <f>IFERROR(VLOOKUP(E1064,BD!$L$2:$Q$66,2,0),0)</f>
        <v>TRIPACK FT NAR+FT KI+SP PET 3L</v>
      </c>
      <c r="G1064" s="409">
        <f>90*3</f>
        <v>270</v>
      </c>
      <c r="H1064" s="3">
        <f>+IFERROR(VLOOKUP(E1064,BD!$L$2:$Q$66,6,0),0)</f>
        <v>90</v>
      </c>
      <c r="I1064" s="96">
        <f>IFERROR(G1064*VLOOKUP($E1064,BD!$L$2:$Q$66,5,0),0)</f>
        <v>45.900000000000006</v>
      </c>
      <c r="J1064" s="3">
        <f t="shared" si="67"/>
        <v>2021</v>
      </c>
    </row>
    <row r="1065" spans="1:10" s="9" customFormat="1" hidden="1" x14ac:dyDescent="0.25">
      <c r="A1065" s="447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7">
        <v>256678</v>
      </c>
      <c r="F1065" s="3" t="str">
        <f>IFERROR(VLOOKUP(E1065,BD!$L$2:$Q$66,2,0),0)</f>
        <v>TRIPACK (CC+IK)PFM+FT PET 3LX3 - RFNN</v>
      </c>
      <c r="G1065" s="409">
        <f>90*13</f>
        <v>1170</v>
      </c>
      <c r="H1065" s="3">
        <f>+IFERROR(VLOOKUP(E1065,BD!$L$2:$Q$66,6,0),0)</f>
        <v>90</v>
      </c>
      <c r="I1065" s="96">
        <f>IFERROR(G1065*VLOOKUP($E1065,BD!$L$2:$Q$66,5,0),0)</f>
        <v>198.9</v>
      </c>
      <c r="J1065" s="3">
        <f t="shared" si="67"/>
        <v>2021</v>
      </c>
    </row>
    <row r="1066" spans="1:10" s="9" customFormat="1" hidden="1" x14ac:dyDescent="0.25">
      <c r="A1066" s="447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7">
        <v>256680</v>
      </c>
      <c r="F1066" s="3" t="str">
        <f>IFERROR(VLOOKUP(E1066,BD!$L$2:$Q$66,2,0),0)</f>
        <v>TRIPACK CC+CC+IK PFM 3LX3 - RFNN</v>
      </c>
      <c r="G1066" s="409">
        <f>90*32</f>
        <v>2880</v>
      </c>
      <c r="H1066" s="3">
        <f>+IFERROR(VLOOKUP(E1066,BD!$L$2:$Q$66,6,0),0)</f>
        <v>90</v>
      </c>
      <c r="I1066" s="96">
        <f>IFERROR(G1066*VLOOKUP($E1066,BD!$L$2:$Q$66,5,0),0)</f>
        <v>489.6</v>
      </c>
      <c r="J1066" s="3">
        <f t="shared" si="67"/>
        <v>2021</v>
      </c>
    </row>
    <row r="1067" spans="1:10" s="9" customFormat="1" hidden="1" x14ac:dyDescent="0.25">
      <c r="A1067" s="447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7">
        <v>251633</v>
      </c>
      <c r="F1067" s="3" t="str">
        <f>IFERROR(VLOOKUP(E1067,BD!$L$2:$Q$66,2,0),0)</f>
        <v>SAN LUIS CON GAS PET 625MLX6</v>
      </c>
      <c r="G1067" s="409">
        <f>180*2</f>
        <v>360</v>
      </c>
      <c r="H1067" s="3">
        <f>+IFERROR(VLOOKUP(E1067,BD!$L$2:$Q$66,6,0),0)</f>
        <v>180</v>
      </c>
      <c r="I1067" s="96">
        <f>IFERROR(G1067*VLOOKUP($E1067,BD!$L$2:$Q$66,5,0),0)</f>
        <v>151.19999999999999</v>
      </c>
      <c r="J1067" s="3">
        <f t="shared" si="67"/>
        <v>2021</v>
      </c>
    </row>
    <row r="1068" spans="1:10" s="9" customFormat="1" hidden="1" x14ac:dyDescent="0.25">
      <c r="A1068" s="447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7">
        <v>751544</v>
      </c>
      <c r="F1068" s="3" t="str">
        <f>IFERROR(VLOOKUP(E1068,BD!$L$2:$Q$66,2,0),0)</f>
        <v>MONSTER ENERGY ZERO 473MLX4</v>
      </c>
      <c r="G1068" s="409">
        <f>420*5</f>
        <v>2100</v>
      </c>
      <c r="H1068" s="3">
        <f>+IFERROR(VLOOKUP(E1068,BD!$L$2:$Q$66,6,0),0)</f>
        <v>420</v>
      </c>
      <c r="I1068" s="96">
        <f>IFERROR(G1068*VLOOKUP($E1068,BD!$L$2:$Q$66,5,0),0)</f>
        <v>882</v>
      </c>
      <c r="J1068" s="3">
        <f t="shared" si="67"/>
        <v>2021</v>
      </c>
    </row>
    <row r="1069" spans="1:10" s="9" customFormat="1" hidden="1" x14ac:dyDescent="0.25">
      <c r="A1069" s="447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7">
        <v>251429</v>
      </c>
      <c r="F1069" s="3" t="str">
        <f>IFERROR(VLOOKUP(E1069,BD!$L$2:$Q$66,2,0),0)</f>
        <v>SAN LUIS SIN GAS PET2500X6 STICKER</v>
      </c>
      <c r="G1069" s="409">
        <f>48*12</f>
        <v>576</v>
      </c>
      <c r="H1069" s="3">
        <f>+IFERROR(VLOOKUP(E1069,BD!$L$2:$Q$66,6,0),0)</f>
        <v>48</v>
      </c>
      <c r="I1069" s="96">
        <f>IFERROR(G1069*VLOOKUP($E1069,BD!$L$2:$Q$66,5,0),0)</f>
        <v>230.4</v>
      </c>
      <c r="J1069" s="3">
        <f t="shared" si="67"/>
        <v>2021</v>
      </c>
    </row>
    <row r="1070" spans="1:10" s="9" customFormat="1" hidden="1" x14ac:dyDescent="0.25">
      <c r="A1070" s="447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7">
        <v>251406</v>
      </c>
      <c r="F1070" s="3" t="str">
        <f>IFERROR(VLOOKUP(E1070,BD!$L$2:$Q$66,2,0),0)</f>
        <v>COCA-COLA SIN AZUCAR PET 1.5LX2</v>
      </c>
      <c r="G1070" s="370">
        <f>198*8</f>
        <v>1584</v>
      </c>
      <c r="H1070" s="3">
        <f>+IFERROR(VLOOKUP(E1070,BD!$L$2:$Q$66,6,0),0)</f>
        <v>198</v>
      </c>
      <c r="I1070" s="96">
        <f>IFERROR(G1070*VLOOKUP($E1070,BD!$L$2:$Q$66,5,0),0)</f>
        <v>269.28000000000003</v>
      </c>
      <c r="J1070" s="3">
        <f t="shared" si="67"/>
        <v>2021</v>
      </c>
    </row>
    <row r="1071" spans="1:10" s="9" customFormat="1" hidden="1" x14ac:dyDescent="0.25">
      <c r="A1071" s="447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7">
        <v>256616</v>
      </c>
      <c r="F1071" s="3" t="str">
        <f>IFERROR(VLOOKUP(E1071,BD!$L$2:$Q$66,2,0),0)</f>
        <v>TWO PACK SCHWEPPES CITRUS PET 1.5LX2</v>
      </c>
      <c r="G1071" s="409">
        <f>198*8</f>
        <v>1584</v>
      </c>
      <c r="H1071" s="3">
        <f>+IFERROR(VLOOKUP(E1071,BD!$L$2:$Q$66,6,0),0)</f>
        <v>198</v>
      </c>
      <c r="I1071" s="96">
        <f>IFERROR(G1071*VLOOKUP($E1071,BD!$L$2:$Q$66,5,0),0)</f>
        <v>269.28000000000003</v>
      </c>
      <c r="J1071" s="3">
        <f t="shared" si="67"/>
        <v>2021</v>
      </c>
    </row>
    <row r="1072" spans="1:10" s="9" customFormat="1" hidden="1" x14ac:dyDescent="0.25">
      <c r="A1072" s="447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7">
        <v>254853</v>
      </c>
      <c r="F1072" s="3" t="str">
        <f>IFERROR(VLOOKUP(E1072,BD!$L$2:$Q$66,2,0),0)</f>
        <v>INCA KOLA SIN AZUCAR PET 1.5LX2</v>
      </c>
      <c r="G1072" s="370">
        <f>198*6</f>
        <v>1188</v>
      </c>
      <c r="H1072" s="3">
        <f>+IFERROR(VLOOKUP(E1072,BD!$L$2:$Q$66,6,0),0)</f>
        <v>198</v>
      </c>
      <c r="I1072" s="96">
        <f>IFERROR(G1072*VLOOKUP($E1072,BD!$L$2:$Q$66,5,0),0)</f>
        <v>201.96</v>
      </c>
      <c r="J1072" s="3">
        <f t="shared" si="67"/>
        <v>2021</v>
      </c>
    </row>
    <row r="1073" spans="1:10" s="9" customFormat="1" hidden="1" x14ac:dyDescent="0.25">
      <c r="A1073" s="447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7">
        <v>751315</v>
      </c>
      <c r="F1073" s="3" t="str">
        <f>IFERROR(VLOOKUP(E1073,BD!$L$2:$Q$66,2,0),0)</f>
        <v>MONSTER ENERGY 473MLX4</v>
      </c>
      <c r="G1073" s="409">
        <v>420</v>
      </c>
      <c r="H1073" s="3">
        <f>+IFERROR(VLOOKUP(E1073,BD!$L$2:$Q$66,6,0),0)</f>
        <v>420</v>
      </c>
      <c r="I1073" s="96">
        <f>IFERROR(G1073*VLOOKUP($E1073,BD!$L$2:$Q$66,5,0),0)</f>
        <v>176.4</v>
      </c>
      <c r="J1073" s="3">
        <f t="shared" si="67"/>
        <v>2021</v>
      </c>
    </row>
    <row r="1074" spans="1:10" s="9" customFormat="1" hidden="1" x14ac:dyDescent="0.25">
      <c r="A1074" s="447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7">
        <v>252436</v>
      </c>
      <c r="F1074" s="3" t="str">
        <f>IFERROR(VLOOKUP(E1074,BD!$L$2:$Q$66,2,0),0)</f>
        <v>SAN LUIS SIN GAS PET 625MLX15 C/STICKER</v>
      </c>
      <c r="G1074" s="409">
        <v>360</v>
      </c>
      <c r="H1074" s="3">
        <f>+IFERROR(VLOOKUP(E1074,BD!$L$2:$Q$66,6,0),0)</f>
        <v>90</v>
      </c>
      <c r="I1074" s="96">
        <f>IFERROR(G1074*VLOOKUP($E1074,BD!$L$2:$Q$66,5,0),0)</f>
        <v>144</v>
      </c>
      <c r="J1074" s="3">
        <f t="shared" si="67"/>
        <v>2021</v>
      </c>
    </row>
    <row r="1075" spans="1:10" s="9" customFormat="1" hidden="1" x14ac:dyDescent="0.25">
      <c r="A1075" s="447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7">
        <v>251406</v>
      </c>
      <c r="F1075" s="3" t="str">
        <f>IFERROR(VLOOKUP(E1075,BD!$L$2:$Q$66,2,0),0)</f>
        <v>COCA-COLA SIN AZUCAR PET 1.5LX2</v>
      </c>
      <c r="G1075" s="370">
        <v>432</v>
      </c>
      <c r="H1075" s="3">
        <f>+IFERROR(VLOOKUP(E1075,BD!$L$2:$Q$66,6,0),0)</f>
        <v>198</v>
      </c>
      <c r="I1075" s="96">
        <f>IFERROR(G1075*VLOOKUP($E1075,BD!$L$2:$Q$66,5,0),0)</f>
        <v>73.440000000000012</v>
      </c>
      <c r="J1075" s="3">
        <f t="shared" si="67"/>
        <v>2021</v>
      </c>
    </row>
    <row r="1076" spans="1:10" s="9" customFormat="1" hidden="1" x14ac:dyDescent="0.25">
      <c r="A1076" s="447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7">
        <v>256549</v>
      </c>
      <c r="F1076" s="3" t="str">
        <f>IFERROR(VLOOKUP(E1076,BD!$L$2:$Q$66,2,0),0)</f>
        <v>TWO PACK IK PET 1.5LX2 - CRCG</v>
      </c>
      <c r="G1076" s="409">
        <v>198</v>
      </c>
      <c r="H1076" s="3">
        <f>+IFERROR(VLOOKUP(E1076,BD!$L$2:$Q$66,6,0),0)</f>
        <v>198</v>
      </c>
      <c r="I1076" s="96">
        <f>IFERROR(G1076*VLOOKUP($E1076,BD!$L$2:$Q$66,5,0),0)</f>
        <v>33.660000000000004</v>
      </c>
      <c r="J1076" s="3">
        <f t="shared" si="67"/>
        <v>2021</v>
      </c>
    </row>
    <row r="1077" spans="1:10" s="9" customFormat="1" hidden="1" x14ac:dyDescent="0.25">
      <c r="A1077" s="447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7">
        <v>256548</v>
      </c>
      <c r="F1077" s="3" t="str">
        <f>IFERROR(VLOOKUP(E1077,BD!$L$2:$Q$66,2,0),0)</f>
        <v>TWO PACK CC PET 1.5LX2 - CRC</v>
      </c>
      <c r="G1077" s="409">
        <v>198</v>
      </c>
      <c r="H1077" s="3">
        <f>+IFERROR(VLOOKUP(E1077,BD!$L$2:$Q$66,6,0),0)</f>
        <v>198</v>
      </c>
      <c r="I1077" s="96">
        <f>IFERROR(G1077*VLOOKUP($E1077,BD!$L$2:$Q$66,5,0),0)</f>
        <v>33.660000000000004</v>
      </c>
      <c r="J1077" s="3">
        <f t="shared" si="67"/>
        <v>2021</v>
      </c>
    </row>
    <row r="1078" spans="1:10" s="9" customFormat="1" hidden="1" x14ac:dyDescent="0.25">
      <c r="A1078" s="447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7">
        <v>256616</v>
      </c>
      <c r="F1078" s="3" t="str">
        <f>IFERROR(VLOOKUP(E1078,BD!$L$2:$Q$66,2,0),0)</f>
        <v>TWO PACK SCHWEPPES CITRUS PET 1.5LX2</v>
      </c>
      <c r="G1078" s="409">
        <f>198*2</f>
        <v>396</v>
      </c>
      <c r="H1078" s="3">
        <f>+IFERROR(VLOOKUP(E1078,BD!$L$2:$Q$66,6,0),0)</f>
        <v>198</v>
      </c>
      <c r="I1078" s="96">
        <f>IFERROR(G1078*VLOOKUP($E1078,BD!$L$2:$Q$66,5,0),0)</f>
        <v>67.320000000000007</v>
      </c>
      <c r="J1078" s="3">
        <f t="shared" si="67"/>
        <v>2021</v>
      </c>
    </row>
    <row r="1079" spans="1:10" s="9" customFormat="1" hidden="1" x14ac:dyDescent="0.25">
      <c r="A1079" s="447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7">
        <v>256666</v>
      </c>
      <c r="F1079" s="3" t="str">
        <f>IFERROR(VLOOKUP(E1079,BD!$L$2:$Q$66,2,0),0)</f>
        <v>COCA-COLA PET 2.25LX2 RF</v>
      </c>
      <c r="G1079" s="409">
        <v>162</v>
      </c>
      <c r="H1079" s="3">
        <f>+IFERROR(VLOOKUP(E1079,BD!$L$2:$Q$66,6,0),0)</f>
        <v>162</v>
      </c>
      <c r="I1079" s="96">
        <f>IFERROR(G1079*VLOOKUP($E1079,BD!$L$2:$Q$66,5,0),0)</f>
        <v>27.540000000000003</v>
      </c>
      <c r="J1079" s="3">
        <f t="shared" si="67"/>
        <v>2021</v>
      </c>
    </row>
    <row r="1080" spans="1:10" s="9" customFormat="1" hidden="1" x14ac:dyDescent="0.25">
      <c r="A1080" s="447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7">
        <v>256652</v>
      </c>
      <c r="F1080" s="3" t="str">
        <f>IFERROR(VLOOKUP(E1080,BD!$L$2:$Q$66,2,0),0)</f>
        <v>TRIPACK FT NAR+FT KI+SP PET 3L</v>
      </c>
      <c r="G1080" s="409">
        <f>90*2</f>
        <v>180</v>
      </c>
      <c r="H1080" s="3">
        <f>+IFERROR(VLOOKUP(E1080,BD!$L$2:$Q$66,6,0),0)</f>
        <v>90</v>
      </c>
      <c r="I1080" s="96">
        <f>IFERROR(G1080*VLOOKUP($E1080,BD!$L$2:$Q$66,5,0),0)</f>
        <v>30.6</v>
      </c>
      <c r="J1080" s="3">
        <f t="shared" si="67"/>
        <v>2021</v>
      </c>
    </row>
    <row r="1081" spans="1:10" s="9" customFormat="1" hidden="1" x14ac:dyDescent="0.25">
      <c r="A1081" s="447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7">
        <v>256679</v>
      </c>
      <c r="F1081" s="3" t="str">
        <f>IFERROR(VLOOKUP(E1081,BD!$L$2:$Q$66,2,0),0)</f>
        <v>TRIPACK CC+IK+IK PFM 3LX3 - RFNN</v>
      </c>
      <c r="G1081" s="409">
        <f>90*2</f>
        <v>180</v>
      </c>
      <c r="H1081" s="3">
        <f>+IFERROR(VLOOKUP(E1081,BD!$L$2:$Q$66,6,0),0)</f>
        <v>90</v>
      </c>
      <c r="I1081" s="96">
        <f>IFERROR(G1081*VLOOKUP($E1081,BD!$L$2:$Q$66,5,0),0)</f>
        <v>30.6</v>
      </c>
      <c r="J1081" s="3">
        <f t="shared" si="67"/>
        <v>2021</v>
      </c>
    </row>
    <row r="1082" spans="1:10" s="9" customFormat="1" hidden="1" x14ac:dyDescent="0.25">
      <c r="A1082" s="447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7">
        <v>256548</v>
      </c>
      <c r="F1082" s="3" t="str">
        <f>IFERROR(VLOOKUP(E1082,BD!$L$2:$Q$66,2,0),0)</f>
        <v>TWO PACK CC PET 1.5LX2 - CRC</v>
      </c>
      <c r="G1082" s="409">
        <v>396</v>
      </c>
      <c r="H1082" s="3">
        <f>+IFERROR(VLOOKUP(E1082,BD!$L$2:$Q$66,6,0),0)</f>
        <v>198</v>
      </c>
      <c r="I1082" s="96">
        <f>IFERROR(G1082*VLOOKUP($E1082,BD!$L$2:$Q$66,5,0),0)</f>
        <v>67.320000000000007</v>
      </c>
      <c r="J1082" s="3">
        <f t="shared" si="67"/>
        <v>2021</v>
      </c>
    </row>
    <row r="1083" spans="1:10" s="9" customFormat="1" hidden="1" x14ac:dyDescent="0.25">
      <c r="A1083" s="447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7">
        <v>256379</v>
      </c>
      <c r="F1083" s="3" t="str">
        <f>IFERROR(VLOOKUP(E1083,BD!$L$2:$Q$66,2,0),0)</f>
        <v>INCA KOLA VR 625MLX12 - STICKER</v>
      </c>
      <c r="G1083" s="409">
        <f>50*5</f>
        <v>250</v>
      </c>
      <c r="H1083" s="3">
        <f>+IFERROR(VLOOKUP(E1083,BD!$L$2:$Q$66,6,0),0)</f>
        <v>50</v>
      </c>
      <c r="I1083" s="96">
        <f>IFERROR(G1083*VLOOKUP($E1083,BD!$L$2:$Q$66,5,0),0)</f>
        <v>100</v>
      </c>
      <c r="J1083" s="3">
        <f t="shared" si="67"/>
        <v>2021</v>
      </c>
    </row>
    <row r="1084" spans="1:10" s="9" customFormat="1" hidden="1" x14ac:dyDescent="0.25">
      <c r="A1084" s="447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7">
        <v>256549</v>
      </c>
      <c r="F1084" s="3" t="str">
        <f>IFERROR(VLOOKUP(E1084,BD!$L$2:$Q$66,2,0),0)</f>
        <v>TWO PACK IK PET 1.5LX2 - CRCG</v>
      </c>
      <c r="G1084" s="409">
        <v>216</v>
      </c>
      <c r="H1084" s="3">
        <f>+IFERROR(VLOOKUP(E1084,BD!$L$2:$Q$66,6,0),0)</f>
        <v>198</v>
      </c>
      <c r="I1084" s="96">
        <f>IFERROR(G1084*VLOOKUP($E1084,BD!$L$2:$Q$66,5,0),0)</f>
        <v>36.720000000000006</v>
      </c>
      <c r="J1084" s="3">
        <f t="shared" si="67"/>
        <v>2021</v>
      </c>
    </row>
    <row r="1085" spans="1:10" s="9" customFormat="1" hidden="1" x14ac:dyDescent="0.25">
      <c r="A1085" s="447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7">
        <v>256616</v>
      </c>
      <c r="F1085" s="3" t="str">
        <f>IFERROR(VLOOKUP(E1085,BD!$L$2:$Q$66,2,0),0)</f>
        <v>TWO PACK SCHWEPPES CITRUS PET 1.5LX2</v>
      </c>
      <c r="G1085" s="409">
        <f>198*4</f>
        <v>792</v>
      </c>
      <c r="H1085" s="3">
        <f>+IFERROR(VLOOKUP(E1085,BD!$L$2:$Q$66,6,0),0)</f>
        <v>198</v>
      </c>
      <c r="I1085" s="96">
        <f>IFERROR(G1085*VLOOKUP($E1085,BD!$L$2:$Q$66,5,0),0)</f>
        <v>134.64000000000001</v>
      </c>
      <c r="J1085" s="3">
        <f t="shared" si="67"/>
        <v>2021</v>
      </c>
    </row>
    <row r="1086" spans="1:10" s="9" customFormat="1" hidden="1" x14ac:dyDescent="0.25">
      <c r="A1086" s="447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7">
        <v>254853</v>
      </c>
      <c r="F1086" s="3" t="str">
        <f>IFERROR(VLOOKUP(E1086,BD!$L$2:$Q$66,2,0),0)</f>
        <v>INCA KOLA SIN AZUCAR PET 1.5LX2</v>
      </c>
      <c r="G1086" s="370">
        <f>216*1</f>
        <v>216</v>
      </c>
      <c r="H1086" s="3">
        <f>+IFERROR(VLOOKUP(E1086,BD!$L$2:$Q$66,6,0),0)</f>
        <v>198</v>
      </c>
      <c r="I1086" s="96">
        <f>IFERROR(G1086*VLOOKUP($E1086,BD!$L$2:$Q$66,5,0),0)</f>
        <v>36.720000000000006</v>
      </c>
      <c r="J1086" s="3">
        <f t="shared" si="67"/>
        <v>2021</v>
      </c>
    </row>
    <row r="1087" spans="1:10" s="9" customFormat="1" hidden="1" x14ac:dyDescent="0.25">
      <c r="A1087" s="447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7">
        <v>256617</v>
      </c>
      <c r="F1087" s="3" t="str">
        <f>IFERROR(VLOOKUP(E1087,BD!$L$2:$Q$66,2,0),0)</f>
        <v>TWO PACK SCHWEPPES GINGER ALE PET 1.5LX2</v>
      </c>
      <c r="G1087" s="409">
        <f>198*4</f>
        <v>792</v>
      </c>
      <c r="H1087" s="3">
        <f>+IFERROR(VLOOKUP(E1087,BD!$L$2:$Q$66,6,0),0)</f>
        <v>198</v>
      </c>
      <c r="I1087" s="96">
        <f>IFERROR(G1087*VLOOKUP($E1087,BD!$L$2:$Q$66,5,0),0)</f>
        <v>134.64000000000001</v>
      </c>
      <c r="J1087" s="3">
        <f t="shared" si="67"/>
        <v>2021</v>
      </c>
    </row>
    <row r="1088" spans="1:10" s="9" customFormat="1" hidden="1" x14ac:dyDescent="0.25">
      <c r="A1088" s="447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7">
        <v>256676</v>
      </c>
      <c r="F1088" s="3" t="str">
        <f>IFERROR(VLOOKUP(E1088,BD!$L$2:$Q$66,2,0),0)</f>
        <v>TWO PACK CC PFM 3LX2 - RFCC</v>
      </c>
      <c r="G1088" s="409">
        <f>120*8</f>
        <v>960</v>
      </c>
      <c r="H1088" s="3">
        <f>+IFERROR(VLOOKUP(E1088,BD!$L$2:$Q$66,6,0),0)</f>
        <v>120</v>
      </c>
      <c r="I1088" s="96">
        <f>IFERROR(G1088*VLOOKUP($E1088,BD!$L$2:$Q$66,5,0),0)</f>
        <v>163.20000000000002</v>
      </c>
      <c r="J1088" s="3">
        <f t="shared" si="67"/>
        <v>2021</v>
      </c>
    </row>
    <row r="1089" spans="1:10" s="9" customFormat="1" hidden="1" x14ac:dyDescent="0.25">
      <c r="A1089" s="447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7">
        <v>256677</v>
      </c>
      <c r="F1089" s="3" t="str">
        <f>IFERROR(VLOOKUP(E1089,BD!$L$2:$Q$66,2,0),0)</f>
        <v>TWO PACK CC + IK PFM 3LX2 - RFNN</v>
      </c>
      <c r="G1089" s="409">
        <f>120*22</f>
        <v>2640</v>
      </c>
      <c r="H1089" s="3">
        <f>+IFERROR(VLOOKUP(E1089,BD!$L$2:$Q$66,6,0),0)</f>
        <v>120</v>
      </c>
      <c r="I1089" s="96">
        <f>IFERROR(G1089*VLOOKUP($E1089,BD!$L$2:$Q$66,5,0),0)</f>
        <v>448.8</v>
      </c>
      <c r="J1089" s="3">
        <f t="shared" si="67"/>
        <v>2021</v>
      </c>
    </row>
    <row r="1090" spans="1:10" s="9" customFormat="1" hidden="1" x14ac:dyDescent="0.25">
      <c r="A1090" s="447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7">
        <v>256652</v>
      </c>
      <c r="F1090" s="3" t="str">
        <f>IFERROR(VLOOKUP(E1090,BD!$L$2:$Q$66,2,0),0)</f>
        <v>TRIPACK FT NAR+FT KI+SP PET 3L</v>
      </c>
      <c r="G1090" s="409">
        <f>90*16</f>
        <v>1440</v>
      </c>
      <c r="H1090" s="3">
        <f>+IFERROR(VLOOKUP(E1090,BD!$L$2:$Q$66,6,0),0)</f>
        <v>90</v>
      </c>
      <c r="I1090" s="96">
        <f>IFERROR(G1090*VLOOKUP($E1090,BD!$L$2:$Q$66,5,0),0)</f>
        <v>244.8</v>
      </c>
      <c r="J1090" s="3">
        <f t="shared" si="67"/>
        <v>2021</v>
      </c>
    </row>
    <row r="1091" spans="1:10" s="9" customFormat="1" hidden="1" x14ac:dyDescent="0.25">
      <c r="A1091" s="447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7">
        <v>251429</v>
      </c>
      <c r="F1091" s="3" t="str">
        <f>IFERROR(VLOOKUP(E1091,BD!$L$2:$Q$66,2,0),0)</f>
        <v>SAN LUIS SIN GAS PET2500X6 STICKER</v>
      </c>
      <c r="G1091" s="409">
        <f>48*4</f>
        <v>192</v>
      </c>
      <c r="H1091" s="3">
        <f>+IFERROR(VLOOKUP(E1091,BD!$L$2:$Q$66,6,0),0)</f>
        <v>48</v>
      </c>
      <c r="I1091" s="96">
        <f>IFERROR(G1091*VLOOKUP($E1091,BD!$L$2:$Q$66,5,0),0)</f>
        <v>76.800000000000011</v>
      </c>
      <c r="J1091" s="3">
        <f t="shared" si="67"/>
        <v>2021</v>
      </c>
    </row>
    <row r="1092" spans="1:10" s="9" customFormat="1" hidden="1" x14ac:dyDescent="0.25">
      <c r="A1092" s="447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7">
        <v>256666</v>
      </c>
      <c r="F1092" s="3" t="str">
        <f>IFERROR(VLOOKUP(E1092,BD!$L$2:$Q$66,2,0),0)</f>
        <v>COCA-COLA PET 2.25LX2 RF</v>
      </c>
      <c r="G1092" s="409">
        <v>162</v>
      </c>
      <c r="H1092" s="3">
        <f>+IFERROR(VLOOKUP(E1092,BD!$L$2:$Q$66,6,0),0)</f>
        <v>162</v>
      </c>
      <c r="I1092" s="96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hidden="1" x14ac:dyDescent="0.25">
      <c r="A1093" s="447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7">
        <v>256488</v>
      </c>
      <c r="F1093" s="3" t="str">
        <f>IFERROR(VLOOKUP(E1093,BD!$L$2:$Q$66,2,0),0)</f>
        <v>INCA KOLA PET 3LX2 - RF</v>
      </c>
      <c r="G1093" s="409">
        <f>120*9</f>
        <v>1080</v>
      </c>
      <c r="H1093" s="3">
        <f>+IFERROR(VLOOKUP(E1093,BD!$L$2:$Q$66,6,0),0)</f>
        <v>120</v>
      </c>
      <c r="I1093" s="96">
        <f>IFERROR(G1093*VLOOKUP($E1093,BD!$L$2:$Q$66,5,0),0)</f>
        <v>183.60000000000002</v>
      </c>
      <c r="J1093" s="3">
        <f t="shared" si="71"/>
        <v>2021</v>
      </c>
    </row>
    <row r="1094" spans="1:10" s="9" customFormat="1" hidden="1" x14ac:dyDescent="0.25">
      <c r="A1094" s="447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7">
        <v>256678</v>
      </c>
      <c r="F1094" s="3" t="str">
        <f>IFERROR(VLOOKUP(E1094,BD!$L$2:$Q$66,2,0),0)</f>
        <v>TRIPACK (CC+IK)PFM+FT PET 3LX3 - RFNN</v>
      </c>
      <c r="G1094" s="409">
        <f>90*12</f>
        <v>1080</v>
      </c>
      <c r="H1094" s="3">
        <f>+IFERROR(VLOOKUP(E1094,BD!$L$2:$Q$66,6,0),0)</f>
        <v>90</v>
      </c>
      <c r="I1094" s="96">
        <f>IFERROR(G1094*VLOOKUP($E1094,BD!$L$2:$Q$66,5,0),0)</f>
        <v>183.60000000000002</v>
      </c>
      <c r="J1094" s="3">
        <f t="shared" si="71"/>
        <v>2021</v>
      </c>
    </row>
    <row r="1095" spans="1:10" s="9" customFormat="1" hidden="1" x14ac:dyDescent="0.25">
      <c r="A1095" s="447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7">
        <v>256679</v>
      </c>
      <c r="F1095" s="3" t="str">
        <f>IFERROR(VLOOKUP(E1095,BD!$L$2:$Q$66,2,0),0)</f>
        <v>TRIPACK CC+IK+IK PFM 3LX3 - RFNN</v>
      </c>
      <c r="G1095" s="409">
        <f>90*9</f>
        <v>810</v>
      </c>
      <c r="H1095" s="3">
        <f>+IFERROR(VLOOKUP(E1095,BD!$L$2:$Q$66,6,0),0)</f>
        <v>90</v>
      </c>
      <c r="I1095" s="96">
        <f>IFERROR(G1095*VLOOKUP($E1095,BD!$L$2:$Q$66,5,0),0)</f>
        <v>137.70000000000002</v>
      </c>
      <c r="J1095" s="3">
        <f t="shared" si="71"/>
        <v>2021</v>
      </c>
    </row>
    <row r="1096" spans="1:10" s="9" customFormat="1" hidden="1" x14ac:dyDescent="0.25">
      <c r="A1096" s="447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7">
        <v>252436</v>
      </c>
      <c r="F1096" s="3" t="str">
        <f>IFERROR(VLOOKUP(E1096,BD!$L$2:$Q$66,2,0),0)</f>
        <v>SAN LUIS SIN GAS PET 625MLX15 C/STICKER</v>
      </c>
      <c r="G1096" s="409">
        <f>90*4</f>
        <v>360</v>
      </c>
      <c r="H1096" s="3">
        <f>+IFERROR(VLOOKUP(E1096,BD!$L$2:$Q$66,6,0),0)</f>
        <v>90</v>
      </c>
      <c r="I1096" s="96">
        <f>IFERROR(G1096*VLOOKUP($E1096,BD!$L$2:$Q$66,5,0),0)</f>
        <v>144</v>
      </c>
      <c r="J1096" s="3">
        <f t="shared" si="71"/>
        <v>2021</v>
      </c>
    </row>
    <row r="1097" spans="1:10" s="9" customFormat="1" hidden="1" x14ac:dyDescent="0.25">
      <c r="A1097" s="447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7">
        <v>251633</v>
      </c>
      <c r="F1097" s="3" t="str">
        <f>IFERROR(VLOOKUP(E1097,BD!$L$2:$Q$66,2,0),0)</f>
        <v>SAN LUIS CON GAS PET 625MLX6</v>
      </c>
      <c r="G1097" s="409">
        <f>180*3</f>
        <v>540</v>
      </c>
      <c r="H1097" s="3">
        <f>+IFERROR(VLOOKUP(E1097,BD!$L$2:$Q$66,6,0),0)</f>
        <v>180</v>
      </c>
      <c r="I1097" s="96">
        <f>IFERROR(G1097*VLOOKUP($E1097,BD!$L$2:$Q$66,5,0),0)</f>
        <v>226.79999999999998</v>
      </c>
      <c r="J1097" s="3">
        <f t="shared" si="71"/>
        <v>2021</v>
      </c>
    </row>
    <row r="1098" spans="1:10" s="9" customFormat="1" hidden="1" x14ac:dyDescent="0.25">
      <c r="A1098" s="447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7">
        <v>256695</v>
      </c>
      <c r="F1098" s="3" t="str">
        <f>IFERROR(VLOOKUP(E1098,BD!$L$2:$Q$66,2,0),0)</f>
        <v>POWERADE 3MORA+3FRUT PET 473MLX6</v>
      </c>
      <c r="G1098" s="409">
        <f>225*4</f>
        <v>900</v>
      </c>
      <c r="H1098" s="3">
        <f>+IFERROR(VLOOKUP(E1098,BD!$L$2:$Q$66,6,0),0)</f>
        <v>225</v>
      </c>
      <c r="I1098" s="96">
        <f>IFERROR(G1098*VLOOKUP($E1098,BD!$L$2:$Q$66,5,0),0)</f>
        <v>378</v>
      </c>
      <c r="J1098" s="3">
        <f t="shared" si="71"/>
        <v>2021</v>
      </c>
    </row>
    <row r="1099" spans="1:10" s="9" customFormat="1" hidden="1" x14ac:dyDescent="0.25">
      <c r="A1099" s="447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7">
        <v>256383</v>
      </c>
      <c r="F1099" s="3" t="str">
        <f>IFERROR(VLOOKUP(E1099,BD!$L$2:$Q$66,2,0),0)</f>
        <v>COCA COLA VR 1.5LX8 - STICKER</v>
      </c>
      <c r="G1099" s="409">
        <v>30</v>
      </c>
      <c r="H1099" s="3">
        <f>+IFERROR(VLOOKUP(E1099,BD!$L$2:$Q$66,6,0),0)</f>
        <v>30</v>
      </c>
      <c r="I1099" s="96">
        <f>IFERROR(G1099*VLOOKUP($E1099,BD!$L$2:$Q$66,5,0),0)</f>
        <v>6.9</v>
      </c>
      <c r="J1099" s="3">
        <f t="shared" si="71"/>
        <v>2021</v>
      </c>
    </row>
    <row r="1100" spans="1:10" s="9" customFormat="1" hidden="1" x14ac:dyDescent="0.25">
      <c r="A1100" s="447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7">
        <v>256680</v>
      </c>
      <c r="F1100" s="3" t="str">
        <f>IFERROR(VLOOKUP(E1100,BD!$L$2:$Q$66,2,0),0)</f>
        <v>TRIPACK CC+CC+IK PFM 3LX3 - RFNN</v>
      </c>
      <c r="G1100" s="409">
        <f>90*8</f>
        <v>720</v>
      </c>
      <c r="H1100" s="3">
        <f>+IFERROR(VLOOKUP(E1100,BD!$L$2:$Q$66,6,0),0)</f>
        <v>90</v>
      </c>
      <c r="I1100" s="96">
        <f>IFERROR(G1100*VLOOKUP($E1100,BD!$L$2:$Q$66,5,0),0)</f>
        <v>122.4</v>
      </c>
      <c r="J1100" s="3">
        <f t="shared" si="71"/>
        <v>2021</v>
      </c>
    </row>
    <row r="1101" spans="1:10" s="9" customFormat="1" hidden="1" x14ac:dyDescent="0.25">
      <c r="A1101" s="447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7">
        <v>751544</v>
      </c>
      <c r="F1101" s="3" t="str">
        <f>IFERROR(VLOOKUP(E1101,BD!$L$2:$Q$66,2,0),0)</f>
        <v>MONSTER ENERGY ZERO 473MLX4</v>
      </c>
      <c r="G1101" s="409">
        <f>420*5</f>
        <v>2100</v>
      </c>
      <c r="H1101" s="3">
        <f>+IFERROR(VLOOKUP(E1101,BD!$L$2:$Q$66,6,0),0)</f>
        <v>420</v>
      </c>
      <c r="I1101" s="96">
        <f>IFERROR(G1101*VLOOKUP($E1101,BD!$L$2:$Q$66,5,0),0)</f>
        <v>882</v>
      </c>
      <c r="J1101" s="3">
        <f t="shared" si="71"/>
        <v>2021</v>
      </c>
    </row>
    <row r="1102" spans="1:10" s="9" customFormat="1" hidden="1" x14ac:dyDescent="0.25">
      <c r="A1102" s="447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7">
        <v>256380</v>
      </c>
      <c r="F1102" s="3" t="str">
        <f>IFERROR(VLOOKUP(E1102,BD!$L$2:$Q$66,2,0),0)</f>
        <v>INCA KOLA VR 296MLX24 - STICKER</v>
      </c>
      <c r="G1102" s="409">
        <v>120</v>
      </c>
      <c r="H1102" s="3">
        <f>+IFERROR(VLOOKUP(E1102,BD!$L$2:$Q$66,6,0),0)</f>
        <v>40</v>
      </c>
      <c r="I1102" s="96">
        <f>IFERROR(G1102*VLOOKUP($E1102,BD!$L$2:$Q$66,5,0),0)</f>
        <v>27.6</v>
      </c>
      <c r="J1102" s="3">
        <f t="shared" si="71"/>
        <v>2021</v>
      </c>
    </row>
    <row r="1103" spans="1:10" s="9" customFormat="1" hidden="1" x14ac:dyDescent="0.25">
      <c r="A1103" s="447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7">
        <v>751544</v>
      </c>
      <c r="F1103" s="3" t="str">
        <f>IFERROR(VLOOKUP(E1103,BD!$L$2:$Q$66,2,0),0)</f>
        <v>MONSTER ENERGY ZERO 473MLX4</v>
      </c>
      <c r="G1103" s="409">
        <f>420*3</f>
        <v>1260</v>
      </c>
      <c r="H1103" s="3">
        <f>+IFERROR(VLOOKUP(E1103,BD!$L$2:$Q$66,6,0),0)</f>
        <v>420</v>
      </c>
      <c r="I1103" s="96">
        <f>IFERROR(G1103*VLOOKUP($E1103,BD!$L$2:$Q$66,5,0),0)</f>
        <v>529.19999999999993</v>
      </c>
      <c r="J1103" s="3">
        <f t="shared" si="71"/>
        <v>2021</v>
      </c>
    </row>
    <row r="1104" spans="1:10" s="9" customFormat="1" hidden="1" x14ac:dyDescent="0.25">
      <c r="A1104" s="447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7">
        <v>251429</v>
      </c>
      <c r="F1104" s="3" t="str">
        <f>IFERROR(VLOOKUP(E1104,BD!$L$2:$Q$66,2,0),0)</f>
        <v>SAN LUIS SIN GAS PET2500X6 STICKER</v>
      </c>
      <c r="G1104" s="424">
        <f>48*5</f>
        <v>240</v>
      </c>
      <c r="H1104" s="3">
        <f>+IFERROR(VLOOKUP(E1104,BD!$L$2:$Q$66,6,0),0)</f>
        <v>48</v>
      </c>
      <c r="I1104" s="96">
        <f>IFERROR(G1104*VLOOKUP($E1104,BD!$L$2:$Q$66,5,0),0)</f>
        <v>96</v>
      </c>
      <c r="J1104" s="3">
        <f t="shared" si="71"/>
        <v>2021</v>
      </c>
    </row>
    <row r="1105" spans="1:10" s="9" customFormat="1" hidden="1" x14ac:dyDescent="0.25">
      <c r="A1105" s="447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7">
        <v>256601</v>
      </c>
      <c r="F1105" s="3" t="str">
        <f>IFERROR(VLOOKUP(E1105,BD!$L$2:$Q$66,2,0),0)</f>
        <v>INCA KOLA PET 2.25LX2 RF</v>
      </c>
      <c r="G1105" s="424">
        <v>162</v>
      </c>
      <c r="H1105" s="3">
        <f>+IFERROR(VLOOKUP(E1105,BD!$L$2:$Q$66,6,0),0)</f>
        <v>162</v>
      </c>
      <c r="I1105" s="96">
        <f>IFERROR(G1105*VLOOKUP($E1105,BD!$L$2:$Q$66,5,0),0)</f>
        <v>27.540000000000003</v>
      </c>
      <c r="J1105" s="3">
        <f t="shared" si="71"/>
        <v>2021</v>
      </c>
    </row>
    <row r="1106" spans="1:10" s="9" customFormat="1" hidden="1" x14ac:dyDescent="0.25">
      <c r="A1106" s="447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7">
        <v>751315</v>
      </c>
      <c r="F1106" s="3" t="str">
        <f>IFERROR(VLOOKUP(E1106,BD!$L$2:$Q$66,2,0),0)</f>
        <v>MONSTER ENERGY 473MLX4</v>
      </c>
      <c r="G1106" s="424">
        <f>420*8</f>
        <v>3360</v>
      </c>
      <c r="H1106" s="3">
        <f>+IFERROR(VLOOKUP(E1106,BD!$L$2:$Q$66,6,0),0)</f>
        <v>420</v>
      </c>
      <c r="I1106" s="96">
        <f>IFERROR(G1106*VLOOKUP($E1106,BD!$L$2:$Q$66,5,0),0)</f>
        <v>1411.2</v>
      </c>
      <c r="J1106" s="3">
        <f t="shared" si="71"/>
        <v>2021</v>
      </c>
    </row>
    <row r="1107" spans="1:10" s="9" customFormat="1" hidden="1" x14ac:dyDescent="0.25">
      <c r="A1107" s="447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7">
        <v>251633</v>
      </c>
      <c r="F1107" s="3" t="str">
        <f>IFERROR(VLOOKUP(E1107,BD!$L$2:$Q$66,2,0),0)</f>
        <v>SAN LUIS CON GAS PET 625MLX6</v>
      </c>
      <c r="G1107" s="424">
        <f>180*3</f>
        <v>540</v>
      </c>
      <c r="H1107" s="3">
        <f>+IFERROR(VLOOKUP(E1107,BD!$L$2:$Q$66,6,0),0)</f>
        <v>180</v>
      </c>
      <c r="I1107" s="96">
        <f>IFERROR(G1107*VLOOKUP($E1107,BD!$L$2:$Q$66,5,0),0)</f>
        <v>226.79999999999998</v>
      </c>
      <c r="J1107" s="3">
        <f t="shared" si="71"/>
        <v>2021</v>
      </c>
    </row>
    <row r="1108" spans="1:10" s="9" customFormat="1" hidden="1" x14ac:dyDescent="0.25">
      <c r="A1108" s="447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7">
        <v>254853</v>
      </c>
      <c r="F1108" s="3" t="str">
        <f>IFERROR(VLOOKUP(E1108,BD!$L$2:$Q$66,2,0),0)</f>
        <v>INCA KOLA SIN AZUCAR PET 1.5LX2</v>
      </c>
      <c r="G1108" s="503">
        <f>216*5</f>
        <v>1080</v>
      </c>
      <c r="H1108" s="3">
        <f>+IFERROR(VLOOKUP(E1108,BD!$L$2:$Q$66,6,0),0)</f>
        <v>198</v>
      </c>
      <c r="I1108" s="96">
        <f>IFERROR(G1108*VLOOKUP($E1108,BD!$L$2:$Q$66,5,0),0)</f>
        <v>183.60000000000002</v>
      </c>
      <c r="J1108" s="3">
        <f t="shared" si="71"/>
        <v>2021</v>
      </c>
    </row>
    <row r="1109" spans="1:10" s="9" customFormat="1" hidden="1" x14ac:dyDescent="0.25">
      <c r="A1109" s="447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7">
        <v>256381</v>
      </c>
      <c r="F1109" s="3" t="str">
        <f>IFERROR(VLOOKUP(E1109,BD!$L$2:$Q$66,2,0),0)</f>
        <v>INCA KOLA VR 1.5LX8 - STICKER</v>
      </c>
      <c r="G1109" s="425">
        <f>30*3</f>
        <v>90</v>
      </c>
      <c r="H1109" s="3">
        <f>+IFERROR(VLOOKUP(E1109,BD!$L$2:$Q$66,6,0),0)</f>
        <v>30</v>
      </c>
      <c r="I1109" s="96">
        <f>IFERROR(G1109*VLOOKUP($E1109,BD!$L$2:$Q$66,5,0),0)</f>
        <v>36</v>
      </c>
      <c r="J1109" s="3">
        <f t="shared" si="71"/>
        <v>2021</v>
      </c>
    </row>
    <row r="1110" spans="1:10" s="9" customFormat="1" hidden="1" x14ac:dyDescent="0.25">
      <c r="A1110" s="447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7">
        <v>256616</v>
      </c>
      <c r="F1110" s="3" t="str">
        <f>IFERROR(VLOOKUP(E1110,BD!$L$2:$Q$66,2,0),0)</f>
        <v>TWO PACK SCHWEPPES CITRUS PET 1.5LX2</v>
      </c>
      <c r="G1110" s="424">
        <f>198*3</f>
        <v>594</v>
      </c>
      <c r="H1110" s="3">
        <f>+IFERROR(VLOOKUP(E1110,BD!$L$2:$Q$66,6,0),0)</f>
        <v>198</v>
      </c>
      <c r="I1110" s="96">
        <f>IFERROR(G1110*VLOOKUP($E1110,BD!$L$2:$Q$66,5,0),0)</f>
        <v>100.98</v>
      </c>
      <c r="J1110" s="3">
        <f t="shared" si="71"/>
        <v>2021</v>
      </c>
    </row>
    <row r="1111" spans="1:10" s="9" customFormat="1" hidden="1" x14ac:dyDescent="0.25">
      <c r="A1111" s="447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7">
        <v>256652</v>
      </c>
      <c r="F1111" s="3" t="str">
        <f>IFERROR(VLOOKUP(E1111,BD!$L$2:$Q$66,2,0),0)</f>
        <v>TRIPACK FT NAR+FT KI+SP PET 3L</v>
      </c>
      <c r="G1111" s="424">
        <f>90*8</f>
        <v>720</v>
      </c>
      <c r="H1111" s="3">
        <f>+IFERROR(VLOOKUP(E1111,BD!$L$2:$Q$66,6,0),0)</f>
        <v>90</v>
      </c>
      <c r="I1111" s="96">
        <f>IFERROR(G1111*VLOOKUP($E1111,BD!$L$2:$Q$66,5,0),0)</f>
        <v>122.4</v>
      </c>
      <c r="J1111" s="3">
        <f t="shared" si="71"/>
        <v>2021</v>
      </c>
    </row>
    <row r="1112" spans="1:10" s="9" customFormat="1" hidden="1" x14ac:dyDescent="0.25">
      <c r="A1112" s="447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7">
        <v>256666</v>
      </c>
      <c r="F1112" s="3" t="str">
        <f>IFERROR(VLOOKUP(E1112,BD!$L$2:$Q$66,2,0),0)</f>
        <v>COCA-COLA PET 2.25LX2 RF</v>
      </c>
      <c r="G1112" s="424">
        <f>162*2</f>
        <v>324</v>
      </c>
      <c r="H1112" s="3">
        <f>+IFERROR(VLOOKUP(E1112,BD!$L$2:$Q$66,6,0),0)</f>
        <v>162</v>
      </c>
      <c r="I1112" s="96">
        <f>IFERROR(G1112*VLOOKUP($E1112,BD!$L$2:$Q$66,5,0),0)</f>
        <v>55.080000000000005</v>
      </c>
      <c r="J1112" s="3">
        <f t="shared" si="71"/>
        <v>2021</v>
      </c>
    </row>
    <row r="1113" spans="1:10" s="9" customFormat="1" hidden="1" x14ac:dyDescent="0.25">
      <c r="A1113" s="447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7">
        <v>256709</v>
      </c>
      <c r="F1113" s="3" t="str">
        <f>IFERROR(VLOOKUP(E1113,BD!$L$2:$Q$66,2,0),0)</f>
        <v>POWERADE ION4 MORA AZ PET473X6 MOD(STCK)</v>
      </c>
      <c r="G1113" s="424">
        <v>225</v>
      </c>
      <c r="H1113" s="3">
        <f>+IFERROR(VLOOKUP(E1113,BD!$L$2:$Q$66,6,0),0)</f>
        <v>225</v>
      </c>
      <c r="I1113" s="96">
        <f>IFERROR(G1113*VLOOKUP($E1113,BD!$L$2:$Q$66,5,0),0)</f>
        <v>90</v>
      </c>
      <c r="J1113" s="3">
        <f t="shared" si="71"/>
        <v>2021</v>
      </c>
    </row>
    <row r="1114" spans="1:10" s="9" customFormat="1" hidden="1" x14ac:dyDescent="0.25">
      <c r="A1114" s="447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7">
        <v>256680</v>
      </c>
      <c r="F1114" s="3" t="str">
        <f>IFERROR(VLOOKUP(E1114,BD!$L$2:$Q$66,2,0),0)</f>
        <v>TRIPACK CC+CC+IK PFM 3LX3 - RFNN</v>
      </c>
      <c r="G1114" s="424">
        <f>90*11</f>
        <v>990</v>
      </c>
      <c r="H1114" s="3">
        <f>+IFERROR(VLOOKUP(E1114,BD!$L$2:$Q$66,6,0),0)</f>
        <v>90</v>
      </c>
      <c r="I1114" s="96">
        <f>IFERROR(G1114*VLOOKUP($E1114,BD!$L$2:$Q$66,5,0),0)</f>
        <v>168.3</v>
      </c>
      <c r="J1114" s="3">
        <f t="shared" si="71"/>
        <v>2021</v>
      </c>
    </row>
    <row r="1115" spans="1:10" s="9" customFormat="1" hidden="1" x14ac:dyDescent="0.25">
      <c r="A1115" s="447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7">
        <v>256679</v>
      </c>
      <c r="F1115" s="3" t="str">
        <f>IFERROR(VLOOKUP(E1115,BD!$L$2:$Q$66,2,0),0)</f>
        <v>TRIPACK CC+IK+IK PFM 3LX3 - RFNN</v>
      </c>
      <c r="G1115" s="424">
        <f>90*5</f>
        <v>450</v>
      </c>
      <c r="H1115" s="3">
        <f>+IFERROR(VLOOKUP(E1115,BD!$L$2:$Q$66,6,0),0)</f>
        <v>90</v>
      </c>
      <c r="I1115" s="96">
        <f>IFERROR(G1115*VLOOKUP($E1115,BD!$L$2:$Q$66,5,0),0)</f>
        <v>76.5</v>
      </c>
      <c r="J1115" s="3">
        <f t="shared" si="71"/>
        <v>2021</v>
      </c>
    </row>
    <row r="1116" spans="1:10" s="9" customFormat="1" hidden="1" x14ac:dyDescent="0.25">
      <c r="A1116" s="447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7">
        <v>256382</v>
      </c>
      <c r="F1116" s="3" t="str">
        <f>IFERROR(VLOOKUP(E1116,BD!$L$2:$Q$66,2,0),0)</f>
        <v>COCA COLA VR 296MLX24 - STICKER</v>
      </c>
      <c r="G1116" s="424">
        <f>40*2</f>
        <v>80</v>
      </c>
      <c r="H1116" s="3">
        <f>+IFERROR(VLOOKUP(E1116,BD!$L$2:$Q$66,6,0),0)</f>
        <v>40</v>
      </c>
      <c r="I1116" s="96">
        <f>IFERROR(G1116*VLOOKUP($E1116,BD!$L$2:$Q$66,5,0),0)</f>
        <v>18.400000000000002</v>
      </c>
      <c r="J1116" s="3">
        <f t="shared" si="71"/>
        <v>2021</v>
      </c>
    </row>
    <row r="1117" spans="1:10" s="9" customFormat="1" hidden="1" x14ac:dyDescent="0.25">
      <c r="A1117" s="447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7">
        <v>256678</v>
      </c>
      <c r="F1117" s="3" t="str">
        <f>IFERROR(VLOOKUP(E1117,BD!$L$2:$Q$66,2,0),0)</f>
        <v>TRIPACK (CC+IK)PFM+FT PET 3LX3 - RFNN</v>
      </c>
      <c r="G1117" s="424">
        <v>1440</v>
      </c>
      <c r="H1117" s="3">
        <f>+IFERROR(VLOOKUP(E1117,BD!$L$2:$Q$66,6,0),0)</f>
        <v>90</v>
      </c>
      <c r="I1117" s="96">
        <f>IFERROR(G1117*VLOOKUP($E1117,BD!$L$2:$Q$66,5,0),0)</f>
        <v>244.8</v>
      </c>
      <c r="J1117" s="3">
        <f t="shared" si="71"/>
        <v>2021</v>
      </c>
    </row>
    <row r="1118" spans="1:10" s="9" customFormat="1" hidden="1" x14ac:dyDescent="0.25">
      <c r="A1118" s="447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7">
        <v>256379</v>
      </c>
      <c r="F1118" s="3" t="str">
        <f>IFERROR(VLOOKUP(E1118,BD!$L$2:$Q$66,2,0),0)</f>
        <v>INCA KOLA VR 625MLX12 - STICKER</v>
      </c>
      <c r="G1118" s="424">
        <f>50*2</f>
        <v>100</v>
      </c>
      <c r="H1118" s="3">
        <f>+IFERROR(VLOOKUP(E1118,BD!$L$2:$Q$66,6,0),0)</f>
        <v>50</v>
      </c>
      <c r="I1118" s="96">
        <f>IFERROR(G1118*VLOOKUP($E1118,BD!$L$2:$Q$66,5,0),0)</f>
        <v>40</v>
      </c>
      <c r="J1118" s="3">
        <f t="shared" si="71"/>
        <v>2021</v>
      </c>
    </row>
    <row r="1119" spans="1:10" s="9" customFormat="1" hidden="1" x14ac:dyDescent="0.25">
      <c r="A1119" s="447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7">
        <v>256695</v>
      </c>
      <c r="F1119" s="3" t="str">
        <f>IFERROR(VLOOKUP(E1119,BD!$L$2:$Q$66,2,0),0)</f>
        <v>POWERADE 3MORA+3FRUT PET 473MLX6</v>
      </c>
      <c r="G1119" s="424">
        <f>225*2</f>
        <v>450</v>
      </c>
      <c r="H1119" s="3">
        <f>+IFERROR(VLOOKUP(E1119,BD!$L$2:$Q$66,6,0),0)</f>
        <v>225</v>
      </c>
      <c r="I1119" s="96">
        <f>IFERROR(G1119*VLOOKUP($E1119,BD!$L$2:$Q$66,5,0),0)</f>
        <v>189</v>
      </c>
      <c r="J1119" s="3">
        <f t="shared" si="71"/>
        <v>2021</v>
      </c>
    </row>
    <row r="1120" spans="1:10" s="9" customFormat="1" hidden="1" x14ac:dyDescent="0.25">
      <c r="A1120" s="447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7">
        <v>256380</v>
      </c>
      <c r="F1120" s="3" t="str">
        <f>IFERROR(VLOOKUP(E1120,BD!$L$2:$Q$66,2,0),0)</f>
        <v>INCA KOLA VR 296MLX24 - STICKER</v>
      </c>
      <c r="G1120" s="425">
        <v>40</v>
      </c>
      <c r="H1120" s="3">
        <f>+IFERROR(VLOOKUP(E1120,BD!$L$2:$Q$66,6,0),0)</f>
        <v>40</v>
      </c>
      <c r="I1120" s="96">
        <f>IFERROR(G1120*VLOOKUP($E1120,BD!$L$2:$Q$66,5,0),0)</f>
        <v>9.2000000000000011</v>
      </c>
      <c r="J1120" s="3">
        <f t="shared" si="71"/>
        <v>2021</v>
      </c>
    </row>
    <row r="1121" spans="1:10" s="9" customFormat="1" hidden="1" x14ac:dyDescent="0.25">
      <c r="A1121" s="447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7">
        <v>256677</v>
      </c>
      <c r="F1121" s="3" t="str">
        <f>IFERROR(VLOOKUP(E1121,BD!$L$2:$Q$66,2,0),0)</f>
        <v>TWO PACK CC + IK PFM 3LX2 - RFNN</v>
      </c>
      <c r="G1121" s="424">
        <f>120*16</f>
        <v>1920</v>
      </c>
      <c r="H1121" s="3">
        <f>+IFERROR(VLOOKUP(E1121,BD!$L$2:$Q$66,6,0),0)</f>
        <v>120</v>
      </c>
      <c r="I1121" s="96">
        <f>IFERROR(G1121*VLOOKUP($E1121,BD!$L$2:$Q$66,5,0),0)</f>
        <v>326.40000000000003</v>
      </c>
      <c r="J1121" s="3">
        <f t="shared" si="71"/>
        <v>2021</v>
      </c>
    </row>
    <row r="1122" spans="1:10" s="9" customFormat="1" hidden="1" x14ac:dyDescent="0.25">
      <c r="A1122" s="447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7">
        <v>256682</v>
      </c>
      <c r="F1122" s="3" t="str">
        <f>IFERROR(VLOOKUP(E1122,BD!$L$2:$Q$66,2,0),0)</f>
        <v>TRIPACK (FT NAR+SP)PET+IK RF PFM 3L</v>
      </c>
      <c r="G1122" s="507">
        <f>90*5</f>
        <v>450</v>
      </c>
      <c r="H1122" s="3">
        <f>+IFERROR(VLOOKUP(E1122,BD!$L$2:$Q$66,6,0),0)</f>
        <v>90</v>
      </c>
      <c r="I1122" s="96">
        <f>IFERROR(G1122*VLOOKUP($E1122,BD!$L$2:$Q$66,5,0),0)</f>
        <v>76.5</v>
      </c>
      <c r="J1122" s="3">
        <f t="shared" si="71"/>
        <v>2021</v>
      </c>
    </row>
    <row r="1123" spans="1:10" s="9" customFormat="1" hidden="1" x14ac:dyDescent="0.25">
      <c r="A1123" s="447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7">
        <v>256488</v>
      </c>
      <c r="F1123" s="3" t="str">
        <f>IFERROR(VLOOKUP(E1123,BD!$L$2:$Q$66,2,0),0)</f>
        <v>INCA KOLA PET 3LX2 - RF</v>
      </c>
      <c r="G1123" s="424">
        <f>120*11</f>
        <v>1320</v>
      </c>
      <c r="H1123" s="3">
        <f>+IFERROR(VLOOKUP(E1123,BD!$L$2:$Q$66,6,0),0)</f>
        <v>120</v>
      </c>
      <c r="I1123" s="96">
        <f>IFERROR(G1123*VLOOKUP($E1123,BD!$L$2:$Q$66,5,0),0)</f>
        <v>224.4</v>
      </c>
      <c r="J1123" s="3">
        <f t="shared" si="71"/>
        <v>2021</v>
      </c>
    </row>
    <row r="1124" spans="1:10" s="9" customFormat="1" hidden="1" x14ac:dyDescent="0.25">
      <c r="A1124" s="447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7">
        <v>251406</v>
      </c>
      <c r="F1124" s="3" t="str">
        <f>IFERROR(VLOOKUP(E1124,BD!$L$2:$Q$66,2,0),0)</f>
        <v>COCA-COLA SIN AZUCAR PET 1.5LX2</v>
      </c>
      <c r="G1124" s="503">
        <f>216*10</f>
        <v>2160</v>
      </c>
      <c r="H1124" s="3">
        <f>+IFERROR(VLOOKUP(E1124,BD!$L$2:$Q$66,6,0),0)</f>
        <v>198</v>
      </c>
      <c r="I1124" s="96">
        <f>IFERROR(G1124*VLOOKUP($E1124,BD!$L$2:$Q$66,5,0),0)</f>
        <v>367.20000000000005</v>
      </c>
      <c r="J1124" s="3">
        <f t="shared" si="71"/>
        <v>2021</v>
      </c>
    </row>
    <row r="1125" spans="1:10" s="9" customFormat="1" hidden="1" x14ac:dyDescent="0.25">
      <c r="A1125" s="447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7">
        <v>256676</v>
      </c>
      <c r="F1125" s="3" t="str">
        <f>IFERROR(VLOOKUP(E1125,BD!$L$2:$Q$66,2,0),0)</f>
        <v>TWO PACK CC PFM 3LX2 - RFCC</v>
      </c>
      <c r="G1125" s="424">
        <v>840</v>
      </c>
      <c r="H1125" s="3">
        <f>+IFERROR(VLOOKUP(E1125,BD!$L$2:$Q$66,6,0),0)</f>
        <v>120</v>
      </c>
      <c r="I1125" s="96">
        <f>IFERROR(G1125*VLOOKUP($E1125,BD!$L$2:$Q$66,5,0),0)</f>
        <v>142.80000000000001</v>
      </c>
      <c r="J1125" s="3">
        <f t="shared" si="71"/>
        <v>2021</v>
      </c>
    </row>
    <row r="1126" spans="1:10" s="9" customFormat="1" hidden="1" x14ac:dyDescent="0.25">
      <c r="A1126" s="447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7">
        <v>251633</v>
      </c>
      <c r="F1126" s="3" t="str">
        <f>IFERROR(VLOOKUP(E1126,BD!$L$2:$Q$66,2,0),0)</f>
        <v>SAN LUIS CON GAS PET 625MLX6</v>
      </c>
      <c r="G1126" s="424">
        <f>180*2</f>
        <v>360</v>
      </c>
      <c r="H1126" s="3">
        <f>+IFERROR(VLOOKUP(E1126,BD!$L$2:$Q$66,6,0),0)</f>
        <v>180</v>
      </c>
      <c r="I1126" s="96">
        <f>IFERROR(G1126*VLOOKUP($E1126,BD!$L$2:$Q$66,5,0),0)</f>
        <v>151.19999999999999</v>
      </c>
      <c r="J1126" s="3">
        <f t="shared" si="71"/>
        <v>2021</v>
      </c>
    </row>
    <row r="1127" spans="1:10" s="9" customFormat="1" hidden="1" x14ac:dyDescent="0.25">
      <c r="A1127" s="447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7">
        <v>252436</v>
      </c>
      <c r="F1127" s="3" t="str">
        <f>IFERROR(VLOOKUP(E1127,BD!$L$2:$Q$66,2,0),0)</f>
        <v>SAN LUIS SIN GAS PET 625MLX15 C/STICKER</v>
      </c>
      <c r="G1127" s="424">
        <f>90*9</f>
        <v>810</v>
      </c>
      <c r="H1127" s="3">
        <f>+IFERROR(VLOOKUP(E1127,BD!$L$2:$Q$66,6,0),0)</f>
        <v>90</v>
      </c>
      <c r="I1127" s="96">
        <f>IFERROR(G1127*VLOOKUP($E1127,BD!$L$2:$Q$66,5,0),0)</f>
        <v>324</v>
      </c>
      <c r="J1127" s="3">
        <f t="shared" si="71"/>
        <v>2021</v>
      </c>
    </row>
    <row r="1128" spans="1:10" s="9" customFormat="1" hidden="1" x14ac:dyDescent="0.25">
      <c r="A1128" s="447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7">
        <v>256678</v>
      </c>
      <c r="F1128" s="3" t="str">
        <f>IFERROR(VLOOKUP(E1128,BD!$L$2:$Q$66,2,0),0)</f>
        <v>TRIPACK (CC+IK)PFM+FT PET 3LX3 - RFNN</v>
      </c>
      <c r="G1128" s="424">
        <f>90*6</f>
        <v>540</v>
      </c>
      <c r="H1128" s="3">
        <f>+IFERROR(VLOOKUP(E1128,BD!$L$2:$Q$66,6,0),0)</f>
        <v>90</v>
      </c>
      <c r="I1128" s="96">
        <f>IFERROR(G1128*VLOOKUP($E1128,BD!$L$2:$Q$66,5,0),0)</f>
        <v>91.800000000000011</v>
      </c>
      <c r="J1128" s="3">
        <f t="shared" si="71"/>
        <v>2021</v>
      </c>
    </row>
    <row r="1129" spans="1:10" s="9" customFormat="1" hidden="1" x14ac:dyDescent="0.25">
      <c r="A1129" s="447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7">
        <v>256679</v>
      </c>
      <c r="F1129" s="3" t="str">
        <f>IFERROR(VLOOKUP(E1129,BD!$L$2:$Q$66,2,0),0)</f>
        <v>TRIPACK CC+IK+IK PFM 3LX3 - RFNN</v>
      </c>
      <c r="G1129" s="424">
        <f>90*4</f>
        <v>360</v>
      </c>
      <c r="H1129" s="3">
        <f>+IFERROR(VLOOKUP(E1129,BD!$L$2:$Q$66,6,0),0)</f>
        <v>90</v>
      </c>
      <c r="I1129" s="96">
        <f>IFERROR(G1129*VLOOKUP($E1129,BD!$L$2:$Q$66,5,0),0)</f>
        <v>61.2</v>
      </c>
      <c r="J1129" s="3">
        <f t="shared" si="71"/>
        <v>2021</v>
      </c>
    </row>
    <row r="1130" spans="1:10" s="9" customFormat="1" hidden="1" x14ac:dyDescent="0.25">
      <c r="A1130" s="447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7">
        <v>256617</v>
      </c>
      <c r="F1130" s="3" t="str">
        <f>IFERROR(VLOOKUP(E1130,BD!$L$2:$Q$66,2,0),0)</f>
        <v>TWO PACK SCHWEPPES GINGER ALE PET 1.5LX2</v>
      </c>
      <c r="G1130" s="424">
        <f>198*6</f>
        <v>1188</v>
      </c>
      <c r="H1130" s="3">
        <f>+IFERROR(VLOOKUP(E1130,BD!$L$2:$Q$66,6,0),0)</f>
        <v>198</v>
      </c>
      <c r="I1130" s="96">
        <f>IFERROR(G1130*VLOOKUP($E1130,BD!$L$2:$Q$66,5,0),0)</f>
        <v>201.96</v>
      </c>
      <c r="J1130" s="3">
        <f t="shared" si="71"/>
        <v>2021</v>
      </c>
    </row>
    <row r="1131" spans="1:10" s="9" customFormat="1" hidden="1" x14ac:dyDescent="0.25">
      <c r="A1131" s="447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7">
        <v>256382</v>
      </c>
      <c r="F1131" s="3" t="str">
        <f>IFERROR(VLOOKUP(E1131,BD!$L$2:$Q$66,2,0),0)</f>
        <v>COCA COLA VR 296MLX24 - STICKER</v>
      </c>
      <c r="G1131" s="424">
        <v>40</v>
      </c>
      <c r="H1131" s="3">
        <f>+IFERROR(VLOOKUP(E1131,BD!$L$2:$Q$66,6,0),0)</f>
        <v>40</v>
      </c>
      <c r="I1131" s="96">
        <f>IFERROR(G1131*VLOOKUP($E1131,BD!$L$2:$Q$66,5,0),0)</f>
        <v>9.2000000000000011</v>
      </c>
      <c r="J1131" s="3">
        <f t="shared" si="71"/>
        <v>2021</v>
      </c>
    </row>
    <row r="1132" spans="1:10" s="9" customFormat="1" hidden="1" x14ac:dyDescent="0.25">
      <c r="A1132" s="447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7">
        <v>256676</v>
      </c>
      <c r="F1132" s="3" t="str">
        <f>IFERROR(VLOOKUP(E1132,BD!$L$2:$Q$66,2,0),0)</f>
        <v>TWO PACK CC PFM 3LX2 - RFCC</v>
      </c>
      <c r="G1132" s="424">
        <f>120*4</f>
        <v>480</v>
      </c>
      <c r="H1132" s="3">
        <f>+IFERROR(VLOOKUP(E1132,BD!$L$2:$Q$66,6,0),0)</f>
        <v>120</v>
      </c>
      <c r="I1132" s="96">
        <f>IFERROR(G1132*VLOOKUP($E1132,BD!$L$2:$Q$66,5,0),0)</f>
        <v>81.600000000000009</v>
      </c>
      <c r="J1132" s="3">
        <f t="shared" si="71"/>
        <v>2021</v>
      </c>
    </row>
    <row r="1133" spans="1:10" s="9" customFormat="1" hidden="1" x14ac:dyDescent="0.25">
      <c r="A1133" s="447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7">
        <v>256666</v>
      </c>
      <c r="F1133" s="3" t="str">
        <f>IFERROR(VLOOKUP(E1133,BD!$L$2:$Q$66,2,0),0)</f>
        <v>COCA-COLA PET 2.25LX2 RF</v>
      </c>
      <c r="G1133" s="424">
        <f>162*4</f>
        <v>648</v>
      </c>
      <c r="H1133" s="3">
        <f>+IFERROR(VLOOKUP(E1133,BD!$L$2:$Q$66,6,0),0)</f>
        <v>162</v>
      </c>
      <c r="I1133" s="96">
        <f>IFERROR(G1133*VLOOKUP($E1133,BD!$L$2:$Q$66,5,0),0)</f>
        <v>110.16000000000001</v>
      </c>
      <c r="J1133" s="3">
        <f t="shared" si="71"/>
        <v>2021</v>
      </c>
    </row>
    <row r="1134" spans="1:10" s="9" customFormat="1" hidden="1" x14ac:dyDescent="0.25">
      <c r="A1134" s="447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7">
        <v>256601</v>
      </c>
      <c r="F1134" s="3" t="str">
        <f>IFERROR(VLOOKUP(E1134,BD!$L$2:$Q$66,2,0),0)</f>
        <v>INCA KOLA PET 2.25LX2 RF</v>
      </c>
      <c r="G1134" s="424">
        <f>162*3</f>
        <v>486</v>
      </c>
      <c r="H1134" s="3">
        <f>+IFERROR(VLOOKUP(E1134,BD!$L$2:$Q$66,6,0),0)</f>
        <v>162</v>
      </c>
      <c r="I1134" s="96">
        <f>IFERROR(G1134*VLOOKUP($E1134,BD!$L$2:$Q$66,5,0),0)</f>
        <v>82.62</v>
      </c>
      <c r="J1134" s="3">
        <f t="shared" si="71"/>
        <v>2021</v>
      </c>
    </row>
    <row r="1135" spans="1:10" s="9" customFormat="1" hidden="1" x14ac:dyDescent="0.25">
      <c r="A1135" s="447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7">
        <v>254853</v>
      </c>
      <c r="F1135" s="3" t="str">
        <f>IFERROR(VLOOKUP(E1135,BD!$L$2:$Q$66,2,0),0)</f>
        <v>INCA KOLA SIN AZUCAR PET 1.5LX2</v>
      </c>
      <c r="G1135" s="503">
        <f>216*11</f>
        <v>2376</v>
      </c>
      <c r="H1135" s="3">
        <f>+IFERROR(VLOOKUP(E1135,BD!$L$2:$Q$66,6,0),0)</f>
        <v>198</v>
      </c>
      <c r="I1135" s="96">
        <f>IFERROR(G1135*VLOOKUP($E1135,BD!$L$2:$Q$66,5,0),0)</f>
        <v>403.92</v>
      </c>
      <c r="J1135" s="3">
        <f t="shared" si="71"/>
        <v>2021</v>
      </c>
    </row>
    <row r="1136" spans="1:10" s="9" customFormat="1" hidden="1" x14ac:dyDescent="0.25">
      <c r="A1136" s="447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7">
        <v>256674</v>
      </c>
      <c r="F1136" s="3" t="str">
        <f>IFERROR(VLOOKUP(E1136,BD!$L$2:$Q$66,2,0),0)</f>
        <v>COCA-COLA PET 1.5LX2 RF</v>
      </c>
      <c r="G1136" s="503">
        <f>216*10</f>
        <v>2160</v>
      </c>
      <c r="H1136" s="3">
        <f>+IFERROR(VLOOKUP(E1136,BD!$L$2:$Q$66,6,0),0)</f>
        <v>198</v>
      </c>
      <c r="I1136" s="96">
        <f>IFERROR(G1136*VLOOKUP($E1136,BD!$L$2:$Q$66,5,0),0)</f>
        <v>367.20000000000005</v>
      </c>
      <c r="J1136" s="3">
        <f t="shared" si="71"/>
        <v>2021</v>
      </c>
    </row>
    <row r="1137" spans="1:10" s="9" customFormat="1" hidden="1" x14ac:dyDescent="0.25">
      <c r="A1137" s="447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7">
        <v>251406</v>
      </c>
      <c r="F1137" s="3" t="str">
        <f>IFERROR(VLOOKUP(E1137,BD!$L$2:$Q$66,2,0),0)</f>
        <v>COCA-COLA SIN AZUCAR PET 1.5LX2</v>
      </c>
      <c r="G1137" s="503">
        <f>216*17</f>
        <v>3672</v>
      </c>
      <c r="H1137" s="3">
        <f>+IFERROR(VLOOKUP(E1137,BD!$L$2:$Q$66,6,0),0)</f>
        <v>198</v>
      </c>
      <c r="I1137" s="96">
        <f>IFERROR(G1137*VLOOKUP($E1137,BD!$L$2:$Q$66,5,0),0)</f>
        <v>624.24</v>
      </c>
      <c r="J1137" s="3">
        <f t="shared" si="71"/>
        <v>2021</v>
      </c>
    </row>
    <row r="1138" spans="1:10" s="9" customFormat="1" hidden="1" x14ac:dyDescent="0.25">
      <c r="A1138" s="447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7">
        <v>256675</v>
      </c>
      <c r="F1138" s="3" t="str">
        <f>IFERROR(VLOOKUP(E1138,BD!$L$2:$Q$66,2,0),0)</f>
        <v>INCA KOLA PET 1.5LX2 RF</v>
      </c>
      <c r="G1138" s="503">
        <v>1836</v>
      </c>
      <c r="H1138" s="3">
        <f>+IFERROR(VLOOKUP(E1138,BD!$L$2:$Q$66,6,0),0)</f>
        <v>198</v>
      </c>
      <c r="I1138" s="96">
        <f>IFERROR(G1138*VLOOKUP($E1138,BD!$L$2:$Q$66,5,0),0)</f>
        <v>312.12</v>
      </c>
      <c r="J1138" s="3">
        <f t="shared" si="71"/>
        <v>2021</v>
      </c>
    </row>
    <row r="1139" spans="1:10" s="9" customFormat="1" hidden="1" x14ac:dyDescent="0.25">
      <c r="A1139" s="447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7">
        <v>256677</v>
      </c>
      <c r="F1139" s="3" t="str">
        <f>IFERROR(VLOOKUP(E1139,BD!$L$2:$Q$66,2,0),0)</f>
        <v>TWO PACK CC + IK PFM 3LX2 - RFNN</v>
      </c>
      <c r="G1139" s="424">
        <f>120*18</f>
        <v>2160</v>
      </c>
      <c r="H1139" s="3">
        <f>+IFERROR(VLOOKUP(E1139,BD!$L$2:$Q$66,6,0),0)</f>
        <v>120</v>
      </c>
      <c r="I1139" s="96">
        <f>IFERROR(G1139*VLOOKUP($E1139,BD!$L$2:$Q$66,5,0),0)</f>
        <v>367.20000000000005</v>
      </c>
      <c r="J1139" s="3">
        <f t="shared" si="71"/>
        <v>2021</v>
      </c>
    </row>
    <row r="1140" spans="1:10" s="9" customFormat="1" hidden="1" x14ac:dyDescent="0.25">
      <c r="A1140" s="447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7">
        <v>256616</v>
      </c>
      <c r="F1140" s="3" t="str">
        <f>IFERROR(VLOOKUP(E1140,BD!$L$2:$Q$66,2,0),0)</f>
        <v>TWO PACK SCHWEPPES CITRUS PET 1.5LX2</v>
      </c>
      <c r="G1140" s="424">
        <f>198*4</f>
        <v>792</v>
      </c>
      <c r="H1140" s="3">
        <f>+IFERROR(VLOOKUP(E1140,BD!$L$2:$Q$66,6,0),0)</f>
        <v>198</v>
      </c>
      <c r="I1140" s="96">
        <f>IFERROR(G1140*VLOOKUP($E1140,BD!$L$2:$Q$66,5,0),0)</f>
        <v>134.64000000000001</v>
      </c>
      <c r="J1140" s="3">
        <f t="shared" si="71"/>
        <v>2021</v>
      </c>
    </row>
    <row r="1141" spans="1:10" s="9" customFormat="1" hidden="1" x14ac:dyDescent="0.25">
      <c r="A1141" s="447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7">
        <v>256652</v>
      </c>
      <c r="F1141" s="3" t="str">
        <f>IFERROR(VLOOKUP(E1141,BD!$L$2:$Q$66,2,0),0)</f>
        <v>TRIPACK FT NAR+FT KI+SP PET 3L</v>
      </c>
      <c r="G1141" s="424">
        <f>90*5</f>
        <v>450</v>
      </c>
      <c r="H1141" s="3">
        <f>+IFERROR(VLOOKUP(E1141,BD!$L$2:$Q$66,6,0),0)</f>
        <v>90</v>
      </c>
      <c r="I1141" s="96">
        <f>IFERROR(G1141*VLOOKUP($E1141,BD!$L$2:$Q$66,5,0),0)</f>
        <v>76.5</v>
      </c>
      <c r="J1141" s="3">
        <f t="shared" si="71"/>
        <v>2021</v>
      </c>
    </row>
    <row r="1142" spans="1:10" s="9" customFormat="1" hidden="1" x14ac:dyDescent="0.25">
      <c r="A1142" s="447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7">
        <v>251429</v>
      </c>
      <c r="F1142" s="3" t="str">
        <f>IFERROR(VLOOKUP(E1142,BD!$L$2:$Q$66,2,0),0)</f>
        <v>SAN LUIS SIN GAS PET2500X6 STICKER</v>
      </c>
      <c r="G1142" s="424">
        <f>48*8</f>
        <v>384</v>
      </c>
      <c r="H1142" s="3">
        <f>+IFERROR(VLOOKUP(E1142,BD!$L$2:$Q$66,6,0),0)</f>
        <v>48</v>
      </c>
      <c r="I1142" s="96">
        <f>IFERROR(G1142*VLOOKUP($E1142,BD!$L$2:$Q$66,5,0),0)</f>
        <v>153.60000000000002</v>
      </c>
      <c r="J1142" s="3">
        <f t="shared" si="71"/>
        <v>2021</v>
      </c>
    </row>
    <row r="1143" spans="1:10" s="9" customFormat="1" hidden="1" x14ac:dyDescent="0.25">
      <c r="A1143" s="447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7">
        <v>256708</v>
      </c>
      <c r="F1143" s="3" t="str">
        <f>IFERROR(VLOOKUP(E1143,BD!$L$2:$Q$66,2,0),0)</f>
        <v>POWERADE ION4 FRUTA PET473X6 MOD (STICK)</v>
      </c>
      <c r="G1143" s="424">
        <v>225</v>
      </c>
      <c r="H1143" s="3">
        <f>+IFERROR(VLOOKUP(E1143,BD!$L$2:$Q$66,6,0),0)</f>
        <v>225</v>
      </c>
      <c r="I1143" s="96">
        <f>IFERROR(G1143*VLOOKUP($E1143,BD!$L$2:$Q$66,5,0),0)</f>
        <v>90</v>
      </c>
      <c r="J1143" s="3">
        <f t="shared" si="71"/>
        <v>2021</v>
      </c>
    </row>
    <row r="1144" spans="1:10" s="9" customFormat="1" hidden="1" x14ac:dyDescent="0.25">
      <c r="A1144" s="447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7">
        <v>256685</v>
      </c>
      <c r="F1144" s="3" t="str">
        <f>IFERROR(VLOOKUP(E1144,BD!$L$2:$Q$66,2,0),0)</f>
        <v>SL S/G TAPA PLANA 1LT</v>
      </c>
      <c r="G1144" s="424">
        <v>112</v>
      </c>
      <c r="H1144" s="3">
        <f>+IFERROR(VLOOKUP(E1144,BD!$L$2:$Q$66,6,0),0)</f>
        <v>112</v>
      </c>
      <c r="I1144" s="96">
        <f>IFERROR(G1144*VLOOKUP($E1144,BD!$L$2:$Q$66,5,0),0)</f>
        <v>44.800000000000004</v>
      </c>
      <c r="J1144" s="3">
        <f t="shared" si="71"/>
        <v>2021</v>
      </c>
    </row>
    <row r="1145" spans="1:10" s="9" customFormat="1" hidden="1" x14ac:dyDescent="0.25">
      <c r="A1145" s="447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7">
        <v>751544</v>
      </c>
      <c r="F1145" s="3" t="str">
        <f>IFERROR(VLOOKUP(E1145,BD!$L$2:$Q$66,2,0),0)</f>
        <v>MONSTER ENERGY ZERO 473MLX4</v>
      </c>
      <c r="G1145" s="424">
        <v>2520</v>
      </c>
      <c r="H1145" s="3">
        <f>+IFERROR(VLOOKUP(E1145,BD!$L$2:$Q$66,6,0),0)</f>
        <v>420</v>
      </c>
      <c r="I1145" s="96">
        <f>IFERROR(G1145*VLOOKUP($E1145,BD!$L$2:$Q$66,5,0),0)</f>
        <v>1058.3999999999999</v>
      </c>
      <c r="J1145" s="3">
        <f t="shared" si="71"/>
        <v>2021</v>
      </c>
    </row>
    <row r="1146" spans="1:10" s="9" customFormat="1" hidden="1" x14ac:dyDescent="0.25">
      <c r="A1146" s="447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7">
        <v>751315</v>
      </c>
      <c r="F1146" s="3" t="str">
        <f>IFERROR(VLOOKUP(E1146,BD!$L$2:$Q$66,2,0),0)</f>
        <v>MONSTER ENERGY 473MLX4</v>
      </c>
      <c r="G1146" s="424">
        <v>840</v>
      </c>
      <c r="H1146" s="3">
        <f>+IFERROR(VLOOKUP(E1146,BD!$L$2:$Q$66,6,0),0)</f>
        <v>420</v>
      </c>
      <c r="I1146" s="96">
        <f>IFERROR(G1146*VLOOKUP($E1146,BD!$L$2:$Q$66,5,0),0)</f>
        <v>352.8</v>
      </c>
      <c r="J1146" s="3">
        <f t="shared" si="71"/>
        <v>2021</v>
      </c>
    </row>
    <row r="1147" spans="1:10" s="9" customFormat="1" hidden="1" x14ac:dyDescent="0.25">
      <c r="A1147" s="447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7">
        <v>256381</v>
      </c>
      <c r="F1147" s="3" t="str">
        <f>IFERROR(VLOOKUP(E1147,BD!$L$2:$Q$66,2,0),0)</f>
        <v>INCA KOLA VR 1.5LX8 - STICKER</v>
      </c>
      <c r="G1147" s="424">
        <f>30*4</f>
        <v>120</v>
      </c>
      <c r="H1147" s="3">
        <f>+IFERROR(VLOOKUP(E1147,BD!$L$2:$Q$66,6,0),0)</f>
        <v>30</v>
      </c>
      <c r="I1147" s="96">
        <f>IFERROR(G1147*VLOOKUP($E1147,BD!$L$2:$Q$66,5,0),0)</f>
        <v>48</v>
      </c>
      <c r="J1147" s="3">
        <f t="shared" si="71"/>
        <v>2021</v>
      </c>
    </row>
    <row r="1148" spans="1:10" s="9" customFormat="1" hidden="1" x14ac:dyDescent="0.25">
      <c r="A1148" s="447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7">
        <v>251406</v>
      </c>
      <c r="F1148" s="3" t="str">
        <f>IFERROR(VLOOKUP(E1148,BD!$L$2:$Q$66,2,0),0)</f>
        <v>COCA-COLA SIN AZUCAR PET 1.5LX2</v>
      </c>
      <c r="G1148" s="503">
        <f>216*2</f>
        <v>432</v>
      </c>
      <c r="H1148" s="3">
        <f>+IFERROR(VLOOKUP(E1148,BD!$L$2:$Q$66,6,0),0)</f>
        <v>198</v>
      </c>
      <c r="I1148" s="96">
        <f>IFERROR(G1148*VLOOKUP($E1148,BD!$L$2:$Q$66,5,0),0)</f>
        <v>73.440000000000012</v>
      </c>
      <c r="J1148" s="3">
        <f t="shared" si="71"/>
        <v>2021</v>
      </c>
    </row>
    <row r="1149" spans="1:10" s="9" customFormat="1" hidden="1" x14ac:dyDescent="0.25">
      <c r="A1149" s="447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7">
        <v>256382</v>
      </c>
      <c r="F1149" s="3" t="str">
        <f>IFERROR(VLOOKUP(E1149,BD!$L$2:$Q$66,2,0),0)</f>
        <v>COCA COLA VR 296MLX24 - STICKER</v>
      </c>
      <c r="G1149" s="424">
        <f>40*2</f>
        <v>80</v>
      </c>
      <c r="H1149" s="3">
        <f>+IFERROR(VLOOKUP(E1149,BD!$L$2:$Q$66,6,0),0)</f>
        <v>40</v>
      </c>
      <c r="I1149" s="96">
        <f>IFERROR(G1149*VLOOKUP($E1149,BD!$L$2:$Q$66,5,0),0)</f>
        <v>18.400000000000002</v>
      </c>
      <c r="J1149" s="3">
        <f t="shared" si="71"/>
        <v>2021</v>
      </c>
    </row>
    <row r="1150" spans="1:10" s="9" customFormat="1" hidden="1" x14ac:dyDescent="0.25">
      <c r="A1150" s="447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7">
        <v>256380</v>
      </c>
      <c r="F1150" s="3" t="str">
        <f>IFERROR(VLOOKUP(E1150,BD!$L$2:$Q$66,2,0),0)</f>
        <v>INCA KOLA VR 296MLX24 - STICKER</v>
      </c>
      <c r="G1150" s="424">
        <v>40</v>
      </c>
      <c r="H1150" s="3">
        <f>+IFERROR(VLOOKUP(E1150,BD!$L$2:$Q$66,6,0),0)</f>
        <v>40</v>
      </c>
      <c r="I1150" s="96">
        <f>IFERROR(G1150*VLOOKUP($E1150,BD!$L$2:$Q$66,5,0),0)</f>
        <v>9.2000000000000011</v>
      </c>
      <c r="J1150" s="3">
        <f t="shared" si="71"/>
        <v>2021</v>
      </c>
    </row>
    <row r="1151" spans="1:10" s="9" customFormat="1" hidden="1" x14ac:dyDescent="0.25">
      <c r="A1151" s="447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7">
        <v>252436</v>
      </c>
      <c r="F1151" s="3" t="str">
        <f>IFERROR(VLOOKUP(E1151,BD!$L$2:$Q$66,2,0),0)</f>
        <v>SAN LUIS SIN GAS PET 625MLX15 C/STICKER</v>
      </c>
      <c r="G1151" s="424">
        <f>90*11</f>
        <v>990</v>
      </c>
      <c r="H1151" s="3">
        <f>+IFERROR(VLOOKUP(E1151,BD!$L$2:$Q$66,6,0),0)</f>
        <v>90</v>
      </c>
      <c r="I1151" s="96">
        <f>IFERROR(G1151*VLOOKUP($E1151,BD!$L$2:$Q$66,5,0),0)</f>
        <v>396</v>
      </c>
      <c r="J1151" s="3">
        <f t="shared" si="71"/>
        <v>2021</v>
      </c>
    </row>
    <row r="1152" spans="1:10" s="9" customFormat="1" hidden="1" x14ac:dyDescent="0.25">
      <c r="A1152" s="447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7">
        <v>256685</v>
      </c>
      <c r="F1152" s="3" t="str">
        <f>IFERROR(VLOOKUP(E1152,BD!$L$2:$Q$66,2,0),0)</f>
        <v>SL S/G TAPA PLANA 1LT</v>
      </c>
      <c r="G1152" s="424">
        <f>112*4</f>
        <v>448</v>
      </c>
      <c r="H1152" s="3">
        <f>+IFERROR(VLOOKUP(E1152,BD!$L$2:$Q$66,6,0),0)</f>
        <v>112</v>
      </c>
      <c r="I1152" s="96">
        <f>IFERROR(G1152*VLOOKUP($E1152,BD!$L$2:$Q$66,5,0),0)</f>
        <v>179.20000000000002</v>
      </c>
      <c r="J1152" s="3">
        <f t="shared" si="71"/>
        <v>2021</v>
      </c>
    </row>
    <row r="1153" spans="1:10" s="9" customFormat="1" hidden="1" x14ac:dyDescent="0.25">
      <c r="A1153" s="447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7">
        <v>751315</v>
      </c>
      <c r="F1153" s="3" t="str">
        <f>IFERROR(VLOOKUP(E1153,BD!$L$2:$Q$66,2,0),0)</f>
        <v>MONSTER ENERGY 473MLX4</v>
      </c>
      <c r="G1153" s="424">
        <f>420*4</f>
        <v>1680</v>
      </c>
      <c r="H1153" s="3">
        <f>+IFERROR(VLOOKUP(E1153,BD!$L$2:$Q$66,6,0),0)</f>
        <v>420</v>
      </c>
      <c r="I1153" s="96">
        <f>IFERROR(G1153*VLOOKUP($E1153,BD!$L$2:$Q$66,5,0),0)</f>
        <v>705.6</v>
      </c>
      <c r="J1153" s="3">
        <f t="shared" si="71"/>
        <v>2021</v>
      </c>
    </row>
    <row r="1154" spans="1:10" s="9" customFormat="1" hidden="1" x14ac:dyDescent="0.25">
      <c r="A1154" s="447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7">
        <v>256695</v>
      </c>
      <c r="F1154" s="3" t="str">
        <f>IFERROR(VLOOKUP(E1154,BD!$L$2:$Q$66,2,0),0)</f>
        <v>POWERADE 3MORA+3FRUT PET 473MLX6</v>
      </c>
      <c r="G1154" s="424">
        <f>225*2</f>
        <v>450</v>
      </c>
      <c r="H1154" s="3">
        <f>+IFERROR(VLOOKUP(E1154,BD!$L$2:$Q$66,6,0),0)</f>
        <v>225</v>
      </c>
      <c r="I1154" s="96">
        <f>IFERROR(G1154*VLOOKUP($E1154,BD!$L$2:$Q$66,5,0),0)</f>
        <v>189</v>
      </c>
      <c r="J1154" s="3">
        <f t="shared" si="71"/>
        <v>2021</v>
      </c>
    </row>
    <row r="1155" spans="1:10" s="9" customFormat="1" hidden="1" x14ac:dyDescent="0.25">
      <c r="A1155" s="447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7">
        <v>256488</v>
      </c>
      <c r="F1155" s="3" t="str">
        <f>IFERROR(VLOOKUP(E1155,BD!$L$2:$Q$66,2,0),0)</f>
        <v>INCA KOLA PET 3LX2 - RF</v>
      </c>
      <c r="G1155" s="424">
        <f>120*1</f>
        <v>120</v>
      </c>
      <c r="H1155" s="3">
        <f>+IFERROR(VLOOKUP(E1155,BD!$L$2:$Q$66,6,0),0)</f>
        <v>120</v>
      </c>
      <c r="I1155" s="96">
        <f>IFERROR(G1155*VLOOKUP($E1155,BD!$L$2:$Q$66,5,0),0)</f>
        <v>20.400000000000002</v>
      </c>
      <c r="J1155" s="3">
        <f t="shared" si="71"/>
        <v>2021</v>
      </c>
    </row>
    <row r="1156" spans="1:10" s="9" customFormat="1" hidden="1" x14ac:dyDescent="0.25">
      <c r="A1156" s="447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7">
        <v>256677</v>
      </c>
      <c r="F1156" s="3" t="str">
        <f>IFERROR(VLOOKUP(E1156,BD!$L$2:$Q$66,2,0),0)</f>
        <v>TWO PACK CC + IK PFM 3LX2 - RFNN</v>
      </c>
      <c r="G1156" s="424">
        <f>120*10</f>
        <v>1200</v>
      </c>
      <c r="H1156" s="3">
        <f>+IFERROR(VLOOKUP(E1156,BD!$L$2:$Q$66,6,0),0)</f>
        <v>120</v>
      </c>
      <c r="I1156" s="96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hidden="1" x14ac:dyDescent="0.25">
      <c r="A1157" s="447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7">
        <v>256652</v>
      </c>
      <c r="F1157" s="3" t="str">
        <f>IFERROR(VLOOKUP(E1157,BD!$L$2:$Q$66,2,0),0)</f>
        <v>TRIPACK FT NAR+FT KI+SP PET 3L</v>
      </c>
      <c r="G1157" s="424">
        <f>90*23</f>
        <v>2070</v>
      </c>
      <c r="H1157" s="3">
        <f>+IFERROR(VLOOKUP(E1157,BD!$L$2:$Q$66,6,0),0)</f>
        <v>90</v>
      </c>
      <c r="I1157" s="96">
        <f>IFERROR(G1157*VLOOKUP($E1157,BD!$L$2:$Q$66,5,0),0)</f>
        <v>351.90000000000003</v>
      </c>
      <c r="J1157" s="3">
        <f t="shared" si="75"/>
        <v>2021</v>
      </c>
    </row>
    <row r="1158" spans="1:10" s="9" customFormat="1" hidden="1" x14ac:dyDescent="0.25">
      <c r="A1158" s="447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7">
        <v>256601</v>
      </c>
      <c r="F1158" s="3" t="str">
        <f>IFERROR(VLOOKUP(E1158,BD!$L$2:$Q$66,2,0),0)</f>
        <v>INCA KOLA PET 2.25LX2 RF</v>
      </c>
      <c r="G1158" s="424">
        <f>162*4</f>
        <v>648</v>
      </c>
      <c r="H1158" s="3">
        <f>+IFERROR(VLOOKUP(E1158,BD!$L$2:$Q$66,6,0),0)</f>
        <v>162</v>
      </c>
      <c r="I1158" s="96">
        <f>IFERROR(G1158*VLOOKUP($E1158,BD!$L$2:$Q$66,5,0),0)</f>
        <v>110.16000000000001</v>
      </c>
      <c r="J1158" s="3">
        <f t="shared" si="75"/>
        <v>2021</v>
      </c>
    </row>
    <row r="1159" spans="1:10" s="9" customFormat="1" hidden="1" x14ac:dyDescent="0.25">
      <c r="A1159" s="447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7">
        <v>256666</v>
      </c>
      <c r="F1159" s="3" t="str">
        <f>IFERROR(VLOOKUP(E1159,BD!$L$2:$Q$66,2,0),0)</f>
        <v>COCA-COLA PET 2.25LX2 RF</v>
      </c>
      <c r="G1159" s="424">
        <f>162*2</f>
        <v>324</v>
      </c>
      <c r="H1159" s="3">
        <f>+IFERROR(VLOOKUP(E1159,BD!$L$2:$Q$66,6,0),0)</f>
        <v>162</v>
      </c>
      <c r="I1159" s="96">
        <f>IFERROR(G1159*VLOOKUP($E1159,BD!$L$2:$Q$66,5,0),0)</f>
        <v>55.080000000000005</v>
      </c>
      <c r="J1159" s="3">
        <f t="shared" si="75"/>
        <v>2021</v>
      </c>
    </row>
    <row r="1160" spans="1:10" s="9" customFormat="1" hidden="1" x14ac:dyDescent="0.25">
      <c r="A1160" s="447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7">
        <v>256674</v>
      </c>
      <c r="F1160" s="3" t="str">
        <f>IFERROR(VLOOKUP(E1160,BD!$L$2:$Q$66,2,0),0)</f>
        <v>COCA-COLA PET 1.5LX2 RF</v>
      </c>
      <c r="G1160" s="504">
        <f>216*6</f>
        <v>1296</v>
      </c>
      <c r="H1160" s="3">
        <f>+IFERROR(VLOOKUP(E1160,BD!$L$2:$Q$66,6,0),0)</f>
        <v>198</v>
      </c>
      <c r="I1160" s="96">
        <f>IFERROR(G1160*VLOOKUP($E1160,BD!$L$2:$Q$66,5,0),0)</f>
        <v>220.32000000000002</v>
      </c>
      <c r="J1160" s="3">
        <f t="shared" si="75"/>
        <v>2021</v>
      </c>
    </row>
    <row r="1161" spans="1:10" s="9" customFormat="1" hidden="1" x14ac:dyDescent="0.25">
      <c r="A1161" s="447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7">
        <v>254853</v>
      </c>
      <c r="F1161" s="3" t="str">
        <f>IFERROR(VLOOKUP(E1161,BD!$L$2:$Q$66,2,0),0)</f>
        <v>INCA KOLA SIN AZUCAR PET 1.5LX2</v>
      </c>
      <c r="G1161" s="503">
        <f>216*8</f>
        <v>1728</v>
      </c>
      <c r="H1161" s="3">
        <f>+IFERROR(VLOOKUP(E1161,BD!$L$2:$Q$66,6,0),0)</f>
        <v>198</v>
      </c>
      <c r="I1161" s="96">
        <f>IFERROR(G1161*VLOOKUP($E1161,BD!$L$2:$Q$66,5,0),0)</f>
        <v>293.76000000000005</v>
      </c>
      <c r="J1161" s="3">
        <f t="shared" si="75"/>
        <v>2021</v>
      </c>
    </row>
    <row r="1162" spans="1:10" s="9" customFormat="1" hidden="1" x14ac:dyDescent="0.25">
      <c r="A1162" s="447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7">
        <v>256383</v>
      </c>
      <c r="F1162" s="3" t="str">
        <f>IFERROR(VLOOKUP(E1162,BD!$L$2:$Q$66,2,0),0)</f>
        <v>COCA COLA VR 1.5LX8 - STICKER</v>
      </c>
      <c r="G1162" s="424">
        <f>30*4</f>
        <v>120</v>
      </c>
      <c r="H1162" s="3">
        <f>+IFERROR(VLOOKUP(E1162,BD!$L$2:$Q$66,6,0),0)</f>
        <v>30</v>
      </c>
      <c r="I1162" s="96">
        <f>IFERROR(G1162*VLOOKUP($E1162,BD!$L$2:$Q$66,5,0),0)</f>
        <v>27.6</v>
      </c>
      <c r="J1162" s="3">
        <f t="shared" si="75"/>
        <v>2021</v>
      </c>
    </row>
    <row r="1163" spans="1:10" s="9" customFormat="1" hidden="1" x14ac:dyDescent="0.25">
      <c r="A1163" s="447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7">
        <v>256379</v>
      </c>
      <c r="F1163" s="3" t="str">
        <f>IFERROR(VLOOKUP(E1163,BD!$L$2:$Q$66,2,0),0)</f>
        <v>INCA KOLA VR 625MLX12 - STICKER</v>
      </c>
      <c r="G1163" s="424">
        <f>50*3</f>
        <v>150</v>
      </c>
      <c r="H1163" s="3">
        <f>+IFERROR(VLOOKUP(E1163,BD!$L$2:$Q$66,6,0),0)</f>
        <v>50</v>
      </c>
      <c r="I1163" s="96">
        <f>IFERROR(G1163*VLOOKUP($E1163,BD!$L$2:$Q$66,5,0),0)</f>
        <v>60</v>
      </c>
      <c r="J1163" s="3">
        <f t="shared" si="75"/>
        <v>2021</v>
      </c>
    </row>
    <row r="1164" spans="1:10" s="9" customFormat="1" hidden="1" x14ac:dyDescent="0.25">
      <c r="A1164" s="447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7">
        <v>251429</v>
      </c>
      <c r="F1164" s="3" t="str">
        <f>IFERROR(VLOOKUP(E1164,BD!$L$2:$Q$66,2,0),0)</f>
        <v>SAN LUIS SIN GAS PET2500X6 STICKER</v>
      </c>
      <c r="G1164" s="424">
        <f>48*14</f>
        <v>672</v>
      </c>
      <c r="H1164" s="3">
        <f>+IFERROR(VLOOKUP(E1164,BD!$L$2:$Q$66,6,0),0)</f>
        <v>48</v>
      </c>
      <c r="I1164" s="96">
        <f>IFERROR(G1164*VLOOKUP($E1164,BD!$L$2:$Q$66,5,0),0)</f>
        <v>268.8</v>
      </c>
      <c r="J1164" s="3">
        <f t="shared" si="75"/>
        <v>2021</v>
      </c>
    </row>
    <row r="1165" spans="1:10" s="9" customFormat="1" hidden="1" x14ac:dyDescent="0.25">
      <c r="A1165" s="447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7">
        <v>256682</v>
      </c>
      <c r="F1165" s="3" t="str">
        <f>IFERROR(VLOOKUP(E1165,BD!$L$2:$Q$66,2,0),0)</f>
        <v>TRIPACK (FT NAR+SP)PET+IK RF PFM 3L</v>
      </c>
      <c r="G1165" s="507">
        <f>90*2</f>
        <v>180</v>
      </c>
      <c r="H1165" s="3">
        <f>+IFERROR(VLOOKUP(E1165,BD!$L$2:$Q$66,6,0),0)</f>
        <v>90</v>
      </c>
      <c r="I1165" s="96">
        <f>IFERROR(G1165*VLOOKUP($E1165,BD!$L$2:$Q$66,5,0),0)</f>
        <v>30.6</v>
      </c>
      <c r="J1165" s="3">
        <f t="shared" si="75"/>
        <v>2021</v>
      </c>
    </row>
    <row r="1166" spans="1:10" s="9" customFormat="1" hidden="1" x14ac:dyDescent="0.25">
      <c r="A1166" s="447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7">
        <v>256680</v>
      </c>
      <c r="F1166" s="3" t="str">
        <f>IFERROR(VLOOKUP(E1166,BD!$L$2:$Q$66,2,0),0)</f>
        <v>TRIPACK CC+CC+IK PFM 3LX3 - RFNN</v>
      </c>
      <c r="G1166" s="424">
        <f>90*6</f>
        <v>540</v>
      </c>
      <c r="H1166" s="3">
        <f>+IFERROR(VLOOKUP(E1166,BD!$L$2:$Q$66,6,0),0)</f>
        <v>90</v>
      </c>
      <c r="I1166" s="96">
        <f>IFERROR(G1166*VLOOKUP($E1166,BD!$L$2:$Q$66,5,0),0)</f>
        <v>91.800000000000011</v>
      </c>
      <c r="J1166" s="3">
        <f t="shared" si="75"/>
        <v>2021</v>
      </c>
    </row>
    <row r="1167" spans="1:10" s="9" customFormat="1" hidden="1" x14ac:dyDescent="0.25">
      <c r="A1167" s="447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7">
        <v>256679</v>
      </c>
      <c r="F1167" s="3" t="str">
        <f>IFERROR(VLOOKUP(E1167,BD!$L$2:$Q$66,2,0),0)</f>
        <v>TRIPACK CC+IK+IK PFM 3LX3 - RFNN</v>
      </c>
      <c r="G1167" s="424">
        <f>90*24</f>
        <v>2160</v>
      </c>
      <c r="H1167" s="3">
        <f>+IFERROR(VLOOKUP(E1167,BD!$L$2:$Q$66,6,0),0)</f>
        <v>90</v>
      </c>
      <c r="I1167" s="96">
        <f>IFERROR(G1167*VLOOKUP($E1167,BD!$L$2:$Q$66,5,0),0)</f>
        <v>367.20000000000005</v>
      </c>
      <c r="J1167" s="3">
        <f t="shared" si="75"/>
        <v>2021</v>
      </c>
    </row>
    <row r="1168" spans="1:10" s="9" customFormat="1" hidden="1" x14ac:dyDescent="0.25">
      <c r="A1168" s="447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7">
        <v>256616</v>
      </c>
      <c r="F1168" s="3" t="str">
        <f>IFERROR(VLOOKUP(E1168,BD!$L$2:$Q$66,2,0),0)</f>
        <v>TWO PACK SCHWEPPES CITRUS PET 1.5LX2</v>
      </c>
      <c r="G1168" s="424">
        <v>792</v>
      </c>
      <c r="H1168" s="3">
        <f>+IFERROR(VLOOKUP(E1168,BD!$L$2:$Q$66,6,0),0)</f>
        <v>198</v>
      </c>
      <c r="I1168" s="96">
        <f>IFERROR(G1168*VLOOKUP($E1168,BD!$L$2:$Q$66,5,0),0)</f>
        <v>134.64000000000001</v>
      </c>
      <c r="J1168" s="3">
        <f t="shared" si="75"/>
        <v>2021</v>
      </c>
    </row>
    <row r="1169" spans="1:10" s="9" customFormat="1" hidden="1" x14ac:dyDescent="0.25">
      <c r="A1169" s="447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7">
        <v>256617</v>
      </c>
      <c r="F1169" s="3" t="str">
        <f>IFERROR(VLOOKUP(E1169,BD!$L$2:$Q$66,2,0),0)</f>
        <v>TWO PACK SCHWEPPES GINGER ALE PET 1.5LX2</v>
      </c>
      <c r="G1169" s="424">
        <v>396</v>
      </c>
      <c r="H1169" s="3">
        <f>+IFERROR(VLOOKUP(E1169,BD!$L$2:$Q$66,6,0),0)</f>
        <v>198</v>
      </c>
      <c r="I1169" s="96">
        <f>IFERROR(G1169*VLOOKUP($E1169,BD!$L$2:$Q$66,5,0),0)</f>
        <v>67.320000000000007</v>
      </c>
      <c r="J1169" s="3">
        <f t="shared" si="75"/>
        <v>2021</v>
      </c>
    </row>
    <row r="1170" spans="1:10" s="9" customFormat="1" hidden="1" x14ac:dyDescent="0.25">
      <c r="A1170" s="447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7">
        <v>256680</v>
      </c>
      <c r="F1170" s="3" t="str">
        <f>IFERROR(VLOOKUP(E1170,BD!$L$2:$Q$66,2,0),0)</f>
        <v>TRIPACK CC+CC+IK PFM 3LX3 - RFNN</v>
      </c>
      <c r="G1170" s="425">
        <f>90*7</f>
        <v>630</v>
      </c>
      <c r="H1170" s="3">
        <f>+IFERROR(VLOOKUP(E1170,BD!$L$2:$Q$66,6,0),0)</f>
        <v>90</v>
      </c>
      <c r="I1170" s="96">
        <f>IFERROR(G1170*VLOOKUP($E1170,BD!$L$2:$Q$66,5,0),0)</f>
        <v>107.10000000000001</v>
      </c>
      <c r="J1170" s="3">
        <f t="shared" si="75"/>
        <v>2021</v>
      </c>
    </row>
    <row r="1171" spans="1:10" s="9" customFormat="1" hidden="1" x14ac:dyDescent="0.25">
      <c r="A1171" s="447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7">
        <v>256679</v>
      </c>
      <c r="F1171" s="3" t="str">
        <f>IFERROR(VLOOKUP(E1171,BD!$L$2:$Q$66,2,0),0)</f>
        <v>TRIPACK CC+IK+IK PFM 3LX3 - RFNN</v>
      </c>
      <c r="G1171" s="424">
        <f>90*6</f>
        <v>540</v>
      </c>
      <c r="H1171" s="3">
        <f>+IFERROR(VLOOKUP(E1171,BD!$L$2:$Q$66,6,0),0)</f>
        <v>90</v>
      </c>
      <c r="I1171" s="96">
        <f>IFERROR(G1171*VLOOKUP($E1171,BD!$L$2:$Q$66,5,0),0)</f>
        <v>91.800000000000011</v>
      </c>
      <c r="J1171" s="3">
        <f t="shared" si="75"/>
        <v>2021</v>
      </c>
    </row>
    <row r="1172" spans="1:10" s="9" customFormat="1" hidden="1" x14ac:dyDescent="0.25">
      <c r="A1172" s="447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7">
        <v>256678</v>
      </c>
      <c r="F1172" s="3" t="str">
        <f>IFERROR(VLOOKUP(E1172,BD!$L$2:$Q$66,2,0),0)</f>
        <v>TRIPACK (CC+IK)PFM+FT PET 3LX3 - RFNN</v>
      </c>
      <c r="G1172" s="424">
        <f>90*40</f>
        <v>3600</v>
      </c>
      <c r="H1172" s="3">
        <f>+IFERROR(VLOOKUP(E1172,BD!$L$2:$Q$66,6,0),0)</f>
        <v>90</v>
      </c>
      <c r="I1172" s="96">
        <f>IFERROR(G1172*VLOOKUP($E1172,BD!$L$2:$Q$66,5,0),0)</f>
        <v>612</v>
      </c>
      <c r="J1172" s="3">
        <f t="shared" si="75"/>
        <v>2021</v>
      </c>
    </row>
    <row r="1173" spans="1:10" s="9" customFormat="1" hidden="1" x14ac:dyDescent="0.25">
      <c r="A1173" s="447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7">
        <v>256682</v>
      </c>
      <c r="F1173" s="3" t="str">
        <f>IFERROR(VLOOKUP(E1173,BD!$L$2:$Q$66,2,0),0)</f>
        <v>TRIPACK (FT NAR+SP)PET+IK RF PFM 3L</v>
      </c>
      <c r="G1173" s="508">
        <f>90*8</f>
        <v>720</v>
      </c>
      <c r="H1173" s="3">
        <f>+IFERROR(VLOOKUP(E1173,BD!$L$2:$Q$66,6,0),0)</f>
        <v>90</v>
      </c>
      <c r="I1173" s="96">
        <f>IFERROR(G1173*VLOOKUP($E1173,BD!$L$2:$Q$66,5,0),0)</f>
        <v>122.4</v>
      </c>
      <c r="J1173" s="3">
        <f t="shared" si="75"/>
        <v>2021</v>
      </c>
    </row>
    <row r="1174" spans="1:10" s="9" customFormat="1" hidden="1" x14ac:dyDescent="0.25">
      <c r="A1174" s="447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7">
        <v>256549</v>
      </c>
      <c r="F1174" s="3" t="str">
        <f>IFERROR(VLOOKUP(E1174,BD!$L$2:$Q$66,2,0),0)</f>
        <v>TWO PACK IK PET 1.5LX2 - CRCG</v>
      </c>
      <c r="G1174" s="425">
        <f>216*2</f>
        <v>432</v>
      </c>
      <c r="H1174" s="3">
        <f>+IFERROR(VLOOKUP(E1174,BD!$L$2:$Q$66,6,0),0)</f>
        <v>198</v>
      </c>
      <c r="I1174" s="96">
        <f>IFERROR(G1174*VLOOKUP($E1174,BD!$L$2:$Q$66,5,0),0)</f>
        <v>73.440000000000012</v>
      </c>
      <c r="J1174" s="3">
        <f t="shared" si="75"/>
        <v>2021</v>
      </c>
    </row>
    <row r="1175" spans="1:10" s="9" customFormat="1" hidden="1" x14ac:dyDescent="0.25">
      <c r="A1175" s="447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7">
        <v>251633</v>
      </c>
      <c r="F1175" s="3" t="str">
        <f>IFERROR(VLOOKUP(E1175,BD!$L$2:$Q$66,2,0),0)</f>
        <v>SAN LUIS CON GAS PET 625MLX6</v>
      </c>
      <c r="G1175" s="425">
        <f>180*4</f>
        <v>720</v>
      </c>
      <c r="H1175" s="3">
        <f>+IFERROR(VLOOKUP(E1175,BD!$L$2:$Q$66,6,0),0)</f>
        <v>180</v>
      </c>
      <c r="I1175" s="96">
        <f>IFERROR(G1175*VLOOKUP($E1175,BD!$L$2:$Q$66,5,0),0)</f>
        <v>302.39999999999998</v>
      </c>
      <c r="J1175" s="3">
        <f t="shared" si="75"/>
        <v>2021</v>
      </c>
    </row>
    <row r="1176" spans="1:10" s="9" customFormat="1" hidden="1" x14ac:dyDescent="0.25">
      <c r="A1176" s="447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7">
        <v>252436</v>
      </c>
      <c r="F1176" s="3" t="str">
        <f>IFERROR(VLOOKUP(E1176,BD!$L$2:$Q$66,2,0),0)</f>
        <v>SAN LUIS SIN GAS PET 625MLX15 C/STICKER</v>
      </c>
      <c r="G1176" s="424">
        <f>90*21</f>
        <v>1890</v>
      </c>
      <c r="H1176" s="3">
        <f>+IFERROR(VLOOKUP(E1176,BD!$L$2:$Q$66,6,0),0)</f>
        <v>90</v>
      </c>
      <c r="I1176" s="96">
        <f>IFERROR(G1176*VLOOKUP($E1176,BD!$L$2:$Q$66,5,0),0)</f>
        <v>756</v>
      </c>
      <c r="J1176" s="3">
        <f t="shared" si="75"/>
        <v>2021</v>
      </c>
    </row>
    <row r="1177" spans="1:10" s="9" customFormat="1" hidden="1" x14ac:dyDescent="0.25">
      <c r="A1177" s="447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7">
        <v>256685</v>
      </c>
      <c r="F1177" s="3" t="str">
        <f>IFERROR(VLOOKUP(E1177,BD!$L$2:$Q$66,2,0),0)</f>
        <v>SL S/G TAPA PLANA 1LT</v>
      </c>
      <c r="G1177" s="424">
        <f>112*14</f>
        <v>1568</v>
      </c>
      <c r="H1177" s="3">
        <f>+IFERROR(VLOOKUP(E1177,BD!$L$2:$Q$66,6,0),0)</f>
        <v>112</v>
      </c>
      <c r="I1177" s="96">
        <f>IFERROR(G1177*VLOOKUP($E1177,BD!$L$2:$Q$66,5,0),0)</f>
        <v>627.20000000000005</v>
      </c>
      <c r="J1177" s="3">
        <f t="shared" si="75"/>
        <v>2021</v>
      </c>
    </row>
    <row r="1178" spans="1:10" s="9" customFormat="1" hidden="1" x14ac:dyDescent="0.25">
      <c r="A1178" s="447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7">
        <v>251429</v>
      </c>
      <c r="F1178" s="3" t="str">
        <f>IFERROR(VLOOKUP(E1178,BD!$L$2:$Q$66,2,0),0)</f>
        <v>SAN LUIS SIN GAS PET2500X6 STICKER</v>
      </c>
      <c r="G1178" s="424">
        <f>48*3</f>
        <v>144</v>
      </c>
      <c r="H1178" s="3">
        <f>+IFERROR(VLOOKUP(E1178,BD!$L$2:$Q$66,6,0),0)</f>
        <v>48</v>
      </c>
      <c r="I1178" s="96">
        <f>IFERROR(G1178*VLOOKUP($E1178,BD!$L$2:$Q$66,5,0),0)</f>
        <v>57.6</v>
      </c>
      <c r="J1178" s="3">
        <f t="shared" si="75"/>
        <v>2021</v>
      </c>
    </row>
    <row r="1179" spans="1:10" s="9" customFormat="1" hidden="1" x14ac:dyDescent="0.25">
      <c r="A1179" s="447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7">
        <v>751315</v>
      </c>
      <c r="F1179" s="3" t="str">
        <f>IFERROR(VLOOKUP(E1179,BD!$L$2:$Q$66,2,0),0)</f>
        <v>MONSTER ENERGY 473MLX4</v>
      </c>
      <c r="G1179" s="424">
        <f>420*3</f>
        <v>1260</v>
      </c>
      <c r="H1179" s="3">
        <f>+IFERROR(VLOOKUP(E1179,BD!$L$2:$Q$66,6,0),0)</f>
        <v>420</v>
      </c>
      <c r="I1179" s="96">
        <f>IFERROR(G1179*VLOOKUP($E1179,BD!$L$2:$Q$66,5,0),0)</f>
        <v>529.19999999999993</v>
      </c>
      <c r="J1179" s="3">
        <f t="shared" si="75"/>
        <v>2021</v>
      </c>
    </row>
    <row r="1180" spans="1:10" s="9" customFormat="1" hidden="1" x14ac:dyDescent="0.25">
      <c r="A1180" s="447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7">
        <v>751544</v>
      </c>
      <c r="F1180" s="3" t="str">
        <f>IFERROR(VLOOKUP(E1180,BD!$L$2:$Q$66,2,0),0)</f>
        <v>MONSTER ENERGY ZERO 473MLX4</v>
      </c>
      <c r="G1180" s="424">
        <f>420*6</f>
        <v>2520</v>
      </c>
      <c r="H1180" s="3">
        <f>+IFERROR(VLOOKUP(E1180,BD!$L$2:$Q$66,6,0),0)</f>
        <v>420</v>
      </c>
      <c r="I1180" s="96">
        <f>IFERROR(G1180*VLOOKUP($E1180,BD!$L$2:$Q$66,5,0),0)</f>
        <v>1058.3999999999999</v>
      </c>
      <c r="J1180" s="3">
        <f t="shared" si="75"/>
        <v>2021</v>
      </c>
    </row>
    <row r="1181" spans="1:10" s="9" customFormat="1" hidden="1" x14ac:dyDescent="0.25">
      <c r="A1181" s="447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7">
        <v>251406</v>
      </c>
      <c r="F1181" s="3" t="str">
        <f>IFERROR(VLOOKUP(E1181,BD!$L$2:$Q$66,2,0),0)</f>
        <v>COCA-COLA SIN AZUCAR PET 1.5LX2</v>
      </c>
      <c r="G1181" s="503">
        <v>1296</v>
      </c>
      <c r="H1181" s="3">
        <f>+IFERROR(VLOOKUP(E1181,BD!$L$2:$Q$66,6,0),0)</f>
        <v>198</v>
      </c>
      <c r="I1181" s="96">
        <f>IFERROR(G1181*VLOOKUP($E1181,BD!$L$2:$Q$66,5,0),0)</f>
        <v>220.32000000000002</v>
      </c>
      <c r="J1181" s="3">
        <f t="shared" si="75"/>
        <v>2021</v>
      </c>
    </row>
    <row r="1182" spans="1:10" s="9" customFormat="1" hidden="1" x14ac:dyDescent="0.25">
      <c r="A1182" s="447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7">
        <v>254853</v>
      </c>
      <c r="F1182" s="3" t="str">
        <f>IFERROR(VLOOKUP(E1182,BD!$L$2:$Q$66,2,0),0)</f>
        <v>INCA KOLA SIN AZUCAR PET 1.5LX2</v>
      </c>
      <c r="G1182" s="503">
        <v>648</v>
      </c>
      <c r="H1182" s="3">
        <f>+IFERROR(VLOOKUP(E1182,BD!$L$2:$Q$66,6,0),0)</f>
        <v>198</v>
      </c>
      <c r="I1182" s="96">
        <f>IFERROR(G1182*VLOOKUP($E1182,BD!$L$2:$Q$66,5,0),0)</f>
        <v>110.16000000000001</v>
      </c>
      <c r="J1182" s="3">
        <f t="shared" si="75"/>
        <v>2021</v>
      </c>
    </row>
    <row r="1183" spans="1:10" s="9" customFormat="1" hidden="1" x14ac:dyDescent="0.25">
      <c r="A1183" s="447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7">
        <v>256616</v>
      </c>
      <c r="F1183" s="3" t="str">
        <f>IFERROR(VLOOKUP(E1183,BD!$L$2:$Q$66,2,0),0)</f>
        <v>TWO PACK SCHWEPPES CITRUS PET 1.5LX2</v>
      </c>
      <c r="G1183" s="424">
        <v>198</v>
      </c>
      <c r="H1183" s="3">
        <f>+IFERROR(VLOOKUP(E1183,BD!$L$2:$Q$66,6,0),0)</f>
        <v>198</v>
      </c>
      <c r="I1183" s="96">
        <f>IFERROR(G1183*VLOOKUP($E1183,BD!$L$2:$Q$66,5,0),0)</f>
        <v>33.660000000000004</v>
      </c>
      <c r="J1183" s="3">
        <f t="shared" si="75"/>
        <v>2021</v>
      </c>
    </row>
    <row r="1184" spans="1:10" s="9" customFormat="1" hidden="1" x14ac:dyDescent="0.25">
      <c r="A1184" s="447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7">
        <v>256666</v>
      </c>
      <c r="F1184" s="3" t="str">
        <f>IFERROR(VLOOKUP(E1184,BD!$L$2:$Q$66,2,0),0)</f>
        <v>COCA-COLA PET 2.25LX2 RF</v>
      </c>
      <c r="G1184" s="424">
        <f>162*15</f>
        <v>2430</v>
      </c>
      <c r="H1184" s="3">
        <f>+IFERROR(VLOOKUP(E1184,BD!$L$2:$Q$66,6,0),0)</f>
        <v>162</v>
      </c>
      <c r="I1184" s="96">
        <f>IFERROR(G1184*VLOOKUP($E1184,BD!$L$2:$Q$66,5,0),0)</f>
        <v>413.1</v>
      </c>
      <c r="J1184" s="3">
        <f t="shared" si="75"/>
        <v>2021</v>
      </c>
    </row>
    <row r="1185" spans="1:10" s="9" customFormat="1" hidden="1" x14ac:dyDescent="0.25">
      <c r="A1185" s="447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7">
        <v>256488</v>
      </c>
      <c r="F1185" s="3" t="str">
        <f>IFERROR(VLOOKUP(E1185,BD!$L$2:$Q$66,2,0),0)</f>
        <v>INCA KOLA PET 3LX2 - RF</v>
      </c>
      <c r="G1185" s="425">
        <f>120*8</f>
        <v>960</v>
      </c>
      <c r="H1185" s="3">
        <f>+IFERROR(VLOOKUP(E1185,BD!$L$2:$Q$66,6,0),0)</f>
        <v>120</v>
      </c>
      <c r="I1185" s="96">
        <f>IFERROR(G1185*VLOOKUP($E1185,BD!$L$2:$Q$66,5,0),0)</f>
        <v>163.20000000000002</v>
      </c>
      <c r="J1185" s="3">
        <f t="shared" si="75"/>
        <v>2021</v>
      </c>
    </row>
    <row r="1186" spans="1:10" s="9" customFormat="1" hidden="1" x14ac:dyDescent="0.25">
      <c r="A1186" s="447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7">
        <v>256676</v>
      </c>
      <c r="F1186" s="3" t="str">
        <f>IFERROR(VLOOKUP(E1186,BD!$L$2:$Q$66,2,0),0)</f>
        <v>TWO PACK CC PFM 3LX2 - RFCC</v>
      </c>
      <c r="G1186" s="425">
        <f>216*4</f>
        <v>864</v>
      </c>
      <c r="H1186" s="3">
        <f>+IFERROR(VLOOKUP(E1186,BD!$L$2:$Q$66,6,0),0)</f>
        <v>120</v>
      </c>
      <c r="I1186" s="96">
        <f>IFERROR(G1186*VLOOKUP($E1186,BD!$L$2:$Q$66,5,0),0)</f>
        <v>146.88000000000002</v>
      </c>
      <c r="J1186" s="3">
        <f t="shared" si="75"/>
        <v>2021</v>
      </c>
    </row>
    <row r="1187" spans="1:10" s="9" customFormat="1" hidden="1" x14ac:dyDescent="0.25">
      <c r="A1187" s="447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7">
        <v>256674</v>
      </c>
      <c r="F1187" s="3" t="str">
        <f>IFERROR(VLOOKUP(E1187,BD!$L$2:$Q$66,2,0),0)</f>
        <v>COCA-COLA PET 1.5LX2 RF</v>
      </c>
      <c r="G1187" s="503">
        <v>864</v>
      </c>
      <c r="H1187" s="3">
        <f>+IFERROR(VLOOKUP(E1187,BD!$L$2:$Q$66,6,0),0)</f>
        <v>198</v>
      </c>
      <c r="I1187" s="96">
        <f>IFERROR(G1187*VLOOKUP($E1187,BD!$L$2:$Q$66,5,0),0)</f>
        <v>146.88000000000002</v>
      </c>
      <c r="J1187" s="3">
        <f t="shared" si="75"/>
        <v>2021</v>
      </c>
    </row>
    <row r="1188" spans="1:10" s="9" customFormat="1" hidden="1" x14ac:dyDescent="0.25">
      <c r="A1188" s="447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7">
        <v>256675</v>
      </c>
      <c r="F1188" s="3" t="str">
        <f>IFERROR(VLOOKUP(E1188,BD!$L$2:$Q$66,2,0),0)</f>
        <v>INCA KOLA PET 1.5LX2 RF</v>
      </c>
      <c r="G1188" s="503">
        <v>198</v>
      </c>
      <c r="H1188" s="3">
        <f>+IFERROR(VLOOKUP(E1188,BD!$L$2:$Q$66,6,0),0)</f>
        <v>198</v>
      </c>
      <c r="I1188" s="96">
        <f>IFERROR(G1188*VLOOKUP($E1188,BD!$L$2:$Q$66,5,0),0)</f>
        <v>33.660000000000004</v>
      </c>
      <c r="J1188" s="3">
        <f t="shared" si="75"/>
        <v>2021</v>
      </c>
    </row>
    <row r="1189" spans="1:10" s="9" customFormat="1" hidden="1" x14ac:dyDescent="0.25">
      <c r="A1189" s="447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7">
        <v>256652</v>
      </c>
      <c r="F1189" s="3" t="str">
        <f>IFERROR(VLOOKUP(E1189,BD!$L$2:$Q$66,2,0),0)</f>
        <v>TRIPACK FT NAR+FT KI+SP PET 3L</v>
      </c>
      <c r="G1189" s="424">
        <v>1440</v>
      </c>
      <c r="H1189" s="3">
        <f>+IFERROR(VLOOKUP(E1189,BD!$L$2:$Q$66,6,0),0)</f>
        <v>90</v>
      </c>
      <c r="I1189" s="96">
        <f>IFERROR(G1189*VLOOKUP($E1189,BD!$L$2:$Q$66,5,0),0)</f>
        <v>244.8</v>
      </c>
      <c r="J1189" s="3">
        <f t="shared" si="75"/>
        <v>2021</v>
      </c>
    </row>
    <row r="1190" spans="1:10" s="9" customFormat="1" hidden="1" x14ac:dyDescent="0.25">
      <c r="A1190" s="447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7">
        <v>256488</v>
      </c>
      <c r="F1190" s="3" t="str">
        <f>IFERROR(VLOOKUP(E1190,BD!$L$2:$Q$66,2,0),0)</f>
        <v>INCA KOLA PET 3LX2 - RF</v>
      </c>
      <c r="G1190" s="424">
        <f>120*5</f>
        <v>600</v>
      </c>
      <c r="H1190" s="3">
        <f>+IFERROR(VLOOKUP(E1190,BD!$L$2:$Q$66,6,0),0)</f>
        <v>120</v>
      </c>
      <c r="I1190" s="96">
        <f>IFERROR(G1190*VLOOKUP($E1190,BD!$L$2:$Q$66,5,0),0)</f>
        <v>102.00000000000001</v>
      </c>
      <c r="J1190" s="3">
        <f t="shared" si="75"/>
        <v>2021</v>
      </c>
    </row>
    <row r="1191" spans="1:10" s="9" customFormat="1" hidden="1" x14ac:dyDescent="0.25">
      <c r="A1191" s="447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7">
        <v>256677</v>
      </c>
      <c r="F1191" s="3" t="str">
        <f>IFERROR(VLOOKUP(E1191,BD!$L$2:$Q$66,2,0),0)</f>
        <v>TWO PACK CC + IK PFM 3LX2 - RFNN</v>
      </c>
      <c r="G1191" s="424">
        <f>120*10</f>
        <v>1200</v>
      </c>
      <c r="H1191" s="3">
        <f>+IFERROR(VLOOKUP(E1191,BD!$L$2:$Q$66,6,0),0)</f>
        <v>120</v>
      </c>
      <c r="I1191" s="96">
        <f>IFERROR(G1191*VLOOKUP($E1191,BD!$L$2:$Q$66,5,0),0)</f>
        <v>204.00000000000003</v>
      </c>
      <c r="J1191" s="3">
        <f t="shared" si="75"/>
        <v>2021</v>
      </c>
    </row>
    <row r="1192" spans="1:10" s="9" customFormat="1" hidden="1" x14ac:dyDescent="0.25">
      <c r="A1192" s="447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7">
        <v>252436</v>
      </c>
      <c r="F1192" s="3" t="str">
        <f>IFERROR(VLOOKUP(E1192,BD!$L$2:$Q$66,2,0),0)</f>
        <v>SAN LUIS SIN GAS PET 625MLX15 C/STICKER</v>
      </c>
      <c r="G1192" s="424">
        <f>90*3</f>
        <v>270</v>
      </c>
      <c r="H1192" s="3">
        <f>+IFERROR(VLOOKUP(E1192,BD!$L$2:$Q$66,6,0),0)</f>
        <v>90</v>
      </c>
      <c r="I1192" s="96">
        <f>IFERROR(G1192*VLOOKUP($E1192,BD!$L$2:$Q$66,5,0),0)</f>
        <v>108</v>
      </c>
      <c r="J1192" s="3">
        <f t="shared" si="75"/>
        <v>2021</v>
      </c>
    </row>
    <row r="1193" spans="1:10" s="9" customFormat="1" hidden="1" x14ac:dyDescent="0.25">
      <c r="A1193" s="447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7">
        <v>256666</v>
      </c>
      <c r="F1193" s="3" t="str">
        <f>IFERROR(VLOOKUP(E1193,BD!$L$2:$Q$66,2,0),0)</f>
        <v>COCA-COLA PET 2.25LX2 RF</v>
      </c>
      <c r="G1193" s="424">
        <f>162*4</f>
        <v>648</v>
      </c>
      <c r="H1193" s="3">
        <f>+IFERROR(VLOOKUP(E1193,BD!$L$2:$Q$66,6,0),0)</f>
        <v>162</v>
      </c>
      <c r="I1193" s="96">
        <f>IFERROR(G1193*VLOOKUP($E1193,BD!$L$2:$Q$66,5,0),0)</f>
        <v>110.16000000000001</v>
      </c>
      <c r="J1193" s="3">
        <f t="shared" si="75"/>
        <v>2021</v>
      </c>
    </row>
    <row r="1194" spans="1:10" s="9" customFormat="1" hidden="1" x14ac:dyDescent="0.25">
      <c r="A1194" s="447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7">
        <v>256679</v>
      </c>
      <c r="F1194" s="3" t="str">
        <f>IFERROR(VLOOKUP(E1194,BD!$L$2:$Q$66,2,0),0)</f>
        <v>TRIPACK CC+IK+IK PFM 3LX3 - RFNN</v>
      </c>
      <c r="G1194" s="424">
        <f>90*5</f>
        <v>450</v>
      </c>
      <c r="H1194" s="3">
        <f>+IFERROR(VLOOKUP(E1194,BD!$L$2:$Q$66,6,0),0)</f>
        <v>90</v>
      </c>
      <c r="I1194" s="96">
        <f>IFERROR(G1194*VLOOKUP($E1194,BD!$L$2:$Q$66,5,0),0)</f>
        <v>76.5</v>
      </c>
      <c r="J1194" s="3">
        <f t="shared" si="75"/>
        <v>2021</v>
      </c>
    </row>
    <row r="1195" spans="1:10" s="9" customFormat="1" hidden="1" x14ac:dyDescent="0.25">
      <c r="A1195" s="447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7">
        <v>256678</v>
      </c>
      <c r="F1195" s="3" t="str">
        <f>IFERROR(VLOOKUP(E1195,BD!$L$2:$Q$66,2,0),0)</f>
        <v>TRIPACK (CC+IK)PFM+FT PET 3LX3 - RFNN</v>
      </c>
      <c r="G1195" s="424">
        <f>90*2</f>
        <v>180</v>
      </c>
      <c r="H1195" s="3">
        <f>+IFERROR(VLOOKUP(E1195,BD!$L$2:$Q$66,6,0),0)</f>
        <v>90</v>
      </c>
      <c r="I1195" s="96">
        <f>IFERROR(G1195*VLOOKUP($E1195,BD!$L$2:$Q$66,5,0),0)</f>
        <v>30.6</v>
      </c>
      <c r="J1195" s="3">
        <f t="shared" si="75"/>
        <v>2021</v>
      </c>
    </row>
    <row r="1196" spans="1:10" s="9" customFormat="1" hidden="1" x14ac:dyDescent="0.25">
      <c r="A1196" s="447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7">
        <v>256680</v>
      </c>
      <c r="F1196" s="3" t="str">
        <f>IFERROR(VLOOKUP(E1196,BD!$L$2:$Q$66,2,0),0)</f>
        <v>TRIPACK CC+CC+IK PFM 3LX3 - RFNN</v>
      </c>
      <c r="G1196" s="425">
        <f>90*3</f>
        <v>270</v>
      </c>
      <c r="H1196" s="3">
        <f>+IFERROR(VLOOKUP(E1196,BD!$L$2:$Q$66,6,0),0)</f>
        <v>90</v>
      </c>
      <c r="I1196" s="96">
        <f>IFERROR(G1196*VLOOKUP($E1196,BD!$L$2:$Q$66,5,0),0)</f>
        <v>45.900000000000006</v>
      </c>
      <c r="J1196" s="3">
        <f t="shared" si="75"/>
        <v>2021</v>
      </c>
    </row>
    <row r="1197" spans="1:10" s="9" customFormat="1" hidden="1" x14ac:dyDescent="0.25">
      <c r="A1197" s="447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7">
        <v>256601</v>
      </c>
      <c r="F1197" s="3" t="str">
        <f>IFERROR(VLOOKUP(E1197,BD!$L$2:$Q$66,2,0),0)</f>
        <v>INCA KOLA PET 2.25LX2 RF</v>
      </c>
      <c r="G1197" s="424">
        <f>162*1</f>
        <v>162</v>
      </c>
      <c r="H1197" s="3">
        <f>+IFERROR(VLOOKUP(E1197,BD!$L$2:$Q$66,6,0),0)</f>
        <v>162</v>
      </c>
      <c r="I1197" s="96">
        <f>IFERROR(G1197*VLOOKUP($E1197,BD!$L$2:$Q$66,5,0),0)</f>
        <v>27.540000000000003</v>
      </c>
      <c r="J1197" s="3">
        <f t="shared" si="75"/>
        <v>2021</v>
      </c>
    </row>
    <row r="1198" spans="1:10" s="9" customFormat="1" hidden="1" x14ac:dyDescent="0.25">
      <c r="A1198" s="447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7">
        <v>256675</v>
      </c>
      <c r="F1198" s="3" t="str">
        <f>IFERROR(VLOOKUP(E1198,BD!$L$2:$Q$66,2,0),0)</f>
        <v>INCA KOLA PET 1.5LX2 RF</v>
      </c>
      <c r="G1198" s="503">
        <f>216*32</f>
        <v>6912</v>
      </c>
      <c r="H1198" s="3">
        <f>+IFERROR(VLOOKUP(E1198,BD!$L$2:$Q$66,6,0),0)</f>
        <v>198</v>
      </c>
      <c r="I1198" s="96">
        <f>IFERROR(G1198*VLOOKUP($E1198,BD!$L$2:$Q$66,5,0),0)</f>
        <v>1175.0400000000002</v>
      </c>
      <c r="J1198" s="3">
        <f t="shared" si="75"/>
        <v>2021</v>
      </c>
    </row>
    <row r="1199" spans="1:10" s="9" customFormat="1" hidden="1" x14ac:dyDescent="0.25">
      <c r="A1199" s="447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7">
        <v>251406</v>
      </c>
      <c r="F1199" s="3" t="str">
        <f>IFERROR(VLOOKUP(E1199,BD!$L$2:$Q$66,2,0),0)</f>
        <v>COCA-COLA SIN AZUCAR PET 1.5LX2</v>
      </c>
      <c r="G1199" s="503">
        <f>216*24</f>
        <v>5184</v>
      </c>
      <c r="H1199" s="3">
        <f>+IFERROR(VLOOKUP(E1199,BD!$L$2:$Q$66,6,0),0)</f>
        <v>198</v>
      </c>
      <c r="I1199" s="96">
        <f>IFERROR(G1199*VLOOKUP($E1199,BD!$L$2:$Q$66,5,0),0)</f>
        <v>881.28000000000009</v>
      </c>
      <c r="J1199" s="3">
        <f t="shared" si="75"/>
        <v>2021</v>
      </c>
    </row>
    <row r="1200" spans="1:10" s="9" customFormat="1" hidden="1" x14ac:dyDescent="0.25">
      <c r="A1200" s="447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7">
        <v>254853</v>
      </c>
      <c r="F1200" s="3" t="str">
        <f>IFERROR(VLOOKUP(E1200,BD!$L$2:$Q$66,2,0),0)</f>
        <v>INCA KOLA SIN AZUCAR PET 1.5LX2</v>
      </c>
      <c r="G1200" s="503">
        <f>216*13</f>
        <v>2808</v>
      </c>
      <c r="H1200" s="3">
        <f>+IFERROR(VLOOKUP(E1200,BD!$L$2:$Q$66,6,0),0)</f>
        <v>198</v>
      </c>
      <c r="I1200" s="96">
        <f>IFERROR(G1200*VLOOKUP($E1200,BD!$L$2:$Q$66,5,0),0)</f>
        <v>477.36</v>
      </c>
      <c r="J1200" s="3">
        <f t="shared" si="75"/>
        <v>2021</v>
      </c>
    </row>
    <row r="1201" spans="1:10" s="9" customFormat="1" hidden="1" x14ac:dyDescent="0.25">
      <c r="A1201" s="447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7">
        <v>256674</v>
      </c>
      <c r="F1201" s="3" t="str">
        <f>IFERROR(VLOOKUP(E1201,BD!$L$2:$Q$66,2,0),0)</f>
        <v>COCA-COLA PET 1.5LX2 RF</v>
      </c>
      <c r="G1201" s="503">
        <f>216*33</f>
        <v>7128</v>
      </c>
      <c r="H1201" s="3">
        <f>+IFERROR(VLOOKUP(E1201,BD!$L$2:$Q$66,6,0),0)</f>
        <v>198</v>
      </c>
      <c r="I1201" s="96">
        <f>IFERROR(G1201*VLOOKUP($E1201,BD!$L$2:$Q$66,5,0),0)</f>
        <v>1211.76</v>
      </c>
      <c r="J1201" s="3">
        <f t="shared" si="75"/>
        <v>2021</v>
      </c>
    </row>
    <row r="1202" spans="1:10" s="9" customFormat="1" hidden="1" x14ac:dyDescent="0.25">
      <c r="A1202" s="447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7">
        <v>751544</v>
      </c>
      <c r="F1202" s="3" t="str">
        <f>IFERROR(VLOOKUP(E1202,BD!$L$2:$Q$66,2,0),0)</f>
        <v>MONSTER ENERGY ZERO 473MLX4</v>
      </c>
      <c r="G1202" s="424">
        <f>420*5</f>
        <v>2100</v>
      </c>
      <c r="H1202" s="3">
        <f>+IFERROR(VLOOKUP(E1202,BD!$L$2:$Q$66,6,0),0)</f>
        <v>420</v>
      </c>
      <c r="I1202" s="96">
        <f>IFERROR(G1202*VLOOKUP($E1202,BD!$L$2:$Q$66,5,0),0)</f>
        <v>882</v>
      </c>
      <c r="J1202" s="3">
        <f t="shared" si="75"/>
        <v>2021</v>
      </c>
    </row>
    <row r="1203" spans="1:10" s="9" customFormat="1" hidden="1" x14ac:dyDescent="0.25">
      <c r="A1203" s="447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7">
        <v>751315</v>
      </c>
      <c r="F1203" s="3" t="str">
        <f>IFERROR(VLOOKUP(E1203,BD!$L$2:$Q$66,2,0),0)</f>
        <v>MONSTER ENERGY 473MLX4</v>
      </c>
      <c r="G1203" s="424">
        <f>420*5</f>
        <v>2100</v>
      </c>
      <c r="H1203" s="3">
        <f>+IFERROR(VLOOKUP(E1203,BD!$L$2:$Q$66,6,0),0)</f>
        <v>420</v>
      </c>
      <c r="I1203" s="96">
        <f>IFERROR(G1203*VLOOKUP($E1203,BD!$L$2:$Q$66,5,0),0)</f>
        <v>882</v>
      </c>
      <c r="J1203" s="3">
        <f t="shared" si="75"/>
        <v>2021</v>
      </c>
    </row>
    <row r="1204" spans="1:10" s="9" customFormat="1" hidden="1" x14ac:dyDescent="0.25">
      <c r="A1204" s="447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7">
        <v>256380</v>
      </c>
      <c r="F1204" s="3" t="str">
        <f>IFERROR(VLOOKUP(E1204,BD!$L$2:$Q$66,2,0),0)</f>
        <v>INCA KOLA VR 296MLX24 - STICKER</v>
      </c>
      <c r="G1204" s="425">
        <f>40*2</f>
        <v>80</v>
      </c>
      <c r="H1204" s="3">
        <f>+IFERROR(VLOOKUP(E1204,BD!$L$2:$Q$66,6,0),0)</f>
        <v>40</v>
      </c>
      <c r="I1204" s="96">
        <f>IFERROR(G1204*VLOOKUP($E1204,BD!$L$2:$Q$66,5,0),0)</f>
        <v>18.400000000000002</v>
      </c>
      <c r="J1204" s="3">
        <f t="shared" si="75"/>
        <v>2021</v>
      </c>
    </row>
    <row r="1205" spans="1:10" s="9" customFormat="1" hidden="1" x14ac:dyDescent="0.25">
      <c r="A1205" s="447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7">
        <v>256382</v>
      </c>
      <c r="F1205" s="3" t="str">
        <f>IFERROR(VLOOKUP(E1205,BD!$L$2:$Q$66,2,0),0)</f>
        <v>COCA COLA VR 296MLX24 - STICKER</v>
      </c>
      <c r="G1205" s="425">
        <f>40*3</f>
        <v>120</v>
      </c>
      <c r="H1205" s="3">
        <f>+IFERROR(VLOOKUP(E1205,BD!$L$2:$Q$66,6,0),0)</f>
        <v>40</v>
      </c>
      <c r="I1205" s="96">
        <f>IFERROR(G1205*VLOOKUP($E1205,BD!$L$2:$Q$66,5,0),0)</f>
        <v>27.6</v>
      </c>
      <c r="J1205" s="3">
        <f t="shared" si="75"/>
        <v>2021</v>
      </c>
    </row>
    <row r="1206" spans="1:10" s="9" customFormat="1" hidden="1" x14ac:dyDescent="0.25">
      <c r="A1206" s="447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7">
        <v>256379</v>
      </c>
      <c r="F1206" s="3" t="str">
        <f>IFERROR(VLOOKUP(E1206,BD!$L$2:$Q$66,2,0),0)</f>
        <v>INCA KOLA VR 625MLX12 - STICKER</v>
      </c>
      <c r="G1206" s="424">
        <f>50*15</f>
        <v>750</v>
      </c>
      <c r="H1206" s="3">
        <f>+IFERROR(VLOOKUP(E1206,BD!$L$2:$Q$66,6,0),0)</f>
        <v>50</v>
      </c>
      <c r="I1206" s="96">
        <f>IFERROR(G1206*VLOOKUP($E1206,BD!$L$2:$Q$66,5,0),0)</f>
        <v>300</v>
      </c>
      <c r="J1206" s="3">
        <f t="shared" si="75"/>
        <v>2021</v>
      </c>
    </row>
    <row r="1207" spans="1:10" s="9" customFormat="1" hidden="1" x14ac:dyDescent="0.25">
      <c r="A1207" s="447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7">
        <v>256383</v>
      </c>
      <c r="F1207" s="3" t="str">
        <f>IFERROR(VLOOKUP(E1207,BD!$L$2:$Q$66,2,0),0)</f>
        <v>COCA COLA VR 1.5LX8 - STICKER</v>
      </c>
      <c r="G1207" s="424">
        <f>30*5</f>
        <v>150</v>
      </c>
      <c r="H1207" s="3">
        <f>+IFERROR(VLOOKUP(E1207,BD!$L$2:$Q$66,6,0),0)</f>
        <v>30</v>
      </c>
      <c r="I1207" s="96">
        <f>IFERROR(G1207*VLOOKUP($E1207,BD!$L$2:$Q$66,5,0),0)</f>
        <v>34.5</v>
      </c>
      <c r="J1207" s="3">
        <f t="shared" si="75"/>
        <v>2021</v>
      </c>
    </row>
    <row r="1208" spans="1:10" s="9" customFormat="1" hidden="1" x14ac:dyDescent="0.25">
      <c r="A1208" s="447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7">
        <v>256616</v>
      </c>
      <c r="F1208" s="3" t="str">
        <f>IFERROR(VLOOKUP(E1208,BD!$L$2:$Q$66,2,0),0)</f>
        <v>TWO PACK SCHWEPPES CITRUS PET 1.5LX2</v>
      </c>
      <c r="G1208" s="424">
        <f>198*4</f>
        <v>792</v>
      </c>
      <c r="H1208" s="3">
        <f>+IFERROR(VLOOKUP(E1208,BD!$L$2:$Q$66,6,0),0)</f>
        <v>198</v>
      </c>
      <c r="I1208" s="96">
        <f>IFERROR(G1208*VLOOKUP($E1208,BD!$L$2:$Q$66,5,0),0)</f>
        <v>134.64000000000001</v>
      </c>
      <c r="J1208" s="3">
        <f t="shared" si="75"/>
        <v>2021</v>
      </c>
    </row>
    <row r="1209" spans="1:10" s="9" customFormat="1" hidden="1" x14ac:dyDescent="0.25">
      <c r="A1209" s="447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7">
        <v>256617</v>
      </c>
      <c r="F1209" s="3" t="str">
        <f>IFERROR(VLOOKUP(E1209,BD!$L$2:$Q$66,2,0),0)</f>
        <v>TWO PACK SCHWEPPES GINGER ALE PET 1.5LX2</v>
      </c>
      <c r="G1209" s="424">
        <f>198*2</f>
        <v>396</v>
      </c>
      <c r="H1209" s="3">
        <f>+IFERROR(VLOOKUP(E1209,BD!$L$2:$Q$66,6,0),0)</f>
        <v>198</v>
      </c>
      <c r="I1209" s="96">
        <f>IFERROR(G1209*VLOOKUP($E1209,BD!$L$2:$Q$66,5,0),0)</f>
        <v>67.320000000000007</v>
      </c>
      <c r="J1209" s="3">
        <f t="shared" si="75"/>
        <v>2021</v>
      </c>
    </row>
    <row r="1210" spans="1:10" s="9" customFormat="1" hidden="1" x14ac:dyDescent="0.25">
      <c r="A1210" s="447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7">
        <v>251429</v>
      </c>
      <c r="F1210" s="3" t="str">
        <f>IFERROR(VLOOKUP(E1210,BD!$L$2:$Q$66,2,0),0)</f>
        <v>SAN LUIS SIN GAS PET2500X6 STICKER</v>
      </c>
      <c r="G1210" s="424">
        <f>48*2</f>
        <v>96</v>
      </c>
      <c r="H1210" s="3">
        <f>+IFERROR(VLOOKUP(E1210,BD!$L$2:$Q$66,6,0),0)</f>
        <v>48</v>
      </c>
      <c r="I1210" s="96">
        <f>IFERROR(G1210*VLOOKUP($E1210,BD!$L$2:$Q$66,5,0),0)</f>
        <v>38.400000000000006</v>
      </c>
      <c r="J1210" s="3">
        <f t="shared" si="75"/>
        <v>2021</v>
      </c>
    </row>
    <row r="1211" spans="1:10" s="9" customFormat="1" hidden="1" x14ac:dyDescent="0.25">
      <c r="A1211" s="447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7">
        <v>256676</v>
      </c>
      <c r="F1211" s="3" t="str">
        <f>IFERROR(VLOOKUP(E1211,BD!$L$2:$Q$66,2,0),0)</f>
        <v>TWO PACK CC PFM 3LX2 - RFCC</v>
      </c>
      <c r="G1211" s="424">
        <f>120*5</f>
        <v>600</v>
      </c>
      <c r="H1211" s="3">
        <f>+IFERROR(VLOOKUP(E1211,BD!$L$2:$Q$66,6,0),0)</f>
        <v>120</v>
      </c>
      <c r="I1211" s="96">
        <f>IFERROR(G1211*VLOOKUP($E1211,BD!$L$2:$Q$66,5,0),0)</f>
        <v>102.00000000000001</v>
      </c>
      <c r="J1211" s="3">
        <f t="shared" si="75"/>
        <v>2021</v>
      </c>
    </row>
    <row r="1212" spans="1:10" s="9" customFormat="1" hidden="1" x14ac:dyDescent="0.25">
      <c r="A1212" s="447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7">
        <v>256381</v>
      </c>
      <c r="F1212" s="3" t="str">
        <f>IFERROR(VLOOKUP(E1212,BD!$L$2:$Q$66,2,0),0)</f>
        <v>INCA KOLA VR 1.5LX8 - STICKER</v>
      </c>
      <c r="G1212" s="424">
        <v>90</v>
      </c>
      <c r="H1212" s="3">
        <f>+IFERROR(VLOOKUP(E1212,BD!$L$2:$Q$66,6,0),0)</f>
        <v>30</v>
      </c>
      <c r="I1212" s="96">
        <f>IFERROR(G1212*VLOOKUP($E1212,BD!$L$2:$Q$66,5,0),0)</f>
        <v>36</v>
      </c>
      <c r="J1212" s="3">
        <f t="shared" si="75"/>
        <v>2021</v>
      </c>
    </row>
    <row r="1213" spans="1:10" s="9" customFormat="1" hidden="1" x14ac:dyDescent="0.25">
      <c r="A1213" s="447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7">
        <v>256601</v>
      </c>
      <c r="F1213" s="3" t="str">
        <f>IFERROR(VLOOKUP(E1213,BD!$L$2:$Q$66,2,0),0)</f>
        <v>INCA KOLA PET 2.25LX2 RF</v>
      </c>
      <c r="G1213" s="424">
        <f>162*2</f>
        <v>324</v>
      </c>
      <c r="H1213" s="3">
        <f>+IFERROR(VLOOKUP(E1213,BD!$L$2:$Q$66,6,0),0)</f>
        <v>162</v>
      </c>
      <c r="I1213" s="96">
        <f>IFERROR(G1213*VLOOKUP($E1213,BD!$L$2:$Q$66,5,0),0)</f>
        <v>55.080000000000005</v>
      </c>
      <c r="J1213" s="3">
        <f t="shared" si="75"/>
        <v>2021</v>
      </c>
    </row>
    <row r="1214" spans="1:10" s="9" customFormat="1" hidden="1" x14ac:dyDescent="0.25">
      <c r="A1214" s="447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7">
        <v>256617</v>
      </c>
      <c r="F1214" s="3" t="str">
        <f>IFERROR(VLOOKUP(E1214,BD!$L$2:$Q$66,2,0),0)</f>
        <v>TWO PACK SCHWEPPES GINGER ALE PET 1.5LX2</v>
      </c>
      <c r="G1214" s="424">
        <f>198*4</f>
        <v>792</v>
      </c>
      <c r="H1214" s="3">
        <f>+IFERROR(VLOOKUP(E1214,BD!$L$2:$Q$66,6,0),0)</f>
        <v>198</v>
      </c>
      <c r="I1214" s="96">
        <f>IFERROR(G1214*VLOOKUP($E1214,BD!$L$2:$Q$66,5,0),0)</f>
        <v>134.64000000000001</v>
      </c>
      <c r="J1214" s="3">
        <f t="shared" si="75"/>
        <v>2021</v>
      </c>
    </row>
    <row r="1215" spans="1:10" s="9" customFormat="1" hidden="1" x14ac:dyDescent="0.25">
      <c r="A1215" s="447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7">
        <v>256679</v>
      </c>
      <c r="F1215" s="3" t="str">
        <f>IFERROR(VLOOKUP(E1215,BD!$L$2:$Q$66,2,0),0)</f>
        <v>TRIPACK CC+IK+IK PFM 3LX3 - RFNN</v>
      </c>
      <c r="G1215" s="425">
        <f>90*8</f>
        <v>720</v>
      </c>
      <c r="H1215" s="3">
        <f>+IFERROR(VLOOKUP(E1215,BD!$L$2:$Q$66,6,0),0)</f>
        <v>90</v>
      </c>
      <c r="I1215" s="96">
        <f>IFERROR(G1215*VLOOKUP($E1215,BD!$L$2:$Q$66,5,0),0)</f>
        <v>122.4</v>
      </c>
      <c r="J1215" s="3">
        <f t="shared" si="75"/>
        <v>2021</v>
      </c>
    </row>
    <row r="1216" spans="1:10" s="9" customFormat="1" hidden="1" x14ac:dyDescent="0.25">
      <c r="A1216" s="447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7">
        <v>256695</v>
      </c>
      <c r="F1216" s="3" t="str">
        <f>IFERROR(VLOOKUP(E1216,BD!$L$2:$Q$66,2,0),0)</f>
        <v>POWERADE 3MORA+3FRUT PET 473MLX6</v>
      </c>
      <c r="G1216" s="425">
        <v>225</v>
      </c>
      <c r="H1216" s="3">
        <f>+IFERROR(VLOOKUP(E1216,BD!$L$2:$Q$66,6,0),0)</f>
        <v>225</v>
      </c>
      <c r="I1216" s="96">
        <f>IFERROR(G1216*VLOOKUP($E1216,BD!$L$2:$Q$66,5,0),0)</f>
        <v>94.5</v>
      </c>
      <c r="J1216" s="3">
        <f t="shared" si="75"/>
        <v>2021</v>
      </c>
    </row>
    <row r="1217" spans="1:10" s="9" customFormat="1" hidden="1" x14ac:dyDescent="0.25">
      <c r="A1217" s="447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7">
        <v>254762</v>
      </c>
      <c r="F1217" s="3" t="str">
        <f>IFERROR(VLOOKUP(E1217,BD!$L$2:$Q$66,2,0),0)</f>
        <v xml:space="preserve">SAN LUIS SPORT S/G 10 Lt x6 </v>
      </c>
      <c r="G1217" s="424">
        <f>112*4</f>
        <v>448</v>
      </c>
      <c r="H1217" s="3">
        <f>+IFERROR(VLOOKUP(E1217,BD!$L$2:$Q$66,6,0),0)</f>
        <v>240</v>
      </c>
      <c r="I1217" s="96">
        <f>IFERROR(G1217*VLOOKUP($E1217,BD!$L$2:$Q$66,5,0),0)</f>
        <v>179.20000000000002</v>
      </c>
      <c r="J1217" s="3">
        <f t="shared" si="75"/>
        <v>2021</v>
      </c>
    </row>
    <row r="1218" spans="1:10" s="9" customFormat="1" hidden="1" x14ac:dyDescent="0.25">
      <c r="A1218" s="447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7">
        <v>256678</v>
      </c>
      <c r="F1218" s="3" t="str">
        <f>IFERROR(VLOOKUP(E1218,BD!$L$2:$Q$66,2,0),0)</f>
        <v>TRIPACK (CC+IK)PFM+FT PET 3LX3 - RFNN</v>
      </c>
      <c r="G1218" s="424">
        <f>90*14</f>
        <v>1260</v>
      </c>
      <c r="H1218" s="3">
        <f>+IFERROR(VLOOKUP(E1218,BD!$L$2:$Q$66,6,0),0)</f>
        <v>90</v>
      </c>
      <c r="I1218" s="96">
        <f>IFERROR(G1218*VLOOKUP($E1218,BD!$L$2:$Q$66,5,0),0)</f>
        <v>214.20000000000002</v>
      </c>
      <c r="J1218" s="3">
        <f t="shared" si="75"/>
        <v>2021</v>
      </c>
    </row>
    <row r="1219" spans="1:10" s="9" customFormat="1" hidden="1" x14ac:dyDescent="0.25">
      <c r="A1219" s="447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7">
        <v>251406</v>
      </c>
      <c r="F1219" s="3" t="str">
        <f>IFERROR(VLOOKUP(E1219,BD!$L$2:$Q$66,2,0),0)</f>
        <v>COCA-COLA SIN AZUCAR PET 1.5LX2</v>
      </c>
      <c r="G1219" s="503">
        <f>216*8</f>
        <v>1728</v>
      </c>
      <c r="H1219" s="3">
        <f>+IFERROR(VLOOKUP(E1219,BD!$L$2:$Q$66,6,0),0)</f>
        <v>198</v>
      </c>
      <c r="I1219" s="96">
        <f>IFERROR(G1219*VLOOKUP($E1219,BD!$L$2:$Q$66,5,0),0)</f>
        <v>293.76000000000005</v>
      </c>
      <c r="J1219" s="3">
        <f t="shared" si="75"/>
        <v>2021</v>
      </c>
    </row>
    <row r="1220" spans="1:10" s="9" customFormat="1" hidden="1" x14ac:dyDescent="0.25">
      <c r="A1220" s="447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7">
        <v>256680</v>
      </c>
      <c r="F1220" s="3" t="str">
        <f>IFERROR(VLOOKUP(E1220,BD!$L$2:$Q$66,2,0),0)</f>
        <v>TRIPACK CC+CC+IK PFM 3LX3 - RFNN</v>
      </c>
      <c r="G1220" s="424">
        <f>90*2</f>
        <v>180</v>
      </c>
      <c r="H1220" s="3">
        <f>+IFERROR(VLOOKUP(E1220,BD!$L$2:$Q$66,6,0),0)</f>
        <v>90</v>
      </c>
      <c r="I1220" s="96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hidden="1" x14ac:dyDescent="0.25">
      <c r="A1221" s="447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7">
        <v>256652</v>
      </c>
      <c r="F1221" s="3" t="str">
        <f>IFERROR(VLOOKUP(E1221,BD!$L$2:$Q$66,2,0),0)</f>
        <v>TRIPACK FT NAR+FT KI+SP PET 3L</v>
      </c>
      <c r="G1221" s="424">
        <f>90*13</f>
        <v>1170</v>
      </c>
      <c r="H1221" s="3">
        <f>+IFERROR(VLOOKUP(E1221,BD!$L$2:$Q$66,6,0),0)</f>
        <v>90</v>
      </c>
      <c r="I1221" s="96">
        <f>IFERROR(G1221*VLOOKUP($E1221,BD!$L$2:$Q$66,5,0),0)</f>
        <v>198.9</v>
      </c>
      <c r="J1221" s="3">
        <f t="shared" si="79"/>
        <v>2021</v>
      </c>
    </row>
    <row r="1222" spans="1:10" s="9" customFormat="1" hidden="1" x14ac:dyDescent="0.25">
      <c r="A1222" s="447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7">
        <v>751315</v>
      </c>
      <c r="F1222" s="3" t="str">
        <f>IFERROR(VLOOKUP(E1222,BD!$L$2:$Q$66,2,0),0)</f>
        <v>MONSTER ENERGY 473MLX4</v>
      </c>
      <c r="G1222" s="424">
        <f>420*11</f>
        <v>4620</v>
      </c>
      <c r="H1222" s="3">
        <f>+IFERROR(VLOOKUP(E1222,BD!$L$2:$Q$66,6,0),0)</f>
        <v>420</v>
      </c>
      <c r="I1222" s="96">
        <f>IFERROR(G1222*VLOOKUP($E1222,BD!$L$2:$Q$66,5,0),0)</f>
        <v>1940.3999999999999</v>
      </c>
      <c r="J1222" s="3">
        <f t="shared" si="79"/>
        <v>2021</v>
      </c>
    </row>
    <row r="1223" spans="1:10" s="9" customFormat="1" hidden="1" x14ac:dyDescent="0.25">
      <c r="A1223" s="447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7">
        <v>256677</v>
      </c>
      <c r="F1223" s="3" t="str">
        <f>IFERROR(VLOOKUP(E1223,BD!$L$2:$Q$66,2,0),0)</f>
        <v>TWO PACK CC + IK PFM 3LX2 - RFNN</v>
      </c>
      <c r="G1223" s="425">
        <f>120*16</f>
        <v>1920</v>
      </c>
      <c r="H1223" s="3">
        <f>+IFERROR(VLOOKUP(E1223,BD!$L$2:$Q$66,6,0),0)</f>
        <v>120</v>
      </c>
      <c r="I1223" s="96">
        <f>IFERROR(G1223*VLOOKUP($E1223,BD!$L$2:$Q$66,5,0),0)</f>
        <v>326.40000000000003</v>
      </c>
      <c r="J1223" s="3">
        <f t="shared" si="79"/>
        <v>2021</v>
      </c>
    </row>
    <row r="1224" spans="1:10" s="9" customFormat="1" hidden="1" x14ac:dyDescent="0.25">
      <c r="A1224" s="447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7">
        <v>256381</v>
      </c>
      <c r="F1224" s="3" t="str">
        <f>IFERROR(VLOOKUP(E1224,BD!$L$2:$Q$66,2,0),0)</f>
        <v>INCA KOLA VR 1.5LX8 - STICKER</v>
      </c>
      <c r="G1224" s="425">
        <f>30*4</f>
        <v>120</v>
      </c>
      <c r="H1224" s="3">
        <f>+IFERROR(VLOOKUP(E1224,BD!$L$2:$Q$66,6,0),0)</f>
        <v>30</v>
      </c>
      <c r="I1224" s="96">
        <f>IFERROR(G1224*VLOOKUP($E1224,BD!$L$2:$Q$66,5,0),0)</f>
        <v>48</v>
      </c>
      <c r="J1224" s="3">
        <f t="shared" si="79"/>
        <v>2021</v>
      </c>
    </row>
    <row r="1225" spans="1:10" s="9" customFormat="1" hidden="1" x14ac:dyDescent="0.25">
      <c r="A1225" s="447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7">
        <v>256383</v>
      </c>
      <c r="F1225" s="3" t="str">
        <f>IFERROR(VLOOKUP(E1225,BD!$L$2:$Q$66,2,0),0)</f>
        <v>COCA COLA VR 1.5LX8 - STICKER</v>
      </c>
      <c r="G1225" s="424">
        <f>30*2</f>
        <v>60</v>
      </c>
      <c r="H1225" s="3">
        <f>+IFERROR(VLOOKUP(E1225,BD!$L$2:$Q$66,6,0),0)</f>
        <v>30</v>
      </c>
      <c r="I1225" s="96">
        <f>IFERROR(G1225*VLOOKUP($E1225,BD!$L$2:$Q$66,5,0),0)</f>
        <v>13.8</v>
      </c>
      <c r="J1225" s="3">
        <f t="shared" si="79"/>
        <v>2021</v>
      </c>
    </row>
    <row r="1226" spans="1:10" s="9" customFormat="1" hidden="1" x14ac:dyDescent="0.25">
      <c r="A1226" s="447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7">
        <v>251429</v>
      </c>
      <c r="F1226" s="3" t="str">
        <f>IFERROR(VLOOKUP(E1226,BD!$L$2:$Q$66,2,0),0)</f>
        <v>SAN LUIS SIN GAS PET2500X6 STICKER</v>
      </c>
      <c r="G1226" s="424">
        <f>48*5</f>
        <v>240</v>
      </c>
      <c r="H1226" s="3">
        <f>+IFERROR(VLOOKUP(E1226,BD!$L$2:$Q$66,6,0),0)</f>
        <v>48</v>
      </c>
      <c r="I1226" s="96">
        <f>IFERROR(G1226*VLOOKUP($E1226,BD!$L$2:$Q$66,5,0),0)</f>
        <v>96</v>
      </c>
      <c r="J1226" s="3">
        <f t="shared" si="79"/>
        <v>2021</v>
      </c>
    </row>
    <row r="1227" spans="1:10" s="9" customFormat="1" hidden="1" x14ac:dyDescent="0.25">
      <c r="A1227" s="447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7">
        <v>256380</v>
      </c>
      <c r="F1227" s="3" t="str">
        <f>IFERROR(VLOOKUP(E1227,BD!$L$2:$Q$66,2,0),0)</f>
        <v>INCA KOLA VR 296MLX24 - STICKER</v>
      </c>
      <c r="G1227" s="425">
        <v>40</v>
      </c>
      <c r="H1227" s="3">
        <f>+IFERROR(VLOOKUP(E1227,BD!$L$2:$Q$66,6,0),0)</f>
        <v>40</v>
      </c>
      <c r="I1227" s="96">
        <f>IFERROR(G1227*VLOOKUP($E1227,BD!$L$2:$Q$66,5,0),0)</f>
        <v>9.2000000000000011</v>
      </c>
      <c r="J1227" s="3">
        <f t="shared" si="79"/>
        <v>2021</v>
      </c>
    </row>
    <row r="1228" spans="1:10" s="9" customFormat="1" hidden="1" x14ac:dyDescent="0.25">
      <c r="A1228" s="447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7">
        <v>256488</v>
      </c>
      <c r="F1228" s="3" t="str">
        <f>IFERROR(VLOOKUP(E1228,BD!$L$2:$Q$66,2,0),0)</f>
        <v>INCA KOLA PET 3LX2 - RF</v>
      </c>
      <c r="G1228" s="424">
        <f>120*10</f>
        <v>1200</v>
      </c>
      <c r="H1228" s="3">
        <f>+IFERROR(VLOOKUP(E1228,BD!$L$2:$Q$66,6,0),0)</f>
        <v>120</v>
      </c>
      <c r="I1228" s="96">
        <f>IFERROR(G1228*VLOOKUP($E1228,BD!$L$2:$Q$66,5,0),0)</f>
        <v>204.00000000000003</v>
      </c>
      <c r="J1228" s="3">
        <f t="shared" si="79"/>
        <v>2021</v>
      </c>
    </row>
    <row r="1229" spans="1:10" s="9" customFormat="1" hidden="1" x14ac:dyDescent="0.25">
      <c r="A1229" s="447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7">
        <v>256679</v>
      </c>
      <c r="F1229" s="3" t="str">
        <f>IFERROR(VLOOKUP(E1229,BD!$L$2:$Q$66,2,0),0)</f>
        <v>TRIPACK CC+IK+IK PFM 3LX3 - RFNN</v>
      </c>
      <c r="G1229" s="424">
        <v>120</v>
      </c>
      <c r="H1229" s="3">
        <f>+IFERROR(VLOOKUP(E1229,BD!$L$2:$Q$66,6,0),0)</f>
        <v>90</v>
      </c>
      <c r="I1229" s="96">
        <f>IFERROR(G1229*VLOOKUP($E1229,BD!$L$2:$Q$66,5,0),0)</f>
        <v>20.400000000000002</v>
      </c>
      <c r="J1229" s="3">
        <f t="shared" si="79"/>
        <v>2021</v>
      </c>
    </row>
    <row r="1230" spans="1:10" s="9" customFormat="1" hidden="1" x14ac:dyDescent="0.25">
      <c r="A1230" s="447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7">
        <v>256666</v>
      </c>
      <c r="F1230" s="3" t="str">
        <f>IFERROR(VLOOKUP(E1230,BD!$L$2:$Q$66,2,0),0)</f>
        <v>COCA-COLA PET 2.25LX2 RF</v>
      </c>
      <c r="G1230" s="424">
        <f>162*1</f>
        <v>162</v>
      </c>
      <c r="H1230" s="3">
        <f>+IFERROR(VLOOKUP(E1230,BD!$L$2:$Q$66,6,0),0)</f>
        <v>162</v>
      </c>
      <c r="I1230" s="96">
        <f>IFERROR(G1230*VLOOKUP($E1230,BD!$L$2:$Q$66,5,0),0)</f>
        <v>27.540000000000003</v>
      </c>
      <c r="J1230" s="3">
        <f t="shared" si="79"/>
        <v>2021</v>
      </c>
    </row>
    <row r="1231" spans="1:10" s="9" customFormat="1" hidden="1" x14ac:dyDescent="0.25">
      <c r="A1231" s="447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7">
        <v>256616</v>
      </c>
      <c r="F1231" s="3" t="str">
        <f>IFERROR(VLOOKUP(E1231,BD!$L$2:$Q$66,2,0),0)</f>
        <v>TWO PACK SCHWEPPES CITRUS PET 1.5LX2</v>
      </c>
      <c r="G1231" s="424">
        <v>198</v>
      </c>
      <c r="H1231" s="3">
        <f>+IFERROR(VLOOKUP(E1231,BD!$L$2:$Q$66,6,0),0)</f>
        <v>198</v>
      </c>
      <c r="I1231" s="96">
        <f>IFERROR(G1231*VLOOKUP($E1231,BD!$L$2:$Q$66,5,0),0)</f>
        <v>33.660000000000004</v>
      </c>
      <c r="J1231" s="3">
        <f t="shared" si="79"/>
        <v>2021</v>
      </c>
    </row>
    <row r="1232" spans="1:10" s="9" customFormat="1" hidden="1" x14ac:dyDescent="0.25">
      <c r="A1232" s="447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7">
        <v>254853</v>
      </c>
      <c r="F1232" s="3" t="str">
        <f>IFERROR(VLOOKUP(E1232,BD!$L$2:$Q$66,2,0),0)</f>
        <v>INCA KOLA SIN AZUCAR PET 1.5LX2</v>
      </c>
      <c r="G1232" s="503">
        <v>216</v>
      </c>
      <c r="H1232" s="3">
        <f>+IFERROR(VLOOKUP(E1232,BD!$L$2:$Q$66,6,0),0)</f>
        <v>198</v>
      </c>
      <c r="I1232" s="96">
        <f>IFERROR(G1232*VLOOKUP($E1232,BD!$L$2:$Q$66,5,0),0)</f>
        <v>36.720000000000006</v>
      </c>
      <c r="J1232" s="3">
        <f t="shared" si="79"/>
        <v>2021</v>
      </c>
    </row>
    <row r="1233" spans="1:10" s="9" customFormat="1" hidden="1" x14ac:dyDescent="0.25">
      <c r="A1233" s="447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7">
        <v>751544</v>
      </c>
      <c r="F1233" s="3" t="str">
        <f>IFERROR(VLOOKUP(E1233,BD!$L$2:$Q$66,2,0),0)</f>
        <v>MONSTER ENERGY ZERO 473MLX4</v>
      </c>
      <c r="G1233" s="424">
        <f>420*5</f>
        <v>2100</v>
      </c>
      <c r="H1233" s="3">
        <f>+IFERROR(VLOOKUP(E1233,BD!$L$2:$Q$66,6,0),0)</f>
        <v>420</v>
      </c>
      <c r="I1233" s="96">
        <f>IFERROR(G1233*VLOOKUP($E1233,BD!$L$2:$Q$66,5,0),0)</f>
        <v>882</v>
      </c>
      <c r="J1233" s="3">
        <f t="shared" si="79"/>
        <v>2021</v>
      </c>
    </row>
    <row r="1234" spans="1:10" s="9" customFormat="1" hidden="1" x14ac:dyDescent="0.25">
      <c r="A1234" s="447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7">
        <v>256666</v>
      </c>
      <c r="F1234" s="3" t="str">
        <f>IFERROR(VLOOKUP(E1234,BD!$L$2:$Q$66,2,0),0)</f>
        <v>COCA-COLA PET 2.25LX2 RF</v>
      </c>
      <c r="G1234" s="424">
        <v>162</v>
      </c>
      <c r="H1234" s="3">
        <f>+IFERROR(VLOOKUP(E1234,BD!$L$2:$Q$66,6,0),0)</f>
        <v>162</v>
      </c>
      <c r="I1234" s="96">
        <f>IFERROR(G1234*VLOOKUP($E1234,BD!$L$2:$Q$66,5,0),0)</f>
        <v>27.540000000000003</v>
      </c>
      <c r="J1234" s="3">
        <f t="shared" si="79"/>
        <v>2021</v>
      </c>
    </row>
    <row r="1235" spans="1:10" s="9" customFormat="1" hidden="1" x14ac:dyDescent="0.25">
      <c r="A1235" s="447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7">
        <v>256617</v>
      </c>
      <c r="F1235" s="3" t="str">
        <f>IFERROR(VLOOKUP(E1235,BD!$L$2:$Q$66,2,0),0)</f>
        <v>TWO PACK SCHWEPPES GINGER ALE PET 1.5LX2</v>
      </c>
      <c r="G1235" s="424">
        <f>198*3</f>
        <v>594</v>
      </c>
      <c r="H1235" s="3">
        <f>+IFERROR(VLOOKUP(E1235,BD!$L$2:$Q$66,6,0),0)</f>
        <v>198</v>
      </c>
      <c r="I1235" s="96">
        <f>IFERROR(G1235*VLOOKUP($E1235,BD!$L$2:$Q$66,5,0),0)</f>
        <v>100.98</v>
      </c>
      <c r="J1235" s="3">
        <f t="shared" si="79"/>
        <v>2021</v>
      </c>
    </row>
    <row r="1236" spans="1:10" s="9" customFormat="1" hidden="1" x14ac:dyDescent="0.25">
      <c r="A1236" s="447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7">
        <v>256616</v>
      </c>
      <c r="F1236" s="3" t="str">
        <f>IFERROR(VLOOKUP(E1236,BD!$L$2:$Q$66,2,0),0)</f>
        <v>TWO PACK SCHWEPPES CITRUS PET 1.5LX2</v>
      </c>
      <c r="G1236" s="425">
        <f>198*3</f>
        <v>594</v>
      </c>
      <c r="H1236" s="3">
        <f>+IFERROR(VLOOKUP(E1236,BD!$L$2:$Q$66,6,0),0)</f>
        <v>198</v>
      </c>
      <c r="I1236" s="96">
        <f>IFERROR(G1236*VLOOKUP($E1236,BD!$L$2:$Q$66,5,0),0)</f>
        <v>100.98</v>
      </c>
      <c r="J1236" s="3">
        <f t="shared" si="79"/>
        <v>2021</v>
      </c>
    </row>
    <row r="1237" spans="1:10" s="9" customFormat="1" hidden="1" x14ac:dyDescent="0.25">
      <c r="A1237" s="447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7">
        <v>256601</v>
      </c>
      <c r="F1237" s="3" t="str">
        <f>IFERROR(VLOOKUP(E1237,BD!$L$2:$Q$66,2,0),0)</f>
        <v>INCA KOLA PET 2.25LX2 RF</v>
      </c>
      <c r="G1237" s="424">
        <f>162*3</f>
        <v>486</v>
      </c>
      <c r="H1237" s="3">
        <f>+IFERROR(VLOOKUP(E1237,BD!$L$2:$Q$66,6,0),0)</f>
        <v>162</v>
      </c>
      <c r="I1237" s="96">
        <f>IFERROR(G1237*VLOOKUP($E1237,BD!$L$2:$Q$66,5,0),0)</f>
        <v>82.62</v>
      </c>
      <c r="J1237" s="3">
        <f t="shared" si="79"/>
        <v>2021</v>
      </c>
    </row>
    <row r="1238" spans="1:10" s="9" customFormat="1" hidden="1" x14ac:dyDescent="0.25">
      <c r="A1238" s="447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7">
        <v>254762</v>
      </c>
      <c r="F1238" s="3" t="str">
        <f>IFERROR(VLOOKUP(E1238,BD!$L$2:$Q$66,2,0),0)</f>
        <v xml:space="preserve">SAN LUIS SPORT S/G 10 Lt x6 </v>
      </c>
      <c r="G1238" s="425">
        <v>112</v>
      </c>
      <c r="H1238" s="3">
        <f>+IFERROR(VLOOKUP(E1238,BD!$L$2:$Q$66,6,0),0)</f>
        <v>240</v>
      </c>
      <c r="I1238" s="96">
        <f>IFERROR(G1238*VLOOKUP($E1238,BD!$L$2:$Q$66,5,0),0)</f>
        <v>44.800000000000004</v>
      </c>
      <c r="J1238" s="3">
        <f t="shared" si="79"/>
        <v>2021</v>
      </c>
    </row>
    <row r="1239" spans="1:10" s="9" customFormat="1" hidden="1" x14ac:dyDescent="0.25">
      <c r="A1239" s="447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7">
        <v>256652</v>
      </c>
      <c r="F1239" s="3" t="str">
        <f>IFERROR(VLOOKUP(E1239,BD!$L$2:$Q$66,2,0),0)</f>
        <v>TRIPACK FT NAR+FT KI+SP PET 3L</v>
      </c>
      <c r="G1239" s="424">
        <f>90*2</f>
        <v>180</v>
      </c>
      <c r="H1239" s="3">
        <f>+IFERROR(VLOOKUP(E1239,BD!$L$2:$Q$66,6,0),0)</f>
        <v>90</v>
      </c>
      <c r="I1239" s="96">
        <f>IFERROR(G1239*VLOOKUP($E1239,BD!$L$2:$Q$66,5,0),0)</f>
        <v>30.6</v>
      </c>
      <c r="J1239" s="3">
        <f t="shared" si="79"/>
        <v>2021</v>
      </c>
    </row>
    <row r="1240" spans="1:10" s="9" customFormat="1" hidden="1" x14ac:dyDescent="0.25">
      <c r="A1240" s="447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7">
        <v>254853</v>
      </c>
      <c r="F1240" s="3" t="str">
        <f>IFERROR(VLOOKUP(E1240,BD!$L$2:$Q$66,2,0),0)</f>
        <v>INCA KOLA SIN AZUCAR PET 1.5LX2</v>
      </c>
      <c r="G1240" s="503">
        <f>216*8</f>
        <v>1728</v>
      </c>
      <c r="H1240" s="3">
        <f>+IFERROR(VLOOKUP(E1240,BD!$L$2:$Q$66,6,0),0)</f>
        <v>198</v>
      </c>
      <c r="I1240" s="96">
        <f>IFERROR(G1240*VLOOKUP($E1240,BD!$L$2:$Q$66,5,0),0)</f>
        <v>293.76000000000005</v>
      </c>
      <c r="J1240" s="3">
        <f t="shared" si="79"/>
        <v>2021</v>
      </c>
    </row>
    <row r="1241" spans="1:10" s="9" customFormat="1" hidden="1" x14ac:dyDescent="0.25">
      <c r="A1241" s="447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7">
        <v>256680</v>
      </c>
      <c r="F1241" s="3" t="str">
        <f>IFERROR(VLOOKUP(E1241,BD!$L$2:$Q$66,2,0),0)</f>
        <v>TRIPACK CC+CC+IK PFM 3LX3 - RFNN</v>
      </c>
      <c r="G1241" s="424">
        <f>90*8</f>
        <v>720</v>
      </c>
      <c r="H1241" s="3">
        <f>+IFERROR(VLOOKUP(E1241,BD!$L$2:$Q$66,6,0),0)</f>
        <v>90</v>
      </c>
      <c r="I1241" s="96">
        <f>IFERROR(G1241*VLOOKUP($E1241,BD!$L$2:$Q$66,5,0),0)</f>
        <v>122.4</v>
      </c>
      <c r="J1241" s="3">
        <f t="shared" si="79"/>
        <v>2021</v>
      </c>
    </row>
    <row r="1242" spans="1:10" s="9" customFormat="1" hidden="1" x14ac:dyDescent="0.25">
      <c r="A1242" s="447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7">
        <v>256679</v>
      </c>
      <c r="F1242" s="3" t="str">
        <f>IFERROR(VLOOKUP(E1242,BD!$L$2:$Q$66,2,0),0)</f>
        <v>TRIPACK CC+IK+IK PFM 3LX3 - RFNN</v>
      </c>
      <c r="G1242" s="425">
        <f>90*8</f>
        <v>720</v>
      </c>
      <c r="H1242" s="3">
        <f>+IFERROR(VLOOKUP(E1242,BD!$L$2:$Q$66,6,0),0)</f>
        <v>90</v>
      </c>
      <c r="I1242" s="96">
        <f>IFERROR(G1242*VLOOKUP($E1242,BD!$L$2:$Q$66,5,0),0)</f>
        <v>122.4</v>
      </c>
      <c r="J1242" s="3">
        <f t="shared" si="79"/>
        <v>2021</v>
      </c>
    </row>
    <row r="1243" spans="1:10" s="9" customFormat="1" hidden="1" x14ac:dyDescent="0.25">
      <c r="A1243" s="447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7">
        <v>256676</v>
      </c>
      <c r="F1243" s="3" t="str">
        <f>IFERROR(VLOOKUP(E1243,BD!$L$2:$Q$66,2,0),0)</f>
        <v>TWO PACK CC PFM 3LX2 - RFCC</v>
      </c>
      <c r="G1243" s="424">
        <f>120*15</f>
        <v>1800</v>
      </c>
      <c r="H1243" s="3">
        <f>+IFERROR(VLOOKUP(E1243,BD!$L$2:$Q$66,6,0),0)</f>
        <v>120</v>
      </c>
      <c r="I1243" s="96">
        <f>IFERROR(G1243*VLOOKUP($E1243,BD!$L$2:$Q$66,5,0),0)</f>
        <v>306</v>
      </c>
      <c r="J1243" s="3">
        <f t="shared" si="79"/>
        <v>2021</v>
      </c>
    </row>
    <row r="1244" spans="1:10" s="9" customFormat="1" hidden="1" x14ac:dyDescent="0.25">
      <c r="A1244" s="447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7">
        <v>256678</v>
      </c>
      <c r="F1244" s="3" t="str">
        <f>IFERROR(VLOOKUP(E1244,BD!$L$2:$Q$66,2,0),0)</f>
        <v>TRIPACK (CC+IK)PFM+FT PET 3LX3 - RFNN</v>
      </c>
      <c r="G1244" s="424">
        <f>90*20</f>
        <v>1800</v>
      </c>
      <c r="H1244" s="3">
        <f>+IFERROR(VLOOKUP(E1244,BD!$L$2:$Q$66,6,0),0)</f>
        <v>90</v>
      </c>
      <c r="I1244" s="96">
        <f>IFERROR(G1244*VLOOKUP($E1244,BD!$L$2:$Q$66,5,0),0)</f>
        <v>306</v>
      </c>
      <c r="J1244" s="3">
        <f t="shared" si="79"/>
        <v>2021</v>
      </c>
    </row>
    <row r="1245" spans="1:10" s="9" customFormat="1" hidden="1" x14ac:dyDescent="0.25">
      <c r="A1245" s="447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7">
        <v>256682</v>
      </c>
      <c r="F1245" s="3" t="str">
        <f>IFERROR(VLOOKUP(E1245,BD!$L$2:$Q$66,2,0),0)</f>
        <v>TRIPACK (FT NAR+SP)PET+IK RF PFM 3L</v>
      </c>
      <c r="G1245" s="507">
        <f>90*8</f>
        <v>720</v>
      </c>
      <c r="H1245" s="3">
        <f>+IFERROR(VLOOKUP(E1245,BD!$L$2:$Q$66,6,0),0)</f>
        <v>90</v>
      </c>
      <c r="I1245" s="96">
        <f>IFERROR(G1245*VLOOKUP($E1245,BD!$L$2:$Q$66,5,0),0)</f>
        <v>122.4</v>
      </c>
      <c r="J1245" s="3">
        <f t="shared" si="79"/>
        <v>2021</v>
      </c>
    </row>
    <row r="1246" spans="1:10" s="9" customFormat="1" hidden="1" x14ac:dyDescent="0.25">
      <c r="A1246" s="447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7">
        <v>251633</v>
      </c>
      <c r="F1246" s="3" t="str">
        <f>IFERROR(VLOOKUP(E1246,BD!$L$2:$Q$66,2,0),0)</f>
        <v>SAN LUIS CON GAS PET 625MLX6</v>
      </c>
      <c r="G1246" s="424">
        <f>180*3</f>
        <v>540</v>
      </c>
      <c r="H1246" s="3">
        <f>+IFERROR(VLOOKUP(E1246,BD!$L$2:$Q$66,6,0),0)</f>
        <v>180</v>
      </c>
      <c r="I1246" s="96">
        <f>IFERROR(G1246*VLOOKUP($E1246,BD!$L$2:$Q$66,5,0),0)</f>
        <v>226.79999999999998</v>
      </c>
      <c r="J1246" s="3">
        <f t="shared" si="79"/>
        <v>2021</v>
      </c>
    </row>
    <row r="1247" spans="1:10" s="9" customFormat="1" hidden="1" x14ac:dyDescent="0.25">
      <c r="A1247" s="447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7">
        <v>751315</v>
      </c>
      <c r="F1247" s="3" t="str">
        <f>IFERROR(VLOOKUP(E1247,BD!$L$2:$Q$66,2,0),0)</f>
        <v>MONSTER ENERGY 473MLX4</v>
      </c>
      <c r="G1247" s="424">
        <f>420*3</f>
        <v>1260</v>
      </c>
      <c r="H1247" s="3">
        <f>+IFERROR(VLOOKUP(E1247,BD!$L$2:$Q$66,6,0),0)</f>
        <v>420</v>
      </c>
      <c r="I1247" s="96">
        <f>IFERROR(G1247*VLOOKUP($E1247,BD!$L$2:$Q$66,5,0),0)</f>
        <v>529.19999999999993</v>
      </c>
      <c r="J1247" s="3">
        <f t="shared" si="79"/>
        <v>2021</v>
      </c>
    </row>
    <row r="1248" spans="1:10" s="9" customFormat="1" hidden="1" x14ac:dyDescent="0.25">
      <c r="A1248" s="447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7">
        <v>256383</v>
      </c>
      <c r="F1248" s="3" t="str">
        <f>IFERROR(VLOOKUP(E1248,BD!$L$2:$Q$66,2,0),0)</f>
        <v>COCA COLA VR 1.5LX8 - STICKER</v>
      </c>
      <c r="G1248" s="424">
        <f>30*3</f>
        <v>90</v>
      </c>
      <c r="H1248" s="3">
        <f>+IFERROR(VLOOKUP(E1248,BD!$L$2:$Q$66,6,0),0)</f>
        <v>30</v>
      </c>
      <c r="I1248" s="96">
        <f>IFERROR(G1248*VLOOKUP($E1248,BD!$L$2:$Q$66,5,0),0)</f>
        <v>20.7</v>
      </c>
      <c r="J1248" s="3">
        <f t="shared" si="79"/>
        <v>2021</v>
      </c>
    </row>
    <row r="1249" spans="1:10" s="9" customFormat="1" hidden="1" x14ac:dyDescent="0.25">
      <c r="A1249" s="447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7">
        <v>256381</v>
      </c>
      <c r="F1249" s="3" t="str">
        <f>IFERROR(VLOOKUP(E1249,BD!$L$2:$Q$66,2,0),0)</f>
        <v>INCA KOLA VR 1.5LX8 - STICKER</v>
      </c>
      <c r="G1249" s="424">
        <f>30*2</f>
        <v>60</v>
      </c>
      <c r="H1249" s="3">
        <f>+IFERROR(VLOOKUP(E1249,BD!$L$2:$Q$66,6,0),0)</f>
        <v>30</v>
      </c>
      <c r="I1249" s="96">
        <f>IFERROR(G1249*VLOOKUP($E1249,BD!$L$2:$Q$66,5,0),0)</f>
        <v>24</v>
      </c>
      <c r="J1249" s="3">
        <f t="shared" si="79"/>
        <v>2021</v>
      </c>
    </row>
    <row r="1250" spans="1:10" s="9" customFormat="1" hidden="1" x14ac:dyDescent="0.25">
      <c r="A1250" s="447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7">
        <v>256382</v>
      </c>
      <c r="F1250" s="3" t="str">
        <f>IFERROR(VLOOKUP(E1250,BD!$L$2:$Q$66,2,0),0)</f>
        <v>COCA COLA VR 296MLX24 - STICKER</v>
      </c>
      <c r="G1250" s="425">
        <v>40</v>
      </c>
      <c r="H1250" s="3">
        <f>+IFERROR(VLOOKUP(E1250,BD!$L$2:$Q$66,6,0),0)</f>
        <v>40</v>
      </c>
      <c r="I1250" s="96">
        <f>IFERROR(G1250*VLOOKUP($E1250,BD!$L$2:$Q$66,5,0),0)</f>
        <v>9.2000000000000011</v>
      </c>
      <c r="J1250" s="3">
        <f t="shared" si="79"/>
        <v>2021</v>
      </c>
    </row>
    <row r="1251" spans="1:10" s="9" customFormat="1" hidden="1" x14ac:dyDescent="0.25">
      <c r="A1251" s="447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7">
        <v>256709</v>
      </c>
      <c r="F1251" s="3" t="str">
        <f>IFERROR(VLOOKUP(E1251,BD!$L$2:$Q$66,2,0),0)</f>
        <v>POWERADE ION4 MORA AZ PET473X6 MOD(STCK)</v>
      </c>
      <c r="G1251" s="424">
        <v>225</v>
      </c>
      <c r="H1251" s="3">
        <f>+IFERROR(VLOOKUP(E1251,BD!$L$2:$Q$66,6,0),0)</f>
        <v>225</v>
      </c>
      <c r="I1251" s="96">
        <f>IFERROR(G1251*VLOOKUP($E1251,BD!$L$2:$Q$66,5,0),0)</f>
        <v>90</v>
      </c>
      <c r="J1251" s="3">
        <f t="shared" si="79"/>
        <v>2021</v>
      </c>
    </row>
    <row r="1252" spans="1:10" s="9" customFormat="1" hidden="1" x14ac:dyDescent="0.25">
      <c r="A1252" s="447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7">
        <v>251429</v>
      </c>
      <c r="F1252" s="3" t="str">
        <f>IFERROR(VLOOKUP(E1252,BD!$L$2:$Q$66,2,0),0)</f>
        <v>SAN LUIS SIN GAS PET2500X6 STICKER</v>
      </c>
      <c r="G1252" s="424">
        <f>48*14</f>
        <v>672</v>
      </c>
      <c r="H1252" s="3">
        <f>+IFERROR(VLOOKUP(E1252,BD!$L$2:$Q$66,6,0),0)</f>
        <v>48</v>
      </c>
      <c r="I1252" s="96">
        <f>IFERROR(G1252*VLOOKUP($E1252,BD!$L$2:$Q$66,5,0),0)</f>
        <v>268.8</v>
      </c>
      <c r="J1252" s="3">
        <f t="shared" si="79"/>
        <v>2021</v>
      </c>
    </row>
    <row r="1253" spans="1:10" s="9" customFormat="1" hidden="1" x14ac:dyDescent="0.25">
      <c r="A1253" s="447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7">
        <v>251406</v>
      </c>
      <c r="F1253" s="3" t="str">
        <f>IFERROR(VLOOKUP(E1253,BD!$L$2:$Q$66,2,0),0)</f>
        <v>COCA-COLA SIN AZUCAR PET 1.5LX2</v>
      </c>
      <c r="G1253" s="503">
        <f>216*8</f>
        <v>1728</v>
      </c>
      <c r="H1253" s="3">
        <f>+IFERROR(VLOOKUP(E1253,BD!$L$2:$Q$66,6,0),0)</f>
        <v>198</v>
      </c>
      <c r="I1253" s="96">
        <f>IFERROR(G1253*VLOOKUP($E1253,BD!$L$2:$Q$66,5,0),0)</f>
        <v>293.76000000000005</v>
      </c>
      <c r="J1253" s="3">
        <f t="shared" si="79"/>
        <v>2021</v>
      </c>
    </row>
    <row r="1254" spans="1:10" s="9" customFormat="1" hidden="1" x14ac:dyDescent="0.25">
      <c r="A1254" s="447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7">
        <v>256488</v>
      </c>
      <c r="F1254" s="3" t="str">
        <f>IFERROR(VLOOKUP(E1254,BD!$L$2:$Q$66,2,0),0)</f>
        <v>INCA KOLA PET 3LX2 - RF</v>
      </c>
      <c r="G1254" s="424">
        <v>1080</v>
      </c>
      <c r="H1254" s="3">
        <f>+IFERROR(VLOOKUP(E1254,BD!$L$2:$Q$66,6,0),0)</f>
        <v>120</v>
      </c>
      <c r="I1254" s="96">
        <f>IFERROR(G1254*VLOOKUP($E1254,BD!$L$2:$Q$66,5,0),0)</f>
        <v>183.60000000000002</v>
      </c>
      <c r="J1254" s="3">
        <f t="shared" si="79"/>
        <v>2021</v>
      </c>
    </row>
    <row r="1255" spans="1:10" s="9" customFormat="1" hidden="1" x14ac:dyDescent="0.25">
      <c r="A1255" s="447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7">
        <v>256677</v>
      </c>
      <c r="F1255" s="3" t="str">
        <f>IFERROR(VLOOKUP(E1255,BD!$L$2:$Q$66,2,0),0)</f>
        <v>TWO PACK CC + IK PFM 3LX2 - RFNN</v>
      </c>
      <c r="G1255" s="424">
        <v>1440</v>
      </c>
      <c r="H1255" s="3">
        <f>+IFERROR(VLOOKUP(E1255,BD!$L$2:$Q$66,6,0),0)</f>
        <v>120</v>
      </c>
      <c r="I1255" s="96">
        <f>IFERROR(G1255*VLOOKUP($E1255,BD!$L$2:$Q$66,5,0),0)</f>
        <v>244.8</v>
      </c>
      <c r="J1255" s="3">
        <f t="shared" si="79"/>
        <v>2021</v>
      </c>
    </row>
    <row r="1256" spans="1:10" s="9" customFormat="1" hidden="1" x14ac:dyDescent="0.25">
      <c r="A1256" s="447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7">
        <v>256674</v>
      </c>
      <c r="F1256" s="3" t="str">
        <f>IFERROR(VLOOKUP(E1256,BD!$L$2:$Q$66,2,0),0)</f>
        <v>COCA-COLA PET 1.5LX2 RF</v>
      </c>
      <c r="G1256" s="504">
        <f>216*7</f>
        <v>1512</v>
      </c>
      <c r="H1256" s="3">
        <f>+IFERROR(VLOOKUP(E1256,BD!$L$2:$Q$66,6,0),0)</f>
        <v>198</v>
      </c>
      <c r="I1256" s="96">
        <f>IFERROR(G1256*VLOOKUP($E1256,BD!$L$2:$Q$66,5,0),0)</f>
        <v>257.04000000000002</v>
      </c>
      <c r="J1256" s="3">
        <f t="shared" si="79"/>
        <v>2021</v>
      </c>
    </row>
    <row r="1257" spans="1:10" s="9" customFormat="1" hidden="1" x14ac:dyDescent="0.25">
      <c r="A1257" s="447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7">
        <v>256675</v>
      </c>
      <c r="F1257" s="3" t="str">
        <f>IFERROR(VLOOKUP(E1257,BD!$L$2:$Q$66,2,0),0)</f>
        <v>INCA KOLA PET 1.5LX2 RF</v>
      </c>
      <c r="G1257" s="504">
        <f>216*5</f>
        <v>1080</v>
      </c>
      <c r="H1257" s="3">
        <f>+IFERROR(VLOOKUP(E1257,BD!$L$2:$Q$66,6,0),0)</f>
        <v>198</v>
      </c>
      <c r="I1257" s="96">
        <f>IFERROR(G1257*VLOOKUP($E1257,BD!$L$2:$Q$66,5,0),0)</f>
        <v>183.60000000000002</v>
      </c>
      <c r="J1257" s="3">
        <f t="shared" si="79"/>
        <v>2021</v>
      </c>
    </row>
    <row r="1258" spans="1:10" s="9" customFormat="1" hidden="1" x14ac:dyDescent="0.25">
      <c r="A1258" s="447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7">
        <v>256652</v>
      </c>
      <c r="F1258" s="3" t="str">
        <f>IFERROR(VLOOKUP(E1258,BD!$L$2:$Q$66,2,0),0)</f>
        <v>TRIPACK FT NAR+FT KI+SP PET 3L</v>
      </c>
      <c r="G1258" s="425">
        <f>90*9</f>
        <v>810</v>
      </c>
      <c r="H1258" s="3">
        <f>+IFERROR(VLOOKUP(E1258,BD!$L$2:$Q$66,6,0),0)</f>
        <v>90</v>
      </c>
      <c r="I1258" s="96">
        <f>IFERROR(G1258*VLOOKUP($E1258,BD!$L$2:$Q$66,5,0),0)</f>
        <v>137.70000000000002</v>
      </c>
      <c r="J1258" s="3">
        <f t="shared" si="79"/>
        <v>2021</v>
      </c>
    </row>
    <row r="1259" spans="1:10" s="9" customFormat="1" hidden="1" x14ac:dyDescent="0.25">
      <c r="A1259" s="447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7">
        <v>256677</v>
      </c>
      <c r="F1259" s="3" t="str">
        <f>IFERROR(VLOOKUP(E1259,BD!$L$2:$Q$66,2,0),0)</f>
        <v>TWO PACK CC + IK PFM 3LX2 - RFNN</v>
      </c>
      <c r="G1259" s="424">
        <f>120*10</f>
        <v>1200</v>
      </c>
      <c r="H1259" s="3">
        <f>+IFERROR(VLOOKUP(E1259,BD!$L$2:$Q$66,6,0),0)</f>
        <v>120</v>
      </c>
      <c r="I1259" s="96">
        <f>IFERROR(G1259*VLOOKUP($E1259,BD!$L$2:$Q$66,5,0),0)</f>
        <v>204.00000000000003</v>
      </c>
      <c r="J1259" s="3">
        <f t="shared" si="79"/>
        <v>2021</v>
      </c>
    </row>
    <row r="1260" spans="1:10" s="9" customFormat="1" hidden="1" x14ac:dyDescent="0.25">
      <c r="A1260" s="447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7">
        <v>256678</v>
      </c>
      <c r="F1260" s="3" t="str">
        <f>IFERROR(VLOOKUP(E1260,BD!$L$2:$Q$66,2,0),0)</f>
        <v>TRIPACK (CC+IK)PFM+FT PET 3LX3 - RFNN</v>
      </c>
      <c r="G1260" s="425">
        <f>90*29</f>
        <v>2610</v>
      </c>
      <c r="H1260" s="3">
        <f>+IFERROR(VLOOKUP(E1260,BD!$L$2:$Q$66,6,0),0)</f>
        <v>90</v>
      </c>
      <c r="I1260" s="96">
        <f>IFERROR(G1260*VLOOKUP($E1260,BD!$L$2:$Q$66,5,0),0)</f>
        <v>443.70000000000005</v>
      </c>
      <c r="J1260" s="3">
        <f t="shared" si="79"/>
        <v>2021</v>
      </c>
    </row>
    <row r="1261" spans="1:10" s="9" customFormat="1" hidden="1" x14ac:dyDescent="0.25">
      <c r="A1261" s="447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7">
        <v>256381</v>
      </c>
      <c r="F1261" s="3" t="str">
        <f>IFERROR(VLOOKUP(E1261,BD!$L$2:$Q$66,2,0),0)</f>
        <v>INCA KOLA VR 1.5LX8 - STICKER</v>
      </c>
      <c r="G1261" s="424">
        <f>30*2</f>
        <v>60</v>
      </c>
      <c r="H1261" s="3">
        <f>+IFERROR(VLOOKUP(E1261,BD!$L$2:$Q$66,6,0),0)</f>
        <v>30</v>
      </c>
      <c r="I1261" s="96">
        <f>IFERROR(G1261*VLOOKUP($E1261,BD!$L$2:$Q$66,5,0),0)</f>
        <v>24</v>
      </c>
      <c r="J1261" s="3">
        <f t="shared" si="79"/>
        <v>2021</v>
      </c>
    </row>
    <row r="1262" spans="1:10" s="9" customFormat="1" hidden="1" x14ac:dyDescent="0.25">
      <c r="A1262" s="447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7">
        <v>256380</v>
      </c>
      <c r="F1262" s="3" t="str">
        <f>IFERROR(VLOOKUP(E1262,BD!$L$2:$Q$66,2,0),0)</f>
        <v>INCA KOLA VR 296MLX24 - STICKER</v>
      </c>
      <c r="G1262" s="424">
        <f>40*2</f>
        <v>80</v>
      </c>
      <c r="H1262" s="3">
        <f>+IFERROR(VLOOKUP(E1262,BD!$L$2:$Q$66,6,0),0)</f>
        <v>40</v>
      </c>
      <c r="I1262" s="96">
        <f>IFERROR(G1262*VLOOKUP($E1262,BD!$L$2:$Q$66,5,0),0)</f>
        <v>18.400000000000002</v>
      </c>
      <c r="J1262" s="3">
        <f t="shared" si="79"/>
        <v>2021</v>
      </c>
    </row>
    <row r="1263" spans="1:10" s="9" customFormat="1" hidden="1" x14ac:dyDescent="0.25">
      <c r="A1263" s="447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7">
        <v>254762</v>
      </c>
      <c r="F1263" s="3" t="str">
        <f>IFERROR(VLOOKUP(E1263,BD!$L$2:$Q$66,2,0),0)</f>
        <v xml:space="preserve">SAN LUIS SPORT S/G 10 Lt x6 </v>
      </c>
      <c r="G1263" s="424">
        <f>112*2</f>
        <v>224</v>
      </c>
      <c r="H1263" s="3">
        <f>+IFERROR(VLOOKUP(E1263,BD!$L$2:$Q$66,6,0),0)</f>
        <v>240</v>
      </c>
      <c r="I1263" s="96">
        <f>IFERROR(G1263*VLOOKUP($E1263,BD!$L$2:$Q$66,5,0),0)</f>
        <v>89.600000000000009</v>
      </c>
      <c r="J1263" s="3">
        <f t="shared" si="79"/>
        <v>2021</v>
      </c>
    </row>
    <row r="1264" spans="1:10" s="9" customFormat="1" hidden="1" x14ac:dyDescent="0.25">
      <c r="A1264" s="447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7">
        <v>256685</v>
      </c>
      <c r="F1264" s="3" t="str">
        <f>IFERROR(VLOOKUP(E1264,BD!$L$2:$Q$66,2,0),0)</f>
        <v>SL S/G TAPA PLANA 1LT</v>
      </c>
      <c r="G1264" s="424">
        <f>112*2</f>
        <v>224</v>
      </c>
      <c r="H1264" s="3">
        <f>+IFERROR(VLOOKUP(E1264,BD!$L$2:$Q$66,6,0),0)</f>
        <v>112</v>
      </c>
      <c r="I1264" s="96">
        <f>IFERROR(G1264*VLOOKUP($E1264,BD!$L$2:$Q$66,5,0),0)</f>
        <v>89.600000000000009</v>
      </c>
      <c r="J1264" s="3">
        <f t="shared" si="79"/>
        <v>2021</v>
      </c>
    </row>
    <row r="1265" spans="1:10" s="9" customFormat="1" hidden="1" x14ac:dyDescent="0.25">
      <c r="A1265" s="447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7">
        <v>251429</v>
      </c>
      <c r="F1265" s="3" t="str">
        <f>IFERROR(VLOOKUP(E1265,BD!$L$2:$Q$66,2,0),0)</f>
        <v>SAN LUIS SIN GAS PET2500X6 STICKER</v>
      </c>
      <c r="G1265" s="424">
        <f>48*10</f>
        <v>480</v>
      </c>
      <c r="H1265" s="3">
        <f>+IFERROR(VLOOKUP(E1265,BD!$L$2:$Q$66,6,0),0)</f>
        <v>48</v>
      </c>
      <c r="I1265" s="96">
        <f>IFERROR(G1265*VLOOKUP($E1265,BD!$L$2:$Q$66,5,0),0)</f>
        <v>192</v>
      </c>
      <c r="J1265" s="3">
        <f t="shared" si="79"/>
        <v>2021</v>
      </c>
    </row>
    <row r="1266" spans="1:10" s="9" customFormat="1" hidden="1" x14ac:dyDescent="0.25">
      <c r="A1266" s="447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7">
        <v>751315</v>
      </c>
      <c r="F1266" s="3" t="str">
        <f>IFERROR(VLOOKUP(E1266,BD!$L$2:$Q$66,2,0),0)</f>
        <v>MONSTER ENERGY 473MLX4</v>
      </c>
      <c r="G1266" s="424">
        <f>420*8</f>
        <v>3360</v>
      </c>
      <c r="H1266" s="3">
        <f>+IFERROR(VLOOKUP(E1266,BD!$L$2:$Q$66,6,0),0)</f>
        <v>420</v>
      </c>
      <c r="I1266" s="96">
        <f>IFERROR(G1266*VLOOKUP($E1266,BD!$L$2:$Q$66,5,0),0)</f>
        <v>1411.2</v>
      </c>
      <c r="J1266" s="3">
        <f t="shared" si="79"/>
        <v>2021</v>
      </c>
    </row>
    <row r="1267" spans="1:10" s="9" customFormat="1" hidden="1" x14ac:dyDescent="0.25">
      <c r="A1267" s="447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7">
        <v>751544</v>
      </c>
      <c r="F1267" s="3" t="str">
        <f>IFERROR(VLOOKUP(E1267,BD!$L$2:$Q$66,2,0),0)</f>
        <v>MONSTER ENERGY ZERO 473MLX4</v>
      </c>
      <c r="G1267" s="424">
        <f>420*3</f>
        <v>1260</v>
      </c>
      <c r="H1267" s="3">
        <f>+IFERROR(VLOOKUP(E1267,BD!$L$2:$Q$66,6,0),0)</f>
        <v>420</v>
      </c>
      <c r="I1267" s="96">
        <f>IFERROR(G1267*VLOOKUP($E1267,BD!$L$2:$Q$66,5,0),0)</f>
        <v>529.19999999999993</v>
      </c>
      <c r="J1267" s="3">
        <f t="shared" si="79"/>
        <v>2021</v>
      </c>
    </row>
    <row r="1268" spans="1:10" s="9" customFormat="1" hidden="1" x14ac:dyDescent="0.25">
      <c r="A1268" s="447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7">
        <v>251633</v>
      </c>
      <c r="F1268" s="3" t="str">
        <f>IFERROR(VLOOKUP(E1268,BD!$L$2:$Q$66,2,0),0)</f>
        <v>SAN LUIS CON GAS PET 625MLX6</v>
      </c>
      <c r="G1268" s="425">
        <f>180*3</f>
        <v>540</v>
      </c>
      <c r="H1268" s="3">
        <f>+IFERROR(VLOOKUP(E1268,BD!$L$2:$Q$66,6,0),0)</f>
        <v>180</v>
      </c>
      <c r="I1268" s="96">
        <f>IFERROR(G1268*VLOOKUP($E1268,BD!$L$2:$Q$66,5,0),0)</f>
        <v>226.79999999999998</v>
      </c>
      <c r="J1268" s="3">
        <f t="shared" si="79"/>
        <v>2021</v>
      </c>
    </row>
    <row r="1269" spans="1:10" s="9" customFormat="1" hidden="1" x14ac:dyDescent="0.25">
      <c r="A1269" s="447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7">
        <v>251406</v>
      </c>
      <c r="F1269" s="3" t="str">
        <f>IFERROR(VLOOKUP(E1269,BD!$L$2:$Q$66,2,0),0)</f>
        <v>COCA-COLA SIN AZUCAR PET 1.5LX2</v>
      </c>
      <c r="G1269" s="503">
        <f>216*16</f>
        <v>3456</v>
      </c>
      <c r="H1269" s="3">
        <f>+IFERROR(VLOOKUP(E1269,BD!$L$2:$Q$66,6,0),0)</f>
        <v>198</v>
      </c>
      <c r="I1269" s="96">
        <f>IFERROR(G1269*VLOOKUP($E1269,BD!$L$2:$Q$66,5,0),0)</f>
        <v>587.5200000000001</v>
      </c>
      <c r="J1269" s="3">
        <f t="shared" si="79"/>
        <v>2021</v>
      </c>
    </row>
    <row r="1270" spans="1:10" s="9" customFormat="1" hidden="1" x14ac:dyDescent="0.25">
      <c r="A1270" s="447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7">
        <v>254853</v>
      </c>
      <c r="F1270" s="3" t="str">
        <f>IFERROR(VLOOKUP(E1270,BD!$L$2:$Q$66,2,0),0)</f>
        <v>INCA KOLA SIN AZUCAR PET 1.5LX2</v>
      </c>
      <c r="G1270" s="503">
        <f>216*9</f>
        <v>1944</v>
      </c>
      <c r="H1270" s="3">
        <f>+IFERROR(VLOOKUP(E1270,BD!$L$2:$Q$66,6,0),0)</f>
        <v>198</v>
      </c>
      <c r="I1270" s="96">
        <f>IFERROR(G1270*VLOOKUP($E1270,BD!$L$2:$Q$66,5,0),0)</f>
        <v>330.48</v>
      </c>
      <c r="J1270" s="3">
        <f t="shared" si="79"/>
        <v>2021</v>
      </c>
    </row>
    <row r="1271" spans="1:10" s="9" customFormat="1" hidden="1" x14ac:dyDescent="0.25">
      <c r="A1271" s="447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7">
        <v>256616</v>
      </c>
      <c r="F1271" s="3" t="str">
        <f>IFERROR(VLOOKUP(E1271,BD!$L$2:$Q$66,2,0),0)</f>
        <v>TWO PACK SCHWEPPES CITRUS PET 1.5LX2</v>
      </c>
      <c r="G1271" s="424">
        <f>198*4</f>
        <v>792</v>
      </c>
      <c r="H1271" s="3">
        <f>+IFERROR(VLOOKUP(E1271,BD!$L$2:$Q$66,6,0),0)</f>
        <v>198</v>
      </c>
      <c r="I1271" s="96">
        <f>IFERROR(G1271*VLOOKUP($E1271,BD!$L$2:$Q$66,5,0),0)</f>
        <v>134.64000000000001</v>
      </c>
      <c r="J1271" s="3">
        <f t="shared" si="79"/>
        <v>2021</v>
      </c>
    </row>
    <row r="1272" spans="1:10" s="9" customFormat="1" hidden="1" x14ac:dyDescent="0.25">
      <c r="A1272" s="447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7">
        <v>256617</v>
      </c>
      <c r="F1272" s="3" t="str">
        <f>IFERROR(VLOOKUP(E1272,BD!$L$2:$Q$66,2,0),0)</f>
        <v>TWO PACK SCHWEPPES GINGER ALE PET 1.5LX2</v>
      </c>
      <c r="G1272" s="424">
        <f>198*1</f>
        <v>198</v>
      </c>
      <c r="H1272" s="3">
        <f>+IFERROR(VLOOKUP(E1272,BD!$L$2:$Q$66,6,0),0)</f>
        <v>198</v>
      </c>
      <c r="I1272" s="96">
        <f>IFERROR(G1272*VLOOKUP($E1272,BD!$L$2:$Q$66,5,0),0)</f>
        <v>33.660000000000004</v>
      </c>
      <c r="J1272" s="3">
        <f t="shared" si="79"/>
        <v>2021</v>
      </c>
    </row>
    <row r="1273" spans="1:10" s="9" customFormat="1" hidden="1" x14ac:dyDescent="0.25">
      <c r="A1273" s="447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7">
        <v>256666</v>
      </c>
      <c r="F1273" s="3" t="str">
        <f>IFERROR(VLOOKUP(E1273,BD!$L$2:$Q$66,2,0),0)</f>
        <v>COCA-COLA PET 2.25LX2 RF</v>
      </c>
      <c r="G1273" s="424">
        <f>162*5</f>
        <v>810</v>
      </c>
      <c r="H1273" s="3">
        <f>+IFERROR(VLOOKUP(E1273,BD!$L$2:$Q$66,6,0),0)</f>
        <v>162</v>
      </c>
      <c r="I1273" s="96">
        <f>IFERROR(G1273*VLOOKUP($E1273,BD!$L$2:$Q$66,5,0),0)</f>
        <v>137.70000000000002</v>
      </c>
      <c r="J1273" s="3">
        <f t="shared" si="79"/>
        <v>2021</v>
      </c>
    </row>
    <row r="1274" spans="1:10" s="9" customFormat="1" hidden="1" x14ac:dyDescent="0.25">
      <c r="A1274" s="447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7">
        <v>256601</v>
      </c>
      <c r="F1274" s="3" t="str">
        <f>IFERROR(VLOOKUP(E1274,BD!$L$2:$Q$66,2,0),0)</f>
        <v>INCA KOLA PET 2.25LX2 RF</v>
      </c>
      <c r="G1274" s="424">
        <f>162*3</f>
        <v>486</v>
      </c>
      <c r="H1274" s="3">
        <f>+IFERROR(VLOOKUP(E1274,BD!$L$2:$Q$66,6,0),0)</f>
        <v>162</v>
      </c>
      <c r="I1274" s="96">
        <f>IFERROR(G1274*VLOOKUP($E1274,BD!$L$2:$Q$66,5,0),0)</f>
        <v>82.62</v>
      </c>
      <c r="J1274" s="3">
        <f t="shared" si="79"/>
        <v>2021</v>
      </c>
    </row>
    <row r="1275" spans="1:10" s="9" customFormat="1" hidden="1" x14ac:dyDescent="0.25">
      <c r="A1275" s="447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7">
        <v>256488</v>
      </c>
      <c r="F1275" s="3" t="str">
        <f>IFERROR(VLOOKUP(E1275,BD!$L$2:$Q$66,2,0),0)</f>
        <v>INCA KOLA PET 3LX2 - RF</v>
      </c>
      <c r="G1275" s="424">
        <f>120*4</f>
        <v>480</v>
      </c>
      <c r="H1275" s="3">
        <f>+IFERROR(VLOOKUP(E1275,BD!$L$2:$Q$66,6,0),0)</f>
        <v>120</v>
      </c>
      <c r="I1275" s="96">
        <f>IFERROR(G1275*VLOOKUP($E1275,BD!$L$2:$Q$66,5,0),0)</f>
        <v>81.600000000000009</v>
      </c>
      <c r="J1275" s="3">
        <f t="shared" si="79"/>
        <v>2021</v>
      </c>
    </row>
    <row r="1276" spans="1:10" s="9" customFormat="1" hidden="1" x14ac:dyDescent="0.25">
      <c r="A1276" s="447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7">
        <v>256380</v>
      </c>
      <c r="F1276" s="3" t="str">
        <f>IFERROR(VLOOKUP(E1276,BD!$L$2:$Q$66,2,0),0)</f>
        <v>INCA KOLA VR 296MLX24 - STICKER</v>
      </c>
      <c r="G1276" s="424">
        <f>40*3</f>
        <v>120</v>
      </c>
      <c r="H1276" s="3">
        <f>+IFERROR(VLOOKUP(E1276,BD!$L$2:$Q$66,6,0),0)</f>
        <v>40</v>
      </c>
      <c r="I1276" s="96">
        <f>IFERROR(G1276*VLOOKUP($E1276,BD!$L$2:$Q$66,5,0),0)</f>
        <v>27.6</v>
      </c>
      <c r="J1276" s="3">
        <f t="shared" si="79"/>
        <v>2021</v>
      </c>
    </row>
    <row r="1277" spans="1:10" s="9" customFormat="1" hidden="1" x14ac:dyDescent="0.25">
      <c r="A1277" s="447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7">
        <v>254853</v>
      </c>
      <c r="F1277" s="3" t="str">
        <f>IFERROR(VLOOKUP(E1277,BD!$L$2:$Q$66,2,0),0)</f>
        <v>INCA KOLA SIN AZUCAR PET 1.5LX2</v>
      </c>
      <c r="G1277" s="503">
        <f>216*4</f>
        <v>864</v>
      </c>
      <c r="H1277" s="3">
        <f>+IFERROR(VLOOKUP(E1277,BD!$L$2:$Q$66,6,0),0)</f>
        <v>198</v>
      </c>
      <c r="I1277" s="96">
        <f>IFERROR(G1277*VLOOKUP($E1277,BD!$L$2:$Q$66,5,0),0)</f>
        <v>146.88000000000002</v>
      </c>
      <c r="J1277" s="3">
        <f t="shared" si="79"/>
        <v>2021</v>
      </c>
    </row>
    <row r="1278" spans="1:10" s="9" customFormat="1" hidden="1" x14ac:dyDescent="0.25">
      <c r="A1278" s="447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7">
        <v>254762</v>
      </c>
      <c r="F1278" s="3" t="str">
        <f>IFERROR(VLOOKUP(E1278,BD!$L$2:$Q$66,2,0),0)</f>
        <v xml:space="preserve">SAN LUIS SPORT S/G 10 Lt x6 </v>
      </c>
      <c r="G1278" s="425">
        <f>122*3</f>
        <v>366</v>
      </c>
      <c r="H1278" s="3">
        <f>+IFERROR(VLOOKUP(E1278,BD!$L$2:$Q$66,6,0),0)</f>
        <v>240</v>
      </c>
      <c r="I1278" s="96">
        <f>IFERROR(G1278*VLOOKUP($E1278,BD!$L$2:$Q$66,5,0),0)</f>
        <v>146.4</v>
      </c>
      <c r="J1278" s="3">
        <f t="shared" si="79"/>
        <v>2021</v>
      </c>
    </row>
    <row r="1279" spans="1:10" s="9" customFormat="1" hidden="1" x14ac:dyDescent="0.25">
      <c r="A1279" s="447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7">
        <v>256685</v>
      </c>
      <c r="F1279" s="3" t="str">
        <f>IFERROR(VLOOKUP(E1279,BD!$L$2:$Q$66,2,0),0)</f>
        <v>SL S/G TAPA PLANA 1LT</v>
      </c>
      <c r="G1279" s="425">
        <f>112*4</f>
        <v>448</v>
      </c>
      <c r="H1279" s="3">
        <f>+IFERROR(VLOOKUP(E1279,BD!$L$2:$Q$66,6,0),0)</f>
        <v>112</v>
      </c>
      <c r="I1279" s="96">
        <f>IFERROR(G1279*VLOOKUP($E1279,BD!$L$2:$Q$66,5,0),0)</f>
        <v>179.20000000000002</v>
      </c>
      <c r="J1279" s="3">
        <f t="shared" si="79"/>
        <v>2021</v>
      </c>
    </row>
    <row r="1280" spans="1:10" s="9" customFormat="1" hidden="1" x14ac:dyDescent="0.25">
      <c r="A1280" s="447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7">
        <v>256679</v>
      </c>
      <c r="F1280" s="3" t="str">
        <f>IFERROR(VLOOKUP(E1280,BD!$L$2:$Q$66,2,0),0)</f>
        <v>TRIPACK CC+IK+IK PFM 3LX3 - RFNN</v>
      </c>
      <c r="G1280" s="424">
        <v>90</v>
      </c>
      <c r="H1280" s="3">
        <f>+IFERROR(VLOOKUP(E1280,BD!$L$2:$Q$66,6,0),0)</f>
        <v>90</v>
      </c>
      <c r="I1280" s="96">
        <f>IFERROR(G1280*VLOOKUP($E1280,BD!$L$2:$Q$66,5,0),0)</f>
        <v>15.3</v>
      </c>
      <c r="J1280" s="3">
        <f t="shared" si="79"/>
        <v>2021</v>
      </c>
    </row>
    <row r="1281" spans="1:10" s="9" customFormat="1" hidden="1" x14ac:dyDescent="0.25">
      <c r="A1281" s="447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7">
        <v>256652</v>
      </c>
      <c r="F1281" s="3" t="str">
        <f>IFERROR(VLOOKUP(E1281,BD!$L$2:$Q$66,2,0),0)</f>
        <v>TRIPACK FT NAR+FT KI+SP PET 3L</v>
      </c>
      <c r="G1281" s="424">
        <f>90*6</f>
        <v>540</v>
      </c>
      <c r="H1281" s="3">
        <f>+IFERROR(VLOOKUP(E1281,BD!$L$2:$Q$66,6,0),0)</f>
        <v>90</v>
      </c>
      <c r="I1281" s="96">
        <f>IFERROR(G1281*VLOOKUP($E1281,BD!$L$2:$Q$66,5,0),0)</f>
        <v>91.800000000000011</v>
      </c>
      <c r="J1281" s="3">
        <f t="shared" si="79"/>
        <v>2021</v>
      </c>
    </row>
    <row r="1282" spans="1:10" s="9" customFormat="1" hidden="1" x14ac:dyDescent="0.25">
      <c r="A1282" s="447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7">
        <v>751544</v>
      </c>
      <c r="F1282" s="3" t="str">
        <f>IFERROR(VLOOKUP(E1282,BD!$L$2:$Q$66,2,0),0)</f>
        <v>MONSTER ENERGY ZERO 473MLX4</v>
      </c>
      <c r="G1282" s="424">
        <f>420*8</f>
        <v>3360</v>
      </c>
      <c r="H1282" s="3">
        <f>+IFERROR(VLOOKUP(E1282,BD!$L$2:$Q$66,6,0),0)</f>
        <v>420</v>
      </c>
      <c r="I1282" s="96">
        <f>IFERROR(G1282*VLOOKUP($E1282,BD!$L$2:$Q$66,5,0),0)</f>
        <v>1411.2</v>
      </c>
      <c r="J1282" s="3">
        <f t="shared" si="79"/>
        <v>2021</v>
      </c>
    </row>
    <row r="1283" spans="1:10" s="9" customFormat="1" hidden="1" x14ac:dyDescent="0.25">
      <c r="A1283" s="447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7">
        <v>751315</v>
      </c>
      <c r="F1283" s="3" t="str">
        <f>IFERROR(VLOOKUP(E1283,BD!$L$2:$Q$66,2,0),0)</f>
        <v>MONSTER ENERGY 473MLX4</v>
      </c>
      <c r="G1283" s="424">
        <f>420*10</f>
        <v>4200</v>
      </c>
      <c r="H1283" s="3">
        <f>+IFERROR(VLOOKUP(E1283,BD!$L$2:$Q$66,6,0),0)</f>
        <v>420</v>
      </c>
      <c r="I1283" s="96">
        <f>IFERROR(G1283*VLOOKUP($E1283,BD!$L$2:$Q$66,5,0),0)</f>
        <v>1764</v>
      </c>
      <c r="J1283" s="3">
        <f t="shared" si="79"/>
        <v>2021</v>
      </c>
    </row>
    <row r="1284" spans="1:10" s="9" customFormat="1" hidden="1" x14ac:dyDescent="0.25">
      <c r="A1284" s="447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7">
        <v>751468</v>
      </c>
      <c r="F1284" s="3" t="str">
        <f>IFERROR(VLOOKUP(E1284,BD!$L$2:$Q$66,2,0),0)</f>
        <v>MONSTER ENERGY ULTRA 473MLX4</v>
      </c>
      <c r="G1284" s="424">
        <f>420*4</f>
        <v>1680</v>
      </c>
      <c r="H1284" s="3">
        <f>+IFERROR(VLOOKUP(E1284,BD!$L$2:$Q$66,6,0),0)</f>
        <v>420</v>
      </c>
      <c r="I1284" s="96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hidden="1" x14ac:dyDescent="0.25">
      <c r="A1285" s="447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7">
        <v>251406</v>
      </c>
      <c r="F1285" s="3" t="str">
        <f>IFERROR(VLOOKUP(E1285,BD!$L$2:$Q$66,2,0),0)</f>
        <v>COCA-COLA SIN AZUCAR PET 1.5LX2</v>
      </c>
      <c r="G1285" s="504">
        <v>1728</v>
      </c>
      <c r="H1285" s="3">
        <f>+IFERROR(VLOOKUP(E1285,BD!$L$2:$Q$66,6,0),0)</f>
        <v>198</v>
      </c>
      <c r="I1285" s="96">
        <f>IFERROR(G1285*VLOOKUP($E1285,BD!$L$2:$Q$66,5,0),0)</f>
        <v>293.76000000000005</v>
      </c>
      <c r="J1285" s="3">
        <f t="shared" si="83"/>
        <v>2021</v>
      </c>
    </row>
    <row r="1286" spans="1:10" s="9" customFormat="1" hidden="1" x14ac:dyDescent="0.25">
      <c r="A1286" s="447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7">
        <v>256678</v>
      </c>
      <c r="F1286" s="3" t="str">
        <f>IFERROR(VLOOKUP(E1286,BD!$L$2:$Q$66,2,0),0)</f>
        <v>TRIPACK (CC+IK)PFM+FT PET 3LX3 - RFNN</v>
      </c>
      <c r="G1286" s="424">
        <v>1170</v>
      </c>
      <c r="H1286" s="3">
        <f>+IFERROR(VLOOKUP(E1286,BD!$L$2:$Q$66,6,0),0)</f>
        <v>90</v>
      </c>
      <c r="I1286" s="96">
        <f>IFERROR(G1286*VLOOKUP($E1286,BD!$L$2:$Q$66,5,0),0)</f>
        <v>198.9</v>
      </c>
      <c r="J1286" s="3">
        <f t="shared" si="83"/>
        <v>2021</v>
      </c>
    </row>
    <row r="1287" spans="1:10" s="9" customFormat="1" hidden="1" x14ac:dyDescent="0.25">
      <c r="A1287" s="447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7">
        <v>256677</v>
      </c>
      <c r="F1287" s="3" t="str">
        <f>IFERROR(VLOOKUP(E1287,BD!$L$2:$Q$66,2,0),0)</f>
        <v>TWO PACK CC + IK PFM 3LX2 - RFNN</v>
      </c>
      <c r="G1287" s="425">
        <v>1440</v>
      </c>
      <c r="H1287" s="3">
        <f>+IFERROR(VLOOKUP(E1287,BD!$L$2:$Q$66,6,0),0)</f>
        <v>120</v>
      </c>
      <c r="I1287" s="96">
        <f>IFERROR(G1287*VLOOKUP($E1287,BD!$L$2:$Q$66,5,0),0)</f>
        <v>244.8</v>
      </c>
      <c r="J1287" s="3">
        <f t="shared" si="83"/>
        <v>2021</v>
      </c>
    </row>
    <row r="1288" spans="1:10" s="9" customFormat="1" hidden="1" x14ac:dyDescent="0.25">
      <c r="A1288" s="447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7">
        <v>256674</v>
      </c>
      <c r="F1288" s="3" t="str">
        <f>IFERROR(VLOOKUP(E1288,BD!$L$2:$Q$66,2,0),0)</f>
        <v>COCA-COLA PET 1.5LX2 RF</v>
      </c>
      <c r="G1288" s="503">
        <v>1080</v>
      </c>
      <c r="H1288" s="3">
        <f>+IFERROR(VLOOKUP(E1288,BD!$L$2:$Q$66,6,0),0)</f>
        <v>198</v>
      </c>
      <c r="I1288" s="96">
        <f>IFERROR(G1288*VLOOKUP($E1288,BD!$L$2:$Q$66,5,0),0)</f>
        <v>183.60000000000002</v>
      </c>
      <c r="J1288" s="3">
        <f t="shared" si="83"/>
        <v>2021</v>
      </c>
    </row>
    <row r="1289" spans="1:10" s="9" customFormat="1" hidden="1" x14ac:dyDescent="0.25">
      <c r="A1289" s="447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7">
        <v>256383</v>
      </c>
      <c r="F1289" s="3" t="str">
        <f>IFERROR(VLOOKUP(E1289,BD!$L$2:$Q$66,2,0),0)</f>
        <v>COCA COLA VR 1.5LX8 - STICKER</v>
      </c>
      <c r="G1289" s="424">
        <v>120</v>
      </c>
      <c r="H1289" s="3">
        <f>+IFERROR(VLOOKUP(E1289,BD!$L$2:$Q$66,6,0),0)</f>
        <v>30</v>
      </c>
      <c r="I1289" s="96">
        <f>IFERROR(G1289*VLOOKUP($E1289,BD!$L$2:$Q$66,5,0),0)</f>
        <v>27.6</v>
      </c>
      <c r="J1289" s="3">
        <f t="shared" si="83"/>
        <v>2021</v>
      </c>
    </row>
    <row r="1290" spans="1:10" s="9" customFormat="1" hidden="1" x14ac:dyDescent="0.25">
      <c r="A1290" s="447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7">
        <v>256675</v>
      </c>
      <c r="F1290" s="3" t="str">
        <f>IFERROR(VLOOKUP(E1290,BD!$L$2:$Q$66,2,0),0)</f>
        <v>INCA KOLA PET 1.5LX2 RF</v>
      </c>
      <c r="G1290" s="503">
        <v>1080</v>
      </c>
      <c r="H1290" s="3">
        <f>+IFERROR(VLOOKUP(E1290,BD!$L$2:$Q$66,6,0),0)</f>
        <v>198</v>
      </c>
      <c r="I1290" s="96">
        <f>IFERROR(G1290*VLOOKUP($E1290,BD!$L$2:$Q$66,5,0),0)</f>
        <v>183.60000000000002</v>
      </c>
      <c r="J1290" s="3">
        <f t="shared" si="83"/>
        <v>2021</v>
      </c>
    </row>
    <row r="1291" spans="1:10" s="9" customFormat="1" hidden="1" x14ac:dyDescent="0.25">
      <c r="A1291" s="447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7">
        <v>256488</v>
      </c>
      <c r="F1291" s="3" t="str">
        <f>IFERROR(VLOOKUP(E1291,BD!$L$2:$Q$66,2,0),0)</f>
        <v>INCA KOLA PET 3LX2 - RF</v>
      </c>
      <c r="G1291" s="424">
        <v>720</v>
      </c>
      <c r="H1291" s="3">
        <f>+IFERROR(VLOOKUP(E1291,BD!$L$2:$Q$66,6,0),0)</f>
        <v>120</v>
      </c>
      <c r="I1291" s="96">
        <f>IFERROR(G1291*VLOOKUP($E1291,BD!$L$2:$Q$66,5,0),0)</f>
        <v>122.4</v>
      </c>
      <c r="J1291" s="3">
        <f t="shared" si="83"/>
        <v>2021</v>
      </c>
    </row>
    <row r="1292" spans="1:10" s="9" customFormat="1" hidden="1" x14ac:dyDescent="0.25">
      <c r="A1292" s="447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7">
        <v>256617</v>
      </c>
      <c r="F1292" s="3" t="str">
        <f>IFERROR(VLOOKUP(E1292,BD!$L$2:$Q$66,2,0),0)</f>
        <v>TWO PACK SCHWEPPES GINGER ALE PET 1.5LX2</v>
      </c>
      <c r="G1292" s="424">
        <v>990</v>
      </c>
      <c r="H1292" s="3">
        <f>+IFERROR(VLOOKUP(E1292,BD!$L$2:$Q$66,6,0),0)</f>
        <v>198</v>
      </c>
      <c r="I1292" s="96">
        <f>IFERROR(G1292*VLOOKUP($E1292,BD!$L$2:$Q$66,5,0),0)</f>
        <v>168.3</v>
      </c>
      <c r="J1292" s="3">
        <f t="shared" si="83"/>
        <v>2021</v>
      </c>
    </row>
    <row r="1293" spans="1:10" s="9" customFormat="1" hidden="1" x14ac:dyDescent="0.25">
      <c r="A1293" s="447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7">
        <v>256616</v>
      </c>
      <c r="F1293" s="3" t="str">
        <f>IFERROR(VLOOKUP(E1293,BD!$L$2:$Q$66,2,0),0)</f>
        <v>TWO PACK SCHWEPPES CITRUS PET 1.5LX2</v>
      </c>
      <c r="G1293" s="424">
        <v>792</v>
      </c>
      <c r="H1293" s="3">
        <f>+IFERROR(VLOOKUP(E1293,BD!$L$2:$Q$66,6,0),0)</f>
        <v>198</v>
      </c>
      <c r="I1293" s="96">
        <f>IFERROR(G1293*VLOOKUP($E1293,BD!$L$2:$Q$66,5,0),0)</f>
        <v>134.64000000000001</v>
      </c>
      <c r="J1293" s="3">
        <f t="shared" si="83"/>
        <v>2021</v>
      </c>
    </row>
    <row r="1294" spans="1:10" s="9" customFormat="1" hidden="1" x14ac:dyDescent="0.25">
      <c r="A1294" s="447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7">
        <v>256382</v>
      </c>
      <c r="F1294" s="3" t="str">
        <f>IFERROR(VLOOKUP(E1294,BD!$L$2:$Q$66,2,0),0)</f>
        <v>COCA COLA VR 296MLX24 - STICKER</v>
      </c>
      <c r="G1294" s="424">
        <v>160</v>
      </c>
      <c r="H1294" s="3">
        <f>+IFERROR(VLOOKUP(E1294,BD!$L$2:$Q$66,6,0),0)</f>
        <v>40</v>
      </c>
      <c r="I1294" s="96">
        <f>IFERROR(G1294*VLOOKUP($E1294,BD!$L$2:$Q$66,5,0),0)</f>
        <v>36.800000000000004</v>
      </c>
      <c r="J1294" s="3">
        <f t="shared" si="83"/>
        <v>2021</v>
      </c>
    </row>
    <row r="1295" spans="1:10" s="9" customFormat="1" hidden="1" x14ac:dyDescent="0.25">
      <c r="A1295" s="447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7">
        <v>251633</v>
      </c>
      <c r="F1295" s="3" t="str">
        <f>IFERROR(VLOOKUP(E1295,BD!$L$2:$Q$66,2,0),0)</f>
        <v>SAN LUIS CON GAS PET 625MLX6</v>
      </c>
      <c r="G1295" s="424">
        <v>360</v>
      </c>
      <c r="H1295" s="3">
        <f>+IFERROR(VLOOKUP(E1295,BD!$L$2:$Q$66,6,0),0)</f>
        <v>180</v>
      </c>
      <c r="I1295" s="96">
        <f>IFERROR(G1295*VLOOKUP($E1295,BD!$L$2:$Q$66,5,0),0)</f>
        <v>151.19999999999999</v>
      </c>
      <c r="J1295" s="3">
        <f t="shared" si="83"/>
        <v>2021</v>
      </c>
    </row>
    <row r="1296" spans="1:10" s="9" customFormat="1" hidden="1" x14ac:dyDescent="0.25">
      <c r="A1296" s="447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7">
        <v>256381</v>
      </c>
      <c r="F1296" s="3" t="str">
        <f>IFERROR(VLOOKUP(E1296,BD!$L$2:$Q$66,2,0),0)</f>
        <v>INCA KOLA VR 1.5LX8 - STICKER</v>
      </c>
      <c r="G1296" s="424">
        <v>150</v>
      </c>
      <c r="H1296" s="3">
        <f>+IFERROR(VLOOKUP(E1296,BD!$L$2:$Q$66,6,0),0)</f>
        <v>30</v>
      </c>
      <c r="I1296" s="96">
        <f>IFERROR(G1296*VLOOKUP($E1296,BD!$L$2:$Q$66,5,0),0)</f>
        <v>60</v>
      </c>
      <c r="J1296" s="3">
        <f t="shared" si="83"/>
        <v>2021</v>
      </c>
    </row>
    <row r="1297" spans="1:10" s="9" customFormat="1" hidden="1" x14ac:dyDescent="0.25">
      <c r="A1297" s="447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7">
        <v>256666</v>
      </c>
      <c r="F1297" s="3" t="str">
        <f>IFERROR(VLOOKUP(E1297,BD!$L$2:$Q$66,2,0),0)</f>
        <v>COCA-COLA PET 2.25LX2 RF</v>
      </c>
      <c r="G1297" s="424">
        <v>162</v>
      </c>
      <c r="H1297" s="3">
        <f>+IFERROR(VLOOKUP(E1297,BD!$L$2:$Q$66,6,0),0)</f>
        <v>162</v>
      </c>
      <c r="I1297" s="96">
        <f>IFERROR(G1297*VLOOKUP($E1297,BD!$L$2:$Q$66,5,0),0)</f>
        <v>27.540000000000003</v>
      </c>
      <c r="J1297" s="3">
        <f t="shared" si="83"/>
        <v>2021</v>
      </c>
    </row>
    <row r="1298" spans="1:10" s="9" customFormat="1" hidden="1" x14ac:dyDescent="0.25">
      <c r="A1298" s="447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7">
        <v>256379</v>
      </c>
      <c r="F1298" s="3" t="str">
        <f>IFERROR(VLOOKUP(E1298,BD!$L$2:$Q$66,2,0),0)</f>
        <v>INCA KOLA VR 625MLX12 - STICKER</v>
      </c>
      <c r="G1298" s="424">
        <v>250</v>
      </c>
      <c r="H1298" s="3">
        <f>+IFERROR(VLOOKUP(E1298,BD!$L$2:$Q$66,6,0),0)</f>
        <v>50</v>
      </c>
      <c r="I1298" s="96">
        <f>IFERROR(G1298*VLOOKUP($E1298,BD!$L$2:$Q$66,5,0),0)</f>
        <v>100</v>
      </c>
      <c r="J1298" s="3">
        <f t="shared" si="83"/>
        <v>2021</v>
      </c>
    </row>
    <row r="1299" spans="1:10" s="9" customFormat="1" hidden="1" x14ac:dyDescent="0.25">
      <c r="A1299" s="447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7">
        <v>256548</v>
      </c>
      <c r="F1299" s="3" t="str">
        <f>IFERROR(VLOOKUP(E1299,BD!$L$2:$Q$66,2,0),0)</f>
        <v>TWO PACK CC PET 1.5LX2 - CRC</v>
      </c>
      <c r="G1299" s="424">
        <v>216</v>
      </c>
      <c r="H1299" s="3">
        <f>+IFERROR(VLOOKUP(E1299,BD!$L$2:$Q$66,6,0),0)</f>
        <v>198</v>
      </c>
      <c r="I1299" s="96">
        <f>IFERROR(G1299*VLOOKUP($E1299,BD!$L$2:$Q$66,5,0),0)</f>
        <v>36.720000000000006</v>
      </c>
      <c r="J1299" s="3">
        <f t="shared" si="83"/>
        <v>2021</v>
      </c>
    </row>
    <row r="1300" spans="1:10" s="9" customFormat="1" hidden="1" x14ac:dyDescent="0.25">
      <c r="A1300" s="447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7">
        <v>256383</v>
      </c>
      <c r="F1300" s="3" t="str">
        <f>IFERROR(VLOOKUP(E1300,BD!$L$2:$Q$66,2,0),0)</f>
        <v>COCA COLA VR 1.5LX8 - STICKER</v>
      </c>
      <c r="G1300" s="424">
        <v>90</v>
      </c>
      <c r="H1300" s="3">
        <f>+IFERROR(VLOOKUP(E1300,BD!$L$2:$Q$66,6,0),0)</f>
        <v>30</v>
      </c>
      <c r="I1300" s="96">
        <f>IFERROR(G1300*VLOOKUP($E1300,BD!$L$2:$Q$66,5,0),0)</f>
        <v>20.7</v>
      </c>
      <c r="J1300" s="3">
        <f t="shared" si="83"/>
        <v>2021</v>
      </c>
    </row>
    <row r="1301" spans="1:10" s="9" customFormat="1" hidden="1" x14ac:dyDescent="0.25">
      <c r="A1301" s="447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7">
        <v>256379</v>
      </c>
      <c r="F1301" s="3" t="str">
        <f>IFERROR(VLOOKUP(E1301,BD!$L$2:$Q$66,2,0),0)</f>
        <v>INCA KOLA VR 625MLX12 - STICKER</v>
      </c>
      <c r="G1301" s="425">
        <v>50</v>
      </c>
      <c r="H1301" s="3">
        <f>+IFERROR(VLOOKUP(E1301,BD!$L$2:$Q$66,6,0),0)</f>
        <v>50</v>
      </c>
      <c r="I1301" s="96">
        <f>IFERROR(G1301*VLOOKUP($E1301,BD!$L$2:$Q$66,5,0),0)</f>
        <v>20</v>
      </c>
      <c r="J1301" s="3">
        <f t="shared" si="83"/>
        <v>2021</v>
      </c>
    </row>
    <row r="1302" spans="1:10" s="9" customFormat="1" hidden="1" x14ac:dyDescent="0.25">
      <c r="A1302" s="447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7">
        <v>751315</v>
      </c>
      <c r="F1302" s="3" t="str">
        <f>IFERROR(VLOOKUP(E1302,BD!$L$2:$Q$66,2,0),0)</f>
        <v>MONSTER ENERGY 473MLX4</v>
      </c>
      <c r="G1302" s="424">
        <v>2940</v>
      </c>
      <c r="H1302" s="3">
        <f>+IFERROR(VLOOKUP(E1302,BD!$L$2:$Q$66,6,0),0)</f>
        <v>420</v>
      </c>
      <c r="I1302" s="96">
        <f>IFERROR(G1302*VLOOKUP($E1302,BD!$L$2:$Q$66,5,0),0)</f>
        <v>1234.8</v>
      </c>
      <c r="J1302" s="3">
        <f t="shared" si="83"/>
        <v>2021</v>
      </c>
    </row>
    <row r="1303" spans="1:10" s="9" customFormat="1" hidden="1" x14ac:dyDescent="0.25">
      <c r="A1303" s="447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7">
        <v>751468</v>
      </c>
      <c r="F1303" s="3" t="str">
        <f>IFERROR(VLOOKUP(E1303,BD!$L$2:$Q$66,2,0),0)</f>
        <v>MONSTER ENERGY ULTRA 473MLX4</v>
      </c>
      <c r="G1303" s="424">
        <v>1680</v>
      </c>
      <c r="H1303" s="3">
        <f>+IFERROR(VLOOKUP(E1303,BD!$L$2:$Q$66,6,0),0)</f>
        <v>420</v>
      </c>
      <c r="I1303" s="96">
        <f>IFERROR(G1303*VLOOKUP($E1303,BD!$L$2:$Q$66,5,0),0)</f>
        <v>705.6</v>
      </c>
      <c r="J1303" s="3">
        <f t="shared" si="83"/>
        <v>2021</v>
      </c>
    </row>
    <row r="1304" spans="1:10" s="9" customFormat="1" hidden="1" x14ac:dyDescent="0.25">
      <c r="A1304" s="447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7">
        <v>751544</v>
      </c>
      <c r="F1304" s="3" t="str">
        <f>IFERROR(VLOOKUP(E1304,BD!$L$2:$Q$66,2,0),0)</f>
        <v>MONSTER ENERGY ZERO 473MLX4</v>
      </c>
      <c r="G1304" s="424">
        <v>2100</v>
      </c>
      <c r="H1304" s="3">
        <f>+IFERROR(VLOOKUP(E1304,BD!$L$2:$Q$66,6,0),0)</f>
        <v>420</v>
      </c>
      <c r="I1304" s="96">
        <f>IFERROR(G1304*VLOOKUP($E1304,BD!$L$2:$Q$66,5,0),0)</f>
        <v>882</v>
      </c>
      <c r="J1304" s="3">
        <f t="shared" si="83"/>
        <v>2021</v>
      </c>
    </row>
    <row r="1305" spans="1:10" s="9" customFormat="1" hidden="1" x14ac:dyDescent="0.25">
      <c r="A1305" s="447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7">
        <v>251633</v>
      </c>
      <c r="F1305" s="3" t="str">
        <f>IFERROR(VLOOKUP(E1305,BD!$L$2:$Q$66,2,0),0)</f>
        <v>SAN LUIS CON GAS PET 625MLX6</v>
      </c>
      <c r="G1305" s="424">
        <v>180</v>
      </c>
      <c r="H1305" s="3">
        <f>+IFERROR(VLOOKUP(E1305,BD!$L$2:$Q$66,6,0),0)</f>
        <v>180</v>
      </c>
      <c r="I1305" s="96">
        <f>IFERROR(G1305*VLOOKUP($E1305,BD!$L$2:$Q$66,5,0),0)</f>
        <v>75.599999999999994</v>
      </c>
      <c r="J1305" s="3">
        <f t="shared" si="83"/>
        <v>2021</v>
      </c>
    </row>
    <row r="1306" spans="1:10" s="9" customFormat="1" hidden="1" x14ac:dyDescent="0.25">
      <c r="A1306" s="447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7">
        <v>254853</v>
      </c>
      <c r="F1306" s="3" t="str">
        <f>IFERROR(VLOOKUP(E1306,BD!$L$2:$Q$66,2,0),0)</f>
        <v>INCA KOLA SIN AZUCAR PET 1.5LX2</v>
      </c>
      <c r="G1306" s="503">
        <v>1296</v>
      </c>
      <c r="H1306" s="3">
        <f>+IFERROR(VLOOKUP(E1306,BD!$L$2:$Q$66,6,0),0)</f>
        <v>198</v>
      </c>
      <c r="I1306" s="96">
        <f>IFERROR(G1306*VLOOKUP($E1306,BD!$L$2:$Q$66,5,0),0)</f>
        <v>220.32000000000002</v>
      </c>
      <c r="J1306" s="3">
        <f t="shared" si="83"/>
        <v>2021</v>
      </c>
    </row>
    <row r="1307" spans="1:10" s="9" customFormat="1" hidden="1" x14ac:dyDescent="0.25">
      <c r="A1307" s="447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7">
        <v>256666</v>
      </c>
      <c r="F1307" s="3" t="str">
        <f>IFERROR(VLOOKUP(E1307,BD!$L$2:$Q$66,2,0),0)</f>
        <v>COCA-COLA PET 2.25LX2 RF</v>
      </c>
      <c r="G1307" s="424">
        <v>324</v>
      </c>
      <c r="H1307" s="3">
        <f>+IFERROR(VLOOKUP(E1307,BD!$L$2:$Q$66,6,0),0)</f>
        <v>162</v>
      </c>
      <c r="I1307" s="96">
        <f>IFERROR(G1307*VLOOKUP($E1307,BD!$L$2:$Q$66,5,0),0)</f>
        <v>55.080000000000005</v>
      </c>
      <c r="J1307" s="3">
        <f t="shared" si="83"/>
        <v>2021</v>
      </c>
    </row>
    <row r="1308" spans="1:10" s="9" customFormat="1" hidden="1" x14ac:dyDescent="0.25">
      <c r="A1308" s="447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7">
        <v>256488</v>
      </c>
      <c r="F1308" s="3" t="str">
        <f>IFERROR(VLOOKUP(E1308,BD!$L$2:$Q$66,2,0),0)</f>
        <v>INCA KOLA PET 3LX2 - RF</v>
      </c>
      <c r="G1308" s="425">
        <v>1080</v>
      </c>
      <c r="H1308" s="3">
        <f>+IFERROR(VLOOKUP(E1308,BD!$L$2:$Q$66,6,0),0)</f>
        <v>120</v>
      </c>
      <c r="I1308" s="96">
        <f>IFERROR(G1308*VLOOKUP($E1308,BD!$L$2:$Q$66,5,0),0)</f>
        <v>183.60000000000002</v>
      </c>
      <c r="J1308" s="3">
        <f t="shared" si="83"/>
        <v>2021</v>
      </c>
    </row>
    <row r="1309" spans="1:10" s="9" customFormat="1" hidden="1" x14ac:dyDescent="0.25">
      <c r="A1309" s="447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7">
        <v>256676</v>
      </c>
      <c r="F1309" s="3" t="str">
        <f>IFERROR(VLOOKUP(E1309,BD!$L$2:$Q$66,2,0),0)</f>
        <v>TWO PACK CC PFM 3LX2 - RFCC</v>
      </c>
      <c r="G1309" s="424">
        <v>360</v>
      </c>
      <c r="H1309" s="3">
        <f>+IFERROR(VLOOKUP(E1309,BD!$L$2:$Q$66,6,0),0)</f>
        <v>120</v>
      </c>
      <c r="I1309" s="96">
        <f>IFERROR(G1309*VLOOKUP($E1309,BD!$L$2:$Q$66,5,0),0)</f>
        <v>61.2</v>
      </c>
      <c r="J1309" s="3">
        <f t="shared" si="83"/>
        <v>2021</v>
      </c>
    </row>
    <row r="1310" spans="1:10" s="9" customFormat="1" hidden="1" x14ac:dyDescent="0.25">
      <c r="A1310" s="447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7">
        <v>256652</v>
      </c>
      <c r="F1310" s="3" t="str">
        <f>IFERROR(VLOOKUP(E1310,BD!$L$2:$Q$66,2,0),0)</f>
        <v>TRIPACK FT NAR+FT KI+SP PET 3L</v>
      </c>
      <c r="G1310" s="424">
        <v>900</v>
      </c>
      <c r="H1310" s="3">
        <f>+IFERROR(VLOOKUP(E1310,BD!$L$2:$Q$66,6,0),0)</f>
        <v>90</v>
      </c>
      <c r="I1310" s="96">
        <f>IFERROR(G1310*VLOOKUP($E1310,BD!$L$2:$Q$66,5,0),0)</f>
        <v>153</v>
      </c>
      <c r="J1310" s="3">
        <f t="shared" si="83"/>
        <v>2021</v>
      </c>
    </row>
    <row r="1311" spans="1:10" s="9" customFormat="1" hidden="1" x14ac:dyDescent="0.25">
      <c r="A1311" s="447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7">
        <v>256677</v>
      </c>
      <c r="F1311" s="3" t="str">
        <f>IFERROR(VLOOKUP(E1311,BD!$L$2:$Q$66,2,0),0)</f>
        <v>TWO PACK CC + IK PFM 3LX2 - RFNN</v>
      </c>
      <c r="G1311" s="424">
        <v>2400</v>
      </c>
      <c r="H1311" s="3">
        <f>+IFERROR(VLOOKUP(E1311,BD!$L$2:$Q$66,6,0),0)</f>
        <v>120</v>
      </c>
      <c r="I1311" s="96">
        <f>IFERROR(G1311*VLOOKUP($E1311,BD!$L$2:$Q$66,5,0),0)</f>
        <v>408.00000000000006</v>
      </c>
      <c r="J1311" s="3">
        <f t="shared" si="83"/>
        <v>2021</v>
      </c>
    </row>
    <row r="1312" spans="1:10" s="9" customFormat="1" hidden="1" x14ac:dyDescent="0.25">
      <c r="A1312" s="447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7">
        <v>256679</v>
      </c>
      <c r="F1312" s="3" t="str">
        <f>IFERROR(VLOOKUP(E1312,BD!$L$2:$Q$66,2,0),0)</f>
        <v>TRIPACK CC+IK+IK PFM 3LX3 - RFNN</v>
      </c>
      <c r="G1312" s="424">
        <v>720</v>
      </c>
      <c r="H1312" s="3">
        <f>+IFERROR(VLOOKUP(E1312,BD!$L$2:$Q$66,6,0),0)</f>
        <v>90</v>
      </c>
      <c r="I1312" s="96">
        <f>IFERROR(G1312*VLOOKUP($E1312,BD!$L$2:$Q$66,5,0),0)</f>
        <v>122.4</v>
      </c>
      <c r="J1312" s="3">
        <f t="shared" si="83"/>
        <v>2021</v>
      </c>
    </row>
    <row r="1313" spans="1:10" s="9" customFormat="1" hidden="1" x14ac:dyDescent="0.25">
      <c r="A1313" s="447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7">
        <v>256678</v>
      </c>
      <c r="F1313" s="3" t="str">
        <f>IFERROR(VLOOKUP(E1313,BD!$L$2:$Q$66,2,0),0)</f>
        <v>TRIPACK (CC+IK)PFM+FT PET 3LX3 - RFNN</v>
      </c>
      <c r="G1313" s="424">
        <v>2610</v>
      </c>
      <c r="H1313" s="3">
        <f>+IFERROR(VLOOKUP(E1313,BD!$L$2:$Q$66,6,0),0)</f>
        <v>90</v>
      </c>
      <c r="I1313" s="96">
        <f>IFERROR(G1313*VLOOKUP($E1313,BD!$L$2:$Q$66,5,0),0)</f>
        <v>443.70000000000005</v>
      </c>
      <c r="J1313" s="3">
        <f t="shared" si="83"/>
        <v>2021</v>
      </c>
    </row>
    <row r="1314" spans="1:10" s="9" customFormat="1" hidden="1" x14ac:dyDescent="0.25">
      <c r="A1314" s="447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7">
        <v>256695</v>
      </c>
      <c r="F1314" s="3" t="str">
        <f>IFERROR(VLOOKUP(E1314,BD!$L$2:$Q$66,2,0),0)</f>
        <v>POWERADE 3MORA+3FRUT PET 473MLX6</v>
      </c>
      <c r="G1314" s="424">
        <v>225</v>
      </c>
      <c r="H1314" s="3">
        <f>+IFERROR(VLOOKUP(E1314,BD!$L$2:$Q$66,6,0),0)</f>
        <v>225</v>
      </c>
      <c r="I1314" s="96">
        <f>IFERROR(G1314*VLOOKUP($E1314,BD!$L$2:$Q$66,5,0),0)</f>
        <v>94.5</v>
      </c>
      <c r="J1314" s="3">
        <f t="shared" si="83"/>
        <v>2021</v>
      </c>
    </row>
    <row r="1315" spans="1:10" s="9" customFormat="1" hidden="1" x14ac:dyDescent="0.25">
      <c r="A1315" s="447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7">
        <v>251406</v>
      </c>
      <c r="F1315" s="3" t="str">
        <f>IFERROR(VLOOKUP(E1315,BD!$L$2:$Q$66,2,0),0)</f>
        <v>COCA-COLA SIN AZUCAR PET 1.5LX2</v>
      </c>
      <c r="G1315" s="503">
        <f>216*6</f>
        <v>1296</v>
      </c>
      <c r="H1315" s="3">
        <f>+IFERROR(VLOOKUP(E1315,BD!$L$2:$Q$66,6,0),0)</f>
        <v>198</v>
      </c>
      <c r="I1315" s="96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hidden="1" x14ac:dyDescent="0.25">
      <c r="A1316" s="447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7">
        <v>256381</v>
      </c>
      <c r="F1316" s="3" t="str">
        <f>IFERROR(VLOOKUP(E1316,BD!$L$2:$Q$66,2,0),0)</f>
        <v>INCA KOLA VR 1.5LX8 - STICKER</v>
      </c>
      <c r="G1316" s="424">
        <f>30*3</f>
        <v>90</v>
      </c>
      <c r="H1316" s="3">
        <f>+IFERROR(VLOOKUP(E1316,BD!$L$2:$Q$66,6,0),0)</f>
        <v>30</v>
      </c>
      <c r="I1316" s="96">
        <f>IFERROR(G1316*VLOOKUP($E1316,BD!$L$2:$Q$66,5,0),0)</f>
        <v>36</v>
      </c>
      <c r="J1316" s="3">
        <f t="shared" si="87"/>
        <v>2021</v>
      </c>
    </row>
    <row r="1317" spans="1:10" s="9" customFormat="1" hidden="1" x14ac:dyDescent="0.25">
      <c r="A1317" s="447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7">
        <v>256685</v>
      </c>
      <c r="F1317" s="3" t="str">
        <f>IFERROR(VLOOKUP(E1317,BD!$L$2:$Q$66,2,0),0)</f>
        <v>SL S/G TAPA PLANA 1LT</v>
      </c>
      <c r="G1317" s="424">
        <f>112*2</f>
        <v>224</v>
      </c>
      <c r="H1317" s="3">
        <f>+IFERROR(VLOOKUP(E1317,BD!$L$2:$Q$66,6,0),0)</f>
        <v>112</v>
      </c>
      <c r="I1317" s="96">
        <f>IFERROR(G1317*VLOOKUP($E1317,BD!$L$2:$Q$66,5,0),0)</f>
        <v>89.600000000000009</v>
      </c>
      <c r="J1317" s="3">
        <f t="shared" si="87"/>
        <v>2021</v>
      </c>
    </row>
    <row r="1318" spans="1:10" s="9" customFormat="1" hidden="1" x14ac:dyDescent="0.25">
      <c r="A1318" s="447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7">
        <v>254762</v>
      </c>
      <c r="F1318" s="3" t="str">
        <f>IFERROR(VLOOKUP(E1318,BD!$L$2:$Q$66,2,0),0)</f>
        <v xml:space="preserve">SAN LUIS SPORT S/G 10 Lt x6 </v>
      </c>
      <c r="G1318" s="424">
        <f>112*2</f>
        <v>224</v>
      </c>
      <c r="H1318" s="3">
        <f>+IFERROR(VLOOKUP(E1318,BD!$L$2:$Q$66,6,0),0)</f>
        <v>240</v>
      </c>
      <c r="I1318" s="96">
        <f>IFERROR(G1318*VLOOKUP($E1318,BD!$L$2:$Q$66,5,0),0)</f>
        <v>89.600000000000009</v>
      </c>
      <c r="J1318" s="3">
        <f t="shared" si="87"/>
        <v>2021</v>
      </c>
    </row>
    <row r="1319" spans="1:10" s="9" customFormat="1" hidden="1" x14ac:dyDescent="0.25">
      <c r="A1319" s="447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7">
        <v>256675</v>
      </c>
      <c r="F1319" s="3" t="str">
        <f>IFERROR(VLOOKUP(E1319,BD!$L$2:$Q$66,2,0),0)</f>
        <v>INCA KOLA PET 1.5LX2 RF</v>
      </c>
      <c r="G1319" s="503">
        <f>216*3</f>
        <v>648</v>
      </c>
      <c r="H1319" s="3">
        <f>+IFERROR(VLOOKUP(E1319,BD!$L$2:$Q$66,6,0),0)</f>
        <v>198</v>
      </c>
      <c r="I1319" s="96">
        <f>IFERROR(G1319*VLOOKUP($E1319,BD!$L$2:$Q$66,5,0),0)</f>
        <v>110.16000000000001</v>
      </c>
      <c r="J1319" s="3">
        <f t="shared" si="83"/>
        <v>2021</v>
      </c>
    </row>
    <row r="1320" spans="1:10" s="9" customFormat="1" hidden="1" x14ac:dyDescent="0.25">
      <c r="A1320" s="447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7">
        <v>256682</v>
      </c>
      <c r="F1320" s="3" t="str">
        <f>IFERROR(VLOOKUP(E1320,BD!$L$2:$Q$66,2,0),0)</f>
        <v>TRIPACK (FT NAR+SP)PET+IK RF PFM 3L</v>
      </c>
      <c r="G1320" s="507">
        <f>90*4</f>
        <v>360</v>
      </c>
      <c r="H1320" s="3">
        <f>+IFERROR(VLOOKUP(E1320,BD!$L$2:$Q$66,6,0),0)</f>
        <v>90</v>
      </c>
      <c r="I1320" s="96">
        <f>IFERROR(G1320*VLOOKUP($E1320,BD!$L$2:$Q$66,5,0),0)</f>
        <v>61.2</v>
      </c>
      <c r="J1320" s="3">
        <f t="shared" si="83"/>
        <v>2021</v>
      </c>
    </row>
    <row r="1321" spans="1:10" s="9" customFormat="1" hidden="1" x14ac:dyDescent="0.25">
      <c r="A1321" s="447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7">
        <v>256695</v>
      </c>
      <c r="F1321" s="3" t="str">
        <f>IFERROR(VLOOKUP(E1321,BD!$L$2:$Q$66,2,0),0)</f>
        <v>POWERADE 3MORA+3FRUT PET 473MLX6</v>
      </c>
      <c r="G1321" s="424">
        <f>225*7</f>
        <v>1575</v>
      </c>
      <c r="H1321" s="3">
        <f>+IFERROR(VLOOKUP(E1321,BD!$L$2:$Q$66,6,0),0)</f>
        <v>225</v>
      </c>
      <c r="I1321" s="96">
        <f>IFERROR(G1321*VLOOKUP($E1321,BD!$L$2:$Q$66,5,0),0)</f>
        <v>661.5</v>
      </c>
      <c r="J1321" s="3">
        <f t="shared" si="83"/>
        <v>2021</v>
      </c>
    </row>
    <row r="1322" spans="1:10" s="9" customFormat="1" hidden="1" x14ac:dyDescent="0.25">
      <c r="A1322" s="447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7">
        <v>256708</v>
      </c>
      <c r="F1322" s="3" t="str">
        <f>IFERROR(VLOOKUP(E1322,BD!$L$2:$Q$66,2,0),0)</f>
        <v>POWERADE ION4 FRUTA PET473X6 MOD (STICK)</v>
      </c>
      <c r="G1322" s="424">
        <f>225*6</f>
        <v>1350</v>
      </c>
      <c r="H1322" s="3">
        <f>+IFERROR(VLOOKUP(E1322,BD!$L$2:$Q$66,6,0),0)</f>
        <v>225</v>
      </c>
      <c r="I1322" s="96">
        <f>IFERROR(G1322*VLOOKUP($E1322,BD!$L$2:$Q$66,5,0),0)</f>
        <v>540</v>
      </c>
      <c r="J1322" s="3">
        <f t="shared" si="83"/>
        <v>2021</v>
      </c>
    </row>
    <row r="1323" spans="1:10" s="9" customFormat="1" hidden="1" x14ac:dyDescent="0.25">
      <c r="A1323" s="447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7">
        <v>256709</v>
      </c>
      <c r="F1323" s="3" t="str">
        <f>IFERROR(VLOOKUP(E1323,BD!$L$2:$Q$66,2,0),0)</f>
        <v>POWERADE ION4 MORA AZ PET473X6 MOD(STCK)</v>
      </c>
      <c r="G1323" s="424">
        <f>225*5</f>
        <v>1125</v>
      </c>
      <c r="H1323" s="3">
        <f>+IFERROR(VLOOKUP(E1323,BD!$L$2:$Q$66,6,0),0)</f>
        <v>225</v>
      </c>
      <c r="I1323" s="96">
        <f>IFERROR(G1323*VLOOKUP($E1323,BD!$L$2:$Q$66,5,0),0)</f>
        <v>450</v>
      </c>
      <c r="J1323" s="3">
        <f t="shared" si="83"/>
        <v>2021</v>
      </c>
    </row>
    <row r="1324" spans="1:10" s="9" customFormat="1" hidden="1" x14ac:dyDescent="0.25">
      <c r="A1324" s="447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7">
        <v>254852</v>
      </c>
      <c r="F1324" s="3" t="str">
        <f>IFERROR(VLOOKUP(E1324,BD!$L$2:$Q$66,2,0),0)</f>
        <v>INCA KOLA PET 500MLX6</v>
      </c>
      <c r="G1324" s="425">
        <f>250*5</f>
        <v>1250</v>
      </c>
      <c r="H1324" s="3">
        <f>+IFERROR(VLOOKUP(E1324,BD!$L$2:$Q$66,6,0),0)</f>
        <v>225</v>
      </c>
      <c r="I1324" s="96">
        <f>IFERROR(G1324*VLOOKUP($E1324,BD!$L$2:$Q$66,5,0),0)</f>
        <v>525</v>
      </c>
      <c r="J1324" s="3">
        <f t="shared" si="83"/>
        <v>2021</v>
      </c>
    </row>
    <row r="1325" spans="1:10" s="9" customFormat="1" hidden="1" x14ac:dyDescent="0.25">
      <c r="A1325" s="447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7">
        <v>251429</v>
      </c>
      <c r="F1325" s="3" t="str">
        <f>IFERROR(VLOOKUP(E1325,BD!$L$2:$Q$66,2,0),0)</f>
        <v>SAN LUIS SIN GAS PET2500X6 STICKER</v>
      </c>
      <c r="G1325" s="424">
        <f>48*35</f>
        <v>1680</v>
      </c>
      <c r="H1325" s="3">
        <f>+IFERROR(VLOOKUP(E1325,BD!$L$2:$Q$66,6,0),0)</f>
        <v>48</v>
      </c>
      <c r="I1325" s="96">
        <f>IFERROR(G1325*VLOOKUP($E1325,BD!$L$2:$Q$66,5,0),0)</f>
        <v>672</v>
      </c>
      <c r="J1325" s="3">
        <f t="shared" si="83"/>
        <v>2021</v>
      </c>
    </row>
    <row r="1326" spans="1:10" s="9" customFormat="1" hidden="1" x14ac:dyDescent="0.25">
      <c r="A1326" s="447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7">
        <v>256677</v>
      </c>
      <c r="F1326" s="3" t="str">
        <f>IFERROR(VLOOKUP(E1326,BD!$L$2:$Q$66,2,0),0)</f>
        <v>TWO PACK CC + IK PFM 3LX2 - RFNN</v>
      </c>
      <c r="G1326" s="424">
        <f>120*8</f>
        <v>960</v>
      </c>
      <c r="H1326" s="3">
        <f>+IFERROR(VLOOKUP(E1326,BD!$L$2:$Q$66,6,0),0)</f>
        <v>120</v>
      </c>
      <c r="I1326" s="96">
        <f>IFERROR(G1326*VLOOKUP($E1326,BD!$L$2:$Q$66,5,0),0)</f>
        <v>163.20000000000002</v>
      </c>
      <c r="J1326" s="3">
        <f t="shared" si="83"/>
        <v>2021</v>
      </c>
    </row>
    <row r="1327" spans="1:10" s="9" customFormat="1" hidden="1" x14ac:dyDescent="0.25">
      <c r="A1327" s="447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7">
        <v>254853</v>
      </c>
      <c r="F1327" s="3" t="str">
        <f>IFERROR(VLOOKUP(E1327,BD!$L$2:$Q$66,2,0),0)</f>
        <v>INCA KOLA SIN AZUCAR PET 1.5LX2</v>
      </c>
      <c r="G1327" s="503">
        <f>216*4</f>
        <v>864</v>
      </c>
      <c r="H1327" s="3">
        <f>+IFERROR(VLOOKUP(E1327,BD!$L$2:$Q$66,6,0),0)</f>
        <v>198</v>
      </c>
      <c r="I1327" s="96">
        <f>IFERROR(G1327*VLOOKUP($E1327,BD!$L$2:$Q$66,5,0),0)</f>
        <v>146.88000000000002</v>
      </c>
      <c r="J1327" s="3">
        <f t="shared" si="83"/>
        <v>2021</v>
      </c>
    </row>
    <row r="1328" spans="1:10" s="9" customFormat="1" hidden="1" x14ac:dyDescent="0.25">
      <c r="A1328" s="447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7">
        <v>256678</v>
      </c>
      <c r="F1328" s="3" t="str">
        <f>IFERROR(VLOOKUP(E1328,BD!$L$2:$Q$66,2,0),0)</f>
        <v>TRIPACK (CC+IK)PFM+FT PET 3LX3 - RFNN</v>
      </c>
      <c r="G1328" s="424">
        <f>90*15</f>
        <v>1350</v>
      </c>
      <c r="H1328" s="3">
        <f>+IFERROR(VLOOKUP(E1328,BD!$L$2:$Q$66,6,0),0)</f>
        <v>90</v>
      </c>
      <c r="I1328" s="96">
        <f>IFERROR(G1328*VLOOKUP($E1328,BD!$L$2:$Q$66,5,0),0)</f>
        <v>229.50000000000003</v>
      </c>
      <c r="J1328" s="3">
        <f t="shared" si="83"/>
        <v>2021</v>
      </c>
    </row>
    <row r="1329" spans="1:10" s="9" customFormat="1" hidden="1" x14ac:dyDescent="0.25">
      <c r="A1329" s="447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7">
        <v>256652</v>
      </c>
      <c r="F1329" s="3" t="str">
        <f>IFERROR(VLOOKUP(E1329,BD!$L$2:$Q$66,2,0),0)</f>
        <v>TRIPACK FT NAR+FT KI+SP PET 3L</v>
      </c>
      <c r="G1329" s="424">
        <f>90*8</f>
        <v>720</v>
      </c>
      <c r="H1329" s="3">
        <f>+IFERROR(VLOOKUP(E1329,BD!$L$2:$Q$66,6,0),0)</f>
        <v>90</v>
      </c>
      <c r="I1329" s="96">
        <f>IFERROR(G1329*VLOOKUP($E1329,BD!$L$2:$Q$66,5,0),0)</f>
        <v>122.4</v>
      </c>
      <c r="J1329" s="3">
        <f t="shared" si="83"/>
        <v>2021</v>
      </c>
    </row>
    <row r="1330" spans="1:10" s="9" customFormat="1" hidden="1" x14ac:dyDescent="0.25">
      <c r="A1330" s="447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7">
        <v>256488</v>
      </c>
      <c r="F1330" s="3" t="str">
        <f>IFERROR(VLOOKUP(E1330,BD!$L$2:$Q$66,2,0),0)</f>
        <v>INCA KOLA PET 3LX2 - RF</v>
      </c>
      <c r="G1330" s="424">
        <f>120*6</f>
        <v>720</v>
      </c>
      <c r="H1330" s="3">
        <f>+IFERROR(VLOOKUP(E1330,BD!$L$2:$Q$66,6,0),0)</f>
        <v>120</v>
      </c>
      <c r="I1330" s="96">
        <f>IFERROR(G1330*VLOOKUP($E1330,BD!$L$2:$Q$66,5,0),0)</f>
        <v>122.4</v>
      </c>
      <c r="J1330" s="3">
        <f t="shared" si="83"/>
        <v>2021</v>
      </c>
    </row>
    <row r="1331" spans="1:10" s="9" customFormat="1" hidden="1" x14ac:dyDescent="0.25">
      <c r="A1331" s="447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7">
        <v>256679</v>
      </c>
      <c r="F1331" s="3" t="str">
        <f>IFERROR(VLOOKUP(E1331,BD!$L$2:$Q$66,2,0),0)</f>
        <v>TRIPACK CC+IK+IK PFM 3LX3 - RFNN</v>
      </c>
      <c r="G1331" s="424">
        <f>90*2</f>
        <v>180</v>
      </c>
      <c r="H1331" s="3">
        <f>+IFERROR(VLOOKUP(E1331,BD!$L$2:$Q$66,6,0),0)</f>
        <v>90</v>
      </c>
      <c r="I1331" s="96">
        <f>IFERROR(G1331*VLOOKUP($E1331,BD!$L$2:$Q$66,5,0),0)</f>
        <v>30.6</v>
      </c>
      <c r="J1331" s="3">
        <f t="shared" si="83"/>
        <v>2021</v>
      </c>
    </row>
    <row r="1332" spans="1:10" s="9" customFormat="1" hidden="1" x14ac:dyDescent="0.25">
      <c r="A1332" s="447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7">
        <v>256383</v>
      </c>
      <c r="F1332" s="3" t="str">
        <f>IFERROR(VLOOKUP(E1332,BD!$L$2:$Q$66,2,0),0)</f>
        <v>COCA COLA VR 1.5LX8 - STICKER</v>
      </c>
      <c r="G1332" s="424">
        <f>30*3</f>
        <v>90</v>
      </c>
      <c r="H1332" s="3">
        <f>+IFERROR(VLOOKUP(E1332,BD!$L$2:$Q$66,6,0),0)</f>
        <v>30</v>
      </c>
      <c r="I1332" s="96">
        <f>IFERROR(G1332*VLOOKUP($E1332,BD!$L$2:$Q$66,5,0),0)</f>
        <v>20.7</v>
      </c>
      <c r="J1332" s="3">
        <f t="shared" si="83"/>
        <v>2021</v>
      </c>
    </row>
    <row r="1333" spans="1:10" s="9" customFormat="1" hidden="1" x14ac:dyDescent="0.25">
      <c r="A1333" s="447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7">
        <v>256380</v>
      </c>
      <c r="F1333" s="3" t="str">
        <f>IFERROR(VLOOKUP(E1333,BD!$L$2:$Q$66,2,0),0)</f>
        <v>INCA KOLA VR 296MLX24 - STICKER</v>
      </c>
      <c r="G1333" s="424">
        <f>40*2</f>
        <v>80</v>
      </c>
      <c r="H1333" s="3">
        <f>+IFERROR(VLOOKUP(E1333,BD!$L$2:$Q$66,6,0),0)</f>
        <v>40</v>
      </c>
      <c r="I1333" s="96">
        <f>IFERROR(G1333*VLOOKUP($E1333,BD!$L$2:$Q$66,5,0),0)</f>
        <v>18.400000000000002</v>
      </c>
      <c r="J1333" s="3">
        <f t="shared" si="83"/>
        <v>2021</v>
      </c>
    </row>
    <row r="1334" spans="1:10" s="9" customFormat="1" hidden="1" x14ac:dyDescent="0.25">
      <c r="A1334" s="447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7">
        <v>256379</v>
      </c>
      <c r="F1334" s="3" t="str">
        <f>IFERROR(VLOOKUP(E1334,BD!$L$2:$Q$66,2,0),0)</f>
        <v>INCA KOLA VR 625MLX12 - STICKER</v>
      </c>
      <c r="G1334" s="424">
        <f>50*2</f>
        <v>100</v>
      </c>
      <c r="H1334" s="3">
        <f>+IFERROR(VLOOKUP(E1334,BD!$L$2:$Q$66,6,0),0)</f>
        <v>50</v>
      </c>
      <c r="I1334" s="96">
        <f>IFERROR(G1334*VLOOKUP($E1334,BD!$L$2:$Q$66,5,0),0)</f>
        <v>40</v>
      </c>
      <c r="J1334" s="3">
        <f t="shared" si="83"/>
        <v>2021</v>
      </c>
    </row>
    <row r="1335" spans="1:10" s="9" customFormat="1" hidden="1" x14ac:dyDescent="0.25">
      <c r="A1335" s="447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7">
        <v>751544</v>
      </c>
      <c r="F1335" s="3" t="str">
        <f>IFERROR(VLOOKUP(E1335,BD!$L$2:$Q$66,2,0),0)</f>
        <v>MONSTER ENERGY ZERO 473MLX4</v>
      </c>
      <c r="G1335" s="424">
        <f>420*4</f>
        <v>1680</v>
      </c>
      <c r="H1335" s="3">
        <f>+IFERROR(VLOOKUP(E1335,BD!$L$2:$Q$66,6,0),0)</f>
        <v>420</v>
      </c>
      <c r="I1335" s="96">
        <f>IFERROR(G1335*VLOOKUP($E1335,BD!$L$2:$Q$66,5,0),0)</f>
        <v>705.6</v>
      </c>
      <c r="J1335" s="3">
        <f t="shared" si="83"/>
        <v>2021</v>
      </c>
    </row>
    <row r="1336" spans="1:10" s="9" customFormat="1" hidden="1" x14ac:dyDescent="0.25">
      <c r="A1336" s="447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7">
        <v>256617</v>
      </c>
      <c r="F1336" s="3" t="str">
        <f>IFERROR(VLOOKUP(E1336,BD!$L$2:$Q$66,2,0),0)</f>
        <v>TWO PACK SCHWEPPES GINGER ALE PET 1.5LX2</v>
      </c>
      <c r="G1336" s="424">
        <f>198*3</f>
        <v>594</v>
      </c>
      <c r="H1336" s="3">
        <f>+IFERROR(VLOOKUP(E1336,BD!$L$2:$Q$66,6,0),0)</f>
        <v>198</v>
      </c>
      <c r="I1336" s="96">
        <f>IFERROR(G1336*VLOOKUP($E1336,BD!$L$2:$Q$66,5,0),0)</f>
        <v>100.98</v>
      </c>
      <c r="J1336" s="3">
        <f t="shared" si="83"/>
        <v>2021</v>
      </c>
    </row>
    <row r="1337" spans="1:10" s="9" customFormat="1" hidden="1" x14ac:dyDescent="0.25">
      <c r="A1337" s="447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7">
        <v>256666</v>
      </c>
      <c r="F1337" s="3" t="str">
        <f>IFERROR(VLOOKUP(E1337,BD!$L$2:$Q$66,2,0),0)</f>
        <v>COCA-COLA PET 2.25LX2 RF</v>
      </c>
      <c r="G1337" s="424">
        <f>162*4</f>
        <v>648</v>
      </c>
      <c r="H1337" s="3">
        <f>+IFERROR(VLOOKUP(E1337,BD!$L$2:$Q$66,6,0),0)</f>
        <v>162</v>
      </c>
      <c r="I1337" s="96">
        <f>IFERROR(G1337*VLOOKUP($E1337,BD!$L$2:$Q$66,5,0),0)</f>
        <v>110.16000000000001</v>
      </c>
      <c r="J1337" s="3">
        <f t="shared" si="83"/>
        <v>2021</v>
      </c>
    </row>
    <row r="1338" spans="1:10" s="9" customFormat="1" hidden="1" x14ac:dyDescent="0.25">
      <c r="A1338" s="447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7">
        <v>256556</v>
      </c>
      <c r="F1338" s="3" t="str">
        <f>IFERROR(VLOOKUP(E1338,BD!$L$2:$Q$66,2,0),0)</f>
        <v>COCA COLA PFM 3 LT PQX 2 - RF</v>
      </c>
      <c r="G1338" s="424">
        <v>720</v>
      </c>
      <c r="H1338" s="3">
        <f>+IFERROR(VLOOKUP(E1338,BD!$L$2:$Q$66,6,0),0)</f>
        <v>120</v>
      </c>
      <c r="I1338" s="96">
        <f>IFERROR(G1338*VLOOKUP($E1338,BD!$L$2:$Q$66,5,0),0)</f>
        <v>122.4</v>
      </c>
      <c r="J1338" s="3">
        <f t="shared" si="83"/>
        <v>2021</v>
      </c>
    </row>
    <row r="1339" spans="1:10" s="9" customFormat="1" hidden="1" x14ac:dyDescent="0.25">
      <c r="A1339" s="447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7">
        <v>256674</v>
      </c>
      <c r="F1339" s="3" t="str">
        <f>IFERROR(VLOOKUP(E1339,BD!$L$2:$Q$66,2,0),0)</f>
        <v>COCA-COLA PET 1.5LX2 RF</v>
      </c>
      <c r="G1339" s="503">
        <v>1944</v>
      </c>
      <c r="H1339" s="3">
        <f>+IFERROR(VLOOKUP(E1339,BD!$L$2:$Q$66,6,0),0)</f>
        <v>198</v>
      </c>
      <c r="I1339" s="96">
        <f>IFERROR(G1339*VLOOKUP($E1339,BD!$L$2:$Q$66,5,0),0)</f>
        <v>330.48</v>
      </c>
      <c r="J1339" s="3">
        <f t="shared" si="83"/>
        <v>2021</v>
      </c>
    </row>
    <row r="1340" spans="1:10" s="9" customFormat="1" hidden="1" x14ac:dyDescent="0.25">
      <c r="A1340" s="447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7">
        <v>751315</v>
      </c>
      <c r="F1340" s="3" t="str">
        <f>IFERROR(VLOOKUP(E1340,BD!$L$2:$Q$66,2,0),0)</f>
        <v>MONSTER ENERGY 473MLX4</v>
      </c>
      <c r="G1340" s="424">
        <v>2100</v>
      </c>
      <c r="H1340" s="3">
        <f>+IFERROR(VLOOKUP(E1340,BD!$L$2:$Q$66,6,0),0)</f>
        <v>420</v>
      </c>
      <c r="I1340" s="96">
        <f>IFERROR(G1340*VLOOKUP($E1340,BD!$L$2:$Q$66,5,0),0)</f>
        <v>882</v>
      </c>
      <c r="J1340" s="3">
        <f t="shared" si="83"/>
        <v>2021</v>
      </c>
    </row>
    <row r="1341" spans="1:10" s="9" customFormat="1" hidden="1" x14ac:dyDescent="0.25">
      <c r="A1341" s="447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7">
        <v>254853</v>
      </c>
      <c r="F1341" s="3" t="str">
        <f>IFERROR(VLOOKUP(E1341,BD!$L$2:$Q$66,2,0),0)</f>
        <v>INCA KOLA SIN AZUCAR PET 1.5LX2</v>
      </c>
      <c r="G1341" s="503">
        <v>2160</v>
      </c>
      <c r="H1341" s="3">
        <f>+IFERROR(VLOOKUP(E1341,BD!$L$2:$Q$66,6,0),0)</f>
        <v>198</v>
      </c>
      <c r="I1341" s="96">
        <f>IFERROR(G1341*VLOOKUP($E1341,BD!$L$2:$Q$66,5,0),0)</f>
        <v>367.20000000000005</v>
      </c>
      <c r="J1341" s="3">
        <f t="shared" si="83"/>
        <v>2021</v>
      </c>
    </row>
    <row r="1342" spans="1:10" s="9" customFormat="1" hidden="1" x14ac:dyDescent="0.25">
      <c r="A1342" s="447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7">
        <v>256674</v>
      </c>
      <c r="F1342" s="3" t="str">
        <f>IFERROR(VLOOKUP(E1342,BD!$L$2:$Q$66,2,0),0)</f>
        <v>COCA-COLA PET 1.5LX2 RF</v>
      </c>
      <c r="G1342" s="503">
        <v>3888</v>
      </c>
      <c r="H1342" s="3">
        <f>+IFERROR(VLOOKUP(E1342,BD!$L$2:$Q$66,6,0),0)</f>
        <v>198</v>
      </c>
      <c r="I1342" s="96">
        <f>IFERROR(G1342*VLOOKUP($E1342,BD!$L$2:$Q$66,5,0),0)</f>
        <v>660.96</v>
      </c>
      <c r="J1342" s="3">
        <f t="shared" si="83"/>
        <v>2021</v>
      </c>
    </row>
    <row r="1343" spans="1:10" s="9" customFormat="1" hidden="1" x14ac:dyDescent="0.25">
      <c r="A1343" s="447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7">
        <v>256666</v>
      </c>
      <c r="F1343" s="3" t="str">
        <f>IFERROR(VLOOKUP(E1343,BD!$L$2:$Q$66,2,0),0)</f>
        <v>COCA-COLA PET 2.25LX2 RF</v>
      </c>
      <c r="G1343" s="424">
        <v>658</v>
      </c>
      <c r="H1343" s="3">
        <f>+IFERROR(VLOOKUP(E1343,BD!$L$2:$Q$66,6,0),0)</f>
        <v>162</v>
      </c>
      <c r="I1343" s="96">
        <f>IFERROR(G1343*VLOOKUP($E1343,BD!$L$2:$Q$66,5,0),0)</f>
        <v>111.86000000000001</v>
      </c>
      <c r="J1343" s="3">
        <f t="shared" si="83"/>
        <v>2021</v>
      </c>
    </row>
    <row r="1344" spans="1:10" s="9" customFormat="1" hidden="1" x14ac:dyDescent="0.25">
      <c r="A1344" s="447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7">
        <v>256652</v>
      </c>
      <c r="F1344" s="3" t="str">
        <f>IFERROR(VLOOKUP(E1344,BD!$L$2:$Q$66,2,0),0)</f>
        <v>TRIPACK FT NAR+FT KI+SP PET 3L</v>
      </c>
      <c r="G1344" s="424">
        <v>1350</v>
      </c>
      <c r="H1344" s="3">
        <f>+IFERROR(VLOOKUP(E1344,BD!$L$2:$Q$66,6,0),0)</f>
        <v>90</v>
      </c>
      <c r="I1344" s="96">
        <f>IFERROR(G1344*VLOOKUP($E1344,BD!$L$2:$Q$66,5,0),0)</f>
        <v>229.50000000000003</v>
      </c>
      <c r="J1344" s="3">
        <f t="shared" si="83"/>
        <v>2021</v>
      </c>
    </row>
    <row r="1345" spans="1:10" s="9" customFormat="1" hidden="1" x14ac:dyDescent="0.25">
      <c r="A1345" s="447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7">
        <v>256678</v>
      </c>
      <c r="F1345" s="3" t="str">
        <f>IFERROR(VLOOKUP(E1345,BD!$L$2:$Q$66,2,0),0)</f>
        <v>TRIPACK (CC+IK)PFM+FT PET 3LX3 - RFNN</v>
      </c>
      <c r="G1345" s="424">
        <v>720</v>
      </c>
      <c r="H1345" s="3">
        <f>+IFERROR(VLOOKUP(E1345,BD!$L$2:$Q$66,6,0),0)</f>
        <v>90</v>
      </c>
      <c r="I1345" s="96">
        <f>IFERROR(G1345*VLOOKUP($E1345,BD!$L$2:$Q$66,5,0),0)</f>
        <v>122.4</v>
      </c>
      <c r="J1345" s="3">
        <f t="shared" si="83"/>
        <v>2021</v>
      </c>
    </row>
    <row r="1346" spans="1:10" s="9" customFormat="1" hidden="1" x14ac:dyDescent="0.25">
      <c r="A1346" s="447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7">
        <v>256488</v>
      </c>
      <c r="F1346" s="3" t="str">
        <f>IFERROR(VLOOKUP(E1346,BD!$L$2:$Q$66,2,0),0)</f>
        <v>INCA KOLA PET 3LX2 - RF</v>
      </c>
      <c r="G1346" s="424">
        <v>480</v>
      </c>
      <c r="H1346" s="3">
        <f>+IFERROR(VLOOKUP(E1346,BD!$L$2:$Q$66,6,0),0)</f>
        <v>120</v>
      </c>
      <c r="I1346" s="96">
        <f>IFERROR(G1346*VLOOKUP($E1346,BD!$L$2:$Q$66,5,0),0)</f>
        <v>81.600000000000009</v>
      </c>
      <c r="J1346" s="3">
        <f t="shared" si="83"/>
        <v>2021</v>
      </c>
    </row>
    <row r="1347" spans="1:10" s="9" customFormat="1" hidden="1" x14ac:dyDescent="0.25">
      <c r="A1347" s="447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7">
        <v>256676</v>
      </c>
      <c r="F1347" s="3" t="str">
        <f>IFERROR(VLOOKUP(E1347,BD!$L$2:$Q$66,2,0),0)</f>
        <v>TWO PACK CC PFM 3LX2 - RFCC</v>
      </c>
      <c r="G1347" s="424">
        <v>240</v>
      </c>
      <c r="H1347" s="3">
        <f>+IFERROR(VLOOKUP(E1347,BD!$L$2:$Q$66,6,0),0)</f>
        <v>120</v>
      </c>
      <c r="I1347" s="96">
        <f>IFERROR(G1347*VLOOKUP($E1347,BD!$L$2:$Q$66,5,0),0)</f>
        <v>40.800000000000004</v>
      </c>
      <c r="J1347" s="3">
        <f t="shared" si="83"/>
        <v>2021</v>
      </c>
    </row>
    <row r="1348" spans="1:10" s="9" customFormat="1" hidden="1" x14ac:dyDescent="0.25">
      <c r="A1348" s="447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7">
        <v>256677</v>
      </c>
      <c r="F1348" s="3" t="str">
        <f>IFERROR(VLOOKUP(E1348,BD!$L$2:$Q$66,2,0),0)</f>
        <v>TWO PACK CC + IK PFM 3LX2 - RFNN</v>
      </c>
      <c r="G1348" s="424">
        <v>2040</v>
      </c>
      <c r="H1348" s="3">
        <f>+IFERROR(VLOOKUP(E1348,BD!$L$2:$Q$66,6,0),0)</f>
        <v>120</v>
      </c>
      <c r="I1348" s="96">
        <f>IFERROR(G1348*VLOOKUP($E1348,BD!$L$2:$Q$66,5,0),0)</f>
        <v>346.8</v>
      </c>
      <c r="J1348" s="3">
        <f t="shared" si="83"/>
        <v>2021</v>
      </c>
    </row>
    <row r="1349" spans="1:10" s="9" customFormat="1" hidden="1" x14ac:dyDescent="0.25">
      <c r="A1349" s="447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7">
        <v>251429</v>
      </c>
      <c r="F1349" s="3" t="str">
        <f>IFERROR(VLOOKUP(E1349,BD!$L$2:$Q$66,2,0),0)</f>
        <v>SAN LUIS SIN GAS PET2500X6 STICKER</v>
      </c>
      <c r="G1349" s="424">
        <f>48*19</f>
        <v>912</v>
      </c>
      <c r="H1349" s="3">
        <f>+IFERROR(VLOOKUP(E1349,BD!$L$2:$Q$66,6,0),0)</f>
        <v>48</v>
      </c>
      <c r="I1349" s="96">
        <f>IFERROR(G1349*VLOOKUP($E1349,BD!$L$2:$Q$66,5,0),0)</f>
        <v>364.8</v>
      </c>
      <c r="J1349" s="3">
        <f t="shared" si="83"/>
        <v>2021</v>
      </c>
    </row>
    <row r="1350" spans="1:10" s="9" customFormat="1" hidden="1" x14ac:dyDescent="0.25">
      <c r="A1350" s="447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7">
        <v>256617</v>
      </c>
      <c r="F1350" s="3" t="str">
        <f>IFERROR(VLOOKUP(E1350,BD!$L$2:$Q$66,2,0),0)</f>
        <v>TWO PACK SCHWEPPES GINGER ALE PET 1.5LX2</v>
      </c>
      <c r="G1350" s="424">
        <v>396</v>
      </c>
      <c r="H1350" s="3">
        <f>+IFERROR(VLOOKUP(E1350,BD!$L$2:$Q$66,6,0),0)</f>
        <v>198</v>
      </c>
      <c r="I1350" s="96">
        <f>IFERROR(G1350*VLOOKUP($E1350,BD!$L$2:$Q$66,5,0),0)</f>
        <v>67.320000000000007</v>
      </c>
      <c r="J1350" s="3">
        <f t="shared" si="83"/>
        <v>2021</v>
      </c>
    </row>
    <row r="1351" spans="1:10" s="9" customFormat="1" hidden="1" x14ac:dyDescent="0.25">
      <c r="A1351" s="447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7">
        <v>251633</v>
      </c>
      <c r="F1351" s="3" t="str">
        <f>IFERROR(VLOOKUP(E1351,BD!$L$2:$Q$66,2,0),0)</f>
        <v>SAN LUIS CON GAS PET 625MLX6</v>
      </c>
      <c r="G1351" s="425">
        <v>540</v>
      </c>
      <c r="H1351" s="3">
        <f>+IFERROR(VLOOKUP(E1351,BD!$L$2:$Q$66,6,0),0)</f>
        <v>180</v>
      </c>
      <c r="I1351" s="96">
        <f>IFERROR(G1351*VLOOKUP($E1351,BD!$L$2:$Q$66,5,0),0)</f>
        <v>226.79999999999998</v>
      </c>
      <c r="J1351" s="3">
        <f t="shared" si="83"/>
        <v>2021</v>
      </c>
    </row>
    <row r="1352" spans="1:10" s="9" customFormat="1" hidden="1" x14ac:dyDescent="0.25">
      <c r="A1352" s="447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7">
        <v>251406</v>
      </c>
      <c r="F1352" s="3" t="str">
        <f>IFERROR(VLOOKUP(E1352,BD!$L$2:$Q$66,2,0),0)</f>
        <v>COCA-COLA SIN AZUCAR PET 1.5LX2</v>
      </c>
      <c r="G1352" s="504">
        <v>4104</v>
      </c>
      <c r="H1352" s="3">
        <f>+IFERROR(VLOOKUP(E1352,BD!$L$2:$Q$66,6,0),0)</f>
        <v>198</v>
      </c>
      <c r="I1352" s="96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hidden="1" x14ac:dyDescent="0.25">
      <c r="A1353" s="447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7">
        <v>256679</v>
      </c>
      <c r="F1353" s="3" t="str">
        <f>IFERROR(VLOOKUP(E1353,BD!$L$2:$Q$66,2,0),0)</f>
        <v>TRIPACK CC+IK+IK PFM 3LX3 - RFNN</v>
      </c>
      <c r="G1353" s="424">
        <v>180</v>
      </c>
      <c r="H1353" s="3">
        <f>+IFERROR(VLOOKUP(E1353,BD!$L$2:$Q$66,6,0),0)</f>
        <v>90</v>
      </c>
      <c r="I1353" s="96">
        <f>IFERROR(G1353*VLOOKUP($E1353,BD!$L$2:$Q$66,5,0),0)</f>
        <v>30.6</v>
      </c>
      <c r="J1353" s="3">
        <f t="shared" si="91"/>
        <v>2021</v>
      </c>
    </row>
    <row r="1354" spans="1:10" s="9" customFormat="1" hidden="1" x14ac:dyDescent="0.25">
      <c r="A1354" s="447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7">
        <v>256708</v>
      </c>
      <c r="F1354" s="3" t="str">
        <f>IFERROR(VLOOKUP(E1354,BD!$L$2:$Q$66,2,0),0)</f>
        <v>POWERADE ION4 FRUTA PET473X6 MOD (STICK)</v>
      </c>
      <c r="G1354" s="424">
        <v>225</v>
      </c>
      <c r="H1354" s="3">
        <f>+IFERROR(VLOOKUP(E1354,BD!$L$2:$Q$66,6,0),0)</f>
        <v>225</v>
      </c>
      <c r="I1354" s="96">
        <f>IFERROR(G1354*VLOOKUP($E1354,BD!$L$2:$Q$66,5,0),0)</f>
        <v>90</v>
      </c>
      <c r="J1354" s="3">
        <f t="shared" si="91"/>
        <v>2021</v>
      </c>
    </row>
    <row r="1355" spans="1:10" s="9" customFormat="1" hidden="1" x14ac:dyDescent="0.25">
      <c r="A1355" s="447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7">
        <v>254852</v>
      </c>
      <c r="F1355" s="3" t="str">
        <f>IFERROR(VLOOKUP(E1355,BD!$L$2:$Q$66,2,0),0)</f>
        <v>INCA KOLA PET 500MLX6</v>
      </c>
      <c r="G1355" s="424">
        <f>250*4</f>
        <v>1000</v>
      </c>
      <c r="H1355" s="3">
        <f>+IFERROR(VLOOKUP(E1355,BD!$L$2:$Q$66,6,0),0)</f>
        <v>225</v>
      </c>
      <c r="I1355" s="96">
        <f>IFERROR(G1355*VLOOKUP($E1355,BD!$L$2:$Q$66,5,0),0)</f>
        <v>420</v>
      </c>
      <c r="J1355" s="3">
        <f t="shared" si="91"/>
        <v>2021</v>
      </c>
    </row>
    <row r="1356" spans="1:10" s="9" customFormat="1" hidden="1" x14ac:dyDescent="0.25">
      <c r="A1356" s="447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7">
        <v>256695</v>
      </c>
      <c r="F1356" s="3" t="str">
        <f>IFERROR(VLOOKUP(E1356,BD!$L$2:$Q$66,2,0),0)</f>
        <v>POWERADE 3MORA+3FRUT PET 473MLX6</v>
      </c>
      <c r="G1356" s="424">
        <f>225*2</f>
        <v>450</v>
      </c>
      <c r="H1356" s="3">
        <f>+IFERROR(VLOOKUP(E1356,BD!$L$2:$Q$66,6,0),0)</f>
        <v>225</v>
      </c>
      <c r="I1356" s="96">
        <f>IFERROR(G1356*VLOOKUP($E1356,BD!$L$2:$Q$66,5,0),0)</f>
        <v>189</v>
      </c>
      <c r="J1356" s="3">
        <f t="shared" si="91"/>
        <v>2021</v>
      </c>
    </row>
    <row r="1357" spans="1:10" s="9" customFormat="1" hidden="1" x14ac:dyDescent="0.25">
      <c r="A1357" s="447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7">
        <v>256381</v>
      </c>
      <c r="F1357" s="3" t="str">
        <f>IFERROR(VLOOKUP(E1357,BD!$L$2:$Q$66,2,0),0)</f>
        <v>INCA KOLA VR 1.5LX8 - STICKER</v>
      </c>
      <c r="G1357" s="424">
        <v>30</v>
      </c>
      <c r="H1357" s="3">
        <f>+IFERROR(VLOOKUP(E1357,BD!$L$2:$Q$66,6,0),0)</f>
        <v>30</v>
      </c>
      <c r="I1357" s="96">
        <f>IFERROR(G1357*VLOOKUP($E1357,BD!$L$2:$Q$66,5,0),0)</f>
        <v>12</v>
      </c>
      <c r="J1357" s="3">
        <f t="shared" si="91"/>
        <v>2021</v>
      </c>
    </row>
    <row r="1358" spans="1:10" s="9" customFormat="1" hidden="1" x14ac:dyDescent="0.25">
      <c r="A1358" s="447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7">
        <v>256379</v>
      </c>
      <c r="F1358" s="3" t="str">
        <f>IFERROR(VLOOKUP(E1358,BD!$L$2:$Q$66,2,0),0)</f>
        <v>INCA KOLA VR 625MLX12 - STICKER</v>
      </c>
      <c r="G1358" s="424">
        <f>50*3</f>
        <v>150</v>
      </c>
      <c r="H1358" s="3">
        <f>+IFERROR(VLOOKUP(E1358,BD!$L$2:$Q$66,6,0),0)</f>
        <v>50</v>
      </c>
      <c r="I1358" s="96">
        <f>IFERROR(G1358*VLOOKUP($E1358,BD!$L$2:$Q$66,5,0),0)</f>
        <v>60</v>
      </c>
      <c r="J1358" s="3">
        <f t="shared" si="91"/>
        <v>2021</v>
      </c>
    </row>
    <row r="1359" spans="1:10" s="9" customFormat="1" hidden="1" x14ac:dyDescent="0.25">
      <c r="A1359" s="447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7">
        <v>256601</v>
      </c>
      <c r="F1359" s="3" t="str">
        <f>IFERROR(VLOOKUP(E1359,BD!$L$2:$Q$66,2,0),0)</f>
        <v>INCA KOLA PET 2.25LX2 RF</v>
      </c>
      <c r="G1359" s="424">
        <f>162*2</f>
        <v>324</v>
      </c>
      <c r="H1359" s="3">
        <f>+IFERROR(VLOOKUP(E1359,BD!$L$2:$Q$66,6,0),0)</f>
        <v>162</v>
      </c>
      <c r="I1359" s="96">
        <f>IFERROR(G1359*VLOOKUP($E1359,BD!$L$2:$Q$66,5,0),0)</f>
        <v>55.080000000000005</v>
      </c>
      <c r="J1359" s="3">
        <f t="shared" si="91"/>
        <v>2021</v>
      </c>
    </row>
    <row r="1360" spans="1:10" s="9" customFormat="1" hidden="1" x14ac:dyDescent="0.25">
      <c r="A1360" s="447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7">
        <v>256675</v>
      </c>
      <c r="F1360" s="3" t="str">
        <f>IFERROR(VLOOKUP(E1360,BD!$L$2:$Q$66,2,0),0)</f>
        <v>INCA KOLA PET 1.5LX2 RF</v>
      </c>
      <c r="G1360" s="503">
        <f>216*12</f>
        <v>2592</v>
      </c>
      <c r="H1360" s="3">
        <f>+IFERROR(VLOOKUP(E1360,BD!$L$2:$Q$66,6,0),0)</f>
        <v>198</v>
      </c>
      <c r="I1360" s="96">
        <f>IFERROR(G1360*VLOOKUP($E1360,BD!$L$2:$Q$66,5,0),0)</f>
        <v>440.64000000000004</v>
      </c>
      <c r="J1360" s="3">
        <f t="shared" si="91"/>
        <v>2021</v>
      </c>
    </row>
    <row r="1361" spans="1:10" s="9" customFormat="1" hidden="1" x14ac:dyDescent="0.25">
      <c r="A1361" s="447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7">
        <v>256548</v>
      </c>
      <c r="F1361" s="3" t="str">
        <f>IFERROR(VLOOKUP(E1361,BD!$L$2:$Q$66,2,0),0)</f>
        <v>TWO PACK CC PET 1.5LX2 - CRC</v>
      </c>
      <c r="G1361" s="424">
        <v>216</v>
      </c>
      <c r="H1361" s="3">
        <f>+IFERROR(VLOOKUP(E1361,BD!$L$2:$Q$66,6,0),0)</f>
        <v>198</v>
      </c>
      <c r="I1361" s="96">
        <f>IFERROR(G1361*VLOOKUP($E1361,BD!$L$2:$Q$66,5,0),0)</f>
        <v>36.720000000000006</v>
      </c>
      <c r="J1361" s="3">
        <f t="shared" si="91"/>
        <v>2021</v>
      </c>
    </row>
    <row r="1362" spans="1:10" s="9" customFormat="1" hidden="1" x14ac:dyDescent="0.25">
      <c r="A1362" s="447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7">
        <v>751544</v>
      </c>
      <c r="F1362" s="3" t="str">
        <f>IFERROR(VLOOKUP(E1362,BD!$L$2:$Q$66,2,0),0)</f>
        <v>MONSTER ENERGY ZERO 473MLX4</v>
      </c>
      <c r="G1362" s="424">
        <v>420</v>
      </c>
      <c r="H1362" s="3">
        <f>+IFERROR(VLOOKUP(E1362,BD!$L$2:$Q$66,6,0),0)</f>
        <v>420</v>
      </c>
      <c r="I1362" s="96">
        <f>IFERROR(G1362*VLOOKUP($E1362,BD!$L$2:$Q$66,5,0),0)</f>
        <v>176.4</v>
      </c>
      <c r="J1362" s="3">
        <f t="shared" si="91"/>
        <v>2021</v>
      </c>
    </row>
    <row r="1363" spans="1:10" s="9" customFormat="1" hidden="1" x14ac:dyDescent="0.25">
      <c r="A1363" s="447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7">
        <v>251429</v>
      </c>
      <c r="F1363" s="3" t="str">
        <f>IFERROR(VLOOKUP(E1363,BD!$L$2:$Q$66,2,0),0)</f>
        <v>SAN LUIS SIN GAS PET2500X6 STICKER</v>
      </c>
      <c r="G1363" s="424">
        <f>48*21</f>
        <v>1008</v>
      </c>
      <c r="H1363" s="3">
        <f>+IFERROR(VLOOKUP(E1363,BD!$L$2:$Q$66,6,0),0)</f>
        <v>48</v>
      </c>
      <c r="I1363" s="96">
        <f>IFERROR(G1363*VLOOKUP($E1363,BD!$L$2:$Q$66,5,0),0)</f>
        <v>403.20000000000005</v>
      </c>
      <c r="J1363" s="3">
        <f t="shared" si="91"/>
        <v>2021</v>
      </c>
    </row>
    <row r="1364" spans="1:10" s="9" customFormat="1" hidden="1" x14ac:dyDescent="0.25">
      <c r="A1364" s="447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7">
        <v>256383</v>
      </c>
      <c r="F1364" s="3" t="str">
        <f>IFERROR(VLOOKUP(E1364,BD!$L$2:$Q$66,2,0),0)</f>
        <v>COCA COLA VR 1.5LX8 - STICKER</v>
      </c>
      <c r="G1364" s="424">
        <v>120</v>
      </c>
      <c r="H1364" s="3">
        <f>+IFERROR(VLOOKUP(E1364,BD!$L$2:$Q$66,6,0),0)</f>
        <v>30</v>
      </c>
      <c r="I1364" s="96">
        <f>IFERROR(G1364*VLOOKUP($E1364,BD!$L$2:$Q$66,5,0),0)</f>
        <v>27.6</v>
      </c>
      <c r="J1364" s="3">
        <f t="shared" si="91"/>
        <v>2021</v>
      </c>
    </row>
    <row r="1365" spans="1:10" s="9" customFormat="1" hidden="1" x14ac:dyDescent="0.25">
      <c r="A1365" s="447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7">
        <v>256709</v>
      </c>
      <c r="F1365" s="3" t="str">
        <f>IFERROR(VLOOKUP(E1365,BD!$L$2:$Q$66,2,0),0)</f>
        <v>POWERADE ION4 MORA AZ PET473X6 MOD(STCK)</v>
      </c>
      <c r="G1365" s="424">
        <v>900</v>
      </c>
      <c r="H1365" s="3">
        <f>+IFERROR(VLOOKUP(E1365,BD!$L$2:$Q$66,6,0),0)</f>
        <v>225</v>
      </c>
      <c r="I1365" s="96">
        <f>IFERROR(G1365*VLOOKUP($E1365,BD!$L$2:$Q$66,5,0),0)</f>
        <v>360</v>
      </c>
      <c r="J1365" s="3">
        <f t="shared" si="91"/>
        <v>2021</v>
      </c>
    </row>
    <row r="1366" spans="1:10" s="9" customFormat="1" hidden="1" x14ac:dyDescent="0.25">
      <c r="A1366" s="447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7">
        <v>256379</v>
      </c>
      <c r="F1366" s="3" t="str">
        <f>IFERROR(VLOOKUP(E1366,BD!$L$2:$Q$66,2,0),0)</f>
        <v>INCA KOLA VR 625MLX12 - STICKER</v>
      </c>
      <c r="G1366" s="424">
        <v>250</v>
      </c>
      <c r="H1366" s="3">
        <f>+IFERROR(VLOOKUP(E1366,BD!$L$2:$Q$66,6,0),0)</f>
        <v>50</v>
      </c>
      <c r="I1366" s="96">
        <f>IFERROR(G1366*VLOOKUP($E1366,BD!$L$2:$Q$66,5,0),0)</f>
        <v>100</v>
      </c>
      <c r="J1366" s="3">
        <f t="shared" si="91"/>
        <v>2021</v>
      </c>
    </row>
    <row r="1367" spans="1:10" s="9" customFormat="1" hidden="1" x14ac:dyDescent="0.25">
      <c r="A1367" s="447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7">
        <v>254853</v>
      </c>
      <c r="F1367" s="3" t="str">
        <f>IFERROR(VLOOKUP(E1367,BD!$L$2:$Q$66,2,0),0)</f>
        <v>INCA KOLA SIN AZUCAR PET 1.5LX2</v>
      </c>
      <c r="G1367" s="503">
        <v>1512</v>
      </c>
      <c r="H1367" s="3">
        <f>+IFERROR(VLOOKUP(E1367,BD!$L$2:$Q$66,6,0),0)</f>
        <v>198</v>
      </c>
      <c r="I1367" s="96">
        <f>IFERROR(G1367*VLOOKUP($E1367,BD!$L$2:$Q$66,5,0),0)</f>
        <v>257.04000000000002</v>
      </c>
      <c r="J1367" s="3">
        <f t="shared" si="91"/>
        <v>2021</v>
      </c>
    </row>
    <row r="1368" spans="1:10" s="9" customFormat="1" hidden="1" x14ac:dyDescent="0.25">
      <c r="A1368" s="447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7">
        <v>256678</v>
      </c>
      <c r="F1368" s="3" t="str">
        <f>IFERROR(VLOOKUP(E1368,BD!$L$2:$Q$66,2,0),0)</f>
        <v>TRIPACK (CC+IK)PFM+FT PET 3LX3 - RFNN</v>
      </c>
      <c r="G1368" s="424">
        <v>900</v>
      </c>
      <c r="H1368" s="3">
        <f>+IFERROR(VLOOKUP(E1368,BD!$L$2:$Q$66,6,0),0)</f>
        <v>90</v>
      </c>
      <c r="I1368" s="96">
        <f>IFERROR(G1368*VLOOKUP($E1368,BD!$L$2:$Q$66,5,0),0)</f>
        <v>153</v>
      </c>
      <c r="J1368" s="3">
        <f t="shared" si="91"/>
        <v>2021</v>
      </c>
    </row>
    <row r="1369" spans="1:10" s="9" customFormat="1" hidden="1" x14ac:dyDescent="0.25">
      <c r="A1369" s="447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7">
        <v>751468</v>
      </c>
      <c r="F1369" s="3" t="str">
        <f>IFERROR(VLOOKUP(E1369,BD!$L$2:$Q$66,2,0),0)</f>
        <v>MONSTER ENERGY ULTRA 473MLX4</v>
      </c>
      <c r="G1369" s="424">
        <v>2100</v>
      </c>
      <c r="H1369" s="3">
        <f>+IFERROR(VLOOKUP(E1369,BD!$L$2:$Q$66,6,0),0)</f>
        <v>420</v>
      </c>
      <c r="I1369" s="96">
        <f>IFERROR(G1369*VLOOKUP($E1369,BD!$L$2:$Q$66,5,0),0)</f>
        <v>882</v>
      </c>
      <c r="J1369" s="3">
        <f t="shared" si="91"/>
        <v>2021</v>
      </c>
    </row>
    <row r="1370" spans="1:10" s="9" customFormat="1" hidden="1" x14ac:dyDescent="0.25">
      <c r="A1370" s="447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7">
        <v>751544</v>
      </c>
      <c r="F1370" s="3" t="str">
        <f>IFERROR(VLOOKUP(E1370,BD!$L$2:$Q$66,2,0),0)</f>
        <v>MONSTER ENERGY ZERO 473MLX4</v>
      </c>
      <c r="G1370" s="424">
        <f>420*3</f>
        <v>1260</v>
      </c>
      <c r="H1370" s="3">
        <f>+IFERROR(VLOOKUP(E1370,BD!$L$2:$Q$66,6,0),0)</f>
        <v>420</v>
      </c>
      <c r="I1370" s="96">
        <f>IFERROR(G1370*VLOOKUP($E1370,BD!$L$2:$Q$66,5,0),0)</f>
        <v>529.19999999999993</v>
      </c>
      <c r="J1370" s="3">
        <f t="shared" si="91"/>
        <v>2021</v>
      </c>
    </row>
    <row r="1371" spans="1:10" s="9" customFormat="1" hidden="1" x14ac:dyDescent="0.25">
      <c r="A1371" s="447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7">
        <v>751315</v>
      </c>
      <c r="F1371" s="3" t="str">
        <f>IFERROR(VLOOKUP(E1371,BD!$L$2:$Q$66,2,0),0)</f>
        <v>MONSTER ENERGY 473MLX4</v>
      </c>
      <c r="G1371" s="424">
        <v>2100</v>
      </c>
      <c r="H1371" s="3">
        <f>+IFERROR(VLOOKUP(E1371,BD!$L$2:$Q$66,6,0),0)</f>
        <v>420</v>
      </c>
      <c r="I1371" s="96">
        <f>IFERROR(G1371*VLOOKUP($E1371,BD!$L$2:$Q$66,5,0),0)</f>
        <v>882</v>
      </c>
      <c r="J1371" s="3">
        <f t="shared" si="91"/>
        <v>2021</v>
      </c>
    </row>
    <row r="1372" spans="1:10" s="9" customFormat="1" hidden="1" x14ac:dyDescent="0.25">
      <c r="A1372" s="447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7">
        <v>256675</v>
      </c>
      <c r="F1372" s="3" t="str">
        <f>IFERROR(VLOOKUP(E1372,BD!$L$2:$Q$66,2,0),0)</f>
        <v>INCA KOLA PET 1.5LX2 RF</v>
      </c>
      <c r="G1372" s="503">
        <f>216*9</f>
        <v>1944</v>
      </c>
      <c r="H1372" s="3">
        <f>+IFERROR(VLOOKUP(E1372,BD!$L$2:$Q$66,6,0),0)</f>
        <v>198</v>
      </c>
      <c r="I1372" s="96">
        <f>IFERROR(G1372*VLOOKUP($E1372,BD!$L$2:$Q$66,5,0),0)</f>
        <v>330.48</v>
      </c>
      <c r="J1372" s="3">
        <f t="shared" si="91"/>
        <v>2021</v>
      </c>
    </row>
    <row r="1373" spans="1:10" s="9" customFormat="1" hidden="1" x14ac:dyDescent="0.25">
      <c r="A1373" s="447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7">
        <v>251406</v>
      </c>
      <c r="F1373" s="3" t="str">
        <f>IFERROR(VLOOKUP(E1373,BD!$L$2:$Q$66,2,0),0)</f>
        <v>COCA-COLA SIN AZUCAR PET 1.5LX2</v>
      </c>
      <c r="G1373" s="503">
        <v>1080</v>
      </c>
      <c r="H1373" s="3">
        <f>+IFERROR(VLOOKUP(E1373,BD!$L$2:$Q$66,6,0),0)</f>
        <v>198</v>
      </c>
      <c r="I1373" s="96">
        <f>IFERROR(G1373*VLOOKUP($E1373,BD!$L$2:$Q$66,5,0),0)</f>
        <v>183.60000000000002</v>
      </c>
      <c r="J1373" s="3">
        <f t="shared" si="91"/>
        <v>2021</v>
      </c>
    </row>
    <row r="1374" spans="1:10" s="9" customFormat="1" hidden="1" x14ac:dyDescent="0.25">
      <c r="A1374" s="447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7">
        <v>256674</v>
      </c>
      <c r="F1374" s="3" t="str">
        <f>IFERROR(VLOOKUP(E1374,BD!$L$2:$Q$66,2,0),0)</f>
        <v>COCA-COLA PET 1.5LX2 RF</v>
      </c>
      <c r="G1374" s="503">
        <v>1728</v>
      </c>
      <c r="H1374" s="3">
        <f>+IFERROR(VLOOKUP(E1374,BD!$L$2:$Q$66,6,0),0)</f>
        <v>198</v>
      </c>
      <c r="I1374" s="96">
        <f>IFERROR(G1374*VLOOKUP($E1374,BD!$L$2:$Q$66,5,0),0)</f>
        <v>293.76000000000005</v>
      </c>
      <c r="J1374" s="3">
        <f t="shared" si="91"/>
        <v>2021</v>
      </c>
    </row>
    <row r="1375" spans="1:10" s="9" customFormat="1" hidden="1" x14ac:dyDescent="0.25">
      <c r="A1375" s="447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7">
        <v>256676</v>
      </c>
      <c r="F1375" s="3" t="str">
        <f>IFERROR(VLOOKUP(E1375,BD!$L$2:$Q$66,2,0),0)</f>
        <v>TWO PACK CC PFM 3LX2 - RFCC</v>
      </c>
      <c r="G1375" s="424">
        <v>840</v>
      </c>
      <c r="H1375" s="3">
        <f>+IFERROR(VLOOKUP(E1375,BD!$L$2:$Q$66,6,0),0)</f>
        <v>120</v>
      </c>
      <c r="I1375" s="96">
        <f>IFERROR(G1375*VLOOKUP($E1375,BD!$L$2:$Q$66,5,0),0)</f>
        <v>142.80000000000001</v>
      </c>
      <c r="J1375" s="3">
        <f t="shared" si="91"/>
        <v>2021</v>
      </c>
    </row>
    <row r="1376" spans="1:10" s="9" customFormat="1" hidden="1" x14ac:dyDescent="0.25">
      <c r="A1376" s="447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7">
        <v>256652</v>
      </c>
      <c r="F1376" s="3" t="str">
        <f>IFERROR(VLOOKUP(E1376,BD!$L$2:$Q$66,2,0),0)</f>
        <v>TRIPACK FT NAR+FT KI+SP PET 3L</v>
      </c>
      <c r="G1376" s="424">
        <v>1080</v>
      </c>
      <c r="H1376" s="3">
        <f>+IFERROR(VLOOKUP(E1376,BD!$L$2:$Q$66,6,0),0)</f>
        <v>90</v>
      </c>
      <c r="I1376" s="96">
        <f>IFERROR(G1376*VLOOKUP($E1376,BD!$L$2:$Q$66,5,0),0)</f>
        <v>183.60000000000002</v>
      </c>
      <c r="J1376" s="3">
        <f t="shared" si="91"/>
        <v>2021</v>
      </c>
    </row>
    <row r="1377" spans="1:10" s="9" customFormat="1" hidden="1" x14ac:dyDescent="0.25">
      <c r="A1377" s="447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7">
        <v>256677</v>
      </c>
      <c r="F1377" s="3" t="str">
        <f>IFERROR(VLOOKUP(E1377,BD!$L$2:$Q$66,2,0),0)</f>
        <v>TWO PACK CC + IK PFM 3LX2 - RFNN</v>
      </c>
      <c r="G1377" s="424">
        <v>1440</v>
      </c>
      <c r="H1377" s="3">
        <f>+IFERROR(VLOOKUP(E1377,BD!$L$2:$Q$66,6,0),0)</f>
        <v>120</v>
      </c>
      <c r="I1377" s="96">
        <f>IFERROR(G1377*VLOOKUP($E1377,BD!$L$2:$Q$66,5,0),0)</f>
        <v>244.8</v>
      </c>
      <c r="J1377" s="3">
        <f t="shared" si="91"/>
        <v>2021</v>
      </c>
    </row>
    <row r="1378" spans="1:10" s="9" customFormat="1" hidden="1" x14ac:dyDescent="0.25">
      <c r="A1378" s="447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7">
        <v>256488</v>
      </c>
      <c r="F1378" s="3" t="str">
        <f>IFERROR(VLOOKUP(E1378,BD!$L$2:$Q$66,2,0),0)</f>
        <v>INCA KOLA PET 3LX2 - RF</v>
      </c>
      <c r="G1378" s="424">
        <f>120*6</f>
        <v>720</v>
      </c>
      <c r="H1378" s="3">
        <f>+IFERROR(VLOOKUP(E1378,BD!$L$2:$Q$66,6,0),0)</f>
        <v>120</v>
      </c>
      <c r="I1378" s="96">
        <f>IFERROR(G1378*VLOOKUP($E1378,BD!$L$2:$Q$66,5,0),0)</f>
        <v>122.4</v>
      </c>
      <c r="J1378" s="3">
        <f t="shared" si="91"/>
        <v>2021</v>
      </c>
    </row>
    <row r="1379" spans="1:10" s="9" customFormat="1" hidden="1" x14ac:dyDescent="0.25">
      <c r="A1379" s="447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7">
        <v>256708</v>
      </c>
      <c r="F1379" s="3" t="str">
        <f>IFERROR(VLOOKUP(E1379,BD!$L$2:$Q$66,2,0),0)</f>
        <v>POWERADE ION4 FRUTA PET473X6 MOD (STICK)</v>
      </c>
      <c r="G1379" s="424">
        <v>1125</v>
      </c>
      <c r="H1379" s="3">
        <f>+IFERROR(VLOOKUP(E1379,BD!$L$2:$Q$66,6,0),0)</f>
        <v>225</v>
      </c>
      <c r="I1379" s="96">
        <f>IFERROR(G1379*VLOOKUP($E1379,BD!$L$2:$Q$66,5,0),0)</f>
        <v>450</v>
      </c>
      <c r="J1379" s="3">
        <f t="shared" si="91"/>
        <v>2021</v>
      </c>
    </row>
    <row r="1380" spans="1:10" s="9" customFormat="1" hidden="1" x14ac:dyDescent="0.25">
      <c r="A1380" s="447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7">
        <v>255405</v>
      </c>
      <c r="F1380" s="3" t="str">
        <f>IFERROR(VLOOKUP(E1380,BD!$L$2:$Q$66,2,0),0)</f>
        <v>FRUGOS BEBIDA DZ VNR 286MLX6 C/STICKER</v>
      </c>
      <c r="G1380" s="424">
        <v>350</v>
      </c>
      <c r="H1380" s="3">
        <f>+IFERROR(VLOOKUP(E1380,BD!$L$2:$Q$66,6,0),0)</f>
        <v>350</v>
      </c>
      <c r="I1380" s="96">
        <f>IFERROR(G1380*VLOOKUP($E1380,BD!$L$2:$Q$66,5,0),0)</f>
        <v>80.5</v>
      </c>
      <c r="J1380" s="3">
        <f t="shared" si="91"/>
        <v>2021</v>
      </c>
    </row>
    <row r="1381" spans="1:10" s="9" customFormat="1" hidden="1" x14ac:dyDescent="0.25">
      <c r="A1381" s="447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7">
        <v>256601</v>
      </c>
      <c r="F1381" s="3" t="str">
        <f>IFERROR(VLOOKUP(E1381,BD!$L$2:$Q$66,2,0),0)</f>
        <v>INCA KOLA PET 2.25LX2 RF</v>
      </c>
      <c r="G1381" s="424">
        <v>486</v>
      </c>
      <c r="H1381" s="3">
        <f>+IFERROR(VLOOKUP(E1381,BD!$L$2:$Q$66,6,0),0)</f>
        <v>162</v>
      </c>
      <c r="I1381" s="96">
        <f>IFERROR(G1381*VLOOKUP($E1381,BD!$L$2:$Q$66,5,0),0)</f>
        <v>82.62</v>
      </c>
      <c r="J1381" s="3">
        <f t="shared" si="91"/>
        <v>2021</v>
      </c>
    </row>
    <row r="1382" spans="1:10" s="9" customFormat="1" hidden="1" x14ac:dyDescent="0.25">
      <c r="A1382" s="447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7">
        <v>256695</v>
      </c>
      <c r="F1382" s="3" t="str">
        <f>IFERROR(VLOOKUP(E1382,BD!$L$2:$Q$66,2,0),0)</f>
        <v>POWERADE 3MORA+3FRUT PET 473MLX6</v>
      </c>
      <c r="G1382" s="424">
        <v>900</v>
      </c>
      <c r="H1382" s="3">
        <f>+IFERROR(VLOOKUP(E1382,BD!$L$2:$Q$66,6,0),0)</f>
        <v>225</v>
      </c>
      <c r="I1382" s="96">
        <f>IFERROR(G1382*VLOOKUP($E1382,BD!$L$2:$Q$66,5,0),0)</f>
        <v>378</v>
      </c>
      <c r="J1382" s="3">
        <f t="shared" si="91"/>
        <v>2021</v>
      </c>
    </row>
    <row r="1383" spans="1:10" s="9" customFormat="1" hidden="1" x14ac:dyDescent="0.25">
      <c r="A1383" s="447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7">
        <v>256685</v>
      </c>
      <c r="F1383" s="3" t="str">
        <f>IFERROR(VLOOKUP(E1383,BD!$L$2:$Q$66,2,0),0)</f>
        <v>SL S/G TAPA PLANA 1LT</v>
      </c>
      <c r="G1383" s="424">
        <v>336</v>
      </c>
      <c r="H1383" s="3">
        <f>+IFERROR(VLOOKUP(E1383,BD!$L$2:$Q$66,6,0),0)</f>
        <v>112</v>
      </c>
      <c r="I1383" s="96">
        <f>IFERROR(G1383*VLOOKUP($E1383,BD!$L$2:$Q$66,5,0),0)</f>
        <v>134.4</v>
      </c>
      <c r="J1383" s="3">
        <f t="shared" si="91"/>
        <v>2021</v>
      </c>
    </row>
    <row r="1384" spans="1:10" s="9" customFormat="1" hidden="1" x14ac:dyDescent="0.25">
      <c r="A1384" s="447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7">
        <v>251633</v>
      </c>
      <c r="F1384" s="3" t="str">
        <f>IFERROR(VLOOKUP(E1384,BD!$L$2:$Q$66,2,0),0)</f>
        <v>SAN LUIS CON GAS PET 625MLX6</v>
      </c>
      <c r="G1384" s="424">
        <v>360</v>
      </c>
      <c r="H1384" s="3">
        <f>+IFERROR(VLOOKUP(E1384,BD!$L$2:$Q$66,6,0),0)</f>
        <v>180</v>
      </c>
      <c r="I1384" s="96">
        <f>IFERROR(G1384*VLOOKUP($E1384,BD!$L$2:$Q$66,5,0),0)</f>
        <v>151.19999999999999</v>
      </c>
      <c r="J1384" s="3">
        <f t="shared" si="91"/>
        <v>2021</v>
      </c>
    </row>
    <row r="1385" spans="1:10" s="9" customFormat="1" hidden="1" x14ac:dyDescent="0.25">
      <c r="A1385" s="447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7">
        <v>256381</v>
      </c>
      <c r="F1385" s="3" t="str">
        <f>IFERROR(VLOOKUP(E1385,BD!$L$2:$Q$66,2,0),0)</f>
        <v>INCA KOLA VR 1.5LX8 - STICKER</v>
      </c>
      <c r="G1385" s="424">
        <v>90</v>
      </c>
      <c r="H1385" s="3">
        <f>+IFERROR(VLOOKUP(E1385,BD!$L$2:$Q$66,6,0),0)</f>
        <v>30</v>
      </c>
      <c r="I1385" s="96">
        <f>IFERROR(G1385*VLOOKUP($E1385,BD!$L$2:$Q$66,5,0),0)</f>
        <v>36</v>
      </c>
      <c r="J1385" s="3">
        <f t="shared" si="91"/>
        <v>2021</v>
      </c>
    </row>
    <row r="1386" spans="1:10" s="9" customFormat="1" hidden="1" x14ac:dyDescent="0.25">
      <c r="A1386" s="447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7">
        <v>256380</v>
      </c>
      <c r="F1386" s="3" t="str">
        <f>IFERROR(VLOOKUP(E1386,BD!$L$2:$Q$66,2,0),0)</f>
        <v>INCA KOLA VR 296MLX24 - STICKER</v>
      </c>
      <c r="G1386" s="424">
        <v>40</v>
      </c>
      <c r="H1386" s="3">
        <f>+IFERROR(VLOOKUP(E1386,BD!$L$2:$Q$66,6,0),0)</f>
        <v>40</v>
      </c>
      <c r="I1386" s="96">
        <f>IFERROR(G1386*VLOOKUP($E1386,BD!$L$2:$Q$66,5,0),0)</f>
        <v>9.2000000000000011</v>
      </c>
      <c r="J1386" s="3">
        <f t="shared" si="91"/>
        <v>2021</v>
      </c>
    </row>
    <row r="1387" spans="1:10" s="9" customFormat="1" hidden="1" x14ac:dyDescent="0.25">
      <c r="A1387" s="447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7">
        <v>256682</v>
      </c>
      <c r="F1387" s="3" t="str">
        <f>IFERROR(VLOOKUP(E1387,BD!$L$2:$Q$66,2,0),0)</f>
        <v>TRIPACK (FT NAR+SP)PET+IK RF PFM 3L</v>
      </c>
      <c r="G1387" s="507">
        <v>270</v>
      </c>
      <c r="H1387" s="3">
        <f>+IFERROR(VLOOKUP(E1387,BD!$L$2:$Q$66,6,0),0)</f>
        <v>90</v>
      </c>
      <c r="I1387" s="96">
        <f>IFERROR(G1387*VLOOKUP($E1387,BD!$L$2:$Q$66,5,0),0)</f>
        <v>45.900000000000006</v>
      </c>
      <c r="J1387" s="3">
        <f t="shared" si="91"/>
        <v>2021</v>
      </c>
    </row>
    <row r="1388" spans="1:10" s="9" customFormat="1" hidden="1" x14ac:dyDescent="0.25">
      <c r="A1388" s="447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7">
        <v>256679</v>
      </c>
      <c r="F1388" s="3" t="str">
        <f>IFERROR(VLOOKUP(E1388,BD!$L$2:$Q$66,2,0),0)</f>
        <v>TRIPACK CC+IK+IK PFM 3LX3 - RFNN</v>
      </c>
      <c r="G1388" s="424">
        <v>180</v>
      </c>
      <c r="H1388" s="3">
        <f>+IFERROR(VLOOKUP(E1388,BD!$L$2:$Q$66,6,0),0)</f>
        <v>90</v>
      </c>
      <c r="I1388" s="96">
        <f>IFERROR(G1388*VLOOKUP($E1388,BD!$L$2:$Q$66,5,0),0)</f>
        <v>30.6</v>
      </c>
      <c r="J1388" s="3">
        <f t="shared" si="91"/>
        <v>2021</v>
      </c>
    </row>
    <row r="1389" spans="1:10" s="9" customFormat="1" hidden="1" x14ac:dyDescent="0.25">
      <c r="A1389" s="447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7">
        <v>256720</v>
      </c>
      <c r="F1389" s="3" t="str">
        <f>IFERROR(VLOOKUP(E1389,BD!$L$2:$Q$66,2,0),0)</f>
        <v>FANTA NARANJA PET 500MLX6 BRANDEADO MOD</v>
      </c>
      <c r="G1389" s="424">
        <v>250</v>
      </c>
      <c r="H1389" s="3">
        <f>+IFERROR(VLOOKUP(E1389,BD!$L$2:$Q$66,6,0),0)</f>
        <v>420</v>
      </c>
      <c r="I1389" s="96">
        <f>IFERROR(G1389*VLOOKUP($E1389,BD!$L$2:$Q$66,5,0),0)</f>
        <v>105</v>
      </c>
      <c r="J1389" s="3">
        <f t="shared" si="91"/>
        <v>2021</v>
      </c>
    </row>
    <row r="1390" spans="1:10" s="9" customFormat="1" hidden="1" x14ac:dyDescent="0.25">
      <c r="A1390" s="447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7">
        <v>256721</v>
      </c>
      <c r="F1390" s="3" t="str">
        <f>IFERROR(VLOOKUP(E1390,BD!$L$2:$Q$66,2,0),0)</f>
        <v>SPRITE PET 500MLX6 BRANDEADO MOD</v>
      </c>
      <c r="G1390" s="424">
        <v>500</v>
      </c>
      <c r="H1390" s="3">
        <f>+IFERROR(VLOOKUP(E1390,BD!$L$2:$Q$66,6,0),0)</f>
        <v>420</v>
      </c>
      <c r="I1390" s="96">
        <f>IFERROR(G1390*VLOOKUP($E1390,BD!$L$2:$Q$66,5,0),0)</f>
        <v>210</v>
      </c>
      <c r="J1390" s="3">
        <f t="shared" si="91"/>
        <v>2021</v>
      </c>
    </row>
    <row r="1391" spans="1:10" s="9" customFormat="1" hidden="1" x14ac:dyDescent="0.25">
      <c r="A1391" s="447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7">
        <v>251429</v>
      </c>
      <c r="F1391" s="3" t="str">
        <f>IFERROR(VLOOKUP(E1391,BD!$L$2:$Q$66,2,0),0)</f>
        <v>SAN LUIS SIN GAS PET2500X6 STICKER</v>
      </c>
      <c r="G1391" s="424">
        <f>48*16</f>
        <v>768</v>
      </c>
      <c r="H1391" s="3">
        <f>+IFERROR(VLOOKUP(E1391,BD!$L$2:$Q$66,6,0),0)</f>
        <v>48</v>
      </c>
      <c r="I1391" s="96">
        <f>IFERROR(G1391*VLOOKUP($E1391,BD!$L$2:$Q$66,5,0),0)</f>
        <v>307.20000000000005</v>
      </c>
      <c r="J1391" s="3">
        <f t="shared" si="91"/>
        <v>2021</v>
      </c>
    </row>
    <row r="1392" spans="1:10" s="9" customFormat="1" hidden="1" x14ac:dyDescent="0.25">
      <c r="A1392" s="447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7">
        <v>751544</v>
      </c>
      <c r="F1392" s="3" t="str">
        <f>IFERROR(VLOOKUP(E1392,BD!$L$2:$Q$66,2,0),0)</f>
        <v>MONSTER ENERGY ZERO 473MLX4</v>
      </c>
      <c r="G1392" s="424">
        <f>420*4</f>
        <v>1680</v>
      </c>
      <c r="H1392" s="3">
        <f>+IFERROR(VLOOKUP(E1392,BD!$L$2:$Q$66,6,0),0)</f>
        <v>420</v>
      </c>
      <c r="I1392" s="96">
        <f>IFERROR(G1392*VLOOKUP($E1392,BD!$L$2:$Q$66,5,0),0)</f>
        <v>705.6</v>
      </c>
      <c r="J1392" s="3">
        <f t="shared" si="91"/>
        <v>2021</v>
      </c>
    </row>
    <row r="1393" spans="1:10" s="9" customFormat="1" hidden="1" x14ac:dyDescent="0.25">
      <c r="A1393" s="447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7">
        <v>751468</v>
      </c>
      <c r="F1393" s="3" t="str">
        <f>IFERROR(VLOOKUP(E1393,BD!$L$2:$Q$66,2,0),0)</f>
        <v>MONSTER ENERGY ULTRA 473MLX4</v>
      </c>
      <c r="G1393" s="425">
        <f>420*4</f>
        <v>1680</v>
      </c>
      <c r="H1393" s="3">
        <f>+IFERROR(VLOOKUP(E1393,BD!$L$2:$Q$66,6,0),0)</f>
        <v>420</v>
      </c>
      <c r="I1393" s="96">
        <f>IFERROR(G1393*VLOOKUP($E1393,BD!$L$2:$Q$66,5,0),0)</f>
        <v>705.6</v>
      </c>
      <c r="J1393" s="3">
        <f t="shared" si="91"/>
        <v>2021</v>
      </c>
    </row>
    <row r="1394" spans="1:10" s="9" customFormat="1" hidden="1" x14ac:dyDescent="0.25">
      <c r="A1394" s="447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7">
        <v>256695</v>
      </c>
      <c r="F1394" s="3" t="str">
        <f>IFERROR(VLOOKUP(E1394,BD!$L$2:$Q$66,2,0),0)</f>
        <v>POWERADE 3MORA+3FRUT PET 473MLX6</v>
      </c>
      <c r="G1394" s="424">
        <f>225*4</f>
        <v>900</v>
      </c>
      <c r="H1394" s="3">
        <f>+IFERROR(VLOOKUP(E1394,BD!$L$2:$Q$66,6,0),0)</f>
        <v>225</v>
      </c>
      <c r="I1394" s="96">
        <f>IFERROR(G1394*VLOOKUP($E1394,BD!$L$2:$Q$66,5,0),0)</f>
        <v>378</v>
      </c>
      <c r="J1394" s="3">
        <f t="shared" si="91"/>
        <v>2021</v>
      </c>
    </row>
    <row r="1395" spans="1:10" s="9" customFormat="1" hidden="1" x14ac:dyDescent="0.25">
      <c r="A1395" s="447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7">
        <v>256709</v>
      </c>
      <c r="F1395" s="3" t="str">
        <f>IFERROR(VLOOKUP(E1395,BD!$L$2:$Q$66,2,0),0)</f>
        <v>POWERADE ION4 MORA AZ PET473X6 MOD(STCK)</v>
      </c>
      <c r="G1395" s="424">
        <f>225*3</f>
        <v>675</v>
      </c>
      <c r="H1395" s="3">
        <f>+IFERROR(VLOOKUP(E1395,BD!$L$2:$Q$66,6,0),0)</f>
        <v>225</v>
      </c>
      <c r="I1395" s="96">
        <f>IFERROR(G1395*VLOOKUP($E1395,BD!$L$2:$Q$66,5,0),0)</f>
        <v>270</v>
      </c>
      <c r="J1395" s="3">
        <f t="shared" si="91"/>
        <v>2021</v>
      </c>
    </row>
    <row r="1396" spans="1:10" s="9" customFormat="1" hidden="1" x14ac:dyDescent="0.25">
      <c r="A1396" s="447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7">
        <v>256708</v>
      </c>
      <c r="F1396" s="3" t="str">
        <f>IFERROR(VLOOKUP(E1396,BD!$L$2:$Q$66,2,0),0)</f>
        <v>POWERADE ION4 FRUTA PET473X6 MOD (STICK)</v>
      </c>
      <c r="G1396" s="424">
        <f>225*4</f>
        <v>900</v>
      </c>
      <c r="H1396" s="3">
        <f>+IFERROR(VLOOKUP(E1396,BD!$L$2:$Q$66,6,0),0)</f>
        <v>225</v>
      </c>
      <c r="I1396" s="96">
        <f>IFERROR(G1396*VLOOKUP($E1396,BD!$L$2:$Q$66,5,0),0)</f>
        <v>360</v>
      </c>
      <c r="J1396" s="3">
        <f t="shared" si="91"/>
        <v>2021</v>
      </c>
    </row>
    <row r="1397" spans="1:10" s="9" customFormat="1" hidden="1" x14ac:dyDescent="0.25">
      <c r="A1397" s="447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7">
        <v>256383</v>
      </c>
      <c r="F1397" s="3" t="str">
        <f>IFERROR(VLOOKUP(E1397,BD!$L$2:$Q$66,2,0),0)</f>
        <v>COCA COLA VR 1.5LX8 - STICKER</v>
      </c>
      <c r="G1397" s="424">
        <f>30*4</f>
        <v>120</v>
      </c>
      <c r="H1397" s="3">
        <f>+IFERROR(VLOOKUP(E1397,BD!$L$2:$Q$66,6,0),0)</f>
        <v>30</v>
      </c>
      <c r="I1397" s="96">
        <f>IFERROR(G1397*VLOOKUP($E1397,BD!$L$2:$Q$66,5,0),0)</f>
        <v>27.6</v>
      </c>
      <c r="J1397" s="3">
        <f t="shared" si="91"/>
        <v>2021</v>
      </c>
    </row>
    <row r="1398" spans="1:10" s="9" customFormat="1" hidden="1" x14ac:dyDescent="0.25">
      <c r="A1398" s="447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7">
        <v>256379</v>
      </c>
      <c r="F1398" s="3" t="str">
        <f>IFERROR(VLOOKUP(E1398,BD!$L$2:$Q$66,2,0),0)</f>
        <v>INCA KOLA VR 625MLX12 - STICKER</v>
      </c>
      <c r="G1398" s="424">
        <f>50*4</f>
        <v>200</v>
      </c>
      <c r="H1398" s="3">
        <f>+IFERROR(VLOOKUP(E1398,BD!$L$2:$Q$66,6,0),0)</f>
        <v>50</v>
      </c>
      <c r="I1398" s="96">
        <f>IFERROR(G1398*VLOOKUP($E1398,BD!$L$2:$Q$66,5,0),0)</f>
        <v>80</v>
      </c>
      <c r="J1398" s="3">
        <f t="shared" si="91"/>
        <v>2021</v>
      </c>
    </row>
    <row r="1399" spans="1:10" s="9" customFormat="1" hidden="1" x14ac:dyDescent="0.25">
      <c r="A1399" s="447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7">
        <v>251406</v>
      </c>
      <c r="F1399" s="3" t="str">
        <f>IFERROR(VLOOKUP(E1399,BD!$L$2:$Q$66,2,0),0)</f>
        <v>COCA-COLA SIN AZUCAR PET 1.5LX2</v>
      </c>
      <c r="G1399" s="503">
        <f>216*16</f>
        <v>3456</v>
      </c>
      <c r="H1399" s="3">
        <f>+IFERROR(VLOOKUP(E1399,BD!$L$2:$Q$66,6,0),0)</f>
        <v>198</v>
      </c>
      <c r="I1399" s="96">
        <f>IFERROR(G1399*VLOOKUP($E1399,BD!$L$2:$Q$66,5,0),0)</f>
        <v>587.5200000000001</v>
      </c>
      <c r="J1399" s="3">
        <f t="shared" si="91"/>
        <v>2021</v>
      </c>
    </row>
    <row r="1400" spans="1:10" s="9" customFormat="1" hidden="1" x14ac:dyDescent="0.25">
      <c r="A1400" s="447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7">
        <v>256488</v>
      </c>
      <c r="F1400" s="3" t="str">
        <f>IFERROR(VLOOKUP(E1400,BD!$L$2:$Q$66,2,0),0)</f>
        <v>INCA KOLA PET 3LX2 - RF</v>
      </c>
      <c r="G1400" s="424">
        <f>120*6</f>
        <v>720</v>
      </c>
      <c r="H1400" s="3">
        <f>+IFERROR(VLOOKUP(E1400,BD!$L$2:$Q$66,6,0),0)</f>
        <v>120</v>
      </c>
      <c r="I1400" s="96">
        <f>IFERROR(G1400*VLOOKUP($E1400,BD!$L$2:$Q$66,5,0),0)</f>
        <v>122.4</v>
      </c>
      <c r="J1400" s="3">
        <f t="shared" si="91"/>
        <v>2021</v>
      </c>
    </row>
    <row r="1401" spans="1:10" s="9" customFormat="1" hidden="1" x14ac:dyDescent="0.25">
      <c r="A1401" s="447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7">
        <v>254853</v>
      </c>
      <c r="F1401" s="3" t="str">
        <f>IFERROR(VLOOKUP(E1401,BD!$L$2:$Q$66,2,0),0)</f>
        <v>INCA KOLA SIN AZUCAR PET 1.5LX2</v>
      </c>
      <c r="G1401" s="503">
        <f>216*6</f>
        <v>1296</v>
      </c>
      <c r="H1401" s="3">
        <f>+IFERROR(VLOOKUP(E1401,BD!$L$2:$Q$66,6,0),0)</f>
        <v>198</v>
      </c>
      <c r="I1401" s="96">
        <f>IFERROR(G1401*VLOOKUP($E1401,BD!$L$2:$Q$66,5,0),0)</f>
        <v>220.32000000000002</v>
      </c>
      <c r="J1401" s="3">
        <f t="shared" si="91"/>
        <v>2021</v>
      </c>
    </row>
    <row r="1402" spans="1:10" s="9" customFormat="1" hidden="1" x14ac:dyDescent="0.25">
      <c r="A1402" s="447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7">
        <v>256652</v>
      </c>
      <c r="F1402" s="3" t="str">
        <f>IFERROR(VLOOKUP(E1402,BD!$L$2:$Q$66,2,0),0)</f>
        <v>TRIPACK FT NAR+FT KI+SP PET 3L</v>
      </c>
      <c r="G1402" s="424">
        <f>90*17</f>
        <v>1530</v>
      </c>
      <c r="H1402" s="3">
        <f>+IFERROR(VLOOKUP(E1402,BD!$L$2:$Q$66,6,0),0)</f>
        <v>90</v>
      </c>
      <c r="I1402" s="96">
        <f>IFERROR(G1402*VLOOKUP($E1402,BD!$L$2:$Q$66,5,0),0)</f>
        <v>260.10000000000002</v>
      </c>
      <c r="J1402" s="3">
        <f t="shared" si="91"/>
        <v>2021</v>
      </c>
    </row>
    <row r="1403" spans="1:10" s="9" customFormat="1" hidden="1" x14ac:dyDescent="0.25">
      <c r="A1403" s="447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7">
        <v>256677</v>
      </c>
      <c r="F1403" s="3" t="str">
        <f>IFERROR(VLOOKUP(E1403,BD!$L$2:$Q$66,2,0),0)</f>
        <v>TWO PACK CC + IK PFM 3LX2 - RFNN</v>
      </c>
      <c r="G1403" s="424">
        <f>120*16</f>
        <v>1920</v>
      </c>
      <c r="H1403" s="3">
        <f>+IFERROR(VLOOKUP(E1403,BD!$L$2:$Q$66,6,0),0)</f>
        <v>120</v>
      </c>
      <c r="I1403" s="96">
        <f>IFERROR(G1403*VLOOKUP($E1403,BD!$L$2:$Q$66,5,0),0)</f>
        <v>326.40000000000003</v>
      </c>
      <c r="J1403" s="3">
        <f t="shared" si="91"/>
        <v>2021</v>
      </c>
    </row>
    <row r="1404" spans="1:10" s="9" customFormat="1" hidden="1" x14ac:dyDescent="0.25">
      <c r="A1404" s="447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7">
        <v>256679</v>
      </c>
      <c r="F1404" s="3" t="str">
        <f>IFERROR(VLOOKUP(E1404,BD!$L$2:$Q$66,2,0),0)</f>
        <v>TRIPACK CC+IK+IK PFM 3LX3 - RFNN</v>
      </c>
      <c r="G1404" s="425">
        <f>90*10</f>
        <v>900</v>
      </c>
      <c r="H1404" s="3">
        <f>+IFERROR(VLOOKUP(E1404,BD!$L$2:$Q$66,6,0),0)</f>
        <v>90</v>
      </c>
      <c r="I1404" s="96">
        <f>IFERROR(G1404*VLOOKUP($E1404,BD!$L$2:$Q$66,5,0),0)</f>
        <v>153</v>
      </c>
      <c r="J1404" s="3">
        <f t="shared" si="91"/>
        <v>2021</v>
      </c>
    </row>
    <row r="1405" spans="1:10" s="9" customFormat="1" hidden="1" x14ac:dyDescent="0.25">
      <c r="A1405" s="447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7">
        <v>256676</v>
      </c>
      <c r="F1405" s="3" t="str">
        <f>IFERROR(VLOOKUP(E1405,BD!$L$2:$Q$66,2,0),0)</f>
        <v>TWO PACK CC PFM 3LX2 - RFCC</v>
      </c>
      <c r="G1405" s="425">
        <f>120*6</f>
        <v>720</v>
      </c>
      <c r="H1405" s="3">
        <f>+IFERROR(VLOOKUP(E1405,BD!$L$2:$Q$66,6,0),0)</f>
        <v>120</v>
      </c>
      <c r="I1405" s="96">
        <f>IFERROR(G1405*VLOOKUP($E1405,BD!$L$2:$Q$66,5,0),0)</f>
        <v>122.4</v>
      </c>
      <c r="J1405" s="3">
        <f t="shared" si="91"/>
        <v>2021</v>
      </c>
    </row>
    <row r="1406" spans="1:10" s="9" customFormat="1" hidden="1" x14ac:dyDescent="0.25">
      <c r="A1406" s="447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7">
        <v>256678</v>
      </c>
      <c r="F1406" s="3" t="str">
        <f>IFERROR(VLOOKUP(E1406,BD!$L$2:$Q$66,2,0),0)</f>
        <v>TRIPACK (CC+IK)PFM+FT PET 3LX3 - RFNN</v>
      </c>
      <c r="G1406" s="424">
        <f>90*23</f>
        <v>2070</v>
      </c>
      <c r="H1406" s="3">
        <f>+IFERROR(VLOOKUP(E1406,BD!$L$2:$Q$66,6,0),0)</f>
        <v>90</v>
      </c>
      <c r="I1406" s="96">
        <f>IFERROR(G1406*VLOOKUP($E1406,BD!$L$2:$Q$66,5,0),0)</f>
        <v>351.90000000000003</v>
      </c>
      <c r="J1406" s="3">
        <f t="shared" si="91"/>
        <v>2021</v>
      </c>
    </row>
    <row r="1407" spans="1:10" s="9" customFormat="1" hidden="1" x14ac:dyDescent="0.25">
      <c r="A1407" s="447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7">
        <v>256675</v>
      </c>
      <c r="F1407" s="3" t="str">
        <f>IFERROR(VLOOKUP(E1407,BD!$L$2:$Q$66,2,0),0)</f>
        <v>INCA KOLA PET 1.5LX2 RF</v>
      </c>
      <c r="G1407" s="503">
        <f>216*6</f>
        <v>1296</v>
      </c>
      <c r="H1407" s="3">
        <f>+IFERROR(VLOOKUP(E1407,BD!$L$2:$Q$66,6,0),0)</f>
        <v>198</v>
      </c>
      <c r="I1407" s="96">
        <f>IFERROR(G1407*VLOOKUP($E1407,BD!$L$2:$Q$66,5,0),0)</f>
        <v>220.32000000000002</v>
      </c>
      <c r="J1407" s="3">
        <f t="shared" si="91"/>
        <v>2021</v>
      </c>
    </row>
    <row r="1408" spans="1:10" s="9" customFormat="1" hidden="1" x14ac:dyDescent="0.25">
      <c r="A1408" s="447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7">
        <v>256674</v>
      </c>
      <c r="F1408" s="3" t="str">
        <f>IFERROR(VLOOKUP(E1408,BD!$L$2:$Q$66,2,0),0)</f>
        <v>COCA-COLA PET 1.5LX2 RF</v>
      </c>
      <c r="G1408" s="503">
        <f>216*12</f>
        <v>2592</v>
      </c>
      <c r="H1408" s="3">
        <f>+IFERROR(VLOOKUP(E1408,BD!$L$2:$Q$66,6,0),0)</f>
        <v>198</v>
      </c>
      <c r="I1408" s="96">
        <f>IFERROR(G1408*VLOOKUP($E1408,BD!$L$2:$Q$66,5,0),0)</f>
        <v>440.64000000000004</v>
      </c>
      <c r="J1408" s="3">
        <f t="shared" si="91"/>
        <v>2021</v>
      </c>
    </row>
    <row r="1409" spans="1:10" s="9" customFormat="1" hidden="1" x14ac:dyDescent="0.25">
      <c r="A1409" s="447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7">
        <v>251633</v>
      </c>
      <c r="F1409" s="3" t="str">
        <f>IFERROR(VLOOKUP(E1409,BD!$L$2:$Q$66,2,0),0)</f>
        <v>SAN LUIS CON GAS PET 625MLX6</v>
      </c>
      <c r="G1409" s="424">
        <f>180*2</f>
        <v>360</v>
      </c>
      <c r="H1409" s="3">
        <f>+IFERROR(VLOOKUP(E1409,BD!$L$2:$Q$66,6,0),0)</f>
        <v>180</v>
      </c>
      <c r="I1409" s="96">
        <f>IFERROR(G1409*VLOOKUP($E1409,BD!$L$2:$Q$66,5,0),0)</f>
        <v>151.19999999999999</v>
      </c>
      <c r="J1409" s="3">
        <f t="shared" si="91"/>
        <v>2021</v>
      </c>
    </row>
    <row r="1410" spans="1:10" s="9" customFormat="1" hidden="1" x14ac:dyDescent="0.25">
      <c r="A1410" s="447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7">
        <v>256380</v>
      </c>
      <c r="F1410" s="3" t="str">
        <f>IFERROR(VLOOKUP(E1410,BD!$L$2:$Q$66,2,0),0)</f>
        <v>INCA KOLA VR 296MLX24 - STICKER</v>
      </c>
      <c r="G1410" s="424">
        <f>40*2</f>
        <v>80</v>
      </c>
      <c r="H1410" s="3">
        <f>+IFERROR(VLOOKUP(E1410,BD!$L$2:$Q$66,6,0),0)</f>
        <v>40</v>
      </c>
      <c r="I1410" s="96">
        <f>IFERROR(G1410*VLOOKUP($E1410,BD!$L$2:$Q$66,5,0),0)</f>
        <v>18.400000000000002</v>
      </c>
      <c r="J1410" s="3">
        <f t="shared" si="91"/>
        <v>2021</v>
      </c>
    </row>
    <row r="1411" spans="1:10" s="9" customFormat="1" hidden="1" x14ac:dyDescent="0.25">
      <c r="A1411" s="447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7">
        <v>256381</v>
      </c>
      <c r="F1411" s="3" t="str">
        <f>IFERROR(VLOOKUP(E1411,BD!$L$2:$Q$66,2,0),0)</f>
        <v>INCA KOLA VR 1.5LX8 - STICKER</v>
      </c>
      <c r="G1411" s="424">
        <f>30*2</f>
        <v>60</v>
      </c>
      <c r="H1411" s="3">
        <f>+IFERROR(VLOOKUP(E1411,BD!$L$2:$Q$66,6,0),0)</f>
        <v>30</v>
      </c>
      <c r="I1411" s="96">
        <f>IFERROR(G1411*VLOOKUP($E1411,BD!$L$2:$Q$66,5,0),0)</f>
        <v>24</v>
      </c>
      <c r="J1411" s="3">
        <f t="shared" si="91"/>
        <v>2021</v>
      </c>
    </row>
    <row r="1412" spans="1:10" s="9" customFormat="1" hidden="1" x14ac:dyDescent="0.25">
      <c r="A1412" s="447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7">
        <v>256382</v>
      </c>
      <c r="F1412" s="3" t="str">
        <f>IFERROR(VLOOKUP(E1412,BD!$L$2:$Q$66,2,0),0)</f>
        <v>COCA COLA VR 296MLX24 - STICKER</v>
      </c>
      <c r="G1412" s="424">
        <f>40*2</f>
        <v>80</v>
      </c>
      <c r="H1412" s="3">
        <f>+IFERROR(VLOOKUP(E1412,BD!$L$2:$Q$66,6,0),0)</f>
        <v>40</v>
      </c>
      <c r="I1412" s="96">
        <f>IFERROR(G1412*VLOOKUP($E1412,BD!$L$2:$Q$66,5,0),0)</f>
        <v>18.400000000000002</v>
      </c>
      <c r="J1412" s="3">
        <f t="shared" si="91"/>
        <v>2021</v>
      </c>
    </row>
    <row r="1413" spans="1:10" s="9" customFormat="1" hidden="1" x14ac:dyDescent="0.25">
      <c r="A1413" s="447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7">
        <v>256601</v>
      </c>
      <c r="F1413" s="3" t="str">
        <f>IFERROR(VLOOKUP(E1413,BD!$L$2:$Q$66,2,0),0)</f>
        <v>INCA KOLA PET 2.25LX2 RF</v>
      </c>
      <c r="G1413" s="424">
        <v>162</v>
      </c>
      <c r="H1413" s="3">
        <f>+IFERROR(VLOOKUP(E1413,BD!$L$2:$Q$66,6,0),0)</f>
        <v>162</v>
      </c>
      <c r="I1413" s="96">
        <f>IFERROR(G1413*VLOOKUP($E1413,BD!$L$2:$Q$66,5,0),0)</f>
        <v>27.540000000000003</v>
      </c>
      <c r="J1413" s="3">
        <f t="shared" si="91"/>
        <v>2021</v>
      </c>
    </row>
    <row r="1414" spans="1:10" s="9" customFormat="1" hidden="1" x14ac:dyDescent="0.25">
      <c r="A1414" s="447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7">
        <v>256617</v>
      </c>
      <c r="F1414" s="3" t="str">
        <f>IFERROR(VLOOKUP(E1414,BD!$L$2:$Q$66,2,0),0)</f>
        <v>TWO PACK SCHWEPPES GINGER ALE PET 1.5LX2</v>
      </c>
      <c r="G1414" s="424">
        <f>198*4</f>
        <v>792</v>
      </c>
      <c r="H1414" s="3">
        <f>+IFERROR(VLOOKUP(E1414,BD!$L$2:$Q$66,6,0),0)</f>
        <v>198</v>
      </c>
      <c r="I1414" s="96">
        <f>IFERROR(G1414*VLOOKUP($E1414,BD!$L$2:$Q$66,5,0),0)</f>
        <v>134.64000000000001</v>
      </c>
      <c r="J1414" s="3">
        <f t="shared" si="91"/>
        <v>2021</v>
      </c>
    </row>
    <row r="1415" spans="1:10" s="9" customFormat="1" hidden="1" x14ac:dyDescent="0.25">
      <c r="A1415" s="447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7">
        <v>256682</v>
      </c>
      <c r="F1415" s="3" t="str">
        <f>IFERROR(VLOOKUP(E1415,BD!$L$2:$Q$66,2,0),0)</f>
        <v>TRIPACK (FT NAR+SP)PET+IK RF PFM 3L</v>
      </c>
      <c r="G1415" s="507">
        <f>90*2</f>
        <v>180</v>
      </c>
      <c r="H1415" s="3">
        <f>+IFERROR(VLOOKUP(E1415,BD!$L$2:$Q$66,6,0),0)</f>
        <v>90</v>
      </c>
      <c r="I1415" s="96">
        <f>IFERROR(G1415*VLOOKUP($E1415,BD!$L$2:$Q$66,5,0),0)</f>
        <v>30.6</v>
      </c>
      <c r="J1415" s="3">
        <f t="shared" si="91"/>
        <v>2021</v>
      </c>
    </row>
    <row r="1416" spans="1:10" s="9" customFormat="1" hidden="1" x14ac:dyDescent="0.25">
      <c r="A1416" s="447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7">
        <v>751315</v>
      </c>
      <c r="F1416" s="3" t="str">
        <f>IFERROR(VLOOKUP(E1416,BD!$L$2:$Q$66,2,0),0)</f>
        <v>MONSTER ENERGY 473MLX4</v>
      </c>
      <c r="G1416" s="424">
        <f>420*7</f>
        <v>2940</v>
      </c>
      <c r="H1416" s="3">
        <f>+IFERROR(VLOOKUP(E1416,BD!$L$2:$Q$66,6,0),0)</f>
        <v>420</v>
      </c>
      <c r="I1416" s="96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hidden="1" x14ac:dyDescent="0.25">
      <c r="A1417" s="447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7">
        <v>256548</v>
      </c>
      <c r="F1417" s="3" t="str">
        <f>IFERROR(VLOOKUP(E1417,BD!$L$2:$Q$66,2,0),0)</f>
        <v>TWO PACK CC PET 1.5LX2 - CRC</v>
      </c>
      <c r="G1417" s="425">
        <v>216</v>
      </c>
      <c r="H1417" s="3">
        <f>+IFERROR(VLOOKUP(E1417,BD!$L$2:$Q$66,6,0),0)</f>
        <v>198</v>
      </c>
      <c r="I1417" s="96">
        <f>IFERROR(G1417*VLOOKUP($E1417,BD!$L$2:$Q$66,5,0),0)</f>
        <v>36.720000000000006</v>
      </c>
      <c r="J1417" s="3">
        <f t="shared" si="95"/>
        <v>2021</v>
      </c>
    </row>
    <row r="1418" spans="1:10" s="9" customFormat="1" hidden="1" x14ac:dyDescent="0.25">
      <c r="A1418" s="447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7">
        <v>256549</v>
      </c>
      <c r="F1418" s="3" t="str">
        <f>IFERROR(VLOOKUP(E1418,BD!$L$2:$Q$66,2,0),0)</f>
        <v>TWO PACK IK PET 1.5LX2 - CRCG</v>
      </c>
      <c r="G1418" s="425">
        <v>216</v>
      </c>
      <c r="H1418" s="3">
        <f>+IFERROR(VLOOKUP(E1418,BD!$L$2:$Q$66,6,0),0)</f>
        <v>198</v>
      </c>
      <c r="I1418" s="96">
        <f>IFERROR(G1418*VLOOKUP($E1418,BD!$L$2:$Q$66,5,0),0)</f>
        <v>36.720000000000006</v>
      </c>
      <c r="J1418" s="3">
        <f t="shared" si="95"/>
        <v>2021</v>
      </c>
    </row>
    <row r="1419" spans="1:10" s="9" customFormat="1" hidden="1" x14ac:dyDescent="0.25">
      <c r="A1419" s="447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7">
        <v>751315</v>
      </c>
      <c r="F1419" s="3" t="str">
        <f>IFERROR(VLOOKUP(E1419,BD!$L$2:$Q$66,2,0),0)</f>
        <v>MONSTER ENERGY 473MLX4</v>
      </c>
      <c r="G1419" s="424">
        <v>420</v>
      </c>
      <c r="H1419" s="3">
        <f>+IFERROR(VLOOKUP(E1419,BD!$L$2:$Q$66,6,0),0)</f>
        <v>420</v>
      </c>
      <c r="I1419" s="96">
        <f>IFERROR(G1419*VLOOKUP($E1419,BD!$L$2:$Q$66,5,0),0)</f>
        <v>176.4</v>
      </c>
      <c r="J1419" s="3">
        <f t="shared" si="95"/>
        <v>2021</v>
      </c>
    </row>
    <row r="1420" spans="1:10" s="9" customFormat="1" hidden="1" x14ac:dyDescent="0.25">
      <c r="A1420" s="447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7">
        <v>751544</v>
      </c>
      <c r="F1420" s="3" t="str">
        <f>IFERROR(VLOOKUP(E1420,BD!$L$2:$Q$66,2,0),0)</f>
        <v>MONSTER ENERGY ZERO 473MLX4</v>
      </c>
      <c r="G1420" s="424">
        <v>420</v>
      </c>
      <c r="H1420" s="3">
        <f>+IFERROR(VLOOKUP(E1420,BD!$L$2:$Q$66,6,0),0)</f>
        <v>420</v>
      </c>
      <c r="I1420" s="96">
        <f>IFERROR(G1420*VLOOKUP($E1420,BD!$L$2:$Q$66,5,0),0)</f>
        <v>176.4</v>
      </c>
      <c r="J1420" s="3">
        <f t="shared" si="95"/>
        <v>2021</v>
      </c>
    </row>
    <row r="1421" spans="1:10" s="9" customFormat="1" hidden="1" x14ac:dyDescent="0.25">
      <c r="A1421" s="447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7">
        <v>256709</v>
      </c>
      <c r="F1421" s="3" t="str">
        <f>IFERROR(VLOOKUP(E1421,BD!$L$2:$Q$66,2,0),0)</f>
        <v>POWERADE ION4 MORA AZ PET473X6 MOD(STCK)</v>
      </c>
      <c r="G1421" s="424">
        <f>225*4</f>
        <v>900</v>
      </c>
      <c r="H1421" s="3">
        <f>+IFERROR(VLOOKUP(E1421,BD!$L$2:$Q$66,6,0),0)</f>
        <v>225</v>
      </c>
      <c r="I1421" s="96">
        <f>IFERROR(G1421*VLOOKUP($E1421,BD!$L$2:$Q$66,5,0),0)</f>
        <v>360</v>
      </c>
      <c r="J1421" s="3">
        <f t="shared" si="95"/>
        <v>2021</v>
      </c>
    </row>
    <row r="1422" spans="1:10" s="9" customFormat="1" hidden="1" x14ac:dyDescent="0.25">
      <c r="A1422" s="447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7">
        <v>256383</v>
      </c>
      <c r="F1422" s="3" t="str">
        <f>IFERROR(VLOOKUP(E1422,BD!$L$2:$Q$66,2,0),0)</f>
        <v>COCA COLA VR 1.5LX8 - STICKER</v>
      </c>
      <c r="G1422" s="424">
        <f>30*4</f>
        <v>120</v>
      </c>
      <c r="H1422" s="3">
        <f>+IFERROR(VLOOKUP(E1422,BD!$L$2:$Q$66,6,0),0)</f>
        <v>30</v>
      </c>
      <c r="I1422" s="96">
        <f>IFERROR(G1422*VLOOKUP($E1422,BD!$L$2:$Q$66,5,0),0)</f>
        <v>27.6</v>
      </c>
      <c r="J1422" s="3">
        <f t="shared" si="95"/>
        <v>2021</v>
      </c>
    </row>
    <row r="1423" spans="1:10" s="9" customFormat="1" hidden="1" x14ac:dyDescent="0.25">
      <c r="A1423" s="447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7">
        <v>251429</v>
      </c>
      <c r="F1423" s="3" t="str">
        <f>IFERROR(VLOOKUP(E1423,BD!$L$2:$Q$66,2,0),0)</f>
        <v>SAN LUIS SIN GAS PET2500X6 STICKER</v>
      </c>
      <c r="G1423" s="424">
        <f>48*16</f>
        <v>768</v>
      </c>
      <c r="H1423" s="3">
        <f>+IFERROR(VLOOKUP(E1423,BD!$L$2:$Q$66,6,0),0)</f>
        <v>48</v>
      </c>
      <c r="I1423" s="96">
        <f>IFERROR(G1423*VLOOKUP($E1423,BD!$L$2:$Q$66,5,0),0)</f>
        <v>307.20000000000005</v>
      </c>
      <c r="J1423" s="3">
        <f t="shared" si="95"/>
        <v>2021</v>
      </c>
    </row>
    <row r="1424" spans="1:10" s="9" customFormat="1" hidden="1" x14ac:dyDescent="0.25">
      <c r="A1424" s="447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7">
        <v>256708</v>
      </c>
      <c r="F1424" s="3" t="str">
        <f>IFERROR(VLOOKUP(E1424,BD!$L$2:$Q$66,2,0),0)</f>
        <v>POWERADE ION4 FRUTA PET473X6 MOD (STICK)</v>
      </c>
      <c r="G1424" s="424">
        <f>225*4</f>
        <v>900</v>
      </c>
      <c r="H1424" s="3">
        <f>+IFERROR(VLOOKUP(E1424,BD!$L$2:$Q$66,6,0),0)</f>
        <v>225</v>
      </c>
      <c r="I1424" s="96">
        <f>IFERROR(G1424*VLOOKUP($E1424,BD!$L$2:$Q$66,5,0),0)</f>
        <v>360</v>
      </c>
      <c r="J1424" s="3">
        <f t="shared" si="95"/>
        <v>2021</v>
      </c>
    </row>
    <row r="1425" spans="1:10" s="9" customFormat="1" hidden="1" x14ac:dyDescent="0.25">
      <c r="A1425" s="447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7">
        <v>256381</v>
      </c>
      <c r="F1425" s="3" t="str">
        <f>IFERROR(VLOOKUP(E1425,BD!$L$2:$Q$66,2,0),0)</f>
        <v>INCA KOLA VR 1.5LX8 - STICKER</v>
      </c>
      <c r="G1425" s="424">
        <f>30*4</f>
        <v>120</v>
      </c>
      <c r="H1425" s="3">
        <f>+IFERROR(VLOOKUP(E1425,BD!$L$2:$Q$66,6,0),0)</f>
        <v>30</v>
      </c>
      <c r="I1425" s="96">
        <f>IFERROR(G1425*VLOOKUP($E1425,BD!$L$2:$Q$66,5,0),0)</f>
        <v>48</v>
      </c>
      <c r="J1425" s="3">
        <f t="shared" si="95"/>
        <v>2021</v>
      </c>
    </row>
    <row r="1426" spans="1:10" s="9" customFormat="1" hidden="1" x14ac:dyDescent="0.25">
      <c r="A1426" s="447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7">
        <v>256488</v>
      </c>
      <c r="F1426" s="3" t="str">
        <f>IFERROR(VLOOKUP(E1426,BD!$L$2:$Q$66,2,0),0)</f>
        <v>INCA KOLA PET 3LX2 - RF</v>
      </c>
      <c r="G1426" s="424">
        <f>120*8</f>
        <v>960</v>
      </c>
      <c r="H1426" s="3">
        <f>+IFERROR(VLOOKUP(E1426,BD!$L$2:$Q$66,6,0),0)</f>
        <v>120</v>
      </c>
      <c r="I1426" s="96">
        <f>IFERROR(G1426*VLOOKUP($E1426,BD!$L$2:$Q$66,5,0),0)</f>
        <v>163.20000000000002</v>
      </c>
      <c r="J1426" s="3">
        <f t="shared" si="95"/>
        <v>2021</v>
      </c>
    </row>
    <row r="1427" spans="1:10" s="9" customFormat="1" hidden="1" x14ac:dyDescent="0.25">
      <c r="A1427" s="447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7">
        <v>256601</v>
      </c>
      <c r="F1427" s="3" t="str">
        <f>IFERROR(VLOOKUP(E1427,BD!$L$2:$Q$66,2,0),0)</f>
        <v>INCA KOLA PET 2.25LX2 RF</v>
      </c>
      <c r="G1427" s="424">
        <f>162*4</f>
        <v>648</v>
      </c>
      <c r="H1427" s="3">
        <f>+IFERROR(VLOOKUP(E1427,BD!$L$2:$Q$66,6,0),0)</f>
        <v>162</v>
      </c>
      <c r="I1427" s="96">
        <f>IFERROR(G1427*VLOOKUP($E1427,BD!$L$2:$Q$66,5,0),0)</f>
        <v>110.16000000000001</v>
      </c>
      <c r="J1427" s="3">
        <f t="shared" si="95"/>
        <v>2021</v>
      </c>
    </row>
    <row r="1428" spans="1:10" s="9" customFormat="1" hidden="1" x14ac:dyDescent="0.25">
      <c r="A1428" s="447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7">
        <v>256674</v>
      </c>
      <c r="F1428" s="3" t="str">
        <f>IFERROR(VLOOKUP(E1428,BD!$L$2:$Q$66,2,0),0)</f>
        <v>COCA-COLA PET 1.5LX2 RF</v>
      </c>
      <c r="G1428" s="503">
        <f>216*12</f>
        <v>2592</v>
      </c>
      <c r="H1428" s="3">
        <f>+IFERROR(VLOOKUP(E1428,BD!$L$2:$Q$66,6,0),0)</f>
        <v>198</v>
      </c>
      <c r="I1428" s="96">
        <f>IFERROR(G1428*VLOOKUP($E1428,BD!$L$2:$Q$66,5,0),0)</f>
        <v>440.64000000000004</v>
      </c>
      <c r="J1428" s="3">
        <f t="shared" si="95"/>
        <v>2021</v>
      </c>
    </row>
    <row r="1429" spans="1:10" s="9" customFormat="1" hidden="1" x14ac:dyDescent="0.25">
      <c r="A1429" s="447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7">
        <v>256675</v>
      </c>
      <c r="F1429" s="3" t="str">
        <f>IFERROR(VLOOKUP(E1429,BD!$L$2:$Q$66,2,0),0)</f>
        <v>INCA KOLA PET 1.5LX2 RF</v>
      </c>
      <c r="G1429" s="503">
        <f>216*9</f>
        <v>1944</v>
      </c>
      <c r="H1429" s="3">
        <f>+IFERROR(VLOOKUP(E1429,BD!$L$2:$Q$66,6,0),0)</f>
        <v>198</v>
      </c>
      <c r="I1429" s="96">
        <f>IFERROR(G1429*VLOOKUP($E1429,BD!$L$2:$Q$66,5,0),0)</f>
        <v>330.48</v>
      </c>
      <c r="J1429" s="3">
        <f t="shared" si="95"/>
        <v>2021</v>
      </c>
    </row>
    <row r="1430" spans="1:10" s="9" customFormat="1" hidden="1" x14ac:dyDescent="0.25">
      <c r="A1430" s="447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7">
        <v>251406</v>
      </c>
      <c r="F1430" s="3" t="str">
        <f>IFERROR(VLOOKUP(E1430,BD!$L$2:$Q$66,2,0),0)</f>
        <v>COCA-COLA SIN AZUCAR PET 1.5LX2</v>
      </c>
      <c r="G1430" s="503">
        <f>216*15</f>
        <v>3240</v>
      </c>
      <c r="H1430" s="3">
        <f>+IFERROR(VLOOKUP(E1430,BD!$L$2:$Q$66,6,0),0)</f>
        <v>198</v>
      </c>
      <c r="I1430" s="96">
        <f>IFERROR(G1430*VLOOKUP($E1430,BD!$L$2:$Q$66,5,0),0)</f>
        <v>550.80000000000007</v>
      </c>
      <c r="J1430" s="3">
        <f t="shared" si="95"/>
        <v>2021</v>
      </c>
    </row>
    <row r="1431" spans="1:10" s="9" customFormat="1" hidden="1" x14ac:dyDescent="0.25">
      <c r="A1431" s="447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7">
        <v>256379</v>
      </c>
      <c r="F1431" s="3" t="str">
        <f>IFERROR(VLOOKUP(E1431,BD!$L$2:$Q$66,2,0),0)</f>
        <v>INCA KOLA VR 625MLX12 - STICKER</v>
      </c>
      <c r="G1431" s="424">
        <f>50*7</f>
        <v>350</v>
      </c>
      <c r="H1431" s="3">
        <f>+IFERROR(VLOOKUP(E1431,BD!$L$2:$Q$66,6,0),0)</f>
        <v>50</v>
      </c>
      <c r="I1431" s="96">
        <f>IFERROR(G1431*VLOOKUP($E1431,BD!$L$2:$Q$66,5,0),0)</f>
        <v>140</v>
      </c>
      <c r="J1431" s="3">
        <f t="shared" si="95"/>
        <v>2021</v>
      </c>
    </row>
    <row r="1432" spans="1:10" s="9" customFormat="1" hidden="1" x14ac:dyDescent="0.25">
      <c r="A1432" s="447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7">
        <v>256685</v>
      </c>
      <c r="F1432" s="3" t="str">
        <f>IFERROR(VLOOKUP(E1432,BD!$L$2:$Q$66,2,0),0)</f>
        <v>SL S/G TAPA PLANA 1LT</v>
      </c>
      <c r="G1432" s="424">
        <f>112*2</f>
        <v>224</v>
      </c>
      <c r="H1432" s="3">
        <f>+IFERROR(VLOOKUP(E1432,BD!$L$2:$Q$66,6,0),0)</f>
        <v>112</v>
      </c>
      <c r="I1432" s="96">
        <f>IFERROR(G1432*VLOOKUP($E1432,BD!$L$2:$Q$66,5,0),0)</f>
        <v>89.600000000000009</v>
      </c>
      <c r="J1432" s="3">
        <f t="shared" si="95"/>
        <v>2021</v>
      </c>
    </row>
    <row r="1433" spans="1:10" s="9" customFormat="1" hidden="1" x14ac:dyDescent="0.25">
      <c r="A1433" s="447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7">
        <v>254853</v>
      </c>
      <c r="F1433" s="3" t="str">
        <f>IFERROR(VLOOKUP(E1433,BD!$L$2:$Q$66,2,0),0)</f>
        <v>INCA KOLA SIN AZUCAR PET 1.5LX2</v>
      </c>
      <c r="G1433" s="503">
        <v>1512</v>
      </c>
      <c r="H1433" s="3">
        <f>+IFERROR(VLOOKUP(E1433,BD!$L$2:$Q$66,6,0),0)</f>
        <v>198</v>
      </c>
      <c r="I1433" s="96">
        <f>IFERROR(G1433*VLOOKUP($E1433,BD!$L$2:$Q$66,5,0),0)</f>
        <v>257.04000000000002</v>
      </c>
      <c r="J1433" s="3">
        <f t="shared" si="95"/>
        <v>2021</v>
      </c>
    </row>
    <row r="1434" spans="1:10" s="9" customFormat="1" hidden="1" x14ac:dyDescent="0.25">
      <c r="A1434" s="447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7">
        <v>256652</v>
      </c>
      <c r="F1434" s="3" t="str">
        <f>IFERROR(VLOOKUP(E1434,BD!$L$2:$Q$66,2,0),0)</f>
        <v>TRIPACK FT NAR+FT KI+SP PET 3L</v>
      </c>
      <c r="G1434" s="425">
        <f>90*13</f>
        <v>1170</v>
      </c>
      <c r="H1434" s="3">
        <f>+IFERROR(VLOOKUP(E1434,BD!$L$2:$Q$66,6,0),0)</f>
        <v>90</v>
      </c>
      <c r="I1434" s="96">
        <f>IFERROR(G1434*VLOOKUP($E1434,BD!$L$2:$Q$66,5,0),0)</f>
        <v>198.9</v>
      </c>
      <c r="J1434" s="3">
        <f t="shared" si="95"/>
        <v>2021</v>
      </c>
    </row>
    <row r="1435" spans="1:10" s="9" customFormat="1" hidden="1" x14ac:dyDescent="0.25">
      <c r="A1435" s="447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7">
        <v>256677</v>
      </c>
      <c r="F1435" s="3" t="str">
        <f>IFERROR(VLOOKUP(E1435,BD!$L$2:$Q$66,2,0),0)</f>
        <v>TWO PACK CC + IK PFM 3LX2 - RFNN</v>
      </c>
      <c r="G1435" s="424">
        <f>120*24</f>
        <v>2880</v>
      </c>
      <c r="H1435" s="3">
        <f>+IFERROR(VLOOKUP(E1435,BD!$L$2:$Q$66,6,0),0)</f>
        <v>120</v>
      </c>
      <c r="I1435" s="96">
        <f>IFERROR(G1435*VLOOKUP($E1435,BD!$L$2:$Q$66,5,0),0)</f>
        <v>489.6</v>
      </c>
      <c r="J1435" s="3">
        <f t="shared" si="95"/>
        <v>2021</v>
      </c>
    </row>
    <row r="1436" spans="1:10" s="9" customFormat="1" hidden="1" x14ac:dyDescent="0.25">
      <c r="A1436" s="447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7">
        <v>256679</v>
      </c>
      <c r="F1436" s="3" t="str">
        <f>IFERROR(VLOOKUP(E1436,BD!$L$2:$Q$66,2,0),0)</f>
        <v>TRIPACK CC+IK+IK PFM 3LX3 - RFNN</v>
      </c>
      <c r="G1436" s="425">
        <f>90*8</f>
        <v>720</v>
      </c>
      <c r="H1436" s="3">
        <f>+IFERROR(VLOOKUP(E1436,BD!$L$2:$Q$66,6,0),0)</f>
        <v>90</v>
      </c>
      <c r="I1436" s="96">
        <f>IFERROR(G1436*VLOOKUP($E1436,BD!$L$2:$Q$66,5,0),0)</f>
        <v>122.4</v>
      </c>
      <c r="J1436" s="3">
        <f t="shared" si="95"/>
        <v>2021</v>
      </c>
    </row>
    <row r="1437" spans="1:10" s="9" customFormat="1" hidden="1" x14ac:dyDescent="0.25">
      <c r="A1437" s="447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7">
        <v>256676</v>
      </c>
      <c r="F1437" s="3" t="str">
        <f>IFERROR(VLOOKUP(E1437,BD!$L$2:$Q$66,2,0),0)</f>
        <v>TWO PACK CC PFM 3LX2 - RFCC</v>
      </c>
      <c r="G1437" s="424">
        <f>120*11</f>
        <v>1320</v>
      </c>
      <c r="H1437" s="3">
        <f>+IFERROR(VLOOKUP(E1437,BD!$L$2:$Q$66,6,0),0)</f>
        <v>120</v>
      </c>
      <c r="I1437" s="96">
        <f>IFERROR(G1437*VLOOKUP($E1437,BD!$L$2:$Q$66,5,0),0)</f>
        <v>224.4</v>
      </c>
      <c r="J1437" s="3">
        <f t="shared" si="95"/>
        <v>2021</v>
      </c>
    </row>
    <row r="1438" spans="1:10" s="9" customFormat="1" hidden="1" x14ac:dyDescent="0.25">
      <c r="A1438" s="447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7">
        <v>256678</v>
      </c>
      <c r="F1438" s="3" t="str">
        <f>IFERROR(VLOOKUP(E1438,BD!$L$2:$Q$66,2,0),0)</f>
        <v>TRIPACK (CC+IK)PFM+FT PET 3LX3 - RFNN</v>
      </c>
      <c r="G1438" s="425">
        <f>90*8</f>
        <v>720</v>
      </c>
      <c r="H1438" s="3">
        <f>+IFERROR(VLOOKUP(E1438,BD!$L$2:$Q$66,6,0),0)</f>
        <v>90</v>
      </c>
      <c r="I1438" s="96">
        <f>IFERROR(G1438*VLOOKUP($E1438,BD!$L$2:$Q$66,5,0),0)</f>
        <v>122.4</v>
      </c>
      <c r="J1438" s="3">
        <f t="shared" si="95"/>
        <v>2021</v>
      </c>
    </row>
    <row r="1439" spans="1:10" s="9" customFormat="1" hidden="1" x14ac:dyDescent="0.25">
      <c r="A1439" s="447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7">
        <v>251633</v>
      </c>
      <c r="F1439" s="3" t="str">
        <f>IFERROR(VLOOKUP(E1439,BD!$L$2:$Q$66,2,0),0)</f>
        <v>SAN LUIS CON GAS PET 625MLX6</v>
      </c>
      <c r="G1439" s="424">
        <f>180*2</f>
        <v>360</v>
      </c>
      <c r="H1439" s="3">
        <f>+IFERROR(VLOOKUP(E1439,BD!$L$2:$Q$66,6,0),0)</f>
        <v>180</v>
      </c>
      <c r="I1439" s="96">
        <f>IFERROR(G1439*VLOOKUP($E1439,BD!$L$2:$Q$66,5,0),0)</f>
        <v>151.19999999999999</v>
      </c>
      <c r="J1439" s="3">
        <f t="shared" si="95"/>
        <v>2021</v>
      </c>
    </row>
    <row r="1440" spans="1:10" s="9" customFormat="1" hidden="1" x14ac:dyDescent="0.25">
      <c r="A1440" s="447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7">
        <v>751468</v>
      </c>
      <c r="F1440" s="3" t="str">
        <f>IFERROR(VLOOKUP(E1440,BD!$L$2:$Q$66,2,0),0)</f>
        <v>MONSTER ENERGY ULTRA 473MLX4</v>
      </c>
      <c r="G1440" s="424">
        <v>420</v>
      </c>
      <c r="H1440" s="3">
        <f>+IFERROR(VLOOKUP(E1440,BD!$L$2:$Q$66,6,0),0)</f>
        <v>420</v>
      </c>
      <c r="I1440" s="96">
        <f>IFERROR(G1440*VLOOKUP($E1440,BD!$L$2:$Q$66,5,0),0)</f>
        <v>176.4</v>
      </c>
      <c r="J1440" s="3">
        <f t="shared" si="95"/>
        <v>2021</v>
      </c>
    </row>
    <row r="1441" spans="1:10" s="9" customFormat="1" hidden="1" x14ac:dyDescent="0.25">
      <c r="A1441" s="447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7">
        <v>256695</v>
      </c>
      <c r="F1441" s="3" t="str">
        <f>IFERROR(VLOOKUP(E1441,BD!$L$2:$Q$66,2,0),0)</f>
        <v>POWERADE 3MORA+3FRUT PET 473MLX6</v>
      </c>
      <c r="G1441" s="424">
        <f>225*4</f>
        <v>900</v>
      </c>
      <c r="H1441" s="3">
        <f>+IFERROR(VLOOKUP(E1441,BD!$L$2:$Q$66,6,0),0)</f>
        <v>225</v>
      </c>
      <c r="I1441" s="96">
        <f>IFERROR(G1441*VLOOKUP($E1441,BD!$L$2:$Q$66,5,0),0)</f>
        <v>378</v>
      </c>
      <c r="J1441" s="3">
        <f t="shared" si="95"/>
        <v>2021</v>
      </c>
    </row>
    <row r="1442" spans="1:10" s="9" customFormat="1" hidden="1" x14ac:dyDescent="0.25">
      <c r="A1442" s="447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7">
        <v>256382</v>
      </c>
      <c r="F1442" s="3" t="str">
        <f>IFERROR(VLOOKUP(E1442,BD!$L$2:$Q$66,2,0),0)</f>
        <v>COCA COLA VR 296MLX24 - STICKER</v>
      </c>
      <c r="G1442" s="424">
        <f>40*3</f>
        <v>120</v>
      </c>
      <c r="H1442" s="3">
        <f>+IFERROR(VLOOKUP(E1442,BD!$L$2:$Q$66,6,0),0)</f>
        <v>40</v>
      </c>
      <c r="I1442" s="96">
        <f>IFERROR(G1442*VLOOKUP($E1442,BD!$L$2:$Q$66,5,0),0)</f>
        <v>27.6</v>
      </c>
      <c r="J1442" s="3">
        <f t="shared" si="95"/>
        <v>2021</v>
      </c>
    </row>
    <row r="1443" spans="1:10" s="9" customFormat="1" hidden="1" x14ac:dyDescent="0.25">
      <c r="A1443" s="447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7">
        <v>256617</v>
      </c>
      <c r="F1443" s="3" t="str">
        <f>IFERROR(VLOOKUP(E1443,BD!$L$2:$Q$66,2,0),0)</f>
        <v>TWO PACK SCHWEPPES GINGER ALE PET 1.5LX2</v>
      </c>
      <c r="G1443" s="424">
        <f>198*4</f>
        <v>792</v>
      </c>
      <c r="H1443" s="3">
        <f>+IFERROR(VLOOKUP(E1443,BD!$L$2:$Q$66,6,0),0)</f>
        <v>198</v>
      </c>
      <c r="I1443" s="96">
        <f>IFERROR(G1443*VLOOKUP($E1443,BD!$L$2:$Q$66,5,0),0)</f>
        <v>134.64000000000001</v>
      </c>
      <c r="J1443" s="3">
        <f t="shared" si="95"/>
        <v>2021</v>
      </c>
    </row>
    <row r="1444" spans="1:10" s="9" customFormat="1" hidden="1" x14ac:dyDescent="0.25">
      <c r="A1444" s="447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7">
        <v>256380</v>
      </c>
      <c r="F1444" s="3" t="str">
        <f>IFERROR(VLOOKUP(E1444,BD!$L$2:$Q$66,2,0),0)</f>
        <v>INCA KOLA VR 296MLX24 - STICKER</v>
      </c>
      <c r="G1444" s="424">
        <f>40*4</f>
        <v>160</v>
      </c>
      <c r="H1444" s="3">
        <f>+IFERROR(VLOOKUP(E1444,BD!$L$2:$Q$66,6,0),0)</f>
        <v>40</v>
      </c>
      <c r="I1444" s="96">
        <f>IFERROR(G1444*VLOOKUP($E1444,BD!$L$2:$Q$66,5,0),0)</f>
        <v>36.800000000000004</v>
      </c>
      <c r="J1444" s="3">
        <f t="shared" si="95"/>
        <v>2021</v>
      </c>
    </row>
    <row r="1445" spans="1:10" s="9" customFormat="1" hidden="1" x14ac:dyDescent="0.25">
      <c r="A1445" s="447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7">
        <v>256720</v>
      </c>
      <c r="F1445" s="3" t="str">
        <f>IFERROR(VLOOKUP(E1445,BD!$L$2:$Q$66,2,0),0)</f>
        <v>FANTA NARANJA PET 500MLX6 BRANDEADO MOD</v>
      </c>
      <c r="G1445" s="424">
        <f>250*5</f>
        <v>1250</v>
      </c>
      <c r="H1445" s="3">
        <f>+IFERROR(VLOOKUP(E1445,BD!$L$2:$Q$66,6,0),0)</f>
        <v>420</v>
      </c>
      <c r="I1445" s="96">
        <f>IFERROR(G1445*VLOOKUP($E1445,BD!$L$2:$Q$66,5,0),0)</f>
        <v>525</v>
      </c>
      <c r="J1445" s="3">
        <f t="shared" si="95"/>
        <v>2021</v>
      </c>
    </row>
    <row r="1446" spans="1:10" s="9" customFormat="1" hidden="1" x14ac:dyDescent="0.25">
      <c r="A1446" s="447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7">
        <v>256721</v>
      </c>
      <c r="F1446" s="3" t="str">
        <f>IFERROR(VLOOKUP(E1446,BD!$L$2:$Q$66,2,0),0)</f>
        <v>SPRITE PET 500MLX6 BRANDEADO MOD</v>
      </c>
      <c r="G1446" s="424">
        <f>250*2</f>
        <v>500</v>
      </c>
      <c r="H1446" s="3">
        <f>+IFERROR(VLOOKUP(E1446,BD!$L$2:$Q$66,6,0),0)</f>
        <v>420</v>
      </c>
      <c r="I1446" s="96">
        <f>IFERROR(G1446*VLOOKUP($E1446,BD!$L$2:$Q$66,5,0),0)</f>
        <v>210</v>
      </c>
      <c r="J1446" s="3">
        <f t="shared" si="95"/>
        <v>2021</v>
      </c>
    </row>
    <row r="1447" spans="1:10" s="9" customFormat="1" hidden="1" x14ac:dyDescent="0.25">
      <c r="A1447" s="447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7">
        <v>256680</v>
      </c>
      <c r="F1447" s="3" t="str">
        <f>IFERROR(VLOOKUP(E1447,BD!$L$2:$Q$66,2,0),0)</f>
        <v>TRIPACK CC+CC+IK PFM 3LX3 - RFNN</v>
      </c>
      <c r="G1447" s="424">
        <v>180</v>
      </c>
      <c r="H1447" s="3">
        <f>+IFERROR(VLOOKUP(E1447,BD!$L$2:$Q$66,6,0),0)</f>
        <v>90</v>
      </c>
      <c r="I1447" s="96">
        <f>IFERROR(G1447*VLOOKUP($E1447,BD!$L$2:$Q$66,5,0),0)</f>
        <v>30.6</v>
      </c>
      <c r="J1447" s="3">
        <f t="shared" si="95"/>
        <v>2021</v>
      </c>
    </row>
    <row r="1448" spans="1:10" s="9" customFormat="1" hidden="1" x14ac:dyDescent="0.25">
      <c r="A1448" s="447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7">
        <v>256548</v>
      </c>
      <c r="F1448" s="3" t="str">
        <f>IFERROR(VLOOKUP(E1448,BD!$L$2:$Q$66,2,0),0)</f>
        <v>TWO PACK CC PET 1.5LX2 - CRC</v>
      </c>
      <c r="G1448" s="424">
        <v>216</v>
      </c>
      <c r="H1448" s="3">
        <f>+IFERROR(VLOOKUP(E1448,BD!$L$2:$Q$66,6,0),0)</f>
        <v>198</v>
      </c>
      <c r="I1448" s="96">
        <f>IFERROR(G1448*VLOOKUP($E1448,BD!$L$2:$Q$66,5,0),0)</f>
        <v>36.720000000000006</v>
      </c>
      <c r="J1448" s="3">
        <f t="shared" si="95"/>
        <v>2021</v>
      </c>
    </row>
    <row r="1449" spans="1:10" s="9" customFormat="1" hidden="1" x14ac:dyDescent="0.25">
      <c r="A1449" s="447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7">
        <v>251406</v>
      </c>
      <c r="F1449" s="3" t="str">
        <f>IFERROR(VLOOKUP(E1449,BD!$L$2:$Q$66,2,0),0)</f>
        <v>COCA-COLA SIN AZUCAR PET 1.5LX2</v>
      </c>
      <c r="G1449" s="503">
        <f>216*10</f>
        <v>2160</v>
      </c>
      <c r="H1449" s="3">
        <f>+IFERROR(VLOOKUP(E1449,BD!$L$2:$Q$66,6,0),0)</f>
        <v>198</v>
      </c>
      <c r="I1449" s="96">
        <f>IFERROR(G1449*VLOOKUP($E1449,BD!$L$2:$Q$66,5,0),0)</f>
        <v>367.20000000000005</v>
      </c>
      <c r="J1449" s="3">
        <f t="shared" si="95"/>
        <v>2021</v>
      </c>
    </row>
    <row r="1450" spans="1:10" s="9" customFormat="1" hidden="1" x14ac:dyDescent="0.25">
      <c r="A1450" s="447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7">
        <v>256720</v>
      </c>
      <c r="F1450" s="3" t="str">
        <f>IFERROR(VLOOKUP(E1450,BD!$L$2:$Q$66,2,0),0)</f>
        <v>FANTA NARANJA PET 500MLX6 BRANDEADO MOD</v>
      </c>
      <c r="G1450" s="424">
        <f>250*2</f>
        <v>500</v>
      </c>
      <c r="H1450" s="3">
        <f>+IFERROR(VLOOKUP(E1450,BD!$L$2:$Q$66,6,0),0)</f>
        <v>420</v>
      </c>
      <c r="I1450" s="96">
        <f>IFERROR(G1450*VLOOKUP($E1450,BD!$L$2:$Q$66,5,0),0)</f>
        <v>210</v>
      </c>
      <c r="J1450" s="3">
        <f t="shared" si="95"/>
        <v>2021</v>
      </c>
    </row>
    <row r="1451" spans="1:10" s="9" customFormat="1" hidden="1" x14ac:dyDescent="0.25">
      <c r="A1451" s="447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7">
        <v>254762</v>
      </c>
      <c r="F1451" s="3" t="str">
        <f>IFERROR(VLOOKUP(E1451,BD!$L$2:$Q$66,2,0),0)</f>
        <v xml:space="preserve">SAN LUIS SPORT S/G 10 Lt x6 </v>
      </c>
      <c r="G1451" s="424">
        <f>112*1</f>
        <v>112</v>
      </c>
      <c r="H1451" s="3">
        <f>+IFERROR(VLOOKUP(E1451,BD!$L$2:$Q$66,6,0),0)</f>
        <v>240</v>
      </c>
      <c r="I1451" s="96">
        <f>IFERROR(G1451*VLOOKUP($E1451,BD!$L$2:$Q$66,5,0),0)</f>
        <v>44.800000000000004</v>
      </c>
      <c r="J1451" s="3">
        <f t="shared" si="95"/>
        <v>2021</v>
      </c>
    </row>
    <row r="1452" spans="1:10" s="9" customFormat="1" hidden="1" x14ac:dyDescent="0.25">
      <c r="A1452" s="447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7">
        <v>251633</v>
      </c>
      <c r="F1452" s="3" t="str">
        <f>IFERROR(VLOOKUP(E1452,BD!$L$2:$Q$66,2,0),0)</f>
        <v>SAN LUIS CON GAS PET 625MLX6</v>
      </c>
      <c r="G1452" s="424">
        <f>180*8</f>
        <v>1440</v>
      </c>
      <c r="H1452" s="3">
        <f>+IFERROR(VLOOKUP(E1452,BD!$L$2:$Q$66,6,0),0)</f>
        <v>180</v>
      </c>
      <c r="I1452" s="96">
        <f>IFERROR(G1452*VLOOKUP($E1452,BD!$L$2:$Q$66,5,0),0)</f>
        <v>604.79999999999995</v>
      </c>
      <c r="J1452" s="3">
        <f t="shared" si="95"/>
        <v>2021</v>
      </c>
    </row>
    <row r="1453" spans="1:10" s="9" customFormat="1" hidden="1" x14ac:dyDescent="0.25">
      <c r="A1453" s="447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7">
        <v>256601</v>
      </c>
      <c r="F1453" s="3" t="str">
        <f>IFERROR(VLOOKUP(E1453,BD!$L$2:$Q$66,2,0),0)</f>
        <v>INCA KOLA PET 2.25LX2 RF</v>
      </c>
      <c r="G1453" s="424">
        <f>162*2</f>
        <v>324</v>
      </c>
      <c r="H1453" s="3">
        <f>+IFERROR(VLOOKUP(E1453,BD!$L$2:$Q$66,6,0),0)</f>
        <v>162</v>
      </c>
      <c r="I1453" s="96">
        <f>IFERROR(G1453*VLOOKUP($E1453,BD!$L$2:$Q$66,5,0),0)</f>
        <v>55.080000000000005</v>
      </c>
      <c r="J1453" s="3">
        <f t="shared" si="95"/>
        <v>2021</v>
      </c>
    </row>
    <row r="1454" spans="1:10" s="9" customFormat="1" hidden="1" x14ac:dyDescent="0.25">
      <c r="A1454" s="447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7">
        <v>256695</v>
      </c>
      <c r="F1454" s="3" t="str">
        <f>IFERROR(VLOOKUP(E1454,BD!$L$2:$Q$66,2,0),0)</f>
        <v>POWERADE 3MORA+3FRUT PET 473MLX6</v>
      </c>
      <c r="G1454" s="424">
        <f>225*16</f>
        <v>3600</v>
      </c>
      <c r="H1454" s="3">
        <f>+IFERROR(VLOOKUP(E1454,BD!$L$2:$Q$66,6,0),0)</f>
        <v>225</v>
      </c>
      <c r="I1454" s="96">
        <f>IFERROR(G1454*VLOOKUP($E1454,BD!$L$2:$Q$66,5,0),0)</f>
        <v>1512</v>
      </c>
      <c r="J1454" s="3">
        <f t="shared" si="95"/>
        <v>2021</v>
      </c>
    </row>
    <row r="1455" spans="1:10" s="9" customFormat="1" hidden="1" x14ac:dyDescent="0.25">
      <c r="A1455" s="447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7">
        <v>256708</v>
      </c>
      <c r="F1455" s="3" t="str">
        <f>IFERROR(VLOOKUP(E1455,BD!$L$2:$Q$66,2,0),0)</f>
        <v>POWERADE ION4 FRUTA PET473X6 MOD (STICK)</v>
      </c>
      <c r="G1455" s="424">
        <f>225*3</f>
        <v>675</v>
      </c>
      <c r="H1455" s="3">
        <f>+IFERROR(VLOOKUP(E1455,BD!$L$2:$Q$66,6,0),0)</f>
        <v>225</v>
      </c>
      <c r="I1455" s="96">
        <f>IFERROR(G1455*VLOOKUP($E1455,BD!$L$2:$Q$66,5,0),0)</f>
        <v>270</v>
      </c>
      <c r="J1455" s="3">
        <f t="shared" si="95"/>
        <v>2021</v>
      </c>
    </row>
    <row r="1456" spans="1:10" s="9" customFormat="1" hidden="1" x14ac:dyDescent="0.25">
      <c r="A1456" s="447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7">
        <v>256680</v>
      </c>
      <c r="F1456" s="3" t="str">
        <f>IFERROR(VLOOKUP(E1456,BD!$L$2:$Q$66,2,0),0)</f>
        <v>TRIPACK CC+CC+IK PFM 3LX3 - RFNN</v>
      </c>
      <c r="G1456" s="424">
        <f>90*2</f>
        <v>180</v>
      </c>
      <c r="H1456" s="3">
        <f>+IFERROR(VLOOKUP(E1456,BD!$L$2:$Q$66,6,0),0)</f>
        <v>90</v>
      </c>
      <c r="I1456" s="96">
        <f>IFERROR(G1456*VLOOKUP($E1456,BD!$L$2:$Q$66,5,0),0)</f>
        <v>30.6</v>
      </c>
      <c r="J1456" s="3">
        <f t="shared" si="95"/>
        <v>2021</v>
      </c>
    </row>
    <row r="1457" spans="1:10" s="9" customFormat="1" hidden="1" x14ac:dyDescent="0.25">
      <c r="A1457" s="447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7">
        <v>256682</v>
      </c>
      <c r="F1457" s="3" t="str">
        <f>IFERROR(VLOOKUP(E1457,BD!$L$2:$Q$66,2,0),0)</f>
        <v>TRIPACK (FT NAR+SP)PET+IK RF PFM 3L</v>
      </c>
      <c r="G1457" s="507">
        <f>90*5</f>
        <v>450</v>
      </c>
      <c r="H1457" s="3">
        <f>+IFERROR(VLOOKUP(E1457,BD!$L$2:$Q$66,6,0),0)</f>
        <v>90</v>
      </c>
      <c r="I1457" s="96">
        <f>IFERROR(G1457*VLOOKUP($E1457,BD!$L$2:$Q$66,5,0),0)</f>
        <v>76.5</v>
      </c>
      <c r="J1457" s="3">
        <f t="shared" si="95"/>
        <v>2021</v>
      </c>
    </row>
    <row r="1458" spans="1:10" s="9" customFormat="1" hidden="1" x14ac:dyDescent="0.25">
      <c r="A1458" s="447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7">
        <v>256666</v>
      </c>
      <c r="F1458" s="3" t="str">
        <f>IFERROR(VLOOKUP(E1458,BD!$L$2:$Q$66,2,0),0)</f>
        <v>COCA-COLA PET 2.25LX2 RF</v>
      </c>
      <c r="G1458" s="424">
        <f>162*5</f>
        <v>810</v>
      </c>
      <c r="H1458" s="3">
        <f>+IFERROR(VLOOKUP(E1458,BD!$L$2:$Q$66,6,0),0)</f>
        <v>162</v>
      </c>
      <c r="I1458" s="96">
        <f>IFERROR(G1458*VLOOKUP($E1458,BD!$L$2:$Q$66,5,0),0)</f>
        <v>137.70000000000002</v>
      </c>
      <c r="J1458" s="3">
        <f t="shared" si="95"/>
        <v>2021</v>
      </c>
    </row>
    <row r="1459" spans="1:10" s="9" customFormat="1" hidden="1" x14ac:dyDescent="0.25">
      <c r="A1459" s="447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7">
        <v>256685</v>
      </c>
      <c r="F1459" s="3" t="str">
        <f>IFERROR(VLOOKUP(E1459,BD!$L$2:$Q$66,2,0),0)</f>
        <v>SL S/G TAPA PLANA 1LT</v>
      </c>
      <c r="G1459" s="424">
        <v>112</v>
      </c>
      <c r="H1459" s="3">
        <f>+IFERROR(VLOOKUP(E1459,BD!$L$2:$Q$66,6,0),0)</f>
        <v>112</v>
      </c>
      <c r="I1459" s="96">
        <f>IFERROR(G1459*VLOOKUP($E1459,BD!$L$2:$Q$66,5,0),0)</f>
        <v>44.800000000000004</v>
      </c>
      <c r="J1459" s="3">
        <f t="shared" si="95"/>
        <v>2021</v>
      </c>
    </row>
    <row r="1460" spans="1:10" s="9" customFormat="1" hidden="1" x14ac:dyDescent="0.25">
      <c r="A1460" s="447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7">
        <v>256383</v>
      </c>
      <c r="F1460" s="3" t="str">
        <f>IFERROR(VLOOKUP(E1460,BD!$L$2:$Q$66,2,0),0)</f>
        <v>COCA COLA VR 1.5LX8 - STICKER</v>
      </c>
      <c r="G1460" s="424">
        <f>30*2</f>
        <v>60</v>
      </c>
      <c r="H1460" s="3">
        <f>+IFERROR(VLOOKUP(E1460,BD!$L$2:$Q$66,6,0),0)</f>
        <v>30</v>
      </c>
      <c r="I1460" s="96">
        <f>IFERROR(G1460*VLOOKUP($E1460,BD!$L$2:$Q$66,5,0),0)</f>
        <v>13.8</v>
      </c>
      <c r="J1460" s="3">
        <f t="shared" si="95"/>
        <v>2021</v>
      </c>
    </row>
    <row r="1461" spans="1:10" s="9" customFormat="1" hidden="1" x14ac:dyDescent="0.25">
      <c r="A1461" s="447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7">
        <v>256382</v>
      </c>
      <c r="F1461" s="3" t="str">
        <f>IFERROR(VLOOKUP(E1461,BD!$L$2:$Q$66,2,0),0)</f>
        <v>COCA COLA VR 296MLX24 - STICKER</v>
      </c>
      <c r="G1461" s="425">
        <f>40*1</f>
        <v>40</v>
      </c>
      <c r="H1461" s="3">
        <f>+IFERROR(VLOOKUP(E1461,BD!$L$2:$Q$66,6,0),0)</f>
        <v>40</v>
      </c>
      <c r="I1461" s="96">
        <f>IFERROR(G1461*VLOOKUP($E1461,BD!$L$2:$Q$66,5,0),0)</f>
        <v>9.2000000000000011</v>
      </c>
      <c r="J1461" s="3">
        <f t="shared" si="95"/>
        <v>2021</v>
      </c>
    </row>
    <row r="1462" spans="1:10" s="9" customFormat="1" hidden="1" x14ac:dyDescent="0.25">
      <c r="A1462" s="447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7">
        <v>256381</v>
      </c>
      <c r="F1462" s="3" t="str">
        <f>IFERROR(VLOOKUP(E1462,BD!$L$2:$Q$66,2,0),0)</f>
        <v>INCA KOLA VR 1.5LX8 - STICKER</v>
      </c>
      <c r="G1462" s="424">
        <f>30*2</f>
        <v>60</v>
      </c>
      <c r="H1462" s="3">
        <f>+IFERROR(VLOOKUP(E1462,BD!$L$2:$Q$66,6,0),0)</f>
        <v>30</v>
      </c>
      <c r="I1462" s="96">
        <f>IFERROR(G1462*VLOOKUP($E1462,BD!$L$2:$Q$66,5,0),0)</f>
        <v>24</v>
      </c>
      <c r="J1462" s="3">
        <f t="shared" si="95"/>
        <v>2021</v>
      </c>
    </row>
    <row r="1463" spans="1:10" s="9" customFormat="1" hidden="1" x14ac:dyDescent="0.25">
      <c r="A1463" s="447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7">
        <v>256380</v>
      </c>
      <c r="F1463" s="3" t="str">
        <f>IFERROR(VLOOKUP(E1463,BD!$L$2:$Q$66,2,0),0)</f>
        <v>INCA KOLA VR 296MLX24 - STICKER</v>
      </c>
      <c r="G1463" s="424">
        <f>40*2</f>
        <v>80</v>
      </c>
      <c r="H1463" s="3">
        <f>+IFERROR(VLOOKUP(E1463,BD!$L$2:$Q$66,6,0),0)</f>
        <v>40</v>
      </c>
      <c r="I1463" s="96">
        <f>IFERROR(G1463*VLOOKUP($E1463,BD!$L$2:$Q$66,5,0),0)</f>
        <v>18.400000000000002</v>
      </c>
      <c r="J1463" s="3">
        <f t="shared" si="95"/>
        <v>2021</v>
      </c>
    </row>
    <row r="1464" spans="1:10" s="9" customFormat="1" hidden="1" x14ac:dyDescent="0.25">
      <c r="A1464" s="447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7">
        <v>256379</v>
      </c>
      <c r="F1464" s="3" t="str">
        <f>IFERROR(VLOOKUP(E1464,BD!$L$2:$Q$66,2,0),0)</f>
        <v>INCA KOLA VR 625MLX12 - STICKER</v>
      </c>
      <c r="G1464" s="424">
        <f>50*3</f>
        <v>150</v>
      </c>
      <c r="H1464" s="3">
        <f>+IFERROR(VLOOKUP(E1464,BD!$L$2:$Q$66,6,0),0)</f>
        <v>50</v>
      </c>
      <c r="I1464" s="96">
        <f>IFERROR(G1464*VLOOKUP($E1464,BD!$L$2:$Q$66,5,0),0)</f>
        <v>60</v>
      </c>
      <c r="J1464" s="3">
        <f t="shared" si="95"/>
        <v>2021</v>
      </c>
    </row>
    <row r="1465" spans="1:10" s="9" customFormat="1" hidden="1" x14ac:dyDescent="0.25">
      <c r="A1465" s="447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7">
        <v>251429</v>
      </c>
      <c r="F1465" s="3" t="str">
        <f>IFERROR(VLOOKUP(E1465,BD!$L$2:$Q$66,2,0),0)</f>
        <v>SAN LUIS SIN GAS PET2500X6 STICKER</v>
      </c>
      <c r="G1465" s="424">
        <f>48*6</f>
        <v>288</v>
      </c>
      <c r="H1465" s="3">
        <f>+IFERROR(VLOOKUP(E1465,BD!$L$2:$Q$66,6,0),0)</f>
        <v>48</v>
      </c>
      <c r="I1465" s="96">
        <f>IFERROR(G1465*VLOOKUP($E1465,BD!$L$2:$Q$66,5,0),0)</f>
        <v>115.2</v>
      </c>
      <c r="J1465" s="3">
        <f t="shared" si="95"/>
        <v>2021</v>
      </c>
    </row>
    <row r="1466" spans="1:10" s="9" customFormat="1" hidden="1" x14ac:dyDescent="0.25">
      <c r="A1466" s="447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7">
        <v>256675</v>
      </c>
      <c r="F1466" s="3" t="str">
        <f>IFERROR(VLOOKUP(E1466,BD!$L$2:$Q$66,2,0),0)</f>
        <v>INCA KOLA PET 1.5LX2 RF</v>
      </c>
      <c r="G1466" s="503">
        <f>216*6</f>
        <v>1296</v>
      </c>
      <c r="H1466" s="3">
        <f>+IFERROR(VLOOKUP(E1466,BD!$L$2:$Q$66,6,0),0)</f>
        <v>198</v>
      </c>
      <c r="I1466" s="96">
        <f>IFERROR(G1466*VLOOKUP($E1466,BD!$L$2:$Q$66,5,0),0)</f>
        <v>220.32000000000002</v>
      </c>
      <c r="J1466" s="3">
        <f t="shared" si="95"/>
        <v>2021</v>
      </c>
    </row>
    <row r="1467" spans="1:10" s="9" customFormat="1" hidden="1" x14ac:dyDescent="0.25">
      <c r="A1467" s="447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7">
        <v>256674</v>
      </c>
      <c r="F1467" s="3" t="str">
        <f>IFERROR(VLOOKUP(E1467,BD!$L$2:$Q$66,2,0),0)</f>
        <v>COCA-COLA PET 1.5LX2 RF</v>
      </c>
      <c r="G1467" s="503">
        <f>216*2</f>
        <v>432</v>
      </c>
      <c r="H1467" s="3">
        <f>+IFERROR(VLOOKUP(E1467,BD!$L$2:$Q$66,6,0),0)</f>
        <v>198</v>
      </c>
      <c r="I1467" s="96">
        <f>IFERROR(G1467*VLOOKUP($E1467,BD!$L$2:$Q$66,5,0),0)</f>
        <v>73.440000000000012</v>
      </c>
      <c r="J1467" s="3">
        <f t="shared" si="95"/>
        <v>2021</v>
      </c>
    </row>
    <row r="1468" spans="1:10" s="9" customFormat="1" hidden="1" x14ac:dyDescent="0.25">
      <c r="A1468" s="447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7">
        <v>256678</v>
      </c>
      <c r="F1468" s="3" t="str">
        <f>IFERROR(VLOOKUP(E1468,BD!$L$2:$Q$66,2,0),0)</f>
        <v>TRIPACK (CC+IK)PFM+FT PET 3LX3 - RFNN</v>
      </c>
      <c r="G1468" s="424">
        <f>90*21</f>
        <v>1890</v>
      </c>
      <c r="H1468" s="3">
        <f>+IFERROR(VLOOKUP(E1468,BD!$L$2:$Q$66,6,0),0)</f>
        <v>90</v>
      </c>
      <c r="I1468" s="96">
        <f>IFERROR(G1468*VLOOKUP($E1468,BD!$L$2:$Q$66,5,0),0)</f>
        <v>321.3</v>
      </c>
      <c r="J1468" s="3">
        <f t="shared" si="95"/>
        <v>2021</v>
      </c>
    </row>
    <row r="1469" spans="1:10" s="9" customFormat="1" hidden="1" x14ac:dyDescent="0.25">
      <c r="A1469" s="447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7">
        <v>256676</v>
      </c>
      <c r="F1469" s="3" t="str">
        <f>IFERROR(VLOOKUP(E1469,BD!$L$2:$Q$66,2,0),0)</f>
        <v>TWO PACK CC PFM 3LX2 - RFCC</v>
      </c>
      <c r="G1469" s="424">
        <f>120*3</f>
        <v>360</v>
      </c>
      <c r="H1469" s="3">
        <f>+IFERROR(VLOOKUP(E1469,BD!$L$2:$Q$66,6,0),0)</f>
        <v>120</v>
      </c>
      <c r="I1469" s="96">
        <f>IFERROR(G1469*VLOOKUP($E1469,BD!$L$2:$Q$66,5,0),0)</f>
        <v>61.2</v>
      </c>
      <c r="J1469" s="3">
        <f t="shared" si="95"/>
        <v>2021</v>
      </c>
    </row>
    <row r="1470" spans="1:10" s="9" customFormat="1" hidden="1" x14ac:dyDescent="0.25">
      <c r="A1470" s="447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7">
        <v>256679</v>
      </c>
      <c r="F1470" s="3" t="str">
        <f>IFERROR(VLOOKUP(E1470,BD!$L$2:$Q$66,2,0),0)</f>
        <v>TRIPACK CC+IK+IK PFM 3LX3 - RFNN</v>
      </c>
      <c r="G1470" s="424">
        <f>90*8</f>
        <v>720</v>
      </c>
      <c r="H1470" s="3">
        <f>+IFERROR(VLOOKUP(E1470,BD!$L$2:$Q$66,6,0),0)</f>
        <v>90</v>
      </c>
      <c r="I1470" s="96">
        <f>IFERROR(G1470*VLOOKUP($E1470,BD!$L$2:$Q$66,5,0),0)</f>
        <v>122.4</v>
      </c>
      <c r="J1470" s="3">
        <f t="shared" si="95"/>
        <v>2021</v>
      </c>
    </row>
    <row r="1471" spans="1:10" s="9" customFormat="1" hidden="1" x14ac:dyDescent="0.25">
      <c r="A1471" s="447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7">
        <v>256677</v>
      </c>
      <c r="F1471" s="3" t="str">
        <f>IFERROR(VLOOKUP(E1471,BD!$L$2:$Q$66,2,0),0)</f>
        <v>TWO PACK CC + IK PFM 3LX2 - RFNN</v>
      </c>
      <c r="G1471" s="424">
        <f>120*6</f>
        <v>720</v>
      </c>
      <c r="H1471" s="3">
        <f>+IFERROR(VLOOKUP(E1471,BD!$L$2:$Q$66,6,0),0)</f>
        <v>120</v>
      </c>
      <c r="I1471" s="96">
        <f>IFERROR(G1471*VLOOKUP($E1471,BD!$L$2:$Q$66,5,0),0)</f>
        <v>122.4</v>
      </c>
      <c r="J1471" s="3">
        <f t="shared" si="95"/>
        <v>2021</v>
      </c>
    </row>
    <row r="1472" spans="1:10" s="9" customFormat="1" hidden="1" x14ac:dyDescent="0.25">
      <c r="A1472" s="447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7">
        <v>256617</v>
      </c>
      <c r="F1472" s="3" t="str">
        <f>IFERROR(VLOOKUP(E1472,BD!$L$2:$Q$66,2,0),0)</f>
        <v>TWO PACK SCHWEPPES GINGER ALE PET 1.5LX2</v>
      </c>
      <c r="G1472" s="424">
        <f>198*2</f>
        <v>396</v>
      </c>
      <c r="H1472" s="3">
        <f>+IFERROR(VLOOKUP(E1472,BD!$L$2:$Q$66,6,0),0)</f>
        <v>198</v>
      </c>
      <c r="I1472" s="96">
        <f>IFERROR(G1472*VLOOKUP($E1472,BD!$L$2:$Q$66,5,0),0)</f>
        <v>67.320000000000007</v>
      </c>
      <c r="J1472" s="3">
        <f t="shared" si="95"/>
        <v>2021</v>
      </c>
    </row>
    <row r="1473" spans="1:10" s="9" customFormat="1" hidden="1" x14ac:dyDescent="0.25">
      <c r="A1473" s="447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7">
        <v>254853</v>
      </c>
      <c r="F1473" s="3" t="str">
        <f>IFERROR(VLOOKUP(E1473,BD!$L$2:$Q$66,2,0),0)</f>
        <v>INCA KOLA SIN AZUCAR PET 1.5LX2</v>
      </c>
      <c r="G1473" s="503">
        <v>2160</v>
      </c>
      <c r="H1473" s="3">
        <f>+IFERROR(VLOOKUP(E1473,BD!$L$2:$Q$66,6,0),0)</f>
        <v>198</v>
      </c>
      <c r="I1473" s="96">
        <f>IFERROR(G1473*VLOOKUP($E1473,BD!$L$2:$Q$66,5,0),0)</f>
        <v>367.20000000000005</v>
      </c>
      <c r="J1473" s="3">
        <f t="shared" si="95"/>
        <v>2021</v>
      </c>
    </row>
    <row r="1474" spans="1:10" s="9" customFormat="1" hidden="1" x14ac:dyDescent="0.25">
      <c r="A1474" s="447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7">
        <v>256488</v>
      </c>
      <c r="F1474" s="3" t="str">
        <f>IFERROR(VLOOKUP(E1474,BD!$L$2:$Q$66,2,0),0)</f>
        <v>INCA KOLA PET 3LX2 - RF</v>
      </c>
      <c r="G1474" s="424">
        <v>240</v>
      </c>
      <c r="H1474" s="3">
        <f>+IFERROR(VLOOKUP(E1474,BD!$L$2:$Q$66,6,0),0)</f>
        <v>120</v>
      </c>
      <c r="I1474" s="96">
        <f>IFERROR(G1474*VLOOKUP($E1474,BD!$L$2:$Q$66,5,0),0)</f>
        <v>40.800000000000004</v>
      </c>
      <c r="J1474" s="3">
        <f t="shared" si="95"/>
        <v>2021</v>
      </c>
    </row>
    <row r="1475" spans="1:10" s="9" customFormat="1" hidden="1" x14ac:dyDescent="0.25">
      <c r="A1475" s="447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7">
        <v>256679</v>
      </c>
      <c r="F1475" s="3" t="str">
        <f>IFERROR(VLOOKUP(E1475,BD!$L$2:$Q$66,2,0),0)</f>
        <v>TRIPACK CC+IK+IK PFM 3LX3 - RFNN</v>
      </c>
      <c r="G1475" s="424">
        <f>90*5</f>
        <v>450</v>
      </c>
      <c r="H1475" s="3">
        <f>+IFERROR(VLOOKUP(E1475,BD!$L$2:$Q$66,6,0),0)</f>
        <v>90</v>
      </c>
      <c r="I1475" s="96">
        <f>IFERROR(G1475*VLOOKUP($E1475,BD!$L$2:$Q$66,5,0),0)</f>
        <v>76.5</v>
      </c>
      <c r="J1475" s="3">
        <f t="shared" si="95"/>
        <v>2021</v>
      </c>
    </row>
    <row r="1476" spans="1:10" s="9" customFormat="1" hidden="1" x14ac:dyDescent="0.25">
      <c r="A1476" s="447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7">
        <v>256678</v>
      </c>
      <c r="F1476" s="3" t="str">
        <f>IFERROR(VLOOKUP(E1476,BD!$L$2:$Q$66,2,0),0)</f>
        <v>TRIPACK (CC+IK)PFM+FT PET 3LX3 - RFNN</v>
      </c>
      <c r="G1476" s="424">
        <f>90*16</f>
        <v>1440</v>
      </c>
      <c r="H1476" s="3">
        <f>+IFERROR(VLOOKUP(E1476,BD!$L$2:$Q$66,6,0),0)</f>
        <v>90</v>
      </c>
      <c r="I1476" s="96">
        <f>IFERROR(G1476*VLOOKUP($E1476,BD!$L$2:$Q$66,5,0),0)</f>
        <v>244.8</v>
      </c>
      <c r="J1476" s="3">
        <f t="shared" si="95"/>
        <v>2021</v>
      </c>
    </row>
    <row r="1477" spans="1:10" s="9" customFormat="1" hidden="1" x14ac:dyDescent="0.25">
      <c r="A1477" s="447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7">
        <v>256695</v>
      </c>
      <c r="F1477" s="3" t="str">
        <f>IFERROR(VLOOKUP(E1477,BD!$L$2:$Q$66,2,0),0)</f>
        <v>POWERADE 3MORA+3FRUT PET 473MLX6</v>
      </c>
      <c r="G1477" s="424">
        <f>225*4</f>
        <v>900</v>
      </c>
      <c r="H1477" s="3">
        <f>+IFERROR(VLOOKUP(E1477,BD!$L$2:$Q$66,6,0),0)</f>
        <v>225</v>
      </c>
      <c r="I1477" s="96">
        <f>IFERROR(G1477*VLOOKUP($E1477,BD!$L$2:$Q$66,5,0),0)</f>
        <v>378</v>
      </c>
      <c r="J1477" s="3">
        <f t="shared" si="95"/>
        <v>2021</v>
      </c>
    </row>
    <row r="1478" spans="1:10" s="9" customFormat="1" hidden="1" x14ac:dyDescent="0.25">
      <c r="A1478" s="447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7">
        <v>751315</v>
      </c>
      <c r="F1478" s="3" t="str">
        <f>IFERROR(VLOOKUP(E1478,BD!$L$2:$Q$66,2,0),0)</f>
        <v>MONSTER ENERGY 473MLX4</v>
      </c>
      <c r="G1478" s="424">
        <f>420*2</f>
        <v>840</v>
      </c>
      <c r="H1478" s="3">
        <f>+IFERROR(VLOOKUP(E1478,BD!$L$2:$Q$66,6,0),0)</f>
        <v>420</v>
      </c>
      <c r="I1478" s="96">
        <f>IFERROR(G1478*VLOOKUP($E1478,BD!$L$2:$Q$66,5,0),0)</f>
        <v>352.8</v>
      </c>
      <c r="J1478" s="3">
        <f t="shared" si="95"/>
        <v>2021</v>
      </c>
    </row>
    <row r="1479" spans="1:10" s="9" customFormat="1" hidden="1" x14ac:dyDescent="0.25">
      <c r="A1479" s="447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7">
        <v>751544</v>
      </c>
      <c r="F1479" s="3" t="str">
        <f>IFERROR(VLOOKUP(E1479,BD!$L$2:$Q$66,2,0),0)</f>
        <v>MONSTER ENERGY ZERO 473MLX4</v>
      </c>
      <c r="G1479" s="424">
        <f>420*2</f>
        <v>840</v>
      </c>
      <c r="H1479" s="3">
        <f>+IFERROR(VLOOKUP(E1479,BD!$L$2:$Q$66,6,0),0)</f>
        <v>420</v>
      </c>
      <c r="I1479" s="96">
        <f>IFERROR(G1479*VLOOKUP($E1479,BD!$L$2:$Q$66,5,0),0)</f>
        <v>352.8</v>
      </c>
      <c r="J1479" s="3">
        <f t="shared" si="95"/>
        <v>2021</v>
      </c>
    </row>
    <row r="1480" spans="1:10" s="9" customFormat="1" hidden="1" x14ac:dyDescent="0.25">
      <c r="A1480" s="447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7">
        <v>751468</v>
      </c>
      <c r="F1480" s="3" t="str">
        <f>IFERROR(VLOOKUP(E1480,BD!$L$2:$Q$66,2,0),0)</f>
        <v>MONSTER ENERGY ULTRA 473MLX4</v>
      </c>
      <c r="G1480" s="424">
        <f>420*5</f>
        <v>2100</v>
      </c>
      <c r="H1480" s="3">
        <f>+IFERROR(VLOOKUP(E1480,BD!$L$2:$Q$66,6,0),0)</f>
        <v>420</v>
      </c>
      <c r="I1480" s="96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hidden="1" x14ac:dyDescent="0.25">
      <c r="A1481" s="447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7">
        <v>256382</v>
      </c>
      <c r="F1481" s="3" t="str">
        <f>IFERROR(VLOOKUP(E1481,BD!$L$2:$Q$66,2,0),0)</f>
        <v>COCA COLA VR 296MLX24 - STICKER</v>
      </c>
      <c r="G1481" s="424">
        <v>40</v>
      </c>
      <c r="H1481" s="3">
        <f>+IFERROR(VLOOKUP(E1481,BD!$L$2:$Q$66,6,0),0)</f>
        <v>40</v>
      </c>
      <c r="I1481" s="96">
        <f>IFERROR(G1481*VLOOKUP($E1481,BD!$L$2:$Q$66,5,0),0)</f>
        <v>9.2000000000000011</v>
      </c>
      <c r="J1481" s="3">
        <f t="shared" si="99"/>
        <v>2021</v>
      </c>
    </row>
    <row r="1482" spans="1:10" s="9" customFormat="1" hidden="1" x14ac:dyDescent="0.25">
      <c r="A1482" s="447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7">
        <v>256379</v>
      </c>
      <c r="F1482" s="3" t="str">
        <f>IFERROR(VLOOKUP(E1482,BD!$L$2:$Q$66,2,0),0)</f>
        <v>INCA KOLA VR 625MLX12 - STICKER</v>
      </c>
      <c r="G1482" s="424">
        <v>250</v>
      </c>
      <c r="H1482" s="3">
        <f>+IFERROR(VLOOKUP(E1482,BD!$L$2:$Q$66,6,0),0)</f>
        <v>50</v>
      </c>
      <c r="I1482" s="96">
        <f>IFERROR(G1482*VLOOKUP($E1482,BD!$L$2:$Q$66,5,0),0)</f>
        <v>100</v>
      </c>
      <c r="J1482" s="3">
        <f t="shared" si="99"/>
        <v>2021</v>
      </c>
    </row>
    <row r="1483" spans="1:10" s="9" customFormat="1" hidden="1" x14ac:dyDescent="0.25">
      <c r="A1483" s="447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7">
        <v>256685</v>
      </c>
      <c r="F1483" s="3" t="str">
        <f>IFERROR(VLOOKUP(E1483,BD!$L$2:$Q$66,2,0),0)</f>
        <v>SL S/G TAPA PLANA 1LT</v>
      </c>
      <c r="G1483" s="424">
        <v>225</v>
      </c>
      <c r="H1483" s="3">
        <f>+IFERROR(VLOOKUP(E1483,BD!$L$2:$Q$66,6,0),0)</f>
        <v>112</v>
      </c>
      <c r="I1483" s="96">
        <f>IFERROR(G1483*VLOOKUP($E1483,BD!$L$2:$Q$66,5,0),0)</f>
        <v>90</v>
      </c>
      <c r="J1483" s="3">
        <f t="shared" si="99"/>
        <v>2021</v>
      </c>
    </row>
    <row r="1484" spans="1:10" s="9" customFormat="1" hidden="1" x14ac:dyDescent="0.25">
      <c r="A1484" s="447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7">
        <v>251429</v>
      </c>
      <c r="F1484" s="3" t="str">
        <f>IFERROR(VLOOKUP(E1484,BD!$L$2:$Q$66,2,0),0)</f>
        <v>SAN LUIS SIN GAS PET2500X6 STICKER</v>
      </c>
      <c r="G1484" s="424">
        <v>480</v>
      </c>
      <c r="H1484" s="3">
        <f>+IFERROR(VLOOKUP(E1484,BD!$L$2:$Q$66,6,0),0)</f>
        <v>48</v>
      </c>
      <c r="I1484" s="96">
        <f>IFERROR(G1484*VLOOKUP($E1484,BD!$L$2:$Q$66,5,0),0)</f>
        <v>192</v>
      </c>
      <c r="J1484" s="3">
        <f t="shared" si="99"/>
        <v>2021</v>
      </c>
    </row>
    <row r="1485" spans="1:10" s="9" customFormat="1" hidden="1" x14ac:dyDescent="0.25">
      <c r="A1485" s="447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7">
        <v>251633</v>
      </c>
      <c r="F1485" s="3" t="str">
        <f>IFERROR(VLOOKUP(E1485,BD!$L$2:$Q$66,2,0),0)</f>
        <v>SAN LUIS CON GAS PET 625MLX6</v>
      </c>
      <c r="G1485" s="424">
        <f>180*4</f>
        <v>720</v>
      </c>
      <c r="H1485" s="3">
        <f>+IFERROR(VLOOKUP(E1485,BD!$L$2:$Q$66,6,0),0)</f>
        <v>180</v>
      </c>
      <c r="I1485" s="96">
        <f>IFERROR(G1485*VLOOKUP($E1485,BD!$L$2:$Q$66,5,0),0)</f>
        <v>302.39999999999998</v>
      </c>
      <c r="J1485" s="3">
        <f t="shared" si="99"/>
        <v>2021</v>
      </c>
    </row>
    <row r="1486" spans="1:10" s="9" customFormat="1" hidden="1" x14ac:dyDescent="0.25">
      <c r="A1486" s="447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7">
        <v>251406</v>
      </c>
      <c r="F1486" s="3" t="str">
        <f>IFERROR(VLOOKUP(E1486,BD!$L$2:$Q$66,2,0),0)</f>
        <v>COCA-COLA SIN AZUCAR PET 1.5LX2</v>
      </c>
      <c r="G1486" s="504">
        <v>1728</v>
      </c>
      <c r="H1486" s="3">
        <f>+IFERROR(VLOOKUP(E1486,BD!$L$2:$Q$66,6,0),0)</f>
        <v>198</v>
      </c>
      <c r="I1486" s="96">
        <f>IFERROR(G1486*VLOOKUP($E1486,BD!$L$2:$Q$66,5,0),0)</f>
        <v>293.76000000000005</v>
      </c>
      <c r="J1486" s="3">
        <f t="shared" si="99"/>
        <v>2021</v>
      </c>
    </row>
    <row r="1487" spans="1:10" s="9" customFormat="1" hidden="1" x14ac:dyDescent="0.25">
      <c r="A1487" s="447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7">
        <v>254853</v>
      </c>
      <c r="F1487" s="3" t="str">
        <f>IFERROR(VLOOKUP(E1487,BD!$L$2:$Q$66,2,0),0)</f>
        <v>INCA KOLA SIN AZUCAR PET 1.5LX2</v>
      </c>
      <c r="G1487" s="503">
        <v>432</v>
      </c>
      <c r="H1487" s="3">
        <f>+IFERROR(VLOOKUP(E1487,BD!$L$2:$Q$66,6,0),0)</f>
        <v>198</v>
      </c>
      <c r="I1487" s="96">
        <f>IFERROR(G1487*VLOOKUP($E1487,BD!$L$2:$Q$66,5,0),0)</f>
        <v>73.440000000000012</v>
      </c>
      <c r="J1487" s="3">
        <f t="shared" si="99"/>
        <v>2021</v>
      </c>
    </row>
    <row r="1488" spans="1:10" s="9" customFormat="1" hidden="1" x14ac:dyDescent="0.25">
      <c r="A1488" s="447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7">
        <v>256617</v>
      </c>
      <c r="F1488" s="3" t="str">
        <f>IFERROR(VLOOKUP(E1488,BD!$L$2:$Q$66,2,0),0)</f>
        <v>TWO PACK SCHWEPPES GINGER ALE PET 1.5LX2</v>
      </c>
      <c r="G1488" s="424">
        <v>792</v>
      </c>
      <c r="H1488" s="3">
        <f>+IFERROR(VLOOKUP(E1488,BD!$L$2:$Q$66,6,0),0)</f>
        <v>198</v>
      </c>
      <c r="I1488" s="96">
        <f>IFERROR(G1488*VLOOKUP($E1488,BD!$L$2:$Q$66,5,0),0)</f>
        <v>134.64000000000001</v>
      </c>
      <c r="J1488" s="3">
        <f t="shared" si="99"/>
        <v>2021</v>
      </c>
    </row>
    <row r="1489" spans="1:10" s="9" customFormat="1" hidden="1" x14ac:dyDescent="0.25">
      <c r="A1489" s="447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7">
        <v>256601</v>
      </c>
      <c r="F1489" s="3" t="str">
        <f>IFERROR(VLOOKUP(E1489,BD!$L$2:$Q$66,2,0),0)</f>
        <v>INCA KOLA PET 2.25LX2 RF</v>
      </c>
      <c r="G1489" s="424">
        <v>324</v>
      </c>
      <c r="H1489" s="3">
        <f>+IFERROR(VLOOKUP(E1489,BD!$L$2:$Q$66,6,0),0)</f>
        <v>162</v>
      </c>
      <c r="I1489" s="96">
        <f>IFERROR(G1489*VLOOKUP($E1489,BD!$L$2:$Q$66,5,0),0)</f>
        <v>55.080000000000005</v>
      </c>
      <c r="J1489" s="3">
        <f t="shared" si="99"/>
        <v>2021</v>
      </c>
    </row>
    <row r="1490" spans="1:10" s="9" customFormat="1" hidden="1" x14ac:dyDescent="0.25">
      <c r="A1490" s="447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7">
        <v>256488</v>
      </c>
      <c r="F1490" s="3" t="str">
        <f>IFERROR(VLOOKUP(E1490,BD!$L$2:$Q$66,2,0),0)</f>
        <v>INCA KOLA PET 3LX2 - RF</v>
      </c>
      <c r="G1490" s="424">
        <v>240</v>
      </c>
      <c r="H1490" s="3">
        <f>+IFERROR(VLOOKUP(E1490,BD!$L$2:$Q$66,6,0),0)</f>
        <v>120</v>
      </c>
      <c r="I1490" s="96">
        <f>IFERROR(G1490*VLOOKUP($E1490,BD!$L$2:$Q$66,5,0),0)</f>
        <v>40.800000000000004</v>
      </c>
      <c r="J1490" s="3">
        <f t="shared" si="99"/>
        <v>2021</v>
      </c>
    </row>
    <row r="1491" spans="1:10" s="9" customFormat="1" hidden="1" x14ac:dyDescent="0.25">
      <c r="A1491" s="447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7">
        <v>256676</v>
      </c>
      <c r="F1491" s="3" t="str">
        <f>IFERROR(VLOOKUP(E1491,BD!$L$2:$Q$66,2,0),0)</f>
        <v>TWO PACK CC PFM 3LX2 - RFCC</v>
      </c>
      <c r="G1491" s="424">
        <v>480</v>
      </c>
      <c r="H1491" s="3">
        <f>+IFERROR(VLOOKUP(E1491,BD!$L$2:$Q$66,6,0),0)</f>
        <v>120</v>
      </c>
      <c r="I1491" s="96">
        <f>IFERROR(G1491*VLOOKUP($E1491,BD!$L$2:$Q$66,5,0),0)</f>
        <v>81.600000000000009</v>
      </c>
      <c r="J1491" s="3">
        <f t="shared" si="99"/>
        <v>2021</v>
      </c>
    </row>
    <row r="1492" spans="1:10" s="9" customFormat="1" hidden="1" x14ac:dyDescent="0.25">
      <c r="A1492" s="447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7">
        <v>256674</v>
      </c>
      <c r="F1492" s="3" t="str">
        <f>IFERROR(VLOOKUP(E1492,BD!$L$2:$Q$66,2,0),0)</f>
        <v>COCA-COLA PET 1.5LX2 RF</v>
      </c>
      <c r="G1492" s="503">
        <v>1080</v>
      </c>
      <c r="H1492" s="3">
        <f>+IFERROR(VLOOKUP(E1492,BD!$L$2:$Q$66,6,0),0)</f>
        <v>198</v>
      </c>
      <c r="I1492" s="96">
        <f>IFERROR(G1492*VLOOKUP($E1492,BD!$L$2:$Q$66,5,0),0)</f>
        <v>183.60000000000002</v>
      </c>
      <c r="J1492" s="3">
        <f t="shared" si="99"/>
        <v>2021</v>
      </c>
    </row>
    <row r="1493" spans="1:10" s="9" customFormat="1" hidden="1" x14ac:dyDescent="0.25">
      <c r="A1493" s="447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7">
        <v>256675</v>
      </c>
      <c r="F1493" s="3" t="str">
        <f>IFERROR(VLOOKUP(E1493,BD!$L$2:$Q$66,2,0),0)</f>
        <v>INCA KOLA PET 1.5LX2 RF</v>
      </c>
      <c r="G1493" s="504">
        <v>1080</v>
      </c>
      <c r="H1493" s="3">
        <f>+IFERROR(VLOOKUP(E1493,BD!$L$2:$Q$66,6,0),0)</f>
        <v>198</v>
      </c>
      <c r="I1493" s="96">
        <f>IFERROR(G1493*VLOOKUP($E1493,BD!$L$2:$Q$66,5,0),0)</f>
        <v>183.60000000000002</v>
      </c>
      <c r="J1493" s="3">
        <f t="shared" si="99"/>
        <v>2021</v>
      </c>
    </row>
    <row r="1494" spans="1:10" s="9" customFormat="1" hidden="1" x14ac:dyDescent="0.25">
      <c r="A1494" s="447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7">
        <v>256652</v>
      </c>
      <c r="F1494" s="3" t="str">
        <f>IFERROR(VLOOKUP(E1494,BD!$L$2:$Q$66,2,0),0)</f>
        <v>TRIPACK FT NAR+FT KI+SP PET 3L</v>
      </c>
      <c r="G1494" s="424">
        <f>90*13</f>
        <v>1170</v>
      </c>
      <c r="H1494" s="3">
        <f>+IFERROR(VLOOKUP(E1494,BD!$L$2:$Q$66,6,0),0)</f>
        <v>90</v>
      </c>
      <c r="I1494" s="96">
        <f>IFERROR(G1494*VLOOKUP($E1494,BD!$L$2:$Q$66,5,0),0)</f>
        <v>198.9</v>
      </c>
      <c r="J1494" s="3">
        <f t="shared" si="99"/>
        <v>2021</v>
      </c>
    </row>
    <row r="1495" spans="1:10" s="9" customFormat="1" ht="15.75" hidden="1" thickBot="1" x14ac:dyDescent="0.3">
      <c r="A1495" s="500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9">
        <v>256677</v>
      </c>
      <c r="F1495" s="8" t="str">
        <f>IFERROR(VLOOKUP(E1495,BD!$L$2:$Q$66,2,0),0)</f>
        <v>TWO PACK CC + IK PFM 3LX2 - RFNN</v>
      </c>
      <c r="G1495" s="501">
        <v>720</v>
      </c>
      <c r="H1495" s="8">
        <f>+IFERROR(VLOOKUP(E1495,BD!$L$2:$Q$66,6,0),0)</f>
        <v>120</v>
      </c>
      <c r="I1495" s="98">
        <f>IFERROR(G1495*VLOOKUP($E1495,BD!$L$2:$Q$66,5,0),0)</f>
        <v>122.4</v>
      </c>
      <c r="J1495" s="8">
        <f t="shared" si="99"/>
        <v>2021</v>
      </c>
    </row>
    <row r="1496" spans="1:10" s="9" customFormat="1" hidden="1" x14ac:dyDescent="0.25">
      <c r="A1496" s="447">
        <v>44440</v>
      </c>
      <c r="B1496" s="55" t="str">
        <f t="shared" ref="B1496:B1530" si="100">UPPER(TEXT(A1496,"MMMM"))</f>
        <v>SETIEMBRE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7">
        <v>256675</v>
      </c>
      <c r="F1496" s="3" t="str">
        <f>IFERROR(VLOOKUP(E1496,BD!$L$2:$Q$66,2,0),0)</f>
        <v>INCA KOLA PET 1.5LX2 RF</v>
      </c>
      <c r="G1496" s="424">
        <v>1080</v>
      </c>
      <c r="H1496" s="3">
        <f>+IFERROR(VLOOKUP(E1496,BD!$L$2:$Q$66,6,0),0)</f>
        <v>198</v>
      </c>
      <c r="I1496" s="96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hidden="1" x14ac:dyDescent="0.25">
      <c r="A1497" s="447">
        <v>44440</v>
      </c>
      <c r="B1497" s="55" t="str">
        <f t="shared" si="100"/>
        <v>SETIEMBRE</v>
      </c>
      <c r="C1497" s="55">
        <f t="shared" si="101"/>
        <v>36</v>
      </c>
      <c r="D1497" s="3" t="str">
        <f t="shared" si="102"/>
        <v>MIÉRCOLES</v>
      </c>
      <c r="E1497" s="427">
        <v>256678</v>
      </c>
      <c r="F1497" s="3" t="str">
        <f>IFERROR(VLOOKUP(E1497,BD!$L$2:$Q$66,2,0),0)</f>
        <v>TRIPACK (CC+IK)PFM+FT PET 3LX3 - RFNN</v>
      </c>
      <c r="G1497" s="424">
        <v>2160</v>
      </c>
      <c r="H1497" s="3">
        <f>+IFERROR(VLOOKUP(E1497,BD!$L$2:$Q$66,6,0),0)</f>
        <v>90</v>
      </c>
      <c r="I1497" s="96">
        <f>IFERROR(G1497*VLOOKUP($E1497,BD!$L$2:$Q$66,5,0),0)</f>
        <v>367.20000000000005</v>
      </c>
      <c r="J1497" s="3">
        <f t="shared" si="103"/>
        <v>2021</v>
      </c>
    </row>
    <row r="1498" spans="1:10" s="9" customFormat="1" hidden="1" x14ac:dyDescent="0.25">
      <c r="A1498" s="447">
        <v>44440</v>
      </c>
      <c r="B1498" s="55" t="str">
        <f t="shared" si="100"/>
        <v>SETIEMBRE</v>
      </c>
      <c r="C1498" s="55">
        <f t="shared" si="101"/>
        <v>36</v>
      </c>
      <c r="D1498" s="3" t="str">
        <f t="shared" si="102"/>
        <v>MIÉRCOLES</v>
      </c>
      <c r="E1498" s="427">
        <v>256679</v>
      </c>
      <c r="F1498" s="3" t="str">
        <f>IFERROR(VLOOKUP(E1498,BD!$L$2:$Q$66,2,0),0)</f>
        <v>TRIPACK CC+IK+IK PFM 3LX3 - RFNN</v>
      </c>
      <c r="G1498" s="424">
        <v>450</v>
      </c>
      <c r="H1498" s="3">
        <f>+IFERROR(VLOOKUP(E1498,BD!$L$2:$Q$66,6,0),0)</f>
        <v>90</v>
      </c>
      <c r="I1498" s="96">
        <f>IFERROR(G1498*VLOOKUP($E1498,BD!$L$2:$Q$66,5,0),0)</f>
        <v>76.5</v>
      </c>
      <c r="J1498" s="3">
        <f t="shared" si="103"/>
        <v>2021</v>
      </c>
    </row>
    <row r="1499" spans="1:10" s="9" customFormat="1" hidden="1" x14ac:dyDescent="0.25">
      <c r="A1499" s="447">
        <v>44440</v>
      </c>
      <c r="B1499" s="55" t="str">
        <f t="shared" si="100"/>
        <v>SETIEMBRE</v>
      </c>
      <c r="C1499" s="55">
        <f t="shared" si="101"/>
        <v>36</v>
      </c>
      <c r="D1499" s="3" t="str">
        <f t="shared" si="102"/>
        <v>MIÉRCOLES</v>
      </c>
      <c r="E1499" s="427">
        <v>256677</v>
      </c>
      <c r="F1499" s="3" t="str">
        <f>IFERROR(VLOOKUP(E1499,BD!$L$2:$Q$66,2,0),0)</f>
        <v>TWO PACK CC + IK PFM 3LX2 - RFNN</v>
      </c>
      <c r="G1499" s="424">
        <v>4080</v>
      </c>
      <c r="H1499" s="3">
        <f>+IFERROR(VLOOKUP(E1499,BD!$L$2:$Q$66,6,0),0)</f>
        <v>120</v>
      </c>
      <c r="I1499" s="96">
        <f>IFERROR(G1499*VLOOKUP($E1499,BD!$L$2:$Q$66,5,0),0)</f>
        <v>693.6</v>
      </c>
      <c r="J1499" s="3">
        <f t="shared" si="103"/>
        <v>2021</v>
      </c>
    </row>
    <row r="1500" spans="1:10" s="9" customFormat="1" hidden="1" x14ac:dyDescent="0.25">
      <c r="A1500" s="447">
        <v>44440</v>
      </c>
      <c r="B1500" s="55" t="str">
        <f t="shared" si="100"/>
        <v>SETIEMBRE</v>
      </c>
      <c r="C1500" s="55">
        <f t="shared" si="101"/>
        <v>36</v>
      </c>
      <c r="D1500" s="3" t="str">
        <f t="shared" si="102"/>
        <v>MIÉRCOLES</v>
      </c>
      <c r="E1500" s="427">
        <v>256652</v>
      </c>
      <c r="F1500" s="3" t="str">
        <f>IFERROR(VLOOKUP(E1500,BD!$L$2:$Q$66,2,0),0)</f>
        <v>TRIPACK FT NAR+FT KI+SP PET 3L</v>
      </c>
      <c r="G1500" s="424">
        <v>900</v>
      </c>
      <c r="H1500" s="3">
        <f>+IFERROR(VLOOKUP(E1500,BD!$L$2:$Q$66,6,0),0)</f>
        <v>90</v>
      </c>
      <c r="I1500" s="96">
        <f>IFERROR(G1500*VLOOKUP($E1500,BD!$L$2:$Q$66,5,0),0)</f>
        <v>153</v>
      </c>
      <c r="J1500" s="3">
        <f t="shared" si="103"/>
        <v>2021</v>
      </c>
    </row>
    <row r="1501" spans="1:10" s="9" customFormat="1" hidden="1" x14ac:dyDescent="0.25">
      <c r="A1501" s="447">
        <v>44440</v>
      </c>
      <c r="B1501" s="55" t="str">
        <f t="shared" si="100"/>
        <v>SETIEMBRE</v>
      </c>
      <c r="C1501" s="55">
        <f t="shared" si="101"/>
        <v>36</v>
      </c>
      <c r="D1501" s="3" t="str">
        <f t="shared" si="102"/>
        <v>MIÉRCOLES</v>
      </c>
      <c r="E1501" s="427">
        <v>256617</v>
      </c>
      <c r="F1501" s="3" t="str">
        <f>IFERROR(VLOOKUP(E1501,BD!$L$2:$Q$66,2,0),0)</f>
        <v>TWO PACK SCHWEPPES GINGER ALE PET 1.5LX2</v>
      </c>
      <c r="G1501" s="424">
        <v>396</v>
      </c>
      <c r="H1501" s="3">
        <f>+IFERROR(VLOOKUP(E1501,BD!$L$2:$Q$66,6,0),0)</f>
        <v>198</v>
      </c>
      <c r="I1501" s="96">
        <f>IFERROR(G1501*VLOOKUP($E1501,BD!$L$2:$Q$66,5,0),0)</f>
        <v>67.320000000000007</v>
      </c>
      <c r="J1501" s="3">
        <f t="shared" si="103"/>
        <v>2021</v>
      </c>
    </row>
    <row r="1502" spans="1:10" s="9" customFormat="1" hidden="1" x14ac:dyDescent="0.25">
      <c r="A1502" s="447">
        <v>44440</v>
      </c>
      <c r="B1502" s="55" t="str">
        <f t="shared" si="100"/>
        <v>SETIEMBRE</v>
      </c>
      <c r="C1502" s="55">
        <f t="shared" si="101"/>
        <v>36</v>
      </c>
      <c r="D1502" s="3" t="str">
        <f t="shared" si="102"/>
        <v>MIÉRCOLES</v>
      </c>
      <c r="E1502" s="427">
        <v>256682</v>
      </c>
      <c r="F1502" s="3" t="str">
        <f>IFERROR(VLOOKUP(E1502,BD!$L$2:$Q$66,2,0),0)</f>
        <v>TRIPACK (FT NAR+SP)PET+IK RF PFM 3L</v>
      </c>
      <c r="G1502" s="424">
        <v>720</v>
      </c>
      <c r="H1502" s="3">
        <f>+IFERROR(VLOOKUP(E1502,BD!$L$2:$Q$66,6,0),0)</f>
        <v>90</v>
      </c>
      <c r="I1502" s="96">
        <f>IFERROR(G1502*VLOOKUP($E1502,BD!$L$2:$Q$66,5,0),0)</f>
        <v>122.4</v>
      </c>
      <c r="J1502" s="3">
        <f t="shared" si="103"/>
        <v>2021</v>
      </c>
    </row>
    <row r="1503" spans="1:10" s="9" customFormat="1" hidden="1" x14ac:dyDescent="0.25">
      <c r="A1503" s="447">
        <v>44440</v>
      </c>
      <c r="B1503" s="55" t="str">
        <f t="shared" si="100"/>
        <v>SETIEMBRE</v>
      </c>
      <c r="C1503" s="55">
        <f t="shared" si="101"/>
        <v>36</v>
      </c>
      <c r="D1503" s="3" t="str">
        <f t="shared" si="102"/>
        <v>MIÉRCOLES</v>
      </c>
      <c r="E1503" s="427">
        <v>256682</v>
      </c>
      <c r="F1503" s="3" t="str">
        <f>IFERROR(VLOOKUP(E1503,BD!$L$2:$Q$66,2,0),0)</f>
        <v>TRIPACK (FT NAR+SP)PET+IK RF PFM 3L</v>
      </c>
      <c r="G1503" s="424">
        <v>270</v>
      </c>
      <c r="H1503" s="3">
        <f>+IFERROR(VLOOKUP(E1503,BD!$L$2:$Q$66,6,0),0)</f>
        <v>90</v>
      </c>
      <c r="I1503" s="96">
        <f>IFERROR(G1503*VLOOKUP($E1503,BD!$L$2:$Q$66,5,0),0)</f>
        <v>45.900000000000006</v>
      </c>
      <c r="J1503" s="3">
        <f t="shared" si="103"/>
        <v>2021</v>
      </c>
    </row>
    <row r="1504" spans="1:10" s="9" customFormat="1" hidden="1" x14ac:dyDescent="0.25">
      <c r="A1504" s="447">
        <v>44440</v>
      </c>
      <c r="B1504" s="55" t="str">
        <f t="shared" si="100"/>
        <v>SETIEMBRE</v>
      </c>
      <c r="C1504" s="55">
        <f t="shared" si="101"/>
        <v>36</v>
      </c>
      <c r="D1504" s="3" t="str">
        <f t="shared" si="102"/>
        <v>MIÉRCOLES</v>
      </c>
      <c r="E1504" s="427">
        <v>254853</v>
      </c>
      <c r="F1504" s="3" t="str">
        <f>IFERROR(VLOOKUP(E1504,BD!$L$2:$Q$66,2,0),0)</f>
        <v>INCA KOLA SIN AZUCAR PET 1.5LX2</v>
      </c>
      <c r="G1504" s="424">
        <v>1296</v>
      </c>
      <c r="H1504" s="3">
        <f>+IFERROR(VLOOKUP(E1504,BD!$L$2:$Q$66,6,0),0)</f>
        <v>198</v>
      </c>
      <c r="I1504" s="96">
        <f>IFERROR(G1504*VLOOKUP($E1504,BD!$L$2:$Q$66,5,0),0)</f>
        <v>220.32000000000002</v>
      </c>
      <c r="J1504" s="3">
        <f t="shared" si="103"/>
        <v>2021</v>
      </c>
    </row>
    <row r="1505" spans="1:10" s="9" customFormat="1" hidden="1" x14ac:dyDescent="0.25">
      <c r="A1505" s="447">
        <v>44440</v>
      </c>
      <c r="B1505" s="55" t="str">
        <f t="shared" si="100"/>
        <v>SETIEMBRE</v>
      </c>
      <c r="C1505" s="55">
        <f t="shared" si="101"/>
        <v>36</v>
      </c>
      <c r="D1505" s="3" t="str">
        <f t="shared" si="102"/>
        <v>MIÉRCOLES</v>
      </c>
      <c r="E1505" s="427">
        <v>251406</v>
      </c>
      <c r="F1505" s="3" t="str">
        <f>IFERROR(VLOOKUP(E1505,BD!$L$2:$Q$66,2,0),0)</f>
        <v>COCA-COLA SIN AZUCAR PET 1.5LX2</v>
      </c>
      <c r="G1505" s="424">
        <v>1728</v>
      </c>
      <c r="H1505" s="3">
        <f>+IFERROR(VLOOKUP(E1505,BD!$L$2:$Q$66,6,0),0)</f>
        <v>198</v>
      </c>
      <c r="I1505" s="96">
        <f>IFERROR(G1505*VLOOKUP($E1505,BD!$L$2:$Q$66,5,0),0)</f>
        <v>293.76000000000005</v>
      </c>
      <c r="J1505" s="3">
        <f t="shared" si="103"/>
        <v>2021</v>
      </c>
    </row>
    <row r="1506" spans="1:10" s="9" customFormat="1" hidden="1" x14ac:dyDescent="0.25">
      <c r="A1506" s="447">
        <v>44440</v>
      </c>
      <c r="B1506" s="55" t="str">
        <f t="shared" si="100"/>
        <v>SETIEMBRE</v>
      </c>
      <c r="C1506" s="55">
        <f t="shared" si="101"/>
        <v>36</v>
      </c>
      <c r="D1506" s="3" t="str">
        <f t="shared" si="102"/>
        <v>MIÉRCOLES</v>
      </c>
      <c r="E1506" s="427">
        <v>751468</v>
      </c>
      <c r="F1506" s="3" t="str">
        <f>IFERROR(VLOOKUP(E1506,BD!$L$2:$Q$66,2,0),0)</f>
        <v>MONSTER ENERGY ULTRA 473MLX4</v>
      </c>
      <c r="G1506" s="424">
        <v>420</v>
      </c>
      <c r="H1506" s="3">
        <f>+IFERROR(VLOOKUP(E1506,BD!$L$2:$Q$66,6,0),0)</f>
        <v>420</v>
      </c>
      <c r="I1506" s="96">
        <f>IFERROR(G1506*VLOOKUP($E1506,BD!$L$2:$Q$66,5,0),0)</f>
        <v>176.4</v>
      </c>
      <c r="J1506" s="3">
        <f t="shared" si="103"/>
        <v>2021</v>
      </c>
    </row>
    <row r="1507" spans="1:10" s="9" customFormat="1" hidden="1" x14ac:dyDescent="0.25">
      <c r="A1507" s="447">
        <v>44440</v>
      </c>
      <c r="B1507" s="55" t="str">
        <f t="shared" si="100"/>
        <v>SETIEMBRE</v>
      </c>
      <c r="C1507" s="55">
        <f t="shared" si="101"/>
        <v>36</v>
      </c>
      <c r="D1507" s="3" t="str">
        <f t="shared" si="102"/>
        <v>MIÉRCOLES</v>
      </c>
      <c r="E1507" s="427">
        <v>751468</v>
      </c>
      <c r="F1507" s="3" t="str">
        <f>IFERROR(VLOOKUP(E1507,BD!$L$2:$Q$66,2,0),0)</f>
        <v>MONSTER ENERGY ULTRA 473MLX4</v>
      </c>
      <c r="G1507" s="424">
        <v>420</v>
      </c>
      <c r="H1507" s="3">
        <f>+IFERROR(VLOOKUP(E1507,BD!$L$2:$Q$66,6,0),0)</f>
        <v>420</v>
      </c>
      <c r="I1507" s="96">
        <f>IFERROR(G1507*VLOOKUP($E1507,BD!$L$2:$Q$66,5,0),0)</f>
        <v>176.4</v>
      </c>
      <c r="J1507" s="3">
        <f t="shared" si="103"/>
        <v>2021</v>
      </c>
    </row>
    <row r="1508" spans="1:10" s="9" customFormat="1" hidden="1" x14ac:dyDescent="0.25">
      <c r="A1508" s="447">
        <v>44440</v>
      </c>
      <c r="B1508" s="55" t="str">
        <f t="shared" si="100"/>
        <v>SETIEMBRE</v>
      </c>
      <c r="C1508" s="55">
        <f t="shared" si="101"/>
        <v>36</v>
      </c>
      <c r="D1508" s="3" t="str">
        <f t="shared" si="102"/>
        <v>MIÉRCOLES</v>
      </c>
      <c r="E1508" s="427">
        <v>751468</v>
      </c>
      <c r="F1508" s="3" t="str">
        <f>IFERROR(VLOOKUP(E1508,BD!$L$2:$Q$66,2,0),0)</f>
        <v>MONSTER ENERGY ULTRA 473MLX4</v>
      </c>
      <c r="G1508" s="424">
        <v>840</v>
      </c>
      <c r="H1508" s="3">
        <f>+IFERROR(VLOOKUP(E1508,BD!$L$2:$Q$66,6,0),0)</f>
        <v>420</v>
      </c>
      <c r="I1508" s="96">
        <f>IFERROR(G1508*VLOOKUP($E1508,BD!$L$2:$Q$66,5,0),0)</f>
        <v>352.8</v>
      </c>
      <c r="J1508" s="3">
        <f t="shared" si="103"/>
        <v>2021</v>
      </c>
    </row>
    <row r="1509" spans="1:10" s="9" customFormat="1" hidden="1" x14ac:dyDescent="0.25">
      <c r="A1509" s="447">
        <v>44440</v>
      </c>
      <c r="B1509" s="55" t="str">
        <f t="shared" si="100"/>
        <v>SETIEMBRE</v>
      </c>
      <c r="C1509" s="55">
        <f t="shared" si="101"/>
        <v>36</v>
      </c>
      <c r="D1509" s="3" t="str">
        <f t="shared" si="102"/>
        <v>MIÉRCOLES</v>
      </c>
      <c r="E1509" s="427">
        <v>251429</v>
      </c>
      <c r="F1509" s="3" t="str">
        <f>IFERROR(VLOOKUP(E1509,BD!$L$2:$Q$66,2,0),0)</f>
        <v>SAN LUIS SIN GAS PET2500X6 STICKER</v>
      </c>
      <c r="G1509" s="424">
        <v>96</v>
      </c>
      <c r="H1509" s="3">
        <f>+IFERROR(VLOOKUP(E1509,BD!$L$2:$Q$66,6,0),0)</f>
        <v>48</v>
      </c>
      <c r="I1509" s="96">
        <f>IFERROR(G1509*VLOOKUP($E1509,BD!$L$2:$Q$66,5,0),0)</f>
        <v>38.400000000000006</v>
      </c>
      <c r="J1509" s="3">
        <f t="shared" si="103"/>
        <v>2021</v>
      </c>
    </row>
    <row r="1510" spans="1:10" s="9" customFormat="1" hidden="1" x14ac:dyDescent="0.25">
      <c r="A1510" s="447">
        <v>44440</v>
      </c>
      <c r="B1510" s="55" t="str">
        <f t="shared" si="100"/>
        <v>SETIEMBRE</v>
      </c>
      <c r="C1510" s="55">
        <f t="shared" si="101"/>
        <v>36</v>
      </c>
      <c r="D1510" s="3" t="str">
        <f t="shared" si="102"/>
        <v>MIÉRCOLES</v>
      </c>
      <c r="E1510" s="427">
        <v>251429</v>
      </c>
      <c r="F1510" s="3" t="str">
        <f>IFERROR(VLOOKUP(E1510,BD!$L$2:$Q$66,2,0),0)</f>
        <v>SAN LUIS SIN GAS PET2500X6 STICKER</v>
      </c>
      <c r="G1510" s="425">
        <v>192</v>
      </c>
      <c r="H1510" s="3">
        <f>+IFERROR(VLOOKUP(E1510,BD!$L$2:$Q$66,6,0),0)</f>
        <v>48</v>
      </c>
      <c r="I1510" s="96">
        <f>IFERROR(G1510*VLOOKUP($E1510,BD!$L$2:$Q$66,5,0),0)</f>
        <v>76.800000000000011</v>
      </c>
      <c r="J1510" s="3">
        <f t="shared" si="103"/>
        <v>2021</v>
      </c>
    </row>
    <row r="1511" spans="1:10" s="9" customFormat="1" hidden="1" x14ac:dyDescent="0.25">
      <c r="A1511" s="447">
        <v>44440</v>
      </c>
      <c r="B1511" s="55" t="str">
        <f t="shared" si="100"/>
        <v>SETIEMBRE</v>
      </c>
      <c r="C1511" s="55">
        <f t="shared" si="101"/>
        <v>36</v>
      </c>
      <c r="D1511" s="3" t="str">
        <f t="shared" si="102"/>
        <v>MIÉRCOLES</v>
      </c>
      <c r="E1511" s="427">
        <v>256674</v>
      </c>
      <c r="F1511" s="3" t="str">
        <f>IFERROR(VLOOKUP(E1511,BD!$L$2:$Q$66,2,0),0)</f>
        <v>COCA-COLA PET 1.5LX2 RF</v>
      </c>
      <c r="G1511" s="424">
        <v>432</v>
      </c>
      <c r="H1511" s="3">
        <f>+IFERROR(VLOOKUP(E1511,BD!$L$2:$Q$66,6,0),0)</f>
        <v>198</v>
      </c>
      <c r="I1511" s="96">
        <f>IFERROR(G1511*VLOOKUP($E1511,BD!$L$2:$Q$66,5,0),0)</f>
        <v>73.440000000000012</v>
      </c>
      <c r="J1511" s="3">
        <f t="shared" si="103"/>
        <v>2021</v>
      </c>
    </row>
    <row r="1512" spans="1:10" s="9" customFormat="1" hidden="1" x14ac:dyDescent="0.25">
      <c r="A1512" s="447">
        <v>44440</v>
      </c>
      <c r="B1512" s="55" t="str">
        <f t="shared" si="100"/>
        <v>SETIEMBRE</v>
      </c>
      <c r="C1512" s="55">
        <f t="shared" si="101"/>
        <v>36</v>
      </c>
      <c r="D1512" s="3" t="str">
        <f t="shared" si="102"/>
        <v>MIÉRCOLES</v>
      </c>
      <c r="E1512" s="427">
        <v>256379</v>
      </c>
      <c r="F1512" s="3" t="str">
        <f>IFERROR(VLOOKUP(E1512,BD!$L$2:$Q$66,2,0),0)</f>
        <v>INCA KOLA VR 625MLX12 - STICKER</v>
      </c>
      <c r="G1512" s="424">
        <v>200</v>
      </c>
      <c r="H1512" s="3">
        <f>+IFERROR(VLOOKUP(E1512,BD!$L$2:$Q$66,6,0),0)</f>
        <v>50</v>
      </c>
      <c r="I1512" s="96">
        <f>IFERROR(G1512*VLOOKUP($E1512,BD!$L$2:$Q$66,5,0),0)</f>
        <v>80</v>
      </c>
      <c r="J1512" s="3">
        <f t="shared" si="103"/>
        <v>2021</v>
      </c>
    </row>
    <row r="1513" spans="1:10" s="9" customFormat="1" hidden="1" x14ac:dyDescent="0.25">
      <c r="A1513" s="447">
        <v>44440</v>
      </c>
      <c r="B1513" s="55" t="str">
        <f t="shared" si="100"/>
        <v>SETIEMBRE</v>
      </c>
      <c r="C1513" s="55">
        <f t="shared" si="101"/>
        <v>36</v>
      </c>
      <c r="D1513" s="3" t="str">
        <f t="shared" si="102"/>
        <v>MIÉRCOLES</v>
      </c>
      <c r="E1513" s="427">
        <v>256680</v>
      </c>
      <c r="F1513" s="3" t="str">
        <f>IFERROR(VLOOKUP(E1513,BD!$L$2:$Q$66,2,0),0)</f>
        <v>TRIPACK CC+CC+IK PFM 3LX3 - RFNN</v>
      </c>
      <c r="G1513" s="424">
        <v>450</v>
      </c>
      <c r="H1513" s="3">
        <f>+IFERROR(VLOOKUP(E1513,BD!$L$2:$Q$66,6,0),0)</f>
        <v>90</v>
      </c>
      <c r="I1513" s="96">
        <f>IFERROR(G1513*VLOOKUP($E1513,BD!$L$2:$Q$66,5,0),0)</f>
        <v>76.5</v>
      </c>
      <c r="J1513" s="3">
        <f t="shared" si="103"/>
        <v>2021</v>
      </c>
    </row>
    <row r="1514" spans="1:10" s="9" customFormat="1" hidden="1" x14ac:dyDescent="0.25">
      <c r="A1514" s="447">
        <v>44440</v>
      </c>
      <c r="B1514" s="55" t="str">
        <f t="shared" si="100"/>
        <v>SETIEMBRE</v>
      </c>
      <c r="C1514" s="55">
        <f t="shared" si="101"/>
        <v>36</v>
      </c>
      <c r="D1514" s="3" t="str">
        <f t="shared" si="102"/>
        <v>MIÉRCOLES</v>
      </c>
      <c r="E1514" s="427">
        <v>256676</v>
      </c>
      <c r="F1514" s="3" t="str">
        <f>IFERROR(VLOOKUP(E1514,BD!$L$2:$Q$66,2,0),0)</f>
        <v>TWO PACK CC PFM 3LX2 - RFCC</v>
      </c>
      <c r="G1514" s="424">
        <v>360</v>
      </c>
      <c r="H1514" s="3">
        <f>+IFERROR(VLOOKUP(E1514,BD!$L$2:$Q$66,6,0),0)</f>
        <v>120</v>
      </c>
      <c r="I1514" s="96">
        <f>IFERROR(G1514*VLOOKUP($E1514,BD!$L$2:$Q$66,5,0),0)</f>
        <v>61.2</v>
      </c>
      <c r="J1514" s="3">
        <f t="shared" si="103"/>
        <v>2021</v>
      </c>
    </row>
    <row r="1515" spans="1:10" s="9" customFormat="1" hidden="1" x14ac:dyDescent="0.25">
      <c r="A1515" s="447">
        <v>44440</v>
      </c>
      <c r="B1515" s="55" t="str">
        <f t="shared" si="100"/>
        <v>SETIEMBRE</v>
      </c>
      <c r="C1515" s="55">
        <f t="shared" si="101"/>
        <v>36</v>
      </c>
      <c r="D1515" s="3" t="str">
        <f t="shared" si="102"/>
        <v>MIÉRCOLES</v>
      </c>
      <c r="E1515" s="427">
        <v>256601</v>
      </c>
      <c r="F1515" s="3" t="str">
        <f>IFERROR(VLOOKUP(E1515,BD!$L$2:$Q$66,2,0),0)</f>
        <v>INCA KOLA PET 2.25LX2 RF</v>
      </c>
      <c r="G1515" s="424">
        <v>162</v>
      </c>
      <c r="H1515" s="3">
        <f>+IFERROR(VLOOKUP(E1515,BD!$L$2:$Q$66,6,0),0)</f>
        <v>162</v>
      </c>
      <c r="I1515" s="96">
        <f>IFERROR(G1515*VLOOKUP($E1515,BD!$L$2:$Q$66,5,0),0)</f>
        <v>27.540000000000003</v>
      </c>
      <c r="J1515" s="3">
        <f t="shared" si="103"/>
        <v>2021</v>
      </c>
    </row>
    <row r="1516" spans="1:10" s="9" customFormat="1" hidden="1" x14ac:dyDescent="0.25">
      <c r="A1516" s="447">
        <v>44440</v>
      </c>
      <c r="B1516" s="55" t="str">
        <f t="shared" si="100"/>
        <v>SETIEMBRE</v>
      </c>
      <c r="C1516" s="55">
        <f t="shared" si="101"/>
        <v>36</v>
      </c>
      <c r="D1516" s="3" t="str">
        <f t="shared" si="102"/>
        <v>MIÉRCOLES</v>
      </c>
      <c r="E1516" s="427">
        <v>256488</v>
      </c>
      <c r="F1516" s="3" t="str">
        <f>IFERROR(VLOOKUP(E1516,BD!$L$2:$Q$66,2,0),0)</f>
        <v>INCA KOLA PET 3LX2 - RF</v>
      </c>
      <c r="G1516" s="424">
        <v>1080</v>
      </c>
      <c r="H1516" s="3">
        <f>+IFERROR(VLOOKUP(E1516,BD!$L$2:$Q$66,6,0),0)</f>
        <v>120</v>
      </c>
      <c r="I1516" s="96">
        <f>IFERROR(G1516*VLOOKUP($E1516,BD!$L$2:$Q$66,5,0),0)</f>
        <v>183.60000000000002</v>
      </c>
      <c r="J1516" s="3">
        <f t="shared" si="103"/>
        <v>2021</v>
      </c>
    </row>
    <row r="1517" spans="1:10" s="9" customFormat="1" hidden="1" x14ac:dyDescent="0.25">
      <c r="A1517" s="447">
        <v>44440</v>
      </c>
      <c r="B1517" s="55" t="str">
        <f t="shared" si="100"/>
        <v>SETIEMBRE</v>
      </c>
      <c r="C1517" s="55">
        <f t="shared" si="101"/>
        <v>36</v>
      </c>
      <c r="D1517" s="3" t="str">
        <f t="shared" si="102"/>
        <v>MIÉRCOLES</v>
      </c>
      <c r="E1517" s="427">
        <v>256695</v>
      </c>
      <c r="F1517" s="3" t="str">
        <f>IFERROR(VLOOKUP(E1517,BD!$L$2:$Q$66,2,0),0)</f>
        <v>POWERADE 3MORA+3FRUT PET 473MLX6</v>
      </c>
      <c r="G1517" s="424">
        <v>450</v>
      </c>
      <c r="H1517" s="3">
        <f>+IFERROR(VLOOKUP(E1517,BD!$L$2:$Q$66,6,0),0)</f>
        <v>225</v>
      </c>
      <c r="I1517" s="96">
        <f>IFERROR(G1517*VLOOKUP($E1517,BD!$L$2:$Q$66,5,0),0)</f>
        <v>189</v>
      </c>
      <c r="J1517" s="3">
        <f t="shared" si="103"/>
        <v>2021</v>
      </c>
    </row>
    <row r="1518" spans="1:10" s="9" customFormat="1" hidden="1" x14ac:dyDescent="0.25">
      <c r="A1518" s="447">
        <v>44440</v>
      </c>
      <c r="B1518" s="55" t="str">
        <f t="shared" si="100"/>
        <v>SETIEMBRE</v>
      </c>
      <c r="C1518" s="55">
        <f t="shared" si="101"/>
        <v>36</v>
      </c>
      <c r="D1518" s="3" t="str">
        <f t="shared" si="102"/>
        <v>MIÉRCOLES</v>
      </c>
      <c r="E1518" s="427">
        <v>256666</v>
      </c>
      <c r="F1518" s="3" t="str">
        <f>IFERROR(VLOOKUP(E1518,BD!$L$2:$Q$66,2,0),0)</f>
        <v>COCA-COLA PET 2.25LX2 RF</v>
      </c>
      <c r="G1518" s="424">
        <v>486</v>
      </c>
      <c r="H1518" s="3">
        <f>+IFERROR(VLOOKUP(E1518,BD!$L$2:$Q$66,6,0),0)</f>
        <v>162</v>
      </c>
      <c r="I1518" s="96">
        <f>IFERROR(G1518*VLOOKUP($E1518,BD!$L$2:$Q$66,5,0),0)</f>
        <v>82.62</v>
      </c>
      <c r="J1518" s="3">
        <f t="shared" si="103"/>
        <v>2021</v>
      </c>
    </row>
    <row r="1519" spans="1:10" s="9" customFormat="1" hidden="1" x14ac:dyDescent="0.25">
      <c r="A1519" s="447">
        <v>44440</v>
      </c>
      <c r="B1519" s="55" t="str">
        <f t="shared" si="100"/>
        <v>SETIEMBRE</v>
      </c>
      <c r="C1519" s="55">
        <f t="shared" si="101"/>
        <v>36</v>
      </c>
      <c r="D1519" s="3" t="str">
        <f t="shared" si="102"/>
        <v>MIÉRCOLES</v>
      </c>
      <c r="E1519" s="427">
        <v>251632</v>
      </c>
      <c r="F1519" s="3" t="str">
        <f>IFERROR(VLOOKUP(E1519,BD!$L$2:$Q$66,2,0),0)</f>
        <v>SAN LUIS SIN GAS PET 625MLX06 MOD</v>
      </c>
      <c r="G1519" s="424">
        <v>360</v>
      </c>
      <c r="H1519" s="3">
        <f>+IFERROR(VLOOKUP(E1519,BD!$L$2:$Q$66,6,0),0)</f>
        <v>180</v>
      </c>
      <c r="I1519" s="96">
        <f>IFERROR(G1519*VLOOKUP($E1519,BD!$L$2:$Q$66,5,0),0)</f>
        <v>151.19999999999999</v>
      </c>
      <c r="J1519" s="3">
        <f t="shared" si="103"/>
        <v>2021</v>
      </c>
    </row>
    <row r="1520" spans="1:10" s="9" customFormat="1" hidden="1" x14ac:dyDescent="0.25">
      <c r="A1520" s="447">
        <v>44440</v>
      </c>
      <c r="B1520" s="55" t="str">
        <f t="shared" si="100"/>
        <v>SETIEMBRE</v>
      </c>
      <c r="C1520" s="55">
        <f t="shared" si="101"/>
        <v>36</v>
      </c>
      <c r="D1520" s="3" t="str">
        <f t="shared" si="102"/>
        <v>MIÉRCOLES</v>
      </c>
      <c r="E1520" s="427">
        <v>256685</v>
      </c>
      <c r="F1520" s="3" t="str">
        <f>IFERROR(VLOOKUP(E1520,BD!$L$2:$Q$66,2,0),0)</f>
        <v>SL S/G TAPA PLANA 1LT</v>
      </c>
      <c r="G1520" s="424">
        <v>112</v>
      </c>
      <c r="H1520" s="3">
        <f>+IFERROR(VLOOKUP(E1520,BD!$L$2:$Q$66,6,0),0)</f>
        <v>112</v>
      </c>
      <c r="I1520" s="96">
        <f>IFERROR(G1520*VLOOKUP($E1520,BD!$L$2:$Q$66,5,0),0)</f>
        <v>44.800000000000004</v>
      </c>
      <c r="J1520" s="3">
        <f t="shared" si="103"/>
        <v>2021</v>
      </c>
    </row>
    <row r="1521" spans="1:10" s="9" customFormat="1" hidden="1" x14ac:dyDescent="0.25">
      <c r="A1521" s="447">
        <v>44440</v>
      </c>
      <c r="B1521" s="55" t="str">
        <f t="shared" si="100"/>
        <v>SETIEMBRE</v>
      </c>
      <c r="C1521" s="55">
        <f t="shared" si="101"/>
        <v>36</v>
      </c>
      <c r="D1521" s="3" t="str">
        <f t="shared" si="102"/>
        <v>MIÉRCOLES</v>
      </c>
      <c r="E1521" s="427">
        <v>751315</v>
      </c>
      <c r="F1521" s="3" t="str">
        <f>IFERROR(VLOOKUP(E1521,BD!$L$2:$Q$66,2,0),0)</f>
        <v>MONSTER ENERGY 473MLX4</v>
      </c>
      <c r="G1521" s="424">
        <v>420</v>
      </c>
      <c r="H1521" s="3">
        <f>+IFERROR(VLOOKUP(E1521,BD!$L$2:$Q$66,6,0),0)</f>
        <v>420</v>
      </c>
      <c r="I1521" s="96">
        <f>IFERROR(G1521*VLOOKUP($E1521,BD!$L$2:$Q$66,5,0),0)</f>
        <v>176.4</v>
      </c>
      <c r="J1521" s="3">
        <f t="shared" si="103"/>
        <v>2021</v>
      </c>
    </row>
    <row r="1522" spans="1:10" s="9" customFormat="1" hidden="1" x14ac:dyDescent="0.25">
      <c r="A1522" s="447">
        <v>44440</v>
      </c>
      <c r="B1522" s="55" t="str">
        <f t="shared" si="100"/>
        <v>SETIEMBRE</v>
      </c>
      <c r="C1522" s="55">
        <f t="shared" si="101"/>
        <v>36</v>
      </c>
      <c r="D1522" s="3" t="str">
        <f t="shared" si="102"/>
        <v>MIÉRCOLES</v>
      </c>
      <c r="E1522" s="427">
        <v>256708</v>
      </c>
      <c r="F1522" s="3" t="str">
        <f>IFERROR(VLOOKUP(E1522,BD!$L$2:$Q$66,2,0),0)</f>
        <v>POWERADE ION4 FRUTA PET473X6 MOD (STICK)</v>
      </c>
      <c r="G1522" s="424">
        <v>450</v>
      </c>
      <c r="H1522" s="3">
        <f>+IFERROR(VLOOKUP(E1522,BD!$L$2:$Q$66,6,0),0)</f>
        <v>225</v>
      </c>
      <c r="I1522" s="96">
        <f>IFERROR(G1522*VLOOKUP($E1522,BD!$L$2:$Q$66,5,0),0)</f>
        <v>180</v>
      </c>
      <c r="J1522" s="3">
        <f t="shared" si="103"/>
        <v>2021</v>
      </c>
    </row>
    <row r="1523" spans="1:10" s="9" customFormat="1" hidden="1" x14ac:dyDescent="0.25">
      <c r="A1523" s="447">
        <v>44441</v>
      </c>
      <c r="B1523" s="55" t="str">
        <f t="shared" si="100"/>
        <v>SETIEMBRE</v>
      </c>
      <c r="C1523" s="55">
        <f t="shared" si="101"/>
        <v>36</v>
      </c>
      <c r="D1523" s="3" t="str">
        <f t="shared" si="102"/>
        <v>JUEVES</v>
      </c>
      <c r="E1523" s="427">
        <v>256383</v>
      </c>
      <c r="F1523" s="3" t="str">
        <f>IFERROR(VLOOKUP(E1523,BD!$L$2:$Q$66,2,0),0)</f>
        <v>COCA COLA VR 1.5LX8 - STICKER</v>
      </c>
      <c r="G1523" s="424">
        <v>60</v>
      </c>
      <c r="H1523" s="3">
        <f>+IFERROR(VLOOKUP(E1523,BD!$L$2:$Q$66,6,0),0)</f>
        <v>30</v>
      </c>
      <c r="I1523" s="96">
        <f>IFERROR(G1523*VLOOKUP($E1523,BD!$L$2:$Q$66,5,0),0)</f>
        <v>13.8</v>
      </c>
      <c r="J1523" s="3">
        <f t="shared" si="103"/>
        <v>2021</v>
      </c>
    </row>
    <row r="1524" spans="1:10" s="9" customFormat="1" hidden="1" x14ac:dyDescent="0.25">
      <c r="A1524" s="447">
        <v>44441</v>
      </c>
      <c r="B1524" s="55" t="str">
        <f t="shared" si="100"/>
        <v>SETIEMBRE</v>
      </c>
      <c r="C1524" s="55">
        <f t="shared" si="101"/>
        <v>36</v>
      </c>
      <c r="D1524" s="3" t="str">
        <f t="shared" si="102"/>
        <v>JUEVES</v>
      </c>
      <c r="E1524" s="427">
        <v>254762</v>
      </c>
      <c r="F1524" s="3" t="str">
        <f>IFERROR(VLOOKUP(E1524,BD!$L$2:$Q$66,2,0),0)</f>
        <v xml:space="preserve">SAN LUIS SPORT S/G 10 Lt x6 </v>
      </c>
      <c r="G1524" s="424">
        <v>112</v>
      </c>
      <c r="H1524" s="3">
        <f>+IFERROR(VLOOKUP(E1524,BD!$L$2:$Q$66,6,0),0)</f>
        <v>240</v>
      </c>
      <c r="I1524" s="96">
        <f>IFERROR(G1524*VLOOKUP($E1524,BD!$L$2:$Q$66,5,0),0)</f>
        <v>44.800000000000004</v>
      </c>
      <c r="J1524" s="3">
        <f t="shared" si="103"/>
        <v>2021</v>
      </c>
    </row>
    <row r="1525" spans="1:10" s="9" customFormat="1" hidden="1" x14ac:dyDescent="0.25">
      <c r="A1525" s="447">
        <v>44441</v>
      </c>
      <c r="B1525" s="55" t="str">
        <f t="shared" si="100"/>
        <v>SETIEMBRE</v>
      </c>
      <c r="C1525" s="55">
        <f t="shared" si="101"/>
        <v>36</v>
      </c>
      <c r="D1525" s="3" t="str">
        <f t="shared" si="102"/>
        <v>JUEVES</v>
      </c>
      <c r="E1525" s="427">
        <v>256685</v>
      </c>
      <c r="F1525" s="3" t="str">
        <f>IFERROR(VLOOKUP(E1525,BD!$L$2:$Q$66,2,0),0)</f>
        <v>SL S/G TAPA PLANA 1LT</v>
      </c>
      <c r="G1525" s="424">
        <v>224</v>
      </c>
      <c r="H1525" s="3">
        <f>+IFERROR(VLOOKUP(E1525,BD!$L$2:$Q$66,6,0),0)</f>
        <v>112</v>
      </c>
      <c r="I1525" s="96">
        <f>IFERROR(G1525*VLOOKUP($E1525,BD!$L$2:$Q$66,5,0),0)</f>
        <v>89.600000000000009</v>
      </c>
      <c r="J1525" s="3">
        <f t="shared" si="103"/>
        <v>2021</v>
      </c>
    </row>
    <row r="1526" spans="1:10" s="9" customFormat="1" hidden="1" x14ac:dyDescent="0.25">
      <c r="A1526" s="447">
        <v>44441</v>
      </c>
      <c r="B1526" s="55" t="str">
        <f t="shared" si="100"/>
        <v>SETIEMBRE</v>
      </c>
      <c r="C1526" s="55">
        <f t="shared" si="101"/>
        <v>36</v>
      </c>
      <c r="D1526" s="3" t="str">
        <f t="shared" si="102"/>
        <v>JUEVES</v>
      </c>
      <c r="E1526" s="427">
        <v>256676</v>
      </c>
      <c r="F1526" s="3" t="str">
        <f>IFERROR(VLOOKUP(E1526,BD!$L$2:$Q$66,2,0),0)</f>
        <v>TWO PACK CC PFM 3LX2 - RFCC</v>
      </c>
      <c r="G1526" s="424">
        <v>480</v>
      </c>
      <c r="H1526" s="3">
        <f>+IFERROR(VLOOKUP(E1526,BD!$L$2:$Q$66,6,0),0)</f>
        <v>120</v>
      </c>
      <c r="I1526" s="96">
        <f>IFERROR(G1526*VLOOKUP($E1526,BD!$L$2:$Q$66,5,0),0)</f>
        <v>81.600000000000009</v>
      </c>
      <c r="J1526" s="3">
        <f t="shared" si="103"/>
        <v>2021</v>
      </c>
    </row>
    <row r="1527" spans="1:10" s="9" customFormat="1" hidden="1" x14ac:dyDescent="0.25">
      <c r="A1527" s="447">
        <v>44441</v>
      </c>
      <c r="B1527" s="55" t="str">
        <f t="shared" si="100"/>
        <v>SETIEMBRE</v>
      </c>
      <c r="C1527" s="55">
        <f t="shared" si="101"/>
        <v>36</v>
      </c>
      <c r="D1527" s="3" t="str">
        <f t="shared" si="102"/>
        <v>JUEVES</v>
      </c>
      <c r="E1527" s="427">
        <v>256695</v>
      </c>
      <c r="F1527" s="3" t="str">
        <f>IFERROR(VLOOKUP(E1527,BD!$L$2:$Q$66,2,0),0)</f>
        <v>POWERADE 3MORA+3FRUT PET 473MLX6</v>
      </c>
      <c r="G1527" s="424">
        <v>450</v>
      </c>
      <c r="H1527" s="3">
        <f>+IFERROR(VLOOKUP(E1527,BD!$L$2:$Q$66,6,0),0)</f>
        <v>225</v>
      </c>
      <c r="I1527" s="96">
        <f>IFERROR(G1527*VLOOKUP($E1527,BD!$L$2:$Q$66,5,0),0)</f>
        <v>189</v>
      </c>
      <c r="J1527" s="3">
        <f t="shared" si="103"/>
        <v>2021</v>
      </c>
    </row>
    <row r="1528" spans="1:10" s="9" customFormat="1" hidden="1" x14ac:dyDescent="0.25">
      <c r="A1528" s="447">
        <v>44441</v>
      </c>
      <c r="B1528" s="55" t="str">
        <f t="shared" si="100"/>
        <v>SETIEMBRE</v>
      </c>
      <c r="C1528" s="55">
        <f t="shared" si="101"/>
        <v>36</v>
      </c>
      <c r="D1528" s="3" t="str">
        <f t="shared" si="102"/>
        <v>JUEVES</v>
      </c>
      <c r="E1528" s="427">
        <v>251632</v>
      </c>
      <c r="F1528" s="3" t="str">
        <f>IFERROR(VLOOKUP(E1528,BD!$L$2:$Q$66,2,0),0)</f>
        <v>SAN LUIS SIN GAS PET 625MLX06 MOD</v>
      </c>
      <c r="G1528" s="424">
        <v>180</v>
      </c>
      <c r="H1528" s="3">
        <f>+IFERROR(VLOOKUP(E1528,BD!$L$2:$Q$66,6,0),0)</f>
        <v>180</v>
      </c>
      <c r="I1528" s="96">
        <f>IFERROR(G1528*VLOOKUP($E1528,BD!$L$2:$Q$66,5,0),0)</f>
        <v>75.599999999999994</v>
      </c>
      <c r="J1528" s="3">
        <f t="shared" si="103"/>
        <v>2021</v>
      </c>
    </row>
    <row r="1529" spans="1:10" s="9" customFormat="1" hidden="1" x14ac:dyDescent="0.25">
      <c r="A1529" s="447">
        <v>44441</v>
      </c>
      <c r="B1529" s="55" t="str">
        <f t="shared" si="100"/>
        <v>SETIEMBRE</v>
      </c>
      <c r="C1529" s="55">
        <f t="shared" si="101"/>
        <v>36</v>
      </c>
      <c r="D1529" s="3" t="str">
        <f t="shared" si="102"/>
        <v>JUEVES</v>
      </c>
      <c r="E1529" s="427">
        <v>256680</v>
      </c>
      <c r="F1529" s="3" t="str">
        <f>IFERROR(VLOOKUP(E1529,BD!$L$2:$Q$66,2,0),0)</f>
        <v>TRIPACK CC+CC+IK PFM 3LX3 - RFNN</v>
      </c>
      <c r="G1529" s="424">
        <v>450</v>
      </c>
      <c r="H1529" s="3">
        <f>+IFERROR(VLOOKUP(E1529,BD!$L$2:$Q$66,6,0),0)</f>
        <v>90</v>
      </c>
      <c r="I1529" s="96">
        <f>IFERROR(G1529*VLOOKUP($E1529,BD!$L$2:$Q$66,5,0),0)</f>
        <v>76.5</v>
      </c>
      <c r="J1529" s="3">
        <f t="shared" si="103"/>
        <v>2021</v>
      </c>
    </row>
    <row r="1530" spans="1:10" s="9" customFormat="1" hidden="1" x14ac:dyDescent="0.25">
      <c r="A1530" s="447">
        <v>44441</v>
      </c>
      <c r="B1530" s="55" t="str">
        <f t="shared" si="100"/>
        <v>SETIEMBRE</v>
      </c>
      <c r="C1530" s="55">
        <f t="shared" si="101"/>
        <v>36</v>
      </c>
      <c r="D1530" s="3" t="str">
        <f t="shared" si="102"/>
        <v>JUEVES</v>
      </c>
      <c r="E1530" s="427">
        <v>256677</v>
      </c>
      <c r="F1530" s="3" t="str">
        <f>IFERROR(VLOOKUP(E1530,BD!$L$2:$Q$66,2,0),0)</f>
        <v>TWO PACK CC + IK PFM 3LX2 - RFNN</v>
      </c>
      <c r="G1530" s="424">
        <v>1440</v>
      </c>
      <c r="H1530" s="3">
        <f>+IFERROR(VLOOKUP(E1530,BD!$L$2:$Q$66,6,0),0)</f>
        <v>120</v>
      </c>
      <c r="I1530" s="96">
        <f>IFERROR(G1530*VLOOKUP($E1530,BD!$L$2:$Q$66,5,0),0)</f>
        <v>244.8</v>
      </c>
      <c r="J1530" s="3">
        <f t="shared" si="103"/>
        <v>2021</v>
      </c>
    </row>
    <row r="1531" spans="1:10" s="9" customFormat="1" hidden="1" x14ac:dyDescent="0.25">
      <c r="A1531" s="447">
        <v>44441</v>
      </c>
      <c r="B1531" s="55" t="str">
        <f t="shared" ref="B1531:B1594" si="104">UPPER(TEXT(A1531,"MMMM"))</f>
        <v>SETIEMBRE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7">
        <v>256616</v>
      </c>
      <c r="F1531" s="3" t="str">
        <f>IFERROR(VLOOKUP(E1531,BD!$L$2:$Q$66,2,0),0)</f>
        <v>TWO PACK SCHWEPPES CITRUS PET 1.5LX2</v>
      </c>
      <c r="G1531" s="424">
        <v>2772</v>
      </c>
      <c r="H1531" s="3">
        <f>+IFERROR(VLOOKUP(E1531,BD!$L$2:$Q$66,6,0),0)</f>
        <v>198</v>
      </c>
      <c r="I1531" s="96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hidden="1" x14ac:dyDescent="0.25">
      <c r="A1532" s="447">
        <v>44441</v>
      </c>
      <c r="B1532" s="55" t="str">
        <f t="shared" si="104"/>
        <v>SETIEMBRE</v>
      </c>
      <c r="C1532" s="55">
        <f t="shared" si="105"/>
        <v>36</v>
      </c>
      <c r="D1532" s="3" t="str">
        <f t="shared" si="106"/>
        <v>JUEVES</v>
      </c>
      <c r="E1532" s="427">
        <v>256666</v>
      </c>
      <c r="F1532" s="3" t="str">
        <f>IFERROR(VLOOKUP(E1532,BD!$L$2:$Q$66,2,0),0)</f>
        <v>COCA-COLA PET 2.25LX2 RF</v>
      </c>
      <c r="G1532" s="424">
        <v>648</v>
      </c>
      <c r="H1532" s="3">
        <f>+IFERROR(VLOOKUP(E1532,BD!$L$2:$Q$66,6,0),0)</f>
        <v>162</v>
      </c>
      <c r="I1532" s="96">
        <f>IFERROR(G1532*VLOOKUP($E1532,BD!$L$2:$Q$66,5,0),0)</f>
        <v>110.16000000000001</v>
      </c>
      <c r="J1532" s="3">
        <f t="shared" si="107"/>
        <v>2021</v>
      </c>
    </row>
    <row r="1533" spans="1:10" s="9" customFormat="1" hidden="1" x14ac:dyDescent="0.25">
      <c r="A1533" s="447">
        <v>44441</v>
      </c>
      <c r="B1533" s="55" t="str">
        <f t="shared" si="104"/>
        <v>SETIEMBRE</v>
      </c>
      <c r="C1533" s="55">
        <f t="shared" si="105"/>
        <v>36</v>
      </c>
      <c r="D1533" s="3" t="str">
        <f t="shared" si="106"/>
        <v>JUEVES</v>
      </c>
      <c r="E1533" s="427">
        <v>256488</v>
      </c>
      <c r="F1533" s="3" t="str">
        <f>IFERROR(VLOOKUP(E1533,BD!$L$2:$Q$66,2,0),0)</f>
        <v>INCA KOLA PET 3LX2 - RF</v>
      </c>
      <c r="G1533" s="424">
        <v>960</v>
      </c>
      <c r="H1533" s="3">
        <f>+IFERROR(VLOOKUP(E1533,BD!$L$2:$Q$66,6,0),0)</f>
        <v>120</v>
      </c>
      <c r="I1533" s="96">
        <f>IFERROR(G1533*VLOOKUP($E1533,BD!$L$2:$Q$66,5,0),0)</f>
        <v>163.20000000000002</v>
      </c>
      <c r="J1533" s="3">
        <f t="shared" si="107"/>
        <v>2021</v>
      </c>
    </row>
    <row r="1534" spans="1:10" s="9" customFormat="1" hidden="1" x14ac:dyDescent="0.25">
      <c r="A1534" s="447">
        <v>44441</v>
      </c>
      <c r="B1534" s="55" t="str">
        <f t="shared" si="104"/>
        <v>SETIEMBRE</v>
      </c>
      <c r="C1534" s="55">
        <f t="shared" si="105"/>
        <v>36</v>
      </c>
      <c r="D1534" s="3" t="str">
        <f t="shared" si="106"/>
        <v>JUEVES</v>
      </c>
      <c r="E1534" s="427">
        <v>251406</v>
      </c>
      <c r="F1534" s="3" t="str">
        <f>IFERROR(VLOOKUP(E1534,BD!$L$2:$Q$66,2,0),0)</f>
        <v>COCA-COLA SIN AZUCAR PET 1.5LX2</v>
      </c>
      <c r="G1534" s="424">
        <v>2160</v>
      </c>
      <c r="H1534" s="3">
        <f>+IFERROR(VLOOKUP(E1534,BD!$L$2:$Q$66,6,0),0)</f>
        <v>198</v>
      </c>
      <c r="I1534" s="96">
        <f>IFERROR(G1534*VLOOKUP($E1534,BD!$L$2:$Q$66,5,0),0)</f>
        <v>367.20000000000005</v>
      </c>
      <c r="J1534" s="3">
        <f t="shared" si="107"/>
        <v>2021</v>
      </c>
    </row>
    <row r="1535" spans="1:10" s="9" customFormat="1" hidden="1" x14ac:dyDescent="0.25">
      <c r="A1535" s="447">
        <v>44441</v>
      </c>
      <c r="B1535" s="55" t="str">
        <f t="shared" si="104"/>
        <v>SETIEMBRE</v>
      </c>
      <c r="C1535" s="55">
        <f t="shared" si="105"/>
        <v>36</v>
      </c>
      <c r="D1535" s="3" t="str">
        <f t="shared" si="106"/>
        <v>JUEVES</v>
      </c>
      <c r="E1535" s="427">
        <v>256674</v>
      </c>
      <c r="F1535" s="3" t="str">
        <f>IFERROR(VLOOKUP(E1535,BD!$L$2:$Q$66,2,0),0)</f>
        <v>COCA-COLA PET 1.5LX2 RF</v>
      </c>
      <c r="G1535" s="424">
        <v>2160</v>
      </c>
      <c r="H1535" s="3">
        <f>+IFERROR(VLOOKUP(E1535,BD!$L$2:$Q$66,6,0),0)</f>
        <v>198</v>
      </c>
      <c r="I1535" s="96">
        <f>IFERROR(G1535*VLOOKUP($E1535,BD!$L$2:$Q$66,5,0),0)</f>
        <v>367.20000000000005</v>
      </c>
      <c r="J1535" s="3">
        <f t="shared" si="107"/>
        <v>2021</v>
      </c>
    </row>
    <row r="1536" spans="1:10" s="9" customFormat="1" hidden="1" x14ac:dyDescent="0.25">
      <c r="A1536" s="447">
        <v>44441</v>
      </c>
      <c r="B1536" s="55" t="str">
        <f t="shared" si="104"/>
        <v>SETIEMBRE</v>
      </c>
      <c r="C1536" s="55">
        <f t="shared" si="105"/>
        <v>36</v>
      </c>
      <c r="D1536" s="3" t="str">
        <f t="shared" si="106"/>
        <v>JUEVES</v>
      </c>
      <c r="E1536" s="427">
        <v>256381</v>
      </c>
      <c r="F1536" s="3" t="str">
        <f>IFERROR(VLOOKUP(E1536,BD!$L$2:$Q$66,2,0),0)</f>
        <v>INCA KOLA VR 1.5LX8 - STICKER</v>
      </c>
      <c r="G1536" s="424">
        <v>60</v>
      </c>
      <c r="H1536" s="3">
        <f>+IFERROR(VLOOKUP(E1536,BD!$L$2:$Q$66,6,0),0)</f>
        <v>30</v>
      </c>
      <c r="I1536" s="96">
        <f>IFERROR(G1536*VLOOKUP($E1536,BD!$L$2:$Q$66,5,0),0)</f>
        <v>24</v>
      </c>
      <c r="J1536" s="3">
        <f t="shared" si="107"/>
        <v>2021</v>
      </c>
    </row>
    <row r="1537" spans="1:10" s="9" customFormat="1" hidden="1" x14ac:dyDescent="0.25">
      <c r="A1537" s="447">
        <v>44441</v>
      </c>
      <c r="B1537" s="55" t="str">
        <f t="shared" si="104"/>
        <v>SETIEMBRE</v>
      </c>
      <c r="C1537" s="55">
        <f t="shared" si="105"/>
        <v>36</v>
      </c>
      <c r="D1537" s="3" t="str">
        <f t="shared" si="106"/>
        <v>JUEVES</v>
      </c>
      <c r="E1537" s="427">
        <v>256720</v>
      </c>
      <c r="F1537" s="3" t="str">
        <f>IFERROR(VLOOKUP(E1537,BD!$L$2:$Q$66,2,0),0)</f>
        <v>FANTA NARANJA PET 500MLX6 BRANDEADO MOD</v>
      </c>
      <c r="G1537" s="424">
        <v>500</v>
      </c>
      <c r="H1537" s="3">
        <f>+IFERROR(VLOOKUP(E1537,BD!$L$2:$Q$66,6,0),0)</f>
        <v>420</v>
      </c>
      <c r="I1537" s="96">
        <f>IFERROR(G1537*VLOOKUP($E1537,BD!$L$2:$Q$66,5,0),0)</f>
        <v>210</v>
      </c>
      <c r="J1537" s="3">
        <f t="shared" si="107"/>
        <v>2021</v>
      </c>
    </row>
    <row r="1538" spans="1:10" s="9" customFormat="1" hidden="1" x14ac:dyDescent="0.25">
      <c r="A1538" s="447">
        <v>44441</v>
      </c>
      <c r="B1538" s="55" t="str">
        <f t="shared" si="104"/>
        <v>SETIEMBRE</v>
      </c>
      <c r="C1538" s="55">
        <f t="shared" si="105"/>
        <v>36</v>
      </c>
      <c r="D1538" s="3" t="str">
        <f t="shared" si="106"/>
        <v>JUEVES</v>
      </c>
      <c r="E1538" s="427">
        <v>751544</v>
      </c>
      <c r="F1538" s="3" t="str">
        <f>IFERROR(VLOOKUP(E1538,BD!$L$2:$Q$66,2,0),0)</f>
        <v>MONSTER ENERGY ZERO 473MLX4</v>
      </c>
      <c r="G1538" s="424">
        <v>840</v>
      </c>
      <c r="H1538" s="3">
        <f>+IFERROR(VLOOKUP(E1538,BD!$L$2:$Q$66,6,0),0)</f>
        <v>420</v>
      </c>
      <c r="I1538" s="96">
        <f>IFERROR(G1538*VLOOKUP($E1538,BD!$L$2:$Q$66,5,0),0)</f>
        <v>352.8</v>
      </c>
      <c r="J1538" s="3">
        <f t="shared" si="107"/>
        <v>2021</v>
      </c>
    </row>
    <row r="1539" spans="1:10" s="9" customFormat="1" hidden="1" x14ac:dyDescent="0.25">
      <c r="A1539" s="447">
        <v>44441</v>
      </c>
      <c r="B1539" s="55" t="str">
        <f t="shared" si="104"/>
        <v>SETIEMBRE</v>
      </c>
      <c r="C1539" s="55">
        <f t="shared" si="105"/>
        <v>36</v>
      </c>
      <c r="D1539" s="3" t="str">
        <f t="shared" si="106"/>
        <v>JUEVES</v>
      </c>
      <c r="E1539" s="427">
        <v>256616</v>
      </c>
      <c r="F1539" s="3" t="str">
        <f>IFERROR(VLOOKUP(E1539,BD!$L$2:$Q$66,2,0),0)</f>
        <v>TWO PACK SCHWEPPES CITRUS PET 1.5LX2</v>
      </c>
      <c r="G1539" s="425">
        <v>792</v>
      </c>
      <c r="H1539" s="3">
        <f>+IFERROR(VLOOKUP(E1539,BD!$L$2:$Q$66,6,0),0)</f>
        <v>198</v>
      </c>
      <c r="I1539" s="96">
        <f>IFERROR(G1539*VLOOKUP($E1539,BD!$L$2:$Q$66,5,0),0)</f>
        <v>134.64000000000001</v>
      </c>
      <c r="J1539" s="3">
        <f t="shared" si="107"/>
        <v>2021</v>
      </c>
    </row>
    <row r="1540" spans="1:10" s="9" customFormat="1" hidden="1" x14ac:dyDescent="0.25">
      <c r="A1540" s="447">
        <v>44442</v>
      </c>
      <c r="B1540" s="55" t="str">
        <f t="shared" si="104"/>
        <v>SETIEMBRE</v>
      </c>
      <c r="C1540" s="55">
        <f t="shared" si="105"/>
        <v>36</v>
      </c>
      <c r="D1540" s="3" t="str">
        <f t="shared" si="106"/>
        <v>VIERNES</v>
      </c>
      <c r="E1540" s="427">
        <v>256677</v>
      </c>
      <c r="F1540" s="3" t="str">
        <f>IFERROR(VLOOKUP(E1540,BD!$L$2:$Q$66,2,0),0)</f>
        <v>TWO PACK CC + IK PFM 3LX2 - RFNN</v>
      </c>
      <c r="G1540" s="424">
        <v>720</v>
      </c>
      <c r="H1540" s="3">
        <f>+IFERROR(VLOOKUP(E1540,BD!$L$2:$Q$66,6,0),0)</f>
        <v>120</v>
      </c>
      <c r="I1540" s="96">
        <f>IFERROR(G1540*VLOOKUP($E1540,BD!$L$2:$Q$66,5,0),0)</f>
        <v>122.4</v>
      </c>
      <c r="J1540" s="3">
        <f t="shared" si="107"/>
        <v>2021</v>
      </c>
    </row>
    <row r="1541" spans="1:10" s="9" customFormat="1" hidden="1" x14ac:dyDescent="0.25">
      <c r="A1541" s="447">
        <v>44442</v>
      </c>
      <c r="B1541" s="55" t="str">
        <f t="shared" si="104"/>
        <v>SETIEMBRE</v>
      </c>
      <c r="C1541" s="55">
        <f t="shared" si="105"/>
        <v>36</v>
      </c>
      <c r="D1541" s="3" t="str">
        <f t="shared" si="106"/>
        <v>VIERNES</v>
      </c>
      <c r="E1541" s="427">
        <v>256674</v>
      </c>
      <c r="F1541" s="3" t="str">
        <f>IFERROR(VLOOKUP(E1541,BD!$L$2:$Q$66,2,0),0)</f>
        <v>COCA-COLA PET 1.5LX2 RF</v>
      </c>
      <c r="G1541" s="424">
        <v>864</v>
      </c>
      <c r="H1541" s="3">
        <f>+IFERROR(VLOOKUP(E1541,BD!$L$2:$Q$66,6,0),0)</f>
        <v>198</v>
      </c>
      <c r="I1541" s="96">
        <f>IFERROR(G1541*VLOOKUP($E1541,BD!$L$2:$Q$66,5,0),0)</f>
        <v>146.88000000000002</v>
      </c>
      <c r="J1541" s="3">
        <f t="shared" si="107"/>
        <v>2021</v>
      </c>
    </row>
    <row r="1542" spans="1:10" s="9" customFormat="1" hidden="1" x14ac:dyDescent="0.25">
      <c r="A1542" s="447">
        <v>44442</v>
      </c>
      <c r="B1542" s="55" t="str">
        <f t="shared" si="104"/>
        <v>SETIEMBRE</v>
      </c>
      <c r="C1542" s="55">
        <f t="shared" si="105"/>
        <v>36</v>
      </c>
      <c r="D1542" s="3" t="str">
        <f t="shared" si="106"/>
        <v>VIERNES</v>
      </c>
      <c r="E1542" s="427">
        <v>256379</v>
      </c>
      <c r="F1542" s="3" t="str">
        <f>IFERROR(VLOOKUP(E1542,BD!$L$2:$Q$66,2,0),0)</f>
        <v>INCA KOLA VR 625MLX12 - STICKER</v>
      </c>
      <c r="G1542" s="424">
        <v>300</v>
      </c>
      <c r="H1542" s="3">
        <f>+IFERROR(VLOOKUP(E1542,BD!$L$2:$Q$66,6,0),0)</f>
        <v>50</v>
      </c>
      <c r="I1542" s="96">
        <f>IFERROR(G1542*VLOOKUP($E1542,BD!$L$2:$Q$66,5,0),0)</f>
        <v>120</v>
      </c>
      <c r="J1542" s="3">
        <f t="shared" si="107"/>
        <v>2021</v>
      </c>
    </row>
    <row r="1543" spans="1:10" s="9" customFormat="1" hidden="1" x14ac:dyDescent="0.25">
      <c r="A1543" s="447">
        <v>44442</v>
      </c>
      <c r="B1543" s="55" t="str">
        <f t="shared" si="104"/>
        <v>SETIEMBRE</v>
      </c>
      <c r="C1543" s="55">
        <f t="shared" si="105"/>
        <v>36</v>
      </c>
      <c r="D1543" s="3" t="str">
        <f t="shared" si="106"/>
        <v>VIERNES</v>
      </c>
      <c r="E1543" s="427">
        <v>256685</v>
      </c>
      <c r="F1543" s="3" t="str">
        <f>IFERROR(VLOOKUP(E1543,BD!$L$2:$Q$66,2,0),0)</f>
        <v>SL S/G TAPA PLANA 1LT</v>
      </c>
      <c r="G1543" s="424">
        <v>336</v>
      </c>
      <c r="H1543" s="3">
        <f>+IFERROR(VLOOKUP(E1543,BD!$L$2:$Q$66,6,0),0)</f>
        <v>112</v>
      </c>
      <c r="I1543" s="96">
        <f>IFERROR(G1543*VLOOKUP($E1543,BD!$L$2:$Q$66,5,0),0)</f>
        <v>134.4</v>
      </c>
      <c r="J1543" s="3">
        <f t="shared" si="107"/>
        <v>2021</v>
      </c>
    </row>
    <row r="1544" spans="1:10" s="9" customFormat="1" hidden="1" x14ac:dyDescent="0.25">
      <c r="A1544" s="447">
        <v>44442</v>
      </c>
      <c r="B1544" s="55" t="str">
        <f t="shared" si="104"/>
        <v>SETIEMBRE</v>
      </c>
      <c r="C1544" s="55">
        <f t="shared" si="105"/>
        <v>36</v>
      </c>
      <c r="D1544" s="3" t="str">
        <f t="shared" si="106"/>
        <v>VIERNES</v>
      </c>
      <c r="E1544" s="427">
        <v>751468</v>
      </c>
      <c r="F1544" s="3" t="str">
        <f>IFERROR(VLOOKUP(E1544,BD!$L$2:$Q$66,2,0),0)</f>
        <v>MONSTER ENERGY ULTRA 473MLX4</v>
      </c>
      <c r="G1544" s="424">
        <v>840</v>
      </c>
      <c r="H1544" s="3">
        <f>+IFERROR(VLOOKUP(E1544,BD!$L$2:$Q$66,6,0),0)</f>
        <v>420</v>
      </c>
      <c r="I1544" s="96">
        <f>IFERROR(G1544*VLOOKUP($E1544,BD!$L$2:$Q$66,5,0),0)</f>
        <v>352.8</v>
      </c>
      <c r="J1544" s="3">
        <f t="shared" si="107"/>
        <v>2021</v>
      </c>
    </row>
    <row r="1545" spans="1:10" s="9" customFormat="1" hidden="1" x14ac:dyDescent="0.25">
      <c r="A1545" s="447">
        <v>44442</v>
      </c>
      <c r="B1545" s="55" t="str">
        <f t="shared" si="104"/>
        <v>SETIEMBRE</v>
      </c>
      <c r="C1545" s="55">
        <f t="shared" si="105"/>
        <v>36</v>
      </c>
      <c r="D1545" s="3" t="str">
        <f t="shared" si="106"/>
        <v>VIERNES</v>
      </c>
      <c r="E1545" s="427">
        <v>256676</v>
      </c>
      <c r="F1545" s="3" t="str">
        <f>IFERROR(VLOOKUP(E1545,BD!$L$2:$Q$66,2,0),0)</f>
        <v>TWO PACK CC PFM 3LX2 - RFCC</v>
      </c>
      <c r="G1545" s="424">
        <v>240</v>
      </c>
      <c r="H1545" s="3">
        <f>+IFERROR(VLOOKUP(E1545,BD!$L$2:$Q$66,6,0),0)</f>
        <v>120</v>
      </c>
      <c r="I1545" s="96">
        <f>IFERROR(G1545*VLOOKUP($E1545,BD!$L$2:$Q$66,5,0),0)</f>
        <v>40.800000000000004</v>
      </c>
      <c r="J1545" s="3">
        <f t="shared" si="107"/>
        <v>2021</v>
      </c>
    </row>
    <row r="1546" spans="1:10" s="9" customFormat="1" hidden="1" x14ac:dyDescent="0.25">
      <c r="A1546" s="447">
        <v>44442</v>
      </c>
      <c r="B1546" s="55" t="str">
        <f t="shared" si="104"/>
        <v>SETIEMBRE</v>
      </c>
      <c r="C1546" s="55">
        <f t="shared" si="105"/>
        <v>36</v>
      </c>
      <c r="D1546" s="3" t="str">
        <f t="shared" si="106"/>
        <v>VIERNES</v>
      </c>
      <c r="E1546" s="427">
        <v>251406</v>
      </c>
      <c r="F1546" s="3" t="str">
        <f>IFERROR(VLOOKUP(E1546,BD!$L$2:$Q$66,2,0),0)</f>
        <v>COCA-COLA SIN AZUCAR PET 1.5LX2</v>
      </c>
      <c r="G1546" s="425">
        <v>2160</v>
      </c>
      <c r="H1546" s="3">
        <f>+IFERROR(VLOOKUP(E1546,BD!$L$2:$Q$66,6,0),0)</f>
        <v>198</v>
      </c>
      <c r="I1546" s="96">
        <f>IFERROR(G1546*VLOOKUP($E1546,BD!$L$2:$Q$66,5,0),0)</f>
        <v>367.20000000000005</v>
      </c>
      <c r="J1546" s="3">
        <f t="shared" si="107"/>
        <v>2021</v>
      </c>
    </row>
    <row r="1547" spans="1:10" s="9" customFormat="1" hidden="1" x14ac:dyDescent="0.25">
      <c r="A1547" s="447">
        <v>44442</v>
      </c>
      <c r="B1547" s="55" t="str">
        <f t="shared" si="104"/>
        <v>SETIEMBRE</v>
      </c>
      <c r="C1547" s="55">
        <f t="shared" si="105"/>
        <v>36</v>
      </c>
      <c r="D1547" s="3" t="str">
        <f t="shared" si="106"/>
        <v>VIERNES</v>
      </c>
      <c r="E1547" s="427">
        <v>256616</v>
      </c>
      <c r="F1547" s="3" t="str">
        <f>IFERROR(VLOOKUP(E1547,BD!$L$2:$Q$66,2,0),0)</f>
        <v>TWO PACK SCHWEPPES CITRUS PET 1.5LX2</v>
      </c>
      <c r="G1547" s="424">
        <v>1188</v>
      </c>
      <c r="H1547" s="3">
        <f>+IFERROR(VLOOKUP(E1547,BD!$L$2:$Q$66,6,0),0)</f>
        <v>198</v>
      </c>
      <c r="I1547" s="96">
        <f>IFERROR(G1547*VLOOKUP($E1547,BD!$L$2:$Q$66,5,0),0)</f>
        <v>201.96</v>
      </c>
      <c r="J1547" s="3">
        <f t="shared" si="107"/>
        <v>2021</v>
      </c>
    </row>
    <row r="1548" spans="1:10" s="9" customFormat="1" hidden="1" x14ac:dyDescent="0.25">
      <c r="A1548" s="447">
        <v>44442</v>
      </c>
      <c r="B1548" s="55" t="str">
        <f t="shared" si="104"/>
        <v>SETIEMBRE</v>
      </c>
      <c r="C1548" s="55">
        <f t="shared" si="105"/>
        <v>36</v>
      </c>
      <c r="D1548" s="3" t="str">
        <f t="shared" si="106"/>
        <v>VIERNES</v>
      </c>
      <c r="E1548" s="427">
        <v>256666</v>
      </c>
      <c r="F1548" s="3" t="str">
        <f>IFERROR(VLOOKUP(E1548,BD!$L$2:$Q$66,2,0),0)</f>
        <v>COCA-COLA PET 2.25LX2 RF</v>
      </c>
      <c r="G1548" s="424">
        <v>972</v>
      </c>
      <c r="H1548" s="3">
        <f>+IFERROR(VLOOKUP(E1548,BD!$L$2:$Q$66,6,0),0)</f>
        <v>162</v>
      </c>
      <c r="I1548" s="96">
        <f>IFERROR(G1548*VLOOKUP($E1548,BD!$L$2:$Q$66,5,0),0)</f>
        <v>165.24</v>
      </c>
      <c r="J1548" s="3">
        <f t="shared" si="107"/>
        <v>2021</v>
      </c>
    </row>
    <row r="1549" spans="1:10" s="9" customFormat="1" hidden="1" x14ac:dyDescent="0.25">
      <c r="A1549" s="447">
        <v>44442</v>
      </c>
      <c r="B1549" s="55" t="str">
        <f t="shared" si="104"/>
        <v>SETIEMBRE</v>
      </c>
      <c r="C1549" s="55">
        <f t="shared" si="105"/>
        <v>36</v>
      </c>
      <c r="D1549" s="3" t="str">
        <f t="shared" si="106"/>
        <v>VIERNES</v>
      </c>
      <c r="E1549" s="427">
        <v>256680</v>
      </c>
      <c r="F1549" s="3" t="str">
        <f>IFERROR(VLOOKUP(E1549,BD!$L$2:$Q$66,2,0),0)</f>
        <v>TRIPACK CC+CC+IK PFM 3LX3 - RFNN</v>
      </c>
      <c r="G1549" s="425">
        <v>180</v>
      </c>
      <c r="H1549" s="3">
        <f>+IFERROR(VLOOKUP(E1549,BD!$L$2:$Q$66,6,0),0)</f>
        <v>90</v>
      </c>
      <c r="I1549" s="96">
        <f>IFERROR(G1549*VLOOKUP($E1549,BD!$L$2:$Q$66,5,0),0)</f>
        <v>30.6</v>
      </c>
      <c r="J1549" s="3">
        <f t="shared" si="107"/>
        <v>2021</v>
      </c>
    </row>
    <row r="1550" spans="1:10" s="9" customFormat="1" hidden="1" x14ac:dyDescent="0.25">
      <c r="A1550" s="447">
        <v>44442</v>
      </c>
      <c r="B1550" s="55" t="str">
        <f t="shared" si="104"/>
        <v>SETIEMBRE</v>
      </c>
      <c r="C1550" s="55">
        <f t="shared" si="105"/>
        <v>36</v>
      </c>
      <c r="D1550" s="3" t="str">
        <f t="shared" si="106"/>
        <v>VIERNES</v>
      </c>
      <c r="E1550" s="427">
        <v>256488</v>
      </c>
      <c r="F1550" s="3" t="str">
        <f>IFERROR(VLOOKUP(E1550,BD!$L$2:$Q$66,2,0),0)</f>
        <v>INCA KOLA PET 3LX2 - RF</v>
      </c>
      <c r="G1550" s="424">
        <v>360</v>
      </c>
      <c r="H1550" s="3">
        <f>+IFERROR(VLOOKUP(E1550,BD!$L$2:$Q$66,6,0),0)</f>
        <v>120</v>
      </c>
      <c r="I1550" s="96">
        <f>IFERROR(G1550*VLOOKUP($E1550,BD!$L$2:$Q$66,5,0),0)</f>
        <v>61.2</v>
      </c>
      <c r="J1550" s="3">
        <f t="shared" si="107"/>
        <v>2021</v>
      </c>
    </row>
    <row r="1551" spans="1:10" s="9" customFormat="1" hidden="1" x14ac:dyDescent="0.25">
      <c r="A1551" s="447">
        <v>44442</v>
      </c>
      <c r="B1551" s="55" t="str">
        <f t="shared" si="104"/>
        <v>SETIEMBRE</v>
      </c>
      <c r="C1551" s="55">
        <f t="shared" si="105"/>
        <v>36</v>
      </c>
      <c r="D1551" s="3" t="str">
        <f t="shared" si="106"/>
        <v>VIERNES</v>
      </c>
      <c r="E1551" s="427">
        <v>256678</v>
      </c>
      <c r="F1551" s="3" t="str">
        <f>IFERROR(VLOOKUP(E1551,BD!$L$2:$Q$66,2,0),0)</f>
        <v>TRIPACK (CC+IK)PFM+FT PET 3LX3 - RFNN</v>
      </c>
      <c r="G1551" s="424">
        <v>720</v>
      </c>
      <c r="H1551" s="3">
        <f>+IFERROR(VLOOKUP(E1551,BD!$L$2:$Q$66,6,0),0)</f>
        <v>90</v>
      </c>
      <c r="I1551" s="96">
        <f>IFERROR(G1551*VLOOKUP($E1551,BD!$L$2:$Q$66,5,0),0)</f>
        <v>122.4</v>
      </c>
      <c r="J1551" s="3">
        <f t="shared" si="107"/>
        <v>2021</v>
      </c>
    </row>
    <row r="1552" spans="1:10" s="9" customFormat="1" hidden="1" x14ac:dyDescent="0.25">
      <c r="A1552" s="447">
        <v>44442</v>
      </c>
      <c r="B1552" s="55" t="str">
        <f t="shared" si="104"/>
        <v>SETIEMBRE</v>
      </c>
      <c r="C1552" s="55">
        <f t="shared" si="105"/>
        <v>36</v>
      </c>
      <c r="D1552" s="3" t="str">
        <f t="shared" si="106"/>
        <v>VIERNES</v>
      </c>
      <c r="E1552" s="427">
        <v>256695</v>
      </c>
      <c r="F1552" s="3" t="str">
        <f>IFERROR(VLOOKUP(E1552,BD!$L$2:$Q$66,2,0),0)</f>
        <v>POWERADE 3MORA+3FRUT PET 473MLX6</v>
      </c>
      <c r="G1552" s="424">
        <v>900</v>
      </c>
      <c r="H1552" s="3">
        <f>+IFERROR(VLOOKUP(E1552,BD!$L$2:$Q$66,6,0),0)</f>
        <v>225</v>
      </c>
      <c r="I1552" s="96">
        <f>IFERROR(G1552*VLOOKUP($E1552,BD!$L$2:$Q$66,5,0),0)</f>
        <v>378</v>
      </c>
      <c r="J1552" s="3">
        <f t="shared" si="107"/>
        <v>2021</v>
      </c>
    </row>
    <row r="1553" spans="1:10" s="9" customFormat="1" hidden="1" x14ac:dyDescent="0.25">
      <c r="A1553" s="447">
        <v>44442</v>
      </c>
      <c r="B1553" s="55" t="str">
        <f t="shared" si="104"/>
        <v>SETIEMBRE</v>
      </c>
      <c r="C1553" s="55">
        <f t="shared" si="105"/>
        <v>36</v>
      </c>
      <c r="D1553" s="3" t="str">
        <f t="shared" si="106"/>
        <v>VIERNES</v>
      </c>
      <c r="E1553" s="427">
        <v>256708</v>
      </c>
      <c r="F1553" s="3" t="str">
        <f>IFERROR(VLOOKUP(E1553,BD!$L$2:$Q$66,2,0),0)</f>
        <v>POWERADE ION4 FRUTA PET473X6 MOD (STICK)</v>
      </c>
      <c r="G1553" s="424">
        <v>450</v>
      </c>
      <c r="H1553" s="3">
        <f>+IFERROR(VLOOKUP(E1553,BD!$L$2:$Q$66,6,0),0)</f>
        <v>225</v>
      </c>
      <c r="I1553" s="96">
        <f>IFERROR(G1553*VLOOKUP($E1553,BD!$L$2:$Q$66,5,0),0)</f>
        <v>180</v>
      </c>
      <c r="J1553" s="3">
        <f t="shared" si="107"/>
        <v>2021</v>
      </c>
    </row>
    <row r="1554" spans="1:10" s="9" customFormat="1" hidden="1" x14ac:dyDescent="0.25">
      <c r="A1554" s="447">
        <v>44442</v>
      </c>
      <c r="B1554" s="55" t="str">
        <f t="shared" si="104"/>
        <v>SETIEMBRE</v>
      </c>
      <c r="C1554" s="55">
        <f t="shared" si="105"/>
        <v>36</v>
      </c>
      <c r="D1554" s="3" t="str">
        <f t="shared" si="106"/>
        <v>VIERNES</v>
      </c>
      <c r="E1554" s="427">
        <v>256381</v>
      </c>
      <c r="F1554" s="3" t="str">
        <f>IFERROR(VLOOKUP(E1554,BD!$L$2:$Q$66,2,0),0)</f>
        <v>INCA KOLA VR 1.5LX8 - STICKER</v>
      </c>
      <c r="G1554" s="424">
        <v>90</v>
      </c>
      <c r="H1554" s="3">
        <f>+IFERROR(VLOOKUP(E1554,BD!$L$2:$Q$66,6,0),0)</f>
        <v>30</v>
      </c>
      <c r="I1554" s="96">
        <f>IFERROR(G1554*VLOOKUP($E1554,BD!$L$2:$Q$66,5,0),0)</f>
        <v>36</v>
      </c>
      <c r="J1554" s="3">
        <f t="shared" si="107"/>
        <v>2021</v>
      </c>
    </row>
    <row r="1555" spans="1:10" s="9" customFormat="1" hidden="1" x14ac:dyDescent="0.25">
      <c r="A1555" s="447">
        <v>44442</v>
      </c>
      <c r="B1555" s="55" t="str">
        <f t="shared" si="104"/>
        <v>SETIEMBRE</v>
      </c>
      <c r="C1555" s="55">
        <f t="shared" si="105"/>
        <v>36</v>
      </c>
      <c r="D1555" s="3" t="str">
        <f t="shared" si="106"/>
        <v>VIERNES</v>
      </c>
      <c r="E1555" s="427">
        <v>256380</v>
      </c>
      <c r="F1555" s="3" t="str">
        <f>IFERROR(VLOOKUP(E1555,BD!$L$2:$Q$66,2,0),0)</f>
        <v>INCA KOLA VR 296MLX24 - STICKER</v>
      </c>
      <c r="G1555" s="424">
        <v>80</v>
      </c>
      <c r="H1555" s="3">
        <f>+IFERROR(VLOOKUP(E1555,BD!$L$2:$Q$66,6,0),0)</f>
        <v>40</v>
      </c>
      <c r="I1555" s="96">
        <f>IFERROR(G1555*VLOOKUP($E1555,BD!$L$2:$Q$66,5,0),0)</f>
        <v>18.400000000000002</v>
      </c>
      <c r="J1555" s="3">
        <f t="shared" si="107"/>
        <v>2021</v>
      </c>
    </row>
    <row r="1556" spans="1:10" s="9" customFormat="1" hidden="1" x14ac:dyDescent="0.25">
      <c r="A1556" s="447">
        <v>44442</v>
      </c>
      <c r="B1556" s="55" t="str">
        <f t="shared" si="104"/>
        <v>SETIEMBRE</v>
      </c>
      <c r="C1556" s="55">
        <f t="shared" si="105"/>
        <v>36</v>
      </c>
      <c r="D1556" s="3" t="str">
        <f t="shared" si="106"/>
        <v>VIERNES</v>
      </c>
      <c r="E1556" s="427">
        <v>254762</v>
      </c>
      <c r="F1556" s="3" t="str">
        <f>IFERROR(VLOOKUP(E1556,BD!$L$2:$Q$66,2,0),0)</f>
        <v xml:space="preserve">SAN LUIS SPORT S/G 10 Lt x6 </v>
      </c>
      <c r="G1556" s="424">
        <v>112</v>
      </c>
      <c r="H1556" s="3">
        <f>+IFERROR(VLOOKUP(E1556,BD!$L$2:$Q$66,6,0),0)</f>
        <v>240</v>
      </c>
      <c r="I1556" s="96">
        <f>IFERROR(G1556*VLOOKUP($E1556,BD!$L$2:$Q$66,5,0),0)</f>
        <v>44.800000000000004</v>
      </c>
      <c r="J1556" s="3">
        <f t="shared" si="107"/>
        <v>2021</v>
      </c>
    </row>
    <row r="1557" spans="1:10" s="9" customFormat="1" hidden="1" x14ac:dyDescent="0.25">
      <c r="A1557" s="447">
        <v>44442</v>
      </c>
      <c r="B1557" s="55" t="str">
        <f t="shared" si="104"/>
        <v>SETIEMBRE</v>
      </c>
      <c r="C1557" s="55">
        <f t="shared" si="105"/>
        <v>36</v>
      </c>
      <c r="D1557" s="3" t="str">
        <f t="shared" si="106"/>
        <v>VIERNES</v>
      </c>
      <c r="E1557" s="427">
        <v>256383</v>
      </c>
      <c r="F1557" s="3" t="str">
        <f>IFERROR(VLOOKUP(E1557,BD!$L$2:$Q$66,2,0),0)</f>
        <v>COCA COLA VR 1.5LX8 - STICKER</v>
      </c>
      <c r="G1557" s="424">
        <v>90</v>
      </c>
      <c r="H1557" s="3">
        <f>+IFERROR(VLOOKUP(E1557,BD!$L$2:$Q$66,6,0),0)</f>
        <v>30</v>
      </c>
      <c r="I1557" s="96">
        <f>IFERROR(G1557*VLOOKUP($E1557,BD!$L$2:$Q$66,5,0),0)</f>
        <v>20.7</v>
      </c>
      <c r="J1557" s="3">
        <f t="shared" si="107"/>
        <v>2021</v>
      </c>
    </row>
    <row r="1558" spans="1:10" s="9" customFormat="1" hidden="1" x14ac:dyDescent="0.25">
      <c r="A1558" s="447">
        <v>44442</v>
      </c>
      <c r="B1558" s="55" t="str">
        <f t="shared" si="104"/>
        <v>SETIEMBRE</v>
      </c>
      <c r="C1558" s="55">
        <f t="shared" si="105"/>
        <v>36</v>
      </c>
      <c r="D1558" s="3" t="str">
        <f t="shared" si="106"/>
        <v>VIERNES</v>
      </c>
      <c r="E1558" s="427">
        <v>251633</v>
      </c>
      <c r="F1558" s="3" t="str">
        <f>IFERROR(VLOOKUP(E1558,BD!$L$2:$Q$66,2,0),0)</f>
        <v>SAN LUIS CON GAS PET 625MLX6</v>
      </c>
      <c r="G1558" s="424">
        <v>180</v>
      </c>
      <c r="H1558" s="3">
        <f>+IFERROR(VLOOKUP(E1558,BD!$L$2:$Q$66,6,0),0)</f>
        <v>180</v>
      </c>
      <c r="I1558" s="96">
        <f>IFERROR(G1558*VLOOKUP($E1558,BD!$L$2:$Q$66,5,0),0)</f>
        <v>75.599999999999994</v>
      </c>
      <c r="J1558" s="3">
        <f t="shared" si="107"/>
        <v>2021</v>
      </c>
    </row>
    <row r="1559" spans="1:10" s="9" customFormat="1" hidden="1" x14ac:dyDescent="0.25">
      <c r="A1559" s="447">
        <v>44442</v>
      </c>
      <c r="B1559" s="55" t="str">
        <f t="shared" si="104"/>
        <v>SETIEMBRE</v>
      </c>
      <c r="C1559" s="55">
        <f t="shared" si="105"/>
        <v>36</v>
      </c>
      <c r="D1559" s="3" t="str">
        <f t="shared" si="106"/>
        <v>VIERNES</v>
      </c>
      <c r="E1559" s="427">
        <v>251633</v>
      </c>
      <c r="F1559" s="3" t="str">
        <f>IFERROR(VLOOKUP(E1559,BD!$L$2:$Q$66,2,0),0)</f>
        <v>SAN LUIS CON GAS PET 625MLX6</v>
      </c>
      <c r="G1559" s="424">
        <v>180</v>
      </c>
      <c r="H1559" s="3">
        <f>+IFERROR(VLOOKUP(E1559,BD!$L$2:$Q$66,6,0),0)</f>
        <v>180</v>
      </c>
      <c r="I1559" s="96">
        <f>IFERROR(G1559*VLOOKUP($E1559,BD!$L$2:$Q$66,5,0),0)</f>
        <v>75.599999999999994</v>
      </c>
      <c r="J1559" s="3">
        <f t="shared" si="107"/>
        <v>2021</v>
      </c>
    </row>
    <row r="1560" spans="1:10" s="9" customFormat="1" hidden="1" x14ac:dyDescent="0.25">
      <c r="A1560" s="447">
        <v>44442</v>
      </c>
      <c r="B1560" s="55" t="str">
        <f t="shared" si="104"/>
        <v>SETIEMBRE</v>
      </c>
      <c r="C1560" s="55">
        <f t="shared" si="105"/>
        <v>36</v>
      </c>
      <c r="D1560" s="3" t="str">
        <f t="shared" si="106"/>
        <v>VIERNES</v>
      </c>
      <c r="E1560" s="427">
        <v>256382</v>
      </c>
      <c r="F1560" s="3" t="str">
        <f>IFERROR(VLOOKUP(E1560,BD!$L$2:$Q$66,2,0),0)</f>
        <v>COCA COLA VR 296MLX24 - STICKER</v>
      </c>
      <c r="G1560" s="424">
        <v>120</v>
      </c>
      <c r="H1560" s="3">
        <f>+IFERROR(VLOOKUP(E1560,BD!$L$2:$Q$66,6,0),0)</f>
        <v>40</v>
      </c>
      <c r="I1560" s="96">
        <f>IFERROR(G1560*VLOOKUP($E1560,BD!$L$2:$Q$66,5,0),0)</f>
        <v>27.6</v>
      </c>
      <c r="J1560" s="3">
        <f t="shared" si="107"/>
        <v>2021</v>
      </c>
    </row>
    <row r="1561" spans="1:10" s="9" customFormat="1" hidden="1" x14ac:dyDescent="0.25">
      <c r="A1561" s="447">
        <v>44443</v>
      </c>
      <c r="B1561" s="55" t="str">
        <f t="shared" si="104"/>
        <v>SETIEMBRE</v>
      </c>
      <c r="C1561" s="55">
        <f t="shared" si="105"/>
        <v>37</v>
      </c>
      <c r="D1561" s="3" t="str">
        <f t="shared" si="106"/>
        <v>SÁBADO</v>
      </c>
      <c r="E1561" s="427">
        <v>256616</v>
      </c>
      <c r="F1561" s="3" t="str">
        <f>IFERROR(VLOOKUP(E1561,BD!$L$2:$Q$66,2,0),0)</f>
        <v>TWO PACK SCHWEPPES CITRUS PET 1.5LX2</v>
      </c>
      <c r="G1561" s="424">
        <v>792</v>
      </c>
      <c r="H1561" s="3">
        <f>+IFERROR(VLOOKUP(E1561,BD!$L$2:$Q$66,6,0),0)</f>
        <v>198</v>
      </c>
      <c r="I1561" s="96">
        <f>IFERROR(G1561*VLOOKUP($E1561,BD!$L$2:$Q$66,5,0),0)</f>
        <v>134.64000000000001</v>
      </c>
      <c r="J1561" s="3">
        <f t="shared" si="107"/>
        <v>2021</v>
      </c>
    </row>
    <row r="1562" spans="1:10" s="9" customFormat="1" hidden="1" x14ac:dyDescent="0.25">
      <c r="A1562" s="447">
        <v>44443</v>
      </c>
      <c r="B1562" s="55" t="str">
        <f t="shared" si="104"/>
        <v>SETIEMBRE</v>
      </c>
      <c r="C1562" s="55">
        <f t="shared" si="105"/>
        <v>37</v>
      </c>
      <c r="D1562" s="3" t="str">
        <f t="shared" si="106"/>
        <v>SÁBADO</v>
      </c>
      <c r="E1562" s="427">
        <v>256674</v>
      </c>
      <c r="F1562" s="3" t="str">
        <f>IFERROR(VLOOKUP(E1562,BD!$L$2:$Q$66,2,0),0)</f>
        <v>COCA-COLA PET 1.5LX2 RF</v>
      </c>
      <c r="G1562" s="424">
        <v>864</v>
      </c>
      <c r="H1562" s="3">
        <f>+IFERROR(VLOOKUP(E1562,BD!$L$2:$Q$66,6,0),0)</f>
        <v>198</v>
      </c>
      <c r="I1562" s="96">
        <f>IFERROR(G1562*VLOOKUP($E1562,BD!$L$2:$Q$66,5,0),0)</f>
        <v>146.88000000000002</v>
      </c>
      <c r="J1562" s="3">
        <f t="shared" si="107"/>
        <v>2021</v>
      </c>
    </row>
    <row r="1563" spans="1:10" s="9" customFormat="1" hidden="1" x14ac:dyDescent="0.25">
      <c r="A1563" s="447">
        <v>44443</v>
      </c>
      <c r="B1563" s="55" t="str">
        <f t="shared" si="104"/>
        <v>SETIEMBRE</v>
      </c>
      <c r="C1563" s="55">
        <f t="shared" si="105"/>
        <v>37</v>
      </c>
      <c r="D1563" s="3" t="str">
        <f t="shared" si="106"/>
        <v>SÁBADO</v>
      </c>
      <c r="E1563" s="427">
        <v>254853</v>
      </c>
      <c r="F1563" s="3" t="str">
        <f>IFERROR(VLOOKUP(E1563,BD!$L$2:$Q$66,2,0),0)</f>
        <v>INCA KOLA SIN AZUCAR PET 1.5LX2</v>
      </c>
      <c r="G1563" s="424">
        <v>4320</v>
      </c>
      <c r="H1563" s="3">
        <f>+IFERROR(VLOOKUP(E1563,BD!$L$2:$Q$66,6,0),0)</f>
        <v>198</v>
      </c>
      <c r="I1563" s="96">
        <f>IFERROR(G1563*VLOOKUP($E1563,BD!$L$2:$Q$66,5,0),0)</f>
        <v>734.40000000000009</v>
      </c>
      <c r="J1563" s="3">
        <f t="shared" si="107"/>
        <v>2021</v>
      </c>
    </row>
    <row r="1564" spans="1:10" s="9" customFormat="1" hidden="1" x14ac:dyDescent="0.25">
      <c r="A1564" s="447">
        <v>44443</v>
      </c>
      <c r="B1564" s="55" t="str">
        <f t="shared" si="104"/>
        <v>SETIEMBRE</v>
      </c>
      <c r="C1564" s="55">
        <f t="shared" si="105"/>
        <v>37</v>
      </c>
      <c r="D1564" s="3" t="str">
        <f t="shared" si="106"/>
        <v>SÁBADO</v>
      </c>
      <c r="E1564" s="427">
        <v>251406</v>
      </c>
      <c r="F1564" s="3" t="str">
        <f>IFERROR(VLOOKUP(E1564,BD!$L$2:$Q$66,2,0),0)</f>
        <v>COCA-COLA SIN AZUCAR PET 1.5LX2</v>
      </c>
      <c r="G1564" s="424">
        <v>1296</v>
      </c>
      <c r="H1564" s="3">
        <f>+IFERROR(VLOOKUP(E1564,BD!$L$2:$Q$66,6,0),0)</f>
        <v>198</v>
      </c>
      <c r="I1564" s="96">
        <f>IFERROR(G1564*VLOOKUP($E1564,BD!$L$2:$Q$66,5,0),0)</f>
        <v>220.32000000000002</v>
      </c>
      <c r="J1564" s="3">
        <f t="shared" si="107"/>
        <v>2021</v>
      </c>
    </row>
    <row r="1565" spans="1:10" s="9" customFormat="1" hidden="1" x14ac:dyDescent="0.25">
      <c r="A1565" s="447">
        <v>44443</v>
      </c>
      <c r="B1565" s="55" t="str">
        <f t="shared" si="104"/>
        <v>SETIEMBRE</v>
      </c>
      <c r="C1565" s="55">
        <f t="shared" si="105"/>
        <v>37</v>
      </c>
      <c r="D1565" s="3" t="str">
        <f t="shared" si="106"/>
        <v>SÁBADO</v>
      </c>
      <c r="E1565" s="427">
        <v>256677</v>
      </c>
      <c r="F1565" s="3" t="str">
        <f>IFERROR(VLOOKUP(E1565,BD!$L$2:$Q$66,2,0),0)</f>
        <v>TWO PACK CC + IK PFM 3LX2 - RFNN</v>
      </c>
      <c r="G1565" s="424">
        <v>720</v>
      </c>
      <c r="H1565" s="3">
        <f>+IFERROR(VLOOKUP(E1565,BD!$L$2:$Q$66,6,0),0)</f>
        <v>120</v>
      </c>
      <c r="I1565" s="96">
        <f>IFERROR(G1565*VLOOKUP($E1565,BD!$L$2:$Q$66,5,0),0)</f>
        <v>122.4</v>
      </c>
      <c r="J1565" s="3">
        <f t="shared" si="107"/>
        <v>2021</v>
      </c>
    </row>
    <row r="1566" spans="1:10" s="9" customFormat="1" hidden="1" x14ac:dyDescent="0.25">
      <c r="A1566" s="447">
        <v>44443</v>
      </c>
      <c r="B1566" s="55" t="str">
        <f t="shared" si="104"/>
        <v>SETIEMBRE</v>
      </c>
      <c r="C1566" s="55">
        <f t="shared" si="105"/>
        <v>37</v>
      </c>
      <c r="D1566" s="3" t="str">
        <f t="shared" si="106"/>
        <v>SÁBADO</v>
      </c>
      <c r="E1566" s="427">
        <v>256678</v>
      </c>
      <c r="F1566" s="3" t="str">
        <f>IFERROR(VLOOKUP(E1566,BD!$L$2:$Q$66,2,0),0)</f>
        <v>TRIPACK (CC+IK)PFM+FT PET 3LX3 - RFNN</v>
      </c>
      <c r="G1566" s="424">
        <v>2160</v>
      </c>
      <c r="H1566" s="3">
        <f>+IFERROR(VLOOKUP(E1566,BD!$L$2:$Q$66,6,0),0)</f>
        <v>90</v>
      </c>
      <c r="I1566" s="96">
        <f>IFERROR(G1566*VLOOKUP($E1566,BD!$L$2:$Q$66,5,0),0)</f>
        <v>367.20000000000005</v>
      </c>
      <c r="J1566" s="3">
        <f t="shared" si="107"/>
        <v>2021</v>
      </c>
    </row>
    <row r="1567" spans="1:10" s="9" customFormat="1" hidden="1" x14ac:dyDescent="0.25">
      <c r="A1567" s="447">
        <v>44443</v>
      </c>
      <c r="B1567" s="55" t="str">
        <f t="shared" si="104"/>
        <v>SETIEMBRE</v>
      </c>
      <c r="C1567" s="55">
        <f t="shared" si="105"/>
        <v>37</v>
      </c>
      <c r="D1567" s="3" t="str">
        <f t="shared" si="106"/>
        <v>SÁBADO</v>
      </c>
      <c r="E1567" s="427">
        <v>256488</v>
      </c>
      <c r="F1567" s="3" t="str">
        <f>IFERROR(VLOOKUP(E1567,BD!$L$2:$Q$66,2,0),0)</f>
        <v>INCA KOLA PET 3LX2 - RF</v>
      </c>
      <c r="G1567" s="424">
        <v>360</v>
      </c>
      <c r="H1567" s="3">
        <f>+IFERROR(VLOOKUP(E1567,BD!$L$2:$Q$66,6,0),0)</f>
        <v>120</v>
      </c>
      <c r="I1567" s="96">
        <f>IFERROR(G1567*VLOOKUP($E1567,BD!$L$2:$Q$66,5,0),0)</f>
        <v>61.2</v>
      </c>
      <c r="J1567" s="3">
        <f t="shared" si="107"/>
        <v>2021</v>
      </c>
    </row>
    <row r="1568" spans="1:10" s="9" customFormat="1" hidden="1" x14ac:dyDescent="0.25">
      <c r="A1568" s="447">
        <v>44443</v>
      </c>
      <c r="B1568" s="55" t="str">
        <f t="shared" si="104"/>
        <v>SETIEMBRE</v>
      </c>
      <c r="C1568" s="55">
        <f t="shared" si="105"/>
        <v>37</v>
      </c>
      <c r="D1568" s="3" t="str">
        <f t="shared" si="106"/>
        <v>SÁBADO</v>
      </c>
      <c r="E1568" s="427">
        <v>256617</v>
      </c>
      <c r="F1568" s="3" t="str">
        <f>IFERROR(VLOOKUP(E1568,BD!$L$2:$Q$66,2,0),0)</f>
        <v>TWO PACK SCHWEPPES GINGER ALE PET 1.5LX2</v>
      </c>
      <c r="G1568" s="424">
        <v>1188</v>
      </c>
      <c r="H1568" s="3">
        <f>+IFERROR(VLOOKUP(E1568,BD!$L$2:$Q$66,6,0),0)</f>
        <v>198</v>
      </c>
      <c r="I1568" s="96">
        <f>IFERROR(G1568*VLOOKUP($E1568,BD!$L$2:$Q$66,5,0),0)</f>
        <v>201.96</v>
      </c>
      <c r="J1568" s="3">
        <f t="shared" si="107"/>
        <v>2021</v>
      </c>
    </row>
    <row r="1569" spans="1:10" s="9" customFormat="1" hidden="1" x14ac:dyDescent="0.25">
      <c r="A1569" s="447">
        <v>44443</v>
      </c>
      <c r="B1569" s="55" t="str">
        <f t="shared" si="104"/>
        <v>SETIEMBRE</v>
      </c>
      <c r="C1569" s="55">
        <f t="shared" si="105"/>
        <v>37</v>
      </c>
      <c r="D1569" s="3" t="str">
        <f t="shared" si="106"/>
        <v>SÁBADO</v>
      </c>
      <c r="E1569" s="427">
        <v>256695</v>
      </c>
      <c r="F1569" s="3" t="str">
        <f>IFERROR(VLOOKUP(E1569,BD!$L$2:$Q$66,2,0),0)</f>
        <v>POWERADE 3MORA+3FRUT PET 473MLX6</v>
      </c>
      <c r="G1569" s="424">
        <v>900</v>
      </c>
      <c r="H1569" s="3">
        <f>+IFERROR(VLOOKUP(E1569,BD!$L$2:$Q$66,6,0),0)</f>
        <v>225</v>
      </c>
      <c r="I1569" s="96">
        <f>IFERROR(G1569*VLOOKUP($E1569,BD!$L$2:$Q$66,5,0),0)</f>
        <v>378</v>
      </c>
      <c r="J1569" s="3">
        <f t="shared" si="107"/>
        <v>2021</v>
      </c>
    </row>
    <row r="1570" spans="1:10" s="9" customFormat="1" hidden="1" x14ac:dyDescent="0.25">
      <c r="A1570" s="447">
        <v>44443</v>
      </c>
      <c r="B1570" s="55" t="str">
        <f t="shared" si="104"/>
        <v>SETIEMBRE</v>
      </c>
      <c r="C1570" s="55">
        <f t="shared" si="105"/>
        <v>37</v>
      </c>
      <c r="D1570" s="3" t="str">
        <f t="shared" si="106"/>
        <v>SÁBADO</v>
      </c>
      <c r="E1570" s="427">
        <v>256685</v>
      </c>
      <c r="F1570" s="3" t="str">
        <f>IFERROR(VLOOKUP(E1570,BD!$L$2:$Q$66,2,0),0)</f>
        <v>SL S/G TAPA PLANA 1LT</v>
      </c>
      <c r="G1570" s="424">
        <v>224</v>
      </c>
      <c r="H1570" s="3">
        <f>+IFERROR(VLOOKUP(E1570,BD!$L$2:$Q$66,6,0),0)</f>
        <v>112</v>
      </c>
      <c r="I1570" s="96">
        <f>IFERROR(G1570*VLOOKUP($E1570,BD!$L$2:$Q$66,5,0),0)</f>
        <v>89.600000000000009</v>
      </c>
      <c r="J1570" s="3">
        <f t="shared" si="107"/>
        <v>2021</v>
      </c>
    </row>
    <row r="1571" spans="1:10" s="9" customFormat="1" hidden="1" x14ac:dyDescent="0.25">
      <c r="A1571" s="447">
        <v>44443</v>
      </c>
      <c r="B1571" s="55" t="str">
        <f t="shared" si="104"/>
        <v>SETIEMBRE</v>
      </c>
      <c r="C1571" s="55">
        <f t="shared" si="105"/>
        <v>37</v>
      </c>
      <c r="D1571" s="3" t="str">
        <f t="shared" si="106"/>
        <v>SÁBADO</v>
      </c>
      <c r="E1571" s="427">
        <v>256379</v>
      </c>
      <c r="F1571" s="3" t="str">
        <f>IFERROR(VLOOKUP(E1571,BD!$L$2:$Q$66,2,0),0)</f>
        <v>INCA KOLA VR 625MLX12 - STICKER</v>
      </c>
      <c r="G1571" s="424">
        <v>150</v>
      </c>
      <c r="H1571" s="3">
        <f>+IFERROR(VLOOKUP(E1571,BD!$L$2:$Q$66,6,0),0)</f>
        <v>50</v>
      </c>
      <c r="I1571" s="96">
        <f>IFERROR(G1571*VLOOKUP($E1571,BD!$L$2:$Q$66,5,0),0)</f>
        <v>60</v>
      </c>
      <c r="J1571" s="3">
        <f t="shared" si="107"/>
        <v>2021</v>
      </c>
    </row>
    <row r="1572" spans="1:10" s="9" customFormat="1" hidden="1" x14ac:dyDescent="0.25">
      <c r="A1572" s="447">
        <v>44443</v>
      </c>
      <c r="B1572" s="55" t="str">
        <f t="shared" si="104"/>
        <v>SETIEMBRE</v>
      </c>
      <c r="C1572" s="55">
        <f t="shared" si="105"/>
        <v>37</v>
      </c>
      <c r="D1572" s="3" t="str">
        <f t="shared" si="106"/>
        <v>SÁBADO</v>
      </c>
      <c r="E1572" s="427">
        <v>256601</v>
      </c>
      <c r="F1572" s="3" t="str">
        <f>IFERROR(VLOOKUP(E1572,BD!$L$2:$Q$66,2,0),0)</f>
        <v>INCA KOLA PET 2.25LX2 RF</v>
      </c>
      <c r="G1572" s="424">
        <v>324</v>
      </c>
      <c r="H1572" s="3">
        <f>+IFERROR(VLOOKUP(E1572,BD!$L$2:$Q$66,6,0),0)</f>
        <v>162</v>
      </c>
      <c r="I1572" s="96">
        <f>IFERROR(G1572*VLOOKUP($E1572,BD!$L$2:$Q$66,5,0),0)</f>
        <v>55.080000000000005</v>
      </c>
      <c r="J1572" s="3">
        <f t="shared" si="107"/>
        <v>2021</v>
      </c>
    </row>
    <row r="1573" spans="1:10" s="9" customFormat="1" hidden="1" x14ac:dyDescent="0.25">
      <c r="A1573" s="447">
        <v>44443</v>
      </c>
      <c r="B1573" s="55" t="str">
        <f t="shared" si="104"/>
        <v>SETIEMBRE</v>
      </c>
      <c r="C1573" s="55">
        <f t="shared" si="105"/>
        <v>37</v>
      </c>
      <c r="D1573" s="3" t="str">
        <f t="shared" si="106"/>
        <v>SÁBADO</v>
      </c>
      <c r="E1573" s="427">
        <v>256382</v>
      </c>
      <c r="F1573" s="3" t="str">
        <f>IFERROR(VLOOKUP(E1573,BD!$L$2:$Q$66,2,0),0)</f>
        <v>COCA COLA VR 296MLX24 - STICKER</v>
      </c>
      <c r="G1573" s="424">
        <v>80</v>
      </c>
      <c r="H1573" s="3">
        <f>+IFERROR(VLOOKUP(E1573,BD!$L$2:$Q$66,6,0),0)</f>
        <v>40</v>
      </c>
      <c r="I1573" s="96">
        <f>IFERROR(G1573*VLOOKUP($E1573,BD!$L$2:$Q$66,5,0),0)</f>
        <v>18.400000000000002</v>
      </c>
      <c r="J1573" s="3">
        <f t="shared" si="107"/>
        <v>2021</v>
      </c>
    </row>
    <row r="1574" spans="1:10" s="9" customFormat="1" hidden="1" x14ac:dyDescent="0.25">
      <c r="A1574" s="447">
        <v>44443</v>
      </c>
      <c r="B1574" s="55" t="str">
        <f t="shared" si="104"/>
        <v>SETIEMBRE</v>
      </c>
      <c r="C1574" s="55">
        <f t="shared" si="105"/>
        <v>37</v>
      </c>
      <c r="D1574" s="3" t="str">
        <f t="shared" si="106"/>
        <v>SÁBADO</v>
      </c>
      <c r="E1574" s="427">
        <v>256381</v>
      </c>
      <c r="F1574" s="3" t="str">
        <f>IFERROR(VLOOKUP(E1574,BD!$L$2:$Q$66,2,0),0)</f>
        <v>INCA KOLA VR 1.5LX8 - STICKER</v>
      </c>
      <c r="G1574" s="424">
        <v>90</v>
      </c>
      <c r="H1574" s="3">
        <f>+IFERROR(VLOOKUP(E1574,BD!$L$2:$Q$66,6,0),0)</f>
        <v>30</v>
      </c>
      <c r="I1574" s="96">
        <f>IFERROR(G1574*VLOOKUP($E1574,BD!$L$2:$Q$66,5,0),0)</f>
        <v>36</v>
      </c>
      <c r="J1574" s="3">
        <f t="shared" si="107"/>
        <v>2021</v>
      </c>
    </row>
    <row r="1575" spans="1:10" s="9" customFormat="1" hidden="1" x14ac:dyDescent="0.25">
      <c r="A1575" s="447">
        <v>44443</v>
      </c>
      <c r="B1575" s="55" t="str">
        <f t="shared" si="104"/>
        <v>SETIEMBRE</v>
      </c>
      <c r="C1575" s="55">
        <f t="shared" si="105"/>
        <v>37</v>
      </c>
      <c r="D1575" s="3" t="str">
        <f t="shared" si="106"/>
        <v>SÁBADO</v>
      </c>
      <c r="E1575" s="427">
        <v>256380</v>
      </c>
      <c r="F1575" s="3" t="str">
        <f>IFERROR(VLOOKUP(E1575,BD!$L$2:$Q$66,2,0),0)</f>
        <v>INCA KOLA VR 296MLX24 - STICKER</v>
      </c>
      <c r="G1575" s="424">
        <v>80</v>
      </c>
      <c r="H1575" s="3">
        <f>+IFERROR(VLOOKUP(E1575,BD!$L$2:$Q$66,6,0),0)</f>
        <v>40</v>
      </c>
      <c r="I1575" s="96">
        <f>IFERROR(G1575*VLOOKUP($E1575,BD!$L$2:$Q$66,5,0),0)</f>
        <v>18.400000000000002</v>
      </c>
      <c r="J1575" s="3">
        <f t="shared" si="107"/>
        <v>2021</v>
      </c>
    </row>
    <row r="1576" spans="1:10" s="9" customFormat="1" hidden="1" x14ac:dyDescent="0.25">
      <c r="A1576" s="447">
        <v>44443</v>
      </c>
      <c r="B1576" s="55" t="str">
        <f t="shared" si="104"/>
        <v>SETIEMBRE</v>
      </c>
      <c r="C1576" s="55">
        <f t="shared" si="105"/>
        <v>37</v>
      </c>
      <c r="D1576" s="3" t="str">
        <f t="shared" si="106"/>
        <v>SÁBADO</v>
      </c>
      <c r="E1576" s="427">
        <v>751544</v>
      </c>
      <c r="F1576" s="3" t="str">
        <f>IFERROR(VLOOKUP(E1576,BD!$L$2:$Q$66,2,0),0)</f>
        <v>MONSTER ENERGY ZERO 473MLX4</v>
      </c>
      <c r="G1576" s="425">
        <v>420</v>
      </c>
      <c r="H1576" s="3">
        <f>+IFERROR(VLOOKUP(E1576,BD!$L$2:$Q$66,6,0),0)</f>
        <v>420</v>
      </c>
      <c r="I1576" s="96">
        <f>IFERROR(G1576*VLOOKUP($E1576,BD!$L$2:$Q$66,5,0),0)</f>
        <v>176.4</v>
      </c>
      <c r="J1576" s="3">
        <f t="shared" si="107"/>
        <v>2021</v>
      </c>
    </row>
    <row r="1577" spans="1:10" s="9" customFormat="1" hidden="1" x14ac:dyDescent="0.25">
      <c r="A1577" s="447">
        <v>44445</v>
      </c>
      <c r="B1577" s="55" t="str">
        <f t="shared" si="104"/>
        <v>SETIEMBRE</v>
      </c>
      <c r="C1577" s="55">
        <f t="shared" si="105"/>
        <v>37</v>
      </c>
      <c r="D1577" s="3" t="str">
        <f t="shared" si="106"/>
        <v>LUNES</v>
      </c>
      <c r="E1577" s="427">
        <v>256675</v>
      </c>
      <c r="F1577" s="3" t="str">
        <f>IFERROR(VLOOKUP(E1577,BD!$L$2:$Q$66,2,0),0)</f>
        <v>INCA KOLA PET 1.5LX2 RF</v>
      </c>
      <c r="G1577" s="425">
        <v>216</v>
      </c>
      <c r="H1577" s="3">
        <f>+IFERROR(VLOOKUP(E1577,BD!$L$2:$Q$66,6,0),0)</f>
        <v>198</v>
      </c>
      <c r="I1577" s="96">
        <f>IFERROR(G1577*VLOOKUP($E1577,BD!$L$2:$Q$66,5,0),0)</f>
        <v>36.720000000000006</v>
      </c>
      <c r="J1577" s="3">
        <f t="shared" si="107"/>
        <v>2021</v>
      </c>
    </row>
    <row r="1578" spans="1:10" s="9" customFormat="1" hidden="1" x14ac:dyDescent="0.25">
      <c r="A1578" s="447">
        <v>44445</v>
      </c>
      <c r="B1578" s="55" t="str">
        <f t="shared" si="104"/>
        <v>SETIEMBRE</v>
      </c>
      <c r="C1578" s="55">
        <f t="shared" si="105"/>
        <v>37</v>
      </c>
      <c r="D1578" s="3" t="str">
        <f t="shared" si="106"/>
        <v>LUNES</v>
      </c>
      <c r="E1578" s="427">
        <v>256676</v>
      </c>
      <c r="F1578" s="3" t="str">
        <f>IFERROR(VLOOKUP(E1578,BD!$L$2:$Q$66,2,0),0)</f>
        <v>TWO PACK CC PFM 3LX2 - RFCC</v>
      </c>
      <c r="G1578" s="424">
        <v>240</v>
      </c>
      <c r="H1578" s="3">
        <f>+IFERROR(VLOOKUP(E1578,BD!$L$2:$Q$66,6,0),0)</f>
        <v>120</v>
      </c>
      <c r="I1578" s="96">
        <f>IFERROR(G1578*VLOOKUP($E1578,BD!$L$2:$Q$66,5,0),0)</f>
        <v>40.800000000000004</v>
      </c>
      <c r="J1578" s="3">
        <f t="shared" si="107"/>
        <v>2021</v>
      </c>
    </row>
    <row r="1579" spans="1:10" s="9" customFormat="1" hidden="1" x14ac:dyDescent="0.25">
      <c r="A1579" s="447">
        <v>44445</v>
      </c>
      <c r="B1579" s="55" t="str">
        <f t="shared" si="104"/>
        <v>SETIEMBRE</v>
      </c>
      <c r="C1579" s="55">
        <f t="shared" si="105"/>
        <v>37</v>
      </c>
      <c r="D1579" s="3" t="str">
        <f t="shared" si="106"/>
        <v>LUNES</v>
      </c>
      <c r="E1579" s="427">
        <v>256488</v>
      </c>
      <c r="F1579" s="3" t="str">
        <f>IFERROR(VLOOKUP(E1579,BD!$L$2:$Q$66,2,0),0)</f>
        <v>INCA KOLA PET 3LX2 - RF</v>
      </c>
      <c r="G1579" s="424">
        <v>480</v>
      </c>
      <c r="H1579" s="3">
        <f>+IFERROR(VLOOKUP(E1579,BD!$L$2:$Q$66,6,0),0)</f>
        <v>120</v>
      </c>
      <c r="I1579" s="96">
        <f>IFERROR(G1579*VLOOKUP($E1579,BD!$L$2:$Q$66,5,0),0)</f>
        <v>81.600000000000009</v>
      </c>
      <c r="J1579" s="3">
        <f t="shared" si="107"/>
        <v>2021</v>
      </c>
    </row>
    <row r="1580" spans="1:10" s="9" customFormat="1" hidden="1" x14ac:dyDescent="0.25">
      <c r="A1580" s="447">
        <v>44445</v>
      </c>
      <c r="B1580" s="55" t="str">
        <f t="shared" si="104"/>
        <v>SETIEMBRE</v>
      </c>
      <c r="C1580" s="55">
        <f t="shared" si="105"/>
        <v>37</v>
      </c>
      <c r="D1580" s="3" t="str">
        <f t="shared" si="106"/>
        <v>LUNES</v>
      </c>
      <c r="E1580" s="427">
        <v>251406</v>
      </c>
      <c r="F1580" s="3" t="str">
        <f>IFERROR(VLOOKUP(E1580,BD!$L$2:$Q$66,2,0),0)</f>
        <v>COCA-COLA SIN AZUCAR PET 1.5LX2</v>
      </c>
      <c r="G1580" s="425">
        <v>864</v>
      </c>
      <c r="H1580" s="3">
        <f>+IFERROR(VLOOKUP(E1580,BD!$L$2:$Q$66,6,0),0)</f>
        <v>198</v>
      </c>
      <c r="I1580" s="96">
        <f>IFERROR(G1580*VLOOKUP($E1580,BD!$L$2:$Q$66,5,0),0)</f>
        <v>146.88000000000002</v>
      </c>
      <c r="J1580" s="3">
        <f t="shared" si="107"/>
        <v>2021</v>
      </c>
    </row>
    <row r="1581" spans="1:10" s="9" customFormat="1" hidden="1" x14ac:dyDescent="0.25">
      <c r="A1581" s="447">
        <v>44445</v>
      </c>
      <c r="B1581" s="55" t="str">
        <f t="shared" si="104"/>
        <v>SETIEMBRE</v>
      </c>
      <c r="C1581" s="55">
        <f t="shared" si="105"/>
        <v>37</v>
      </c>
      <c r="D1581" s="3" t="str">
        <f t="shared" si="106"/>
        <v>LUNES</v>
      </c>
      <c r="E1581" s="427">
        <v>256680</v>
      </c>
      <c r="F1581" s="3" t="str">
        <f>IFERROR(VLOOKUP(E1581,BD!$L$2:$Q$66,2,0),0)</f>
        <v>TRIPACK CC+CC+IK PFM 3LX3 - RFNN</v>
      </c>
      <c r="G1581" s="424">
        <v>450</v>
      </c>
      <c r="H1581" s="3">
        <f>+IFERROR(VLOOKUP(E1581,BD!$L$2:$Q$66,6,0),0)</f>
        <v>90</v>
      </c>
      <c r="I1581" s="96">
        <f>IFERROR(G1581*VLOOKUP($E1581,BD!$L$2:$Q$66,5,0),0)</f>
        <v>76.5</v>
      </c>
      <c r="J1581" s="3">
        <f t="shared" si="107"/>
        <v>2021</v>
      </c>
    </row>
    <row r="1582" spans="1:10" s="9" customFormat="1" hidden="1" x14ac:dyDescent="0.25">
      <c r="A1582" s="447">
        <v>44445</v>
      </c>
      <c r="B1582" s="55" t="str">
        <f t="shared" si="104"/>
        <v>SETIEMBRE</v>
      </c>
      <c r="C1582" s="55">
        <f t="shared" si="105"/>
        <v>37</v>
      </c>
      <c r="D1582" s="3" t="str">
        <f t="shared" si="106"/>
        <v>LUNES</v>
      </c>
      <c r="E1582" s="427">
        <v>256678</v>
      </c>
      <c r="F1582" s="3" t="str">
        <f>IFERROR(VLOOKUP(E1582,BD!$L$2:$Q$66,2,0),0)</f>
        <v>TRIPACK (CC+IK)PFM+FT PET 3LX3 - RFNN</v>
      </c>
      <c r="G1582" s="424">
        <v>1260</v>
      </c>
      <c r="H1582" s="3">
        <f>+IFERROR(VLOOKUP(E1582,BD!$L$2:$Q$66,6,0),0)</f>
        <v>90</v>
      </c>
      <c r="I1582" s="96">
        <f>IFERROR(G1582*VLOOKUP($E1582,BD!$L$2:$Q$66,5,0),0)</f>
        <v>214.20000000000002</v>
      </c>
      <c r="J1582" s="3">
        <f t="shared" si="107"/>
        <v>2021</v>
      </c>
    </row>
    <row r="1583" spans="1:10" s="9" customFormat="1" hidden="1" x14ac:dyDescent="0.25">
      <c r="A1583" s="447">
        <v>44445</v>
      </c>
      <c r="B1583" s="55" t="str">
        <f t="shared" si="104"/>
        <v>SETIEMBRE</v>
      </c>
      <c r="C1583" s="55">
        <f t="shared" si="105"/>
        <v>37</v>
      </c>
      <c r="D1583" s="3" t="str">
        <f t="shared" si="106"/>
        <v>LUNES</v>
      </c>
      <c r="E1583" s="427">
        <v>256682</v>
      </c>
      <c r="F1583" s="3" t="str">
        <f>IFERROR(VLOOKUP(E1583,BD!$L$2:$Q$66,2,0),0)</f>
        <v>TRIPACK (FT NAR+SP)PET+IK RF PFM 3L</v>
      </c>
      <c r="G1583" s="424">
        <v>180</v>
      </c>
      <c r="H1583" s="3">
        <f>+IFERROR(VLOOKUP(E1583,BD!$L$2:$Q$66,6,0),0)</f>
        <v>90</v>
      </c>
      <c r="I1583" s="96">
        <f>IFERROR(G1583*VLOOKUP($E1583,BD!$L$2:$Q$66,5,0),0)</f>
        <v>30.6</v>
      </c>
      <c r="J1583" s="3">
        <f t="shared" si="107"/>
        <v>2021</v>
      </c>
    </row>
    <row r="1584" spans="1:10" s="9" customFormat="1" hidden="1" x14ac:dyDescent="0.25">
      <c r="A1584" s="447">
        <v>44445</v>
      </c>
      <c r="B1584" s="55" t="str">
        <f t="shared" si="104"/>
        <v>SETIEMBRE</v>
      </c>
      <c r="C1584" s="55">
        <f t="shared" si="105"/>
        <v>37</v>
      </c>
      <c r="D1584" s="3" t="str">
        <f t="shared" si="106"/>
        <v>LUNES</v>
      </c>
      <c r="E1584" s="427">
        <v>256677</v>
      </c>
      <c r="F1584" s="3" t="str">
        <f>IFERROR(VLOOKUP(E1584,BD!$L$2:$Q$66,2,0),0)</f>
        <v>TWO PACK CC + IK PFM 3LX2 - RFNN</v>
      </c>
      <c r="G1584" s="424">
        <v>720</v>
      </c>
      <c r="H1584" s="3">
        <f>+IFERROR(VLOOKUP(E1584,BD!$L$2:$Q$66,6,0),0)</f>
        <v>120</v>
      </c>
      <c r="I1584" s="96">
        <f>IFERROR(G1584*VLOOKUP($E1584,BD!$L$2:$Q$66,5,0),0)</f>
        <v>122.4</v>
      </c>
      <c r="J1584" s="3">
        <f t="shared" si="107"/>
        <v>2021</v>
      </c>
    </row>
    <row r="1585" spans="1:10" s="9" customFormat="1" hidden="1" x14ac:dyDescent="0.25">
      <c r="A1585" s="447">
        <v>44445</v>
      </c>
      <c r="B1585" s="55" t="str">
        <f t="shared" si="104"/>
        <v>SETIEMBRE</v>
      </c>
      <c r="C1585" s="55">
        <f t="shared" si="105"/>
        <v>37</v>
      </c>
      <c r="D1585" s="3" t="str">
        <f t="shared" si="106"/>
        <v>LUNES</v>
      </c>
      <c r="E1585" s="427">
        <v>256617</v>
      </c>
      <c r="F1585" s="3" t="str">
        <f>IFERROR(VLOOKUP(E1585,BD!$L$2:$Q$66,2,0),0)</f>
        <v>TWO PACK SCHWEPPES GINGER ALE PET 1.5LX2</v>
      </c>
      <c r="G1585" s="424">
        <v>1188</v>
      </c>
      <c r="H1585" s="3">
        <f>+IFERROR(VLOOKUP(E1585,BD!$L$2:$Q$66,6,0),0)</f>
        <v>198</v>
      </c>
      <c r="I1585" s="96">
        <f>IFERROR(G1585*VLOOKUP($E1585,BD!$L$2:$Q$66,5,0),0)</f>
        <v>201.96</v>
      </c>
      <c r="J1585" s="3">
        <f t="shared" si="107"/>
        <v>2021</v>
      </c>
    </row>
    <row r="1586" spans="1:10" s="9" customFormat="1" hidden="1" x14ac:dyDescent="0.25">
      <c r="A1586" s="447">
        <v>44445</v>
      </c>
      <c r="B1586" s="55" t="str">
        <f t="shared" si="104"/>
        <v>SETIEMBRE</v>
      </c>
      <c r="C1586" s="55">
        <f t="shared" si="105"/>
        <v>37</v>
      </c>
      <c r="D1586" s="3" t="str">
        <f t="shared" si="106"/>
        <v>LUNES</v>
      </c>
      <c r="E1586" s="427">
        <v>256666</v>
      </c>
      <c r="F1586" s="3" t="str">
        <f>IFERROR(VLOOKUP(E1586,BD!$L$2:$Q$66,2,0),0)</f>
        <v>COCA-COLA PET 2.25LX2 RF</v>
      </c>
      <c r="G1586" s="425">
        <v>648</v>
      </c>
      <c r="H1586" s="3">
        <f>+IFERROR(VLOOKUP(E1586,BD!$L$2:$Q$66,6,0),0)</f>
        <v>162</v>
      </c>
      <c r="I1586" s="96">
        <f>IFERROR(G1586*VLOOKUP($E1586,BD!$L$2:$Q$66,5,0),0)</f>
        <v>110.16000000000001</v>
      </c>
      <c r="J1586" s="3">
        <f t="shared" si="107"/>
        <v>2021</v>
      </c>
    </row>
    <row r="1587" spans="1:10" s="9" customFormat="1" hidden="1" x14ac:dyDescent="0.25">
      <c r="A1587" s="447">
        <v>44445</v>
      </c>
      <c r="B1587" s="55" t="str">
        <f t="shared" si="104"/>
        <v>SETIEMBRE</v>
      </c>
      <c r="C1587" s="55">
        <f t="shared" si="105"/>
        <v>37</v>
      </c>
      <c r="D1587" s="3" t="str">
        <f t="shared" si="106"/>
        <v>LUNES</v>
      </c>
      <c r="E1587" s="427">
        <v>251633</v>
      </c>
      <c r="F1587" s="3" t="str">
        <f>IFERROR(VLOOKUP(E1587,BD!$L$2:$Q$66,2,0),0)</f>
        <v>SAN LUIS CON GAS PET 625MLX6</v>
      </c>
      <c r="G1587" s="424">
        <v>180</v>
      </c>
      <c r="H1587" s="3">
        <f>+IFERROR(VLOOKUP(E1587,BD!$L$2:$Q$66,6,0),0)</f>
        <v>180</v>
      </c>
      <c r="I1587" s="96">
        <f>IFERROR(G1587*VLOOKUP($E1587,BD!$L$2:$Q$66,5,0),0)</f>
        <v>75.599999999999994</v>
      </c>
      <c r="J1587" s="3">
        <f t="shared" si="107"/>
        <v>2021</v>
      </c>
    </row>
    <row r="1588" spans="1:10" s="9" customFormat="1" hidden="1" x14ac:dyDescent="0.25">
      <c r="A1588" s="447">
        <v>44445</v>
      </c>
      <c r="B1588" s="55" t="str">
        <f t="shared" si="104"/>
        <v>SETIEMBRE</v>
      </c>
      <c r="C1588" s="55">
        <f t="shared" si="105"/>
        <v>37</v>
      </c>
      <c r="D1588" s="3" t="str">
        <f t="shared" si="106"/>
        <v>LUNES</v>
      </c>
      <c r="E1588" s="427">
        <v>251429</v>
      </c>
      <c r="F1588" s="3" t="str">
        <f>IFERROR(VLOOKUP(E1588,BD!$L$2:$Q$66,2,0),0)</f>
        <v>SAN LUIS SIN GAS PET2500X6 STICKER</v>
      </c>
      <c r="G1588" s="424">
        <v>144</v>
      </c>
      <c r="H1588" s="3">
        <f>+IFERROR(VLOOKUP(E1588,BD!$L$2:$Q$66,6,0),0)</f>
        <v>48</v>
      </c>
      <c r="I1588" s="96">
        <f>IFERROR(G1588*VLOOKUP($E1588,BD!$L$2:$Q$66,5,0),0)</f>
        <v>57.6</v>
      </c>
      <c r="J1588" s="3">
        <f t="shared" si="107"/>
        <v>2021</v>
      </c>
    </row>
    <row r="1589" spans="1:10" s="9" customFormat="1" hidden="1" x14ac:dyDescent="0.25">
      <c r="A1589" s="447">
        <v>44445</v>
      </c>
      <c r="B1589" s="55" t="str">
        <f t="shared" si="104"/>
        <v>SETIEMBRE</v>
      </c>
      <c r="C1589" s="55">
        <f t="shared" si="105"/>
        <v>37</v>
      </c>
      <c r="D1589" s="3" t="str">
        <f t="shared" si="106"/>
        <v>LUNES</v>
      </c>
      <c r="E1589" s="427">
        <v>751544</v>
      </c>
      <c r="F1589" s="3" t="str">
        <f>IFERROR(VLOOKUP(E1589,BD!$L$2:$Q$66,2,0),0)</f>
        <v>MONSTER ENERGY ZERO 473MLX4</v>
      </c>
      <c r="G1589" s="424">
        <v>420</v>
      </c>
      <c r="H1589" s="3">
        <f>+IFERROR(VLOOKUP(E1589,BD!$L$2:$Q$66,6,0),0)</f>
        <v>420</v>
      </c>
      <c r="I1589" s="96">
        <f>IFERROR(G1589*VLOOKUP($E1589,BD!$L$2:$Q$66,5,0),0)</f>
        <v>176.4</v>
      </c>
      <c r="J1589" s="3">
        <f t="shared" si="107"/>
        <v>2021</v>
      </c>
    </row>
    <row r="1590" spans="1:10" s="9" customFormat="1" hidden="1" x14ac:dyDescent="0.25">
      <c r="A1590" s="447">
        <v>44445</v>
      </c>
      <c r="B1590" s="55" t="str">
        <f t="shared" si="104"/>
        <v>SETIEMBRE</v>
      </c>
      <c r="C1590" s="55">
        <f t="shared" si="105"/>
        <v>37</v>
      </c>
      <c r="D1590" s="3" t="str">
        <f t="shared" si="106"/>
        <v>LUNES</v>
      </c>
      <c r="E1590" s="427">
        <v>256709</v>
      </c>
      <c r="F1590" s="3" t="str">
        <f>IFERROR(VLOOKUP(E1590,BD!$L$2:$Q$66,2,0),0)</f>
        <v>POWERADE ION4 MORA AZ PET473X6 MOD(STCK)</v>
      </c>
      <c r="G1590" s="424">
        <v>225</v>
      </c>
      <c r="H1590" s="3">
        <f>+IFERROR(VLOOKUP(E1590,BD!$L$2:$Q$66,6,0),0)</f>
        <v>225</v>
      </c>
      <c r="I1590" s="96">
        <f>IFERROR(G1590*VLOOKUP($E1590,BD!$L$2:$Q$66,5,0),0)</f>
        <v>90</v>
      </c>
      <c r="J1590" s="3">
        <f t="shared" si="107"/>
        <v>2021</v>
      </c>
    </row>
    <row r="1591" spans="1:10" s="9" customFormat="1" hidden="1" x14ac:dyDescent="0.25">
      <c r="A1591" s="447">
        <v>44445</v>
      </c>
      <c r="B1591" s="55" t="str">
        <f t="shared" si="104"/>
        <v>SETIEMBRE</v>
      </c>
      <c r="C1591" s="55">
        <f t="shared" si="105"/>
        <v>37</v>
      </c>
      <c r="D1591" s="3" t="str">
        <f t="shared" si="106"/>
        <v>LUNES</v>
      </c>
      <c r="E1591" s="427">
        <v>256381</v>
      </c>
      <c r="F1591" s="3" t="str">
        <f>IFERROR(VLOOKUP(E1591,BD!$L$2:$Q$66,2,0),0)</f>
        <v>INCA KOLA VR 1.5LX8 - STICKER</v>
      </c>
      <c r="G1591" s="424">
        <v>30</v>
      </c>
      <c r="H1591" s="3">
        <f>+IFERROR(VLOOKUP(E1591,BD!$L$2:$Q$66,6,0),0)</f>
        <v>30</v>
      </c>
      <c r="I1591" s="96">
        <f>IFERROR(G1591*VLOOKUP($E1591,BD!$L$2:$Q$66,5,0),0)</f>
        <v>12</v>
      </c>
      <c r="J1591" s="3">
        <f t="shared" si="107"/>
        <v>2021</v>
      </c>
    </row>
    <row r="1592" spans="1:10" s="9" customFormat="1" hidden="1" x14ac:dyDescent="0.25">
      <c r="A1592" s="447">
        <v>44445</v>
      </c>
      <c r="B1592" s="55" t="str">
        <f t="shared" si="104"/>
        <v>SETIEMBRE</v>
      </c>
      <c r="C1592" s="55">
        <f t="shared" si="105"/>
        <v>37</v>
      </c>
      <c r="D1592" s="3" t="str">
        <f t="shared" si="106"/>
        <v>LUNES</v>
      </c>
      <c r="E1592" s="427">
        <v>256383</v>
      </c>
      <c r="F1592" s="3" t="str">
        <f>IFERROR(VLOOKUP(E1592,BD!$L$2:$Q$66,2,0),0)</f>
        <v>COCA COLA VR 1.5LX8 - STICKER</v>
      </c>
      <c r="G1592" s="424">
        <v>60</v>
      </c>
      <c r="H1592" s="3">
        <f>+IFERROR(VLOOKUP(E1592,BD!$L$2:$Q$66,6,0),0)</f>
        <v>30</v>
      </c>
      <c r="I1592" s="96">
        <f>IFERROR(G1592*VLOOKUP($E1592,BD!$L$2:$Q$66,5,0),0)</f>
        <v>13.8</v>
      </c>
      <c r="J1592" s="3">
        <f t="shared" si="107"/>
        <v>2021</v>
      </c>
    </row>
    <row r="1593" spans="1:10" s="9" customFormat="1" hidden="1" x14ac:dyDescent="0.25">
      <c r="A1593" s="447">
        <v>44445</v>
      </c>
      <c r="B1593" s="55" t="str">
        <f t="shared" si="104"/>
        <v>SETIEMBRE</v>
      </c>
      <c r="C1593" s="55">
        <f t="shared" si="105"/>
        <v>37</v>
      </c>
      <c r="D1593" s="3" t="str">
        <f t="shared" si="106"/>
        <v>LUNES</v>
      </c>
      <c r="E1593" s="427">
        <v>254853</v>
      </c>
      <c r="F1593" s="3" t="str">
        <f>IFERROR(VLOOKUP(E1593,BD!$L$2:$Q$66,2,0),0)</f>
        <v>INCA KOLA SIN AZUCAR PET 1.5LX2</v>
      </c>
      <c r="G1593" s="424">
        <v>1296</v>
      </c>
      <c r="H1593" s="3">
        <f>+IFERROR(VLOOKUP(E1593,BD!$L$2:$Q$66,6,0),0)</f>
        <v>198</v>
      </c>
      <c r="I1593" s="96">
        <f>IFERROR(G1593*VLOOKUP($E1593,BD!$L$2:$Q$66,5,0),0)</f>
        <v>220.32000000000002</v>
      </c>
      <c r="J1593" s="3">
        <f t="shared" si="107"/>
        <v>2021</v>
      </c>
    </row>
    <row r="1594" spans="1:10" s="9" customFormat="1" hidden="1" x14ac:dyDescent="0.25">
      <c r="A1594" s="447">
        <v>44445</v>
      </c>
      <c r="B1594" s="55" t="str">
        <f t="shared" si="104"/>
        <v>SETIEMBRE</v>
      </c>
      <c r="C1594" s="55">
        <f t="shared" si="105"/>
        <v>37</v>
      </c>
      <c r="D1594" s="3" t="str">
        <f t="shared" si="106"/>
        <v>LUNES</v>
      </c>
      <c r="E1594" s="427">
        <v>256674</v>
      </c>
      <c r="F1594" s="3" t="str">
        <f>IFERROR(VLOOKUP(E1594,BD!$L$2:$Q$66,2,0),0)</f>
        <v>COCA-COLA PET 1.5LX2 RF</v>
      </c>
      <c r="G1594" s="424">
        <v>864</v>
      </c>
      <c r="H1594" s="3">
        <f>+IFERROR(VLOOKUP(E1594,BD!$L$2:$Q$66,6,0),0)</f>
        <v>198</v>
      </c>
      <c r="I1594" s="96">
        <f>IFERROR(G1594*VLOOKUP($E1594,BD!$L$2:$Q$66,5,0),0)</f>
        <v>146.88000000000002</v>
      </c>
      <c r="J1594" s="3">
        <f t="shared" si="107"/>
        <v>2021</v>
      </c>
    </row>
    <row r="1595" spans="1:10" s="9" customFormat="1" hidden="1" x14ac:dyDescent="0.25">
      <c r="A1595" s="447">
        <v>44445</v>
      </c>
      <c r="B1595" s="55" t="str">
        <f t="shared" ref="B1595:B1658" si="108">UPPER(TEXT(A1595,"MMMM"))</f>
        <v>SETIEMBRE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7">
        <v>256616</v>
      </c>
      <c r="F1595" s="3" t="str">
        <f>IFERROR(VLOOKUP(E1595,BD!$L$2:$Q$66,2,0),0)</f>
        <v>TWO PACK SCHWEPPES CITRUS PET 1.5LX2</v>
      </c>
      <c r="G1595" s="424">
        <v>792</v>
      </c>
      <c r="H1595" s="3">
        <f>+IFERROR(VLOOKUP(E1595,BD!$L$2:$Q$66,6,0),0)</f>
        <v>198</v>
      </c>
      <c r="I1595" s="96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hidden="1" x14ac:dyDescent="0.25">
      <c r="A1596" s="447">
        <v>44445</v>
      </c>
      <c r="B1596" s="55" t="str">
        <f t="shared" si="108"/>
        <v>SETIEMBRE</v>
      </c>
      <c r="C1596" s="55">
        <f t="shared" si="109"/>
        <v>37</v>
      </c>
      <c r="D1596" s="3" t="str">
        <f t="shared" si="110"/>
        <v>LUNES</v>
      </c>
      <c r="E1596" s="427">
        <v>256737</v>
      </c>
      <c r="F1596" s="3" t="str">
        <f>IFERROR(VLOOKUP(E1596,BD!$L$2:$Q$66,2,0),0)</f>
        <v>INCA KOLA SA ALUMINIO-3 DISEÑOS 330MLX12</v>
      </c>
      <c r="G1596" s="424">
        <v>250</v>
      </c>
      <c r="H1596" s="3">
        <f>+IFERROR(VLOOKUP(E1596,BD!$L$2:$Q$66,6,0),0)</f>
        <v>420</v>
      </c>
      <c r="I1596" s="96">
        <f>IFERROR(G1596*VLOOKUP($E1596,BD!$L$2:$Q$66,5,0),0)</f>
        <v>105</v>
      </c>
      <c r="J1596" s="3">
        <f t="shared" si="111"/>
        <v>2021</v>
      </c>
    </row>
    <row r="1597" spans="1:10" s="9" customFormat="1" hidden="1" x14ac:dyDescent="0.25">
      <c r="A1597" s="447">
        <v>44446</v>
      </c>
      <c r="B1597" s="55" t="str">
        <f t="shared" si="108"/>
        <v>SETIEMBRE</v>
      </c>
      <c r="C1597" s="55">
        <f t="shared" si="109"/>
        <v>37</v>
      </c>
      <c r="D1597" s="3" t="str">
        <f t="shared" si="110"/>
        <v>MARTES</v>
      </c>
      <c r="E1597" s="427">
        <v>256680</v>
      </c>
      <c r="F1597" s="3" t="str">
        <f>IFERROR(VLOOKUP(E1597,BD!$L$2:$Q$66,2,0),0)</f>
        <v>TRIPACK CC+CC+IK PFM 3LX3 - RFNN</v>
      </c>
      <c r="G1597" s="424">
        <v>450</v>
      </c>
      <c r="H1597" s="3">
        <f>+IFERROR(VLOOKUP(E1597,BD!$L$2:$Q$66,6,0),0)</f>
        <v>90</v>
      </c>
      <c r="I1597" s="96">
        <f>IFERROR(G1597*VLOOKUP($E1597,BD!$L$2:$Q$66,5,0),0)</f>
        <v>76.5</v>
      </c>
      <c r="J1597" s="3">
        <f t="shared" si="111"/>
        <v>2021</v>
      </c>
    </row>
    <row r="1598" spans="1:10" s="9" customFormat="1" hidden="1" x14ac:dyDescent="0.25">
      <c r="A1598" s="447">
        <v>44446</v>
      </c>
      <c r="B1598" s="55" t="str">
        <f t="shared" si="108"/>
        <v>SETIEMBRE</v>
      </c>
      <c r="C1598" s="55">
        <f t="shared" si="109"/>
        <v>37</v>
      </c>
      <c r="D1598" s="3" t="str">
        <f t="shared" si="110"/>
        <v>MARTES</v>
      </c>
      <c r="E1598" s="427">
        <v>256678</v>
      </c>
      <c r="F1598" s="3" t="str">
        <f>IFERROR(VLOOKUP(E1598,BD!$L$2:$Q$66,2,0),0)</f>
        <v>TRIPACK (CC+IK)PFM+FT PET 3LX3 - RFNN</v>
      </c>
      <c r="G1598" s="424">
        <v>720</v>
      </c>
      <c r="H1598" s="3">
        <f>+IFERROR(VLOOKUP(E1598,BD!$L$2:$Q$66,6,0),0)</f>
        <v>90</v>
      </c>
      <c r="I1598" s="96">
        <f>IFERROR(G1598*VLOOKUP($E1598,BD!$L$2:$Q$66,5,0),0)</f>
        <v>122.4</v>
      </c>
      <c r="J1598" s="3">
        <f t="shared" si="111"/>
        <v>2021</v>
      </c>
    </row>
    <row r="1599" spans="1:10" s="9" customFormat="1" hidden="1" x14ac:dyDescent="0.25">
      <c r="A1599" s="447">
        <v>44446</v>
      </c>
      <c r="B1599" s="55" t="str">
        <f t="shared" si="108"/>
        <v>SETIEMBRE</v>
      </c>
      <c r="C1599" s="55">
        <f t="shared" si="109"/>
        <v>37</v>
      </c>
      <c r="D1599" s="3" t="str">
        <f t="shared" si="110"/>
        <v>MARTES</v>
      </c>
      <c r="E1599" s="427">
        <v>256677</v>
      </c>
      <c r="F1599" s="3" t="str">
        <f>IFERROR(VLOOKUP(E1599,BD!$L$2:$Q$66,2,0),0)</f>
        <v>TWO PACK CC + IK PFM 3LX2 - RFNN</v>
      </c>
      <c r="G1599" s="424">
        <v>720</v>
      </c>
      <c r="H1599" s="3">
        <f>+IFERROR(VLOOKUP(E1599,BD!$L$2:$Q$66,6,0),0)</f>
        <v>120</v>
      </c>
      <c r="I1599" s="96">
        <f>IFERROR(G1599*VLOOKUP($E1599,BD!$L$2:$Q$66,5,0),0)</f>
        <v>122.4</v>
      </c>
      <c r="J1599" s="3">
        <f t="shared" si="111"/>
        <v>2021</v>
      </c>
    </row>
    <row r="1600" spans="1:10" s="9" customFormat="1" hidden="1" x14ac:dyDescent="0.25">
      <c r="A1600" s="447">
        <v>44446</v>
      </c>
      <c r="B1600" s="55" t="str">
        <f t="shared" si="108"/>
        <v>SETIEMBRE</v>
      </c>
      <c r="C1600" s="55">
        <f t="shared" si="109"/>
        <v>37</v>
      </c>
      <c r="D1600" s="3" t="str">
        <f t="shared" si="110"/>
        <v>MARTES</v>
      </c>
      <c r="E1600" s="427">
        <v>256676</v>
      </c>
      <c r="F1600" s="3" t="str">
        <f>IFERROR(VLOOKUP(E1600,BD!$L$2:$Q$66,2,0),0)</f>
        <v>TWO PACK CC PFM 3LX2 - RFCC</v>
      </c>
      <c r="G1600" s="424">
        <v>240</v>
      </c>
      <c r="H1600" s="3">
        <f>+IFERROR(VLOOKUP(E1600,BD!$L$2:$Q$66,6,0),0)</f>
        <v>120</v>
      </c>
      <c r="I1600" s="96">
        <f>IFERROR(G1600*VLOOKUP($E1600,BD!$L$2:$Q$66,5,0),0)</f>
        <v>40.800000000000004</v>
      </c>
      <c r="J1600" s="3">
        <f t="shared" si="111"/>
        <v>2021</v>
      </c>
    </row>
    <row r="1601" spans="1:10" s="9" customFormat="1" hidden="1" x14ac:dyDescent="0.25">
      <c r="A1601" s="447">
        <v>44446</v>
      </c>
      <c r="B1601" s="55" t="str">
        <f t="shared" si="108"/>
        <v>SETIEMBRE</v>
      </c>
      <c r="C1601" s="55">
        <f t="shared" si="109"/>
        <v>37</v>
      </c>
      <c r="D1601" s="3" t="str">
        <f t="shared" si="110"/>
        <v>MARTES</v>
      </c>
      <c r="E1601" s="427">
        <v>254853</v>
      </c>
      <c r="F1601" s="3" t="str">
        <f>IFERROR(VLOOKUP(E1601,BD!$L$2:$Q$66,2,0),0)</f>
        <v>INCA KOLA SIN AZUCAR PET 1.5LX2</v>
      </c>
      <c r="G1601" s="424">
        <v>864</v>
      </c>
      <c r="H1601" s="3">
        <f>+IFERROR(VLOOKUP(E1601,BD!$L$2:$Q$66,6,0),0)</f>
        <v>198</v>
      </c>
      <c r="I1601" s="96">
        <f>IFERROR(G1601*VLOOKUP($E1601,BD!$L$2:$Q$66,5,0),0)</f>
        <v>146.88000000000002</v>
      </c>
      <c r="J1601" s="3">
        <f t="shared" si="111"/>
        <v>2021</v>
      </c>
    </row>
    <row r="1602" spans="1:10" s="9" customFormat="1" hidden="1" x14ac:dyDescent="0.25">
      <c r="A1602" s="447">
        <v>44446</v>
      </c>
      <c r="B1602" s="55" t="str">
        <f t="shared" si="108"/>
        <v>SETIEMBRE</v>
      </c>
      <c r="C1602" s="55">
        <f t="shared" si="109"/>
        <v>37</v>
      </c>
      <c r="D1602" s="3" t="str">
        <f t="shared" si="110"/>
        <v>MARTES</v>
      </c>
      <c r="E1602" s="427">
        <v>256488</v>
      </c>
      <c r="F1602" s="3" t="str">
        <f>IFERROR(VLOOKUP(E1602,BD!$L$2:$Q$66,2,0),0)</f>
        <v>INCA KOLA PET 3LX2 - RF</v>
      </c>
      <c r="G1602" s="424">
        <v>480</v>
      </c>
      <c r="H1602" s="3">
        <f>+IFERROR(VLOOKUP(E1602,BD!$L$2:$Q$66,6,0),0)</f>
        <v>120</v>
      </c>
      <c r="I1602" s="96">
        <f>IFERROR(G1602*VLOOKUP($E1602,BD!$L$2:$Q$66,5,0),0)</f>
        <v>81.600000000000009</v>
      </c>
      <c r="J1602" s="3">
        <f t="shared" si="111"/>
        <v>2021</v>
      </c>
    </row>
    <row r="1603" spans="1:10" s="9" customFormat="1" hidden="1" x14ac:dyDescent="0.25">
      <c r="A1603" s="447">
        <v>44446</v>
      </c>
      <c r="B1603" s="55" t="str">
        <f t="shared" si="108"/>
        <v>SETIEMBRE</v>
      </c>
      <c r="C1603" s="55">
        <f t="shared" si="109"/>
        <v>37</v>
      </c>
      <c r="D1603" s="3" t="str">
        <f t="shared" si="110"/>
        <v>MARTES</v>
      </c>
      <c r="E1603" s="427">
        <v>256616</v>
      </c>
      <c r="F1603" s="3" t="str">
        <f>IFERROR(VLOOKUP(E1603,BD!$L$2:$Q$66,2,0),0)</f>
        <v>TWO PACK SCHWEPPES CITRUS PET 1.5LX2</v>
      </c>
      <c r="G1603" s="424">
        <v>1188</v>
      </c>
      <c r="H1603" s="3">
        <f>+IFERROR(VLOOKUP(E1603,BD!$L$2:$Q$66,6,0),0)</f>
        <v>198</v>
      </c>
      <c r="I1603" s="96">
        <f>IFERROR(G1603*VLOOKUP($E1603,BD!$L$2:$Q$66,5,0),0)</f>
        <v>201.96</v>
      </c>
      <c r="J1603" s="3">
        <f t="shared" si="111"/>
        <v>2021</v>
      </c>
    </row>
    <row r="1604" spans="1:10" s="9" customFormat="1" hidden="1" x14ac:dyDescent="0.25">
      <c r="A1604" s="447">
        <v>44446</v>
      </c>
      <c r="B1604" s="55" t="str">
        <f t="shared" si="108"/>
        <v>SETIEMBRE</v>
      </c>
      <c r="C1604" s="55">
        <f t="shared" si="109"/>
        <v>37</v>
      </c>
      <c r="D1604" s="3" t="str">
        <f t="shared" si="110"/>
        <v>MARTES</v>
      </c>
      <c r="E1604" s="427">
        <v>256617</v>
      </c>
      <c r="F1604" s="3" t="str">
        <f>IFERROR(VLOOKUP(E1604,BD!$L$2:$Q$66,2,0),0)</f>
        <v>TWO PACK SCHWEPPES GINGER ALE PET 1.5LX2</v>
      </c>
      <c r="G1604" s="424">
        <v>792</v>
      </c>
      <c r="H1604" s="3">
        <f>+IFERROR(VLOOKUP(E1604,BD!$L$2:$Q$66,6,0),0)</f>
        <v>198</v>
      </c>
      <c r="I1604" s="96">
        <f>IFERROR(G1604*VLOOKUP($E1604,BD!$L$2:$Q$66,5,0),0)</f>
        <v>134.64000000000001</v>
      </c>
      <c r="J1604" s="3">
        <f t="shared" si="111"/>
        <v>2021</v>
      </c>
    </row>
    <row r="1605" spans="1:10" s="9" customFormat="1" hidden="1" x14ac:dyDescent="0.25">
      <c r="A1605" s="447">
        <v>44446</v>
      </c>
      <c r="B1605" s="55" t="str">
        <f t="shared" si="108"/>
        <v>SETIEMBRE</v>
      </c>
      <c r="C1605" s="55">
        <f t="shared" si="109"/>
        <v>37</v>
      </c>
      <c r="D1605" s="3" t="str">
        <f t="shared" si="110"/>
        <v>MARTES</v>
      </c>
      <c r="E1605" s="427">
        <v>256674</v>
      </c>
      <c r="F1605" s="3" t="str">
        <f>IFERROR(VLOOKUP(E1605,BD!$L$2:$Q$66,2,0),0)</f>
        <v>COCA-COLA PET 1.5LX2 RF</v>
      </c>
      <c r="G1605" s="424">
        <v>864</v>
      </c>
      <c r="H1605" s="3">
        <f>+IFERROR(VLOOKUP(E1605,BD!$L$2:$Q$66,6,0),0)</f>
        <v>198</v>
      </c>
      <c r="I1605" s="96">
        <f>IFERROR(G1605*VLOOKUP($E1605,BD!$L$2:$Q$66,5,0),0)</f>
        <v>146.88000000000002</v>
      </c>
      <c r="J1605" s="3">
        <f t="shared" si="111"/>
        <v>2021</v>
      </c>
    </row>
    <row r="1606" spans="1:10" s="9" customFormat="1" hidden="1" x14ac:dyDescent="0.25">
      <c r="A1606" s="447">
        <v>44446</v>
      </c>
      <c r="B1606" s="55" t="str">
        <f t="shared" si="108"/>
        <v>SETIEMBRE</v>
      </c>
      <c r="C1606" s="55">
        <f t="shared" si="109"/>
        <v>37</v>
      </c>
      <c r="D1606" s="3" t="str">
        <f t="shared" si="110"/>
        <v>MARTES</v>
      </c>
      <c r="E1606" s="427">
        <v>256675</v>
      </c>
      <c r="F1606" s="3" t="str">
        <f>IFERROR(VLOOKUP(E1606,BD!$L$2:$Q$66,2,0),0)</f>
        <v>INCA KOLA PET 1.5LX2 RF</v>
      </c>
      <c r="G1606" s="424">
        <v>864</v>
      </c>
      <c r="H1606" s="3">
        <f>+IFERROR(VLOOKUP(E1606,BD!$L$2:$Q$66,6,0),0)</f>
        <v>198</v>
      </c>
      <c r="I1606" s="96">
        <f>IFERROR(G1606*VLOOKUP($E1606,BD!$L$2:$Q$66,5,0),0)</f>
        <v>146.88000000000002</v>
      </c>
      <c r="J1606" s="3">
        <f t="shared" si="111"/>
        <v>2021</v>
      </c>
    </row>
    <row r="1607" spans="1:10" s="9" customFormat="1" hidden="1" x14ac:dyDescent="0.25">
      <c r="A1607" s="447">
        <v>44446</v>
      </c>
      <c r="B1607" s="55" t="str">
        <f t="shared" si="108"/>
        <v>SETIEMBRE</v>
      </c>
      <c r="C1607" s="55">
        <f t="shared" si="109"/>
        <v>37</v>
      </c>
      <c r="D1607" s="3" t="str">
        <f t="shared" si="110"/>
        <v>MARTES</v>
      </c>
      <c r="E1607" s="427">
        <v>251429</v>
      </c>
      <c r="F1607" s="3" t="str">
        <f>IFERROR(VLOOKUP(E1607,BD!$L$2:$Q$66,2,0),0)</f>
        <v>SAN LUIS SIN GAS PET2500X6 STICKER</v>
      </c>
      <c r="G1607" s="424">
        <v>624</v>
      </c>
      <c r="H1607" s="3">
        <f>+IFERROR(VLOOKUP(E1607,BD!$L$2:$Q$66,6,0),0)</f>
        <v>48</v>
      </c>
      <c r="I1607" s="96">
        <f>IFERROR(G1607*VLOOKUP($E1607,BD!$L$2:$Q$66,5,0),0)</f>
        <v>249.60000000000002</v>
      </c>
      <c r="J1607" s="3">
        <f t="shared" si="111"/>
        <v>2021</v>
      </c>
    </row>
    <row r="1608" spans="1:10" s="9" customFormat="1" hidden="1" x14ac:dyDescent="0.25">
      <c r="A1608" s="447">
        <v>44446</v>
      </c>
      <c r="B1608" s="55" t="str">
        <f t="shared" si="108"/>
        <v>SETIEMBRE</v>
      </c>
      <c r="C1608" s="55">
        <f t="shared" si="109"/>
        <v>37</v>
      </c>
      <c r="D1608" s="3" t="str">
        <f t="shared" si="110"/>
        <v>MARTES</v>
      </c>
      <c r="E1608" s="427">
        <v>251429</v>
      </c>
      <c r="F1608" s="3" t="str">
        <f>IFERROR(VLOOKUP(E1608,BD!$L$2:$Q$66,2,0),0)</f>
        <v>SAN LUIS SIN GAS PET2500X6 STICKER</v>
      </c>
      <c r="G1608" s="424">
        <v>48</v>
      </c>
      <c r="H1608" s="3">
        <f>+IFERROR(VLOOKUP(E1608,BD!$L$2:$Q$66,6,0),0)</f>
        <v>48</v>
      </c>
      <c r="I1608" s="96">
        <f>IFERROR(G1608*VLOOKUP($E1608,BD!$L$2:$Q$66,5,0),0)</f>
        <v>19.200000000000003</v>
      </c>
      <c r="J1608" s="3">
        <f t="shared" si="111"/>
        <v>2021</v>
      </c>
    </row>
    <row r="1609" spans="1:10" s="9" customFormat="1" hidden="1" x14ac:dyDescent="0.25">
      <c r="A1609" s="447">
        <v>44446</v>
      </c>
      <c r="B1609" s="55" t="str">
        <f t="shared" si="108"/>
        <v>SETIEMBRE</v>
      </c>
      <c r="C1609" s="55">
        <f t="shared" si="109"/>
        <v>37</v>
      </c>
      <c r="D1609" s="3" t="str">
        <f t="shared" si="110"/>
        <v>MARTES</v>
      </c>
      <c r="E1609" s="427">
        <v>256380</v>
      </c>
      <c r="F1609" s="3" t="str">
        <f>IFERROR(VLOOKUP(E1609,BD!$L$2:$Q$66,2,0),0)</f>
        <v>INCA KOLA VR 296MLX24 - STICKER</v>
      </c>
      <c r="G1609" s="424">
        <v>40</v>
      </c>
      <c r="H1609" s="3">
        <f>+IFERROR(VLOOKUP(E1609,BD!$L$2:$Q$66,6,0),0)</f>
        <v>40</v>
      </c>
      <c r="I1609" s="96">
        <f>IFERROR(G1609*VLOOKUP($E1609,BD!$L$2:$Q$66,5,0),0)</f>
        <v>9.2000000000000011</v>
      </c>
      <c r="J1609" s="3">
        <f t="shared" si="111"/>
        <v>2021</v>
      </c>
    </row>
    <row r="1610" spans="1:10" s="9" customFormat="1" hidden="1" x14ac:dyDescent="0.25">
      <c r="A1610" s="447">
        <v>44446</v>
      </c>
      <c r="B1610" s="55" t="str">
        <f t="shared" si="108"/>
        <v>SETIEMBRE</v>
      </c>
      <c r="C1610" s="55">
        <f t="shared" si="109"/>
        <v>37</v>
      </c>
      <c r="D1610" s="3" t="str">
        <f t="shared" si="110"/>
        <v>MARTES</v>
      </c>
      <c r="E1610" s="427">
        <v>256381</v>
      </c>
      <c r="F1610" s="3" t="str">
        <f>IFERROR(VLOOKUP(E1610,BD!$L$2:$Q$66,2,0),0)</f>
        <v>INCA KOLA VR 1.5LX8 - STICKER</v>
      </c>
      <c r="G1610" s="424">
        <v>60</v>
      </c>
      <c r="H1610" s="3">
        <f>+IFERROR(VLOOKUP(E1610,BD!$L$2:$Q$66,6,0),0)</f>
        <v>30</v>
      </c>
      <c r="I1610" s="96">
        <f>IFERROR(G1610*VLOOKUP($E1610,BD!$L$2:$Q$66,5,0),0)</f>
        <v>24</v>
      </c>
      <c r="J1610" s="3">
        <f t="shared" si="111"/>
        <v>2021</v>
      </c>
    </row>
    <row r="1611" spans="1:10" s="9" customFormat="1" hidden="1" x14ac:dyDescent="0.25">
      <c r="A1611" s="447">
        <v>44446</v>
      </c>
      <c r="B1611" s="55" t="str">
        <f t="shared" si="108"/>
        <v>SETIEMBRE</v>
      </c>
      <c r="C1611" s="55">
        <f t="shared" si="109"/>
        <v>37</v>
      </c>
      <c r="D1611" s="3" t="str">
        <f t="shared" si="110"/>
        <v>MARTES</v>
      </c>
      <c r="E1611" s="427">
        <v>256382</v>
      </c>
      <c r="F1611" s="3" t="str">
        <f>IFERROR(VLOOKUP(E1611,BD!$L$2:$Q$66,2,0),0)</f>
        <v>COCA COLA VR 296MLX24 - STICKER</v>
      </c>
      <c r="G1611" s="424">
        <v>40</v>
      </c>
      <c r="H1611" s="3">
        <f>+IFERROR(VLOOKUP(E1611,BD!$L$2:$Q$66,6,0),0)</f>
        <v>40</v>
      </c>
      <c r="I1611" s="96">
        <f>IFERROR(G1611*VLOOKUP($E1611,BD!$L$2:$Q$66,5,0),0)</f>
        <v>9.2000000000000011</v>
      </c>
      <c r="J1611" s="3">
        <f t="shared" si="111"/>
        <v>2021</v>
      </c>
    </row>
    <row r="1612" spans="1:10" s="9" customFormat="1" hidden="1" x14ac:dyDescent="0.25">
      <c r="A1612" s="447">
        <v>44446</v>
      </c>
      <c r="B1612" s="55" t="str">
        <f t="shared" si="108"/>
        <v>SETIEMBRE</v>
      </c>
      <c r="C1612" s="55">
        <f t="shared" si="109"/>
        <v>37</v>
      </c>
      <c r="D1612" s="3" t="str">
        <f t="shared" si="110"/>
        <v>MARTES</v>
      </c>
      <c r="E1612" s="427">
        <v>256383</v>
      </c>
      <c r="F1612" s="3" t="str">
        <f>IFERROR(VLOOKUP(E1612,BD!$L$2:$Q$66,2,0),0)</f>
        <v>COCA COLA VR 1.5LX8 - STICKER</v>
      </c>
      <c r="G1612" s="424">
        <v>60</v>
      </c>
      <c r="H1612" s="3">
        <f>+IFERROR(VLOOKUP(E1612,BD!$L$2:$Q$66,6,0),0)</f>
        <v>30</v>
      </c>
      <c r="I1612" s="96">
        <f>IFERROR(G1612*VLOOKUP($E1612,BD!$L$2:$Q$66,5,0),0)</f>
        <v>13.8</v>
      </c>
      <c r="J1612" s="3">
        <f t="shared" si="111"/>
        <v>2021</v>
      </c>
    </row>
    <row r="1613" spans="1:10" s="9" customFormat="1" hidden="1" x14ac:dyDescent="0.25">
      <c r="A1613" s="447">
        <v>44446</v>
      </c>
      <c r="B1613" s="55" t="str">
        <f t="shared" si="108"/>
        <v>SETIEMBRE</v>
      </c>
      <c r="C1613" s="55">
        <f t="shared" si="109"/>
        <v>37</v>
      </c>
      <c r="D1613" s="3" t="str">
        <f t="shared" si="110"/>
        <v>MARTES</v>
      </c>
      <c r="E1613" s="427">
        <v>256679</v>
      </c>
      <c r="F1613" s="3" t="str">
        <f>IFERROR(VLOOKUP(E1613,BD!$L$2:$Q$66,2,0),0)</f>
        <v>TRIPACK CC+IK+IK PFM 3LX3 - RFNN</v>
      </c>
      <c r="G1613" s="424">
        <v>180</v>
      </c>
      <c r="H1613" s="3">
        <f>+IFERROR(VLOOKUP(E1613,BD!$L$2:$Q$66,6,0),0)</f>
        <v>90</v>
      </c>
      <c r="I1613" s="96">
        <f>IFERROR(G1613*VLOOKUP($E1613,BD!$L$2:$Q$66,5,0),0)</f>
        <v>30.6</v>
      </c>
      <c r="J1613" s="3">
        <f t="shared" si="111"/>
        <v>2021</v>
      </c>
    </row>
    <row r="1614" spans="1:10" s="9" customFormat="1" hidden="1" x14ac:dyDescent="0.25">
      <c r="A1614" s="447">
        <v>44446</v>
      </c>
      <c r="B1614" s="55" t="str">
        <f t="shared" si="108"/>
        <v>SETIEMBRE</v>
      </c>
      <c r="C1614" s="55">
        <f t="shared" si="109"/>
        <v>37</v>
      </c>
      <c r="D1614" s="3" t="str">
        <f t="shared" si="110"/>
        <v>MARTES</v>
      </c>
      <c r="E1614" s="427">
        <v>256601</v>
      </c>
      <c r="F1614" s="3" t="str">
        <f>IFERROR(VLOOKUP(E1614,BD!$L$2:$Q$66,2,0),0)</f>
        <v>INCA KOLA PET 2.25LX2 RF</v>
      </c>
      <c r="G1614" s="424">
        <v>324</v>
      </c>
      <c r="H1614" s="3">
        <f>+IFERROR(VLOOKUP(E1614,BD!$L$2:$Q$66,6,0),0)</f>
        <v>162</v>
      </c>
      <c r="I1614" s="96">
        <f>IFERROR(G1614*VLOOKUP($E1614,BD!$L$2:$Q$66,5,0),0)</f>
        <v>55.080000000000005</v>
      </c>
      <c r="J1614" s="3">
        <f t="shared" si="111"/>
        <v>2021</v>
      </c>
    </row>
    <row r="1615" spans="1:10" s="9" customFormat="1" hidden="1" x14ac:dyDescent="0.25">
      <c r="A1615" s="447">
        <v>44446</v>
      </c>
      <c r="B1615" s="55" t="str">
        <f t="shared" si="108"/>
        <v>SETIEMBRE</v>
      </c>
      <c r="C1615" s="55">
        <f t="shared" si="109"/>
        <v>37</v>
      </c>
      <c r="D1615" s="3" t="str">
        <f t="shared" si="110"/>
        <v>MARTES</v>
      </c>
      <c r="E1615" s="427">
        <v>256695</v>
      </c>
      <c r="F1615" s="3" t="str">
        <f>IFERROR(VLOOKUP(E1615,BD!$L$2:$Q$66,2,0),0)</f>
        <v>POWERADE 3MORA+3FRUT PET 473MLX6</v>
      </c>
      <c r="G1615" s="424">
        <v>900</v>
      </c>
      <c r="H1615" s="3">
        <f>+IFERROR(VLOOKUP(E1615,BD!$L$2:$Q$66,6,0),0)</f>
        <v>225</v>
      </c>
      <c r="I1615" s="96">
        <f>IFERROR(G1615*VLOOKUP($E1615,BD!$L$2:$Q$66,5,0),0)</f>
        <v>378</v>
      </c>
      <c r="J1615" s="3">
        <f t="shared" si="111"/>
        <v>2021</v>
      </c>
    </row>
    <row r="1616" spans="1:10" s="9" customFormat="1" hidden="1" x14ac:dyDescent="0.25">
      <c r="A1616" s="447">
        <v>44446</v>
      </c>
      <c r="B1616" s="55" t="str">
        <f t="shared" si="108"/>
        <v>SETIEMBRE</v>
      </c>
      <c r="C1616" s="55">
        <f t="shared" si="109"/>
        <v>37</v>
      </c>
      <c r="D1616" s="3" t="str">
        <f t="shared" si="110"/>
        <v>MARTES</v>
      </c>
      <c r="E1616" s="427">
        <v>256737</v>
      </c>
      <c r="F1616" s="3" t="str">
        <f>IFERROR(VLOOKUP(E1616,BD!$L$2:$Q$66,2,0),0)</f>
        <v>INCA KOLA SA ALUMINIO-3 DISEÑOS 330MLX12</v>
      </c>
      <c r="G1616" s="425">
        <v>875</v>
      </c>
      <c r="H1616" s="3">
        <f>+IFERROR(VLOOKUP(E1616,BD!$L$2:$Q$66,6,0),0)</f>
        <v>420</v>
      </c>
      <c r="I1616" s="96">
        <f>IFERROR(G1616*VLOOKUP($E1616,BD!$L$2:$Q$66,5,0),0)</f>
        <v>367.5</v>
      </c>
      <c r="J1616" s="3">
        <f t="shared" si="111"/>
        <v>2021</v>
      </c>
    </row>
    <row r="1617" spans="1:10" s="9" customFormat="1" hidden="1" x14ac:dyDescent="0.25">
      <c r="A1617" s="447">
        <v>44446</v>
      </c>
      <c r="B1617" s="55" t="str">
        <f t="shared" si="108"/>
        <v>SETIEMBRE</v>
      </c>
      <c r="C1617" s="55">
        <f t="shared" si="109"/>
        <v>37</v>
      </c>
      <c r="D1617" s="3" t="str">
        <f t="shared" si="110"/>
        <v>MARTES</v>
      </c>
      <c r="E1617" s="427">
        <v>256708</v>
      </c>
      <c r="F1617" s="3" t="str">
        <f>IFERROR(VLOOKUP(E1617,BD!$L$2:$Q$66,2,0),0)</f>
        <v>POWERADE ION4 FRUTA PET473X6 MOD (STICK)</v>
      </c>
      <c r="G1617" s="424">
        <v>450</v>
      </c>
      <c r="H1617" s="3">
        <f>+IFERROR(VLOOKUP(E1617,BD!$L$2:$Q$66,6,0),0)</f>
        <v>225</v>
      </c>
      <c r="I1617" s="96">
        <f>IFERROR(G1617*VLOOKUP($E1617,BD!$L$2:$Q$66,5,0),0)</f>
        <v>180</v>
      </c>
      <c r="J1617" s="3">
        <f t="shared" si="111"/>
        <v>2021</v>
      </c>
    </row>
    <row r="1618" spans="1:10" s="9" customFormat="1" hidden="1" x14ac:dyDescent="0.25">
      <c r="A1618" s="447">
        <v>44446</v>
      </c>
      <c r="B1618" s="55" t="str">
        <f t="shared" si="108"/>
        <v>SETIEMBRE</v>
      </c>
      <c r="C1618" s="55">
        <f t="shared" si="109"/>
        <v>37</v>
      </c>
      <c r="D1618" s="3" t="str">
        <f t="shared" si="110"/>
        <v>MARTES</v>
      </c>
      <c r="E1618" s="427">
        <v>256548</v>
      </c>
      <c r="F1618" s="3" t="str">
        <f>IFERROR(VLOOKUP(E1618,BD!$L$2:$Q$66,2,0),0)</f>
        <v>TWO PACK CC PET 1.5LX2 - CRC</v>
      </c>
      <c r="G1618" s="425">
        <v>216</v>
      </c>
      <c r="H1618" s="3">
        <f>+IFERROR(VLOOKUP(E1618,BD!$L$2:$Q$66,6,0),0)</f>
        <v>198</v>
      </c>
      <c r="I1618" s="96">
        <f>IFERROR(G1618*VLOOKUP($E1618,BD!$L$2:$Q$66,5,0),0)</f>
        <v>36.720000000000006</v>
      </c>
      <c r="J1618" s="3">
        <f t="shared" si="111"/>
        <v>2021</v>
      </c>
    </row>
    <row r="1619" spans="1:10" s="9" customFormat="1" hidden="1" x14ac:dyDescent="0.25">
      <c r="A1619" s="447">
        <v>44447</v>
      </c>
      <c r="B1619" s="55" t="str">
        <f t="shared" si="108"/>
        <v>SETIEMBRE</v>
      </c>
      <c r="C1619" s="55">
        <f t="shared" si="109"/>
        <v>37</v>
      </c>
      <c r="D1619" s="3" t="str">
        <f t="shared" si="110"/>
        <v>MIÉRCOLES</v>
      </c>
      <c r="E1619" s="427">
        <v>256674</v>
      </c>
      <c r="F1619" s="3" t="str">
        <f>IFERROR(VLOOKUP(E1619,BD!$L$2:$Q$66,2,0),0)</f>
        <v>COCA-COLA PET 1.5LX2 RF</v>
      </c>
      <c r="G1619" s="424">
        <v>864</v>
      </c>
      <c r="H1619" s="3">
        <f>+IFERROR(VLOOKUP(E1619,BD!$L$2:$Q$66,6,0),0)</f>
        <v>198</v>
      </c>
      <c r="I1619" s="96">
        <f>IFERROR(G1619*VLOOKUP($E1619,BD!$L$2:$Q$66,5,0),0)</f>
        <v>146.88000000000002</v>
      </c>
      <c r="J1619" s="3">
        <f t="shared" si="111"/>
        <v>2021</v>
      </c>
    </row>
    <row r="1620" spans="1:10" s="9" customFormat="1" hidden="1" x14ac:dyDescent="0.25">
      <c r="A1620" s="447">
        <v>44447</v>
      </c>
      <c r="B1620" s="55" t="str">
        <f t="shared" si="108"/>
        <v>SETIEMBRE</v>
      </c>
      <c r="C1620" s="55">
        <f t="shared" si="109"/>
        <v>37</v>
      </c>
      <c r="D1620" s="3" t="str">
        <f t="shared" si="110"/>
        <v>MIÉRCOLES</v>
      </c>
      <c r="E1620" s="427">
        <v>256680</v>
      </c>
      <c r="F1620" s="3" t="str">
        <f>IFERROR(VLOOKUP(E1620,BD!$L$2:$Q$66,2,0),0)</f>
        <v>TRIPACK CC+CC+IK PFM 3LX3 - RFNN</v>
      </c>
      <c r="G1620" s="425">
        <v>720</v>
      </c>
      <c r="H1620" s="3">
        <f>+IFERROR(VLOOKUP(E1620,BD!$L$2:$Q$66,6,0),0)</f>
        <v>90</v>
      </c>
      <c r="I1620" s="96">
        <f>IFERROR(G1620*VLOOKUP($E1620,BD!$L$2:$Q$66,5,0),0)</f>
        <v>122.4</v>
      </c>
      <c r="J1620" s="3">
        <f t="shared" si="111"/>
        <v>2021</v>
      </c>
    </row>
    <row r="1621" spans="1:10" s="9" customFormat="1" hidden="1" x14ac:dyDescent="0.25">
      <c r="A1621" s="447">
        <v>44447</v>
      </c>
      <c r="B1621" s="55" t="str">
        <f t="shared" si="108"/>
        <v>SETIEMBRE</v>
      </c>
      <c r="C1621" s="55">
        <f t="shared" si="109"/>
        <v>37</v>
      </c>
      <c r="D1621" s="3" t="str">
        <f t="shared" si="110"/>
        <v>MIÉRCOLES</v>
      </c>
      <c r="E1621" s="427">
        <v>256601</v>
      </c>
      <c r="F1621" s="3" t="str">
        <f>IFERROR(VLOOKUP(E1621,BD!$L$2:$Q$66,2,0),0)</f>
        <v>INCA KOLA PET 2.25LX2 RF</v>
      </c>
      <c r="G1621" s="424">
        <v>648</v>
      </c>
      <c r="H1621" s="3">
        <f>+IFERROR(VLOOKUP(E1621,BD!$L$2:$Q$66,6,0),0)</f>
        <v>162</v>
      </c>
      <c r="I1621" s="96">
        <f>IFERROR(G1621*VLOOKUP($E1621,BD!$L$2:$Q$66,5,0),0)</f>
        <v>110.16000000000001</v>
      </c>
      <c r="J1621" s="3">
        <f t="shared" si="111"/>
        <v>2021</v>
      </c>
    </row>
    <row r="1622" spans="1:10" s="9" customFormat="1" hidden="1" x14ac:dyDescent="0.25">
      <c r="A1622" s="447">
        <v>44447</v>
      </c>
      <c r="B1622" s="55" t="str">
        <f t="shared" si="108"/>
        <v>SETIEMBRE</v>
      </c>
      <c r="C1622" s="55">
        <f t="shared" si="109"/>
        <v>37</v>
      </c>
      <c r="D1622" s="3" t="str">
        <f t="shared" si="110"/>
        <v>MIÉRCOLES</v>
      </c>
      <c r="E1622" s="427">
        <v>256488</v>
      </c>
      <c r="F1622" s="3" t="str">
        <f>IFERROR(VLOOKUP(E1622,BD!$L$2:$Q$66,2,0),0)</f>
        <v>INCA KOLA PET 3LX2 - RF</v>
      </c>
      <c r="G1622" s="424">
        <v>480</v>
      </c>
      <c r="H1622" s="3">
        <f>+IFERROR(VLOOKUP(E1622,BD!$L$2:$Q$66,6,0),0)</f>
        <v>120</v>
      </c>
      <c r="I1622" s="96">
        <f>IFERROR(G1622*VLOOKUP($E1622,BD!$L$2:$Q$66,5,0),0)</f>
        <v>81.600000000000009</v>
      </c>
      <c r="J1622" s="3">
        <f t="shared" si="111"/>
        <v>2021</v>
      </c>
    </row>
    <row r="1623" spans="1:10" s="9" customFormat="1" hidden="1" x14ac:dyDescent="0.25">
      <c r="A1623" s="447">
        <v>44447</v>
      </c>
      <c r="B1623" s="55" t="str">
        <f t="shared" si="108"/>
        <v>SETIEMBRE</v>
      </c>
      <c r="C1623" s="55">
        <f t="shared" si="109"/>
        <v>37</v>
      </c>
      <c r="D1623" s="3" t="str">
        <f t="shared" si="110"/>
        <v>MIÉRCOLES</v>
      </c>
      <c r="E1623" s="427">
        <v>256488</v>
      </c>
      <c r="F1623" s="3" t="str">
        <f>IFERROR(VLOOKUP(E1623,BD!$L$2:$Q$66,2,0),0)</f>
        <v>INCA KOLA PET 3LX2 - RF</v>
      </c>
      <c r="G1623" s="424">
        <v>1080</v>
      </c>
      <c r="H1623" s="3">
        <f>+IFERROR(VLOOKUP(E1623,BD!$L$2:$Q$66,6,0),0)</f>
        <v>120</v>
      </c>
      <c r="I1623" s="96">
        <f>IFERROR(G1623*VLOOKUP($E1623,BD!$L$2:$Q$66,5,0),0)</f>
        <v>183.60000000000002</v>
      </c>
      <c r="J1623" s="3">
        <f t="shared" si="111"/>
        <v>2021</v>
      </c>
    </row>
    <row r="1624" spans="1:10" s="9" customFormat="1" hidden="1" x14ac:dyDescent="0.25">
      <c r="A1624" s="447">
        <v>44447</v>
      </c>
      <c r="B1624" s="55" t="str">
        <f t="shared" si="108"/>
        <v>SETIEMBRE</v>
      </c>
      <c r="C1624" s="55">
        <f t="shared" si="109"/>
        <v>37</v>
      </c>
      <c r="D1624" s="3" t="str">
        <f t="shared" si="110"/>
        <v>MIÉRCOLES</v>
      </c>
      <c r="E1624" s="427">
        <v>256675</v>
      </c>
      <c r="F1624" s="3" t="str">
        <f>IFERROR(VLOOKUP(E1624,BD!$L$2:$Q$66,2,0),0)</f>
        <v>INCA KOLA PET 1.5LX2 RF</v>
      </c>
      <c r="G1624" s="424">
        <v>432</v>
      </c>
      <c r="H1624" s="3">
        <f>+IFERROR(VLOOKUP(E1624,BD!$L$2:$Q$66,6,0),0)</f>
        <v>198</v>
      </c>
      <c r="I1624" s="96">
        <f>IFERROR(G1624*VLOOKUP($E1624,BD!$L$2:$Q$66,5,0),0)</f>
        <v>73.440000000000012</v>
      </c>
      <c r="J1624" s="3">
        <f t="shared" si="111"/>
        <v>2021</v>
      </c>
    </row>
    <row r="1625" spans="1:10" s="9" customFormat="1" hidden="1" x14ac:dyDescent="0.25">
      <c r="A1625" s="447">
        <v>44447</v>
      </c>
      <c r="B1625" s="55" t="str">
        <f t="shared" si="108"/>
        <v>SETIEMBRE</v>
      </c>
      <c r="C1625" s="55">
        <f t="shared" si="109"/>
        <v>37</v>
      </c>
      <c r="D1625" s="3" t="str">
        <f t="shared" si="110"/>
        <v>MIÉRCOLES</v>
      </c>
      <c r="E1625" s="427">
        <v>256617</v>
      </c>
      <c r="F1625" s="3" t="str">
        <f>IFERROR(VLOOKUP(E1625,BD!$L$2:$Q$66,2,0),0)</f>
        <v>TWO PACK SCHWEPPES GINGER ALE PET 1.5LX2</v>
      </c>
      <c r="G1625" s="424">
        <v>792</v>
      </c>
      <c r="H1625" s="3">
        <f>+IFERROR(VLOOKUP(E1625,BD!$L$2:$Q$66,6,0),0)</f>
        <v>198</v>
      </c>
      <c r="I1625" s="96">
        <f>IFERROR(G1625*VLOOKUP($E1625,BD!$L$2:$Q$66,5,0),0)</f>
        <v>134.64000000000001</v>
      </c>
      <c r="J1625" s="3">
        <f t="shared" si="111"/>
        <v>2021</v>
      </c>
    </row>
    <row r="1626" spans="1:10" s="9" customFormat="1" hidden="1" x14ac:dyDescent="0.25">
      <c r="A1626" s="447">
        <v>44447</v>
      </c>
      <c r="B1626" s="55" t="str">
        <f t="shared" si="108"/>
        <v>SETIEMBRE</v>
      </c>
      <c r="C1626" s="55">
        <f t="shared" si="109"/>
        <v>37</v>
      </c>
      <c r="D1626" s="3" t="str">
        <f t="shared" si="110"/>
        <v>MIÉRCOLES</v>
      </c>
      <c r="E1626" s="427">
        <v>256616</v>
      </c>
      <c r="F1626" s="3" t="str">
        <f>IFERROR(VLOOKUP(E1626,BD!$L$2:$Q$66,2,0),0)</f>
        <v>TWO PACK SCHWEPPES CITRUS PET 1.5LX2</v>
      </c>
      <c r="G1626" s="424">
        <v>792</v>
      </c>
      <c r="H1626" s="3">
        <f>+IFERROR(VLOOKUP(E1626,BD!$L$2:$Q$66,6,0),0)</f>
        <v>198</v>
      </c>
      <c r="I1626" s="96">
        <f>IFERROR(G1626*VLOOKUP($E1626,BD!$L$2:$Q$66,5,0),0)</f>
        <v>134.64000000000001</v>
      </c>
      <c r="J1626" s="3">
        <f t="shared" si="111"/>
        <v>2021</v>
      </c>
    </row>
    <row r="1627" spans="1:10" s="9" customFormat="1" hidden="1" x14ac:dyDescent="0.25">
      <c r="A1627" s="447">
        <v>44447</v>
      </c>
      <c r="B1627" s="55" t="str">
        <f t="shared" si="108"/>
        <v>SETIEMBRE</v>
      </c>
      <c r="C1627" s="55">
        <f t="shared" si="109"/>
        <v>37</v>
      </c>
      <c r="D1627" s="3" t="str">
        <f t="shared" si="110"/>
        <v>MIÉRCOLES</v>
      </c>
      <c r="E1627" s="427">
        <v>256676</v>
      </c>
      <c r="F1627" s="3" t="str">
        <f>IFERROR(VLOOKUP(E1627,BD!$L$2:$Q$66,2,0),0)</f>
        <v>TWO PACK CC PFM 3LX2 - RFCC</v>
      </c>
      <c r="G1627" s="424">
        <v>720</v>
      </c>
      <c r="H1627" s="3">
        <f>+IFERROR(VLOOKUP(E1627,BD!$L$2:$Q$66,6,0),0)</f>
        <v>120</v>
      </c>
      <c r="I1627" s="96">
        <f>IFERROR(G1627*VLOOKUP($E1627,BD!$L$2:$Q$66,5,0),0)</f>
        <v>122.4</v>
      </c>
      <c r="J1627" s="3">
        <f t="shared" si="111"/>
        <v>2021</v>
      </c>
    </row>
    <row r="1628" spans="1:10" s="9" customFormat="1" hidden="1" x14ac:dyDescent="0.25">
      <c r="A1628" s="447">
        <v>44447</v>
      </c>
      <c r="B1628" s="55" t="str">
        <f t="shared" si="108"/>
        <v>SETIEMBRE</v>
      </c>
      <c r="C1628" s="55">
        <f t="shared" si="109"/>
        <v>37</v>
      </c>
      <c r="D1628" s="3" t="str">
        <f t="shared" si="110"/>
        <v>MIÉRCOLES</v>
      </c>
      <c r="E1628" s="427">
        <v>256678</v>
      </c>
      <c r="F1628" s="3" t="str">
        <f>IFERROR(VLOOKUP(E1628,BD!$L$2:$Q$66,2,0),0)</f>
        <v>TRIPACK (CC+IK)PFM+FT PET 3LX3 - RFNN</v>
      </c>
      <c r="G1628" s="425">
        <v>1080</v>
      </c>
      <c r="H1628" s="3">
        <f>+IFERROR(VLOOKUP(E1628,BD!$L$2:$Q$66,6,0),0)</f>
        <v>90</v>
      </c>
      <c r="I1628" s="96">
        <f>IFERROR(G1628*VLOOKUP($E1628,BD!$L$2:$Q$66,5,0),0)</f>
        <v>183.60000000000002</v>
      </c>
      <c r="J1628" s="3">
        <f t="shared" si="111"/>
        <v>2021</v>
      </c>
    </row>
    <row r="1629" spans="1:10" s="9" customFormat="1" hidden="1" x14ac:dyDescent="0.25">
      <c r="A1629" s="447">
        <v>44447</v>
      </c>
      <c r="B1629" s="55" t="str">
        <f t="shared" si="108"/>
        <v>SETIEMBRE</v>
      </c>
      <c r="C1629" s="55">
        <f t="shared" si="109"/>
        <v>37</v>
      </c>
      <c r="D1629" s="3" t="str">
        <f t="shared" si="110"/>
        <v>MIÉRCOLES</v>
      </c>
      <c r="E1629" s="427">
        <v>256383</v>
      </c>
      <c r="F1629" s="3" t="str">
        <f>IFERROR(VLOOKUP(E1629,BD!$L$2:$Q$66,2,0),0)</f>
        <v>COCA COLA VR 1.5LX8 - STICKER</v>
      </c>
      <c r="G1629" s="424">
        <v>60</v>
      </c>
      <c r="H1629" s="3">
        <f>+IFERROR(VLOOKUP(E1629,BD!$L$2:$Q$66,6,0),0)</f>
        <v>30</v>
      </c>
      <c r="I1629" s="96">
        <f>IFERROR(G1629*VLOOKUP($E1629,BD!$L$2:$Q$66,5,0),0)</f>
        <v>13.8</v>
      </c>
      <c r="J1629" s="3">
        <f t="shared" si="111"/>
        <v>2021</v>
      </c>
    </row>
    <row r="1630" spans="1:10" s="9" customFormat="1" hidden="1" x14ac:dyDescent="0.25">
      <c r="A1630" s="447">
        <v>44447</v>
      </c>
      <c r="B1630" s="55" t="str">
        <f t="shared" si="108"/>
        <v>SETIEMBRE</v>
      </c>
      <c r="C1630" s="55">
        <f t="shared" si="109"/>
        <v>37</v>
      </c>
      <c r="D1630" s="3" t="str">
        <f t="shared" si="110"/>
        <v>MIÉRCOLES</v>
      </c>
      <c r="E1630" s="427">
        <v>256708</v>
      </c>
      <c r="F1630" s="3" t="str">
        <f>IFERROR(VLOOKUP(E1630,BD!$L$2:$Q$66,2,0),0)</f>
        <v>POWERADE ION4 FRUTA PET473X6 MOD (STICK)</v>
      </c>
      <c r="G1630" s="425">
        <v>225</v>
      </c>
      <c r="H1630" s="3">
        <f>+IFERROR(VLOOKUP(E1630,BD!$L$2:$Q$66,6,0),0)</f>
        <v>225</v>
      </c>
      <c r="I1630" s="96">
        <f>IFERROR(G1630*VLOOKUP($E1630,BD!$L$2:$Q$66,5,0),0)</f>
        <v>90</v>
      </c>
      <c r="J1630" s="3">
        <f t="shared" si="111"/>
        <v>2021</v>
      </c>
    </row>
    <row r="1631" spans="1:10" s="9" customFormat="1" hidden="1" x14ac:dyDescent="0.25">
      <c r="A1631" s="447">
        <v>44447</v>
      </c>
      <c r="B1631" s="55" t="str">
        <f t="shared" si="108"/>
        <v>SETIEMBRE</v>
      </c>
      <c r="C1631" s="55">
        <f t="shared" si="109"/>
        <v>37</v>
      </c>
      <c r="D1631" s="3" t="str">
        <f t="shared" si="110"/>
        <v>MIÉRCOLES</v>
      </c>
      <c r="E1631" s="427">
        <v>254762</v>
      </c>
      <c r="F1631" s="3" t="str">
        <f>IFERROR(VLOOKUP(E1631,BD!$L$2:$Q$66,2,0),0)</f>
        <v xml:space="preserve">SAN LUIS SPORT S/G 10 Lt x6 </v>
      </c>
      <c r="G1631" s="424">
        <v>112</v>
      </c>
      <c r="H1631" s="3">
        <f>+IFERROR(VLOOKUP(E1631,BD!$L$2:$Q$66,6,0),0)</f>
        <v>240</v>
      </c>
      <c r="I1631" s="96">
        <f>IFERROR(G1631*VLOOKUP($E1631,BD!$L$2:$Q$66,5,0),0)</f>
        <v>44.800000000000004</v>
      </c>
      <c r="J1631" s="3">
        <f t="shared" si="111"/>
        <v>2021</v>
      </c>
    </row>
    <row r="1632" spans="1:10" s="9" customFormat="1" hidden="1" x14ac:dyDescent="0.25">
      <c r="A1632" s="447">
        <v>44447</v>
      </c>
      <c r="B1632" s="55" t="str">
        <f t="shared" si="108"/>
        <v>SETIEMBRE</v>
      </c>
      <c r="C1632" s="55">
        <f t="shared" si="109"/>
        <v>37</v>
      </c>
      <c r="D1632" s="3" t="str">
        <f t="shared" si="110"/>
        <v>MIÉRCOLES</v>
      </c>
      <c r="E1632" s="427">
        <v>251429</v>
      </c>
      <c r="F1632" s="3" t="str">
        <f>IFERROR(VLOOKUP(E1632,BD!$L$2:$Q$66,2,0),0)</f>
        <v>SAN LUIS SIN GAS PET2500X6 STICKER</v>
      </c>
      <c r="G1632" s="424">
        <v>336</v>
      </c>
      <c r="H1632" s="3">
        <f>+IFERROR(VLOOKUP(E1632,BD!$L$2:$Q$66,6,0),0)</f>
        <v>48</v>
      </c>
      <c r="I1632" s="96">
        <f>IFERROR(G1632*VLOOKUP($E1632,BD!$L$2:$Q$66,5,0),0)</f>
        <v>134.4</v>
      </c>
      <c r="J1632" s="3">
        <f t="shared" si="111"/>
        <v>2021</v>
      </c>
    </row>
    <row r="1633" spans="1:10" s="9" customFormat="1" hidden="1" x14ac:dyDescent="0.25">
      <c r="A1633" s="447">
        <v>44447</v>
      </c>
      <c r="B1633" s="55" t="str">
        <f t="shared" si="108"/>
        <v>SETIEMBRE</v>
      </c>
      <c r="C1633" s="55">
        <f t="shared" si="109"/>
        <v>37</v>
      </c>
      <c r="D1633" s="3" t="str">
        <f t="shared" si="110"/>
        <v>MIÉRCOLES</v>
      </c>
      <c r="E1633" s="427">
        <v>256381</v>
      </c>
      <c r="F1633" s="3" t="str">
        <f>IFERROR(VLOOKUP(E1633,BD!$L$2:$Q$66,2,0),0)</f>
        <v>INCA KOLA VR 1.5LX8 - STICKER</v>
      </c>
      <c r="G1633" s="424">
        <v>120</v>
      </c>
      <c r="H1633" s="3">
        <f>+IFERROR(VLOOKUP(E1633,BD!$L$2:$Q$66,6,0),0)</f>
        <v>30</v>
      </c>
      <c r="I1633" s="96">
        <f>IFERROR(G1633*VLOOKUP($E1633,BD!$L$2:$Q$66,5,0),0)</f>
        <v>48</v>
      </c>
      <c r="J1633" s="3">
        <f t="shared" si="111"/>
        <v>2021</v>
      </c>
    </row>
    <row r="1634" spans="1:10" s="9" customFormat="1" hidden="1" x14ac:dyDescent="0.25">
      <c r="A1634" s="447">
        <v>44447</v>
      </c>
      <c r="B1634" s="55" t="str">
        <f t="shared" si="108"/>
        <v>SETIEMBRE</v>
      </c>
      <c r="C1634" s="55">
        <f t="shared" si="109"/>
        <v>37</v>
      </c>
      <c r="D1634" s="3" t="str">
        <f t="shared" si="110"/>
        <v>MIÉRCOLES</v>
      </c>
      <c r="E1634" s="427">
        <v>256379</v>
      </c>
      <c r="F1634" s="3" t="str">
        <f>IFERROR(VLOOKUP(E1634,BD!$L$2:$Q$66,2,0),0)</f>
        <v>INCA KOLA VR 625MLX12 - STICKER</v>
      </c>
      <c r="G1634" s="424">
        <v>100</v>
      </c>
      <c r="H1634" s="3">
        <f>+IFERROR(VLOOKUP(E1634,BD!$L$2:$Q$66,6,0),0)</f>
        <v>50</v>
      </c>
      <c r="I1634" s="96">
        <f>IFERROR(G1634*VLOOKUP($E1634,BD!$L$2:$Q$66,5,0),0)</f>
        <v>40</v>
      </c>
      <c r="J1634" s="3">
        <f t="shared" si="111"/>
        <v>2021</v>
      </c>
    </row>
    <row r="1635" spans="1:10" s="9" customFormat="1" hidden="1" x14ac:dyDescent="0.25">
      <c r="A1635" s="447">
        <v>44447</v>
      </c>
      <c r="B1635" s="55" t="str">
        <f t="shared" si="108"/>
        <v>SETIEMBRE</v>
      </c>
      <c r="C1635" s="55">
        <f t="shared" si="109"/>
        <v>37</v>
      </c>
      <c r="D1635" s="3" t="str">
        <f t="shared" si="110"/>
        <v>MIÉRCOLES</v>
      </c>
      <c r="E1635" s="427">
        <v>256652</v>
      </c>
      <c r="F1635" s="3" t="str">
        <f>IFERROR(VLOOKUP(E1635,BD!$L$2:$Q$66,2,0),0)</f>
        <v>TRIPACK FT NAR+FT KI+SP PET 3L</v>
      </c>
      <c r="G1635" s="425">
        <v>720</v>
      </c>
      <c r="H1635" s="3">
        <f>+IFERROR(VLOOKUP(E1635,BD!$L$2:$Q$66,6,0),0)</f>
        <v>90</v>
      </c>
      <c r="I1635" s="96">
        <f>IFERROR(G1635*VLOOKUP($E1635,BD!$L$2:$Q$66,5,0),0)</f>
        <v>122.4</v>
      </c>
      <c r="J1635" s="3">
        <f t="shared" si="111"/>
        <v>2021</v>
      </c>
    </row>
    <row r="1636" spans="1:10" s="9" customFormat="1" hidden="1" x14ac:dyDescent="0.25">
      <c r="A1636" s="447">
        <v>44447</v>
      </c>
      <c r="B1636" s="55" t="str">
        <f t="shared" si="108"/>
        <v>SETIEMBRE</v>
      </c>
      <c r="C1636" s="55">
        <f t="shared" si="109"/>
        <v>37</v>
      </c>
      <c r="D1636" s="3" t="str">
        <f t="shared" si="110"/>
        <v>MIÉRCOLES</v>
      </c>
      <c r="E1636" s="427">
        <v>256677</v>
      </c>
      <c r="F1636" s="3" t="str">
        <f>IFERROR(VLOOKUP(E1636,BD!$L$2:$Q$66,2,0),0)</f>
        <v>TWO PACK CC + IK PFM 3LX2 - RFNN</v>
      </c>
      <c r="G1636" s="424">
        <v>1200</v>
      </c>
      <c r="H1636" s="3">
        <f>+IFERROR(VLOOKUP(E1636,BD!$L$2:$Q$66,6,0),0)</f>
        <v>120</v>
      </c>
      <c r="I1636" s="96">
        <f>IFERROR(G1636*VLOOKUP($E1636,BD!$L$2:$Q$66,5,0),0)</f>
        <v>204.00000000000003</v>
      </c>
      <c r="J1636" s="3">
        <f t="shared" si="111"/>
        <v>2021</v>
      </c>
    </row>
    <row r="1637" spans="1:10" s="9" customFormat="1" hidden="1" x14ac:dyDescent="0.25">
      <c r="A1637" s="447">
        <v>44447</v>
      </c>
      <c r="B1637" s="55" t="str">
        <f t="shared" si="108"/>
        <v>SETIEMBRE</v>
      </c>
      <c r="C1637" s="55">
        <f t="shared" si="109"/>
        <v>37</v>
      </c>
      <c r="D1637" s="3" t="str">
        <f t="shared" si="110"/>
        <v>MIÉRCOLES</v>
      </c>
      <c r="E1637" s="427">
        <v>256721</v>
      </c>
      <c r="F1637" s="3" t="str">
        <f>IFERROR(VLOOKUP(E1637,BD!$L$2:$Q$66,2,0),0)</f>
        <v>SPRITE PET 500MLX6 BRANDEADO MOD</v>
      </c>
      <c r="G1637" s="424">
        <v>1500</v>
      </c>
      <c r="H1637" s="3">
        <f>+IFERROR(VLOOKUP(E1637,BD!$L$2:$Q$66,6,0),0)</f>
        <v>420</v>
      </c>
      <c r="I1637" s="96">
        <f>IFERROR(G1637*VLOOKUP($E1637,BD!$L$2:$Q$66,5,0),0)</f>
        <v>630</v>
      </c>
      <c r="J1637" s="3">
        <f t="shared" si="111"/>
        <v>2021</v>
      </c>
    </row>
    <row r="1638" spans="1:10" s="9" customFormat="1" hidden="1" x14ac:dyDescent="0.25">
      <c r="A1638" s="447">
        <v>44447</v>
      </c>
      <c r="B1638" s="55" t="str">
        <f t="shared" si="108"/>
        <v>SETIEMBRE</v>
      </c>
      <c r="C1638" s="55">
        <f t="shared" si="109"/>
        <v>37</v>
      </c>
      <c r="D1638" s="3" t="str">
        <f t="shared" si="110"/>
        <v>MIÉRCOLES</v>
      </c>
      <c r="E1638" s="427">
        <v>256679</v>
      </c>
      <c r="F1638" s="3" t="str">
        <f>IFERROR(VLOOKUP(E1638,BD!$L$2:$Q$66,2,0),0)</f>
        <v>TRIPACK CC+IK+IK PFM 3LX3 - RFNN</v>
      </c>
      <c r="G1638" s="424">
        <v>180</v>
      </c>
      <c r="H1638" s="3">
        <f>+IFERROR(VLOOKUP(E1638,BD!$L$2:$Q$66,6,0),0)</f>
        <v>90</v>
      </c>
      <c r="I1638" s="96">
        <f>IFERROR(G1638*VLOOKUP($E1638,BD!$L$2:$Q$66,5,0),0)</f>
        <v>30.6</v>
      </c>
      <c r="J1638" s="3">
        <f t="shared" si="111"/>
        <v>2021</v>
      </c>
    </row>
    <row r="1639" spans="1:10" s="9" customFormat="1" hidden="1" x14ac:dyDescent="0.25">
      <c r="A1639" s="447">
        <v>44447</v>
      </c>
      <c r="B1639" s="55" t="str">
        <f t="shared" si="108"/>
        <v>SETIEMBRE</v>
      </c>
      <c r="C1639" s="55">
        <f t="shared" si="109"/>
        <v>37</v>
      </c>
      <c r="D1639" s="3" t="str">
        <f t="shared" si="110"/>
        <v>MIÉRCOLES</v>
      </c>
      <c r="E1639" s="427">
        <v>256695</v>
      </c>
      <c r="F1639" s="3" t="str">
        <f>IFERROR(VLOOKUP(E1639,BD!$L$2:$Q$66,2,0),0)</f>
        <v>POWERADE 3MORA+3FRUT PET 473MLX6</v>
      </c>
      <c r="G1639" s="424">
        <v>2250</v>
      </c>
      <c r="H1639" s="3">
        <f>+IFERROR(VLOOKUP(E1639,BD!$L$2:$Q$66,6,0),0)</f>
        <v>225</v>
      </c>
      <c r="I1639" s="96">
        <f>IFERROR(G1639*VLOOKUP($E1639,BD!$L$2:$Q$66,5,0),0)</f>
        <v>945</v>
      </c>
      <c r="J1639" s="3">
        <f t="shared" si="111"/>
        <v>2021</v>
      </c>
    </row>
    <row r="1640" spans="1:10" s="9" customFormat="1" hidden="1" x14ac:dyDescent="0.25">
      <c r="A1640" s="447">
        <v>44447</v>
      </c>
      <c r="B1640" s="55" t="str">
        <f t="shared" si="108"/>
        <v>SETIEMBRE</v>
      </c>
      <c r="C1640" s="55">
        <f t="shared" si="109"/>
        <v>37</v>
      </c>
      <c r="D1640" s="3" t="str">
        <f t="shared" si="110"/>
        <v>MIÉRCOLES</v>
      </c>
      <c r="E1640" s="427">
        <v>256720</v>
      </c>
      <c r="F1640" s="3" t="str">
        <f>IFERROR(VLOOKUP(E1640,BD!$L$2:$Q$66,2,0),0)</f>
        <v>FANTA NARANJA PET 500MLX6 BRANDEADO MOD</v>
      </c>
      <c r="G1640" s="424">
        <v>500</v>
      </c>
      <c r="H1640" s="3">
        <f>+IFERROR(VLOOKUP(E1640,BD!$L$2:$Q$66,6,0),0)</f>
        <v>420</v>
      </c>
      <c r="I1640" s="96">
        <f>IFERROR(G1640*VLOOKUP($E1640,BD!$L$2:$Q$66,5,0),0)</f>
        <v>210</v>
      </c>
      <c r="J1640" s="3">
        <f t="shared" si="111"/>
        <v>2021</v>
      </c>
    </row>
    <row r="1641" spans="1:10" s="9" customFormat="1" hidden="1" x14ac:dyDescent="0.25">
      <c r="A1641" s="447">
        <v>44447</v>
      </c>
      <c r="B1641" s="55" t="str">
        <f t="shared" si="108"/>
        <v>SETIEMBRE</v>
      </c>
      <c r="C1641" s="55">
        <f t="shared" si="109"/>
        <v>37</v>
      </c>
      <c r="D1641" s="3" t="str">
        <f t="shared" si="110"/>
        <v>MIÉRCOLES</v>
      </c>
      <c r="E1641" s="427">
        <v>256737</v>
      </c>
      <c r="F1641" s="3" t="str">
        <f>IFERROR(VLOOKUP(E1641,BD!$L$2:$Q$66,2,0),0)</f>
        <v>INCA KOLA SA ALUMINIO-3 DISEÑOS 330MLX12</v>
      </c>
      <c r="G1641" s="424">
        <v>750</v>
      </c>
      <c r="H1641" s="3">
        <f>+IFERROR(VLOOKUP(E1641,BD!$L$2:$Q$66,6,0),0)</f>
        <v>420</v>
      </c>
      <c r="I1641" s="96">
        <f>IFERROR(G1641*VLOOKUP($E1641,BD!$L$2:$Q$66,5,0),0)</f>
        <v>315</v>
      </c>
      <c r="J1641" s="3">
        <f t="shared" si="111"/>
        <v>2021</v>
      </c>
    </row>
    <row r="1642" spans="1:10" s="9" customFormat="1" hidden="1" x14ac:dyDescent="0.25">
      <c r="A1642" s="447">
        <v>44447</v>
      </c>
      <c r="B1642" s="55" t="str">
        <f t="shared" si="108"/>
        <v>SETIEMBRE</v>
      </c>
      <c r="C1642" s="55">
        <f t="shared" si="109"/>
        <v>37</v>
      </c>
      <c r="D1642" s="3" t="str">
        <f t="shared" si="110"/>
        <v>MIÉRCOLES</v>
      </c>
      <c r="E1642" s="427">
        <v>256382</v>
      </c>
      <c r="F1642" s="3" t="str">
        <f>IFERROR(VLOOKUP(E1642,BD!$L$2:$Q$66,2,0),0)</f>
        <v>COCA COLA VR 296MLX24 - STICKER</v>
      </c>
      <c r="G1642" s="424">
        <v>40</v>
      </c>
      <c r="H1642" s="3">
        <f>+IFERROR(VLOOKUP(E1642,BD!$L$2:$Q$66,6,0),0)</f>
        <v>40</v>
      </c>
      <c r="I1642" s="96">
        <f>IFERROR(G1642*VLOOKUP($E1642,BD!$L$2:$Q$66,5,0),0)</f>
        <v>9.2000000000000011</v>
      </c>
      <c r="J1642" s="3">
        <f t="shared" si="111"/>
        <v>2021</v>
      </c>
    </row>
    <row r="1643" spans="1:10" s="9" customFormat="1" hidden="1" x14ac:dyDescent="0.25">
      <c r="A1643" s="447">
        <v>44448</v>
      </c>
      <c r="B1643" s="55" t="str">
        <f t="shared" si="108"/>
        <v>SETIEMBRE</v>
      </c>
      <c r="C1643" s="55">
        <f t="shared" si="109"/>
        <v>37</v>
      </c>
      <c r="D1643" s="3" t="str">
        <f t="shared" si="110"/>
        <v>JUEVES</v>
      </c>
      <c r="E1643" s="427">
        <v>251633</v>
      </c>
      <c r="F1643" s="3" t="str">
        <f>IFERROR(VLOOKUP(E1643,BD!$L$2:$Q$66,2,0),0)</f>
        <v>SAN LUIS CON GAS PET 625MLX6</v>
      </c>
      <c r="G1643" s="424">
        <v>720</v>
      </c>
      <c r="H1643" s="3">
        <f>+IFERROR(VLOOKUP(E1643,BD!$L$2:$Q$66,6,0),0)</f>
        <v>180</v>
      </c>
      <c r="I1643" s="96">
        <f>IFERROR(G1643*VLOOKUP($E1643,BD!$L$2:$Q$66,5,0),0)</f>
        <v>302.39999999999998</v>
      </c>
      <c r="J1643" s="3">
        <f t="shared" si="111"/>
        <v>2021</v>
      </c>
    </row>
    <row r="1644" spans="1:10" s="9" customFormat="1" hidden="1" x14ac:dyDescent="0.25">
      <c r="A1644" s="447">
        <v>44448</v>
      </c>
      <c r="B1644" s="55" t="str">
        <f t="shared" si="108"/>
        <v>SETIEMBRE</v>
      </c>
      <c r="C1644" s="55">
        <f t="shared" si="109"/>
        <v>37</v>
      </c>
      <c r="D1644" s="3" t="str">
        <f t="shared" si="110"/>
        <v>JUEVES</v>
      </c>
      <c r="E1644" s="427">
        <v>256679</v>
      </c>
      <c r="F1644" s="3" t="str">
        <f>IFERROR(VLOOKUP(E1644,BD!$L$2:$Q$66,2,0),0)</f>
        <v>TRIPACK CC+IK+IK PFM 3LX3 - RFNN</v>
      </c>
      <c r="G1644" s="424">
        <v>720</v>
      </c>
      <c r="H1644" s="3">
        <f>+IFERROR(VLOOKUP(E1644,BD!$L$2:$Q$66,6,0),0)</f>
        <v>90</v>
      </c>
      <c r="I1644" s="96">
        <f>IFERROR(G1644*VLOOKUP($E1644,BD!$L$2:$Q$66,5,0),0)</f>
        <v>122.4</v>
      </c>
      <c r="J1644" s="3">
        <f t="shared" si="111"/>
        <v>2021</v>
      </c>
    </row>
    <row r="1645" spans="1:10" s="9" customFormat="1" hidden="1" x14ac:dyDescent="0.25">
      <c r="A1645" s="447">
        <v>44448</v>
      </c>
      <c r="B1645" s="55" t="str">
        <f t="shared" si="108"/>
        <v>SETIEMBRE</v>
      </c>
      <c r="C1645" s="55">
        <f t="shared" si="109"/>
        <v>37</v>
      </c>
      <c r="D1645" s="3" t="str">
        <f t="shared" si="110"/>
        <v>JUEVES</v>
      </c>
      <c r="E1645" s="427">
        <v>256488</v>
      </c>
      <c r="F1645" s="3" t="str">
        <f>IFERROR(VLOOKUP(E1645,BD!$L$2:$Q$66,2,0),0)</f>
        <v>INCA KOLA PET 3LX2 - RF</v>
      </c>
      <c r="G1645" s="424">
        <v>960</v>
      </c>
      <c r="H1645" s="3">
        <f>+IFERROR(VLOOKUP(E1645,BD!$L$2:$Q$66,6,0),0)</f>
        <v>120</v>
      </c>
      <c r="I1645" s="96">
        <f>IFERROR(G1645*VLOOKUP($E1645,BD!$L$2:$Q$66,5,0),0)</f>
        <v>163.20000000000002</v>
      </c>
      <c r="J1645" s="3">
        <f t="shared" si="111"/>
        <v>2021</v>
      </c>
    </row>
    <row r="1646" spans="1:10" s="9" customFormat="1" hidden="1" x14ac:dyDescent="0.25">
      <c r="A1646" s="447">
        <v>44448</v>
      </c>
      <c r="B1646" s="55" t="str">
        <f t="shared" si="108"/>
        <v>SETIEMBRE</v>
      </c>
      <c r="C1646" s="55">
        <f t="shared" si="109"/>
        <v>37</v>
      </c>
      <c r="D1646" s="3" t="str">
        <f t="shared" si="110"/>
        <v>JUEVES</v>
      </c>
      <c r="E1646" s="427">
        <v>256674</v>
      </c>
      <c r="F1646" s="3" t="str">
        <f>IFERROR(VLOOKUP(E1646,BD!$L$2:$Q$66,2,0),0)</f>
        <v>COCA-COLA PET 1.5LX2 RF</v>
      </c>
      <c r="G1646" s="424">
        <v>864</v>
      </c>
      <c r="H1646" s="3">
        <f>+IFERROR(VLOOKUP(E1646,BD!$L$2:$Q$66,6,0),0)</f>
        <v>198</v>
      </c>
      <c r="I1646" s="96">
        <f>IFERROR(G1646*VLOOKUP($E1646,BD!$L$2:$Q$66,5,0),0)</f>
        <v>146.88000000000002</v>
      </c>
      <c r="J1646" s="3">
        <f t="shared" si="111"/>
        <v>2021</v>
      </c>
    </row>
    <row r="1647" spans="1:10" s="9" customFormat="1" hidden="1" x14ac:dyDescent="0.25">
      <c r="A1647" s="447">
        <v>44448</v>
      </c>
      <c r="B1647" s="55" t="str">
        <f t="shared" si="108"/>
        <v>SETIEMBRE</v>
      </c>
      <c r="C1647" s="55">
        <f t="shared" si="109"/>
        <v>37</v>
      </c>
      <c r="D1647" s="3" t="str">
        <f t="shared" si="110"/>
        <v>JUEVES</v>
      </c>
      <c r="E1647" s="427">
        <v>256674</v>
      </c>
      <c r="F1647" s="3" t="str">
        <f>IFERROR(VLOOKUP(E1647,BD!$L$2:$Q$66,2,0),0)</f>
        <v>COCA-COLA PET 1.5LX2 RF</v>
      </c>
      <c r="G1647" s="424">
        <v>432</v>
      </c>
      <c r="H1647" s="3">
        <f>+IFERROR(VLOOKUP(E1647,BD!$L$2:$Q$66,6,0),0)</f>
        <v>198</v>
      </c>
      <c r="I1647" s="96">
        <f>IFERROR(G1647*VLOOKUP($E1647,BD!$L$2:$Q$66,5,0),0)</f>
        <v>73.440000000000012</v>
      </c>
      <c r="J1647" s="3">
        <f t="shared" si="111"/>
        <v>2021</v>
      </c>
    </row>
    <row r="1648" spans="1:10" s="9" customFormat="1" hidden="1" x14ac:dyDescent="0.25">
      <c r="A1648" s="447">
        <v>44448</v>
      </c>
      <c r="B1648" s="55" t="str">
        <f t="shared" si="108"/>
        <v>SETIEMBRE</v>
      </c>
      <c r="C1648" s="55">
        <f t="shared" si="109"/>
        <v>37</v>
      </c>
      <c r="D1648" s="3" t="str">
        <f t="shared" si="110"/>
        <v>JUEVES</v>
      </c>
      <c r="E1648" s="427">
        <v>256675</v>
      </c>
      <c r="F1648" s="3" t="str">
        <f>IFERROR(VLOOKUP(E1648,BD!$L$2:$Q$66,2,0),0)</f>
        <v>INCA KOLA PET 1.5LX2 RF</v>
      </c>
      <c r="G1648" s="424">
        <v>1296</v>
      </c>
      <c r="H1648" s="3">
        <f>+IFERROR(VLOOKUP(E1648,BD!$L$2:$Q$66,6,0),0)</f>
        <v>198</v>
      </c>
      <c r="I1648" s="96">
        <f>IFERROR(G1648*VLOOKUP($E1648,BD!$L$2:$Q$66,5,0),0)</f>
        <v>220.32000000000002</v>
      </c>
      <c r="J1648" s="3">
        <f t="shared" si="111"/>
        <v>2021</v>
      </c>
    </row>
    <row r="1649" spans="1:10" s="9" customFormat="1" hidden="1" x14ac:dyDescent="0.25">
      <c r="A1649" s="447">
        <v>44448</v>
      </c>
      <c r="B1649" s="55" t="str">
        <f t="shared" si="108"/>
        <v>SETIEMBRE</v>
      </c>
      <c r="C1649" s="55">
        <f t="shared" si="109"/>
        <v>37</v>
      </c>
      <c r="D1649" s="3" t="str">
        <f t="shared" si="110"/>
        <v>JUEVES</v>
      </c>
      <c r="E1649" s="427">
        <v>256676</v>
      </c>
      <c r="F1649" s="3" t="str">
        <f>IFERROR(VLOOKUP(E1649,BD!$L$2:$Q$66,2,0),0)</f>
        <v>TWO PACK CC PFM 3LX2 - RFCC</v>
      </c>
      <c r="G1649" s="424">
        <v>240</v>
      </c>
      <c r="H1649" s="3">
        <f>+IFERROR(VLOOKUP(E1649,BD!$L$2:$Q$66,6,0),0)</f>
        <v>120</v>
      </c>
      <c r="I1649" s="96">
        <f>IFERROR(G1649*VLOOKUP($E1649,BD!$L$2:$Q$66,5,0),0)</f>
        <v>40.800000000000004</v>
      </c>
      <c r="J1649" s="3">
        <f t="shared" si="111"/>
        <v>2021</v>
      </c>
    </row>
    <row r="1650" spans="1:10" s="9" customFormat="1" hidden="1" x14ac:dyDescent="0.25">
      <c r="A1650" s="447">
        <v>44448</v>
      </c>
      <c r="B1650" s="55" t="str">
        <f t="shared" si="108"/>
        <v>SETIEMBRE</v>
      </c>
      <c r="C1650" s="55">
        <f t="shared" si="109"/>
        <v>37</v>
      </c>
      <c r="D1650" s="3" t="str">
        <f t="shared" si="110"/>
        <v>JUEVES</v>
      </c>
      <c r="E1650" s="427">
        <v>256678</v>
      </c>
      <c r="F1650" s="3" t="str">
        <f>IFERROR(VLOOKUP(E1650,BD!$L$2:$Q$66,2,0),0)</f>
        <v>TRIPACK (CC+IK)PFM+FT PET 3LX3 - RFNN</v>
      </c>
      <c r="G1650" s="424">
        <v>3060</v>
      </c>
      <c r="H1650" s="3">
        <f>+IFERROR(VLOOKUP(E1650,BD!$L$2:$Q$66,6,0),0)</f>
        <v>90</v>
      </c>
      <c r="I1650" s="96">
        <f>IFERROR(G1650*VLOOKUP($E1650,BD!$L$2:$Q$66,5,0),0)</f>
        <v>520.20000000000005</v>
      </c>
      <c r="J1650" s="3">
        <f t="shared" si="111"/>
        <v>2021</v>
      </c>
    </row>
    <row r="1651" spans="1:10" s="9" customFormat="1" hidden="1" x14ac:dyDescent="0.25">
      <c r="A1651" s="447">
        <v>44448</v>
      </c>
      <c r="B1651" s="55" t="str">
        <f t="shared" si="108"/>
        <v>SETIEMBRE</v>
      </c>
      <c r="C1651" s="55">
        <f t="shared" si="109"/>
        <v>37</v>
      </c>
      <c r="D1651" s="3" t="str">
        <f t="shared" si="110"/>
        <v>JUEVES</v>
      </c>
      <c r="E1651" s="427">
        <v>251429</v>
      </c>
      <c r="F1651" s="3" t="str">
        <f>IFERROR(VLOOKUP(E1651,BD!$L$2:$Q$66,2,0),0)</f>
        <v>SAN LUIS SIN GAS PET2500X6 STICKER</v>
      </c>
      <c r="G1651" s="424">
        <v>1104</v>
      </c>
      <c r="H1651" s="3">
        <f>+IFERROR(VLOOKUP(E1651,BD!$L$2:$Q$66,6,0),0)</f>
        <v>48</v>
      </c>
      <c r="I1651" s="96">
        <f>IFERROR(G1651*VLOOKUP($E1651,BD!$L$2:$Q$66,5,0),0)</f>
        <v>441.6</v>
      </c>
      <c r="J1651" s="3">
        <f t="shared" si="111"/>
        <v>2021</v>
      </c>
    </row>
    <row r="1652" spans="1:10" s="9" customFormat="1" hidden="1" x14ac:dyDescent="0.25">
      <c r="A1652" s="447">
        <v>44448</v>
      </c>
      <c r="B1652" s="55" t="str">
        <f t="shared" si="108"/>
        <v>SETIEMBRE</v>
      </c>
      <c r="C1652" s="55">
        <f t="shared" si="109"/>
        <v>37</v>
      </c>
      <c r="D1652" s="3" t="str">
        <f t="shared" si="110"/>
        <v>JUEVES</v>
      </c>
      <c r="E1652" s="427">
        <v>251429</v>
      </c>
      <c r="F1652" s="3" t="str">
        <f>IFERROR(VLOOKUP(E1652,BD!$L$2:$Q$66,2,0),0)</f>
        <v>SAN LUIS SIN GAS PET2500X6 STICKER</v>
      </c>
      <c r="G1652" s="424">
        <v>480</v>
      </c>
      <c r="H1652" s="3">
        <f>+IFERROR(VLOOKUP(E1652,BD!$L$2:$Q$66,6,0),0)</f>
        <v>48</v>
      </c>
      <c r="I1652" s="96">
        <f>IFERROR(G1652*VLOOKUP($E1652,BD!$L$2:$Q$66,5,0),0)</f>
        <v>192</v>
      </c>
      <c r="J1652" s="3">
        <f t="shared" si="111"/>
        <v>2021</v>
      </c>
    </row>
    <row r="1653" spans="1:10" s="9" customFormat="1" hidden="1" x14ac:dyDescent="0.25">
      <c r="A1653" s="447">
        <v>44448</v>
      </c>
      <c r="B1653" s="55" t="str">
        <f t="shared" si="108"/>
        <v>SETIEMBRE</v>
      </c>
      <c r="C1653" s="55">
        <f t="shared" si="109"/>
        <v>37</v>
      </c>
      <c r="D1653" s="3" t="str">
        <f t="shared" si="110"/>
        <v>JUEVES</v>
      </c>
      <c r="E1653" s="427">
        <v>251406</v>
      </c>
      <c r="F1653" s="3" t="str">
        <f>IFERROR(VLOOKUP(E1653,BD!$L$2:$Q$66,2,0),0)</f>
        <v>COCA-COLA SIN AZUCAR PET 1.5LX2</v>
      </c>
      <c r="G1653" s="424">
        <v>1296</v>
      </c>
      <c r="H1653" s="3">
        <f>+IFERROR(VLOOKUP(E1653,BD!$L$2:$Q$66,6,0),0)</f>
        <v>198</v>
      </c>
      <c r="I1653" s="96">
        <f>IFERROR(G1653*VLOOKUP($E1653,BD!$L$2:$Q$66,5,0),0)</f>
        <v>220.32000000000002</v>
      </c>
      <c r="J1653" s="3">
        <f t="shared" si="111"/>
        <v>2021</v>
      </c>
    </row>
    <row r="1654" spans="1:10" s="9" customFormat="1" hidden="1" x14ac:dyDescent="0.25">
      <c r="A1654" s="447">
        <v>44448</v>
      </c>
      <c r="B1654" s="55" t="str">
        <f t="shared" si="108"/>
        <v>SETIEMBRE</v>
      </c>
      <c r="C1654" s="55">
        <f t="shared" si="109"/>
        <v>37</v>
      </c>
      <c r="D1654" s="3" t="str">
        <f t="shared" si="110"/>
        <v>JUEVES</v>
      </c>
      <c r="E1654" s="427">
        <v>256677</v>
      </c>
      <c r="F1654" s="3" t="str">
        <f>IFERROR(VLOOKUP(E1654,BD!$L$2:$Q$66,2,0),0)</f>
        <v>TWO PACK CC + IK PFM 3LX2 - RFNN</v>
      </c>
      <c r="G1654" s="424">
        <v>1680</v>
      </c>
      <c r="H1654" s="3">
        <f>+IFERROR(VLOOKUP(E1654,BD!$L$2:$Q$66,6,0),0)</f>
        <v>120</v>
      </c>
      <c r="I1654" s="96">
        <f>IFERROR(G1654*VLOOKUP($E1654,BD!$L$2:$Q$66,5,0),0)</f>
        <v>285.60000000000002</v>
      </c>
      <c r="J1654" s="3">
        <f t="shared" si="111"/>
        <v>2021</v>
      </c>
    </row>
    <row r="1655" spans="1:10" s="9" customFormat="1" hidden="1" x14ac:dyDescent="0.25">
      <c r="A1655" s="447">
        <v>44448</v>
      </c>
      <c r="B1655" s="55" t="str">
        <f t="shared" si="108"/>
        <v>SETIEMBRE</v>
      </c>
      <c r="C1655" s="55">
        <f t="shared" si="109"/>
        <v>37</v>
      </c>
      <c r="D1655" s="3" t="str">
        <f t="shared" si="110"/>
        <v>JUEVES</v>
      </c>
      <c r="E1655" s="427">
        <v>256382</v>
      </c>
      <c r="F1655" s="3" t="str">
        <f>IFERROR(VLOOKUP(E1655,BD!$L$2:$Q$66,2,0),0)</f>
        <v>COCA COLA VR 296MLX24 - STICKER</v>
      </c>
      <c r="G1655" s="424">
        <v>80</v>
      </c>
      <c r="H1655" s="3">
        <f>+IFERROR(VLOOKUP(E1655,BD!$L$2:$Q$66,6,0),0)</f>
        <v>40</v>
      </c>
      <c r="I1655" s="96">
        <f>IFERROR(G1655*VLOOKUP($E1655,BD!$L$2:$Q$66,5,0),0)</f>
        <v>18.400000000000002</v>
      </c>
      <c r="J1655" s="3">
        <f t="shared" si="111"/>
        <v>2021</v>
      </c>
    </row>
    <row r="1656" spans="1:10" s="9" customFormat="1" hidden="1" x14ac:dyDescent="0.25">
      <c r="A1656" s="447">
        <v>44448</v>
      </c>
      <c r="B1656" s="55" t="str">
        <f t="shared" si="108"/>
        <v>SETIEMBRE</v>
      </c>
      <c r="C1656" s="55">
        <f t="shared" si="109"/>
        <v>37</v>
      </c>
      <c r="D1656" s="3" t="str">
        <f t="shared" si="110"/>
        <v>JUEVES</v>
      </c>
      <c r="E1656" s="427">
        <v>256381</v>
      </c>
      <c r="F1656" s="3" t="str">
        <f>IFERROR(VLOOKUP(E1656,BD!$L$2:$Q$66,2,0),0)</f>
        <v>INCA KOLA VR 1.5LX8 - STICKER</v>
      </c>
      <c r="G1656" s="424">
        <v>30</v>
      </c>
      <c r="H1656" s="3">
        <f>+IFERROR(VLOOKUP(E1656,BD!$L$2:$Q$66,6,0),0)</f>
        <v>30</v>
      </c>
      <c r="I1656" s="96">
        <f>IFERROR(G1656*VLOOKUP($E1656,BD!$L$2:$Q$66,5,0),0)</f>
        <v>12</v>
      </c>
      <c r="J1656" s="3">
        <f t="shared" si="111"/>
        <v>2021</v>
      </c>
    </row>
    <row r="1657" spans="1:10" s="9" customFormat="1" hidden="1" x14ac:dyDescent="0.25">
      <c r="A1657" s="447">
        <v>44448</v>
      </c>
      <c r="B1657" s="55" t="str">
        <f t="shared" si="108"/>
        <v>SETIEMBRE</v>
      </c>
      <c r="C1657" s="55">
        <f t="shared" si="109"/>
        <v>37</v>
      </c>
      <c r="D1657" s="3" t="str">
        <f t="shared" si="110"/>
        <v>JUEVES</v>
      </c>
      <c r="E1657" s="427">
        <v>256383</v>
      </c>
      <c r="F1657" s="3" t="str">
        <f>IFERROR(VLOOKUP(E1657,BD!$L$2:$Q$66,2,0),0)</f>
        <v>COCA COLA VR 1.5LX8 - STICKER</v>
      </c>
      <c r="G1657" s="424">
        <v>30</v>
      </c>
      <c r="H1657" s="3">
        <f>+IFERROR(VLOOKUP(E1657,BD!$L$2:$Q$66,6,0),0)</f>
        <v>30</v>
      </c>
      <c r="I1657" s="96">
        <f>IFERROR(G1657*VLOOKUP($E1657,BD!$L$2:$Q$66,5,0),0)</f>
        <v>6.9</v>
      </c>
      <c r="J1657" s="3">
        <f t="shared" si="111"/>
        <v>2021</v>
      </c>
    </row>
    <row r="1658" spans="1:10" s="9" customFormat="1" hidden="1" x14ac:dyDescent="0.25">
      <c r="A1658" s="447">
        <v>44448</v>
      </c>
      <c r="B1658" s="55" t="str">
        <f t="shared" si="108"/>
        <v>SETIEMBRE</v>
      </c>
      <c r="C1658" s="55">
        <f t="shared" si="109"/>
        <v>37</v>
      </c>
      <c r="D1658" s="3" t="str">
        <f t="shared" si="110"/>
        <v>JUEVES</v>
      </c>
      <c r="E1658" s="427">
        <v>256379</v>
      </c>
      <c r="F1658" s="3" t="str">
        <f>IFERROR(VLOOKUP(E1658,BD!$L$2:$Q$66,2,0),0)</f>
        <v>INCA KOLA VR 625MLX12 - STICKER</v>
      </c>
      <c r="G1658" s="424">
        <v>50</v>
      </c>
      <c r="H1658" s="3">
        <f>+IFERROR(VLOOKUP(E1658,BD!$L$2:$Q$66,6,0),0)</f>
        <v>50</v>
      </c>
      <c r="I1658" s="96">
        <f>IFERROR(G1658*VLOOKUP($E1658,BD!$L$2:$Q$66,5,0),0)</f>
        <v>20</v>
      </c>
      <c r="J1658" s="3">
        <f t="shared" si="111"/>
        <v>2021</v>
      </c>
    </row>
    <row r="1659" spans="1:10" s="9" customFormat="1" hidden="1" x14ac:dyDescent="0.25">
      <c r="A1659" s="447">
        <v>44448</v>
      </c>
      <c r="B1659" s="55" t="str">
        <f t="shared" ref="B1659:B1722" si="112">UPPER(TEXT(A1659,"MMMM"))</f>
        <v>SETIEMBRE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7">
        <v>256737</v>
      </c>
      <c r="F1659" s="3" t="str">
        <f>IFERROR(VLOOKUP(E1659,BD!$L$2:$Q$66,2,0),0)</f>
        <v>INCA KOLA SA ALUMINIO-3 DISEÑOS 330MLX12</v>
      </c>
      <c r="G1659" s="424">
        <v>750</v>
      </c>
      <c r="H1659" s="3">
        <f>+IFERROR(VLOOKUP(E1659,BD!$L$2:$Q$66,6,0),0)</f>
        <v>420</v>
      </c>
      <c r="I1659" s="96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hidden="1" x14ac:dyDescent="0.25">
      <c r="A1660" s="447">
        <v>44448</v>
      </c>
      <c r="B1660" s="55" t="str">
        <f t="shared" si="112"/>
        <v>SETIEMBRE</v>
      </c>
      <c r="C1660" s="55">
        <f t="shared" si="113"/>
        <v>37</v>
      </c>
      <c r="D1660" s="3" t="str">
        <f t="shared" si="114"/>
        <v>JUEVES</v>
      </c>
      <c r="E1660" s="427">
        <v>256682</v>
      </c>
      <c r="F1660" s="3" t="str">
        <f>IFERROR(VLOOKUP(E1660,BD!$L$2:$Q$66,2,0),0)</f>
        <v>TRIPACK (FT NAR+SP)PET+IK RF PFM 3L</v>
      </c>
      <c r="G1660" s="424">
        <v>810</v>
      </c>
      <c r="H1660" s="3">
        <f>+IFERROR(VLOOKUP(E1660,BD!$L$2:$Q$66,6,0),0)</f>
        <v>90</v>
      </c>
      <c r="I1660" s="96">
        <f>IFERROR(G1660*VLOOKUP($E1660,BD!$L$2:$Q$66,5,0),0)</f>
        <v>137.70000000000002</v>
      </c>
      <c r="J1660" s="3">
        <f t="shared" si="115"/>
        <v>2021</v>
      </c>
    </row>
    <row r="1661" spans="1:10" s="9" customFormat="1" hidden="1" x14ac:dyDescent="0.25">
      <c r="A1661" s="447">
        <v>44448</v>
      </c>
      <c r="B1661" s="55" t="str">
        <f t="shared" si="112"/>
        <v>SETIEMBRE</v>
      </c>
      <c r="C1661" s="55">
        <f t="shared" si="113"/>
        <v>37</v>
      </c>
      <c r="D1661" s="3" t="str">
        <f t="shared" si="114"/>
        <v>JUEVES</v>
      </c>
      <c r="E1661" s="427">
        <v>256652</v>
      </c>
      <c r="F1661" s="3" t="str">
        <f>IFERROR(VLOOKUP(E1661,BD!$L$2:$Q$66,2,0),0)</f>
        <v>TRIPACK FT NAR+FT KI+SP PET 3L</v>
      </c>
      <c r="G1661" s="424">
        <v>270</v>
      </c>
      <c r="H1661" s="3">
        <f>+IFERROR(VLOOKUP(E1661,BD!$L$2:$Q$66,6,0),0)</f>
        <v>90</v>
      </c>
      <c r="I1661" s="96">
        <f>IFERROR(G1661*VLOOKUP($E1661,BD!$L$2:$Q$66,5,0),0)</f>
        <v>45.900000000000006</v>
      </c>
      <c r="J1661" s="3">
        <f t="shared" si="115"/>
        <v>2021</v>
      </c>
    </row>
    <row r="1662" spans="1:10" s="9" customFormat="1" hidden="1" x14ac:dyDescent="0.25">
      <c r="A1662" s="447">
        <v>44448</v>
      </c>
      <c r="B1662" s="55" t="str">
        <f t="shared" si="112"/>
        <v>SETIEMBRE</v>
      </c>
      <c r="C1662" s="55">
        <f t="shared" si="113"/>
        <v>37</v>
      </c>
      <c r="D1662" s="3" t="str">
        <f t="shared" si="114"/>
        <v>JUEVES</v>
      </c>
      <c r="E1662" s="427">
        <v>256652</v>
      </c>
      <c r="F1662" s="3" t="str">
        <f>IFERROR(VLOOKUP(E1662,BD!$L$2:$Q$66,2,0),0)</f>
        <v>TRIPACK FT NAR+FT KI+SP PET 3L</v>
      </c>
      <c r="G1662" s="424">
        <v>900</v>
      </c>
      <c r="H1662" s="3">
        <f>+IFERROR(VLOOKUP(E1662,BD!$L$2:$Q$66,6,0),0)</f>
        <v>90</v>
      </c>
      <c r="I1662" s="96">
        <f>IFERROR(G1662*VLOOKUP($E1662,BD!$L$2:$Q$66,5,0),0)</f>
        <v>153</v>
      </c>
      <c r="J1662" s="3">
        <f t="shared" si="115"/>
        <v>2021</v>
      </c>
    </row>
    <row r="1663" spans="1:10" s="9" customFormat="1" hidden="1" x14ac:dyDescent="0.25">
      <c r="A1663" s="447">
        <v>44448</v>
      </c>
      <c r="B1663" s="55" t="str">
        <f t="shared" si="112"/>
        <v>SETIEMBRE</v>
      </c>
      <c r="C1663" s="55">
        <f t="shared" si="113"/>
        <v>37</v>
      </c>
      <c r="D1663" s="3" t="str">
        <f t="shared" si="114"/>
        <v>JUEVES</v>
      </c>
      <c r="E1663" s="427">
        <v>256720</v>
      </c>
      <c r="F1663" s="3" t="str">
        <f>IFERROR(VLOOKUP(E1663,BD!$L$2:$Q$66,2,0),0)</f>
        <v>FANTA NARANJA PET 500MLX6 BRANDEADO MOD</v>
      </c>
      <c r="G1663" s="424">
        <v>1000</v>
      </c>
      <c r="H1663" s="3">
        <f>+IFERROR(VLOOKUP(E1663,BD!$L$2:$Q$66,6,0),0)</f>
        <v>420</v>
      </c>
      <c r="I1663" s="96">
        <f>IFERROR(G1663*VLOOKUP($E1663,BD!$L$2:$Q$66,5,0),0)</f>
        <v>420</v>
      </c>
      <c r="J1663" s="3">
        <f t="shared" si="115"/>
        <v>2021</v>
      </c>
    </row>
    <row r="1664" spans="1:10" s="9" customFormat="1" hidden="1" x14ac:dyDescent="0.25">
      <c r="A1664" s="447">
        <v>44448</v>
      </c>
      <c r="B1664" s="55" t="str">
        <f t="shared" si="112"/>
        <v>SETIEMBRE</v>
      </c>
      <c r="C1664" s="55">
        <f t="shared" si="113"/>
        <v>37</v>
      </c>
      <c r="D1664" s="3" t="str">
        <f t="shared" si="114"/>
        <v>JUEVES</v>
      </c>
      <c r="E1664" s="427">
        <v>256721</v>
      </c>
      <c r="F1664" s="3" t="str">
        <f>IFERROR(VLOOKUP(E1664,BD!$L$2:$Q$66,2,0),0)</f>
        <v>SPRITE PET 500MLX6 BRANDEADO MOD</v>
      </c>
      <c r="G1664" s="424">
        <v>1000</v>
      </c>
      <c r="H1664" s="3">
        <f>+IFERROR(VLOOKUP(E1664,BD!$L$2:$Q$66,6,0),0)</f>
        <v>420</v>
      </c>
      <c r="I1664" s="96">
        <f>IFERROR(G1664*VLOOKUP($E1664,BD!$L$2:$Q$66,5,0),0)</f>
        <v>420</v>
      </c>
      <c r="J1664" s="3">
        <f t="shared" si="115"/>
        <v>2021</v>
      </c>
    </row>
    <row r="1665" spans="1:10" s="9" customFormat="1" hidden="1" x14ac:dyDescent="0.25">
      <c r="A1665" s="447">
        <v>44449</v>
      </c>
      <c r="B1665" s="55" t="str">
        <f t="shared" si="112"/>
        <v>SETIEMBRE</v>
      </c>
      <c r="C1665" s="55">
        <f t="shared" si="113"/>
        <v>37</v>
      </c>
      <c r="D1665" s="3" t="str">
        <f t="shared" si="114"/>
        <v>VIERNES</v>
      </c>
      <c r="E1665" s="427">
        <v>256737</v>
      </c>
      <c r="F1665" s="3" t="str">
        <f>IFERROR(VLOOKUP(E1665,BD!$L$2:$Q$66,2,0),0)</f>
        <v>INCA KOLA SA ALUMINIO-3 DISEÑOS 330MLX12</v>
      </c>
      <c r="G1665" s="424">
        <v>1000</v>
      </c>
      <c r="H1665" s="3">
        <f>+IFERROR(VLOOKUP(E1665,BD!$L$2:$Q$66,6,0),0)</f>
        <v>420</v>
      </c>
      <c r="I1665" s="96">
        <f>IFERROR(G1665*VLOOKUP($E1665,BD!$L$2:$Q$66,5,0),0)</f>
        <v>420</v>
      </c>
      <c r="J1665" s="3">
        <f t="shared" si="115"/>
        <v>2021</v>
      </c>
    </row>
    <row r="1666" spans="1:10" s="9" customFormat="1" hidden="1" x14ac:dyDescent="0.25">
      <c r="A1666" s="447">
        <v>44449</v>
      </c>
      <c r="B1666" s="55" t="str">
        <f t="shared" si="112"/>
        <v>SETIEMBRE</v>
      </c>
      <c r="C1666" s="55">
        <f t="shared" si="113"/>
        <v>37</v>
      </c>
      <c r="D1666" s="3" t="str">
        <f t="shared" si="114"/>
        <v>VIERNES</v>
      </c>
      <c r="E1666" s="427">
        <v>256675</v>
      </c>
      <c r="F1666" s="3" t="str">
        <f>IFERROR(VLOOKUP(E1666,BD!$L$2:$Q$66,2,0),0)</f>
        <v>INCA KOLA PET 1.5LX2 RF</v>
      </c>
      <c r="G1666" s="424">
        <v>216</v>
      </c>
      <c r="H1666" s="3">
        <f>+IFERROR(VLOOKUP(E1666,BD!$L$2:$Q$66,6,0),0)</f>
        <v>198</v>
      </c>
      <c r="I1666" s="96">
        <f>IFERROR(G1666*VLOOKUP($E1666,BD!$L$2:$Q$66,5,0),0)</f>
        <v>36.720000000000006</v>
      </c>
      <c r="J1666" s="3">
        <f t="shared" si="115"/>
        <v>2021</v>
      </c>
    </row>
    <row r="1667" spans="1:10" s="9" customFormat="1" hidden="1" x14ac:dyDescent="0.25">
      <c r="A1667" s="447">
        <v>44449</v>
      </c>
      <c r="B1667" s="55" t="str">
        <f t="shared" si="112"/>
        <v>SETIEMBRE</v>
      </c>
      <c r="C1667" s="55">
        <f t="shared" si="113"/>
        <v>37</v>
      </c>
      <c r="D1667" s="3" t="str">
        <f t="shared" si="114"/>
        <v>VIERNES</v>
      </c>
      <c r="E1667" s="427">
        <v>256675</v>
      </c>
      <c r="F1667" s="3" t="str">
        <f>IFERROR(VLOOKUP(E1667,BD!$L$2:$Q$66,2,0),0)</f>
        <v>INCA KOLA PET 1.5LX2 RF</v>
      </c>
      <c r="G1667" s="425">
        <v>648</v>
      </c>
      <c r="H1667" s="3">
        <f>+IFERROR(VLOOKUP(E1667,BD!$L$2:$Q$66,6,0),0)</f>
        <v>198</v>
      </c>
      <c r="I1667" s="96">
        <f>IFERROR(G1667*VLOOKUP($E1667,BD!$L$2:$Q$66,5,0),0)</f>
        <v>110.16000000000001</v>
      </c>
      <c r="J1667" s="3">
        <f t="shared" si="115"/>
        <v>2021</v>
      </c>
    </row>
    <row r="1668" spans="1:10" s="9" customFormat="1" hidden="1" x14ac:dyDescent="0.25">
      <c r="A1668" s="447">
        <v>44449</v>
      </c>
      <c r="B1668" s="55" t="str">
        <f t="shared" si="112"/>
        <v>SETIEMBRE</v>
      </c>
      <c r="C1668" s="55">
        <f t="shared" si="113"/>
        <v>37</v>
      </c>
      <c r="D1668" s="3" t="str">
        <f t="shared" si="114"/>
        <v>VIERNES</v>
      </c>
      <c r="E1668" s="427">
        <v>256682</v>
      </c>
      <c r="F1668" s="3" t="str">
        <f>IFERROR(VLOOKUP(E1668,BD!$L$2:$Q$66,2,0),0)</f>
        <v>TRIPACK (FT NAR+SP)PET+IK RF PFM 3L</v>
      </c>
      <c r="G1668" s="424">
        <v>180</v>
      </c>
      <c r="H1668" s="3">
        <f>+IFERROR(VLOOKUP(E1668,BD!$L$2:$Q$66,6,0),0)</f>
        <v>90</v>
      </c>
      <c r="I1668" s="96">
        <f>IFERROR(G1668*VLOOKUP($E1668,BD!$L$2:$Q$66,5,0),0)</f>
        <v>30.6</v>
      </c>
      <c r="J1668" s="3">
        <f t="shared" si="115"/>
        <v>2021</v>
      </c>
    </row>
    <row r="1669" spans="1:10" s="9" customFormat="1" hidden="1" x14ac:dyDescent="0.25">
      <c r="A1669" s="447">
        <v>44449</v>
      </c>
      <c r="B1669" s="55" t="str">
        <f t="shared" si="112"/>
        <v>SETIEMBRE</v>
      </c>
      <c r="C1669" s="55">
        <f t="shared" si="113"/>
        <v>37</v>
      </c>
      <c r="D1669" s="3" t="str">
        <f t="shared" si="114"/>
        <v>VIERNES</v>
      </c>
      <c r="E1669" s="427">
        <v>251429</v>
      </c>
      <c r="F1669" s="3" t="str">
        <f>IFERROR(VLOOKUP(E1669,BD!$L$2:$Q$66,2,0),0)</f>
        <v>SAN LUIS SIN GAS PET2500X6 STICKER</v>
      </c>
      <c r="G1669" s="425">
        <v>336</v>
      </c>
      <c r="H1669" s="3">
        <f>+IFERROR(VLOOKUP(E1669,BD!$L$2:$Q$66,6,0),0)</f>
        <v>48</v>
      </c>
      <c r="I1669" s="96">
        <f>IFERROR(G1669*VLOOKUP($E1669,BD!$L$2:$Q$66,5,0),0)</f>
        <v>134.4</v>
      </c>
      <c r="J1669" s="3">
        <f t="shared" si="115"/>
        <v>2021</v>
      </c>
    </row>
    <row r="1670" spans="1:10" s="9" customFormat="1" hidden="1" x14ac:dyDescent="0.25">
      <c r="A1670" s="447">
        <v>44449</v>
      </c>
      <c r="B1670" s="55" t="str">
        <f t="shared" si="112"/>
        <v>SETIEMBRE</v>
      </c>
      <c r="C1670" s="55">
        <f t="shared" si="113"/>
        <v>37</v>
      </c>
      <c r="D1670" s="3" t="str">
        <f t="shared" si="114"/>
        <v>VIERNES</v>
      </c>
      <c r="E1670" s="427">
        <v>256488</v>
      </c>
      <c r="F1670" s="3" t="str">
        <f>IFERROR(VLOOKUP(E1670,BD!$L$2:$Q$66,2,0),0)</f>
        <v>INCA KOLA PET 3LX2 - RF</v>
      </c>
      <c r="G1670" s="424">
        <v>720</v>
      </c>
      <c r="H1670" s="3">
        <f>+IFERROR(VLOOKUP(E1670,BD!$L$2:$Q$66,6,0),0)</f>
        <v>120</v>
      </c>
      <c r="I1670" s="96">
        <f>IFERROR(G1670*VLOOKUP($E1670,BD!$L$2:$Q$66,5,0),0)</f>
        <v>122.4</v>
      </c>
      <c r="J1670" s="3">
        <f t="shared" si="115"/>
        <v>2021</v>
      </c>
    </row>
    <row r="1671" spans="1:10" s="9" customFormat="1" hidden="1" x14ac:dyDescent="0.25">
      <c r="A1671" s="447">
        <v>44449</v>
      </c>
      <c r="B1671" s="55" t="str">
        <f t="shared" si="112"/>
        <v>SETIEMBRE</v>
      </c>
      <c r="C1671" s="55">
        <f t="shared" si="113"/>
        <v>37</v>
      </c>
      <c r="D1671" s="3" t="str">
        <f t="shared" si="114"/>
        <v>VIERNES</v>
      </c>
      <c r="E1671" s="427">
        <v>251406</v>
      </c>
      <c r="F1671" s="3" t="str">
        <f>IFERROR(VLOOKUP(E1671,BD!$L$2:$Q$66,2,0),0)</f>
        <v>COCA-COLA SIN AZUCAR PET 1.5LX2</v>
      </c>
      <c r="G1671" s="424">
        <v>1296</v>
      </c>
      <c r="H1671" s="3">
        <f>+IFERROR(VLOOKUP(E1671,BD!$L$2:$Q$66,6,0),0)</f>
        <v>198</v>
      </c>
      <c r="I1671" s="96">
        <f>IFERROR(G1671*VLOOKUP($E1671,BD!$L$2:$Q$66,5,0),0)</f>
        <v>220.32000000000002</v>
      </c>
      <c r="J1671" s="3">
        <f t="shared" si="115"/>
        <v>2021</v>
      </c>
    </row>
    <row r="1672" spans="1:10" s="9" customFormat="1" hidden="1" x14ac:dyDescent="0.25">
      <c r="A1672" s="447">
        <v>44449</v>
      </c>
      <c r="B1672" s="55" t="str">
        <f t="shared" si="112"/>
        <v>SETIEMBRE</v>
      </c>
      <c r="C1672" s="55">
        <f t="shared" si="113"/>
        <v>37</v>
      </c>
      <c r="D1672" s="3" t="str">
        <f t="shared" si="114"/>
        <v>VIERNES</v>
      </c>
      <c r="E1672" s="427">
        <v>256677</v>
      </c>
      <c r="F1672" s="3" t="str">
        <f>IFERROR(VLOOKUP(E1672,BD!$L$2:$Q$66,2,0),0)</f>
        <v>TWO PACK CC + IK PFM 3LX2 - RFNN</v>
      </c>
      <c r="G1672" s="424">
        <v>2160</v>
      </c>
      <c r="H1672" s="3">
        <f>+IFERROR(VLOOKUP(E1672,BD!$L$2:$Q$66,6,0),0)</f>
        <v>120</v>
      </c>
      <c r="I1672" s="96">
        <f>IFERROR(G1672*VLOOKUP($E1672,BD!$L$2:$Q$66,5,0),0)</f>
        <v>367.20000000000005</v>
      </c>
      <c r="J1672" s="3">
        <f t="shared" si="115"/>
        <v>2021</v>
      </c>
    </row>
    <row r="1673" spans="1:10" s="9" customFormat="1" hidden="1" x14ac:dyDescent="0.25">
      <c r="A1673" s="447">
        <v>44449</v>
      </c>
      <c r="B1673" s="55" t="str">
        <f t="shared" si="112"/>
        <v>SETIEMBRE</v>
      </c>
      <c r="C1673" s="55">
        <f t="shared" si="113"/>
        <v>37</v>
      </c>
      <c r="D1673" s="3" t="str">
        <f t="shared" si="114"/>
        <v>VIERNES</v>
      </c>
      <c r="E1673" s="427">
        <v>254853</v>
      </c>
      <c r="F1673" s="3" t="str">
        <f>IFERROR(VLOOKUP(E1673,BD!$L$2:$Q$66,2,0),0)</f>
        <v>INCA KOLA SIN AZUCAR PET 1.5LX2</v>
      </c>
      <c r="G1673" s="424">
        <v>216</v>
      </c>
      <c r="H1673" s="3">
        <f>+IFERROR(VLOOKUP(E1673,BD!$L$2:$Q$66,6,0),0)</f>
        <v>198</v>
      </c>
      <c r="I1673" s="96">
        <f>IFERROR(G1673*VLOOKUP($E1673,BD!$L$2:$Q$66,5,0),0)</f>
        <v>36.720000000000006</v>
      </c>
      <c r="J1673" s="3">
        <f t="shared" si="115"/>
        <v>2021</v>
      </c>
    </row>
    <row r="1674" spans="1:10" s="9" customFormat="1" hidden="1" x14ac:dyDescent="0.25">
      <c r="A1674" s="447">
        <v>44449</v>
      </c>
      <c r="B1674" s="55" t="str">
        <f t="shared" si="112"/>
        <v>SETIEMBRE</v>
      </c>
      <c r="C1674" s="55">
        <f t="shared" si="113"/>
        <v>37</v>
      </c>
      <c r="D1674" s="3" t="str">
        <f t="shared" si="114"/>
        <v>VIERNES</v>
      </c>
      <c r="E1674" s="427">
        <v>256652</v>
      </c>
      <c r="F1674" s="3" t="str">
        <f>IFERROR(VLOOKUP(E1674,BD!$L$2:$Q$66,2,0),0)</f>
        <v>TRIPACK FT NAR+FT KI+SP PET 3L</v>
      </c>
      <c r="G1674" s="424">
        <v>810</v>
      </c>
      <c r="H1674" s="3">
        <f>+IFERROR(VLOOKUP(E1674,BD!$L$2:$Q$66,6,0),0)</f>
        <v>90</v>
      </c>
      <c r="I1674" s="96">
        <f>IFERROR(G1674*VLOOKUP($E1674,BD!$L$2:$Q$66,5,0),0)</f>
        <v>137.70000000000002</v>
      </c>
      <c r="J1674" s="3">
        <f t="shared" si="115"/>
        <v>2021</v>
      </c>
    </row>
    <row r="1675" spans="1:10" s="9" customFormat="1" hidden="1" x14ac:dyDescent="0.25">
      <c r="A1675" s="447">
        <v>44449</v>
      </c>
      <c r="B1675" s="55" t="str">
        <f t="shared" si="112"/>
        <v>SETIEMBRE</v>
      </c>
      <c r="C1675" s="55">
        <f t="shared" si="113"/>
        <v>37</v>
      </c>
      <c r="D1675" s="3" t="str">
        <f t="shared" si="114"/>
        <v>VIERNES</v>
      </c>
      <c r="E1675" s="427">
        <v>256678</v>
      </c>
      <c r="F1675" s="3" t="str">
        <f>IFERROR(VLOOKUP(E1675,BD!$L$2:$Q$66,2,0),0)</f>
        <v>TRIPACK (CC+IK)PFM+FT PET 3LX3 - RFNN</v>
      </c>
      <c r="G1675" s="424">
        <v>990</v>
      </c>
      <c r="H1675" s="3">
        <f>+IFERROR(VLOOKUP(E1675,BD!$L$2:$Q$66,6,0),0)</f>
        <v>90</v>
      </c>
      <c r="I1675" s="96">
        <f>IFERROR(G1675*VLOOKUP($E1675,BD!$L$2:$Q$66,5,0),0)</f>
        <v>168.3</v>
      </c>
      <c r="J1675" s="3">
        <f t="shared" si="115"/>
        <v>2021</v>
      </c>
    </row>
    <row r="1676" spans="1:10" s="9" customFormat="1" hidden="1" x14ac:dyDescent="0.25">
      <c r="A1676" s="447">
        <v>44449</v>
      </c>
      <c r="B1676" s="55" t="str">
        <f t="shared" si="112"/>
        <v>SETIEMBRE</v>
      </c>
      <c r="C1676" s="55">
        <f t="shared" si="113"/>
        <v>37</v>
      </c>
      <c r="D1676" s="3" t="str">
        <f t="shared" si="114"/>
        <v>VIERNES</v>
      </c>
      <c r="E1676" s="427">
        <v>256383</v>
      </c>
      <c r="F1676" s="3" t="str">
        <f>IFERROR(VLOOKUP(E1676,BD!$L$2:$Q$66,2,0),0)</f>
        <v>COCA COLA VR 1.5LX8 - STICKER</v>
      </c>
      <c r="G1676" s="424">
        <v>30</v>
      </c>
      <c r="H1676" s="3">
        <f>+IFERROR(VLOOKUP(E1676,BD!$L$2:$Q$66,6,0),0)</f>
        <v>30</v>
      </c>
      <c r="I1676" s="96">
        <f>IFERROR(G1676*VLOOKUP($E1676,BD!$L$2:$Q$66,5,0),0)</f>
        <v>6.9</v>
      </c>
      <c r="J1676" s="3">
        <f t="shared" si="115"/>
        <v>2021</v>
      </c>
    </row>
    <row r="1677" spans="1:10" s="9" customFormat="1" hidden="1" x14ac:dyDescent="0.25">
      <c r="A1677" s="447">
        <v>44449</v>
      </c>
      <c r="B1677" s="55" t="str">
        <f t="shared" si="112"/>
        <v>SETIEMBRE</v>
      </c>
      <c r="C1677" s="55">
        <f t="shared" si="113"/>
        <v>37</v>
      </c>
      <c r="D1677" s="3" t="str">
        <f t="shared" si="114"/>
        <v>VIERNES</v>
      </c>
      <c r="E1677" s="427">
        <v>256382</v>
      </c>
      <c r="F1677" s="3" t="str">
        <f>IFERROR(VLOOKUP(E1677,BD!$L$2:$Q$66,2,0),0)</f>
        <v>COCA COLA VR 296MLX24 - STICKER</v>
      </c>
      <c r="G1677" s="424">
        <v>40</v>
      </c>
      <c r="H1677" s="3">
        <f>+IFERROR(VLOOKUP(E1677,BD!$L$2:$Q$66,6,0),0)</f>
        <v>40</v>
      </c>
      <c r="I1677" s="96">
        <f>IFERROR(G1677*VLOOKUP($E1677,BD!$L$2:$Q$66,5,0),0)</f>
        <v>9.2000000000000011</v>
      </c>
      <c r="J1677" s="3">
        <f t="shared" si="115"/>
        <v>2021</v>
      </c>
    </row>
    <row r="1678" spans="1:10" s="9" customFormat="1" hidden="1" x14ac:dyDescent="0.25">
      <c r="A1678" s="447">
        <v>44449</v>
      </c>
      <c r="B1678" s="55" t="str">
        <f t="shared" si="112"/>
        <v>SETIEMBRE</v>
      </c>
      <c r="C1678" s="55">
        <f t="shared" si="113"/>
        <v>37</v>
      </c>
      <c r="D1678" s="3" t="str">
        <f t="shared" si="114"/>
        <v>VIERNES</v>
      </c>
      <c r="E1678" s="427">
        <v>256381</v>
      </c>
      <c r="F1678" s="3" t="str">
        <f>IFERROR(VLOOKUP(E1678,BD!$L$2:$Q$66,2,0),0)</f>
        <v>INCA KOLA VR 1.5LX8 - STICKER</v>
      </c>
      <c r="G1678" s="424">
        <v>90</v>
      </c>
      <c r="H1678" s="3">
        <f>+IFERROR(VLOOKUP(E1678,BD!$L$2:$Q$66,6,0),0)</f>
        <v>30</v>
      </c>
      <c r="I1678" s="96">
        <f>IFERROR(G1678*VLOOKUP($E1678,BD!$L$2:$Q$66,5,0),0)</f>
        <v>36</v>
      </c>
      <c r="J1678" s="3">
        <f t="shared" si="115"/>
        <v>2021</v>
      </c>
    </row>
    <row r="1679" spans="1:10" s="9" customFormat="1" hidden="1" x14ac:dyDescent="0.25">
      <c r="A1679" s="447">
        <v>44449</v>
      </c>
      <c r="B1679" s="55" t="str">
        <f t="shared" si="112"/>
        <v>SETIEMBRE</v>
      </c>
      <c r="C1679" s="55">
        <f t="shared" si="113"/>
        <v>37</v>
      </c>
      <c r="D1679" s="3" t="str">
        <f t="shared" si="114"/>
        <v>VIERNES</v>
      </c>
      <c r="E1679" s="427">
        <v>256380</v>
      </c>
      <c r="F1679" s="3" t="str">
        <f>IFERROR(VLOOKUP(E1679,BD!$L$2:$Q$66,2,0),0)</f>
        <v>INCA KOLA VR 296MLX24 - STICKER</v>
      </c>
      <c r="G1679" s="424">
        <v>40</v>
      </c>
      <c r="H1679" s="3">
        <f>+IFERROR(VLOOKUP(E1679,BD!$L$2:$Q$66,6,0),0)</f>
        <v>40</v>
      </c>
      <c r="I1679" s="96">
        <f>IFERROR(G1679*VLOOKUP($E1679,BD!$L$2:$Q$66,5,0),0)</f>
        <v>9.2000000000000011</v>
      </c>
      <c r="J1679" s="3">
        <f t="shared" si="115"/>
        <v>2021</v>
      </c>
    </row>
    <row r="1680" spans="1:10" s="9" customFormat="1" hidden="1" x14ac:dyDescent="0.25">
      <c r="A1680" s="447">
        <v>44449</v>
      </c>
      <c r="B1680" s="55" t="str">
        <f t="shared" si="112"/>
        <v>SETIEMBRE</v>
      </c>
      <c r="C1680" s="55">
        <f t="shared" si="113"/>
        <v>37</v>
      </c>
      <c r="D1680" s="3" t="str">
        <f t="shared" si="114"/>
        <v>VIERNES</v>
      </c>
      <c r="E1680" s="427">
        <v>256379</v>
      </c>
      <c r="F1680" s="3" t="str">
        <f>IFERROR(VLOOKUP(E1680,BD!$L$2:$Q$66,2,0),0)</f>
        <v>INCA KOLA VR 625MLX12 - STICKER</v>
      </c>
      <c r="G1680" s="424">
        <v>150</v>
      </c>
      <c r="H1680" s="3">
        <f>+IFERROR(VLOOKUP(E1680,BD!$L$2:$Q$66,6,0),0)</f>
        <v>50</v>
      </c>
      <c r="I1680" s="96">
        <f>IFERROR(G1680*VLOOKUP($E1680,BD!$L$2:$Q$66,5,0),0)</f>
        <v>60</v>
      </c>
      <c r="J1680" s="3">
        <f t="shared" si="115"/>
        <v>2021</v>
      </c>
    </row>
    <row r="1681" spans="1:10" s="9" customFormat="1" hidden="1" x14ac:dyDescent="0.25">
      <c r="A1681" s="447">
        <v>44449</v>
      </c>
      <c r="B1681" s="55" t="str">
        <f t="shared" si="112"/>
        <v>SETIEMBRE</v>
      </c>
      <c r="C1681" s="55">
        <f t="shared" si="113"/>
        <v>37</v>
      </c>
      <c r="D1681" s="3" t="str">
        <f t="shared" si="114"/>
        <v>VIERNES</v>
      </c>
      <c r="E1681" s="427">
        <v>256695</v>
      </c>
      <c r="F1681" s="3" t="str">
        <f>IFERROR(VLOOKUP(E1681,BD!$L$2:$Q$66,2,0),0)</f>
        <v>POWERADE 3MORA+3FRUT PET 473MLX6</v>
      </c>
      <c r="G1681" s="424">
        <v>225</v>
      </c>
      <c r="H1681" s="3">
        <f>+IFERROR(VLOOKUP(E1681,BD!$L$2:$Q$66,6,0),0)</f>
        <v>225</v>
      </c>
      <c r="I1681" s="96">
        <f>IFERROR(G1681*VLOOKUP($E1681,BD!$L$2:$Q$66,5,0),0)</f>
        <v>94.5</v>
      </c>
      <c r="J1681" s="3">
        <f t="shared" si="115"/>
        <v>2021</v>
      </c>
    </row>
    <row r="1682" spans="1:10" s="9" customFormat="1" hidden="1" x14ac:dyDescent="0.25">
      <c r="A1682" s="447">
        <v>44449</v>
      </c>
      <c r="B1682" s="55" t="str">
        <f t="shared" si="112"/>
        <v>SETIEMBRE</v>
      </c>
      <c r="C1682" s="55">
        <f t="shared" si="113"/>
        <v>37</v>
      </c>
      <c r="D1682" s="3" t="str">
        <f t="shared" si="114"/>
        <v>VIERNES</v>
      </c>
      <c r="E1682" s="427">
        <v>256720</v>
      </c>
      <c r="F1682" s="3" t="str">
        <f>IFERROR(VLOOKUP(E1682,BD!$L$2:$Q$66,2,0),0)</f>
        <v>FANTA NARANJA PET 500MLX6 BRANDEADO MOD</v>
      </c>
      <c r="G1682" s="424">
        <v>1250</v>
      </c>
      <c r="H1682" s="3">
        <f>+IFERROR(VLOOKUP(E1682,BD!$L$2:$Q$66,6,0),0)</f>
        <v>420</v>
      </c>
      <c r="I1682" s="96">
        <f>IFERROR(G1682*VLOOKUP($E1682,BD!$L$2:$Q$66,5,0),0)</f>
        <v>525</v>
      </c>
      <c r="J1682" s="3">
        <f t="shared" si="115"/>
        <v>2021</v>
      </c>
    </row>
    <row r="1683" spans="1:10" s="9" customFormat="1" hidden="1" x14ac:dyDescent="0.25">
      <c r="A1683" s="447">
        <v>44449</v>
      </c>
      <c r="B1683" s="55" t="str">
        <f t="shared" si="112"/>
        <v>SETIEMBRE</v>
      </c>
      <c r="C1683" s="55">
        <f t="shared" si="113"/>
        <v>37</v>
      </c>
      <c r="D1683" s="3" t="str">
        <f t="shared" si="114"/>
        <v>VIERNES</v>
      </c>
      <c r="E1683" s="427">
        <v>256679</v>
      </c>
      <c r="F1683" s="3" t="str">
        <f>IFERROR(VLOOKUP(E1683,BD!$L$2:$Q$66,2,0),0)</f>
        <v>TRIPACK CC+IK+IK PFM 3LX3 - RFNN</v>
      </c>
      <c r="G1683" s="424">
        <v>90</v>
      </c>
      <c r="H1683" s="3">
        <f>+IFERROR(VLOOKUP(E1683,BD!$L$2:$Q$66,6,0),0)</f>
        <v>90</v>
      </c>
      <c r="I1683" s="96">
        <f>IFERROR(G1683*VLOOKUP($E1683,BD!$L$2:$Q$66,5,0),0)</f>
        <v>15.3</v>
      </c>
      <c r="J1683" s="3">
        <f t="shared" si="115"/>
        <v>2021</v>
      </c>
    </row>
    <row r="1684" spans="1:10" s="9" customFormat="1" hidden="1" x14ac:dyDescent="0.25">
      <c r="A1684" s="447">
        <v>44449</v>
      </c>
      <c r="B1684" s="55" t="str">
        <f t="shared" si="112"/>
        <v>SETIEMBRE</v>
      </c>
      <c r="C1684" s="55">
        <f t="shared" si="113"/>
        <v>37</v>
      </c>
      <c r="D1684" s="3" t="str">
        <f t="shared" si="114"/>
        <v>VIERNES</v>
      </c>
      <c r="E1684" s="427">
        <v>256674</v>
      </c>
      <c r="F1684" s="3" t="str">
        <f>IFERROR(VLOOKUP(E1684,BD!$L$2:$Q$66,2,0),0)</f>
        <v>COCA-COLA PET 1.5LX2 RF</v>
      </c>
      <c r="G1684" s="424">
        <v>648</v>
      </c>
      <c r="H1684" s="3">
        <f>+IFERROR(VLOOKUP(E1684,BD!$L$2:$Q$66,6,0),0)</f>
        <v>198</v>
      </c>
      <c r="I1684" s="96">
        <f>IFERROR(G1684*VLOOKUP($E1684,BD!$L$2:$Q$66,5,0),0)</f>
        <v>110.16000000000001</v>
      </c>
      <c r="J1684" s="3">
        <f t="shared" si="115"/>
        <v>2021</v>
      </c>
    </row>
    <row r="1685" spans="1:10" s="9" customFormat="1" hidden="1" x14ac:dyDescent="0.25">
      <c r="A1685" s="447">
        <v>44450</v>
      </c>
      <c r="B1685" s="55" t="str">
        <f t="shared" si="112"/>
        <v>SETIEMBRE</v>
      </c>
      <c r="C1685" s="55">
        <f t="shared" si="113"/>
        <v>38</v>
      </c>
      <c r="D1685" s="3" t="str">
        <f t="shared" si="114"/>
        <v>SÁBADO</v>
      </c>
      <c r="E1685" s="427">
        <v>256682</v>
      </c>
      <c r="F1685" s="3" t="str">
        <f>IFERROR(VLOOKUP(E1685,BD!$L$2:$Q$66,2,0),0)</f>
        <v>TRIPACK (FT NAR+SP)PET+IK RF PFM 3L</v>
      </c>
      <c r="G1685" s="424">
        <v>90</v>
      </c>
      <c r="H1685" s="3">
        <f>+IFERROR(VLOOKUP(E1685,BD!$L$2:$Q$66,6,0),0)</f>
        <v>90</v>
      </c>
      <c r="I1685" s="96">
        <f>IFERROR(G1685*VLOOKUP($E1685,BD!$L$2:$Q$66,5,0),0)</f>
        <v>15.3</v>
      </c>
      <c r="J1685" s="3">
        <f t="shared" si="115"/>
        <v>2021</v>
      </c>
    </row>
    <row r="1686" spans="1:10" s="9" customFormat="1" hidden="1" x14ac:dyDescent="0.25">
      <c r="A1686" s="447">
        <v>44450</v>
      </c>
      <c r="B1686" s="55" t="str">
        <f t="shared" si="112"/>
        <v>SETIEMBRE</v>
      </c>
      <c r="C1686" s="55">
        <f t="shared" si="113"/>
        <v>38</v>
      </c>
      <c r="D1686" s="3" t="str">
        <f t="shared" si="114"/>
        <v>SÁBADO</v>
      </c>
      <c r="E1686" s="427">
        <v>256677</v>
      </c>
      <c r="F1686" s="3" t="str">
        <f>IFERROR(VLOOKUP(E1686,BD!$L$2:$Q$66,2,0),0)</f>
        <v>TWO PACK CC + IK PFM 3LX2 - RFNN</v>
      </c>
      <c r="G1686" s="424">
        <v>2280</v>
      </c>
      <c r="H1686" s="3">
        <f>+IFERROR(VLOOKUP(E1686,BD!$L$2:$Q$66,6,0),0)</f>
        <v>120</v>
      </c>
      <c r="I1686" s="96">
        <f>IFERROR(G1686*VLOOKUP($E1686,BD!$L$2:$Q$66,5,0),0)</f>
        <v>387.6</v>
      </c>
      <c r="J1686" s="3">
        <f t="shared" si="115"/>
        <v>2021</v>
      </c>
    </row>
    <row r="1687" spans="1:10" s="9" customFormat="1" hidden="1" x14ac:dyDescent="0.25">
      <c r="A1687" s="447">
        <v>44450</v>
      </c>
      <c r="B1687" s="55" t="str">
        <f t="shared" si="112"/>
        <v>SETIEMBRE</v>
      </c>
      <c r="C1687" s="55">
        <f t="shared" si="113"/>
        <v>38</v>
      </c>
      <c r="D1687" s="3" t="str">
        <f t="shared" si="114"/>
        <v>SÁBADO</v>
      </c>
      <c r="E1687" s="427">
        <v>256677</v>
      </c>
      <c r="F1687" s="3" t="str">
        <f>IFERROR(VLOOKUP(E1687,BD!$L$2:$Q$66,2,0),0)</f>
        <v>TWO PACK CC + IK PFM 3LX2 - RFNN</v>
      </c>
      <c r="G1687" s="424">
        <v>600</v>
      </c>
      <c r="H1687" s="3">
        <f>+IFERROR(VLOOKUP(E1687,BD!$L$2:$Q$66,6,0),0)</f>
        <v>120</v>
      </c>
      <c r="I1687" s="96">
        <f>IFERROR(G1687*VLOOKUP($E1687,BD!$L$2:$Q$66,5,0),0)</f>
        <v>102.00000000000001</v>
      </c>
      <c r="J1687" s="3">
        <f t="shared" si="115"/>
        <v>2021</v>
      </c>
    </row>
    <row r="1688" spans="1:10" s="9" customFormat="1" hidden="1" x14ac:dyDescent="0.25">
      <c r="A1688" s="447">
        <v>44450</v>
      </c>
      <c r="B1688" s="55" t="str">
        <f t="shared" si="112"/>
        <v>SETIEMBRE</v>
      </c>
      <c r="C1688" s="55">
        <f t="shared" si="113"/>
        <v>38</v>
      </c>
      <c r="D1688" s="3" t="str">
        <f t="shared" si="114"/>
        <v>SÁBADO</v>
      </c>
      <c r="E1688" s="427">
        <v>256678</v>
      </c>
      <c r="F1688" s="3" t="str">
        <f>IFERROR(VLOOKUP(E1688,BD!$L$2:$Q$66,2,0),0)</f>
        <v>TRIPACK (CC+IK)PFM+FT PET 3LX3 - RFNN</v>
      </c>
      <c r="G1688" s="424">
        <v>1710</v>
      </c>
      <c r="H1688" s="3">
        <f>+IFERROR(VLOOKUP(E1688,BD!$L$2:$Q$66,6,0),0)</f>
        <v>90</v>
      </c>
      <c r="I1688" s="96">
        <f>IFERROR(G1688*VLOOKUP($E1688,BD!$L$2:$Q$66,5,0),0)</f>
        <v>290.70000000000005</v>
      </c>
      <c r="J1688" s="3">
        <f t="shared" si="115"/>
        <v>2021</v>
      </c>
    </row>
    <row r="1689" spans="1:10" s="9" customFormat="1" hidden="1" x14ac:dyDescent="0.25">
      <c r="A1689" s="447">
        <v>44450</v>
      </c>
      <c r="B1689" s="55" t="str">
        <f t="shared" si="112"/>
        <v>SETIEMBRE</v>
      </c>
      <c r="C1689" s="55">
        <f t="shared" si="113"/>
        <v>38</v>
      </c>
      <c r="D1689" s="3" t="str">
        <f t="shared" si="114"/>
        <v>SÁBADO</v>
      </c>
      <c r="E1689" s="427">
        <v>256679</v>
      </c>
      <c r="F1689" s="3" t="str">
        <f>IFERROR(VLOOKUP(E1689,BD!$L$2:$Q$66,2,0),0)</f>
        <v>TRIPACK CC+IK+IK PFM 3LX3 - RFNN</v>
      </c>
      <c r="G1689" s="424">
        <v>810</v>
      </c>
      <c r="H1689" s="3">
        <f>+IFERROR(VLOOKUP(E1689,BD!$L$2:$Q$66,6,0),0)</f>
        <v>90</v>
      </c>
      <c r="I1689" s="96">
        <f>IFERROR(G1689*VLOOKUP($E1689,BD!$L$2:$Q$66,5,0),0)</f>
        <v>137.70000000000002</v>
      </c>
      <c r="J1689" s="3">
        <f t="shared" si="115"/>
        <v>2021</v>
      </c>
    </row>
    <row r="1690" spans="1:10" s="9" customFormat="1" hidden="1" x14ac:dyDescent="0.25">
      <c r="A1690" s="447">
        <v>44450</v>
      </c>
      <c r="B1690" s="55" t="str">
        <f t="shared" si="112"/>
        <v>SETIEMBRE</v>
      </c>
      <c r="C1690" s="55">
        <f t="shared" si="113"/>
        <v>38</v>
      </c>
      <c r="D1690" s="3" t="str">
        <f t="shared" si="114"/>
        <v>SÁBADO</v>
      </c>
      <c r="E1690" s="427">
        <v>256652</v>
      </c>
      <c r="F1690" s="3" t="str">
        <f>IFERROR(VLOOKUP(E1690,BD!$L$2:$Q$66,2,0),0)</f>
        <v>TRIPACK FT NAR+FT KI+SP PET 3L</v>
      </c>
      <c r="G1690" s="424">
        <v>450</v>
      </c>
      <c r="H1690" s="3">
        <f>+IFERROR(VLOOKUP(E1690,BD!$L$2:$Q$66,6,0),0)</f>
        <v>90</v>
      </c>
      <c r="I1690" s="96">
        <f>IFERROR(G1690*VLOOKUP($E1690,BD!$L$2:$Q$66,5,0),0)</f>
        <v>76.5</v>
      </c>
      <c r="J1690" s="3">
        <f t="shared" si="115"/>
        <v>2021</v>
      </c>
    </row>
    <row r="1691" spans="1:10" s="9" customFormat="1" hidden="1" x14ac:dyDescent="0.25">
      <c r="A1691" s="447">
        <v>44450</v>
      </c>
      <c r="B1691" s="55" t="str">
        <f t="shared" si="112"/>
        <v>SETIEMBRE</v>
      </c>
      <c r="C1691" s="55">
        <f t="shared" si="113"/>
        <v>38</v>
      </c>
      <c r="D1691" s="3" t="str">
        <f t="shared" si="114"/>
        <v>SÁBADO</v>
      </c>
      <c r="E1691" s="427">
        <v>256708</v>
      </c>
      <c r="F1691" s="3" t="str">
        <f>IFERROR(VLOOKUP(E1691,BD!$L$2:$Q$66,2,0),0)</f>
        <v>POWERADE ION4 FRUTA PET473X6 MOD (STICK)</v>
      </c>
      <c r="G1691" s="424">
        <v>225</v>
      </c>
      <c r="H1691" s="3">
        <f>+IFERROR(VLOOKUP(E1691,BD!$L$2:$Q$66,6,0),0)</f>
        <v>225</v>
      </c>
      <c r="I1691" s="96">
        <f>IFERROR(G1691*VLOOKUP($E1691,BD!$L$2:$Q$66,5,0),0)</f>
        <v>90</v>
      </c>
      <c r="J1691" s="3">
        <f t="shared" si="115"/>
        <v>2021</v>
      </c>
    </row>
    <row r="1692" spans="1:10" s="9" customFormat="1" hidden="1" x14ac:dyDescent="0.25">
      <c r="A1692" s="447">
        <v>44450</v>
      </c>
      <c r="B1692" s="55" t="str">
        <f t="shared" si="112"/>
        <v>SETIEMBRE</v>
      </c>
      <c r="C1692" s="55">
        <f t="shared" si="113"/>
        <v>38</v>
      </c>
      <c r="D1692" s="3" t="str">
        <f t="shared" si="114"/>
        <v>SÁBADO</v>
      </c>
      <c r="E1692" s="427">
        <v>256382</v>
      </c>
      <c r="F1692" s="3" t="str">
        <f>IFERROR(VLOOKUP(E1692,BD!$L$2:$Q$66,2,0),0)</f>
        <v>COCA COLA VR 296MLX24 - STICKER</v>
      </c>
      <c r="G1692" s="424">
        <v>40</v>
      </c>
      <c r="H1692" s="3">
        <f>+IFERROR(VLOOKUP(E1692,BD!$L$2:$Q$66,6,0),0)</f>
        <v>40</v>
      </c>
      <c r="I1692" s="96">
        <f>IFERROR(G1692*VLOOKUP($E1692,BD!$L$2:$Q$66,5,0),0)</f>
        <v>9.2000000000000011</v>
      </c>
      <c r="J1692" s="3">
        <f t="shared" si="115"/>
        <v>2021</v>
      </c>
    </row>
    <row r="1693" spans="1:10" s="9" customFormat="1" hidden="1" x14ac:dyDescent="0.25">
      <c r="A1693" s="447">
        <v>44450</v>
      </c>
      <c r="B1693" s="55" t="str">
        <f t="shared" si="112"/>
        <v>SETIEMBRE</v>
      </c>
      <c r="C1693" s="55">
        <f t="shared" si="113"/>
        <v>38</v>
      </c>
      <c r="D1693" s="3" t="str">
        <f t="shared" si="114"/>
        <v>SÁBADO</v>
      </c>
      <c r="E1693" s="427">
        <v>256379</v>
      </c>
      <c r="F1693" s="3" t="str">
        <f>IFERROR(VLOOKUP(E1693,BD!$L$2:$Q$66,2,0),0)</f>
        <v>INCA KOLA VR 625MLX12 - STICKER</v>
      </c>
      <c r="G1693" s="424">
        <v>250</v>
      </c>
      <c r="H1693" s="3">
        <f>+IFERROR(VLOOKUP(E1693,BD!$L$2:$Q$66,6,0),0)</f>
        <v>50</v>
      </c>
      <c r="I1693" s="96">
        <f>IFERROR(G1693*VLOOKUP($E1693,BD!$L$2:$Q$66,5,0),0)</f>
        <v>100</v>
      </c>
      <c r="J1693" s="3">
        <f t="shared" si="115"/>
        <v>2021</v>
      </c>
    </row>
    <row r="1694" spans="1:10" s="9" customFormat="1" hidden="1" x14ac:dyDescent="0.25">
      <c r="A1694" s="447">
        <v>44450</v>
      </c>
      <c r="B1694" s="55" t="str">
        <f t="shared" si="112"/>
        <v>SETIEMBRE</v>
      </c>
      <c r="C1694" s="55">
        <f t="shared" si="113"/>
        <v>38</v>
      </c>
      <c r="D1694" s="3" t="str">
        <f t="shared" si="114"/>
        <v>SÁBADO</v>
      </c>
      <c r="E1694" s="427">
        <v>251429</v>
      </c>
      <c r="F1694" s="3" t="str">
        <f>IFERROR(VLOOKUP(E1694,BD!$L$2:$Q$66,2,0),0)</f>
        <v>SAN LUIS SIN GAS PET2500X6 STICKER</v>
      </c>
      <c r="G1694" s="424">
        <v>576</v>
      </c>
      <c r="H1694" s="3">
        <f>+IFERROR(VLOOKUP(E1694,BD!$L$2:$Q$66,6,0),0)</f>
        <v>48</v>
      </c>
      <c r="I1694" s="96">
        <f>IFERROR(G1694*VLOOKUP($E1694,BD!$L$2:$Q$66,5,0),0)</f>
        <v>230.4</v>
      </c>
      <c r="J1694" s="3">
        <f t="shared" si="115"/>
        <v>2021</v>
      </c>
    </row>
    <row r="1695" spans="1:10" s="9" customFormat="1" hidden="1" x14ac:dyDescent="0.25">
      <c r="A1695" s="447">
        <v>44450</v>
      </c>
      <c r="B1695" s="55" t="str">
        <f t="shared" si="112"/>
        <v>SETIEMBRE</v>
      </c>
      <c r="C1695" s="55">
        <f t="shared" si="113"/>
        <v>38</v>
      </c>
      <c r="D1695" s="3" t="str">
        <f t="shared" si="114"/>
        <v>SÁBADO</v>
      </c>
      <c r="E1695" s="427">
        <v>256720</v>
      </c>
      <c r="F1695" s="3" t="str">
        <f>IFERROR(VLOOKUP(E1695,BD!$L$2:$Q$66,2,0),0)</f>
        <v>FANTA NARANJA PET 500MLX6 BRANDEADO MOD</v>
      </c>
      <c r="G1695" s="424">
        <v>500</v>
      </c>
      <c r="H1695" s="3">
        <f>+IFERROR(VLOOKUP(E1695,BD!$L$2:$Q$66,6,0),0)</f>
        <v>420</v>
      </c>
      <c r="I1695" s="96">
        <f>IFERROR(G1695*VLOOKUP($E1695,BD!$L$2:$Q$66,5,0),0)</f>
        <v>210</v>
      </c>
      <c r="J1695" s="3">
        <f t="shared" si="115"/>
        <v>2021</v>
      </c>
    </row>
    <row r="1696" spans="1:10" s="9" customFormat="1" hidden="1" x14ac:dyDescent="0.25">
      <c r="A1696" s="447">
        <v>44450</v>
      </c>
      <c r="B1696" s="55" t="str">
        <f t="shared" si="112"/>
        <v>SETIEMBRE</v>
      </c>
      <c r="C1696" s="55">
        <f t="shared" si="113"/>
        <v>38</v>
      </c>
      <c r="D1696" s="3" t="str">
        <f t="shared" si="114"/>
        <v>SÁBADO</v>
      </c>
      <c r="E1696" s="427">
        <v>256675</v>
      </c>
      <c r="F1696" s="3" t="str">
        <f>IFERROR(VLOOKUP(E1696,BD!$L$2:$Q$66,2,0),0)</f>
        <v>INCA KOLA PET 1.5LX2 RF</v>
      </c>
      <c r="G1696" s="424">
        <v>432</v>
      </c>
      <c r="H1696" s="3">
        <f>+IFERROR(VLOOKUP(E1696,BD!$L$2:$Q$66,6,0),0)</f>
        <v>198</v>
      </c>
      <c r="I1696" s="96">
        <f>IFERROR(G1696*VLOOKUP($E1696,BD!$L$2:$Q$66,5,0),0)</f>
        <v>73.440000000000012</v>
      </c>
      <c r="J1696" s="3">
        <f t="shared" si="115"/>
        <v>2021</v>
      </c>
    </row>
    <row r="1697" spans="1:10" s="9" customFormat="1" hidden="1" x14ac:dyDescent="0.25">
      <c r="A1697" s="447">
        <v>44450</v>
      </c>
      <c r="B1697" s="55" t="str">
        <f t="shared" si="112"/>
        <v>SETIEMBRE</v>
      </c>
      <c r="C1697" s="55">
        <f t="shared" si="113"/>
        <v>38</v>
      </c>
      <c r="D1697" s="3" t="str">
        <f t="shared" si="114"/>
        <v>SÁBADO</v>
      </c>
      <c r="E1697" s="427">
        <v>254853</v>
      </c>
      <c r="F1697" s="3" t="str">
        <f>IFERROR(VLOOKUP(E1697,BD!$L$2:$Q$66,2,0),0)</f>
        <v>INCA KOLA SIN AZUCAR PET 1.5LX2</v>
      </c>
      <c r="G1697" s="424">
        <v>1080</v>
      </c>
      <c r="H1697" s="3">
        <f>+IFERROR(VLOOKUP(E1697,BD!$L$2:$Q$66,6,0),0)</f>
        <v>198</v>
      </c>
      <c r="I1697" s="96">
        <f>IFERROR(G1697*VLOOKUP($E1697,BD!$L$2:$Q$66,5,0),0)</f>
        <v>183.60000000000002</v>
      </c>
      <c r="J1697" s="3">
        <f t="shared" si="115"/>
        <v>2021</v>
      </c>
    </row>
    <row r="1698" spans="1:10" s="9" customFormat="1" hidden="1" x14ac:dyDescent="0.25">
      <c r="A1698" s="447">
        <v>44450</v>
      </c>
      <c r="B1698" s="55" t="str">
        <f t="shared" si="112"/>
        <v>SETIEMBRE</v>
      </c>
      <c r="C1698" s="55">
        <f t="shared" si="113"/>
        <v>38</v>
      </c>
      <c r="D1698" s="3" t="str">
        <f t="shared" si="114"/>
        <v>SÁBADO</v>
      </c>
      <c r="E1698" s="427">
        <v>256601</v>
      </c>
      <c r="F1698" s="3" t="str">
        <f>IFERROR(VLOOKUP(E1698,BD!$L$2:$Q$66,2,0),0)</f>
        <v>INCA KOLA PET 2.25LX2 RF</v>
      </c>
      <c r="G1698" s="424">
        <v>162</v>
      </c>
      <c r="H1698" s="3">
        <f>+IFERROR(VLOOKUP(E1698,BD!$L$2:$Q$66,6,0),0)</f>
        <v>162</v>
      </c>
      <c r="I1698" s="96">
        <f>IFERROR(G1698*VLOOKUP($E1698,BD!$L$2:$Q$66,5,0),0)</f>
        <v>27.540000000000003</v>
      </c>
      <c r="J1698" s="3">
        <f t="shared" si="115"/>
        <v>2021</v>
      </c>
    </row>
    <row r="1699" spans="1:10" s="9" customFormat="1" hidden="1" x14ac:dyDescent="0.25">
      <c r="A1699" s="447">
        <v>44450</v>
      </c>
      <c r="B1699" s="55" t="str">
        <f t="shared" si="112"/>
        <v>SETIEMBRE</v>
      </c>
      <c r="C1699" s="55">
        <f t="shared" si="113"/>
        <v>38</v>
      </c>
      <c r="D1699" s="3" t="str">
        <f t="shared" si="114"/>
        <v>SÁBADO</v>
      </c>
      <c r="E1699" s="427">
        <v>251406</v>
      </c>
      <c r="F1699" s="3" t="str">
        <f>IFERROR(VLOOKUP(E1699,BD!$L$2:$Q$66,2,0),0)</f>
        <v>COCA-COLA SIN AZUCAR PET 1.5LX2</v>
      </c>
      <c r="G1699" s="424">
        <v>1080</v>
      </c>
      <c r="H1699" s="3">
        <f>+IFERROR(VLOOKUP(E1699,BD!$L$2:$Q$66,6,0),0)</f>
        <v>198</v>
      </c>
      <c r="I1699" s="96">
        <f>IFERROR(G1699*VLOOKUP($E1699,BD!$L$2:$Q$66,5,0),0)</f>
        <v>183.60000000000002</v>
      </c>
      <c r="J1699" s="3">
        <f t="shared" si="115"/>
        <v>2021</v>
      </c>
    </row>
    <row r="1700" spans="1:10" s="9" customFormat="1" hidden="1" x14ac:dyDescent="0.25">
      <c r="A1700" s="447">
        <v>44450</v>
      </c>
      <c r="B1700" s="55" t="str">
        <f t="shared" si="112"/>
        <v>SETIEMBRE</v>
      </c>
      <c r="C1700" s="55">
        <f t="shared" si="113"/>
        <v>38</v>
      </c>
      <c r="D1700" s="3" t="str">
        <f t="shared" si="114"/>
        <v>SÁBADO</v>
      </c>
      <c r="E1700" s="427">
        <v>256488</v>
      </c>
      <c r="F1700" s="3" t="str">
        <f>IFERROR(VLOOKUP(E1700,BD!$L$2:$Q$66,2,0),0)</f>
        <v>INCA KOLA PET 3LX2 - RF</v>
      </c>
      <c r="G1700" s="424">
        <v>960</v>
      </c>
      <c r="H1700" s="3">
        <f>+IFERROR(VLOOKUP(E1700,BD!$L$2:$Q$66,6,0),0)</f>
        <v>120</v>
      </c>
      <c r="I1700" s="96">
        <f>IFERROR(G1700*VLOOKUP($E1700,BD!$L$2:$Q$66,5,0),0)</f>
        <v>163.20000000000002</v>
      </c>
      <c r="J1700" s="3">
        <f t="shared" si="115"/>
        <v>2021</v>
      </c>
    </row>
    <row r="1701" spans="1:10" s="9" customFormat="1" hidden="1" x14ac:dyDescent="0.25">
      <c r="A1701" s="447">
        <v>44450</v>
      </c>
      <c r="B1701" s="55" t="str">
        <f t="shared" si="112"/>
        <v>SETIEMBRE</v>
      </c>
      <c r="C1701" s="55">
        <f t="shared" si="113"/>
        <v>38</v>
      </c>
      <c r="D1701" s="3" t="str">
        <f t="shared" si="114"/>
        <v>SÁBADO</v>
      </c>
      <c r="E1701" s="427">
        <v>256674</v>
      </c>
      <c r="F1701" s="3" t="str">
        <f>IFERROR(VLOOKUP(E1701,BD!$L$2:$Q$66,2,0),0)</f>
        <v>COCA-COLA PET 1.5LX2 RF</v>
      </c>
      <c r="G1701" s="424">
        <v>1512</v>
      </c>
      <c r="H1701" s="3">
        <f>+IFERROR(VLOOKUP(E1701,BD!$L$2:$Q$66,6,0),0)</f>
        <v>198</v>
      </c>
      <c r="I1701" s="96">
        <f>IFERROR(G1701*VLOOKUP($E1701,BD!$L$2:$Q$66,5,0),0)</f>
        <v>257.04000000000002</v>
      </c>
      <c r="J1701" s="3">
        <f t="shared" si="115"/>
        <v>2021</v>
      </c>
    </row>
    <row r="1702" spans="1:10" s="9" customFormat="1" hidden="1" x14ac:dyDescent="0.25">
      <c r="A1702" s="447">
        <v>44450</v>
      </c>
      <c r="B1702" s="55" t="str">
        <f t="shared" si="112"/>
        <v>SETIEMBRE</v>
      </c>
      <c r="C1702" s="55">
        <f t="shared" si="113"/>
        <v>38</v>
      </c>
      <c r="D1702" s="3" t="str">
        <f t="shared" si="114"/>
        <v>SÁBADO</v>
      </c>
      <c r="E1702" s="427">
        <v>256676</v>
      </c>
      <c r="F1702" s="3" t="str">
        <f>IFERROR(VLOOKUP(E1702,BD!$L$2:$Q$66,2,0),0)</f>
        <v>TWO PACK CC PFM 3LX2 - RFCC</v>
      </c>
      <c r="G1702" s="424">
        <v>360</v>
      </c>
      <c r="H1702" s="3">
        <f>+IFERROR(VLOOKUP(E1702,BD!$L$2:$Q$66,6,0),0)</f>
        <v>120</v>
      </c>
      <c r="I1702" s="96">
        <f>IFERROR(G1702*VLOOKUP($E1702,BD!$L$2:$Q$66,5,0),0)</f>
        <v>61.2</v>
      </c>
      <c r="J1702" s="3">
        <f t="shared" si="115"/>
        <v>2021</v>
      </c>
    </row>
    <row r="1703" spans="1:10" s="9" customFormat="1" hidden="1" x14ac:dyDescent="0.25">
      <c r="A1703" s="447">
        <v>44450</v>
      </c>
      <c r="B1703" s="55" t="str">
        <f t="shared" si="112"/>
        <v>SETIEMBRE</v>
      </c>
      <c r="C1703" s="55">
        <f t="shared" si="113"/>
        <v>38</v>
      </c>
      <c r="D1703" s="3" t="str">
        <f t="shared" si="114"/>
        <v>SÁBADO</v>
      </c>
      <c r="E1703" s="427">
        <v>256737</v>
      </c>
      <c r="F1703" s="3" t="str">
        <f>IFERROR(VLOOKUP(E1703,BD!$L$2:$Q$66,2,0),0)</f>
        <v>INCA KOLA SA ALUMINIO-3 DISEÑOS 330MLX12</v>
      </c>
      <c r="G1703" s="424">
        <v>2625</v>
      </c>
      <c r="H1703" s="3">
        <f>+IFERROR(VLOOKUP(E1703,BD!$L$2:$Q$66,6,0),0)</f>
        <v>420</v>
      </c>
      <c r="I1703" s="96">
        <f>IFERROR(G1703*VLOOKUP($E1703,BD!$L$2:$Q$66,5,0),0)</f>
        <v>1102.5</v>
      </c>
      <c r="J1703" s="3">
        <f t="shared" si="115"/>
        <v>2021</v>
      </c>
    </row>
    <row r="1704" spans="1:10" s="9" customFormat="1" hidden="1" x14ac:dyDescent="0.25">
      <c r="A1704" s="447">
        <v>44450</v>
      </c>
      <c r="B1704" s="55" t="str">
        <f t="shared" si="112"/>
        <v>SETIEMBRE</v>
      </c>
      <c r="C1704" s="55">
        <f t="shared" si="113"/>
        <v>38</v>
      </c>
      <c r="D1704" s="3" t="str">
        <f t="shared" si="114"/>
        <v>SÁBADO</v>
      </c>
      <c r="E1704" s="427">
        <v>256737</v>
      </c>
      <c r="F1704" s="3" t="str">
        <f>IFERROR(VLOOKUP(E1704,BD!$L$2:$Q$66,2,0),0)</f>
        <v>INCA KOLA SA ALUMINIO-3 DISEÑOS 330MLX12</v>
      </c>
      <c r="G1704" s="424">
        <v>125</v>
      </c>
      <c r="H1704" s="3">
        <f>+IFERROR(VLOOKUP(E1704,BD!$L$2:$Q$66,6,0),0)</f>
        <v>420</v>
      </c>
      <c r="I1704" s="96">
        <f>IFERROR(G1704*VLOOKUP($E1704,BD!$L$2:$Q$66,5,0),0)</f>
        <v>52.5</v>
      </c>
      <c r="J1704" s="3">
        <f t="shared" si="115"/>
        <v>2021</v>
      </c>
    </row>
    <row r="1705" spans="1:10" s="9" customFormat="1" hidden="1" x14ac:dyDescent="0.25">
      <c r="A1705" s="447">
        <v>44450</v>
      </c>
      <c r="B1705" s="55" t="str">
        <f t="shared" si="112"/>
        <v>SETIEMBRE</v>
      </c>
      <c r="C1705" s="55">
        <f t="shared" si="113"/>
        <v>38</v>
      </c>
      <c r="D1705" s="3" t="str">
        <f t="shared" si="114"/>
        <v>SÁBADO</v>
      </c>
      <c r="E1705" s="427">
        <v>256695</v>
      </c>
      <c r="F1705" s="3" t="str">
        <f>IFERROR(VLOOKUP(E1705,BD!$L$2:$Q$66,2,0),0)</f>
        <v>POWERADE 3MORA+3FRUT PET 473MLX6</v>
      </c>
      <c r="G1705" s="424">
        <v>225</v>
      </c>
      <c r="H1705" s="3">
        <f>+IFERROR(VLOOKUP(E1705,BD!$L$2:$Q$66,6,0),0)</f>
        <v>225</v>
      </c>
      <c r="I1705" s="96">
        <f>IFERROR(G1705*VLOOKUP($E1705,BD!$L$2:$Q$66,5,0),0)</f>
        <v>94.5</v>
      </c>
      <c r="J1705" s="3">
        <f t="shared" si="115"/>
        <v>2021</v>
      </c>
    </row>
    <row r="1706" spans="1:10" s="9" customFormat="1" hidden="1" x14ac:dyDescent="0.25">
      <c r="A1706" s="447">
        <v>44451</v>
      </c>
      <c r="B1706" s="55" t="str">
        <f t="shared" si="112"/>
        <v>SETIEMBRE</v>
      </c>
      <c r="C1706" s="55">
        <f t="shared" si="113"/>
        <v>38</v>
      </c>
      <c r="D1706" s="3" t="str">
        <f t="shared" si="114"/>
        <v>DOMINGO</v>
      </c>
      <c r="E1706" s="427">
        <v>256721</v>
      </c>
      <c r="F1706" s="3" t="str">
        <f>IFERROR(VLOOKUP(E1706,BD!$L$2:$Q$66,2,0),0)</f>
        <v>SPRITE PET 500MLX6 BRANDEADO MOD</v>
      </c>
      <c r="G1706" s="424">
        <v>1000</v>
      </c>
      <c r="H1706" s="3">
        <f>+IFERROR(VLOOKUP(E1706,BD!$L$2:$Q$66,6,0),0)</f>
        <v>420</v>
      </c>
      <c r="I1706" s="96">
        <f>IFERROR(G1706*VLOOKUP($E1706,BD!$L$2:$Q$66,5,0),0)</f>
        <v>420</v>
      </c>
      <c r="J1706" s="3">
        <f t="shared" si="115"/>
        <v>2021</v>
      </c>
    </row>
    <row r="1707" spans="1:10" s="9" customFormat="1" hidden="1" x14ac:dyDescent="0.25">
      <c r="A1707" s="447">
        <v>44451</v>
      </c>
      <c r="B1707" s="55" t="str">
        <f t="shared" si="112"/>
        <v>SETIEMBRE</v>
      </c>
      <c r="C1707" s="55">
        <f t="shared" si="113"/>
        <v>38</v>
      </c>
      <c r="D1707" s="3" t="str">
        <f t="shared" si="114"/>
        <v>DOMINGO</v>
      </c>
      <c r="E1707" s="427">
        <v>256695</v>
      </c>
      <c r="F1707" s="3" t="str">
        <f>IFERROR(VLOOKUP(E1707,BD!$L$2:$Q$66,2,0),0)</f>
        <v>POWERADE 3MORA+3FRUT PET 473MLX6</v>
      </c>
      <c r="G1707" s="424">
        <v>1125</v>
      </c>
      <c r="H1707" s="3">
        <f>+IFERROR(VLOOKUP(E1707,BD!$L$2:$Q$66,6,0),0)</f>
        <v>225</v>
      </c>
      <c r="I1707" s="96">
        <f>IFERROR(G1707*VLOOKUP($E1707,BD!$L$2:$Q$66,5,0),0)</f>
        <v>472.5</v>
      </c>
      <c r="J1707" s="3">
        <f t="shared" si="115"/>
        <v>2021</v>
      </c>
    </row>
    <row r="1708" spans="1:10" s="9" customFormat="1" hidden="1" x14ac:dyDescent="0.25">
      <c r="A1708" s="447">
        <v>44451</v>
      </c>
      <c r="B1708" s="55" t="str">
        <f t="shared" si="112"/>
        <v>SETIEMBRE</v>
      </c>
      <c r="C1708" s="55">
        <f t="shared" si="113"/>
        <v>38</v>
      </c>
      <c r="D1708" s="3" t="str">
        <f t="shared" si="114"/>
        <v>DOMINGO</v>
      </c>
      <c r="E1708" s="427">
        <v>251633</v>
      </c>
      <c r="F1708" s="3" t="str">
        <f>IFERROR(VLOOKUP(E1708,BD!$L$2:$Q$66,2,0),0)</f>
        <v>SAN LUIS CON GAS PET 625MLX6</v>
      </c>
      <c r="G1708" s="424">
        <v>360</v>
      </c>
      <c r="H1708" s="3">
        <f>+IFERROR(VLOOKUP(E1708,BD!$L$2:$Q$66,6,0),0)</f>
        <v>180</v>
      </c>
      <c r="I1708" s="96">
        <f>IFERROR(G1708*VLOOKUP($E1708,BD!$L$2:$Q$66,5,0),0)</f>
        <v>151.19999999999999</v>
      </c>
      <c r="J1708" s="3">
        <f t="shared" si="115"/>
        <v>2021</v>
      </c>
    </row>
    <row r="1709" spans="1:10" s="9" customFormat="1" hidden="1" x14ac:dyDescent="0.25">
      <c r="A1709" s="447">
        <v>44451</v>
      </c>
      <c r="B1709" s="55" t="str">
        <f t="shared" si="112"/>
        <v>SETIEMBRE</v>
      </c>
      <c r="C1709" s="55">
        <f t="shared" si="113"/>
        <v>38</v>
      </c>
      <c r="D1709" s="3" t="str">
        <f t="shared" si="114"/>
        <v>DOMINGO</v>
      </c>
      <c r="E1709" s="427">
        <v>256720</v>
      </c>
      <c r="F1709" s="3" t="str">
        <f>IFERROR(VLOOKUP(E1709,BD!$L$2:$Q$66,2,0),0)</f>
        <v>FANTA NARANJA PET 500MLX6 BRANDEADO MOD</v>
      </c>
      <c r="G1709" s="424">
        <v>500</v>
      </c>
      <c r="H1709" s="3">
        <f>+IFERROR(VLOOKUP(E1709,BD!$L$2:$Q$66,6,0),0)</f>
        <v>420</v>
      </c>
      <c r="I1709" s="96">
        <f>IFERROR(G1709*VLOOKUP($E1709,BD!$L$2:$Q$66,5,0),0)</f>
        <v>210</v>
      </c>
      <c r="J1709" s="3">
        <f t="shared" si="115"/>
        <v>2021</v>
      </c>
    </row>
    <row r="1710" spans="1:10" s="9" customFormat="1" hidden="1" x14ac:dyDescent="0.25">
      <c r="A1710" s="447">
        <v>44452</v>
      </c>
      <c r="B1710" s="55" t="str">
        <f t="shared" si="112"/>
        <v>SETIEMBRE</v>
      </c>
      <c r="C1710" s="55">
        <f t="shared" si="113"/>
        <v>38</v>
      </c>
      <c r="D1710" s="3" t="str">
        <f t="shared" si="114"/>
        <v>LUNES</v>
      </c>
      <c r="E1710" s="427">
        <v>256737</v>
      </c>
      <c r="F1710" s="3" t="str">
        <f>IFERROR(VLOOKUP(E1710,BD!$L$2:$Q$66,2,0),0)</f>
        <v>INCA KOLA SA ALUMINIO-3 DISEÑOS 330MLX12</v>
      </c>
      <c r="G1710" s="424">
        <v>1375</v>
      </c>
      <c r="H1710" s="3">
        <f>+IFERROR(VLOOKUP(E1710,BD!$L$2:$Q$66,6,0),0)</f>
        <v>420</v>
      </c>
      <c r="I1710" s="96">
        <f>IFERROR(G1710*VLOOKUP($E1710,BD!$L$2:$Q$66,5,0),0)</f>
        <v>577.5</v>
      </c>
      <c r="J1710" s="3">
        <f t="shared" si="115"/>
        <v>2021</v>
      </c>
    </row>
    <row r="1711" spans="1:10" s="9" customFormat="1" hidden="1" x14ac:dyDescent="0.25">
      <c r="A1711" s="447">
        <v>44452</v>
      </c>
      <c r="B1711" s="55" t="str">
        <f t="shared" si="112"/>
        <v>SETIEMBRE</v>
      </c>
      <c r="C1711" s="55">
        <f t="shared" si="113"/>
        <v>38</v>
      </c>
      <c r="D1711" s="3" t="str">
        <f t="shared" si="114"/>
        <v>LUNES</v>
      </c>
      <c r="E1711" s="427">
        <v>256383</v>
      </c>
      <c r="F1711" s="3" t="str">
        <f>IFERROR(VLOOKUP(E1711,BD!$L$2:$Q$66,2,0),0)</f>
        <v>COCA COLA VR 1.5LX8 - STICKER</v>
      </c>
      <c r="G1711" s="424">
        <v>60</v>
      </c>
      <c r="H1711" s="3">
        <f>+IFERROR(VLOOKUP(E1711,BD!$L$2:$Q$66,6,0),0)</f>
        <v>30</v>
      </c>
      <c r="I1711" s="96">
        <f>IFERROR(G1711*VLOOKUP($E1711,BD!$L$2:$Q$66,5,0),0)</f>
        <v>13.8</v>
      </c>
      <c r="J1711" s="3">
        <f t="shared" si="115"/>
        <v>2021</v>
      </c>
    </row>
    <row r="1712" spans="1:10" s="9" customFormat="1" hidden="1" x14ac:dyDescent="0.25">
      <c r="A1712" s="447">
        <v>44452</v>
      </c>
      <c r="B1712" s="55" t="str">
        <f t="shared" si="112"/>
        <v>SETIEMBRE</v>
      </c>
      <c r="C1712" s="55">
        <f t="shared" si="113"/>
        <v>38</v>
      </c>
      <c r="D1712" s="3" t="str">
        <f t="shared" si="114"/>
        <v>LUNES</v>
      </c>
      <c r="E1712" s="427">
        <v>256382</v>
      </c>
      <c r="F1712" s="3" t="str">
        <f>IFERROR(VLOOKUP(E1712,BD!$L$2:$Q$66,2,0),0)</f>
        <v>COCA COLA VR 296MLX24 - STICKER</v>
      </c>
      <c r="G1712" s="424">
        <v>80</v>
      </c>
      <c r="H1712" s="3">
        <f>+IFERROR(VLOOKUP(E1712,BD!$L$2:$Q$66,6,0),0)</f>
        <v>40</v>
      </c>
      <c r="I1712" s="96">
        <f>IFERROR(G1712*VLOOKUP($E1712,BD!$L$2:$Q$66,5,0),0)</f>
        <v>18.400000000000002</v>
      </c>
      <c r="J1712" s="3">
        <f t="shared" si="115"/>
        <v>2021</v>
      </c>
    </row>
    <row r="1713" spans="1:10" s="9" customFormat="1" hidden="1" x14ac:dyDescent="0.25">
      <c r="A1713" s="447">
        <v>44452</v>
      </c>
      <c r="B1713" s="55" t="str">
        <f t="shared" si="112"/>
        <v>SETIEMBRE</v>
      </c>
      <c r="C1713" s="55">
        <f t="shared" si="113"/>
        <v>38</v>
      </c>
      <c r="D1713" s="3" t="str">
        <f t="shared" si="114"/>
        <v>LUNES</v>
      </c>
      <c r="E1713" s="427">
        <v>256381</v>
      </c>
      <c r="F1713" s="3" t="str">
        <f>IFERROR(VLOOKUP(E1713,BD!$L$2:$Q$66,2,0),0)</f>
        <v>INCA KOLA VR 1.5LX8 - STICKER</v>
      </c>
      <c r="G1713" s="424">
        <v>60</v>
      </c>
      <c r="H1713" s="3">
        <f>+IFERROR(VLOOKUP(E1713,BD!$L$2:$Q$66,6,0),0)</f>
        <v>30</v>
      </c>
      <c r="I1713" s="96">
        <f>IFERROR(G1713*VLOOKUP($E1713,BD!$L$2:$Q$66,5,0),0)</f>
        <v>24</v>
      </c>
      <c r="J1713" s="3">
        <f t="shared" si="115"/>
        <v>2021</v>
      </c>
    </row>
    <row r="1714" spans="1:10" s="9" customFormat="1" hidden="1" x14ac:dyDescent="0.25">
      <c r="A1714" s="447">
        <v>44452</v>
      </c>
      <c r="B1714" s="55" t="str">
        <f t="shared" si="112"/>
        <v>SETIEMBRE</v>
      </c>
      <c r="C1714" s="55">
        <f t="shared" si="113"/>
        <v>38</v>
      </c>
      <c r="D1714" s="3" t="str">
        <f t="shared" si="114"/>
        <v>LUNES</v>
      </c>
      <c r="E1714" s="427">
        <v>256379</v>
      </c>
      <c r="F1714" s="3" t="str">
        <f>IFERROR(VLOOKUP(E1714,BD!$L$2:$Q$66,2,0),0)</f>
        <v>INCA KOLA VR 625MLX12 - STICKER</v>
      </c>
      <c r="G1714" s="424">
        <v>100</v>
      </c>
      <c r="H1714" s="3">
        <f>+IFERROR(VLOOKUP(E1714,BD!$L$2:$Q$66,6,0),0)</f>
        <v>50</v>
      </c>
      <c r="I1714" s="96">
        <f>IFERROR(G1714*VLOOKUP($E1714,BD!$L$2:$Q$66,5,0),0)</f>
        <v>40</v>
      </c>
      <c r="J1714" s="3">
        <f t="shared" si="115"/>
        <v>2021</v>
      </c>
    </row>
    <row r="1715" spans="1:10" s="9" customFormat="1" hidden="1" x14ac:dyDescent="0.25">
      <c r="A1715" s="447">
        <v>44452</v>
      </c>
      <c r="B1715" s="55" t="str">
        <f t="shared" si="112"/>
        <v>SETIEMBRE</v>
      </c>
      <c r="C1715" s="55">
        <f t="shared" si="113"/>
        <v>38</v>
      </c>
      <c r="D1715" s="3" t="str">
        <f t="shared" si="114"/>
        <v>LUNES</v>
      </c>
      <c r="E1715" s="427">
        <v>251429</v>
      </c>
      <c r="F1715" s="3" t="str">
        <f>IFERROR(VLOOKUP(E1715,BD!$L$2:$Q$66,2,0),0)</f>
        <v>SAN LUIS SIN GAS PET2500X6 STICKER</v>
      </c>
      <c r="G1715" s="424">
        <v>576</v>
      </c>
      <c r="H1715" s="3">
        <f>+IFERROR(VLOOKUP(E1715,BD!$L$2:$Q$66,6,0),0)</f>
        <v>48</v>
      </c>
      <c r="I1715" s="96">
        <f>IFERROR(G1715*VLOOKUP($E1715,BD!$L$2:$Q$66,5,0),0)</f>
        <v>230.4</v>
      </c>
      <c r="J1715" s="3">
        <f t="shared" si="115"/>
        <v>2021</v>
      </c>
    </row>
    <row r="1716" spans="1:10" s="9" customFormat="1" hidden="1" x14ac:dyDescent="0.25">
      <c r="A1716" s="447">
        <v>44452</v>
      </c>
      <c r="B1716" s="55" t="str">
        <f t="shared" si="112"/>
        <v>SETIEMBRE</v>
      </c>
      <c r="C1716" s="55">
        <f t="shared" si="113"/>
        <v>38</v>
      </c>
      <c r="D1716" s="3" t="str">
        <f t="shared" si="114"/>
        <v>LUNES</v>
      </c>
      <c r="E1716" s="427">
        <v>256677</v>
      </c>
      <c r="F1716" s="3" t="str">
        <f>IFERROR(VLOOKUP(E1716,BD!$L$2:$Q$66,2,0),0)</f>
        <v>TWO PACK CC + IK PFM 3LX2 - RFNN</v>
      </c>
      <c r="G1716" s="424">
        <v>1440</v>
      </c>
      <c r="H1716" s="3">
        <f>+IFERROR(VLOOKUP(E1716,BD!$L$2:$Q$66,6,0),0)</f>
        <v>120</v>
      </c>
      <c r="I1716" s="96">
        <f>IFERROR(G1716*VLOOKUP($E1716,BD!$L$2:$Q$66,5,0),0)</f>
        <v>244.8</v>
      </c>
      <c r="J1716" s="3">
        <f t="shared" si="115"/>
        <v>2021</v>
      </c>
    </row>
    <row r="1717" spans="1:10" s="9" customFormat="1" hidden="1" x14ac:dyDescent="0.25">
      <c r="A1717" s="447">
        <v>44452</v>
      </c>
      <c r="B1717" s="55" t="str">
        <f t="shared" si="112"/>
        <v>SETIEMBRE</v>
      </c>
      <c r="C1717" s="55">
        <f t="shared" si="113"/>
        <v>38</v>
      </c>
      <c r="D1717" s="3" t="str">
        <f t="shared" si="114"/>
        <v>LUNES</v>
      </c>
      <c r="E1717" s="427">
        <v>256676</v>
      </c>
      <c r="F1717" s="3" t="str">
        <f>IFERROR(VLOOKUP(E1717,BD!$L$2:$Q$66,2,0),0)</f>
        <v>TWO PACK CC PFM 3LX2 - RFCC</v>
      </c>
      <c r="G1717" s="424">
        <v>480</v>
      </c>
      <c r="H1717" s="3">
        <f>+IFERROR(VLOOKUP(E1717,BD!$L$2:$Q$66,6,0),0)</f>
        <v>120</v>
      </c>
      <c r="I1717" s="96">
        <f>IFERROR(G1717*VLOOKUP($E1717,BD!$L$2:$Q$66,5,0),0)</f>
        <v>81.600000000000009</v>
      </c>
      <c r="J1717" s="3">
        <f t="shared" si="115"/>
        <v>2021</v>
      </c>
    </row>
    <row r="1718" spans="1:10" s="9" customFormat="1" hidden="1" x14ac:dyDescent="0.25">
      <c r="A1718" s="447">
        <v>44452</v>
      </c>
      <c r="B1718" s="55" t="str">
        <f t="shared" si="112"/>
        <v>SETIEMBRE</v>
      </c>
      <c r="C1718" s="55">
        <f t="shared" si="113"/>
        <v>38</v>
      </c>
      <c r="D1718" s="3" t="str">
        <f t="shared" si="114"/>
        <v>LUNES</v>
      </c>
      <c r="E1718" s="427">
        <v>256675</v>
      </c>
      <c r="F1718" s="3" t="str">
        <f>IFERROR(VLOOKUP(E1718,BD!$L$2:$Q$66,2,0),0)</f>
        <v>INCA KOLA PET 1.5LX2 RF</v>
      </c>
      <c r="G1718" s="424">
        <v>864</v>
      </c>
      <c r="H1718" s="3">
        <f>+IFERROR(VLOOKUP(E1718,BD!$L$2:$Q$66,6,0),0)</f>
        <v>198</v>
      </c>
      <c r="I1718" s="96">
        <f>IFERROR(G1718*VLOOKUP($E1718,BD!$L$2:$Q$66,5,0),0)</f>
        <v>146.88000000000002</v>
      </c>
      <c r="J1718" s="3">
        <f t="shared" si="115"/>
        <v>2021</v>
      </c>
    </row>
    <row r="1719" spans="1:10" s="9" customFormat="1" hidden="1" x14ac:dyDescent="0.25">
      <c r="A1719" s="447">
        <v>44452</v>
      </c>
      <c r="B1719" s="55" t="str">
        <f t="shared" si="112"/>
        <v>SETIEMBRE</v>
      </c>
      <c r="C1719" s="55">
        <f t="shared" si="113"/>
        <v>38</v>
      </c>
      <c r="D1719" s="3" t="str">
        <f t="shared" si="114"/>
        <v>LUNES</v>
      </c>
      <c r="E1719" s="427">
        <v>256674</v>
      </c>
      <c r="F1719" s="3" t="str">
        <f>IFERROR(VLOOKUP(E1719,BD!$L$2:$Q$66,2,0),0)</f>
        <v>COCA-COLA PET 1.5LX2 RF</v>
      </c>
      <c r="G1719" s="424">
        <v>648</v>
      </c>
      <c r="H1719" s="3">
        <f>+IFERROR(VLOOKUP(E1719,BD!$L$2:$Q$66,6,0),0)</f>
        <v>198</v>
      </c>
      <c r="I1719" s="96">
        <f>IFERROR(G1719*VLOOKUP($E1719,BD!$L$2:$Q$66,5,0),0)</f>
        <v>110.16000000000001</v>
      </c>
      <c r="J1719" s="3">
        <f t="shared" si="115"/>
        <v>2021</v>
      </c>
    </row>
    <row r="1720" spans="1:10" s="9" customFormat="1" hidden="1" x14ac:dyDescent="0.25">
      <c r="A1720" s="447">
        <v>44452</v>
      </c>
      <c r="B1720" s="55" t="str">
        <f t="shared" si="112"/>
        <v>SETIEMBRE</v>
      </c>
      <c r="C1720" s="55">
        <f t="shared" si="113"/>
        <v>38</v>
      </c>
      <c r="D1720" s="3" t="str">
        <f t="shared" si="114"/>
        <v>LUNES</v>
      </c>
      <c r="E1720" s="427">
        <v>256652</v>
      </c>
      <c r="F1720" s="3" t="str">
        <f>IFERROR(VLOOKUP(E1720,BD!$L$2:$Q$66,2,0),0)</f>
        <v>TRIPACK FT NAR+FT KI+SP PET 3L</v>
      </c>
      <c r="G1720" s="424">
        <v>720</v>
      </c>
      <c r="H1720" s="3">
        <f>+IFERROR(VLOOKUP(E1720,BD!$L$2:$Q$66,6,0),0)</f>
        <v>90</v>
      </c>
      <c r="I1720" s="96">
        <f>IFERROR(G1720*VLOOKUP($E1720,BD!$L$2:$Q$66,5,0),0)</f>
        <v>122.4</v>
      </c>
      <c r="J1720" s="3">
        <f t="shared" si="115"/>
        <v>2021</v>
      </c>
    </row>
    <row r="1721" spans="1:10" s="9" customFormat="1" hidden="1" x14ac:dyDescent="0.25">
      <c r="A1721" s="447">
        <v>44452</v>
      </c>
      <c r="B1721" s="55" t="str">
        <f t="shared" si="112"/>
        <v>SETIEMBRE</v>
      </c>
      <c r="C1721" s="55">
        <f t="shared" si="113"/>
        <v>38</v>
      </c>
      <c r="D1721" s="3" t="str">
        <f t="shared" si="114"/>
        <v>LUNES</v>
      </c>
      <c r="E1721" s="427">
        <v>256488</v>
      </c>
      <c r="F1721" s="3" t="str">
        <f>IFERROR(VLOOKUP(E1721,BD!$L$2:$Q$66,2,0),0)</f>
        <v>INCA KOLA PET 3LX2 - RF</v>
      </c>
      <c r="G1721" s="424">
        <v>720</v>
      </c>
      <c r="H1721" s="3">
        <f>+IFERROR(VLOOKUP(E1721,BD!$L$2:$Q$66,6,0),0)</f>
        <v>120</v>
      </c>
      <c r="I1721" s="96">
        <f>IFERROR(G1721*VLOOKUP($E1721,BD!$L$2:$Q$66,5,0),0)</f>
        <v>122.4</v>
      </c>
      <c r="J1721" s="3">
        <f t="shared" si="115"/>
        <v>2021</v>
      </c>
    </row>
    <row r="1722" spans="1:10" s="9" customFormat="1" hidden="1" x14ac:dyDescent="0.25">
      <c r="A1722" s="447">
        <v>44452</v>
      </c>
      <c r="B1722" s="55" t="str">
        <f t="shared" si="112"/>
        <v>SETIEMBRE</v>
      </c>
      <c r="C1722" s="55">
        <f t="shared" si="113"/>
        <v>38</v>
      </c>
      <c r="D1722" s="3" t="str">
        <f t="shared" si="114"/>
        <v>LUNES</v>
      </c>
      <c r="E1722" s="427">
        <v>256678</v>
      </c>
      <c r="F1722" s="3" t="str">
        <f>IFERROR(VLOOKUP(E1722,BD!$L$2:$Q$66,2,0),0)</f>
        <v>TRIPACK (CC+IK)PFM+FT PET 3LX3 - RFNN</v>
      </c>
      <c r="G1722" s="424">
        <v>720</v>
      </c>
      <c r="H1722" s="3">
        <f>+IFERROR(VLOOKUP(E1722,BD!$L$2:$Q$66,6,0),0)</f>
        <v>90</v>
      </c>
      <c r="I1722" s="96">
        <f>IFERROR(G1722*VLOOKUP($E1722,BD!$L$2:$Q$66,5,0),0)</f>
        <v>122.4</v>
      </c>
      <c r="J1722" s="3">
        <f t="shared" si="115"/>
        <v>2021</v>
      </c>
    </row>
    <row r="1723" spans="1:10" s="9" customFormat="1" hidden="1" x14ac:dyDescent="0.25">
      <c r="A1723" s="447">
        <v>44452</v>
      </c>
      <c r="B1723" s="55" t="str">
        <f t="shared" ref="B1723:B1786" si="116">UPPER(TEXT(A1723,"MMMM"))</f>
        <v>SETIEMBRE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7">
        <v>251406</v>
      </c>
      <c r="F1723" s="3" t="str">
        <f>IFERROR(VLOOKUP(E1723,BD!$L$2:$Q$66,2,0),0)</f>
        <v>COCA-COLA SIN AZUCAR PET 1.5LX2</v>
      </c>
      <c r="G1723" s="424">
        <v>216</v>
      </c>
      <c r="H1723" s="3">
        <f>+IFERROR(VLOOKUP(E1723,BD!$L$2:$Q$66,6,0),0)</f>
        <v>198</v>
      </c>
      <c r="I1723" s="96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hidden="1" x14ac:dyDescent="0.25">
      <c r="A1724" s="447">
        <v>44452</v>
      </c>
      <c r="B1724" s="55" t="str">
        <f t="shared" si="116"/>
        <v>SETIEMBRE</v>
      </c>
      <c r="C1724" s="55">
        <f t="shared" si="117"/>
        <v>38</v>
      </c>
      <c r="D1724" s="3" t="str">
        <f t="shared" si="118"/>
        <v>LUNES</v>
      </c>
      <c r="E1724" s="427">
        <v>254853</v>
      </c>
      <c r="F1724" s="3" t="str">
        <f>IFERROR(VLOOKUP(E1724,BD!$L$2:$Q$66,2,0),0)</f>
        <v>INCA KOLA SIN AZUCAR PET 1.5LX2</v>
      </c>
      <c r="G1724" s="424">
        <v>1296</v>
      </c>
      <c r="H1724" s="3">
        <f>+IFERROR(VLOOKUP(E1724,BD!$L$2:$Q$66,6,0),0)</f>
        <v>198</v>
      </c>
      <c r="I1724" s="96">
        <f>IFERROR(G1724*VLOOKUP($E1724,BD!$L$2:$Q$66,5,0),0)</f>
        <v>220.32000000000002</v>
      </c>
      <c r="J1724" s="3">
        <f t="shared" si="119"/>
        <v>2021</v>
      </c>
    </row>
    <row r="1725" spans="1:10" s="9" customFormat="1" hidden="1" x14ac:dyDescent="0.25">
      <c r="A1725" s="447">
        <v>44452</v>
      </c>
      <c r="B1725" s="55" t="str">
        <f t="shared" si="116"/>
        <v>SETIEMBRE</v>
      </c>
      <c r="C1725" s="55">
        <f t="shared" si="117"/>
        <v>38</v>
      </c>
      <c r="D1725" s="3" t="str">
        <f t="shared" si="118"/>
        <v>LUNES</v>
      </c>
      <c r="E1725" s="427">
        <v>256666</v>
      </c>
      <c r="F1725" s="3" t="str">
        <f>IFERROR(VLOOKUP(E1725,BD!$L$2:$Q$66,2,0),0)</f>
        <v>COCA-COLA PET 2.25LX2 RF</v>
      </c>
      <c r="G1725" s="424">
        <v>324</v>
      </c>
      <c r="H1725" s="3">
        <f>+IFERROR(VLOOKUP(E1725,BD!$L$2:$Q$66,6,0),0)</f>
        <v>162</v>
      </c>
      <c r="I1725" s="96">
        <f>IFERROR(G1725*VLOOKUP($E1725,BD!$L$2:$Q$66,5,0),0)</f>
        <v>55.080000000000005</v>
      </c>
      <c r="J1725" s="3">
        <f t="shared" si="119"/>
        <v>2021</v>
      </c>
    </row>
    <row r="1726" spans="1:10" s="9" customFormat="1" hidden="1" x14ac:dyDescent="0.25">
      <c r="A1726" s="447">
        <v>44452</v>
      </c>
      <c r="B1726" s="55" t="str">
        <f t="shared" si="116"/>
        <v>SETIEMBRE</v>
      </c>
      <c r="C1726" s="55">
        <f t="shared" si="117"/>
        <v>38</v>
      </c>
      <c r="D1726" s="3" t="str">
        <f t="shared" si="118"/>
        <v>LUNES</v>
      </c>
      <c r="E1726" s="427">
        <v>254762</v>
      </c>
      <c r="F1726" s="3" t="str">
        <f>IFERROR(VLOOKUP(E1726,BD!$L$2:$Q$66,2,0),0)</f>
        <v xml:space="preserve">SAN LUIS SPORT S/G 10 Lt x6 </v>
      </c>
      <c r="G1726" s="424">
        <v>224</v>
      </c>
      <c r="H1726" s="3">
        <f>+IFERROR(VLOOKUP(E1726,BD!$L$2:$Q$66,6,0),0)</f>
        <v>240</v>
      </c>
      <c r="I1726" s="96">
        <f>IFERROR(G1726*VLOOKUP($E1726,BD!$L$2:$Q$66,5,0),0)</f>
        <v>89.600000000000009</v>
      </c>
      <c r="J1726" s="3">
        <f t="shared" si="119"/>
        <v>2021</v>
      </c>
    </row>
    <row r="1727" spans="1:10" s="9" customFormat="1" hidden="1" x14ac:dyDescent="0.25">
      <c r="A1727" s="447">
        <v>44452</v>
      </c>
      <c r="B1727" s="55" t="str">
        <f t="shared" si="116"/>
        <v>SETIEMBRE</v>
      </c>
      <c r="C1727" s="55">
        <f t="shared" si="117"/>
        <v>38</v>
      </c>
      <c r="D1727" s="3" t="str">
        <f t="shared" si="118"/>
        <v>LUNES</v>
      </c>
      <c r="E1727" s="427">
        <v>256685</v>
      </c>
      <c r="F1727" s="3" t="str">
        <f>IFERROR(VLOOKUP(E1727,BD!$L$2:$Q$66,2,0),0)</f>
        <v>SL S/G TAPA PLANA 1LT</v>
      </c>
      <c r="G1727" s="424">
        <v>448</v>
      </c>
      <c r="H1727" s="3">
        <f>+IFERROR(VLOOKUP(E1727,BD!$L$2:$Q$66,6,0),0)</f>
        <v>112</v>
      </c>
      <c r="I1727" s="96">
        <f>IFERROR(G1727*VLOOKUP($E1727,BD!$L$2:$Q$66,5,0),0)</f>
        <v>179.20000000000002</v>
      </c>
      <c r="J1727" s="3">
        <f t="shared" si="119"/>
        <v>2021</v>
      </c>
    </row>
    <row r="1728" spans="1:10" s="9" customFormat="1" hidden="1" x14ac:dyDescent="0.25">
      <c r="A1728" s="447">
        <v>44452</v>
      </c>
      <c r="B1728" s="55" t="str">
        <f t="shared" si="116"/>
        <v>SETIEMBRE</v>
      </c>
      <c r="C1728" s="55">
        <f t="shared" si="117"/>
        <v>38</v>
      </c>
      <c r="D1728" s="3" t="str">
        <f t="shared" si="118"/>
        <v>LUNES</v>
      </c>
      <c r="E1728" s="427">
        <v>251633</v>
      </c>
      <c r="F1728" s="3" t="str">
        <f>IFERROR(VLOOKUP(E1728,BD!$L$2:$Q$66,2,0),0)</f>
        <v>SAN LUIS CON GAS PET 625MLX6</v>
      </c>
      <c r="G1728" s="424">
        <v>540</v>
      </c>
      <c r="H1728" s="3">
        <f>+IFERROR(VLOOKUP(E1728,BD!$L$2:$Q$66,6,0),0)</f>
        <v>180</v>
      </c>
      <c r="I1728" s="96">
        <f>IFERROR(G1728*VLOOKUP($E1728,BD!$L$2:$Q$66,5,0),0)</f>
        <v>226.79999999999998</v>
      </c>
      <c r="J1728" s="3">
        <f t="shared" si="119"/>
        <v>2021</v>
      </c>
    </row>
    <row r="1729" spans="1:10" s="9" customFormat="1" hidden="1" x14ac:dyDescent="0.25">
      <c r="A1729" s="447">
        <v>44452</v>
      </c>
      <c r="B1729" s="55" t="str">
        <f t="shared" si="116"/>
        <v>SETIEMBRE</v>
      </c>
      <c r="C1729" s="55">
        <f t="shared" si="117"/>
        <v>38</v>
      </c>
      <c r="D1729" s="3" t="str">
        <f t="shared" si="118"/>
        <v>LUNES</v>
      </c>
      <c r="E1729" s="427">
        <v>256682</v>
      </c>
      <c r="F1729" s="3" t="str">
        <f>IFERROR(VLOOKUP(E1729,BD!$L$2:$Q$66,2,0),0)</f>
        <v>TRIPACK (FT NAR+SP)PET+IK RF PFM 3L</v>
      </c>
      <c r="G1729" s="424">
        <v>720</v>
      </c>
      <c r="H1729" s="3">
        <f>+IFERROR(VLOOKUP(E1729,BD!$L$2:$Q$66,6,0),0)</f>
        <v>90</v>
      </c>
      <c r="I1729" s="96">
        <f>IFERROR(G1729*VLOOKUP($E1729,BD!$L$2:$Q$66,5,0),0)</f>
        <v>122.4</v>
      </c>
      <c r="J1729" s="3">
        <f t="shared" si="119"/>
        <v>2021</v>
      </c>
    </row>
    <row r="1730" spans="1:10" s="9" customFormat="1" hidden="1" x14ac:dyDescent="0.25">
      <c r="A1730" s="447">
        <v>44452</v>
      </c>
      <c r="B1730" s="55" t="str">
        <f t="shared" si="116"/>
        <v>SETIEMBRE</v>
      </c>
      <c r="C1730" s="55">
        <f t="shared" si="117"/>
        <v>38</v>
      </c>
      <c r="D1730" s="3" t="str">
        <f t="shared" si="118"/>
        <v>LUNES</v>
      </c>
      <c r="E1730" s="427">
        <v>256720</v>
      </c>
      <c r="F1730" s="3" t="str">
        <f>IFERROR(VLOOKUP(E1730,BD!$L$2:$Q$66,2,0),0)</f>
        <v>FANTA NARANJA PET 500MLX6 BRANDEADO MOD</v>
      </c>
      <c r="G1730" s="424">
        <v>1000</v>
      </c>
      <c r="H1730" s="3">
        <f>+IFERROR(VLOOKUP(E1730,BD!$L$2:$Q$66,6,0),0)</f>
        <v>420</v>
      </c>
      <c r="I1730" s="96">
        <f>IFERROR(G1730*VLOOKUP($E1730,BD!$L$2:$Q$66,5,0),0)</f>
        <v>420</v>
      </c>
      <c r="J1730" s="3">
        <f t="shared" si="119"/>
        <v>2021</v>
      </c>
    </row>
    <row r="1731" spans="1:10" s="9" customFormat="1" hidden="1" x14ac:dyDescent="0.25">
      <c r="A1731" s="447">
        <v>44452</v>
      </c>
      <c r="B1731" s="55" t="str">
        <f t="shared" si="116"/>
        <v>SETIEMBRE</v>
      </c>
      <c r="C1731" s="55">
        <f t="shared" si="117"/>
        <v>38</v>
      </c>
      <c r="D1731" s="3" t="str">
        <f t="shared" si="118"/>
        <v>LUNES</v>
      </c>
      <c r="E1731" s="427">
        <v>256695</v>
      </c>
      <c r="F1731" s="3" t="str">
        <f>IFERROR(VLOOKUP(E1731,BD!$L$2:$Q$66,2,0),0)</f>
        <v>POWERADE 3MORA+3FRUT PET 473MLX6</v>
      </c>
      <c r="G1731" s="424">
        <v>1350</v>
      </c>
      <c r="H1731" s="3">
        <f>+IFERROR(VLOOKUP(E1731,BD!$L$2:$Q$66,6,0),0)</f>
        <v>225</v>
      </c>
      <c r="I1731" s="96">
        <f>IFERROR(G1731*VLOOKUP($E1731,BD!$L$2:$Q$66,5,0),0)</f>
        <v>567</v>
      </c>
      <c r="J1731" s="3">
        <f t="shared" si="119"/>
        <v>2021</v>
      </c>
    </row>
    <row r="1732" spans="1:10" s="9" customFormat="1" hidden="1" x14ac:dyDescent="0.25">
      <c r="A1732" s="447">
        <v>44452</v>
      </c>
      <c r="B1732" s="55" t="str">
        <f t="shared" si="116"/>
        <v>SETIEMBRE</v>
      </c>
      <c r="C1732" s="55">
        <f t="shared" si="117"/>
        <v>38</v>
      </c>
      <c r="D1732" s="3" t="str">
        <f t="shared" si="118"/>
        <v>LUNES</v>
      </c>
      <c r="E1732" s="427">
        <v>256708</v>
      </c>
      <c r="F1732" s="3" t="str">
        <f>IFERROR(VLOOKUP(E1732,BD!$L$2:$Q$66,2,0),0)</f>
        <v>POWERADE ION4 FRUTA PET473X6 MOD (STICK)</v>
      </c>
      <c r="G1732" s="424">
        <v>675</v>
      </c>
      <c r="H1732" s="3">
        <f>+IFERROR(VLOOKUP(E1732,BD!$L$2:$Q$66,6,0),0)</f>
        <v>225</v>
      </c>
      <c r="I1732" s="96">
        <f>IFERROR(G1732*VLOOKUP($E1732,BD!$L$2:$Q$66,5,0),0)</f>
        <v>270</v>
      </c>
      <c r="J1732" s="3">
        <f t="shared" si="119"/>
        <v>2021</v>
      </c>
    </row>
    <row r="1733" spans="1:10" s="9" customFormat="1" hidden="1" x14ac:dyDescent="0.25">
      <c r="A1733" s="447">
        <v>44452</v>
      </c>
      <c r="B1733" s="55" t="str">
        <f t="shared" si="116"/>
        <v>SETIEMBRE</v>
      </c>
      <c r="C1733" s="55">
        <f t="shared" si="117"/>
        <v>38</v>
      </c>
      <c r="D1733" s="3" t="str">
        <f t="shared" si="118"/>
        <v>LUNES</v>
      </c>
      <c r="E1733" s="427">
        <v>256679</v>
      </c>
      <c r="F1733" s="3" t="str">
        <f>IFERROR(VLOOKUP(E1733,BD!$L$2:$Q$66,2,0),0)</f>
        <v>TRIPACK CC+IK+IK PFM 3LX3 - RFNN</v>
      </c>
      <c r="G1733" s="424">
        <v>720</v>
      </c>
      <c r="H1733" s="3">
        <f>+IFERROR(VLOOKUP(E1733,BD!$L$2:$Q$66,6,0),0)</f>
        <v>90</v>
      </c>
      <c r="I1733" s="96">
        <f>IFERROR(G1733*VLOOKUP($E1733,BD!$L$2:$Q$66,5,0),0)</f>
        <v>122.4</v>
      </c>
      <c r="J1733" s="3">
        <f t="shared" si="119"/>
        <v>2021</v>
      </c>
    </row>
    <row r="1734" spans="1:10" s="9" customFormat="1" hidden="1" x14ac:dyDescent="0.25">
      <c r="A1734" s="447">
        <v>44452</v>
      </c>
      <c r="B1734" s="55" t="str">
        <f t="shared" si="116"/>
        <v>SETIEMBRE</v>
      </c>
      <c r="C1734" s="55">
        <f t="shared" si="117"/>
        <v>38</v>
      </c>
      <c r="D1734" s="3" t="str">
        <f t="shared" si="118"/>
        <v>LUNES</v>
      </c>
      <c r="E1734" s="427">
        <v>256674</v>
      </c>
      <c r="F1734" s="3" t="str">
        <f>IFERROR(VLOOKUP(E1734,BD!$L$2:$Q$66,2,0),0)</f>
        <v>COCA-COLA PET 1.5LX2 RF</v>
      </c>
      <c r="G1734" s="424">
        <v>648</v>
      </c>
      <c r="H1734" s="3">
        <f>+IFERROR(VLOOKUP(E1734,BD!$L$2:$Q$66,6,0),0)</f>
        <v>198</v>
      </c>
      <c r="I1734" s="96">
        <f>IFERROR(G1734*VLOOKUP($E1734,BD!$L$2:$Q$66,5,0),0)</f>
        <v>110.16000000000001</v>
      </c>
      <c r="J1734" s="3">
        <f t="shared" si="119"/>
        <v>2021</v>
      </c>
    </row>
    <row r="1735" spans="1:10" s="9" customFormat="1" hidden="1" x14ac:dyDescent="0.25">
      <c r="A1735" s="447">
        <v>44452</v>
      </c>
      <c r="B1735" s="55" t="str">
        <f t="shared" si="116"/>
        <v>SETIEMBRE</v>
      </c>
      <c r="C1735" s="55">
        <f t="shared" si="117"/>
        <v>38</v>
      </c>
      <c r="D1735" s="3" t="str">
        <f t="shared" si="118"/>
        <v>LUNES</v>
      </c>
      <c r="E1735" s="427">
        <v>256678</v>
      </c>
      <c r="F1735" s="3" t="str">
        <f>IFERROR(VLOOKUP(E1735,BD!$L$2:$Q$66,2,0),0)</f>
        <v>TRIPACK (CC+IK)PFM+FT PET 3LX3 - RFNN</v>
      </c>
      <c r="G1735" s="425">
        <v>540</v>
      </c>
      <c r="H1735" s="3">
        <f>+IFERROR(VLOOKUP(E1735,BD!$L$2:$Q$66,6,0),0)</f>
        <v>90</v>
      </c>
      <c r="I1735" s="96">
        <f>IFERROR(G1735*VLOOKUP($E1735,BD!$L$2:$Q$66,5,0),0)</f>
        <v>91.800000000000011</v>
      </c>
      <c r="J1735" s="3">
        <f t="shared" si="119"/>
        <v>2021</v>
      </c>
    </row>
    <row r="1736" spans="1:10" s="9" customFormat="1" hidden="1" x14ac:dyDescent="0.25">
      <c r="A1736" s="447">
        <v>44452</v>
      </c>
      <c r="B1736" s="55" t="str">
        <f t="shared" si="116"/>
        <v>SETIEMBRE</v>
      </c>
      <c r="C1736" s="55">
        <f t="shared" si="117"/>
        <v>38</v>
      </c>
      <c r="D1736" s="3" t="str">
        <f t="shared" si="118"/>
        <v>LUNES</v>
      </c>
      <c r="E1736" s="427">
        <v>256678</v>
      </c>
      <c r="F1736" s="3" t="str">
        <f>IFERROR(VLOOKUP(E1736,BD!$L$2:$Q$66,2,0),0)</f>
        <v>TRIPACK (CC+IK)PFM+FT PET 3LX3 - RFNN</v>
      </c>
      <c r="G1736" s="424">
        <v>270</v>
      </c>
      <c r="H1736" s="3">
        <f>+IFERROR(VLOOKUP(E1736,BD!$L$2:$Q$66,6,0),0)</f>
        <v>90</v>
      </c>
      <c r="I1736" s="96">
        <f>IFERROR(G1736*VLOOKUP($E1736,BD!$L$2:$Q$66,5,0),0)</f>
        <v>45.900000000000006</v>
      </c>
      <c r="J1736" s="3">
        <f t="shared" si="119"/>
        <v>2021</v>
      </c>
    </row>
    <row r="1737" spans="1:10" s="9" customFormat="1" hidden="1" x14ac:dyDescent="0.25">
      <c r="A1737" s="447">
        <v>44452</v>
      </c>
      <c r="B1737" s="55" t="str">
        <f t="shared" si="116"/>
        <v>SETIEMBRE</v>
      </c>
      <c r="C1737" s="55">
        <f t="shared" si="117"/>
        <v>38</v>
      </c>
      <c r="D1737" s="3" t="str">
        <f t="shared" si="118"/>
        <v>LUNES</v>
      </c>
      <c r="E1737" s="427">
        <v>251406</v>
      </c>
      <c r="F1737" s="3" t="str">
        <f>IFERROR(VLOOKUP(E1737,BD!$L$2:$Q$66,2,0),0)</f>
        <v>COCA-COLA SIN AZUCAR PET 1.5LX2</v>
      </c>
      <c r="G1737" s="424">
        <v>1512</v>
      </c>
      <c r="H1737" s="3">
        <f>+IFERROR(VLOOKUP(E1737,BD!$L$2:$Q$66,6,0),0)</f>
        <v>198</v>
      </c>
      <c r="I1737" s="96">
        <f>IFERROR(G1737*VLOOKUP($E1737,BD!$L$2:$Q$66,5,0),0)</f>
        <v>257.04000000000002</v>
      </c>
      <c r="J1737" s="3">
        <f t="shared" si="119"/>
        <v>2021</v>
      </c>
    </row>
    <row r="1738" spans="1:10" s="9" customFormat="1" hidden="1" x14ac:dyDescent="0.25">
      <c r="A1738" s="447">
        <v>44452</v>
      </c>
      <c r="B1738" s="55" t="str">
        <f t="shared" si="116"/>
        <v>SETIEMBRE</v>
      </c>
      <c r="C1738" s="55">
        <f t="shared" si="117"/>
        <v>38</v>
      </c>
      <c r="D1738" s="3" t="str">
        <f t="shared" si="118"/>
        <v>LUNES</v>
      </c>
      <c r="E1738" s="427">
        <v>256379</v>
      </c>
      <c r="F1738" s="3" t="str">
        <f>IFERROR(VLOOKUP(E1738,BD!$L$2:$Q$66,2,0),0)</f>
        <v>INCA KOLA VR 625MLX12 - STICKER</v>
      </c>
      <c r="G1738" s="424">
        <v>100</v>
      </c>
      <c r="H1738" s="3">
        <f>+IFERROR(VLOOKUP(E1738,BD!$L$2:$Q$66,6,0),0)</f>
        <v>50</v>
      </c>
      <c r="I1738" s="96">
        <f>IFERROR(G1738*VLOOKUP($E1738,BD!$L$2:$Q$66,5,0),0)</f>
        <v>40</v>
      </c>
      <c r="J1738" s="3">
        <f t="shared" si="119"/>
        <v>2021</v>
      </c>
    </row>
    <row r="1739" spans="1:10" s="9" customFormat="1" hidden="1" x14ac:dyDescent="0.25">
      <c r="A1739" s="447">
        <v>44453</v>
      </c>
      <c r="B1739" s="55" t="str">
        <f t="shared" si="116"/>
        <v>SETIEMBRE</v>
      </c>
      <c r="C1739" s="55">
        <f t="shared" si="117"/>
        <v>38</v>
      </c>
      <c r="D1739" s="3" t="str">
        <f t="shared" si="118"/>
        <v>MARTES</v>
      </c>
      <c r="E1739" s="427">
        <v>256679</v>
      </c>
      <c r="F1739" s="3" t="str">
        <f>IFERROR(VLOOKUP(E1739,BD!$L$2:$Q$66,2,0),0)</f>
        <v>TRIPACK CC+IK+IK PFM 3LX3 - RFNN</v>
      </c>
      <c r="G1739" s="424">
        <v>720</v>
      </c>
      <c r="H1739" s="3">
        <f>+IFERROR(VLOOKUP(E1739,BD!$L$2:$Q$66,6,0),0)</f>
        <v>90</v>
      </c>
      <c r="I1739" s="96">
        <f>IFERROR(G1739*VLOOKUP($E1739,BD!$L$2:$Q$66,5,0),0)</f>
        <v>122.4</v>
      </c>
      <c r="J1739" s="3">
        <f t="shared" si="119"/>
        <v>2021</v>
      </c>
    </row>
    <row r="1740" spans="1:10" s="9" customFormat="1" hidden="1" x14ac:dyDescent="0.25">
      <c r="A1740" s="447">
        <v>44453</v>
      </c>
      <c r="B1740" s="55" t="str">
        <f t="shared" si="116"/>
        <v>SETIEMBRE</v>
      </c>
      <c r="C1740" s="55">
        <f t="shared" si="117"/>
        <v>38</v>
      </c>
      <c r="D1740" s="3" t="str">
        <f t="shared" si="118"/>
        <v>MARTES</v>
      </c>
      <c r="E1740" s="427">
        <v>256682</v>
      </c>
      <c r="F1740" s="3" t="str">
        <f>IFERROR(VLOOKUP(E1740,BD!$L$2:$Q$66,2,0),0)</f>
        <v>TRIPACK (FT NAR+SP)PET+IK RF PFM 3L</v>
      </c>
      <c r="G1740" s="424">
        <v>720</v>
      </c>
      <c r="H1740" s="3">
        <f>+IFERROR(VLOOKUP(E1740,BD!$L$2:$Q$66,6,0),0)</f>
        <v>90</v>
      </c>
      <c r="I1740" s="96">
        <f>IFERROR(G1740*VLOOKUP($E1740,BD!$L$2:$Q$66,5,0),0)</f>
        <v>122.4</v>
      </c>
      <c r="J1740" s="3">
        <f t="shared" si="119"/>
        <v>2021</v>
      </c>
    </row>
    <row r="1741" spans="1:10" s="9" customFormat="1" hidden="1" x14ac:dyDescent="0.25">
      <c r="A1741" s="447">
        <v>44453</v>
      </c>
      <c r="B1741" s="55" t="str">
        <f t="shared" si="116"/>
        <v>SETIEMBRE</v>
      </c>
      <c r="C1741" s="55">
        <f t="shared" si="117"/>
        <v>38</v>
      </c>
      <c r="D1741" s="3" t="str">
        <f t="shared" si="118"/>
        <v>MARTES</v>
      </c>
      <c r="E1741" s="427">
        <v>256381</v>
      </c>
      <c r="F1741" s="3" t="str">
        <f>IFERROR(VLOOKUP(E1741,BD!$L$2:$Q$66,2,0),0)</f>
        <v>INCA KOLA VR 1.5LX8 - STICKER</v>
      </c>
      <c r="G1741" s="424">
        <v>30</v>
      </c>
      <c r="H1741" s="3">
        <f>+IFERROR(VLOOKUP(E1741,BD!$L$2:$Q$66,6,0),0)</f>
        <v>30</v>
      </c>
      <c r="I1741" s="96">
        <f>IFERROR(G1741*VLOOKUP($E1741,BD!$L$2:$Q$66,5,0),0)</f>
        <v>12</v>
      </c>
      <c r="J1741" s="3">
        <f t="shared" si="119"/>
        <v>2021</v>
      </c>
    </row>
    <row r="1742" spans="1:10" s="9" customFormat="1" hidden="1" x14ac:dyDescent="0.25">
      <c r="A1742" s="447">
        <v>44453</v>
      </c>
      <c r="B1742" s="55" t="str">
        <f t="shared" si="116"/>
        <v>SETIEMBRE</v>
      </c>
      <c r="C1742" s="55">
        <f t="shared" si="117"/>
        <v>38</v>
      </c>
      <c r="D1742" s="3" t="str">
        <f t="shared" si="118"/>
        <v>MARTES</v>
      </c>
      <c r="E1742" s="427">
        <v>256380</v>
      </c>
      <c r="F1742" s="3" t="str">
        <f>IFERROR(VLOOKUP(E1742,BD!$L$2:$Q$66,2,0),0)</f>
        <v>INCA KOLA VR 296MLX24 - STICKER</v>
      </c>
      <c r="G1742" s="424">
        <v>40</v>
      </c>
      <c r="H1742" s="3">
        <f>+IFERROR(VLOOKUP(E1742,BD!$L$2:$Q$66,6,0),0)</f>
        <v>40</v>
      </c>
      <c r="I1742" s="96">
        <f>IFERROR(G1742*VLOOKUP($E1742,BD!$L$2:$Q$66,5,0),0)</f>
        <v>9.2000000000000011</v>
      </c>
      <c r="J1742" s="3">
        <f t="shared" si="119"/>
        <v>2021</v>
      </c>
    </row>
    <row r="1743" spans="1:10" s="9" customFormat="1" hidden="1" x14ac:dyDescent="0.25">
      <c r="A1743" s="447">
        <v>44453</v>
      </c>
      <c r="B1743" s="55" t="str">
        <f t="shared" si="116"/>
        <v>SETIEMBRE</v>
      </c>
      <c r="C1743" s="55">
        <f t="shared" si="117"/>
        <v>38</v>
      </c>
      <c r="D1743" s="3" t="str">
        <f t="shared" si="118"/>
        <v>MARTES</v>
      </c>
      <c r="E1743" s="427">
        <v>256379</v>
      </c>
      <c r="F1743" s="3" t="str">
        <f>IFERROR(VLOOKUP(E1743,BD!$L$2:$Q$66,2,0),0)</f>
        <v>INCA KOLA VR 625MLX12 - STICKER</v>
      </c>
      <c r="G1743" s="424">
        <v>100</v>
      </c>
      <c r="H1743" s="3">
        <f>+IFERROR(VLOOKUP(E1743,BD!$L$2:$Q$66,6,0),0)</f>
        <v>50</v>
      </c>
      <c r="I1743" s="96">
        <f>IFERROR(G1743*VLOOKUP($E1743,BD!$L$2:$Q$66,5,0),0)</f>
        <v>40</v>
      </c>
      <c r="J1743" s="3">
        <f t="shared" si="119"/>
        <v>2021</v>
      </c>
    </row>
    <row r="1744" spans="1:10" s="9" customFormat="1" hidden="1" x14ac:dyDescent="0.25">
      <c r="A1744" s="447">
        <v>44453</v>
      </c>
      <c r="B1744" s="55" t="str">
        <f t="shared" si="116"/>
        <v>SETIEMBRE</v>
      </c>
      <c r="C1744" s="55">
        <f t="shared" si="117"/>
        <v>38</v>
      </c>
      <c r="D1744" s="3" t="str">
        <f t="shared" si="118"/>
        <v>MARTES</v>
      </c>
      <c r="E1744" s="427">
        <v>255405</v>
      </c>
      <c r="F1744" s="3" t="str">
        <f>IFERROR(VLOOKUP(E1744,BD!$L$2:$Q$66,2,0),0)</f>
        <v>FRUGOS BEBIDA DZ VNR 286MLX6 C/STICKER</v>
      </c>
      <c r="G1744" s="424">
        <v>350</v>
      </c>
      <c r="H1744" s="3">
        <f>+IFERROR(VLOOKUP(E1744,BD!$L$2:$Q$66,6,0),0)</f>
        <v>350</v>
      </c>
      <c r="I1744" s="96">
        <f>IFERROR(G1744*VLOOKUP($E1744,BD!$L$2:$Q$66,5,0),0)</f>
        <v>80.5</v>
      </c>
      <c r="J1744" s="3">
        <f t="shared" si="119"/>
        <v>2021</v>
      </c>
    </row>
    <row r="1745" spans="1:10" s="9" customFormat="1" hidden="1" x14ac:dyDescent="0.25">
      <c r="A1745" s="447">
        <v>44453</v>
      </c>
      <c r="B1745" s="55" t="str">
        <f t="shared" si="116"/>
        <v>SETIEMBRE</v>
      </c>
      <c r="C1745" s="55">
        <f t="shared" si="117"/>
        <v>38</v>
      </c>
      <c r="D1745" s="3" t="str">
        <f t="shared" si="118"/>
        <v>MARTES</v>
      </c>
      <c r="E1745" s="427">
        <v>254762</v>
      </c>
      <c r="F1745" s="3" t="str">
        <f>IFERROR(VLOOKUP(E1745,BD!$L$2:$Q$66,2,0),0)</f>
        <v xml:space="preserve">SAN LUIS SPORT S/G 10 Lt x6 </v>
      </c>
      <c r="G1745" s="424">
        <v>112</v>
      </c>
      <c r="H1745" s="3">
        <f>+IFERROR(VLOOKUP(E1745,BD!$L$2:$Q$66,6,0),0)</f>
        <v>240</v>
      </c>
      <c r="I1745" s="96">
        <f>IFERROR(G1745*VLOOKUP($E1745,BD!$L$2:$Q$66,5,0),0)</f>
        <v>44.800000000000004</v>
      </c>
      <c r="J1745" s="3">
        <f t="shared" si="119"/>
        <v>2021</v>
      </c>
    </row>
    <row r="1746" spans="1:10" s="9" customFormat="1" hidden="1" x14ac:dyDescent="0.25">
      <c r="A1746" s="447">
        <v>44453</v>
      </c>
      <c r="B1746" s="55" t="str">
        <f t="shared" si="116"/>
        <v>SETIEMBRE</v>
      </c>
      <c r="C1746" s="55">
        <f t="shared" si="117"/>
        <v>38</v>
      </c>
      <c r="D1746" s="3" t="str">
        <f t="shared" si="118"/>
        <v>MARTES</v>
      </c>
      <c r="E1746" s="427">
        <v>256685</v>
      </c>
      <c r="F1746" s="3" t="str">
        <f>IFERROR(VLOOKUP(E1746,BD!$L$2:$Q$66,2,0),0)</f>
        <v>SL S/G TAPA PLANA 1LT</v>
      </c>
      <c r="G1746" s="424">
        <v>112</v>
      </c>
      <c r="H1746" s="3">
        <f>+IFERROR(VLOOKUP(E1746,BD!$L$2:$Q$66,6,0),0)</f>
        <v>112</v>
      </c>
      <c r="I1746" s="96">
        <f>IFERROR(G1746*VLOOKUP($E1746,BD!$L$2:$Q$66,5,0),0)</f>
        <v>44.800000000000004</v>
      </c>
      <c r="J1746" s="3">
        <f t="shared" si="119"/>
        <v>2021</v>
      </c>
    </row>
    <row r="1747" spans="1:10" s="9" customFormat="1" hidden="1" x14ac:dyDescent="0.25">
      <c r="A1747" s="447">
        <v>44453</v>
      </c>
      <c r="B1747" s="55" t="str">
        <f t="shared" si="116"/>
        <v>SETIEMBRE</v>
      </c>
      <c r="C1747" s="55">
        <f t="shared" si="117"/>
        <v>38</v>
      </c>
      <c r="D1747" s="3" t="str">
        <f t="shared" si="118"/>
        <v>MARTES</v>
      </c>
      <c r="E1747" s="427">
        <v>251406</v>
      </c>
      <c r="F1747" s="3" t="str">
        <f>IFERROR(VLOOKUP(E1747,BD!$L$2:$Q$66,2,0),0)</f>
        <v>COCA-COLA SIN AZUCAR PET 1.5LX2</v>
      </c>
      <c r="G1747" s="424">
        <v>1296</v>
      </c>
      <c r="H1747" s="3">
        <f>+IFERROR(VLOOKUP(E1747,BD!$L$2:$Q$66,6,0),0)</f>
        <v>198</v>
      </c>
      <c r="I1747" s="96">
        <f>IFERROR(G1747*VLOOKUP($E1747,BD!$L$2:$Q$66,5,0),0)</f>
        <v>220.32000000000002</v>
      </c>
      <c r="J1747" s="3">
        <f t="shared" si="119"/>
        <v>2021</v>
      </c>
    </row>
    <row r="1748" spans="1:10" s="9" customFormat="1" hidden="1" x14ac:dyDescent="0.25">
      <c r="A1748" s="447">
        <v>44453</v>
      </c>
      <c r="B1748" s="55" t="str">
        <f t="shared" si="116"/>
        <v>SETIEMBRE</v>
      </c>
      <c r="C1748" s="55">
        <f t="shared" si="117"/>
        <v>38</v>
      </c>
      <c r="D1748" s="3" t="str">
        <f t="shared" si="118"/>
        <v>MARTES</v>
      </c>
      <c r="E1748" s="427">
        <v>254853</v>
      </c>
      <c r="F1748" s="3" t="str">
        <f>IFERROR(VLOOKUP(E1748,BD!$L$2:$Q$66,2,0),0)</f>
        <v>INCA KOLA SIN AZUCAR PET 1.5LX2</v>
      </c>
      <c r="G1748" s="424">
        <v>1080</v>
      </c>
      <c r="H1748" s="3">
        <f>+IFERROR(VLOOKUP(E1748,BD!$L$2:$Q$66,6,0),0)</f>
        <v>198</v>
      </c>
      <c r="I1748" s="96">
        <f>IFERROR(G1748*VLOOKUP($E1748,BD!$L$2:$Q$66,5,0),0)</f>
        <v>183.60000000000002</v>
      </c>
      <c r="J1748" s="3">
        <f t="shared" si="119"/>
        <v>2021</v>
      </c>
    </row>
    <row r="1749" spans="1:10" s="9" customFormat="1" hidden="1" x14ac:dyDescent="0.25">
      <c r="A1749" s="447">
        <v>44453</v>
      </c>
      <c r="B1749" s="55" t="str">
        <f t="shared" si="116"/>
        <v>SETIEMBRE</v>
      </c>
      <c r="C1749" s="55">
        <f t="shared" si="117"/>
        <v>38</v>
      </c>
      <c r="D1749" s="3" t="str">
        <f t="shared" si="118"/>
        <v>MARTES</v>
      </c>
      <c r="E1749" s="427">
        <v>256601</v>
      </c>
      <c r="F1749" s="3" t="str">
        <f>IFERROR(VLOOKUP(E1749,BD!$L$2:$Q$66,2,0),0)</f>
        <v>INCA KOLA PET 2.25LX2 RF</v>
      </c>
      <c r="G1749" s="424">
        <v>162</v>
      </c>
      <c r="H1749" s="3">
        <f>+IFERROR(VLOOKUP(E1749,BD!$L$2:$Q$66,6,0),0)</f>
        <v>162</v>
      </c>
      <c r="I1749" s="96">
        <f>IFERROR(G1749*VLOOKUP($E1749,BD!$L$2:$Q$66,5,0),0)</f>
        <v>27.540000000000003</v>
      </c>
      <c r="J1749" s="3">
        <f t="shared" si="119"/>
        <v>2021</v>
      </c>
    </row>
    <row r="1750" spans="1:10" s="9" customFormat="1" hidden="1" x14ac:dyDescent="0.25">
      <c r="A1750" s="447">
        <v>44453</v>
      </c>
      <c r="B1750" s="55" t="str">
        <f t="shared" si="116"/>
        <v>SETIEMBRE</v>
      </c>
      <c r="C1750" s="55">
        <f t="shared" si="117"/>
        <v>38</v>
      </c>
      <c r="D1750" s="3" t="str">
        <f t="shared" si="118"/>
        <v>MARTES</v>
      </c>
      <c r="E1750" s="427">
        <v>256676</v>
      </c>
      <c r="F1750" s="3" t="str">
        <f>IFERROR(VLOOKUP(E1750,BD!$L$2:$Q$66,2,0),0)</f>
        <v>TWO PACK CC PFM 3LX2 - RFCC</v>
      </c>
      <c r="G1750" s="424">
        <v>360</v>
      </c>
      <c r="H1750" s="3">
        <f>+IFERROR(VLOOKUP(E1750,BD!$L$2:$Q$66,6,0),0)</f>
        <v>120</v>
      </c>
      <c r="I1750" s="96">
        <f>IFERROR(G1750*VLOOKUP($E1750,BD!$L$2:$Q$66,5,0),0)</f>
        <v>61.2</v>
      </c>
      <c r="J1750" s="3">
        <f t="shared" si="119"/>
        <v>2021</v>
      </c>
    </row>
    <row r="1751" spans="1:10" s="9" customFormat="1" hidden="1" x14ac:dyDescent="0.25">
      <c r="A1751" s="447">
        <v>44453</v>
      </c>
      <c r="B1751" s="55" t="str">
        <f t="shared" si="116"/>
        <v>SETIEMBRE</v>
      </c>
      <c r="C1751" s="55">
        <f t="shared" si="117"/>
        <v>38</v>
      </c>
      <c r="D1751" s="3" t="str">
        <f t="shared" si="118"/>
        <v>MARTES</v>
      </c>
      <c r="E1751" s="427">
        <v>256674</v>
      </c>
      <c r="F1751" s="3" t="str">
        <f>IFERROR(VLOOKUP(E1751,BD!$L$2:$Q$66,2,0),0)</f>
        <v>COCA-COLA PET 1.5LX2 RF</v>
      </c>
      <c r="G1751" s="424">
        <v>1080</v>
      </c>
      <c r="H1751" s="3">
        <f>+IFERROR(VLOOKUP(E1751,BD!$L$2:$Q$66,6,0),0)</f>
        <v>198</v>
      </c>
      <c r="I1751" s="96">
        <f>IFERROR(G1751*VLOOKUP($E1751,BD!$L$2:$Q$66,5,0),0)</f>
        <v>183.60000000000002</v>
      </c>
      <c r="J1751" s="3">
        <f t="shared" si="119"/>
        <v>2021</v>
      </c>
    </row>
    <row r="1752" spans="1:10" s="9" customFormat="1" hidden="1" x14ac:dyDescent="0.25">
      <c r="A1752" s="447">
        <v>44453</v>
      </c>
      <c r="B1752" s="55" t="str">
        <f t="shared" si="116"/>
        <v>SETIEMBRE</v>
      </c>
      <c r="C1752" s="55">
        <f t="shared" si="117"/>
        <v>38</v>
      </c>
      <c r="D1752" s="3" t="str">
        <f t="shared" si="118"/>
        <v>MARTES</v>
      </c>
      <c r="E1752" s="427">
        <v>256675</v>
      </c>
      <c r="F1752" s="3" t="str">
        <f>IFERROR(VLOOKUP(E1752,BD!$L$2:$Q$66,2,0),0)</f>
        <v>INCA KOLA PET 1.5LX2 RF</v>
      </c>
      <c r="G1752" s="424">
        <v>864</v>
      </c>
      <c r="H1752" s="3">
        <f>+IFERROR(VLOOKUP(E1752,BD!$L$2:$Q$66,6,0),0)</f>
        <v>198</v>
      </c>
      <c r="I1752" s="96">
        <f>IFERROR(G1752*VLOOKUP($E1752,BD!$L$2:$Q$66,5,0),0)</f>
        <v>146.88000000000002</v>
      </c>
      <c r="J1752" s="3">
        <f t="shared" si="119"/>
        <v>2021</v>
      </c>
    </row>
    <row r="1753" spans="1:10" s="9" customFormat="1" hidden="1" x14ac:dyDescent="0.25">
      <c r="A1753" s="447">
        <v>44453</v>
      </c>
      <c r="B1753" s="55" t="str">
        <f t="shared" si="116"/>
        <v>SETIEMBRE</v>
      </c>
      <c r="C1753" s="55">
        <f t="shared" si="117"/>
        <v>38</v>
      </c>
      <c r="D1753" s="3" t="str">
        <f t="shared" si="118"/>
        <v>MARTES</v>
      </c>
      <c r="E1753" s="427">
        <v>256652</v>
      </c>
      <c r="F1753" s="3" t="str">
        <f>IFERROR(VLOOKUP(E1753,BD!$L$2:$Q$66,2,0),0)</f>
        <v>TRIPACK FT NAR+FT KI+SP PET 3L</v>
      </c>
      <c r="G1753" s="424">
        <v>720</v>
      </c>
      <c r="H1753" s="3">
        <f>+IFERROR(VLOOKUP(E1753,BD!$L$2:$Q$66,6,0),0)</f>
        <v>90</v>
      </c>
      <c r="I1753" s="96">
        <f>IFERROR(G1753*VLOOKUP($E1753,BD!$L$2:$Q$66,5,0),0)</f>
        <v>122.4</v>
      </c>
      <c r="J1753" s="3">
        <f t="shared" si="119"/>
        <v>2021</v>
      </c>
    </row>
    <row r="1754" spans="1:10" s="9" customFormat="1" hidden="1" x14ac:dyDescent="0.25">
      <c r="A1754" s="447">
        <v>44453</v>
      </c>
      <c r="B1754" s="55" t="str">
        <f t="shared" si="116"/>
        <v>SETIEMBRE</v>
      </c>
      <c r="C1754" s="55">
        <f t="shared" si="117"/>
        <v>38</v>
      </c>
      <c r="D1754" s="3" t="str">
        <f t="shared" si="118"/>
        <v>MARTES</v>
      </c>
      <c r="E1754" s="427">
        <v>256677</v>
      </c>
      <c r="F1754" s="3" t="str">
        <f>IFERROR(VLOOKUP(E1754,BD!$L$2:$Q$66,2,0),0)</f>
        <v>TWO PACK CC + IK PFM 3LX2 - RFNN</v>
      </c>
      <c r="G1754" s="424">
        <v>1920</v>
      </c>
      <c r="H1754" s="3">
        <f>+IFERROR(VLOOKUP(E1754,BD!$L$2:$Q$66,6,0),0)</f>
        <v>120</v>
      </c>
      <c r="I1754" s="96">
        <f>IFERROR(G1754*VLOOKUP($E1754,BD!$L$2:$Q$66,5,0),0)</f>
        <v>326.40000000000003</v>
      </c>
      <c r="J1754" s="3">
        <f t="shared" si="119"/>
        <v>2021</v>
      </c>
    </row>
    <row r="1755" spans="1:10" s="9" customFormat="1" hidden="1" x14ac:dyDescent="0.25">
      <c r="A1755" s="447">
        <v>44453</v>
      </c>
      <c r="B1755" s="55" t="str">
        <f t="shared" si="116"/>
        <v>SETIEMBRE</v>
      </c>
      <c r="C1755" s="55">
        <f t="shared" si="117"/>
        <v>38</v>
      </c>
      <c r="D1755" s="3" t="str">
        <f t="shared" si="118"/>
        <v>MARTES</v>
      </c>
      <c r="E1755" s="427">
        <v>256678</v>
      </c>
      <c r="F1755" s="3" t="str">
        <f>IFERROR(VLOOKUP(E1755,BD!$L$2:$Q$66,2,0),0)</f>
        <v>TRIPACK (CC+IK)PFM+FT PET 3LX3 - RFNN</v>
      </c>
      <c r="G1755" s="424">
        <v>1440</v>
      </c>
      <c r="H1755" s="3">
        <f>+IFERROR(VLOOKUP(E1755,BD!$L$2:$Q$66,6,0),0)</f>
        <v>90</v>
      </c>
      <c r="I1755" s="96">
        <f>IFERROR(G1755*VLOOKUP($E1755,BD!$L$2:$Q$66,5,0),0)</f>
        <v>244.8</v>
      </c>
      <c r="J1755" s="3">
        <f t="shared" si="119"/>
        <v>2021</v>
      </c>
    </row>
    <row r="1756" spans="1:10" s="9" customFormat="1" hidden="1" x14ac:dyDescent="0.25">
      <c r="A1756" s="447">
        <v>44453</v>
      </c>
      <c r="B1756" s="55" t="str">
        <f t="shared" si="116"/>
        <v>SETIEMBRE</v>
      </c>
      <c r="C1756" s="55">
        <f t="shared" si="117"/>
        <v>38</v>
      </c>
      <c r="D1756" s="3" t="str">
        <f t="shared" si="118"/>
        <v>MARTES</v>
      </c>
      <c r="E1756" s="427">
        <v>256695</v>
      </c>
      <c r="F1756" s="3" t="str">
        <f>IFERROR(VLOOKUP(E1756,BD!$L$2:$Q$66,2,0),0)</f>
        <v>POWERADE 3MORA+3FRUT PET 473MLX6</v>
      </c>
      <c r="G1756" s="424">
        <v>2025</v>
      </c>
      <c r="H1756" s="3">
        <f>+IFERROR(VLOOKUP(E1756,BD!$L$2:$Q$66,6,0),0)</f>
        <v>225</v>
      </c>
      <c r="I1756" s="96">
        <f>IFERROR(G1756*VLOOKUP($E1756,BD!$L$2:$Q$66,5,0),0)</f>
        <v>850.5</v>
      </c>
      <c r="J1756" s="3">
        <f t="shared" si="119"/>
        <v>2021</v>
      </c>
    </row>
    <row r="1757" spans="1:10" s="9" customFormat="1" hidden="1" x14ac:dyDescent="0.25">
      <c r="A1757" s="447">
        <v>44453</v>
      </c>
      <c r="B1757" s="55" t="str">
        <f t="shared" si="116"/>
        <v>SETIEMBRE</v>
      </c>
      <c r="C1757" s="55">
        <f t="shared" si="117"/>
        <v>38</v>
      </c>
      <c r="D1757" s="3" t="str">
        <f t="shared" si="118"/>
        <v>MARTES</v>
      </c>
      <c r="E1757" s="427">
        <v>256720</v>
      </c>
      <c r="F1757" s="3" t="str">
        <f>IFERROR(VLOOKUP(E1757,BD!$L$2:$Q$66,2,0),0)</f>
        <v>FANTA NARANJA PET 500MLX6 BRANDEADO MOD</v>
      </c>
      <c r="G1757" s="424">
        <v>250</v>
      </c>
      <c r="H1757" s="3">
        <f>+IFERROR(VLOOKUP(E1757,BD!$L$2:$Q$66,6,0),0)</f>
        <v>420</v>
      </c>
      <c r="I1757" s="96">
        <f>IFERROR(G1757*VLOOKUP($E1757,BD!$L$2:$Q$66,5,0),0)</f>
        <v>105</v>
      </c>
      <c r="J1757" s="3">
        <f t="shared" si="119"/>
        <v>2021</v>
      </c>
    </row>
    <row r="1758" spans="1:10" s="9" customFormat="1" hidden="1" x14ac:dyDescent="0.25">
      <c r="A1758" s="447">
        <v>44453</v>
      </c>
      <c r="B1758" s="55" t="str">
        <f t="shared" si="116"/>
        <v>SETIEMBRE</v>
      </c>
      <c r="C1758" s="55">
        <f t="shared" si="117"/>
        <v>38</v>
      </c>
      <c r="D1758" s="3" t="str">
        <f t="shared" si="118"/>
        <v>MARTES</v>
      </c>
      <c r="E1758" s="427">
        <v>256721</v>
      </c>
      <c r="F1758" s="3" t="str">
        <f>IFERROR(VLOOKUP(E1758,BD!$L$2:$Q$66,2,0),0)</f>
        <v>SPRITE PET 500MLX6 BRANDEADO MOD</v>
      </c>
      <c r="G1758" s="424">
        <v>1000</v>
      </c>
      <c r="H1758" s="3">
        <f>+IFERROR(VLOOKUP(E1758,BD!$L$2:$Q$66,6,0),0)</f>
        <v>420</v>
      </c>
      <c r="I1758" s="96">
        <f>IFERROR(G1758*VLOOKUP($E1758,BD!$L$2:$Q$66,5,0),0)</f>
        <v>420</v>
      </c>
      <c r="J1758" s="3">
        <f t="shared" si="119"/>
        <v>2021</v>
      </c>
    </row>
    <row r="1759" spans="1:10" s="9" customFormat="1" hidden="1" x14ac:dyDescent="0.25">
      <c r="A1759" s="447">
        <v>44453</v>
      </c>
      <c r="B1759" s="55" t="str">
        <f t="shared" si="116"/>
        <v>SETIEMBRE</v>
      </c>
      <c r="C1759" s="55">
        <f t="shared" si="117"/>
        <v>38</v>
      </c>
      <c r="D1759" s="3" t="str">
        <f t="shared" si="118"/>
        <v>MARTES</v>
      </c>
      <c r="E1759" s="427">
        <v>256737</v>
      </c>
      <c r="F1759" s="3" t="str">
        <f>IFERROR(VLOOKUP(E1759,BD!$L$2:$Q$66,2,0),0)</f>
        <v>INCA KOLA SA ALUMINIO-3 DISEÑOS 330MLX12</v>
      </c>
      <c r="G1759" s="424">
        <v>1375</v>
      </c>
      <c r="H1759" s="3">
        <f>+IFERROR(VLOOKUP(E1759,BD!$L$2:$Q$66,6,0),0)</f>
        <v>420</v>
      </c>
      <c r="I1759" s="96">
        <f>IFERROR(G1759*VLOOKUP($E1759,BD!$L$2:$Q$66,5,0),0)</f>
        <v>577.5</v>
      </c>
      <c r="J1759" s="3">
        <f t="shared" si="119"/>
        <v>2021</v>
      </c>
    </row>
    <row r="1760" spans="1:10" s="9" customFormat="1" hidden="1" x14ac:dyDescent="0.25">
      <c r="A1760" s="447">
        <v>44453</v>
      </c>
      <c r="B1760" s="55" t="str">
        <f t="shared" si="116"/>
        <v>SETIEMBRE</v>
      </c>
      <c r="C1760" s="55">
        <f t="shared" si="117"/>
        <v>38</v>
      </c>
      <c r="D1760" s="3" t="str">
        <f t="shared" si="118"/>
        <v>MARTES</v>
      </c>
      <c r="E1760" s="427">
        <v>251429</v>
      </c>
      <c r="F1760" s="3" t="str">
        <f>IFERROR(VLOOKUP(E1760,BD!$L$2:$Q$66,2,0),0)</f>
        <v>SAN LUIS SIN GAS PET2500X6 STICKER</v>
      </c>
      <c r="G1760" s="424">
        <v>384</v>
      </c>
      <c r="H1760" s="3">
        <f>+IFERROR(VLOOKUP(E1760,BD!$L$2:$Q$66,6,0),0)</f>
        <v>48</v>
      </c>
      <c r="I1760" s="96">
        <f>IFERROR(G1760*VLOOKUP($E1760,BD!$L$2:$Q$66,5,0),0)</f>
        <v>153.60000000000002</v>
      </c>
      <c r="J1760" s="3">
        <f t="shared" si="119"/>
        <v>2021</v>
      </c>
    </row>
    <row r="1761" spans="1:10" s="9" customFormat="1" hidden="1" x14ac:dyDescent="0.25">
      <c r="A1761" s="447">
        <v>44453</v>
      </c>
      <c r="B1761" s="55" t="str">
        <f t="shared" si="116"/>
        <v>SETIEMBRE</v>
      </c>
      <c r="C1761" s="55">
        <f t="shared" si="117"/>
        <v>38</v>
      </c>
      <c r="D1761" s="3" t="str">
        <f t="shared" si="118"/>
        <v>MARTES</v>
      </c>
      <c r="E1761" s="427">
        <v>256708</v>
      </c>
      <c r="F1761" s="3" t="str">
        <f>IFERROR(VLOOKUP(E1761,BD!$L$2:$Q$66,2,0),0)</f>
        <v>POWERADE ION4 FRUTA PET473X6 MOD (STICK)</v>
      </c>
      <c r="G1761" s="424">
        <v>450</v>
      </c>
      <c r="H1761" s="3">
        <f>+IFERROR(VLOOKUP(E1761,BD!$L$2:$Q$66,6,0),0)</f>
        <v>225</v>
      </c>
      <c r="I1761" s="96">
        <f>IFERROR(G1761*VLOOKUP($E1761,BD!$L$2:$Q$66,5,0),0)</f>
        <v>180</v>
      </c>
      <c r="J1761" s="3">
        <f t="shared" si="119"/>
        <v>2021</v>
      </c>
    </row>
    <row r="1762" spans="1:10" s="9" customFormat="1" hidden="1" x14ac:dyDescent="0.25">
      <c r="A1762" s="447">
        <v>44453</v>
      </c>
      <c r="B1762" s="55" t="str">
        <f t="shared" si="116"/>
        <v>SETIEMBRE</v>
      </c>
      <c r="C1762" s="55">
        <f t="shared" si="117"/>
        <v>38</v>
      </c>
      <c r="D1762" s="3" t="str">
        <f t="shared" si="118"/>
        <v>MARTES</v>
      </c>
      <c r="E1762" s="427">
        <v>256488</v>
      </c>
      <c r="F1762" s="3" t="str">
        <f>IFERROR(VLOOKUP(E1762,BD!$L$2:$Q$66,2,0),0)</f>
        <v>INCA KOLA PET 3LX2 - RF</v>
      </c>
      <c r="G1762" s="424">
        <v>480</v>
      </c>
      <c r="H1762" s="3">
        <f>+IFERROR(VLOOKUP(E1762,BD!$L$2:$Q$66,6,0),0)</f>
        <v>120</v>
      </c>
      <c r="I1762" s="96">
        <f>IFERROR(G1762*VLOOKUP($E1762,BD!$L$2:$Q$66,5,0),0)</f>
        <v>81.600000000000009</v>
      </c>
      <c r="J1762" s="3">
        <f t="shared" si="119"/>
        <v>2021</v>
      </c>
    </row>
    <row r="1763" spans="1:10" s="9" customFormat="1" hidden="1" x14ac:dyDescent="0.25">
      <c r="A1763" s="447">
        <v>44454</v>
      </c>
      <c r="B1763" s="55" t="str">
        <f t="shared" si="116"/>
        <v>SETIEMBRE</v>
      </c>
      <c r="C1763" s="55">
        <f t="shared" si="117"/>
        <v>38</v>
      </c>
      <c r="D1763" s="3" t="str">
        <f t="shared" si="118"/>
        <v>MIÉRCOLES</v>
      </c>
      <c r="E1763" s="427">
        <v>256677</v>
      </c>
      <c r="F1763" s="3" t="str">
        <f>IFERROR(VLOOKUP(E1763,BD!$L$2:$Q$66,2,0),0)</f>
        <v>TWO PACK CC + IK PFM 3LX2 - RFNN</v>
      </c>
      <c r="G1763" s="424">
        <v>3840</v>
      </c>
      <c r="H1763" s="3">
        <f>+IFERROR(VLOOKUP(E1763,BD!$L$2:$Q$66,6,0),0)</f>
        <v>120</v>
      </c>
      <c r="I1763" s="96">
        <f>IFERROR(G1763*VLOOKUP($E1763,BD!$L$2:$Q$66,5,0),0)</f>
        <v>652.80000000000007</v>
      </c>
      <c r="J1763" s="3">
        <f t="shared" si="119"/>
        <v>2021</v>
      </c>
    </row>
    <row r="1764" spans="1:10" s="9" customFormat="1" hidden="1" x14ac:dyDescent="0.25">
      <c r="A1764" s="447">
        <v>44454</v>
      </c>
      <c r="B1764" s="55" t="str">
        <f t="shared" si="116"/>
        <v>SETIEMBRE</v>
      </c>
      <c r="C1764" s="55">
        <f t="shared" si="117"/>
        <v>38</v>
      </c>
      <c r="D1764" s="3" t="str">
        <f t="shared" si="118"/>
        <v>MIÉRCOLES</v>
      </c>
      <c r="E1764" s="427">
        <v>256675</v>
      </c>
      <c r="F1764" s="3" t="str">
        <f>IFERROR(VLOOKUP(E1764,BD!$L$2:$Q$66,2,0),0)</f>
        <v>INCA KOLA PET 1.5LX2 RF</v>
      </c>
      <c r="G1764" s="424">
        <v>1296</v>
      </c>
      <c r="H1764" s="3">
        <f>+IFERROR(VLOOKUP(E1764,BD!$L$2:$Q$66,6,0),0)</f>
        <v>198</v>
      </c>
      <c r="I1764" s="96">
        <f>IFERROR(G1764*VLOOKUP($E1764,BD!$L$2:$Q$66,5,0),0)</f>
        <v>220.32000000000002</v>
      </c>
      <c r="J1764" s="3">
        <f t="shared" si="119"/>
        <v>2021</v>
      </c>
    </row>
    <row r="1765" spans="1:10" s="9" customFormat="1" hidden="1" x14ac:dyDescent="0.25">
      <c r="A1765" s="447">
        <v>44454</v>
      </c>
      <c r="B1765" s="55" t="str">
        <f t="shared" si="116"/>
        <v>SETIEMBRE</v>
      </c>
      <c r="C1765" s="55">
        <f t="shared" si="117"/>
        <v>38</v>
      </c>
      <c r="D1765" s="3" t="str">
        <f t="shared" si="118"/>
        <v>MIÉRCOLES</v>
      </c>
      <c r="E1765" s="427">
        <v>256676</v>
      </c>
      <c r="F1765" s="3" t="str">
        <f>IFERROR(VLOOKUP(E1765,BD!$L$2:$Q$66,2,0),0)</f>
        <v>TWO PACK CC PFM 3LX2 - RFCC</v>
      </c>
      <c r="G1765" s="424">
        <v>1320</v>
      </c>
      <c r="H1765" s="3">
        <f>+IFERROR(VLOOKUP(E1765,BD!$L$2:$Q$66,6,0),0)</f>
        <v>120</v>
      </c>
      <c r="I1765" s="96">
        <f>IFERROR(G1765*VLOOKUP($E1765,BD!$L$2:$Q$66,5,0),0)</f>
        <v>224.4</v>
      </c>
      <c r="J1765" s="3">
        <f t="shared" si="119"/>
        <v>2021</v>
      </c>
    </row>
    <row r="1766" spans="1:10" s="9" customFormat="1" hidden="1" x14ac:dyDescent="0.25">
      <c r="A1766" s="447">
        <v>44454</v>
      </c>
      <c r="B1766" s="55" t="str">
        <f t="shared" si="116"/>
        <v>SETIEMBRE</v>
      </c>
      <c r="C1766" s="55">
        <f t="shared" si="117"/>
        <v>38</v>
      </c>
      <c r="D1766" s="3" t="str">
        <f t="shared" si="118"/>
        <v>MIÉRCOLES</v>
      </c>
      <c r="E1766" s="427">
        <v>256488</v>
      </c>
      <c r="F1766" s="3" t="str">
        <f>IFERROR(VLOOKUP(E1766,BD!$L$2:$Q$66,2,0),0)</f>
        <v>INCA KOLA PET 3LX2 - RF</v>
      </c>
      <c r="G1766" s="424">
        <v>1080</v>
      </c>
      <c r="H1766" s="3">
        <f>+IFERROR(VLOOKUP(E1766,BD!$L$2:$Q$66,6,0),0)</f>
        <v>120</v>
      </c>
      <c r="I1766" s="96">
        <f>IFERROR(G1766*VLOOKUP($E1766,BD!$L$2:$Q$66,5,0),0)</f>
        <v>183.60000000000002</v>
      </c>
      <c r="J1766" s="3">
        <f t="shared" si="119"/>
        <v>2021</v>
      </c>
    </row>
    <row r="1767" spans="1:10" s="9" customFormat="1" hidden="1" x14ac:dyDescent="0.25">
      <c r="A1767" s="447">
        <v>44454</v>
      </c>
      <c r="B1767" s="55" t="str">
        <f t="shared" si="116"/>
        <v>SETIEMBRE</v>
      </c>
      <c r="C1767" s="55">
        <f t="shared" si="117"/>
        <v>38</v>
      </c>
      <c r="D1767" s="3" t="str">
        <f t="shared" si="118"/>
        <v>MIÉRCOLES</v>
      </c>
      <c r="E1767" s="427">
        <v>254853</v>
      </c>
      <c r="F1767" s="3" t="str">
        <f>IFERROR(VLOOKUP(E1767,BD!$L$2:$Q$66,2,0),0)</f>
        <v>INCA KOLA SIN AZUCAR PET 1.5LX2</v>
      </c>
      <c r="G1767" s="424">
        <v>1296</v>
      </c>
      <c r="H1767" s="3">
        <f>+IFERROR(VLOOKUP(E1767,BD!$L$2:$Q$66,6,0),0)</f>
        <v>198</v>
      </c>
      <c r="I1767" s="96">
        <f>IFERROR(G1767*VLOOKUP($E1767,BD!$L$2:$Q$66,5,0),0)</f>
        <v>220.32000000000002</v>
      </c>
      <c r="J1767" s="3">
        <f t="shared" si="119"/>
        <v>2021</v>
      </c>
    </row>
    <row r="1768" spans="1:10" s="9" customFormat="1" hidden="1" x14ac:dyDescent="0.25">
      <c r="A1768" s="447">
        <v>44454</v>
      </c>
      <c r="B1768" s="55" t="str">
        <f t="shared" si="116"/>
        <v>SETIEMBRE</v>
      </c>
      <c r="C1768" s="55">
        <f t="shared" si="117"/>
        <v>38</v>
      </c>
      <c r="D1768" s="3" t="str">
        <f t="shared" si="118"/>
        <v>MIÉRCOLES</v>
      </c>
      <c r="E1768" s="427">
        <v>251406</v>
      </c>
      <c r="F1768" s="3" t="str">
        <f>IFERROR(VLOOKUP(E1768,BD!$L$2:$Q$66,2,0),0)</f>
        <v>COCA-COLA SIN AZUCAR PET 1.5LX2</v>
      </c>
      <c r="G1768" s="424">
        <v>1728</v>
      </c>
      <c r="H1768" s="3">
        <f>+IFERROR(VLOOKUP(E1768,BD!$L$2:$Q$66,6,0),0)</f>
        <v>198</v>
      </c>
      <c r="I1768" s="96">
        <f>IFERROR(G1768*VLOOKUP($E1768,BD!$L$2:$Q$66,5,0),0)</f>
        <v>293.76000000000005</v>
      </c>
      <c r="J1768" s="3">
        <f t="shared" si="119"/>
        <v>2021</v>
      </c>
    </row>
    <row r="1769" spans="1:10" s="9" customFormat="1" hidden="1" x14ac:dyDescent="0.25">
      <c r="A1769" s="447">
        <v>44454</v>
      </c>
      <c r="B1769" s="55" t="str">
        <f t="shared" si="116"/>
        <v>SETIEMBRE</v>
      </c>
      <c r="C1769" s="55">
        <f t="shared" si="117"/>
        <v>38</v>
      </c>
      <c r="D1769" s="3" t="str">
        <f t="shared" si="118"/>
        <v>MIÉRCOLES</v>
      </c>
      <c r="E1769" s="427">
        <v>256674</v>
      </c>
      <c r="F1769" s="3" t="str">
        <f>IFERROR(VLOOKUP(E1769,BD!$L$2:$Q$66,2,0),0)</f>
        <v>COCA-COLA PET 1.5LX2 RF</v>
      </c>
      <c r="G1769" s="424">
        <v>2160</v>
      </c>
      <c r="H1769" s="3">
        <f>+IFERROR(VLOOKUP(E1769,BD!$L$2:$Q$66,6,0),0)</f>
        <v>198</v>
      </c>
      <c r="I1769" s="96">
        <f>IFERROR(G1769*VLOOKUP($E1769,BD!$L$2:$Q$66,5,0),0)</f>
        <v>367.20000000000005</v>
      </c>
      <c r="J1769" s="3">
        <f t="shared" si="119"/>
        <v>2021</v>
      </c>
    </row>
    <row r="1770" spans="1:10" s="9" customFormat="1" hidden="1" x14ac:dyDescent="0.25">
      <c r="A1770" s="447">
        <v>44454</v>
      </c>
      <c r="B1770" s="55" t="str">
        <f t="shared" si="116"/>
        <v>SETIEMBRE</v>
      </c>
      <c r="C1770" s="55">
        <f t="shared" si="117"/>
        <v>38</v>
      </c>
      <c r="D1770" s="3" t="str">
        <f t="shared" si="118"/>
        <v>MIÉRCOLES</v>
      </c>
      <c r="E1770" s="427">
        <v>251429</v>
      </c>
      <c r="F1770" s="3" t="str">
        <f>IFERROR(VLOOKUP(E1770,BD!$L$2:$Q$66,2,0),0)</f>
        <v>SAN LUIS SIN GAS PET2500X6 STICKER</v>
      </c>
      <c r="G1770" s="424">
        <v>576</v>
      </c>
      <c r="H1770" s="3">
        <f>+IFERROR(VLOOKUP(E1770,BD!$L$2:$Q$66,6,0),0)</f>
        <v>48</v>
      </c>
      <c r="I1770" s="96">
        <f>IFERROR(G1770*VLOOKUP($E1770,BD!$L$2:$Q$66,5,0),0)</f>
        <v>230.4</v>
      </c>
      <c r="J1770" s="3">
        <f t="shared" si="119"/>
        <v>2021</v>
      </c>
    </row>
    <row r="1771" spans="1:10" s="9" customFormat="1" hidden="1" x14ac:dyDescent="0.25">
      <c r="A1771" s="447">
        <v>44454</v>
      </c>
      <c r="B1771" s="55" t="str">
        <f t="shared" si="116"/>
        <v>SETIEMBRE</v>
      </c>
      <c r="C1771" s="55">
        <f t="shared" si="117"/>
        <v>38</v>
      </c>
      <c r="D1771" s="3" t="str">
        <f t="shared" si="118"/>
        <v>MIÉRCOLES</v>
      </c>
      <c r="E1771" s="427">
        <v>256379</v>
      </c>
      <c r="F1771" s="3" t="str">
        <f>IFERROR(VLOOKUP(E1771,BD!$L$2:$Q$66,2,0),0)</f>
        <v>INCA KOLA VR 625MLX12 - STICKER</v>
      </c>
      <c r="G1771" s="424">
        <v>150</v>
      </c>
      <c r="H1771" s="3">
        <f>+IFERROR(VLOOKUP(E1771,BD!$L$2:$Q$66,6,0),0)</f>
        <v>50</v>
      </c>
      <c r="I1771" s="96">
        <f>IFERROR(G1771*VLOOKUP($E1771,BD!$L$2:$Q$66,5,0),0)</f>
        <v>60</v>
      </c>
      <c r="J1771" s="3">
        <f t="shared" si="119"/>
        <v>2021</v>
      </c>
    </row>
    <row r="1772" spans="1:10" s="9" customFormat="1" hidden="1" x14ac:dyDescent="0.25">
      <c r="A1772" s="447">
        <v>44454</v>
      </c>
      <c r="B1772" s="55" t="str">
        <f t="shared" si="116"/>
        <v>SETIEMBRE</v>
      </c>
      <c r="C1772" s="55">
        <f t="shared" si="117"/>
        <v>38</v>
      </c>
      <c r="D1772" s="3" t="str">
        <f t="shared" si="118"/>
        <v>MIÉRCOLES</v>
      </c>
      <c r="E1772" s="427">
        <v>256382</v>
      </c>
      <c r="F1772" s="3" t="str">
        <f>IFERROR(VLOOKUP(E1772,BD!$L$2:$Q$66,2,0),0)</f>
        <v>COCA COLA VR 296MLX24 - STICKER</v>
      </c>
      <c r="G1772" s="424">
        <v>80</v>
      </c>
      <c r="H1772" s="3">
        <f>+IFERROR(VLOOKUP(E1772,BD!$L$2:$Q$66,6,0),0)</f>
        <v>40</v>
      </c>
      <c r="I1772" s="96">
        <f>IFERROR(G1772*VLOOKUP($E1772,BD!$L$2:$Q$66,5,0),0)</f>
        <v>18.400000000000002</v>
      </c>
      <c r="J1772" s="3">
        <f t="shared" si="119"/>
        <v>2021</v>
      </c>
    </row>
    <row r="1773" spans="1:10" s="9" customFormat="1" hidden="1" x14ac:dyDescent="0.25">
      <c r="A1773" s="447">
        <v>44454</v>
      </c>
      <c r="B1773" s="55" t="str">
        <f t="shared" si="116"/>
        <v>SETIEMBRE</v>
      </c>
      <c r="C1773" s="55">
        <f t="shared" si="117"/>
        <v>38</v>
      </c>
      <c r="D1773" s="3" t="str">
        <f t="shared" si="118"/>
        <v>MIÉRCOLES</v>
      </c>
      <c r="E1773" s="427">
        <v>256381</v>
      </c>
      <c r="F1773" s="3" t="str">
        <f>IFERROR(VLOOKUP(E1773,BD!$L$2:$Q$66,2,0),0)</f>
        <v>INCA KOLA VR 1.5LX8 - STICKER</v>
      </c>
      <c r="G1773" s="424">
        <v>90</v>
      </c>
      <c r="H1773" s="3">
        <f>+IFERROR(VLOOKUP(E1773,BD!$L$2:$Q$66,6,0),0)</f>
        <v>30</v>
      </c>
      <c r="I1773" s="96">
        <f>IFERROR(G1773*VLOOKUP($E1773,BD!$L$2:$Q$66,5,0),0)</f>
        <v>36</v>
      </c>
      <c r="J1773" s="3">
        <f t="shared" si="119"/>
        <v>2021</v>
      </c>
    </row>
    <row r="1774" spans="1:10" s="9" customFormat="1" hidden="1" x14ac:dyDescent="0.25">
      <c r="A1774" s="447">
        <v>44454</v>
      </c>
      <c r="B1774" s="55" t="str">
        <f t="shared" si="116"/>
        <v>SETIEMBRE</v>
      </c>
      <c r="C1774" s="55">
        <f t="shared" si="117"/>
        <v>38</v>
      </c>
      <c r="D1774" s="3" t="str">
        <f t="shared" si="118"/>
        <v>MIÉRCOLES</v>
      </c>
      <c r="E1774" s="427">
        <v>256708</v>
      </c>
      <c r="F1774" s="3" t="str">
        <f>IFERROR(VLOOKUP(E1774,BD!$L$2:$Q$66,2,0),0)</f>
        <v>POWERADE ION4 FRUTA PET473X6 MOD (STICK)</v>
      </c>
      <c r="G1774" s="424">
        <v>675</v>
      </c>
      <c r="H1774" s="3">
        <f>+IFERROR(VLOOKUP(E1774,BD!$L$2:$Q$66,6,0),0)</f>
        <v>225</v>
      </c>
      <c r="I1774" s="96">
        <f>IFERROR(G1774*VLOOKUP($E1774,BD!$L$2:$Q$66,5,0),0)</f>
        <v>270</v>
      </c>
      <c r="J1774" s="3">
        <f t="shared" si="119"/>
        <v>2021</v>
      </c>
    </row>
    <row r="1775" spans="1:10" s="9" customFormat="1" hidden="1" x14ac:dyDescent="0.25">
      <c r="A1775" s="447">
        <v>44454</v>
      </c>
      <c r="B1775" s="55" t="str">
        <f t="shared" si="116"/>
        <v>SETIEMBRE</v>
      </c>
      <c r="C1775" s="55">
        <f t="shared" si="117"/>
        <v>38</v>
      </c>
      <c r="D1775" s="3" t="str">
        <f t="shared" si="118"/>
        <v>MIÉRCOLES</v>
      </c>
      <c r="E1775" s="427">
        <v>256652</v>
      </c>
      <c r="F1775" s="3" t="str">
        <f>IFERROR(VLOOKUP(E1775,BD!$L$2:$Q$66,2,0),0)</f>
        <v>TRIPACK FT NAR+FT KI+SP PET 3L</v>
      </c>
      <c r="G1775" s="424">
        <v>720</v>
      </c>
      <c r="H1775" s="3">
        <f>+IFERROR(VLOOKUP(E1775,BD!$L$2:$Q$66,6,0),0)</f>
        <v>90</v>
      </c>
      <c r="I1775" s="96">
        <f>IFERROR(G1775*VLOOKUP($E1775,BD!$L$2:$Q$66,5,0),0)</f>
        <v>122.4</v>
      </c>
      <c r="J1775" s="3">
        <f t="shared" si="119"/>
        <v>2021</v>
      </c>
    </row>
    <row r="1776" spans="1:10" s="9" customFormat="1" hidden="1" x14ac:dyDescent="0.25">
      <c r="A1776" s="447">
        <v>44454</v>
      </c>
      <c r="B1776" s="55" t="str">
        <f t="shared" si="116"/>
        <v>SETIEMBRE</v>
      </c>
      <c r="C1776" s="55">
        <f t="shared" si="117"/>
        <v>38</v>
      </c>
      <c r="D1776" s="3" t="str">
        <f t="shared" si="118"/>
        <v>MIÉRCOLES</v>
      </c>
      <c r="E1776" s="427">
        <v>256678</v>
      </c>
      <c r="F1776" s="3" t="str">
        <f>IFERROR(VLOOKUP(E1776,BD!$L$2:$Q$66,2,0),0)</f>
        <v>TRIPACK (CC+IK)PFM+FT PET 3LX3 - RFNN</v>
      </c>
      <c r="G1776" s="424">
        <v>1440</v>
      </c>
      <c r="H1776" s="3">
        <f>+IFERROR(VLOOKUP(E1776,BD!$L$2:$Q$66,6,0),0)</f>
        <v>90</v>
      </c>
      <c r="I1776" s="96">
        <f>IFERROR(G1776*VLOOKUP($E1776,BD!$L$2:$Q$66,5,0),0)</f>
        <v>244.8</v>
      </c>
      <c r="J1776" s="3">
        <f t="shared" si="119"/>
        <v>2021</v>
      </c>
    </row>
    <row r="1777" spans="1:10" s="9" customFormat="1" hidden="1" x14ac:dyDescent="0.25">
      <c r="A1777" s="447">
        <v>44454</v>
      </c>
      <c r="B1777" s="55" t="str">
        <f t="shared" si="116"/>
        <v>SETIEMBRE</v>
      </c>
      <c r="C1777" s="55">
        <f t="shared" si="117"/>
        <v>38</v>
      </c>
      <c r="D1777" s="3" t="str">
        <f t="shared" si="118"/>
        <v>MIÉRCOLES</v>
      </c>
      <c r="E1777" s="427">
        <v>251633</v>
      </c>
      <c r="F1777" s="3" t="str">
        <f>IFERROR(VLOOKUP(E1777,BD!$L$2:$Q$66,2,0),0)</f>
        <v>SAN LUIS CON GAS PET 625MLX6</v>
      </c>
      <c r="G1777" s="424">
        <v>540</v>
      </c>
      <c r="H1777" s="3">
        <f>+IFERROR(VLOOKUP(E1777,BD!$L$2:$Q$66,6,0),0)</f>
        <v>180</v>
      </c>
      <c r="I1777" s="96">
        <f>IFERROR(G1777*VLOOKUP($E1777,BD!$L$2:$Q$66,5,0),0)</f>
        <v>226.79999999999998</v>
      </c>
      <c r="J1777" s="3">
        <f t="shared" si="119"/>
        <v>2021</v>
      </c>
    </row>
    <row r="1778" spans="1:10" s="9" customFormat="1" hidden="1" x14ac:dyDescent="0.25">
      <c r="A1778" s="447">
        <v>44454</v>
      </c>
      <c r="B1778" s="55" t="str">
        <f t="shared" si="116"/>
        <v>SETIEMBRE</v>
      </c>
      <c r="C1778" s="55">
        <f t="shared" si="117"/>
        <v>38</v>
      </c>
      <c r="D1778" s="3" t="str">
        <f t="shared" si="118"/>
        <v>MIÉRCOLES</v>
      </c>
      <c r="E1778" s="427">
        <v>256682</v>
      </c>
      <c r="F1778" s="3" t="str">
        <f>IFERROR(VLOOKUP(E1778,BD!$L$2:$Q$66,2,0),0)</f>
        <v>TRIPACK (FT NAR+SP)PET+IK RF PFM 3L</v>
      </c>
      <c r="G1778" s="424">
        <v>720</v>
      </c>
      <c r="H1778" s="3">
        <f>+IFERROR(VLOOKUP(E1778,BD!$L$2:$Q$66,6,0),0)</f>
        <v>90</v>
      </c>
      <c r="I1778" s="96">
        <f>IFERROR(G1778*VLOOKUP($E1778,BD!$L$2:$Q$66,5,0),0)</f>
        <v>122.4</v>
      </c>
      <c r="J1778" s="3">
        <f t="shared" si="119"/>
        <v>2021</v>
      </c>
    </row>
    <row r="1779" spans="1:10" s="9" customFormat="1" hidden="1" x14ac:dyDescent="0.25">
      <c r="A1779" s="447">
        <v>44454</v>
      </c>
      <c r="B1779" s="55" t="str">
        <f t="shared" si="116"/>
        <v>SETIEMBRE</v>
      </c>
      <c r="C1779" s="55">
        <f t="shared" si="117"/>
        <v>38</v>
      </c>
      <c r="D1779" s="3" t="str">
        <f t="shared" si="118"/>
        <v>MIÉRCOLES</v>
      </c>
      <c r="E1779" s="427">
        <v>256695</v>
      </c>
      <c r="F1779" s="3" t="str">
        <f>IFERROR(VLOOKUP(E1779,BD!$L$2:$Q$66,2,0),0)</f>
        <v>POWERADE 3MORA+3FRUT PET 473MLX6</v>
      </c>
      <c r="G1779" s="424">
        <v>900</v>
      </c>
      <c r="H1779" s="3">
        <f>+IFERROR(VLOOKUP(E1779,BD!$L$2:$Q$66,6,0),0)</f>
        <v>225</v>
      </c>
      <c r="I1779" s="96">
        <f>IFERROR(G1779*VLOOKUP($E1779,BD!$L$2:$Q$66,5,0),0)</f>
        <v>378</v>
      </c>
      <c r="J1779" s="3">
        <f t="shared" si="119"/>
        <v>2021</v>
      </c>
    </row>
    <row r="1780" spans="1:10" s="9" customFormat="1" hidden="1" x14ac:dyDescent="0.25">
      <c r="A1780" s="447">
        <v>44454</v>
      </c>
      <c r="B1780" s="55" t="str">
        <f t="shared" si="116"/>
        <v>SETIEMBRE</v>
      </c>
      <c r="C1780" s="55">
        <f t="shared" si="117"/>
        <v>38</v>
      </c>
      <c r="D1780" s="3" t="str">
        <f t="shared" si="118"/>
        <v>MIÉRCOLES</v>
      </c>
      <c r="E1780" s="427">
        <v>256679</v>
      </c>
      <c r="F1780" s="3" t="str">
        <f>IFERROR(VLOOKUP(E1780,BD!$L$2:$Q$66,2,0),0)</f>
        <v>TRIPACK CC+IK+IK PFM 3LX3 - RFNN</v>
      </c>
      <c r="G1780" s="424">
        <v>720</v>
      </c>
      <c r="H1780" s="3">
        <f>+IFERROR(VLOOKUP(E1780,BD!$L$2:$Q$66,6,0),0)</f>
        <v>90</v>
      </c>
      <c r="I1780" s="96">
        <f>IFERROR(G1780*VLOOKUP($E1780,BD!$L$2:$Q$66,5,0),0)</f>
        <v>122.4</v>
      </c>
      <c r="J1780" s="3">
        <f t="shared" si="119"/>
        <v>2021</v>
      </c>
    </row>
    <row r="1781" spans="1:10" s="9" customFormat="1" hidden="1" x14ac:dyDescent="0.25">
      <c r="A1781" s="447">
        <v>44454</v>
      </c>
      <c r="B1781" s="55" t="str">
        <f t="shared" si="116"/>
        <v>SETIEMBRE</v>
      </c>
      <c r="C1781" s="55">
        <f t="shared" si="117"/>
        <v>38</v>
      </c>
      <c r="D1781" s="3" t="str">
        <f t="shared" si="118"/>
        <v>MIÉRCOLES</v>
      </c>
      <c r="E1781" s="427">
        <v>256685</v>
      </c>
      <c r="F1781" s="3" t="str">
        <f>IFERROR(VLOOKUP(E1781,BD!$L$2:$Q$66,2,0),0)</f>
        <v>SL S/G TAPA PLANA 1LT</v>
      </c>
      <c r="G1781" s="424">
        <v>336</v>
      </c>
      <c r="H1781" s="3">
        <f>+IFERROR(VLOOKUP(E1781,BD!$L$2:$Q$66,6,0),0)</f>
        <v>112</v>
      </c>
      <c r="I1781" s="96">
        <f>IFERROR(G1781*VLOOKUP($E1781,BD!$L$2:$Q$66,5,0),0)</f>
        <v>134.4</v>
      </c>
      <c r="J1781" s="3">
        <f t="shared" si="119"/>
        <v>2021</v>
      </c>
    </row>
    <row r="1782" spans="1:10" s="9" customFormat="1" hidden="1" x14ac:dyDescent="0.25">
      <c r="A1782" s="447">
        <v>44454</v>
      </c>
      <c r="B1782" s="55" t="str">
        <f t="shared" si="116"/>
        <v>SETIEMBRE</v>
      </c>
      <c r="C1782" s="55">
        <f t="shared" si="117"/>
        <v>38</v>
      </c>
      <c r="D1782" s="3" t="str">
        <f t="shared" si="118"/>
        <v>MIÉRCOLES</v>
      </c>
      <c r="E1782" s="427">
        <v>254762</v>
      </c>
      <c r="F1782" s="3" t="str">
        <f>IFERROR(VLOOKUP(E1782,BD!$L$2:$Q$66,2,0),0)</f>
        <v xml:space="preserve">SAN LUIS SPORT S/G 10 Lt x6 </v>
      </c>
      <c r="G1782" s="424">
        <v>224</v>
      </c>
      <c r="H1782" s="3">
        <f>+IFERROR(VLOOKUP(E1782,BD!$L$2:$Q$66,6,0),0)</f>
        <v>240</v>
      </c>
      <c r="I1782" s="96">
        <f>IFERROR(G1782*VLOOKUP($E1782,BD!$L$2:$Q$66,5,0),0)</f>
        <v>89.600000000000009</v>
      </c>
      <c r="J1782" s="3">
        <f t="shared" si="119"/>
        <v>2021</v>
      </c>
    </row>
    <row r="1783" spans="1:10" s="9" customFormat="1" hidden="1" x14ac:dyDescent="0.25">
      <c r="A1783" s="447">
        <v>44454</v>
      </c>
      <c r="B1783" s="55" t="str">
        <f t="shared" si="116"/>
        <v>SETIEMBRE</v>
      </c>
      <c r="C1783" s="55">
        <f t="shared" si="117"/>
        <v>38</v>
      </c>
      <c r="D1783" s="3" t="str">
        <f t="shared" si="118"/>
        <v>MIÉRCOLES</v>
      </c>
      <c r="E1783" s="427">
        <v>256721</v>
      </c>
      <c r="F1783" s="3" t="str">
        <f>IFERROR(VLOOKUP(E1783,BD!$L$2:$Q$66,2,0),0)</f>
        <v>SPRITE PET 500MLX6 BRANDEADO MOD</v>
      </c>
      <c r="G1783" s="424">
        <v>250</v>
      </c>
      <c r="H1783" s="3">
        <f>+IFERROR(VLOOKUP(E1783,BD!$L$2:$Q$66,6,0),0)</f>
        <v>420</v>
      </c>
      <c r="I1783" s="96">
        <f>IFERROR(G1783*VLOOKUP($E1783,BD!$L$2:$Q$66,5,0),0)</f>
        <v>105</v>
      </c>
      <c r="J1783" s="3">
        <f t="shared" si="119"/>
        <v>2021</v>
      </c>
    </row>
    <row r="1784" spans="1:10" s="9" customFormat="1" hidden="1" x14ac:dyDescent="0.25">
      <c r="A1784" s="447">
        <v>44454</v>
      </c>
      <c r="B1784" s="55" t="str">
        <f t="shared" si="116"/>
        <v>SETIEMBRE</v>
      </c>
      <c r="C1784" s="55">
        <f t="shared" si="117"/>
        <v>38</v>
      </c>
      <c r="D1784" s="3" t="str">
        <f t="shared" si="118"/>
        <v>MIÉRCOLES</v>
      </c>
      <c r="E1784" s="427">
        <v>256737</v>
      </c>
      <c r="F1784" s="3" t="str">
        <f>IFERROR(VLOOKUP(E1784,BD!$L$2:$Q$66,2,0),0)</f>
        <v>INCA KOLA SA ALUMINIO-3 DISEÑOS 330MLX12</v>
      </c>
      <c r="G1784" s="424">
        <v>1625</v>
      </c>
      <c r="H1784" s="3">
        <f>+IFERROR(VLOOKUP(E1784,BD!$L$2:$Q$66,6,0),0)</f>
        <v>420</v>
      </c>
      <c r="I1784" s="96">
        <f>IFERROR(G1784*VLOOKUP($E1784,BD!$L$2:$Q$66,5,0),0)</f>
        <v>682.5</v>
      </c>
      <c r="J1784" s="3">
        <f t="shared" si="119"/>
        <v>2021</v>
      </c>
    </row>
    <row r="1785" spans="1:10" s="9" customFormat="1" hidden="1" x14ac:dyDescent="0.25">
      <c r="A1785" s="447">
        <v>44454</v>
      </c>
      <c r="B1785" s="55" t="str">
        <f t="shared" si="116"/>
        <v>SETIEMBRE</v>
      </c>
      <c r="C1785" s="55">
        <f t="shared" si="117"/>
        <v>38</v>
      </c>
      <c r="D1785" s="3" t="str">
        <f t="shared" si="118"/>
        <v>MIÉRCOLES</v>
      </c>
      <c r="E1785" s="427">
        <v>256666</v>
      </c>
      <c r="F1785" s="3" t="str">
        <f>IFERROR(VLOOKUP(E1785,BD!$L$2:$Q$66,2,0),0)</f>
        <v>COCA-COLA PET 2.25LX2 RF</v>
      </c>
      <c r="G1785" s="424">
        <v>810</v>
      </c>
      <c r="H1785" s="3">
        <f>+IFERROR(VLOOKUP(E1785,BD!$L$2:$Q$66,6,0),0)</f>
        <v>162</v>
      </c>
      <c r="I1785" s="96">
        <f>IFERROR(G1785*VLOOKUP($E1785,BD!$L$2:$Q$66,5,0),0)</f>
        <v>137.70000000000002</v>
      </c>
      <c r="J1785" s="3">
        <f t="shared" si="119"/>
        <v>2021</v>
      </c>
    </row>
    <row r="1786" spans="1:10" s="9" customFormat="1" hidden="1" x14ac:dyDescent="0.25">
      <c r="A1786" s="447">
        <v>44454</v>
      </c>
      <c r="B1786" s="55" t="str">
        <f t="shared" si="116"/>
        <v>SETIEMBRE</v>
      </c>
      <c r="C1786" s="55">
        <f t="shared" si="117"/>
        <v>38</v>
      </c>
      <c r="D1786" s="3" t="str">
        <f t="shared" si="118"/>
        <v>MIÉRCOLES</v>
      </c>
      <c r="E1786" s="427">
        <v>255405</v>
      </c>
      <c r="F1786" s="3" t="str">
        <f>IFERROR(VLOOKUP(E1786,BD!$L$2:$Q$66,2,0),0)</f>
        <v>FRUGOS BEBIDA DZ VNR 286MLX6 C/STICKER</v>
      </c>
      <c r="G1786" s="424">
        <v>350</v>
      </c>
      <c r="H1786" s="3">
        <f>+IFERROR(VLOOKUP(E1786,BD!$L$2:$Q$66,6,0),0)</f>
        <v>350</v>
      </c>
      <c r="I1786" s="96">
        <f>IFERROR(G1786*VLOOKUP($E1786,BD!$L$2:$Q$66,5,0),0)</f>
        <v>80.5</v>
      </c>
      <c r="J1786" s="3">
        <f t="shared" si="119"/>
        <v>2021</v>
      </c>
    </row>
    <row r="1787" spans="1:10" s="9" customFormat="1" hidden="1" x14ac:dyDescent="0.25">
      <c r="A1787" s="447">
        <v>44454</v>
      </c>
      <c r="B1787" s="55" t="str">
        <f t="shared" ref="B1787:B1850" si="120">UPPER(TEXT(A1787,"MMMM"))</f>
        <v>SETIEMBRE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7">
        <v>751315</v>
      </c>
      <c r="F1787" s="3" t="str">
        <f>IFERROR(VLOOKUP(E1787,BD!$L$2:$Q$66,2,0),0)</f>
        <v>MONSTER ENERGY 473MLX4</v>
      </c>
      <c r="G1787" s="424">
        <v>3360</v>
      </c>
      <c r="H1787" s="3">
        <f>+IFERROR(VLOOKUP(E1787,BD!$L$2:$Q$66,6,0),0)</f>
        <v>420</v>
      </c>
      <c r="I1787" s="96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hidden="1" x14ac:dyDescent="0.25">
      <c r="A1788" s="447">
        <v>44455</v>
      </c>
      <c r="B1788" s="55" t="str">
        <f t="shared" si="120"/>
        <v>SETIEMBRE</v>
      </c>
      <c r="C1788" s="55">
        <f t="shared" si="121"/>
        <v>38</v>
      </c>
      <c r="D1788" s="3" t="str">
        <f t="shared" si="122"/>
        <v>JUEVES</v>
      </c>
      <c r="E1788" s="427">
        <v>251406</v>
      </c>
      <c r="F1788" s="3" t="str">
        <f>IFERROR(VLOOKUP(E1788,BD!$L$2:$Q$66,2,0),0)</f>
        <v>COCA-COLA SIN AZUCAR PET 1.5LX2</v>
      </c>
      <c r="G1788" s="424">
        <v>1296</v>
      </c>
      <c r="H1788" s="3">
        <f>+IFERROR(VLOOKUP(E1788,BD!$L$2:$Q$66,6,0),0)</f>
        <v>198</v>
      </c>
      <c r="I1788" s="96">
        <f>IFERROR(G1788*VLOOKUP($E1788,BD!$L$2:$Q$66,5,0),0)</f>
        <v>220.32000000000002</v>
      </c>
      <c r="J1788" s="3">
        <f t="shared" si="123"/>
        <v>2021</v>
      </c>
    </row>
    <row r="1789" spans="1:10" s="9" customFormat="1" hidden="1" x14ac:dyDescent="0.25">
      <c r="A1789" s="447">
        <v>44455</v>
      </c>
      <c r="B1789" s="55" t="str">
        <f t="shared" si="120"/>
        <v>SETIEMBRE</v>
      </c>
      <c r="C1789" s="55">
        <f t="shared" si="121"/>
        <v>38</v>
      </c>
      <c r="D1789" s="3" t="str">
        <f t="shared" si="122"/>
        <v>JUEVES</v>
      </c>
      <c r="E1789" s="427">
        <v>256601</v>
      </c>
      <c r="F1789" s="3" t="str">
        <f>IFERROR(VLOOKUP(E1789,BD!$L$2:$Q$66,2,0),0)</f>
        <v>INCA KOLA PET 2.25LX2 RF</v>
      </c>
      <c r="G1789" s="424">
        <v>810</v>
      </c>
      <c r="H1789" s="3">
        <f>+IFERROR(VLOOKUP(E1789,BD!$L$2:$Q$66,6,0),0)</f>
        <v>162</v>
      </c>
      <c r="I1789" s="96">
        <f>IFERROR(G1789*VLOOKUP($E1789,BD!$L$2:$Q$66,5,0),0)</f>
        <v>137.70000000000002</v>
      </c>
      <c r="J1789" s="3">
        <f t="shared" si="123"/>
        <v>2021</v>
      </c>
    </row>
    <row r="1790" spans="1:10" s="9" customFormat="1" hidden="1" x14ac:dyDescent="0.25">
      <c r="A1790" s="447">
        <v>44455</v>
      </c>
      <c r="B1790" s="55" t="str">
        <f t="shared" si="120"/>
        <v>SETIEMBRE</v>
      </c>
      <c r="C1790" s="55">
        <f t="shared" si="121"/>
        <v>38</v>
      </c>
      <c r="D1790" s="3" t="str">
        <f t="shared" si="122"/>
        <v>JUEVES</v>
      </c>
      <c r="E1790" s="427">
        <v>256488</v>
      </c>
      <c r="F1790" s="3" t="str">
        <f>IFERROR(VLOOKUP(E1790,BD!$L$2:$Q$66,2,0),0)</f>
        <v>INCA KOLA PET 3LX2 - RF</v>
      </c>
      <c r="G1790" s="424">
        <v>1080</v>
      </c>
      <c r="H1790" s="3">
        <f>+IFERROR(VLOOKUP(E1790,BD!$L$2:$Q$66,6,0),0)</f>
        <v>120</v>
      </c>
      <c r="I1790" s="96">
        <f>IFERROR(G1790*VLOOKUP($E1790,BD!$L$2:$Q$66,5,0),0)</f>
        <v>183.60000000000002</v>
      </c>
      <c r="J1790" s="3">
        <f t="shared" si="123"/>
        <v>2021</v>
      </c>
    </row>
    <row r="1791" spans="1:10" s="9" customFormat="1" hidden="1" x14ac:dyDescent="0.25">
      <c r="A1791" s="447">
        <v>44455</v>
      </c>
      <c r="B1791" s="55" t="str">
        <f t="shared" si="120"/>
        <v>SETIEMBRE</v>
      </c>
      <c r="C1791" s="55">
        <f t="shared" si="121"/>
        <v>38</v>
      </c>
      <c r="D1791" s="3" t="str">
        <f t="shared" si="122"/>
        <v>JUEVES</v>
      </c>
      <c r="E1791" s="427">
        <v>256617</v>
      </c>
      <c r="F1791" s="3" t="str">
        <f>IFERROR(VLOOKUP(E1791,BD!$L$2:$Q$66,2,0),0)</f>
        <v>TWO PACK SCHWEPPES GINGER ALE PET 1.5LX2</v>
      </c>
      <c r="G1791" s="424">
        <v>594</v>
      </c>
      <c r="H1791" s="3">
        <f>+IFERROR(VLOOKUP(E1791,BD!$L$2:$Q$66,6,0),0)</f>
        <v>198</v>
      </c>
      <c r="I1791" s="96">
        <f>IFERROR(G1791*VLOOKUP($E1791,BD!$L$2:$Q$66,5,0),0)</f>
        <v>100.98</v>
      </c>
      <c r="J1791" s="3">
        <f t="shared" si="123"/>
        <v>2021</v>
      </c>
    </row>
    <row r="1792" spans="1:10" s="9" customFormat="1" hidden="1" x14ac:dyDescent="0.25">
      <c r="A1792" s="447">
        <v>44455</v>
      </c>
      <c r="B1792" s="55" t="str">
        <f t="shared" si="120"/>
        <v>SETIEMBRE</v>
      </c>
      <c r="C1792" s="55">
        <f t="shared" si="121"/>
        <v>38</v>
      </c>
      <c r="D1792" s="3" t="str">
        <f t="shared" si="122"/>
        <v>JUEVES</v>
      </c>
      <c r="E1792" s="427">
        <v>256652</v>
      </c>
      <c r="F1792" s="3" t="str">
        <f>IFERROR(VLOOKUP(E1792,BD!$L$2:$Q$66,2,0),0)</f>
        <v>TRIPACK FT NAR+FT KI+SP PET 3L</v>
      </c>
      <c r="G1792" s="424">
        <v>720</v>
      </c>
      <c r="H1792" s="3">
        <f>+IFERROR(VLOOKUP(E1792,BD!$L$2:$Q$66,6,0),0)</f>
        <v>90</v>
      </c>
      <c r="I1792" s="96">
        <f>IFERROR(G1792*VLOOKUP($E1792,BD!$L$2:$Q$66,5,0),0)</f>
        <v>122.4</v>
      </c>
      <c r="J1792" s="3">
        <f t="shared" si="123"/>
        <v>2021</v>
      </c>
    </row>
    <row r="1793" spans="1:10" s="9" customFormat="1" hidden="1" x14ac:dyDescent="0.25">
      <c r="A1793" s="447">
        <v>44455</v>
      </c>
      <c r="B1793" s="55" t="str">
        <f t="shared" si="120"/>
        <v>SETIEMBRE</v>
      </c>
      <c r="C1793" s="55">
        <f t="shared" si="121"/>
        <v>38</v>
      </c>
      <c r="D1793" s="3" t="str">
        <f t="shared" si="122"/>
        <v>JUEVES</v>
      </c>
      <c r="E1793" s="427">
        <v>256666</v>
      </c>
      <c r="F1793" s="3" t="str">
        <f>IFERROR(VLOOKUP(E1793,BD!$L$2:$Q$66,2,0),0)</f>
        <v>COCA-COLA PET 2.25LX2 RF</v>
      </c>
      <c r="G1793" s="424">
        <v>324</v>
      </c>
      <c r="H1793" s="3">
        <f>+IFERROR(VLOOKUP(E1793,BD!$L$2:$Q$66,6,0),0)</f>
        <v>162</v>
      </c>
      <c r="I1793" s="96">
        <f>IFERROR(G1793*VLOOKUP($E1793,BD!$L$2:$Q$66,5,0),0)</f>
        <v>55.080000000000005</v>
      </c>
      <c r="J1793" s="3">
        <f t="shared" si="123"/>
        <v>2021</v>
      </c>
    </row>
    <row r="1794" spans="1:10" s="9" customFormat="1" hidden="1" x14ac:dyDescent="0.25">
      <c r="A1794" s="447">
        <v>44455</v>
      </c>
      <c r="B1794" s="55" t="str">
        <f t="shared" si="120"/>
        <v>SETIEMBRE</v>
      </c>
      <c r="C1794" s="55">
        <f t="shared" si="121"/>
        <v>38</v>
      </c>
      <c r="D1794" s="3" t="str">
        <f t="shared" si="122"/>
        <v>JUEVES</v>
      </c>
      <c r="E1794" s="427">
        <v>256677</v>
      </c>
      <c r="F1794" s="3" t="str">
        <f>IFERROR(VLOOKUP(E1794,BD!$L$2:$Q$66,2,0),0)</f>
        <v>TWO PACK CC + IK PFM 3LX2 - RFNN</v>
      </c>
      <c r="G1794" s="424">
        <v>840</v>
      </c>
      <c r="H1794" s="3">
        <f>+IFERROR(VLOOKUP(E1794,BD!$L$2:$Q$66,6,0),0)</f>
        <v>120</v>
      </c>
      <c r="I1794" s="96">
        <f>IFERROR(G1794*VLOOKUP($E1794,BD!$L$2:$Q$66,5,0),0)</f>
        <v>142.80000000000001</v>
      </c>
      <c r="J1794" s="3">
        <f t="shared" si="123"/>
        <v>2021</v>
      </c>
    </row>
    <row r="1795" spans="1:10" s="9" customFormat="1" hidden="1" x14ac:dyDescent="0.25">
      <c r="A1795" s="447">
        <v>44455</v>
      </c>
      <c r="B1795" s="55" t="str">
        <f t="shared" si="120"/>
        <v>SETIEMBRE</v>
      </c>
      <c r="C1795" s="55">
        <f t="shared" si="121"/>
        <v>38</v>
      </c>
      <c r="D1795" s="3" t="str">
        <f t="shared" si="122"/>
        <v>JUEVES</v>
      </c>
      <c r="E1795" s="427">
        <v>256677</v>
      </c>
      <c r="F1795" s="3" t="str">
        <f>IFERROR(VLOOKUP(E1795,BD!$L$2:$Q$66,2,0),0)</f>
        <v>TWO PACK CC + IK PFM 3LX2 - RFNN</v>
      </c>
      <c r="G1795" s="424">
        <v>1080</v>
      </c>
      <c r="H1795" s="3">
        <f>+IFERROR(VLOOKUP(E1795,BD!$L$2:$Q$66,6,0),0)</f>
        <v>120</v>
      </c>
      <c r="I1795" s="96">
        <f>IFERROR(G1795*VLOOKUP($E1795,BD!$L$2:$Q$66,5,0),0)</f>
        <v>183.60000000000002</v>
      </c>
      <c r="J1795" s="3">
        <f t="shared" si="123"/>
        <v>2021</v>
      </c>
    </row>
    <row r="1796" spans="1:10" s="9" customFormat="1" hidden="1" x14ac:dyDescent="0.25">
      <c r="A1796" s="447">
        <v>44455</v>
      </c>
      <c r="B1796" s="55" t="str">
        <f t="shared" si="120"/>
        <v>SETIEMBRE</v>
      </c>
      <c r="C1796" s="55">
        <f t="shared" si="121"/>
        <v>38</v>
      </c>
      <c r="D1796" s="3" t="str">
        <f t="shared" si="122"/>
        <v>JUEVES</v>
      </c>
      <c r="E1796" s="427">
        <v>256676</v>
      </c>
      <c r="F1796" s="3" t="str">
        <f>IFERROR(VLOOKUP(E1796,BD!$L$2:$Q$66,2,0),0)</f>
        <v>TWO PACK CC PFM 3LX2 - RFCC</v>
      </c>
      <c r="G1796" s="424">
        <v>720</v>
      </c>
      <c r="H1796" s="3">
        <f>+IFERROR(VLOOKUP(E1796,BD!$L$2:$Q$66,6,0),0)</f>
        <v>120</v>
      </c>
      <c r="I1796" s="96">
        <f>IFERROR(G1796*VLOOKUP($E1796,BD!$L$2:$Q$66,5,0),0)</f>
        <v>122.4</v>
      </c>
      <c r="J1796" s="3">
        <f t="shared" si="123"/>
        <v>2021</v>
      </c>
    </row>
    <row r="1797" spans="1:10" s="9" customFormat="1" hidden="1" x14ac:dyDescent="0.25">
      <c r="A1797" s="447">
        <v>44455</v>
      </c>
      <c r="B1797" s="55" t="str">
        <f t="shared" si="120"/>
        <v>SETIEMBRE</v>
      </c>
      <c r="C1797" s="55">
        <f t="shared" si="121"/>
        <v>38</v>
      </c>
      <c r="D1797" s="3" t="str">
        <f t="shared" si="122"/>
        <v>JUEVES</v>
      </c>
      <c r="E1797" s="427">
        <v>256678</v>
      </c>
      <c r="F1797" s="3" t="str">
        <f>IFERROR(VLOOKUP(E1797,BD!$L$2:$Q$66,2,0),0)</f>
        <v>TRIPACK (CC+IK)PFM+FT PET 3LX3 - RFNN</v>
      </c>
      <c r="G1797" s="424">
        <v>1620</v>
      </c>
      <c r="H1797" s="3">
        <f>+IFERROR(VLOOKUP(E1797,BD!$L$2:$Q$66,6,0),0)</f>
        <v>90</v>
      </c>
      <c r="I1797" s="96">
        <f>IFERROR(G1797*VLOOKUP($E1797,BD!$L$2:$Q$66,5,0),0)</f>
        <v>275.40000000000003</v>
      </c>
      <c r="J1797" s="3">
        <f t="shared" si="123"/>
        <v>2021</v>
      </c>
    </row>
    <row r="1798" spans="1:10" s="9" customFormat="1" hidden="1" x14ac:dyDescent="0.25">
      <c r="A1798" s="447">
        <v>44455</v>
      </c>
      <c r="B1798" s="55" t="str">
        <f t="shared" si="120"/>
        <v>SETIEMBRE</v>
      </c>
      <c r="C1798" s="55">
        <f t="shared" si="121"/>
        <v>38</v>
      </c>
      <c r="D1798" s="3" t="str">
        <f t="shared" si="122"/>
        <v>JUEVES</v>
      </c>
      <c r="E1798" s="427">
        <v>256674</v>
      </c>
      <c r="F1798" s="3" t="str">
        <f>IFERROR(VLOOKUP(E1798,BD!$L$2:$Q$66,2,0),0)</f>
        <v>COCA-COLA PET 1.5LX2 RF</v>
      </c>
      <c r="G1798" s="424">
        <v>1296</v>
      </c>
      <c r="H1798" s="3">
        <f>+IFERROR(VLOOKUP(E1798,BD!$L$2:$Q$66,6,0),0)</f>
        <v>198</v>
      </c>
      <c r="I1798" s="96">
        <f>IFERROR(G1798*VLOOKUP($E1798,BD!$L$2:$Q$66,5,0),0)</f>
        <v>220.32000000000002</v>
      </c>
      <c r="J1798" s="3">
        <f t="shared" si="123"/>
        <v>2021</v>
      </c>
    </row>
    <row r="1799" spans="1:10" s="9" customFormat="1" hidden="1" x14ac:dyDescent="0.25">
      <c r="A1799" s="447">
        <v>44455</v>
      </c>
      <c r="B1799" s="55" t="str">
        <f t="shared" si="120"/>
        <v>SETIEMBRE</v>
      </c>
      <c r="C1799" s="55">
        <f t="shared" si="121"/>
        <v>38</v>
      </c>
      <c r="D1799" s="3" t="str">
        <f t="shared" si="122"/>
        <v>JUEVES</v>
      </c>
      <c r="E1799" s="427">
        <v>256675</v>
      </c>
      <c r="F1799" s="3" t="str">
        <f>IFERROR(VLOOKUP(E1799,BD!$L$2:$Q$66,2,0),0)</f>
        <v>INCA KOLA PET 1.5LX2 RF</v>
      </c>
      <c r="G1799" s="424">
        <v>1296</v>
      </c>
      <c r="H1799" s="3">
        <f>+IFERROR(VLOOKUP(E1799,BD!$L$2:$Q$66,6,0),0)</f>
        <v>198</v>
      </c>
      <c r="I1799" s="96">
        <f>IFERROR(G1799*VLOOKUP($E1799,BD!$L$2:$Q$66,5,0),0)</f>
        <v>220.32000000000002</v>
      </c>
      <c r="J1799" s="3">
        <f t="shared" si="123"/>
        <v>2021</v>
      </c>
    </row>
    <row r="1800" spans="1:10" s="9" customFormat="1" hidden="1" x14ac:dyDescent="0.25">
      <c r="A1800" s="447">
        <v>44455</v>
      </c>
      <c r="B1800" s="55" t="str">
        <f t="shared" si="120"/>
        <v>SETIEMBRE</v>
      </c>
      <c r="C1800" s="55">
        <f t="shared" si="121"/>
        <v>38</v>
      </c>
      <c r="D1800" s="3" t="str">
        <f t="shared" si="122"/>
        <v>JUEVES</v>
      </c>
      <c r="E1800" s="427">
        <v>256679</v>
      </c>
      <c r="F1800" s="3" t="str">
        <f>IFERROR(VLOOKUP(E1800,BD!$L$2:$Q$66,2,0),0)</f>
        <v>TRIPACK CC+IK+IK PFM 3LX3 - RFNN</v>
      </c>
      <c r="G1800" s="424">
        <v>450</v>
      </c>
      <c r="H1800" s="3">
        <f>+IFERROR(VLOOKUP(E1800,BD!$L$2:$Q$66,6,0),0)</f>
        <v>90</v>
      </c>
      <c r="I1800" s="96">
        <f>IFERROR(G1800*VLOOKUP($E1800,BD!$L$2:$Q$66,5,0),0)</f>
        <v>76.5</v>
      </c>
      <c r="J1800" s="3">
        <f t="shared" si="123"/>
        <v>2021</v>
      </c>
    </row>
    <row r="1801" spans="1:10" s="9" customFormat="1" hidden="1" x14ac:dyDescent="0.25">
      <c r="A1801" s="447">
        <v>44455</v>
      </c>
      <c r="B1801" s="55" t="str">
        <f t="shared" si="120"/>
        <v>SETIEMBRE</v>
      </c>
      <c r="C1801" s="55">
        <f t="shared" si="121"/>
        <v>38</v>
      </c>
      <c r="D1801" s="3" t="str">
        <f t="shared" si="122"/>
        <v>JUEVES</v>
      </c>
      <c r="E1801" s="427">
        <v>256679</v>
      </c>
      <c r="F1801" s="3" t="str">
        <f>IFERROR(VLOOKUP(E1801,BD!$L$2:$Q$66,2,0),0)</f>
        <v>TRIPACK CC+IK+IK PFM 3LX3 - RFNN</v>
      </c>
      <c r="G1801" s="424">
        <v>270</v>
      </c>
      <c r="H1801" s="3">
        <f>+IFERROR(VLOOKUP(E1801,BD!$L$2:$Q$66,6,0),0)</f>
        <v>90</v>
      </c>
      <c r="I1801" s="96">
        <f>IFERROR(G1801*VLOOKUP($E1801,BD!$L$2:$Q$66,5,0),0)</f>
        <v>45.900000000000006</v>
      </c>
      <c r="J1801" s="3">
        <f t="shared" si="123"/>
        <v>2021</v>
      </c>
    </row>
    <row r="1802" spans="1:10" s="9" customFormat="1" hidden="1" x14ac:dyDescent="0.25">
      <c r="A1802" s="447">
        <v>44455</v>
      </c>
      <c r="B1802" s="55" t="str">
        <f t="shared" si="120"/>
        <v>SETIEMBRE</v>
      </c>
      <c r="C1802" s="55">
        <f t="shared" si="121"/>
        <v>38</v>
      </c>
      <c r="D1802" s="3" t="str">
        <f t="shared" si="122"/>
        <v>JUEVES</v>
      </c>
      <c r="E1802" s="427">
        <v>254853</v>
      </c>
      <c r="F1802" s="3" t="str">
        <f>IFERROR(VLOOKUP(E1802,BD!$L$2:$Q$66,2,0),0)</f>
        <v>INCA KOLA SIN AZUCAR PET 1.5LX2</v>
      </c>
      <c r="G1802" s="424">
        <v>432</v>
      </c>
      <c r="H1802" s="3">
        <f>+IFERROR(VLOOKUP(E1802,BD!$L$2:$Q$66,6,0),0)</f>
        <v>198</v>
      </c>
      <c r="I1802" s="96">
        <f>IFERROR(G1802*VLOOKUP($E1802,BD!$L$2:$Q$66,5,0),0)</f>
        <v>73.440000000000012</v>
      </c>
      <c r="J1802" s="3">
        <f t="shared" si="123"/>
        <v>2021</v>
      </c>
    </row>
    <row r="1803" spans="1:10" s="9" customFormat="1" hidden="1" x14ac:dyDescent="0.25">
      <c r="A1803" s="447">
        <v>44455</v>
      </c>
      <c r="B1803" s="55" t="str">
        <f t="shared" si="120"/>
        <v>SETIEMBRE</v>
      </c>
      <c r="C1803" s="55">
        <f t="shared" si="121"/>
        <v>38</v>
      </c>
      <c r="D1803" s="3" t="str">
        <f t="shared" si="122"/>
        <v>JUEVES</v>
      </c>
      <c r="E1803" s="427">
        <v>256737</v>
      </c>
      <c r="F1803" s="3" t="str">
        <f>IFERROR(VLOOKUP(E1803,BD!$L$2:$Q$66,2,0),0)</f>
        <v>INCA KOLA SA ALUMINIO-3 DISEÑOS 330MLX12</v>
      </c>
      <c r="G1803" s="424">
        <v>2500</v>
      </c>
      <c r="H1803" s="3">
        <f>+IFERROR(VLOOKUP(E1803,BD!$L$2:$Q$66,6,0),0)</f>
        <v>420</v>
      </c>
      <c r="I1803" s="96">
        <f>IFERROR(G1803*VLOOKUP($E1803,BD!$L$2:$Q$66,5,0),0)</f>
        <v>1050</v>
      </c>
      <c r="J1803" s="3">
        <f t="shared" si="123"/>
        <v>2021</v>
      </c>
    </row>
    <row r="1804" spans="1:10" s="9" customFormat="1" hidden="1" x14ac:dyDescent="0.25">
      <c r="A1804" s="447">
        <v>44455</v>
      </c>
      <c r="B1804" s="55" t="str">
        <f t="shared" si="120"/>
        <v>SETIEMBRE</v>
      </c>
      <c r="C1804" s="55">
        <f t="shared" si="121"/>
        <v>38</v>
      </c>
      <c r="D1804" s="3" t="str">
        <f t="shared" si="122"/>
        <v>JUEVES</v>
      </c>
      <c r="E1804" s="427">
        <v>256721</v>
      </c>
      <c r="F1804" s="3" t="str">
        <f>IFERROR(VLOOKUP(E1804,BD!$L$2:$Q$66,2,0),0)</f>
        <v>SPRITE PET 500MLX6 BRANDEADO MOD</v>
      </c>
      <c r="G1804" s="424">
        <v>250</v>
      </c>
      <c r="H1804" s="3">
        <f>+IFERROR(VLOOKUP(E1804,BD!$L$2:$Q$66,6,0),0)</f>
        <v>420</v>
      </c>
      <c r="I1804" s="96">
        <f>IFERROR(G1804*VLOOKUP($E1804,BD!$L$2:$Q$66,5,0),0)</f>
        <v>105</v>
      </c>
      <c r="J1804" s="3">
        <f t="shared" si="123"/>
        <v>2021</v>
      </c>
    </row>
    <row r="1805" spans="1:10" s="9" customFormat="1" hidden="1" x14ac:dyDescent="0.25">
      <c r="A1805" s="447">
        <v>44455</v>
      </c>
      <c r="B1805" s="55" t="str">
        <f t="shared" si="120"/>
        <v>SETIEMBRE</v>
      </c>
      <c r="C1805" s="55">
        <f t="shared" si="121"/>
        <v>38</v>
      </c>
      <c r="D1805" s="3" t="str">
        <f t="shared" si="122"/>
        <v>JUEVES</v>
      </c>
      <c r="E1805" s="427">
        <v>251633</v>
      </c>
      <c r="F1805" s="3" t="str">
        <f>IFERROR(VLOOKUP(E1805,BD!$L$2:$Q$66,2,0),0)</f>
        <v>SAN LUIS CON GAS PET 625MLX6</v>
      </c>
      <c r="G1805" s="424">
        <v>180</v>
      </c>
      <c r="H1805" s="3">
        <f>+IFERROR(VLOOKUP(E1805,BD!$L$2:$Q$66,6,0),0)</f>
        <v>180</v>
      </c>
      <c r="I1805" s="96">
        <f>IFERROR(G1805*VLOOKUP($E1805,BD!$L$2:$Q$66,5,0),0)</f>
        <v>75.599999999999994</v>
      </c>
      <c r="J1805" s="3">
        <f t="shared" si="123"/>
        <v>2021</v>
      </c>
    </row>
    <row r="1806" spans="1:10" s="9" customFormat="1" hidden="1" x14ac:dyDescent="0.25">
      <c r="A1806" s="447">
        <v>44455</v>
      </c>
      <c r="B1806" s="55" t="str">
        <f t="shared" si="120"/>
        <v>SETIEMBRE</v>
      </c>
      <c r="C1806" s="55">
        <f t="shared" si="121"/>
        <v>38</v>
      </c>
      <c r="D1806" s="3" t="str">
        <f t="shared" si="122"/>
        <v>JUEVES</v>
      </c>
      <c r="E1806" s="427">
        <v>255405</v>
      </c>
      <c r="F1806" s="3" t="str">
        <f>IFERROR(VLOOKUP(E1806,BD!$L$2:$Q$66,2,0),0)</f>
        <v>FRUGOS BEBIDA DZ VNR 286MLX6 C/STICKER</v>
      </c>
      <c r="G1806" s="424">
        <v>700</v>
      </c>
      <c r="H1806" s="3">
        <f>+IFERROR(VLOOKUP(E1806,BD!$L$2:$Q$66,6,0),0)</f>
        <v>350</v>
      </c>
      <c r="I1806" s="96">
        <f>IFERROR(G1806*VLOOKUP($E1806,BD!$L$2:$Q$66,5,0),0)</f>
        <v>161</v>
      </c>
      <c r="J1806" s="3">
        <f t="shared" si="123"/>
        <v>2021</v>
      </c>
    </row>
    <row r="1807" spans="1:10" s="9" customFormat="1" hidden="1" x14ac:dyDescent="0.25">
      <c r="A1807" s="447">
        <v>44455</v>
      </c>
      <c r="B1807" s="55" t="str">
        <f t="shared" si="120"/>
        <v>SETIEMBRE</v>
      </c>
      <c r="C1807" s="55">
        <f t="shared" si="121"/>
        <v>38</v>
      </c>
      <c r="D1807" s="3" t="str">
        <f t="shared" si="122"/>
        <v>JUEVES</v>
      </c>
      <c r="E1807" s="427">
        <v>256685</v>
      </c>
      <c r="F1807" s="3" t="str">
        <f>IFERROR(VLOOKUP(E1807,BD!$L$2:$Q$66,2,0),0)</f>
        <v>SL S/G TAPA PLANA 1LT</v>
      </c>
      <c r="G1807" s="424">
        <v>560</v>
      </c>
      <c r="H1807" s="3">
        <f>+IFERROR(VLOOKUP(E1807,BD!$L$2:$Q$66,6,0),0)</f>
        <v>112</v>
      </c>
      <c r="I1807" s="96">
        <f>IFERROR(G1807*VLOOKUP($E1807,BD!$L$2:$Q$66,5,0),0)</f>
        <v>224</v>
      </c>
      <c r="J1807" s="3">
        <f t="shared" si="123"/>
        <v>2021</v>
      </c>
    </row>
    <row r="1808" spans="1:10" s="9" customFormat="1" hidden="1" x14ac:dyDescent="0.25">
      <c r="A1808" s="447">
        <v>44455</v>
      </c>
      <c r="B1808" s="55" t="str">
        <f t="shared" si="120"/>
        <v>SETIEMBRE</v>
      </c>
      <c r="C1808" s="55">
        <f t="shared" si="121"/>
        <v>38</v>
      </c>
      <c r="D1808" s="3" t="str">
        <f t="shared" si="122"/>
        <v>JUEVES</v>
      </c>
      <c r="E1808" s="427">
        <v>751315</v>
      </c>
      <c r="F1808" s="3" t="str">
        <f>IFERROR(VLOOKUP(E1808,BD!$L$2:$Q$66,2,0),0)</f>
        <v>MONSTER ENERGY 473MLX4</v>
      </c>
      <c r="G1808" s="424">
        <v>2100</v>
      </c>
      <c r="H1808" s="3">
        <f>+IFERROR(VLOOKUP(E1808,BD!$L$2:$Q$66,6,0),0)</f>
        <v>420</v>
      </c>
      <c r="I1808" s="96">
        <f>IFERROR(G1808*VLOOKUP($E1808,BD!$L$2:$Q$66,5,0),0)</f>
        <v>882</v>
      </c>
      <c r="J1808" s="3">
        <f t="shared" si="123"/>
        <v>2021</v>
      </c>
    </row>
    <row r="1809" spans="1:10" s="9" customFormat="1" hidden="1" x14ac:dyDescent="0.25">
      <c r="A1809" s="447">
        <v>44455</v>
      </c>
      <c r="B1809" s="55" t="str">
        <f t="shared" si="120"/>
        <v>SETIEMBRE</v>
      </c>
      <c r="C1809" s="55">
        <f t="shared" si="121"/>
        <v>38</v>
      </c>
      <c r="D1809" s="3" t="str">
        <f t="shared" si="122"/>
        <v>JUEVES</v>
      </c>
      <c r="E1809" s="427">
        <v>256721</v>
      </c>
      <c r="F1809" s="3" t="str">
        <f>IFERROR(VLOOKUP(E1809,BD!$L$2:$Q$66,2,0),0)</f>
        <v>SPRITE PET 500MLX6 BRANDEADO MOD</v>
      </c>
      <c r="G1809" s="424">
        <v>750</v>
      </c>
      <c r="H1809" s="3">
        <f>+IFERROR(VLOOKUP(E1809,BD!$L$2:$Q$66,6,0),0)</f>
        <v>420</v>
      </c>
      <c r="I1809" s="96">
        <f>IFERROR(G1809*VLOOKUP($E1809,BD!$L$2:$Q$66,5,0),0)</f>
        <v>315</v>
      </c>
      <c r="J1809" s="3">
        <f t="shared" si="123"/>
        <v>2021</v>
      </c>
    </row>
    <row r="1810" spans="1:10" s="9" customFormat="1" hidden="1" x14ac:dyDescent="0.25">
      <c r="A1810" s="447">
        <v>44456</v>
      </c>
      <c r="B1810" s="55" t="str">
        <f t="shared" si="120"/>
        <v>SETIEMBRE</v>
      </c>
      <c r="C1810" s="55">
        <f t="shared" si="121"/>
        <v>38</v>
      </c>
      <c r="D1810" s="3" t="str">
        <f t="shared" si="122"/>
        <v>VIERNES</v>
      </c>
      <c r="E1810" s="427">
        <v>256380</v>
      </c>
      <c r="F1810" s="3" t="str">
        <f>IFERROR(VLOOKUP(E1810,BD!$L$2:$Q$66,2,0),0)</f>
        <v>INCA KOLA VR 296MLX24 - STICKER</v>
      </c>
      <c r="G1810" s="424">
        <v>40</v>
      </c>
      <c r="H1810" s="3">
        <f>+IFERROR(VLOOKUP(E1810,BD!$L$2:$Q$66,6,0),0)</f>
        <v>40</v>
      </c>
      <c r="I1810" s="96">
        <f>IFERROR(G1810*VLOOKUP($E1810,BD!$L$2:$Q$66,5,0),0)</f>
        <v>9.2000000000000011</v>
      </c>
      <c r="J1810" s="3">
        <f t="shared" si="123"/>
        <v>2021</v>
      </c>
    </row>
    <row r="1811" spans="1:10" s="9" customFormat="1" hidden="1" x14ac:dyDescent="0.25">
      <c r="A1811" s="447">
        <v>44456</v>
      </c>
      <c r="B1811" s="55" t="str">
        <f t="shared" si="120"/>
        <v>SETIEMBRE</v>
      </c>
      <c r="C1811" s="55">
        <f t="shared" si="121"/>
        <v>38</v>
      </c>
      <c r="D1811" s="3" t="str">
        <f t="shared" si="122"/>
        <v>VIERNES</v>
      </c>
      <c r="E1811" s="427">
        <v>256379</v>
      </c>
      <c r="F1811" s="3" t="str">
        <f>IFERROR(VLOOKUP(E1811,BD!$L$2:$Q$66,2,0),0)</f>
        <v>INCA KOLA VR 625MLX12 - STICKER</v>
      </c>
      <c r="G1811" s="424">
        <v>650</v>
      </c>
      <c r="H1811" s="3">
        <f>+IFERROR(VLOOKUP(E1811,BD!$L$2:$Q$66,6,0),0)</f>
        <v>50</v>
      </c>
      <c r="I1811" s="96">
        <f>IFERROR(G1811*VLOOKUP($E1811,BD!$L$2:$Q$66,5,0),0)</f>
        <v>260</v>
      </c>
      <c r="J1811" s="3">
        <f t="shared" si="123"/>
        <v>2021</v>
      </c>
    </row>
    <row r="1812" spans="1:10" s="9" customFormat="1" hidden="1" x14ac:dyDescent="0.25">
      <c r="A1812" s="447">
        <v>44456</v>
      </c>
      <c r="B1812" s="55" t="str">
        <f t="shared" si="120"/>
        <v>SETIEMBRE</v>
      </c>
      <c r="C1812" s="55">
        <f t="shared" si="121"/>
        <v>38</v>
      </c>
      <c r="D1812" s="3" t="str">
        <f t="shared" si="122"/>
        <v>VIERNES</v>
      </c>
      <c r="E1812" s="427">
        <v>256727</v>
      </c>
      <c r="F1812" s="3" t="str">
        <f>IFERROR(VLOOKUP(E1812,BD!$L$2:$Q$66,2,0),0)</f>
        <v>INCA KOLA POWER (CAMU+MACA) PET 410MLX12</v>
      </c>
      <c r="G1812" s="424">
        <v>1300</v>
      </c>
      <c r="H1812" s="3">
        <f>+IFERROR(VLOOKUP(E1812,BD!$L$2:$Q$66,6,0),0)</f>
        <v>420</v>
      </c>
      <c r="I1812" s="96">
        <f>IFERROR(G1812*VLOOKUP($E1812,BD!$L$2:$Q$66,5,0),0)</f>
        <v>1560</v>
      </c>
      <c r="J1812" s="3">
        <f t="shared" si="123"/>
        <v>2021</v>
      </c>
    </row>
    <row r="1813" spans="1:10" s="9" customFormat="1" hidden="1" x14ac:dyDescent="0.25">
      <c r="A1813" s="447">
        <v>44456</v>
      </c>
      <c r="B1813" s="55" t="str">
        <f t="shared" si="120"/>
        <v>SETIEMBRE</v>
      </c>
      <c r="C1813" s="55">
        <f t="shared" si="121"/>
        <v>38</v>
      </c>
      <c r="D1813" s="3" t="str">
        <f t="shared" si="122"/>
        <v>VIERNES</v>
      </c>
      <c r="E1813" s="427">
        <v>256677</v>
      </c>
      <c r="F1813" s="3" t="str">
        <f>IFERROR(VLOOKUP(E1813,BD!$L$2:$Q$66,2,0),0)</f>
        <v>TWO PACK CC + IK PFM 3LX2 - RFNN</v>
      </c>
      <c r="G1813" s="424">
        <v>1200</v>
      </c>
      <c r="H1813" s="3">
        <f>+IFERROR(VLOOKUP(E1813,BD!$L$2:$Q$66,6,0),0)</f>
        <v>120</v>
      </c>
      <c r="I1813" s="96">
        <f>IFERROR(G1813*VLOOKUP($E1813,BD!$L$2:$Q$66,5,0),0)</f>
        <v>204.00000000000003</v>
      </c>
      <c r="J1813" s="3">
        <f t="shared" si="123"/>
        <v>2021</v>
      </c>
    </row>
    <row r="1814" spans="1:10" s="9" customFormat="1" hidden="1" x14ac:dyDescent="0.25">
      <c r="A1814" s="447">
        <v>44456</v>
      </c>
      <c r="B1814" s="55" t="str">
        <f t="shared" si="120"/>
        <v>SETIEMBRE</v>
      </c>
      <c r="C1814" s="55">
        <f t="shared" si="121"/>
        <v>38</v>
      </c>
      <c r="D1814" s="3" t="str">
        <f t="shared" si="122"/>
        <v>VIERNES</v>
      </c>
      <c r="E1814" s="427">
        <v>256676</v>
      </c>
      <c r="F1814" s="3" t="str">
        <f>IFERROR(VLOOKUP(E1814,BD!$L$2:$Q$66,2,0),0)</f>
        <v>TWO PACK CC PFM 3LX2 - RFCC</v>
      </c>
      <c r="G1814" s="424">
        <v>1200</v>
      </c>
      <c r="H1814" s="3">
        <f>+IFERROR(VLOOKUP(E1814,BD!$L$2:$Q$66,6,0),0)</f>
        <v>120</v>
      </c>
      <c r="I1814" s="96">
        <f>IFERROR(G1814*VLOOKUP($E1814,BD!$L$2:$Q$66,5,0),0)</f>
        <v>204.00000000000003</v>
      </c>
      <c r="J1814" s="3">
        <f t="shared" si="123"/>
        <v>2021</v>
      </c>
    </row>
    <row r="1815" spans="1:10" s="9" customFormat="1" hidden="1" x14ac:dyDescent="0.25">
      <c r="A1815" s="447">
        <v>44456</v>
      </c>
      <c r="B1815" s="55" t="str">
        <f t="shared" si="120"/>
        <v>SETIEMBRE</v>
      </c>
      <c r="C1815" s="55">
        <f t="shared" si="121"/>
        <v>38</v>
      </c>
      <c r="D1815" s="3" t="str">
        <f t="shared" si="122"/>
        <v>VIERNES</v>
      </c>
      <c r="E1815" s="427">
        <v>256488</v>
      </c>
      <c r="F1815" s="3" t="str">
        <f>IFERROR(VLOOKUP(E1815,BD!$L$2:$Q$66,2,0),0)</f>
        <v>INCA KOLA PET 3LX2 - RF</v>
      </c>
      <c r="G1815" s="424">
        <v>960</v>
      </c>
      <c r="H1815" s="3">
        <f>+IFERROR(VLOOKUP(E1815,BD!$L$2:$Q$66,6,0),0)</f>
        <v>120</v>
      </c>
      <c r="I1815" s="96">
        <f>IFERROR(G1815*VLOOKUP($E1815,BD!$L$2:$Q$66,5,0),0)</f>
        <v>163.20000000000002</v>
      </c>
      <c r="J1815" s="3">
        <f t="shared" si="123"/>
        <v>2021</v>
      </c>
    </row>
    <row r="1816" spans="1:10" s="9" customFormat="1" hidden="1" x14ac:dyDescent="0.25">
      <c r="A1816" s="447">
        <v>44456</v>
      </c>
      <c r="B1816" s="55" t="str">
        <f t="shared" si="120"/>
        <v>SETIEMBRE</v>
      </c>
      <c r="C1816" s="55">
        <f t="shared" si="121"/>
        <v>38</v>
      </c>
      <c r="D1816" s="3" t="str">
        <f t="shared" si="122"/>
        <v>VIERNES</v>
      </c>
      <c r="E1816" s="427">
        <v>251429</v>
      </c>
      <c r="F1816" s="3" t="str">
        <f>IFERROR(VLOOKUP(E1816,BD!$L$2:$Q$66,2,0),0)</f>
        <v>SAN LUIS SIN GAS PET2500X6 STICKER</v>
      </c>
      <c r="G1816" s="424">
        <v>96</v>
      </c>
      <c r="H1816" s="3">
        <f>+IFERROR(VLOOKUP(E1816,BD!$L$2:$Q$66,6,0),0)</f>
        <v>48</v>
      </c>
      <c r="I1816" s="96">
        <f>IFERROR(G1816*VLOOKUP($E1816,BD!$L$2:$Q$66,5,0),0)</f>
        <v>38.400000000000006</v>
      </c>
      <c r="J1816" s="3">
        <f t="shared" si="123"/>
        <v>2021</v>
      </c>
    </row>
    <row r="1817" spans="1:10" s="9" customFormat="1" hidden="1" x14ac:dyDescent="0.25">
      <c r="A1817" s="447">
        <v>44456</v>
      </c>
      <c r="B1817" s="55" t="str">
        <f t="shared" si="120"/>
        <v>SETIEMBRE</v>
      </c>
      <c r="C1817" s="55">
        <f t="shared" si="121"/>
        <v>38</v>
      </c>
      <c r="D1817" s="3" t="str">
        <f t="shared" si="122"/>
        <v>VIERNES</v>
      </c>
      <c r="E1817" s="427">
        <v>256737</v>
      </c>
      <c r="F1817" s="3" t="str">
        <f>IFERROR(VLOOKUP(E1817,BD!$L$2:$Q$66,2,0),0)</f>
        <v>INCA KOLA SA ALUMINIO-3 DISEÑOS 330MLX12</v>
      </c>
      <c r="G1817" s="424">
        <v>625</v>
      </c>
      <c r="H1817" s="3">
        <f>+IFERROR(VLOOKUP(E1817,BD!$L$2:$Q$66,6,0),0)</f>
        <v>420</v>
      </c>
      <c r="I1817" s="96">
        <f>IFERROR(G1817*VLOOKUP($E1817,BD!$L$2:$Q$66,5,0),0)</f>
        <v>262.5</v>
      </c>
      <c r="J1817" s="3">
        <f t="shared" si="123"/>
        <v>2021</v>
      </c>
    </row>
    <row r="1818" spans="1:10" s="9" customFormat="1" hidden="1" x14ac:dyDescent="0.25">
      <c r="A1818" s="447">
        <v>44456</v>
      </c>
      <c r="B1818" s="55" t="str">
        <f t="shared" si="120"/>
        <v>SETIEMBRE</v>
      </c>
      <c r="C1818" s="55">
        <f t="shared" si="121"/>
        <v>38</v>
      </c>
      <c r="D1818" s="3" t="str">
        <f t="shared" si="122"/>
        <v>VIERNES</v>
      </c>
      <c r="E1818" s="427">
        <v>256652</v>
      </c>
      <c r="F1818" s="3" t="str">
        <f>IFERROR(VLOOKUP(E1818,BD!$L$2:$Q$66,2,0),0)</f>
        <v>TRIPACK FT NAR+FT KI+SP PET 3L</v>
      </c>
      <c r="G1818" s="424">
        <v>720</v>
      </c>
      <c r="H1818" s="3">
        <f>+IFERROR(VLOOKUP(E1818,BD!$L$2:$Q$66,6,0),0)</f>
        <v>90</v>
      </c>
      <c r="I1818" s="96">
        <f>IFERROR(G1818*VLOOKUP($E1818,BD!$L$2:$Q$66,5,0),0)</f>
        <v>122.4</v>
      </c>
      <c r="J1818" s="3">
        <f t="shared" si="123"/>
        <v>2021</v>
      </c>
    </row>
    <row r="1819" spans="1:10" s="9" customFormat="1" hidden="1" x14ac:dyDescent="0.25">
      <c r="A1819" s="447">
        <v>44456</v>
      </c>
      <c r="B1819" s="55" t="str">
        <f t="shared" si="120"/>
        <v>SETIEMBRE</v>
      </c>
      <c r="C1819" s="55">
        <f t="shared" si="121"/>
        <v>38</v>
      </c>
      <c r="D1819" s="3" t="str">
        <f t="shared" si="122"/>
        <v>VIERNES</v>
      </c>
      <c r="E1819" s="427">
        <v>751315</v>
      </c>
      <c r="F1819" s="3" t="str">
        <f>IFERROR(VLOOKUP(E1819,BD!$L$2:$Q$66,2,0),0)</f>
        <v>MONSTER ENERGY 473MLX4</v>
      </c>
      <c r="G1819" s="424">
        <v>2100</v>
      </c>
      <c r="H1819" s="3">
        <f>+IFERROR(VLOOKUP(E1819,BD!$L$2:$Q$66,6,0),0)</f>
        <v>420</v>
      </c>
      <c r="I1819" s="96">
        <f>IFERROR(G1819*VLOOKUP($E1819,BD!$L$2:$Q$66,5,0),0)</f>
        <v>882</v>
      </c>
      <c r="J1819" s="3">
        <f t="shared" si="123"/>
        <v>2021</v>
      </c>
    </row>
    <row r="1820" spans="1:10" s="9" customFormat="1" hidden="1" x14ac:dyDescent="0.25">
      <c r="A1820" s="447">
        <v>44456</v>
      </c>
      <c r="B1820" s="55" t="str">
        <f t="shared" si="120"/>
        <v>SETIEMBRE</v>
      </c>
      <c r="C1820" s="55">
        <f t="shared" si="121"/>
        <v>38</v>
      </c>
      <c r="D1820" s="3" t="str">
        <f t="shared" si="122"/>
        <v>VIERNES</v>
      </c>
      <c r="E1820" s="427">
        <v>251406</v>
      </c>
      <c r="F1820" s="3" t="str">
        <f>IFERROR(VLOOKUP(E1820,BD!$L$2:$Q$66,2,0),0)</f>
        <v>COCA-COLA SIN AZUCAR PET 1.5LX2</v>
      </c>
      <c r="G1820" s="424">
        <v>648</v>
      </c>
      <c r="H1820" s="3">
        <f>+IFERROR(VLOOKUP(E1820,BD!$L$2:$Q$66,6,0),0)</f>
        <v>198</v>
      </c>
      <c r="I1820" s="96">
        <f>IFERROR(G1820*VLOOKUP($E1820,BD!$L$2:$Q$66,5,0),0)</f>
        <v>110.16000000000001</v>
      </c>
      <c r="J1820" s="3">
        <f t="shared" si="123"/>
        <v>2021</v>
      </c>
    </row>
    <row r="1821" spans="1:10" s="9" customFormat="1" hidden="1" x14ac:dyDescent="0.25">
      <c r="A1821" s="447">
        <v>44456</v>
      </c>
      <c r="B1821" s="55" t="str">
        <f t="shared" si="120"/>
        <v>SETIEMBRE</v>
      </c>
      <c r="C1821" s="55">
        <f t="shared" si="121"/>
        <v>38</v>
      </c>
      <c r="D1821" s="3" t="str">
        <f t="shared" si="122"/>
        <v>VIERNES</v>
      </c>
      <c r="E1821" s="427">
        <v>256678</v>
      </c>
      <c r="F1821" s="3" t="str">
        <f>IFERROR(VLOOKUP(E1821,BD!$L$2:$Q$66,2,0),0)</f>
        <v>TRIPACK (CC+IK)PFM+FT PET 3LX3 - RFNN</v>
      </c>
      <c r="G1821" s="424">
        <v>720</v>
      </c>
      <c r="H1821" s="3">
        <f>+IFERROR(VLOOKUP(E1821,BD!$L$2:$Q$66,6,0),0)</f>
        <v>90</v>
      </c>
      <c r="I1821" s="96">
        <f>IFERROR(G1821*VLOOKUP($E1821,BD!$L$2:$Q$66,5,0),0)</f>
        <v>122.4</v>
      </c>
      <c r="J1821" s="3">
        <f t="shared" si="123"/>
        <v>2021</v>
      </c>
    </row>
    <row r="1822" spans="1:10" s="9" customFormat="1" hidden="1" x14ac:dyDescent="0.25">
      <c r="A1822" s="447">
        <v>44456</v>
      </c>
      <c r="B1822" s="55" t="str">
        <f t="shared" si="120"/>
        <v>SETIEMBRE</v>
      </c>
      <c r="C1822" s="55">
        <f t="shared" si="121"/>
        <v>38</v>
      </c>
      <c r="D1822" s="3" t="str">
        <f t="shared" si="122"/>
        <v>VIERNES</v>
      </c>
      <c r="E1822" s="427">
        <v>256675</v>
      </c>
      <c r="F1822" s="3" t="str">
        <f>IFERROR(VLOOKUP(E1822,BD!$L$2:$Q$66,2,0),0)</f>
        <v>INCA KOLA PET 1.5LX2 RF</v>
      </c>
      <c r="G1822" s="424">
        <v>432</v>
      </c>
      <c r="H1822" s="3">
        <f>+IFERROR(VLOOKUP(E1822,BD!$L$2:$Q$66,6,0),0)</f>
        <v>198</v>
      </c>
      <c r="I1822" s="96">
        <f>IFERROR(G1822*VLOOKUP($E1822,BD!$L$2:$Q$66,5,0),0)</f>
        <v>73.440000000000012</v>
      </c>
      <c r="J1822" s="3">
        <f t="shared" si="123"/>
        <v>2021</v>
      </c>
    </row>
    <row r="1823" spans="1:10" s="9" customFormat="1" hidden="1" x14ac:dyDescent="0.25">
      <c r="A1823" s="447">
        <v>44456</v>
      </c>
      <c r="B1823" s="55" t="str">
        <f t="shared" si="120"/>
        <v>SETIEMBRE</v>
      </c>
      <c r="C1823" s="55">
        <f t="shared" si="121"/>
        <v>38</v>
      </c>
      <c r="D1823" s="3" t="str">
        <f t="shared" si="122"/>
        <v>VIERNES</v>
      </c>
      <c r="E1823" s="427">
        <v>251633</v>
      </c>
      <c r="F1823" s="3" t="str">
        <f>IFERROR(VLOOKUP(E1823,BD!$L$2:$Q$66,2,0),0)</f>
        <v>SAN LUIS CON GAS PET 625MLX6</v>
      </c>
      <c r="G1823" s="424">
        <v>180</v>
      </c>
      <c r="H1823" s="3">
        <f>+IFERROR(VLOOKUP(E1823,BD!$L$2:$Q$66,6,0),0)</f>
        <v>180</v>
      </c>
      <c r="I1823" s="96">
        <f>IFERROR(G1823*VLOOKUP($E1823,BD!$L$2:$Q$66,5,0),0)</f>
        <v>75.599999999999994</v>
      </c>
      <c r="J1823" s="3">
        <f t="shared" si="123"/>
        <v>2021</v>
      </c>
    </row>
    <row r="1824" spans="1:10" s="9" customFormat="1" hidden="1" x14ac:dyDescent="0.25">
      <c r="A1824" s="447">
        <v>44456</v>
      </c>
      <c r="B1824" s="55" t="str">
        <f t="shared" si="120"/>
        <v>SETIEMBRE</v>
      </c>
      <c r="C1824" s="55">
        <f t="shared" si="121"/>
        <v>38</v>
      </c>
      <c r="D1824" s="3" t="str">
        <f t="shared" si="122"/>
        <v>VIERNES</v>
      </c>
      <c r="E1824" s="427">
        <v>254762</v>
      </c>
      <c r="F1824" s="3" t="str">
        <f>IFERROR(VLOOKUP(E1824,BD!$L$2:$Q$66,2,0),0)</f>
        <v xml:space="preserve">SAN LUIS SPORT S/G 10 Lt x6 </v>
      </c>
      <c r="G1824" s="424">
        <v>112</v>
      </c>
      <c r="H1824" s="3">
        <f>+IFERROR(VLOOKUP(E1824,BD!$L$2:$Q$66,6,0),0)</f>
        <v>240</v>
      </c>
      <c r="I1824" s="96">
        <f>IFERROR(G1824*VLOOKUP($E1824,BD!$L$2:$Q$66,5,0),0)</f>
        <v>44.800000000000004</v>
      </c>
      <c r="J1824" s="3">
        <f t="shared" si="123"/>
        <v>2021</v>
      </c>
    </row>
    <row r="1825" spans="1:10" s="9" customFormat="1" hidden="1" x14ac:dyDescent="0.25">
      <c r="A1825" s="447">
        <v>44456</v>
      </c>
      <c r="B1825" s="55" t="str">
        <f t="shared" si="120"/>
        <v>SETIEMBRE</v>
      </c>
      <c r="C1825" s="55">
        <f t="shared" si="121"/>
        <v>38</v>
      </c>
      <c r="D1825" s="3" t="str">
        <f t="shared" si="122"/>
        <v>VIERNES</v>
      </c>
      <c r="E1825" s="427">
        <v>256383</v>
      </c>
      <c r="F1825" s="3" t="str">
        <f>IFERROR(VLOOKUP(E1825,BD!$L$2:$Q$66,2,0),0)</f>
        <v>COCA COLA VR 1.5LX8 - STICKER</v>
      </c>
      <c r="G1825" s="424">
        <v>90</v>
      </c>
      <c r="H1825" s="3">
        <f>+IFERROR(VLOOKUP(E1825,BD!$L$2:$Q$66,6,0),0)</f>
        <v>30</v>
      </c>
      <c r="I1825" s="96">
        <f>IFERROR(G1825*VLOOKUP($E1825,BD!$L$2:$Q$66,5,0),0)</f>
        <v>20.7</v>
      </c>
      <c r="J1825" s="3">
        <f t="shared" si="123"/>
        <v>2021</v>
      </c>
    </row>
    <row r="1826" spans="1:10" s="9" customFormat="1" hidden="1" x14ac:dyDescent="0.25">
      <c r="A1826" s="447">
        <v>44456</v>
      </c>
      <c r="B1826" s="55" t="str">
        <f t="shared" si="120"/>
        <v>SETIEMBRE</v>
      </c>
      <c r="C1826" s="55">
        <f t="shared" si="121"/>
        <v>38</v>
      </c>
      <c r="D1826" s="3" t="str">
        <f t="shared" si="122"/>
        <v>VIERNES</v>
      </c>
      <c r="E1826" s="427">
        <v>256695</v>
      </c>
      <c r="F1826" s="3" t="str">
        <f>IFERROR(VLOOKUP(E1826,BD!$L$2:$Q$66,2,0),0)</f>
        <v>POWERADE 3MORA+3FRUT PET 473MLX6</v>
      </c>
      <c r="G1826" s="424">
        <v>900</v>
      </c>
      <c r="H1826" s="3">
        <f>+IFERROR(VLOOKUP(E1826,BD!$L$2:$Q$66,6,0),0)</f>
        <v>225</v>
      </c>
      <c r="I1826" s="96">
        <f>IFERROR(G1826*VLOOKUP($E1826,BD!$L$2:$Q$66,5,0),0)</f>
        <v>378</v>
      </c>
      <c r="J1826" s="3">
        <f t="shared" si="123"/>
        <v>2021</v>
      </c>
    </row>
    <row r="1827" spans="1:10" s="9" customFormat="1" hidden="1" x14ac:dyDescent="0.25">
      <c r="A1827" s="447">
        <v>44456</v>
      </c>
      <c r="B1827" s="55" t="str">
        <f t="shared" si="120"/>
        <v>SETIEMBRE</v>
      </c>
      <c r="C1827" s="55">
        <f t="shared" si="121"/>
        <v>38</v>
      </c>
      <c r="D1827" s="3" t="str">
        <f t="shared" si="122"/>
        <v>VIERNES</v>
      </c>
      <c r="E1827" s="427">
        <v>256695</v>
      </c>
      <c r="F1827" s="3" t="str">
        <f>IFERROR(VLOOKUP(E1827,BD!$L$2:$Q$66,2,0),0)</f>
        <v>POWERADE 3MORA+3FRUT PET 473MLX6</v>
      </c>
      <c r="G1827" s="424">
        <v>450</v>
      </c>
      <c r="H1827" s="3">
        <f>+IFERROR(VLOOKUP(E1827,BD!$L$2:$Q$66,6,0),0)</f>
        <v>225</v>
      </c>
      <c r="I1827" s="96">
        <f>IFERROR(G1827*VLOOKUP($E1827,BD!$L$2:$Q$66,5,0),0)</f>
        <v>189</v>
      </c>
      <c r="J1827" s="3">
        <f t="shared" si="123"/>
        <v>2021</v>
      </c>
    </row>
    <row r="1828" spans="1:10" s="9" customFormat="1" hidden="1" x14ac:dyDescent="0.25">
      <c r="A1828" s="447">
        <v>44456</v>
      </c>
      <c r="B1828" s="55" t="str">
        <f t="shared" si="120"/>
        <v>SETIEMBRE</v>
      </c>
      <c r="C1828" s="55">
        <f t="shared" si="121"/>
        <v>38</v>
      </c>
      <c r="D1828" s="3" t="str">
        <f t="shared" si="122"/>
        <v>VIERNES</v>
      </c>
      <c r="E1828" s="427">
        <v>256737</v>
      </c>
      <c r="F1828" s="3" t="str">
        <f>IFERROR(VLOOKUP(E1828,BD!$L$2:$Q$66,2,0),0)</f>
        <v>INCA KOLA SA ALUMINIO-3 DISEÑOS 330MLX12</v>
      </c>
      <c r="G1828" s="424">
        <v>500</v>
      </c>
      <c r="H1828" s="3">
        <f>+IFERROR(VLOOKUP(E1828,BD!$L$2:$Q$66,6,0),0)</f>
        <v>420</v>
      </c>
      <c r="I1828" s="96">
        <f>IFERROR(G1828*VLOOKUP($E1828,BD!$L$2:$Q$66,5,0),0)</f>
        <v>210</v>
      </c>
      <c r="J1828" s="3">
        <f t="shared" si="123"/>
        <v>2021</v>
      </c>
    </row>
    <row r="1829" spans="1:10" s="9" customFormat="1" hidden="1" x14ac:dyDescent="0.25">
      <c r="A1829" s="447">
        <v>44456</v>
      </c>
      <c r="B1829" s="55" t="str">
        <f t="shared" si="120"/>
        <v>SETIEMBRE</v>
      </c>
      <c r="C1829" s="55">
        <f t="shared" si="121"/>
        <v>38</v>
      </c>
      <c r="D1829" s="3" t="str">
        <f t="shared" si="122"/>
        <v>VIERNES</v>
      </c>
      <c r="E1829" s="427">
        <v>256737</v>
      </c>
      <c r="F1829" s="3" t="str">
        <f>IFERROR(VLOOKUP(E1829,BD!$L$2:$Q$66,2,0),0)</f>
        <v>INCA KOLA SA ALUMINIO-3 DISEÑOS 330MLX12</v>
      </c>
      <c r="G1829" s="424">
        <v>500</v>
      </c>
      <c r="H1829" s="3">
        <f>+IFERROR(VLOOKUP(E1829,BD!$L$2:$Q$66,6,0),0)</f>
        <v>420</v>
      </c>
      <c r="I1829" s="96">
        <f>IFERROR(G1829*VLOOKUP($E1829,BD!$L$2:$Q$66,5,0),0)</f>
        <v>210</v>
      </c>
      <c r="J1829" s="3">
        <f t="shared" si="123"/>
        <v>2021</v>
      </c>
    </row>
    <row r="1830" spans="1:10" s="9" customFormat="1" hidden="1" x14ac:dyDescent="0.25">
      <c r="A1830" s="447">
        <v>44456</v>
      </c>
      <c r="B1830" s="55" t="str">
        <f t="shared" si="120"/>
        <v>SETIEMBRE</v>
      </c>
      <c r="C1830" s="55">
        <f t="shared" si="121"/>
        <v>38</v>
      </c>
      <c r="D1830" s="3" t="str">
        <f t="shared" si="122"/>
        <v>VIERNES</v>
      </c>
      <c r="E1830" s="427">
        <v>256721</v>
      </c>
      <c r="F1830" s="3" t="str">
        <f>IFERROR(VLOOKUP(E1830,BD!$L$2:$Q$66,2,0),0)</f>
        <v>SPRITE PET 500MLX6 BRANDEADO MOD</v>
      </c>
      <c r="G1830" s="424">
        <v>500</v>
      </c>
      <c r="H1830" s="3">
        <f>+IFERROR(VLOOKUP(E1830,BD!$L$2:$Q$66,6,0),0)</f>
        <v>420</v>
      </c>
      <c r="I1830" s="96">
        <f>IFERROR(G1830*VLOOKUP($E1830,BD!$L$2:$Q$66,5,0),0)</f>
        <v>210</v>
      </c>
      <c r="J1830" s="3">
        <f t="shared" si="123"/>
        <v>2021</v>
      </c>
    </row>
    <row r="1831" spans="1:10" s="9" customFormat="1" hidden="1" x14ac:dyDescent="0.25">
      <c r="A1831" s="447">
        <v>44456</v>
      </c>
      <c r="B1831" s="55" t="str">
        <f t="shared" si="120"/>
        <v>SETIEMBRE</v>
      </c>
      <c r="C1831" s="55">
        <f t="shared" si="121"/>
        <v>38</v>
      </c>
      <c r="D1831" s="3" t="str">
        <f t="shared" si="122"/>
        <v>VIERNES</v>
      </c>
      <c r="E1831" s="427">
        <v>256727</v>
      </c>
      <c r="F1831" s="3" t="str">
        <f>IFERROR(VLOOKUP(E1831,BD!$L$2:$Q$66,2,0),0)</f>
        <v>INCA KOLA POWER (CAMU+MACA) PET 410MLX12</v>
      </c>
      <c r="G1831" s="424">
        <v>260</v>
      </c>
      <c r="H1831" s="3">
        <f>+IFERROR(VLOOKUP(E1831,BD!$L$2:$Q$66,6,0),0)</f>
        <v>420</v>
      </c>
      <c r="I1831" s="96">
        <f>IFERROR(G1831*VLOOKUP($E1831,BD!$L$2:$Q$66,5,0),0)</f>
        <v>312</v>
      </c>
      <c r="J1831" s="3">
        <f t="shared" si="123"/>
        <v>2021</v>
      </c>
    </row>
    <row r="1832" spans="1:10" s="9" customFormat="1" hidden="1" x14ac:dyDescent="0.25">
      <c r="A1832" s="447">
        <v>44457</v>
      </c>
      <c r="B1832" s="55" t="str">
        <f t="shared" si="120"/>
        <v>SETIEMBRE</v>
      </c>
      <c r="C1832" s="55">
        <f t="shared" si="121"/>
        <v>39</v>
      </c>
      <c r="D1832" s="3" t="str">
        <f t="shared" si="122"/>
        <v>SÁBADO</v>
      </c>
      <c r="E1832" s="427">
        <v>256727</v>
      </c>
      <c r="F1832" s="3" t="str">
        <f>IFERROR(VLOOKUP(E1832,BD!$L$2:$Q$66,2,0),0)</f>
        <v>INCA KOLA POWER (CAMU+MACA) PET 410MLX12</v>
      </c>
      <c r="G1832" s="424">
        <v>1430</v>
      </c>
      <c r="H1832" s="3">
        <f>+IFERROR(VLOOKUP(E1832,BD!$L$2:$Q$66,6,0),0)</f>
        <v>420</v>
      </c>
      <c r="I1832" s="96">
        <f>IFERROR(G1832*VLOOKUP($E1832,BD!$L$2:$Q$66,5,0),0)</f>
        <v>1716</v>
      </c>
      <c r="J1832" s="3">
        <f t="shared" si="123"/>
        <v>2021</v>
      </c>
    </row>
    <row r="1833" spans="1:10" s="9" customFormat="1" hidden="1" x14ac:dyDescent="0.25">
      <c r="A1833" s="447">
        <v>44457</v>
      </c>
      <c r="B1833" s="55" t="str">
        <f t="shared" si="120"/>
        <v>SETIEMBRE</v>
      </c>
      <c r="C1833" s="55">
        <f t="shared" si="121"/>
        <v>39</v>
      </c>
      <c r="D1833" s="3" t="str">
        <f t="shared" si="122"/>
        <v>SÁBADO</v>
      </c>
      <c r="E1833" s="427">
        <v>256383</v>
      </c>
      <c r="F1833" s="3" t="str">
        <f>IFERROR(VLOOKUP(E1833,BD!$L$2:$Q$66,2,0),0)</f>
        <v>COCA COLA VR 1.5LX8 - STICKER</v>
      </c>
      <c r="G1833" s="424">
        <v>90</v>
      </c>
      <c r="H1833" s="3">
        <f>+IFERROR(VLOOKUP(E1833,BD!$L$2:$Q$66,6,0),0)</f>
        <v>30</v>
      </c>
      <c r="I1833" s="96">
        <f>IFERROR(G1833*VLOOKUP($E1833,BD!$L$2:$Q$66,5,0),0)</f>
        <v>20.7</v>
      </c>
      <c r="J1833" s="3">
        <f t="shared" si="123"/>
        <v>2021</v>
      </c>
    </row>
    <row r="1834" spans="1:10" s="9" customFormat="1" hidden="1" x14ac:dyDescent="0.25">
      <c r="A1834" s="447">
        <v>44457</v>
      </c>
      <c r="B1834" s="55" t="str">
        <f t="shared" si="120"/>
        <v>SETIEMBRE</v>
      </c>
      <c r="C1834" s="55">
        <f t="shared" si="121"/>
        <v>39</v>
      </c>
      <c r="D1834" s="3" t="str">
        <f t="shared" si="122"/>
        <v>SÁBADO</v>
      </c>
      <c r="E1834" s="427">
        <v>256380</v>
      </c>
      <c r="F1834" s="3" t="str">
        <f>IFERROR(VLOOKUP(E1834,BD!$L$2:$Q$66,2,0),0)</f>
        <v>INCA KOLA VR 296MLX24 - STICKER</v>
      </c>
      <c r="G1834" s="424">
        <v>40</v>
      </c>
      <c r="H1834" s="3">
        <f>+IFERROR(VLOOKUP(E1834,BD!$L$2:$Q$66,6,0),0)</f>
        <v>40</v>
      </c>
      <c r="I1834" s="96">
        <f>IFERROR(G1834*VLOOKUP($E1834,BD!$L$2:$Q$66,5,0),0)</f>
        <v>9.2000000000000011</v>
      </c>
      <c r="J1834" s="3">
        <f t="shared" si="123"/>
        <v>2021</v>
      </c>
    </row>
    <row r="1835" spans="1:10" s="9" customFormat="1" hidden="1" x14ac:dyDescent="0.25">
      <c r="A1835" s="447">
        <v>44457</v>
      </c>
      <c r="B1835" s="55" t="str">
        <f t="shared" si="120"/>
        <v>SETIEMBRE</v>
      </c>
      <c r="C1835" s="55">
        <f t="shared" si="121"/>
        <v>39</v>
      </c>
      <c r="D1835" s="3" t="str">
        <f t="shared" si="122"/>
        <v>SÁBADO</v>
      </c>
      <c r="E1835" s="427">
        <v>251429</v>
      </c>
      <c r="F1835" s="3" t="str">
        <f>IFERROR(VLOOKUP(E1835,BD!$L$2:$Q$66,2,0),0)</f>
        <v>SAN LUIS SIN GAS PET2500X6 STICKER</v>
      </c>
      <c r="G1835" s="424">
        <v>816</v>
      </c>
      <c r="H1835" s="3">
        <f>+IFERROR(VLOOKUP(E1835,BD!$L$2:$Q$66,6,0),0)</f>
        <v>48</v>
      </c>
      <c r="I1835" s="96">
        <f>IFERROR(G1835*VLOOKUP($E1835,BD!$L$2:$Q$66,5,0),0)</f>
        <v>326.40000000000003</v>
      </c>
      <c r="J1835" s="3">
        <f t="shared" si="123"/>
        <v>2021</v>
      </c>
    </row>
    <row r="1836" spans="1:10" s="9" customFormat="1" hidden="1" x14ac:dyDescent="0.25">
      <c r="A1836" s="447">
        <v>44457</v>
      </c>
      <c r="B1836" s="55" t="str">
        <f t="shared" si="120"/>
        <v>SETIEMBRE</v>
      </c>
      <c r="C1836" s="55">
        <f t="shared" si="121"/>
        <v>39</v>
      </c>
      <c r="D1836" s="3" t="str">
        <f t="shared" si="122"/>
        <v>SÁBADO</v>
      </c>
      <c r="E1836" s="427">
        <v>751315</v>
      </c>
      <c r="F1836" s="3" t="str">
        <f>IFERROR(VLOOKUP(E1836,BD!$L$2:$Q$66,2,0),0)</f>
        <v>MONSTER ENERGY 473MLX4</v>
      </c>
      <c r="G1836" s="424">
        <v>1260</v>
      </c>
      <c r="H1836" s="3">
        <f>+IFERROR(VLOOKUP(E1836,BD!$L$2:$Q$66,6,0),0)</f>
        <v>420</v>
      </c>
      <c r="I1836" s="96">
        <f>IFERROR(G1836*VLOOKUP($E1836,BD!$L$2:$Q$66,5,0),0)</f>
        <v>529.19999999999993</v>
      </c>
      <c r="J1836" s="3">
        <f t="shared" si="123"/>
        <v>2021</v>
      </c>
    </row>
    <row r="1837" spans="1:10" s="9" customFormat="1" hidden="1" x14ac:dyDescent="0.25">
      <c r="A1837" s="447">
        <v>44457</v>
      </c>
      <c r="B1837" s="55" t="str">
        <f t="shared" si="120"/>
        <v>SETIEMBRE</v>
      </c>
      <c r="C1837" s="55">
        <f t="shared" si="121"/>
        <v>39</v>
      </c>
      <c r="D1837" s="3" t="str">
        <f t="shared" si="122"/>
        <v>SÁBADO</v>
      </c>
      <c r="E1837" s="427">
        <v>251633</v>
      </c>
      <c r="F1837" s="3" t="str">
        <f>IFERROR(VLOOKUP(E1837,BD!$L$2:$Q$66,2,0),0)</f>
        <v>SAN LUIS CON GAS PET 625MLX6</v>
      </c>
      <c r="G1837" s="424">
        <v>900</v>
      </c>
      <c r="H1837" s="3">
        <f>+IFERROR(VLOOKUP(E1837,BD!$L$2:$Q$66,6,0),0)</f>
        <v>180</v>
      </c>
      <c r="I1837" s="96">
        <f>IFERROR(G1837*VLOOKUP($E1837,BD!$L$2:$Q$66,5,0),0)</f>
        <v>378</v>
      </c>
      <c r="J1837" s="3">
        <f t="shared" si="123"/>
        <v>2021</v>
      </c>
    </row>
    <row r="1838" spans="1:10" s="9" customFormat="1" hidden="1" x14ac:dyDescent="0.25">
      <c r="A1838" s="447">
        <v>44457</v>
      </c>
      <c r="B1838" s="55" t="str">
        <f t="shared" si="120"/>
        <v>SETIEMBRE</v>
      </c>
      <c r="C1838" s="55">
        <f t="shared" si="121"/>
        <v>39</v>
      </c>
      <c r="D1838" s="3" t="str">
        <f t="shared" si="122"/>
        <v>SÁBADO</v>
      </c>
      <c r="E1838" s="427">
        <v>251406</v>
      </c>
      <c r="F1838" s="3" t="str">
        <f>IFERROR(VLOOKUP(E1838,BD!$L$2:$Q$66,2,0),0)</f>
        <v>COCA-COLA SIN AZUCAR PET 1.5LX2</v>
      </c>
      <c r="G1838" s="424">
        <v>1080</v>
      </c>
      <c r="H1838" s="3">
        <f>+IFERROR(VLOOKUP(E1838,BD!$L$2:$Q$66,6,0),0)</f>
        <v>198</v>
      </c>
      <c r="I1838" s="96">
        <f>IFERROR(G1838*VLOOKUP($E1838,BD!$L$2:$Q$66,5,0),0)</f>
        <v>183.60000000000002</v>
      </c>
      <c r="J1838" s="3">
        <f t="shared" si="123"/>
        <v>2021</v>
      </c>
    </row>
    <row r="1839" spans="1:10" s="9" customFormat="1" hidden="1" x14ac:dyDescent="0.25">
      <c r="A1839" s="447">
        <v>44457</v>
      </c>
      <c r="B1839" s="55" t="str">
        <f t="shared" si="120"/>
        <v>SETIEMBRE</v>
      </c>
      <c r="C1839" s="55">
        <f t="shared" si="121"/>
        <v>39</v>
      </c>
      <c r="D1839" s="3" t="str">
        <f t="shared" si="122"/>
        <v>SÁBADO</v>
      </c>
      <c r="E1839" s="427">
        <v>254853</v>
      </c>
      <c r="F1839" s="3" t="str">
        <f>IFERROR(VLOOKUP(E1839,BD!$L$2:$Q$66,2,0),0)</f>
        <v>INCA KOLA SIN AZUCAR PET 1.5LX2</v>
      </c>
      <c r="G1839" s="424">
        <v>1080</v>
      </c>
      <c r="H1839" s="3">
        <f>+IFERROR(VLOOKUP(E1839,BD!$L$2:$Q$66,6,0),0)</f>
        <v>198</v>
      </c>
      <c r="I1839" s="96">
        <f>IFERROR(G1839*VLOOKUP($E1839,BD!$L$2:$Q$66,5,0),0)</f>
        <v>183.60000000000002</v>
      </c>
      <c r="J1839" s="3">
        <f t="shared" si="123"/>
        <v>2021</v>
      </c>
    </row>
    <row r="1840" spans="1:10" s="9" customFormat="1" hidden="1" x14ac:dyDescent="0.25">
      <c r="A1840" s="447">
        <v>44457</v>
      </c>
      <c r="B1840" s="55" t="str">
        <f t="shared" si="120"/>
        <v>SETIEMBRE</v>
      </c>
      <c r="C1840" s="55">
        <f t="shared" si="121"/>
        <v>39</v>
      </c>
      <c r="D1840" s="3" t="str">
        <f t="shared" si="122"/>
        <v>SÁBADO</v>
      </c>
      <c r="E1840" s="427">
        <v>256617</v>
      </c>
      <c r="F1840" s="3" t="str">
        <f>IFERROR(VLOOKUP(E1840,BD!$L$2:$Q$66,2,0),0)</f>
        <v>TWO PACK SCHWEPPES GINGER ALE PET 1.5LX2</v>
      </c>
      <c r="G1840" s="424">
        <v>198</v>
      </c>
      <c r="H1840" s="3">
        <f>+IFERROR(VLOOKUP(E1840,BD!$L$2:$Q$66,6,0),0)</f>
        <v>198</v>
      </c>
      <c r="I1840" s="96">
        <f>IFERROR(G1840*VLOOKUP($E1840,BD!$L$2:$Q$66,5,0),0)</f>
        <v>33.660000000000004</v>
      </c>
      <c r="J1840" s="3">
        <f t="shared" si="123"/>
        <v>2021</v>
      </c>
    </row>
    <row r="1841" spans="1:10" s="9" customFormat="1" hidden="1" x14ac:dyDescent="0.25">
      <c r="A1841" s="447">
        <v>44457</v>
      </c>
      <c r="B1841" s="55" t="str">
        <f t="shared" si="120"/>
        <v>SETIEMBRE</v>
      </c>
      <c r="C1841" s="55">
        <f t="shared" si="121"/>
        <v>39</v>
      </c>
      <c r="D1841" s="3" t="str">
        <f t="shared" si="122"/>
        <v>SÁBADO</v>
      </c>
      <c r="E1841" s="427">
        <v>256666</v>
      </c>
      <c r="F1841" s="3" t="str">
        <f>IFERROR(VLOOKUP(E1841,BD!$L$2:$Q$66,2,0),0)</f>
        <v>COCA-COLA PET 2.25LX2 RF</v>
      </c>
      <c r="G1841" s="424">
        <v>324</v>
      </c>
      <c r="H1841" s="3">
        <f>+IFERROR(VLOOKUP(E1841,BD!$L$2:$Q$66,6,0),0)</f>
        <v>162</v>
      </c>
      <c r="I1841" s="96">
        <f>IFERROR(G1841*VLOOKUP($E1841,BD!$L$2:$Q$66,5,0),0)</f>
        <v>55.080000000000005</v>
      </c>
      <c r="J1841" s="3">
        <f t="shared" si="123"/>
        <v>2021</v>
      </c>
    </row>
    <row r="1842" spans="1:10" s="9" customFormat="1" hidden="1" x14ac:dyDescent="0.25">
      <c r="A1842" s="447">
        <v>44457</v>
      </c>
      <c r="B1842" s="55" t="str">
        <f t="shared" si="120"/>
        <v>SETIEMBRE</v>
      </c>
      <c r="C1842" s="55">
        <f t="shared" si="121"/>
        <v>39</v>
      </c>
      <c r="D1842" s="3" t="str">
        <f t="shared" si="122"/>
        <v>SÁBADO</v>
      </c>
      <c r="E1842" s="427">
        <v>256601</v>
      </c>
      <c r="F1842" s="3" t="str">
        <f>IFERROR(VLOOKUP(E1842,BD!$L$2:$Q$66,2,0),0)</f>
        <v>INCA KOLA PET 2.25LX2 RF</v>
      </c>
      <c r="G1842" s="424">
        <v>162</v>
      </c>
      <c r="H1842" s="3">
        <f>+IFERROR(VLOOKUP(E1842,BD!$L$2:$Q$66,6,0),0)</f>
        <v>162</v>
      </c>
      <c r="I1842" s="96">
        <f>IFERROR(G1842*VLOOKUP($E1842,BD!$L$2:$Q$66,5,0),0)</f>
        <v>27.540000000000003</v>
      </c>
      <c r="J1842" s="3">
        <f t="shared" si="123"/>
        <v>2021</v>
      </c>
    </row>
    <row r="1843" spans="1:10" s="9" customFormat="1" hidden="1" x14ac:dyDescent="0.25">
      <c r="A1843" s="447">
        <v>44457</v>
      </c>
      <c r="B1843" s="55" t="str">
        <f t="shared" si="120"/>
        <v>SETIEMBRE</v>
      </c>
      <c r="C1843" s="55">
        <f t="shared" si="121"/>
        <v>39</v>
      </c>
      <c r="D1843" s="3" t="str">
        <f t="shared" si="122"/>
        <v>SÁBADO</v>
      </c>
      <c r="E1843" s="427">
        <v>256488</v>
      </c>
      <c r="F1843" s="3" t="str">
        <f>IFERROR(VLOOKUP(E1843,BD!$L$2:$Q$66,2,0),0)</f>
        <v>INCA KOLA PET 3LX2 - RF</v>
      </c>
      <c r="G1843" s="424">
        <v>960</v>
      </c>
      <c r="H1843" s="3">
        <f>+IFERROR(VLOOKUP(E1843,BD!$L$2:$Q$66,6,0),0)</f>
        <v>120</v>
      </c>
      <c r="I1843" s="96">
        <f>IFERROR(G1843*VLOOKUP($E1843,BD!$L$2:$Q$66,5,0),0)</f>
        <v>163.20000000000002</v>
      </c>
      <c r="J1843" s="3">
        <f t="shared" si="123"/>
        <v>2021</v>
      </c>
    </row>
    <row r="1844" spans="1:10" s="9" customFormat="1" hidden="1" x14ac:dyDescent="0.25">
      <c r="A1844" s="447">
        <v>44457</v>
      </c>
      <c r="B1844" s="55" t="str">
        <f t="shared" si="120"/>
        <v>SETIEMBRE</v>
      </c>
      <c r="C1844" s="55">
        <f t="shared" si="121"/>
        <v>39</v>
      </c>
      <c r="D1844" s="3" t="str">
        <f t="shared" si="122"/>
        <v>SÁBADO</v>
      </c>
      <c r="E1844" s="427">
        <v>256652</v>
      </c>
      <c r="F1844" s="3" t="str">
        <f>IFERROR(VLOOKUP(E1844,BD!$L$2:$Q$66,2,0),0)</f>
        <v>TRIPACK FT NAR+FT KI+SP PET 3L</v>
      </c>
      <c r="G1844" s="424">
        <v>90</v>
      </c>
      <c r="H1844" s="3">
        <f>+IFERROR(VLOOKUP(E1844,BD!$L$2:$Q$66,6,0),0)</f>
        <v>90</v>
      </c>
      <c r="I1844" s="96">
        <f>IFERROR(G1844*VLOOKUP($E1844,BD!$L$2:$Q$66,5,0),0)</f>
        <v>15.3</v>
      </c>
      <c r="J1844" s="3">
        <f t="shared" si="123"/>
        <v>2021</v>
      </c>
    </row>
    <row r="1845" spans="1:10" s="9" customFormat="1" hidden="1" x14ac:dyDescent="0.25">
      <c r="A1845" s="447">
        <v>44457</v>
      </c>
      <c r="B1845" s="55" t="str">
        <f t="shared" si="120"/>
        <v>SETIEMBRE</v>
      </c>
      <c r="C1845" s="55">
        <f t="shared" si="121"/>
        <v>39</v>
      </c>
      <c r="D1845" s="3" t="str">
        <f t="shared" si="122"/>
        <v>SÁBADO</v>
      </c>
      <c r="E1845" s="427">
        <v>256677</v>
      </c>
      <c r="F1845" s="3" t="str">
        <f>IFERROR(VLOOKUP(E1845,BD!$L$2:$Q$66,2,0),0)</f>
        <v>TWO PACK CC + IK PFM 3LX2 - RFNN</v>
      </c>
      <c r="G1845" s="424">
        <v>1200</v>
      </c>
      <c r="H1845" s="3">
        <f>+IFERROR(VLOOKUP(E1845,BD!$L$2:$Q$66,6,0),0)</f>
        <v>120</v>
      </c>
      <c r="I1845" s="96">
        <f>IFERROR(G1845*VLOOKUP($E1845,BD!$L$2:$Q$66,5,0),0)</f>
        <v>204.00000000000003</v>
      </c>
      <c r="J1845" s="3">
        <f t="shared" si="123"/>
        <v>2021</v>
      </c>
    </row>
    <row r="1846" spans="1:10" s="9" customFormat="1" hidden="1" x14ac:dyDescent="0.25">
      <c r="A1846" s="447">
        <v>44457</v>
      </c>
      <c r="B1846" s="55" t="str">
        <f t="shared" si="120"/>
        <v>SETIEMBRE</v>
      </c>
      <c r="C1846" s="55">
        <f t="shared" si="121"/>
        <v>39</v>
      </c>
      <c r="D1846" s="3" t="str">
        <f t="shared" si="122"/>
        <v>SÁBADO</v>
      </c>
      <c r="E1846" s="427">
        <v>256678</v>
      </c>
      <c r="F1846" s="3" t="str">
        <f>IFERROR(VLOOKUP(E1846,BD!$L$2:$Q$66,2,0),0)</f>
        <v>TRIPACK (CC+IK)PFM+FT PET 3LX3 - RFNN</v>
      </c>
      <c r="G1846" s="424">
        <v>2160</v>
      </c>
      <c r="H1846" s="3">
        <f>+IFERROR(VLOOKUP(E1846,BD!$L$2:$Q$66,6,0),0)</f>
        <v>90</v>
      </c>
      <c r="I1846" s="96">
        <f>IFERROR(G1846*VLOOKUP($E1846,BD!$L$2:$Q$66,5,0),0)</f>
        <v>367.20000000000005</v>
      </c>
      <c r="J1846" s="3">
        <f t="shared" si="123"/>
        <v>2021</v>
      </c>
    </row>
    <row r="1847" spans="1:10" s="9" customFormat="1" hidden="1" x14ac:dyDescent="0.25">
      <c r="A1847" s="447">
        <v>44457</v>
      </c>
      <c r="B1847" s="55" t="str">
        <f t="shared" si="120"/>
        <v>SETIEMBRE</v>
      </c>
      <c r="C1847" s="55">
        <f t="shared" si="121"/>
        <v>39</v>
      </c>
      <c r="D1847" s="3" t="str">
        <f t="shared" si="122"/>
        <v>SÁBADO</v>
      </c>
      <c r="E1847" s="427">
        <v>256695</v>
      </c>
      <c r="F1847" s="3" t="str">
        <f>IFERROR(VLOOKUP(E1847,BD!$L$2:$Q$66,2,0),0)</f>
        <v>POWERADE 3MORA+3FRUT PET 473MLX6</v>
      </c>
      <c r="G1847" s="424">
        <v>1350</v>
      </c>
      <c r="H1847" s="3">
        <f>+IFERROR(VLOOKUP(E1847,BD!$L$2:$Q$66,6,0),0)</f>
        <v>225</v>
      </c>
      <c r="I1847" s="96">
        <f>IFERROR(G1847*VLOOKUP($E1847,BD!$L$2:$Q$66,5,0),0)</f>
        <v>567</v>
      </c>
      <c r="J1847" s="3">
        <f t="shared" si="123"/>
        <v>2021</v>
      </c>
    </row>
    <row r="1848" spans="1:10" s="9" customFormat="1" hidden="1" x14ac:dyDescent="0.25">
      <c r="A1848" s="447">
        <v>44457</v>
      </c>
      <c r="B1848" s="55" t="str">
        <f t="shared" si="120"/>
        <v>SETIEMBRE</v>
      </c>
      <c r="C1848" s="55">
        <f t="shared" si="121"/>
        <v>39</v>
      </c>
      <c r="D1848" s="3" t="str">
        <f t="shared" si="122"/>
        <v>SÁBADO</v>
      </c>
      <c r="E1848" s="427">
        <v>256709</v>
      </c>
      <c r="F1848" s="3" t="str">
        <f>IFERROR(VLOOKUP(E1848,BD!$L$2:$Q$66,2,0),0)</f>
        <v>POWERADE ION4 MORA AZ PET473X6 MOD(STCK)</v>
      </c>
      <c r="G1848" s="424">
        <v>225</v>
      </c>
      <c r="H1848" s="3">
        <f>+IFERROR(VLOOKUP(E1848,BD!$L$2:$Q$66,6,0),0)</f>
        <v>225</v>
      </c>
      <c r="I1848" s="96">
        <f>IFERROR(G1848*VLOOKUP($E1848,BD!$L$2:$Q$66,5,0),0)</f>
        <v>90</v>
      </c>
      <c r="J1848" s="3">
        <f t="shared" si="123"/>
        <v>2021</v>
      </c>
    </row>
    <row r="1849" spans="1:10" s="9" customFormat="1" hidden="1" x14ac:dyDescent="0.25">
      <c r="A1849" s="447">
        <v>44457</v>
      </c>
      <c r="B1849" s="55" t="str">
        <f t="shared" si="120"/>
        <v>SETIEMBRE</v>
      </c>
      <c r="C1849" s="55">
        <f t="shared" si="121"/>
        <v>39</v>
      </c>
      <c r="D1849" s="3" t="str">
        <f t="shared" si="122"/>
        <v>SÁBADO</v>
      </c>
      <c r="E1849" s="427">
        <v>256676</v>
      </c>
      <c r="F1849" s="3" t="str">
        <f>IFERROR(VLOOKUP(E1849,BD!$L$2:$Q$66,2,0),0)</f>
        <v>TWO PACK CC PFM 3LX2 - RFCC</v>
      </c>
      <c r="G1849" s="424">
        <v>240</v>
      </c>
      <c r="H1849" s="3">
        <f>+IFERROR(VLOOKUP(E1849,BD!$L$2:$Q$66,6,0),0)</f>
        <v>120</v>
      </c>
      <c r="I1849" s="96">
        <f>IFERROR(G1849*VLOOKUP($E1849,BD!$L$2:$Q$66,5,0),0)</f>
        <v>40.800000000000004</v>
      </c>
      <c r="J1849" s="3">
        <f t="shared" si="123"/>
        <v>2021</v>
      </c>
    </row>
    <row r="1850" spans="1:10" s="9" customFormat="1" hidden="1" x14ac:dyDescent="0.25">
      <c r="A1850" s="447">
        <v>44457</v>
      </c>
      <c r="B1850" s="55" t="str">
        <f t="shared" si="120"/>
        <v>SETIEMBRE</v>
      </c>
      <c r="C1850" s="55">
        <f t="shared" si="121"/>
        <v>39</v>
      </c>
      <c r="D1850" s="3" t="str">
        <f t="shared" si="122"/>
        <v>SÁBADO</v>
      </c>
      <c r="E1850" s="427">
        <v>256720</v>
      </c>
      <c r="F1850" s="3" t="str">
        <f>IFERROR(VLOOKUP(E1850,BD!$L$2:$Q$66,2,0),0)</f>
        <v>FANTA NARANJA PET 500MLX6 BRANDEADO MOD</v>
      </c>
      <c r="G1850" s="424">
        <v>250</v>
      </c>
      <c r="H1850" s="3">
        <f>+IFERROR(VLOOKUP(E1850,BD!$L$2:$Q$66,6,0),0)</f>
        <v>420</v>
      </c>
      <c r="I1850" s="96">
        <f>IFERROR(G1850*VLOOKUP($E1850,BD!$L$2:$Q$66,5,0),0)</f>
        <v>105</v>
      </c>
      <c r="J1850" s="3">
        <f t="shared" si="123"/>
        <v>2021</v>
      </c>
    </row>
    <row r="1851" spans="1:10" s="9" customFormat="1" hidden="1" x14ac:dyDescent="0.25">
      <c r="A1851" s="447">
        <v>44459</v>
      </c>
      <c r="B1851" s="55" t="str">
        <f t="shared" ref="B1851:B1914" si="124">UPPER(TEXT(A1851,"MMMM"))</f>
        <v>SETIEMBRE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7">
        <v>256666</v>
      </c>
      <c r="F1851" s="3" t="str">
        <f>IFERROR(VLOOKUP(E1851,BD!$L$2:$Q$66,2,0),0)</f>
        <v>COCA-COLA PET 2.25LX2 RF</v>
      </c>
      <c r="G1851" s="424">
        <v>648</v>
      </c>
      <c r="H1851" s="3">
        <f>+IFERROR(VLOOKUP(E1851,BD!$L$2:$Q$66,6,0),0)</f>
        <v>162</v>
      </c>
      <c r="I1851" s="96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hidden="1" x14ac:dyDescent="0.25">
      <c r="A1852" s="447">
        <v>44459</v>
      </c>
      <c r="B1852" s="55" t="str">
        <f t="shared" si="124"/>
        <v>SETIEMBRE</v>
      </c>
      <c r="C1852" s="55">
        <f t="shared" si="125"/>
        <v>39</v>
      </c>
      <c r="D1852" s="3" t="str">
        <f t="shared" si="126"/>
        <v>LUNES</v>
      </c>
      <c r="E1852" s="427">
        <v>256676</v>
      </c>
      <c r="F1852" s="3" t="str">
        <f>IFERROR(VLOOKUP(E1852,BD!$L$2:$Q$66,2,0),0)</f>
        <v>TWO PACK CC PFM 3LX2 - RFCC</v>
      </c>
      <c r="G1852" s="424">
        <v>960</v>
      </c>
      <c r="H1852" s="3">
        <f>+IFERROR(VLOOKUP(E1852,BD!$L$2:$Q$66,6,0),0)</f>
        <v>120</v>
      </c>
      <c r="I1852" s="96">
        <f>IFERROR(G1852*VLOOKUP($E1852,BD!$L$2:$Q$66,5,0),0)</f>
        <v>163.20000000000002</v>
      </c>
      <c r="J1852" s="3">
        <f t="shared" si="127"/>
        <v>2021</v>
      </c>
    </row>
    <row r="1853" spans="1:10" s="9" customFormat="1" hidden="1" x14ac:dyDescent="0.25">
      <c r="A1853" s="447">
        <v>44459</v>
      </c>
      <c r="B1853" s="55" t="str">
        <f t="shared" si="124"/>
        <v>SETIEMBRE</v>
      </c>
      <c r="C1853" s="55">
        <f t="shared" si="125"/>
        <v>39</v>
      </c>
      <c r="D1853" s="3" t="str">
        <f t="shared" si="126"/>
        <v>LUNES</v>
      </c>
      <c r="E1853" s="427">
        <v>256488</v>
      </c>
      <c r="F1853" s="3" t="str">
        <f>IFERROR(VLOOKUP(E1853,BD!$L$2:$Q$66,2,0),0)</f>
        <v>INCA KOLA PET 3LX2 - RF</v>
      </c>
      <c r="G1853" s="424">
        <v>1200</v>
      </c>
      <c r="H1853" s="3">
        <f>+IFERROR(VLOOKUP(E1853,BD!$L$2:$Q$66,6,0),0)</f>
        <v>120</v>
      </c>
      <c r="I1853" s="96">
        <f>IFERROR(G1853*VLOOKUP($E1853,BD!$L$2:$Q$66,5,0),0)</f>
        <v>204.00000000000003</v>
      </c>
      <c r="J1853" s="3">
        <f t="shared" si="127"/>
        <v>2021</v>
      </c>
    </row>
    <row r="1854" spans="1:10" s="9" customFormat="1" hidden="1" x14ac:dyDescent="0.25">
      <c r="A1854" s="447">
        <v>44459</v>
      </c>
      <c r="B1854" s="55" t="str">
        <f t="shared" si="124"/>
        <v>SETIEMBRE</v>
      </c>
      <c r="C1854" s="55">
        <f t="shared" si="125"/>
        <v>39</v>
      </c>
      <c r="D1854" s="3" t="str">
        <f t="shared" si="126"/>
        <v>LUNES</v>
      </c>
      <c r="E1854" s="427">
        <v>251151</v>
      </c>
      <c r="F1854" s="3" t="str">
        <f>IFERROR(VLOOKUP(E1854,BD!$L$2:$Q$66,2,0),0)</f>
        <v>COCA COLA PET 500MLX6</v>
      </c>
      <c r="G1854" s="424">
        <v>1750</v>
      </c>
      <c r="H1854" s="3">
        <f>+IFERROR(VLOOKUP(E1854,BD!$L$2:$Q$66,6,0),0)</f>
        <v>250</v>
      </c>
      <c r="I1854" s="96">
        <f>IFERROR(G1854*VLOOKUP($E1854,BD!$L$2:$Q$66,5,0),0)</f>
        <v>735</v>
      </c>
      <c r="J1854" s="3">
        <f t="shared" si="127"/>
        <v>2021</v>
      </c>
    </row>
    <row r="1855" spans="1:10" s="9" customFormat="1" hidden="1" x14ac:dyDescent="0.25">
      <c r="A1855" s="447">
        <v>44458</v>
      </c>
      <c r="B1855" s="55" t="str">
        <f t="shared" si="124"/>
        <v>SETIEMBRE</v>
      </c>
      <c r="C1855" s="55">
        <f t="shared" si="125"/>
        <v>39</v>
      </c>
      <c r="D1855" s="3" t="str">
        <f t="shared" si="126"/>
        <v>DOMINGO</v>
      </c>
      <c r="E1855" s="427">
        <v>256727</v>
      </c>
      <c r="F1855" s="3" t="str">
        <f>IFERROR(VLOOKUP(E1855,BD!$L$2:$Q$66,2,0),0)</f>
        <v>INCA KOLA POWER (CAMU+MACA) PET 410MLX12</v>
      </c>
      <c r="G1855" s="424">
        <v>1170</v>
      </c>
      <c r="H1855" s="3">
        <f>+IFERROR(VLOOKUP(E1855,BD!$L$2:$Q$66,6,0),0)</f>
        <v>420</v>
      </c>
      <c r="I1855" s="96">
        <f>IFERROR(G1855*VLOOKUP($E1855,BD!$L$2:$Q$66,5,0),0)</f>
        <v>1404</v>
      </c>
      <c r="J1855" s="3">
        <f t="shared" si="127"/>
        <v>2021</v>
      </c>
    </row>
    <row r="1856" spans="1:10" s="9" customFormat="1" hidden="1" x14ac:dyDescent="0.25">
      <c r="A1856" s="447">
        <v>44459</v>
      </c>
      <c r="B1856" s="55" t="str">
        <f t="shared" si="124"/>
        <v>SETIEMBRE</v>
      </c>
      <c r="C1856" s="55">
        <f t="shared" si="125"/>
        <v>39</v>
      </c>
      <c r="D1856" s="3" t="str">
        <f t="shared" si="126"/>
        <v>LUNES</v>
      </c>
      <c r="E1856" s="427">
        <v>254853</v>
      </c>
      <c r="F1856" s="3" t="str">
        <f>IFERROR(VLOOKUP(E1856,BD!$L$2:$Q$66,2,0),0)</f>
        <v>INCA KOLA SIN AZUCAR PET 1.5LX2</v>
      </c>
      <c r="G1856" s="424">
        <v>1080</v>
      </c>
      <c r="H1856" s="3">
        <f>+IFERROR(VLOOKUP(E1856,BD!$L$2:$Q$66,6,0),0)</f>
        <v>198</v>
      </c>
      <c r="I1856" s="96">
        <f>IFERROR(G1856*VLOOKUP($E1856,BD!$L$2:$Q$66,5,0),0)</f>
        <v>183.60000000000002</v>
      </c>
      <c r="J1856" s="3">
        <f t="shared" si="127"/>
        <v>2021</v>
      </c>
    </row>
    <row r="1857" spans="1:10" s="9" customFormat="1" hidden="1" x14ac:dyDescent="0.25">
      <c r="A1857" s="447">
        <v>44459</v>
      </c>
      <c r="B1857" s="55" t="str">
        <f t="shared" si="124"/>
        <v>SETIEMBRE</v>
      </c>
      <c r="C1857" s="55">
        <f t="shared" si="125"/>
        <v>39</v>
      </c>
      <c r="D1857" s="3" t="str">
        <f t="shared" si="126"/>
        <v>LUNES</v>
      </c>
      <c r="E1857" s="427">
        <v>254853</v>
      </c>
      <c r="F1857" s="3" t="str">
        <f>IFERROR(VLOOKUP(E1857,BD!$L$2:$Q$66,2,0),0)</f>
        <v>INCA KOLA SIN AZUCAR PET 1.5LX2</v>
      </c>
      <c r="G1857" s="424">
        <v>216</v>
      </c>
      <c r="H1857" s="3">
        <f>+IFERROR(VLOOKUP(E1857,BD!$L$2:$Q$66,6,0),0)</f>
        <v>198</v>
      </c>
      <c r="I1857" s="96">
        <f>IFERROR(G1857*VLOOKUP($E1857,BD!$L$2:$Q$66,5,0),0)</f>
        <v>36.720000000000006</v>
      </c>
      <c r="J1857" s="3">
        <f t="shared" si="127"/>
        <v>2021</v>
      </c>
    </row>
    <row r="1858" spans="1:10" s="9" customFormat="1" hidden="1" x14ac:dyDescent="0.25">
      <c r="A1858" s="447">
        <v>44459</v>
      </c>
      <c r="B1858" s="55" t="str">
        <f t="shared" si="124"/>
        <v>SETIEMBRE</v>
      </c>
      <c r="C1858" s="55">
        <f t="shared" si="125"/>
        <v>39</v>
      </c>
      <c r="D1858" s="3" t="str">
        <f t="shared" si="126"/>
        <v>LUNES</v>
      </c>
      <c r="E1858" s="427">
        <v>256674</v>
      </c>
      <c r="F1858" s="3" t="str">
        <f>IFERROR(VLOOKUP(E1858,BD!$L$2:$Q$66,2,0),0)</f>
        <v>COCA-COLA PET 1.5LX2 RF</v>
      </c>
      <c r="G1858" s="424">
        <v>1296</v>
      </c>
      <c r="H1858" s="3">
        <f>+IFERROR(VLOOKUP(E1858,BD!$L$2:$Q$66,6,0),0)</f>
        <v>198</v>
      </c>
      <c r="I1858" s="96">
        <f>IFERROR(G1858*VLOOKUP($E1858,BD!$L$2:$Q$66,5,0),0)</f>
        <v>220.32000000000002</v>
      </c>
      <c r="J1858" s="3">
        <f t="shared" si="127"/>
        <v>2021</v>
      </c>
    </row>
    <row r="1859" spans="1:10" s="9" customFormat="1" hidden="1" x14ac:dyDescent="0.25">
      <c r="A1859" s="447">
        <v>44459</v>
      </c>
      <c r="B1859" s="55" t="str">
        <f t="shared" si="124"/>
        <v>SETIEMBRE</v>
      </c>
      <c r="C1859" s="55">
        <f t="shared" si="125"/>
        <v>39</v>
      </c>
      <c r="D1859" s="3" t="str">
        <f t="shared" si="126"/>
        <v>LUNES</v>
      </c>
      <c r="E1859" s="427">
        <v>251406</v>
      </c>
      <c r="F1859" s="3" t="str">
        <f>IFERROR(VLOOKUP(E1859,BD!$L$2:$Q$66,2,0),0)</f>
        <v>COCA-COLA SIN AZUCAR PET 1.5LX2</v>
      </c>
      <c r="G1859" s="424">
        <v>1296</v>
      </c>
      <c r="H1859" s="3">
        <f>+IFERROR(VLOOKUP(E1859,BD!$L$2:$Q$66,6,0),0)</f>
        <v>198</v>
      </c>
      <c r="I1859" s="96">
        <f>IFERROR(G1859*VLOOKUP($E1859,BD!$L$2:$Q$66,5,0),0)</f>
        <v>220.32000000000002</v>
      </c>
      <c r="J1859" s="3">
        <f t="shared" si="127"/>
        <v>2021</v>
      </c>
    </row>
    <row r="1860" spans="1:10" s="9" customFormat="1" hidden="1" x14ac:dyDescent="0.25">
      <c r="A1860" s="447">
        <v>44459</v>
      </c>
      <c r="B1860" s="55" t="str">
        <f t="shared" si="124"/>
        <v>SETIEMBRE</v>
      </c>
      <c r="C1860" s="55">
        <f t="shared" si="125"/>
        <v>39</v>
      </c>
      <c r="D1860" s="3" t="str">
        <f t="shared" si="126"/>
        <v>LUNES</v>
      </c>
      <c r="E1860" s="427">
        <v>751468</v>
      </c>
      <c r="F1860" s="3" t="str">
        <f>IFERROR(VLOOKUP(E1860,BD!$L$2:$Q$66,2,0),0)</f>
        <v>MONSTER ENERGY ULTRA 473MLX4</v>
      </c>
      <c r="G1860" s="424">
        <v>1680</v>
      </c>
      <c r="H1860" s="3">
        <f>+IFERROR(VLOOKUP(E1860,BD!$L$2:$Q$66,6,0),0)</f>
        <v>420</v>
      </c>
      <c r="I1860" s="96">
        <f>IFERROR(G1860*VLOOKUP($E1860,BD!$L$2:$Q$66,5,0),0)</f>
        <v>705.6</v>
      </c>
      <c r="J1860" s="3">
        <f t="shared" si="127"/>
        <v>2021</v>
      </c>
    </row>
    <row r="1861" spans="1:10" s="9" customFormat="1" hidden="1" x14ac:dyDescent="0.25">
      <c r="A1861" s="447">
        <v>44459</v>
      </c>
      <c r="B1861" s="55" t="str">
        <f t="shared" si="124"/>
        <v>SETIEMBRE</v>
      </c>
      <c r="C1861" s="55">
        <f t="shared" si="125"/>
        <v>39</v>
      </c>
      <c r="D1861" s="3" t="str">
        <f t="shared" si="126"/>
        <v>LUNES</v>
      </c>
      <c r="E1861" s="427">
        <v>751315</v>
      </c>
      <c r="F1861" s="3" t="str">
        <f>IFERROR(VLOOKUP(E1861,BD!$L$2:$Q$66,2,0),0)</f>
        <v>MONSTER ENERGY 473MLX4</v>
      </c>
      <c r="G1861" s="424">
        <v>420</v>
      </c>
      <c r="H1861" s="3">
        <f>+IFERROR(VLOOKUP(E1861,BD!$L$2:$Q$66,6,0),0)</f>
        <v>420</v>
      </c>
      <c r="I1861" s="96">
        <f>IFERROR(G1861*VLOOKUP($E1861,BD!$L$2:$Q$66,5,0),0)</f>
        <v>176.4</v>
      </c>
      <c r="J1861" s="3">
        <f t="shared" si="127"/>
        <v>2021</v>
      </c>
    </row>
    <row r="1862" spans="1:10" s="9" customFormat="1" hidden="1" x14ac:dyDescent="0.25">
      <c r="A1862" s="447">
        <v>44459</v>
      </c>
      <c r="B1862" s="55" t="str">
        <f t="shared" si="124"/>
        <v>SETIEMBRE</v>
      </c>
      <c r="C1862" s="55">
        <f t="shared" si="125"/>
        <v>39</v>
      </c>
      <c r="D1862" s="3" t="str">
        <f t="shared" si="126"/>
        <v>LUNES</v>
      </c>
      <c r="E1862" s="427">
        <v>256677</v>
      </c>
      <c r="F1862" s="3" t="str">
        <f>IFERROR(VLOOKUP(E1862,BD!$L$2:$Q$66,2,0),0)</f>
        <v>TWO PACK CC + IK PFM 3LX2 - RFNN</v>
      </c>
      <c r="G1862" s="424">
        <v>1680</v>
      </c>
      <c r="H1862" s="3">
        <f>+IFERROR(VLOOKUP(E1862,BD!$L$2:$Q$66,6,0),0)</f>
        <v>120</v>
      </c>
      <c r="I1862" s="96">
        <f>IFERROR(G1862*VLOOKUP($E1862,BD!$L$2:$Q$66,5,0),0)</f>
        <v>285.60000000000002</v>
      </c>
      <c r="J1862" s="3">
        <f t="shared" si="127"/>
        <v>2021</v>
      </c>
    </row>
    <row r="1863" spans="1:10" s="9" customFormat="1" hidden="1" x14ac:dyDescent="0.25">
      <c r="A1863" s="447">
        <v>44459</v>
      </c>
      <c r="B1863" s="55" t="str">
        <f t="shared" si="124"/>
        <v>SETIEMBRE</v>
      </c>
      <c r="C1863" s="55">
        <f t="shared" si="125"/>
        <v>39</v>
      </c>
      <c r="D1863" s="3" t="str">
        <f t="shared" si="126"/>
        <v>LUNES</v>
      </c>
      <c r="E1863" s="427">
        <v>256652</v>
      </c>
      <c r="F1863" s="3" t="str">
        <f>IFERROR(VLOOKUP(E1863,BD!$L$2:$Q$66,2,0),0)</f>
        <v>TRIPACK FT NAR+FT KI+SP PET 3L</v>
      </c>
      <c r="G1863" s="424">
        <v>720</v>
      </c>
      <c r="H1863" s="3">
        <f>+IFERROR(VLOOKUP(E1863,BD!$L$2:$Q$66,6,0),0)</f>
        <v>90</v>
      </c>
      <c r="I1863" s="96">
        <f>IFERROR(G1863*VLOOKUP($E1863,BD!$L$2:$Q$66,5,0),0)</f>
        <v>122.4</v>
      </c>
      <c r="J1863" s="3">
        <f t="shared" si="127"/>
        <v>2021</v>
      </c>
    </row>
    <row r="1864" spans="1:10" s="9" customFormat="1" hidden="1" x14ac:dyDescent="0.25">
      <c r="A1864" s="447">
        <v>44459</v>
      </c>
      <c r="B1864" s="55" t="str">
        <f t="shared" si="124"/>
        <v>SETIEMBRE</v>
      </c>
      <c r="C1864" s="55">
        <f t="shared" si="125"/>
        <v>39</v>
      </c>
      <c r="D1864" s="3" t="str">
        <f t="shared" si="126"/>
        <v>LUNES</v>
      </c>
      <c r="E1864" s="427">
        <v>256678</v>
      </c>
      <c r="F1864" s="3" t="str">
        <f>IFERROR(VLOOKUP(E1864,BD!$L$2:$Q$66,2,0),0)</f>
        <v>TRIPACK (CC+IK)PFM+FT PET 3LX3 - RFNN</v>
      </c>
      <c r="G1864" s="424">
        <v>1710</v>
      </c>
      <c r="H1864" s="3">
        <f>+IFERROR(VLOOKUP(E1864,BD!$L$2:$Q$66,6,0),0)</f>
        <v>90</v>
      </c>
      <c r="I1864" s="96">
        <f>IFERROR(G1864*VLOOKUP($E1864,BD!$L$2:$Q$66,5,0),0)</f>
        <v>290.70000000000005</v>
      </c>
      <c r="J1864" s="3">
        <f t="shared" si="127"/>
        <v>2021</v>
      </c>
    </row>
    <row r="1865" spans="1:10" s="9" customFormat="1" hidden="1" x14ac:dyDescent="0.25">
      <c r="A1865" s="447">
        <v>44459</v>
      </c>
      <c r="B1865" s="55" t="str">
        <f t="shared" si="124"/>
        <v>SETIEMBRE</v>
      </c>
      <c r="C1865" s="55">
        <f t="shared" si="125"/>
        <v>39</v>
      </c>
      <c r="D1865" s="3" t="str">
        <f t="shared" si="126"/>
        <v>LUNES</v>
      </c>
      <c r="E1865" s="427">
        <v>256680</v>
      </c>
      <c r="F1865" s="3" t="str">
        <f>IFERROR(VLOOKUP(E1865,BD!$L$2:$Q$66,2,0),0)</f>
        <v>TRIPACK CC+CC+IK PFM 3LX3 - RFNN</v>
      </c>
      <c r="G1865" s="424">
        <v>180</v>
      </c>
      <c r="H1865" s="3">
        <f>+IFERROR(VLOOKUP(E1865,BD!$L$2:$Q$66,6,0),0)</f>
        <v>90</v>
      </c>
      <c r="I1865" s="96">
        <f>IFERROR(G1865*VLOOKUP($E1865,BD!$L$2:$Q$66,5,0),0)</f>
        <v>30.6</v>
      </c>
      <c r="J1865" s="3">
        <f t="shared" si="127"/>
        <v>2021</v>
      </c>
    </row>
    <row r="1866" spans="1:10" s="9" customFormat="1" hidden="1" x14ac:dyDescent="0.25">
      <c r="A1866" s="447">
        <v>44459</v>
      </c>
      <c r="B1866" s="55" t="str">
        <f t="shared" si="124"/>
        <v>SETIEMBRE</v>
      </c>
      <c r="C1866" s="55">
        <f t="shared" si="125"/>
        <v>39</v>
      </c>
      <c r="D1866" s="3" t="str">
        <f t="shared" si="126"/>
        <v>LUNES</v>
      </c>
      <c r="E1866" s="427">
        <v>251633</v>
      </c>
      <c r="F1866" s="3" t="str">
        <f>IFERROR(VLOOKUP(E1866,BD!$L$2:$Q$66,2,0),0)</f>
        <v>SAN LUIS CON GAS PET 625MLX6</v>
      </c>
      <c r="G1866" s="424">
        <v>180</v>
      </c>
      <c r="H1866" s="3">
        <f>+IFERROR(VLOOKUP(E1866,BD!$L$2:$Q$66,6,0),0)</f>
        <v>180</v>
      </c>
      <c r="I1866" s="96">
        <f>IFERROR(G1866*VLOOKUP($E1866,BD!$L$2:$Q$66,5,0),0)</f>
        <v>75.599999999999994</v>
      </c>
      <c r="J1866" s="3">
        <f t="shared" si="127"/>
        <v>2021</v>
      </c>
    </row>
    <row r="1867" spans="1:10" s="9" customFormat="1" hidden="1" x14ac:dyDescent="0.25">
      <c r="A1867" s="447">
        <v>44459</v>
      </c>
      <c r="B1867" s="55" t="str">
        <f t="shared" si="124"/>
        <v>SETIEMBRE</v>
      </c>
      <c r="C1867" s="55">
        <f t="shared" si="125"/>
        <v>39</v>
      </c>
      <c r="D1867" s="3" t="str">
        <f t="shared" si="126"/>
        <v>LUNES</v>
      </c>
      <c r="E1867" s="427">
        <v>256709</v>
      </c>
      <c r="F1867" s="3" t="str">
        <f>IFERROR(VLOOKUP(E1867,BD!$L$2:$Q$66,2,0),0)</f>
        <v>POWERADE ION4 MORA AZ PET473X6 MOD(STCK)</v>
      </c>
      <c r="G1867" s="424">
        <v>225</v>
      </c>
      <c r="H1867" s="3">
        <f>+IFERROR(VLOOKUP(E1867,BD!$L$2:$Q$66,6,0),0)</f>
        <v>225</v>
      </c>
      <c r="I1867" s="96">
        <f>IFERROR(G1867*VLOOKUP($E1867,BD!$L$2:$Q$66,5,0),0)</f>
        <v>90</v>
      </c>
      <c r="J1867" s="3">
        <f t="shared" si="127"/>
        <v>2021</v>
      </c>
    </row>
    <row r="1868" spans="1:10" s="9" customFormat="1" hidden="1" x14ac:dyDescent="0.25">
      <c r="A1868" s="447">
        <v>44459</v>
      </c>
      <c r="B1868" s="55" t="str">
        <f t="shared" si="124"/>
        <v>SETIEMBRE</v>
      </c>
      <c r="C1868" s="55">
        <f t="shared" si="125"/>
        <v>39</v>
      </c>
      <c r="D1868" s="3" t="str">
        <f t="shared" si="126"/>
        <v>LUNES</v>
      </c>
      <c r="E1868" s="427">
        <v>251429</v>
      </c>
      <c r="F1868" s="3" t="str">
        <f>IFERROR(VLOOKUP(E1868,BD!$L$2:$Q$66,2,0),0)</f>
        <v>SAN LUIS SIN GAS PET2500X6 STICKER</v>
      </c>
      <c r="G1868" s="424">
        <v>96</v>
      </c>
      <c r="H1868" s="3">
        <f>+IFERROR(VLOOKUP(E1868,BD!$L$2:$Q$66,6,0),0)</f>
        <v>48</v>
      </c>
      <c r="I1868" s="96">
        <f>IFERROR(G1868*VLOOKUP($E1868,BD!$L$2:$Q$66,5,0),0)</f>
        <v>38.400000000000006</v>
      </c>
      <c r="J1868" s="3">
        <f t="shared" si="127"/>
        <v>2021</v>
      </c>
    </row>
    <row r="1869" spans="1:10" s="9" customFormat="1" hidden="1" x14ac:dyDescent="0.25">
      <c r="A1869" s="447">
        <v>44459</v>
      </c>
      <c r="B1869" s="55" t="str">
        <f t="shared" si="124"/>
        <v>SETIEMBRE</v>
      </c>
      <c r="C1869" s="55">
        <f t="shared" si="125"/>
        <v>39</v>
      </c>
      <c r="D1869" s="3" t="str">
        <f t="shared" si="126"/>
        <v>LUNES</v>
      </c>
      <c r="E1869" s="427">
        <v>256695</v>
      </c>
      <c r="F1869" s="3" t="str">
        <f>IFERROR(VLOOKUP(E1869,BD!$L$2:$Q$66,2,0),0)</f>
        <v>POWERADE 3MORA+3FRUT PET 473MLX6</v>
      </c>
      <c r="G1869" s="424">
        <v>450</v>
      </c>
      <c r="H1869" s="3">
        <f>+IFERROR(VLOOKUP(E1869,BD!$L$2:$Q$66,6,0),0)</f>
        <v>225</v>
      </c>
      <c r="I1869" s="96">
        <f>IFERROR(G1869*VLOOKUP($E1869,BD!$L$2:$Q$66,5,0),0)</f>
        <v>189</v>
      </c>
      <c r="J1869" s="3">
        <f t="shared" si="127"/>
        <v>2021</v>
      </c>
    </row>
    <row r="1870" spans="1:10" s="9" customFormat="1" hidden="1" x14ac:dyDescent="0.25">
      <c r="A1870" s="447">
        <v>44459</v>
      </c>
      <c r="B1870" s="55" t="str">
        <f t="shared" si="124"/>
        <v>SETIEMBRE</v>
      </c>
      <c r="C1870" s="55">
        <f t="shared" si="125"/>
        <v>39</v>
      </c>
      <c r="D1870" s="3" t="str">
        <f t="shared" si="126"/>
        <v>LUNES</v>
      </c>
      <c r="E1870" s="427">
        <v>256727</v>
      </c>
      <c r="F1870" s="3" t="str">
        <f>IFERROR(VLOOKUP(E1870,BD!$L$2:$Q$66,2,0),0)</f>
        <v>INCA KOLA POWER (CAMU+MACA) PET 410MLX12</v>
      </c>
      <c r="G1870" s="424">
        <v>3250</v>
      </c>
      <c r="H1870" s="3">
        <f>+IFERROR(VLOOKUP(E1870,BD!$L$2:$Q$66,6,0),0)</f>
        <v>420</v>
      </c>
      <c r="I1870" s="96">
        <f>IFERROR(G1870*VLOOKUP($E1870,BD!$L$2:$Q$66,5,0),0)</f>
        <v>3900</v>
      </c>
      <c r="J1870" s="3">
        <f t="shared" si="127"/>
        <v>2021</v>
      </c>
    </row>
    <row r="1871" spans="1:10" s="9" customFormat="1" hidden="1" x14ac:dyDescent="0.25">
      <c r="A1871" s="447">
        <v>44459</v>
      </c>
      <c r="B1871" s="55" t="str">
        <f t="shared" si="124"/>
        <v>SETIEMBRE</v>
      </c>
      <c r="C1871" s="55">
        <f t="shared" si="125"/>
        <v>39</v>
      </c>
      <c r="D1871" s="3" t="str">
        <f t="shared" si="126"/>
        <v>LUNES</v>
      </c>
      <c r="E1871" s="427">
        <v>256727</v>
      </c>
      <c r="F1871" s="3" t="str">
        <f>IFERROR(VLOOKUP(E1871,BD!$L$2:$Q$66,2,0),0)</f>
        <v>INCA KOLA POWER (CAMU+MACA) PET 410MLX12</v>
      </c>
      <c r="G1871" s="424">
        <v>390</v>
      </c>
      <c r="H1871" s="3">
        <f>+IFERROR(VLOOKUP(E1871,BD!$L$2:$Q$66,6,0),0)</f>
        <v>420</v>
      </c>
      <c r="I1871" s="96">
        <f>IFERROR(G1871*VLOOKUP($E1871,BD!$L$2:$Q$66,5,0),0)</f>
        <v>468</v>
      </c>
      <c r="J1871" s="3">
        <f t="shared" si="127"/>
        <v>2021</v>
      </c>
    </row>
    <row r="1872" spans="1:10" s="9" customFormat="1" hidden="1" x14ac:dyDescent="0.25">
      <c r="A1872" s="447">
        <v>44460</v>
      </c>
      <c r="B1872" s="55" t="str">
        <f t="shared" si="124"/>
        <v>SETIEMBRE</v>
      </c>
      <c r="C1872" s="55">
        <f t="shared" si="125"/>
        <v>39</v>
      </c>
      <c r="D1872" s="3" t="str">
        <f t="shared" si="126"/>
        <v>MARTES</v>
      </c>
      <c r="E1872" s="427">
        <v>251429</v>
      </c>
      <c r="F1872" s="3" t="str">
        <f>IFERROR(VLOOKUP(E1872,BD!$L$2:$Q$66,2,0),0)</f>
        <v>SAN LUIS SIN GAS PET2500X6 STICKER</v>
      </c>
      <c r="G1872" s="424">
        <v>384</v>
      </c>
      <c r="H1872" s="3">
        <f>+IFERROR(VLOOKUP(E1872,BD!$L$2:$Q$66,6,0),0)</f>
        <v>48</v>
      </c>
      <c r="I1872" s="96">
        <f>IFERROR(G1872*VLOOKUP($E1872,BD!$L$2:$Q$66,5,0),0)</f>
        <v>153.60000000000002</v>
      </c>
      <c r="J1872" s="3">
        <f t="shared" si="127"/>
        <v>2021</v>
      </c>
    </row>
    <row r="1873" spans="1:10" s="9" customFormat="1" hidden="1" x14ac:dyDescent="0.25">
      <c r="A1873" s="447">
        <v>44460</v>
      </c>
      <c r="B1873" s="55" t="str">
        <f t="shared" si="124"/>
        <v>SETIEMBRE</v>
      </c>
      <c r="C1873" s="55">
        <f t="shared" si="125"/>
        <v>39</v>
      </c>
      <c r="D1873" s="3" t="str">
        <f t="shared" si="126"/>
        <v>MARTES</v>
      </c>
      <c r="E1873" s="427">
        <v>256380</v>
      </c>
      <c r="F1873" s="3" t="str">
        <f>IFERROR(VLOOKUP(E1873,BD!$L$2:$Q$66,2,0),0)</f>
        <v>INCA KOLA VR 296MLX24 - STICKER</v>
      </c>
      <c r="G1873" s="424">
        <v>40</v>
      </c>
      <c r="H1873" s="3">
        <f>+IFERROR(VLOOKUP(E1873,BD!$L$2:$Q$66,6,0),0)</f>
        <v>40</v>
      </c>
      <c r="I1873" s="96">
        <f>IFERROR(G1873*VLOOKUP($E1873,BD!$L$2:$Q$66,5,0),0)</f>
        <v>9.2000000000000011</v>
      </c>
      <c r="J1873" s="3">
        <f t="shared" si="127"/>
        <v>2021</v>
      </c>
    </row>
    <row r="1874" spans="1:10" s="9" customFormat="1" hidden="1" x14ac:dyDescent="0.25">
      <c r="A1874" s="447">
        <v>44460</v>
      </c>
      <c r="B1874" s="55" t="str">
        <f t="shared" si="124"/>
        <v>SETIEMBRE</v>
      </c>
      <c r="C1874" s="55">
        <f t="shared" si="125"/>
        <v>39</v>
      </c>
      <c r="D1874" s="3" t="str">
        <f t="shared" si="126"/>
        <v>MARTES</v>
      </c>
      <c r="E1874" s="427">
        <v>256720</v>
      </c>
      <c r="F1874" s="3" t="str">
        <f>IFERROR(VLOOKUP(E1874,BD!$L$2:$Q$66,2,0),0)</f>
        <v>FANTA NARANJA PET 500MLX6 BRANDEADO MOD</v>
      </c>
      <c r="G1874" s="424">
        <v>250</v>
      </c>
      <c r="H1874" s="3">
        <f>+IFERROR(VLOOKUP(E1874,BD!$L$2:$Q$66,6,0),0)</f>
        <v>420</v>
      </c>
      <c r="I1874" s="96">
        <f>IFERROR(G1874*VLOOKUP($E1874,BD!$L$2:$Q$66,5,0),0)</f>
        <v>105</v>
      </c>
      <c r="J1874" s="3">
        <f t="shared" si="127"/>
        <v>2021</v>
      </c>
    </row>
    <row r="1875" spans="1:10" s="9" customFormat="1" hidden="1" x14ac:dyDescent="0.25">
      <c r="A1875" s="447">
        <v>44460</v>
      </c>
      <c r="B1875" s="55" t="str">
        <f t="shared" si="124"/>
        <v>SETIEMBRE</v>
      </c>
      <c r="C1875" s="55">
        <f t="shared" si="125"/>
        <v>39</v>
      </c>
      <c r="D1875" s="3" t="str">
        <f t="shared" si="126"/>
        <v>MARTES</v>
      </c>
      <c r="E1875" s="427">
        <v>254853</v>
      </c>
      <c r="F1875" s="3" t="str">
        <f>IFERROR(VLOOKUP(E1875,BD!$L$2:$Q$66,2,0),0)</f>
        <v>INCA KOLA SIN AZUCAR PET 1.5LX2</v>
      </c>
      <c r="G1875" s="424">
        <v>432</v>
      </c>
      <c r="H1875" s="3">
        <f>+IFERROR(VLOOKUP(E1875,BD!$L$2:$Q$66,6,0),0)</f>
        <v>198</v>
      </c>
      <c r="I1875" s="96">
        <f>IFERROR(G1875*VLOOKUP($E1875,BD!$L$2:$Q$66,5,0),0)</f>
        <v>73.440000000000012</v>
      </c>
      <c r="J1875" s="3">
        <f t="shared" si="127"/>
        <v>2021</v>
      </c>
    </row>
    <row r="1876" spans="1:10" s="9" customFormat="1" hidden="1" x14ac:dyDescent="0.25">
      <c r="A1876" s="447">
        <v>44460</v>
      </c>
      <c r="B1876" s="55" t="str">
        <f t="shared" si="124"/>
        <v>SETIEMBRE</v>
      </c>
      <c r="C1876" s="55">
        <f t="shared" si="125"/>
        <v>39</v>
      </c>
      <c r="D1876" s="3" t="str">
        <f t="shared" si="126"/>
        <v>MARTES</v>
      </c>
      <c r="E1876" s="427">
        <v>256617</v>
      </c>
      <c r="F1876" s="3" t="str">
        <f>IFERROR(VLOOKUP(E1876,BD!$L$2:$Q$66,2,0),0)</f>
        <v>TWO PACK SCHWEPPES GINGER ALE PET 1.5LX2</v>
      </c>
      <c r="G1876" s="424">
        <v>396</v>
      </c>
      <c r="H1876" s="3">
        <f>+IFERROR(VLOOKUP(E1876,BD!$L$2:$Q$66,6,0),0)</f>
        <v>198</v>
      </c>
      <c r="I1876" s="96">
        <f>IFERROR(G1876*VLOOKUP($E1876,BD!$L$2:$Q$66,5,0),0)</f>
        <v>67.320000000000007</v>
      </c>
      <c r="J1876" s="3">
        <f t="shared" si="127"/>
        <v>2021</v>
      </c>
    </row>
    <row r="1877" spans="1:10" s="9" customFormat="1" hidden="1" x14ac:dyDescent="0.25">
      <c r="A1877" s="447">
        <v>44460</v>
      </c>
      <c r="B1877" s="55" t="str">
        <f t="shared" si="124"/>
        <v>SETIEMBRE</v>
      </c>
      <c r="C1877" s="55">
        <f t="shared" si="125"/>
        <v>39</v>
      </c>
      <c r="D1877" s="3" t="str">
        <f t="shared" si="126"/>
        <v>MARTES</v>
      </c>
      <c r="E1877" s="427">
        <v>251406</v>
      </c>
      <c r="F1877" s="3" t="str">
        <f>IFERROR(VLOOKUP(E1877,BD!$L$2:$Q$66,2,0),0)</f>
        <v>COCA-COLA SIN AZUCAR PET 1.5LX2</v>
      </c>
      <c r="G1877" s="424">
        <v>1512</v>
      </c>
      <c r="H1877" s="3">
        <f>+IFERROR(VLOOKUP(E1877,BD!$L$2:$Q$66,6,0),0)</f>
        <v>198</v>
      </c>
      <c r="I1877" s="96">
        <f>IFERROR(G1877*VLOOKUP($E1877,BD!$L$2:$Q$66,5,0),0)</f>
        <v>257.04000000000002</v>
      </c>
      <c r="J1877" s="3">
        <f t="shared" si="127"/>
        <v>2021</v>
      </c>
    </row>
    <row r="1878" spans="1:10" s="9" customFormat="1" hidden="1" x14ac:dyDescent="0.25">
      <c r="A1878" s="447">
        <v>44460</v>
      </c>
      <c r="B1878" s="55" t="str">
        <f t="shared" si="124"/>
        <v>SETIEMBRE</v>
      </c>
      <c r="C1878" s="55">
        <f t="shared" si="125"/>
        <v>39</v>
      </c>
      <c r="D1878" s="3" t="str">
        <f t="shared" si="126"/>
        <v>MARTES</v>
      </c>
      <c r="E1878" s="427">
        <v>256488</v>
      </c>
      <c r="F1878" s="3" t="str">
        <f>IFERROR(VLOOKUP(E1878,BD!$L$2:$Q$66,2,0),0)</f>
        <v>INCA KOLA PET 3LX2 - RF</v>
      </c>
      <c r="G1878" s="424">
        <v>240</v>
      </c>
      <c r="H1878" s="3">
        <f>+IFERROR(VLOOKUP(E1878,BD!$L$2:$Q$66,6,0),0)</f>
        <v>120</v>
      </c>
      <c r="I1878" s="96">
        <f>IFERROR(G1878*VLOOKUP($E1878,BD!$L$2:$Q$66,5,0),0)</f>
        <v>40.800000000000004</v>
      </c>
      <c r="J1878" s="3">
        <f t="shared" si="127"/>
        <v>2021</v>
      </c>
    </row>
    <row r="1879" spans="1:10" s="9" customFormat="1" hidden="1" x14ac:dyDescent="0.25">
      <c r="A1879" s="447">
        <v>44460</v>
      </c>
      <c r="B1879" s="55" t="str">
        <f t="shared" si="124"/>
        <v>SETIEMBRE</v>
      </c>
      <c r="C1879" s="55">
        <f t="shared" si="125"/>
        <v>39</v>
      </c>
      <c r="D1879" s="3" t="str">
        <f t="shared" si="126"/>
        <v>MARTES</v>
      </c>
      <c r="E1879" s="427">
        <v>256682</v>
      </c>
      <c r="F1879" s="3" t="str">
        <f>IFERROR(VLOOKUP(E1879,BD!$L$2:$Q$66,2,0),0)</f>
        <v>TRIPACK (FT NAR+SP)PET+IK RF PFM 3L</v>
      </c>
      <c r="G1879" s="424">
        <v>450</v>
      </c>
      <c r="H1879" s="3">
        <f>+IFERROR(VLOOKUP(E1879,BD!$L$2:$Q$66,6,0),0)</f>
        <v>90</v>
      </c>
      <c r="I1879" s="96">
        <f>IFERROR(G1879*VLOOKUP($E1879,BD!$L$2:$Q$66,5,0),0)</f>
        <v>76.5</v>
      </c>
      <c r="J1879" s="3">
        <f t="shared" si="127"/>
        <v>2021</v>
      </c>
    </row>
    <row r="1880" spans="1:10" s="9" customFormat="1" hidden="1" x14ac:dyDescent="0.25">
      <c r="A1880" s="447">
        <v>44460</v>
      </c>
      <c r="B1880" s="55" t="str">
        <f t="shared" si="124"/>
        <v>SETIEMBRE</v>
      </c>
      <c r="C1880" s="55">
        <f t="shared" si="125"/>
        <v>39</v>
      </c>
      <c r="D1880" s="3" t="str">
        <f t="shared" si="126"/>
        <v>MARTES</v>
      </c>
      <c r="E1880" s="427">
        <v>256666</v>
      </c>
      <c r="F1880" s="3" t="str">
        <f>IFERROR(VLOOKUP(E1880,BD!$L$2:$Q$66,2,0),0)</f>
        <v>COCA-COLA PET 2.25LX2 RF</v>
      </c>
      <c r="G1880" s="424">
        <v>162</v>
      </c>
      <c r="H1880" s="3">
        <f>+IFERROR(VLOOKUP(E1880,BD!$L$2:$Q$66,6,0),0)</f>
        <v>162</v>
      </c>
      <c r="I1880" s="96">
        <f>IFERROR(G1880*VLOOKUP($E1880,BD!$L$2:$Q$66,5,0),0)</f>
        <v>27.540000000000003</v>
      </c>
      <c r="J1880" s="3">
        <f t="shared" si="127"/>
        <v>2021</v>
      </c>
    </row>
    <row r="1881" spans="1:10" s="9" customFormat="1" hidden="1" x14ac:dyDescent="0.25">
      <c r="A1881" s="447">
        <v>44460</v>
      </c>
      <c r="B1881" s="55" t="str">
        <f t="shared" si="124"/>
        <v>SETIEMBRE</v>
      </c>
      <c r="C1881" s="55">
        <f t="shared" si="125"/>
        <v>39</v>
      </c>
      <c r="D1881" s="3" t="str">
        <f t="shared" si="126"/>
        <v>MARTES</v>
      </c>
      <c r="E1881" s="427">
        <v>256678</v>
      </c>
      <c r="F1881" s="3" t="str">
        <f>IFERROR(VLOOKUP(E1881,BD!$L$2:$Q$66,2,0),0)</f>
        <v>TRIPACK (CC+IK)PFM+FT PET 3LX3 - RFNN</v>
      </c>
      <c r="G1881" s="424">
        <v>1440</v>
      </c>
      <c r="H1881" s="3">
        <f>+IFERROR(VLOOKUP(E1881,BD!$L$2:$Q$66,6,0),0)</f>
        <v>90</v>
      </c>
      <c r="I1881" s="96">
        <f>IFERROR(G1881*VLOOKUP($E1881,BD!$L$2:$Q$66,5,0),0)</f>
        <v>244.8</v>
      </c>
      <c r="J1881" s="3">
        <f t="shared" si="127"/>
        <v>2021</v>
      </c>
    </row>
    <row r="1882" spans="1:10" s="9" customFormat="1" hidden="1" x14ac:dyDescent="0.25">
      <c r="A1882" s="447">
        <v>44460</v>
      </c>
      <c r="B1882" s="55" t="str">
        <f t="shared" si="124"/>
        <v>SETIEMBRE</v>
      </c>
      <c r="C1882" s="55">
        <f t="shared" si="125"/>
        <v>39</v>
      </c>
      <c r="D1882" s="3" t="str">
        <f t="shared" si="126"/>
        <v>MARTES</v>
      </c>
      <c r="E1882" s="427">
        <v>254852</v>
      </c>
      <c r="F1882" s="3" t="str">
        <f>IFERROR(VLOOKUP(E1882,BD!$L$2:$Q$66,2,0),0)</f>
        <v>INCA KOLA PET 500MLX6</v>
      </c>
      <c r="G1882" s="424">
        <v>500</v>
      </c>
      <c r="H1882" s="3">
        <f>+IFERROR(VLOOKUP(E1882,BD!$L$2:$Q$66,6,0),0)</f>
        <v>225</v>
      </c>
      <c r="I1882" s="96">
        <f>IFERROR(G1882*VLOOKUP($E1882,BD!$L$2:$Q$66,5,0),0)</f>
        <v>210</v>
      </c>
      <c r="J1882" s="3">
        <f t="shared" si="127"/>
        <v>2021</v>
      </c>
    </row>
    <row r="1883" spans="1:10" s="9" customFormat="1" hidden="1" x14ac:dyDescent="0.25">
      <c r="A1883" s="447">
        <v>44460</v>
      </c>
      <c r="B1883" s="55" t="str">
        <f t="shared" si="124"/>
        <v>SETIEMBRE</v>
      </c>
      <c r="C1883" s="55">
        <f t="shared" si="125"/>
        <v>39</v>
      </c>
      <c r="D1883" s="3" t="str">
        <f t="shared" si="126"/>
        <v>MARTES</v>
      </c>
      <c r="E1883" s="427">
        <v>256379</v>
      </c>
      <c r="F1883" s="3" t="str">
        <f>IFERROR(VLOOKUP(E1883,BD!$L$2:$Q$66,2,0),0)</f>
        <v>INCA KOLA VR 625MLX12 - STICKER</v>
      </c>
      <c r="G1883" s="424">
        <v>200</v>
      </c>
      <c r="H1883" s="3">
        <f>+IFERROR(VLOOKUP(E1883,BD!$L$2:$Q$66,6,0),0)</f>
        <v>50</v>
      </c>
      <c r="I1883" s="96">
        <f>IFERROR(G1883*VLOOKUP($E1883,BD!$L$2:$Q$66,5,0),0)</f>
        <v>80</v>
      </c>
      <c r="J1883" s="3">
        <f t="shared" si="127"/>
        <v>2021</v>
      </c>
    </row>
    <row r="1884" spans="1:10" s="9" customFormat="1" hidden="1" x14ac:dyDescent="0.25">
      <c r="A1884" s="447">
        <v>44460</v>
      </c>
      <c r="B1884" s="55" t="str">
        <f t="shared" si="124"/>
        <v>SETIEMBRE</v>
      </c>
      <c r="C1884" s="55">
        <f t="shared" si="125"/>
        <v>39</v>
      </c>
      <c r="D1884" s="3" t="str">
        <f t="shared" si="126"/>
        <v>MARTES</v>
      </c>
      <c r="E1884" s="427">
        <v>256680</v>
      </c>
      <c r="F1884" s="3" t="str">
        <f>IFERROR(VLOOKUP(E1884,BD!$L$2:$Q$66,2,0),0)</f>
        <v>TRIPACK CC+CC+IK PFM 3LX3 - RFNN</v>
      </c>
      <c r="G1884" s="424">
        <v>270</v>
      </c>
      <c r="H1884" s="3">
        <f>+IFERROR(VLOOKUP(E1884,BD!$L$2:$Q$66,6,0),0)</f>
        <v>90</v>
      </c>
      <c r="I1884" s="96">
        <f>IFERROR(G1884*VLOOKUP($E1884,BD!$L$2:$Q$66,5,0),0)</f>
        <v>45.900000000000006</v>
      </c>
      <c r="J1884" s="3">
        <f t="shared" si="127"/>
        <v>2021</v>
      </c>
    </row>
    <row r="1885" spans="1:10" s="9" customFormat="1" hidden="1" x14ac:dyDescent="0.25">
      <c r="A1885" s="447">
        <v>44460</v>
      </c>
      <c r="B1885" s="55" t="str">
        <f t="shared" si="124"/>
        <v>SETIEMBRE</v>
      </c>
      <c r="C1885" s="55">
        <f t="shared" si="125"/>
        <v>39</v>
      </c>
      <c r="D1885" s="3" t="str">
        <f t="shared" si="126"/>
        <v>MARTES</v>
      </c>
      <c r="E1885" s="427">
        <v>252436</v>
      </c>
      <c r="F1885" s="3" t="str">
        <f>IFERROR(VLOOKUP(E1885,BD!$L$2:$Q$66,2,0),0)</f>
        <v>SAN LUIS SIN GAS PET 625MLX15 C/STICKER</v>
      </c>
      <c r="G1885" s="424">
        <v>270</v>
      </c>
      <c r="H1885" s="3">
        <f>+IFERROR(VLOOKUP(E1885,BD!$L$2:$Q$66,6,0),0)</f>
        <v>90</v>
      </c>
      <c r="I1885" s="96">
        <f>IFERROR(G1885*VLOOKUP($E1885,BD!$L$2:$Q$66,5,0),0)</f>
        <v>108</v>
      </c>
      <c r="J1885" s="3">
        <f t="shared" si="127"/>
        <v>2021</v>
      </c>
    </row>
    <row r="1886" spans="1:10" s="9" customFormat="1" hidden="1" x14ac:dyDescent="0.25">
      <c r="A1886" s="447">
        <v>44460</v>
      </c>
      <c r="B1886" s="55" t="str">
        <f t="shared" si="124"/>
        <v>SETIEMBRE</v>
      </c>
      <c r="C1886" s="55">
        <f t="shared" si="125"/>
        <v>39</v>
      </c>
      <c r="D1886" s="3" t="str">
        <f t="shared" si="126"/>
        <v>MARTES</v>
      </c>
      <c r="E1886" s="427">
        <v>256601</v>
      </c>
      <c r="F1886" s="3" t="str">
        <f>IFERROR(VLOOKUP(E1886,BD!$L$2:$Q$66,2,0),0)</f>
        <v>INCA KOLA PET 2.25LX2 RF</v>
      </c>
      <c r="G1886" s="424">
        <v>324</v>
      </c>
      <c r="H1886" s="3">
        <f>+IFERROR(VLOOKUP(E1886,BD!$L$2:$Q$66,6,0),0)</f>
        <v>162</v>
      </c>
      <c r="I1886" s="96">
        <f>IFERROR(G1886*VLOOKUP($E1886,BD!$L$2:$Q$66,5,0),0)</f>
        <v>55.080000000000005</v>
      </c>
      <c r="J1886" s="3">
        <f t="shared" si="127"/>
        <v>2021</v>
      </c>
    </row>
    <row r="1887" spans="1:10" s="9" customFormat="1" hidden="1" x14ac:dyDescent="0.25">
      <c r="A1887" s="447">
        <v>44460</v>
      </c>
      <c r="B1887" s="55" t="str">
        <f t="shared" si="124"/>
        <v>SETIEMBRE</v>
      </c>
      <c r="C1887" s="55">
        <f t="shared" si="125"/>
        <v>39</v>
      </c>
      <c r="D1887" s="3" t="str">
        <f t="shared" si="126"/>
        <v>MARTES</v>
      </c>
      <c r="E1887" s="427">
        <v>251633</v>
      </c>
      <c r="F1887" s="3" t="str">
        <f>IFERROR(VLOOKUP(E1887,BD!$L$2:$Q$66,2,0),0)</f>
        <v>SAN LUIS CON GAS PET 625MLX6</v>
      </c>
      <c r="G1887" s="424">
        <v>540</v>
      </c>
      <c r="H1887" s="3">
        <f>+IFERROR(VLOOKUP(E1887,BD!$L$2:$Q$66,6,0),0)</f>
        <v>180</v>
      </c>
      <c r="I1887" s="96">
        <f>IFERROR(G1887*VLOOKUP($E1887,BD!$L$2:$Q$66,5,0),0)</f>
        <v>226.79999999999998</v>
      </c>
      <c r="J1887" s="3">
        <f t="shared" si="127"/>
        <v>2021</v>
      </c>
    </row>
    <row r="1888" spans="1:10" s="9" customFormat="1" hidden="1" x14ac:dyDescent="0.25">
      <c r="A1888" s="447">
        <v>44460</v>
      </c>
      <c r="B1888" s="55" t="str">
        <f t="shared" si="124"/>
        <v>SETIEMBRE</v>
      </c>
      <c r="C1888" s="55">
        <f t="shared" si="125"/>
        <v>39</v>
      </c>
      <c r="D1888" s="3" t="str">
        <f t="shared" si="126"/>
        <v>MARTES</v>
      </c>
      <c r="E1888" s="427">
        <v>251151</v>
      </c>
      <c r="F1888" s="3" t="str">
        <f>IFERROR(VLOOKUP(E1888,BD!$L$2:$Q$66,2,0),0)</f>
        <v>COCA COLA PET 500MLX6</v>
      </c>
      <c r="G1888" s="424">
        <v>500</v>
      </c>
      <c r="H1888" s="3">
        <f>+IFERROR(VLOOKUP(E1888,BD!$L$2:$Q$66,6,0),0)</f>
        <v>250</v>
      </c>
      <c r="I1888" s="96">
        <f>IFERROR(G1888*VLOOKUP($E1888,BD!$L$2:$Q$66,5,0),0)</f>
        <v>210</v>
      </c>
      <c r="J1888" s="3">
        <f t="shared" si="127"/>
        <v>2021</v>
      </c>
    </row>
    <row r="1889" spans="1:10" s="9" customFormat="1" hidden="1" x14ac:dyDescent="0.25">
      <c r="A1889" s="447">
        <v>44460</v>
      </c>
      <c r="B1889" s="55" t="str">
        <f t="shared" si="124"/>
        <v>SETIEMBRE</v>
      </c>
      <c r="C1889" s="55">
        <f t="shared" si="125"/>
        <v>39</v>
      </c>
      <c r="D1889" s="3" t="str">
        <f t="shared" si="126"/>
        <v>MARTES</v>
      </c>
      <c r="E1889" s="427">
        <v>751468</v>
      </c>
      <c r="F1889" s="3" t="str">
        <f>IFERROR(VLOOKUP(E1889,BD!$L$2:$Q$66,2,0),0)</f>
        <v>MONSTER ENERGY ULTRA 473MLX4</v>
      </c>
      <c r="G1889" s="424">
        <v>3360</v>
      </c>
      <c r="H1889" s="3">
        <f>+IFERROR(VLOOKUP(E1889,BD!$L$2:$Q$66,6,0),0)</f>
        <v>420</v>
      </c>
      <c r="I1889" s="96">
        <f>IFERROR(G1889*VLOOKUP($E1889,BD!$L$2:$Q$66,5,0),0)</f>
        <v>1411.2</v>
      </c>
      <c r="J1889" s="3">
        <f t="shared" si="127"/>
        <v>2021</v>
      </c>
    </row>
    <row r="1890" spans="1:10" s="9" customFormat="1" hidden="1" x14ac:dyDescent="0.25">
      <c r="A1890" s="447">
        <v>44460</v>
      </c>
      <c r="B1890" s="55" t="str">
        <f t="shared" si="124"/>
        <v>SETIEMBRE</v>
      </c>
      <c r="C1890" s="55">
        <f t="shared" si="125"/>
        <v>39</v>
      </c>
      <c r="D1890" s="3" t="str">
        <f t="shared" si="126"/>
        <v>MARTES</v>
      </c>
      <c r="E1890" s="427">
        <v>256708</v>
      </c>
      <c r="F1890" s="3" t="str">
        <f>IFERROR(VLOOKUP(E1890,BD!$L$2:$Q$66,2,0),0)</f>
        <v>POWERADE ION4 FRUTA PET473X6 MOD (STICK)</v>
      </c>
      <c r="G1890" s="424">
        <v>225</v>
      </c>
      <c r="H1890" s="3">
        <f>+IFERROR(VLOOKUP(E1890,BD!$L$2:$Q$66,6,0),0)</f>
        <v>225</v>
      </c>
      <c r="I1890" s="96">
        <f>IFERROR(G1890*VLOOKUP($E1890,BD!$L$2:$Q$66,5,0),0)</f>
        <v>90</v>
      </c>
      <c r="J1890" s="3">
        <f t="shared" si="127"/>
        <v>2021</v>
      </c>
    </row>
    <row r="1891" spans="1:10" s="9" customFormat="1" hidden="1" x14ac:dyDescent="0.25">
      <c r="A1891" s="447">
        <v>44460</v>
      </c>
      <c r="B1891" s="55" t="str">
        <f t="shared" si="124"/>
        <v>SETIEMBRE</v>
      </c>
      <c r="C1891" s="55">
        <f t="shared" si="125"/>
        <v>39</v>
      </c>
      <c r="D1891" s="3" t="str">
        <f t="shared" si="126"/>
        <v>MARTES</v>
      </c>
      <c r="E1891" s="427">
        <v>256709</v>
      </c>
      <c r="F1891" s="3" t="str">
        <f>IFERROR(VLOOKUP(E1891,BD!$L$2:$Q$66,2,0),0)</f>
        <v>POWERADE ION4 MORA AZ PET473X6 MOD(STCK)</v>
      </c>
      <c r="G1891" s="424">
        <v>450</v>
      </c>
      <c r="H1891" s="3">
        <f>+IFERROR(VLOOKUP(E1891,BD!$L$2:$Q$66,6,0),0)</f>
        <v>225</v>
      </c>
      <c r="I1891" s="96">
        <f>IFERROR(G1891*VLOOKUP($E1891,BD!$L$2:$Q$66,5,0),0)</f>
        <v>180</v>
      </c>
      <c r="J1891" s="3">
        <f t="shared" si="127"/>
        <v>2021</v>
      </c>
    </row>
    <row r="1892" spans="1:10" s="9" customFormat="1" hidden="1" x14ac:dyDescent="0.25">
      <c r="A1892" s="447">
        <v>44460</v>
      </c>
      <c r="B1892" s="55" t="str">
        <f t="shared" si="124"/>
        <v>SETIEMBRE</v>
      </c>
      <c r="C1892" s="55">
        <f t="shared" si="125"/>
        <v>39</v>
      </c>
      <c r="D1892" s="3" t="str">
        <f t="shared" si="126"/>
        <v>MARTES</v>
      </c>
      <c r="E1892" s="427">
        <v>256677</v>
      </c>
      <c r="F1892" s="3" t="str">
        <f>IFERROR(VLOOKUP(E1892,BD!$L$2:$Q$66,2,0),0)</f>
        <v>TWO PACK CC + IK PFM 3LX2 - RFNN</v>
      </c>
      <c r="G1892" s="424">
        <v>1680</v>
      </c>
      <c r="H1892" s="3">
        <f>+IFERROR(VLOOKUP(E1892,BD!$L$2:$Q$66,6,0),0)</f>
        <v>120</v>
      </c>
      <c r="I1892" s="96">
        <f>IFERROR(G1892*VLOOKUP($E1892,BD!$L$2:$Q$66,5,0),0)</f>
        <v>285.60000000000002</v>
      </c>
      <c r="J1892" s="3">
        <f t="shared" si="127"/>
        <v>2021</v>
      </c>
    </row>
    <row r="1893" spans="1:10" s="9" customFormat="1" hidden="1" x14ac:dyDescent="0.25">
      <c r="A1893" s="447">
        <v>44460</v>
      </c>
      <c r="B1893" s="55" t="str">
        <f t="shared" si="124"/>
        <v>SETIEMBRE</v>
      </c>
      <c r="C1893" s="55">
        <f t="shared" si="125"/>
        <v>39</v>
      </c>
      <c r="D1893" s="3" t="str">
        <f t="shared" si="126"/>
        <v>MARTES</v>
      </c>
      <c r="E1893" s="427">
        <v>251632</v>
      </c>
      <c r="F1893" s="3" t="str">
        <f>IFERROR(VLOOKUP(E1893,BD!$L$2:$Q$66,2,0),0)</f>
        <v>SAN LUIS SIN GAS PET 625MLX06 MOD</v>
      </c>
      <c r="G1893" s="424">
        <v>180</v>
      </c>
      <c r="H1893" s="3">
        <f>+IFERROR(VLOOKUP(E1893,BD!$L$2:$Q$66,6,0),0)</f>
        <v>180</v>
      </c>
      <c r="I1893" s="96">
        <f>IFERROR(G1893*VLOOKUP($E1893,BD!$L$2:$Q$66,5,0),0)</f>
        <v>75.599999999999994</v>
      </c>
      <c r="J1893" s="3">
        <f t="shared" si="127"/>
        <v>2021</v>
      </c>
    </row>
    <row r="1894" spans="1:10" s="9" customFormat="1" hidden="1" x14ac:dyDescent="0.25">
      <c r="A1894" s="447">
        <v>44460</v>
      </c>
      <c r="B1894" s="55" t="str">
        <f t="shared" si="124"/>
        <v>SETIEMBRE</v>
      </c>
      <c r="C1894" s="55">
        <f t="shared" si="125"/>
        <v>39</v>
      </c>
      <c r="D1894" s="3" t="str">
        <f t="shared" si="126"/>
        <v>MARTES</v>
      </c>
      <c r="E1894" s="427">
        <v>256727</v>
      </c>
      <c r="F1894" s="3" t="str">
        <f>IFERROR(VLOOKUP(E1894,BD!$L$2:$Q$66,2,0),0)</f>
        <v>INCA KOLA POWER (CAMU+MACA) PET 410MLX12</v>
      </c>
      <c r="G1894" s="424">
        <v>5200</v>
      </c>
      <c r="H1894" s="3">
        <f>+IFERROR(VLOOKUP(E1894,BD!$L$2:$Q$66,6,0),0)</f>
        <v>420</v>
      </c>
      <c r="I1894" s="96">
        <f>IFERROR(G1894*VLOOKUP($E1894,BD!$L$2:$Q$66,5,0),0)</f>
        <v>6240</v>
      </c>
      <c r="J1894" s="3">
        <f t="shared" si="127"/>
        <v>2021</v>
      </c>
    </row>
    <row r="1895" spans="1:10" s="9" customFormat="1" hidden="1" x14ac:dyDescent="0.25">
      <c r="A1895" s="447">
        <v>44461</v>
      </c>
      <c r="B1895" s="55" t="str">
        <f t="shared" si="124"/>
        <v>SETIEMBRE</v>
      </c>
      <c r="C1895" s="55">
        <f t="shared" si="125"/>
        <v>39</v>
      </c>
      <c r="D1895" s="3" t="str">
        <f t="shared" si="126"/>
        <v>MIÉRCOLES</v>
      </c>
      <c r="E1895" s="427">
        <v>256548</v>
      </c>
      <c r="F1895" s="3" t="str">
        <f>IFERROR(VLOOKUP(E1895,BD!$L$2:$Q$66,2,0),0)</f>
        <v>TWO PACK CC PET 1.5LX2 - CRC</v>
      </c>
      <c r="G1895" s="424">
        <v>216</v>
      </c>
      <c r="H1895" s="3">
        <f>+IFERROR(VLOOKUP(E1895,BD!$L$2:$Q$66,6,0),0)</f>
        <v>198</v>
      </c>
      <c r="I1895" s="96">
        <f>IFERROR(G1895*VLOOKUP($E1895,BD!$L$2:$Q$66,5,0),0)</f>
        <v>36.720000000000006</v>
      </c>
      <c r="J1895" s="3">
        <f t="shared" si="127"/>
        <v>2021</v>
      </c>
    </row>
    <row r="1896" spans="1:10" s="9" customFormat="1" hidden="1" x14ac:dyDescent="0.25">
      <c r="A1896" s="447">
        <v>44461</v>
      </c>
      <c r="B1896" s="55" t="str">
        <f t="shared" si="124"/>
        <v>SETIEMBRE</v>
      </c>
      <c r="C1896" s="55">
        <f t="shared" si="125"/>
        <v>39</v>
      </c>
      <c r="D1896" s="3" t="str">
        <f t="shared" si="126"/>
        <v>MIÉRCOLES</v>
      </c>
      <c r="E1896" s="427">
        <v>251429</v>
      </c>
      <c r="F1896" s="3" t="str">
        <f>IFERROR(VLOOKUP(E1896,BD!$L$2:$Q$66,2,0),0)</f>
        <v>SAN LUIS SIN GAS PET2500X6 STICKER</v>
      </c>
      <c r="G1896" s="424">
        <v>528</v>
      </c>
      <c r="H1896" s="3">
        <f>+IFERROR(VLOOKUP(E1896,BD!$L$2:$Q$66,6,0),0)</f>
        <v>48</v>
      </c>
      <c r="I1896" s="96">
        <f>IFERROR(G1896*VLOOKUP($E1896,BD!$L$2:$Q$66,5,0),0)</f>
        <v>211.20000000000002</v>
      </c>
      <c r="J1896" s="3">
        <f t="shared" si="127"/>
        <v>2021</v>
      </c>
    </row>
    <row r="1897" spans="1:10" s="9" customFormat="1" hidden="1" x14ac:dyDescent="0.25">
      <c r="A1897" s="447">
        <v>44461</v>
      </c>
      <c r="B1897" s="55" t="str">
        <f t="shared" si="124"/>
        <v>SETIEMBRE</v>
      </c>
      <c r="C1897" s="55">
        <f t="shared" si="125"/>
        <v>39</v>
      </c>
      <c r="D1897" s="3" t="str">
        <f t="shared" si="126"/>
        <v>MIÉRCOLES</v>
      </c>
      <c r="E1897" s="427">
        <v>256379</v>
      </c>
      <c r="F1897" s="3" t="str">
        <f>IFERROR(VLOOKUP(E1897,BD!$L$2:$Q$66,2,0),0)</f>
        <v>INCA KOLA VR 625MLX12 - STICKER</v>
      </c>
      <c r="G1897" s="424">
        <v>350</v>
      </c>
      <c r="H1897" s="3">
        <f>+IFERROR(VLOOKUP(E1897,BD!$L$2:$Q$66,6,0),0)</f>
        <v>50</v>
      </c>
      <c r="I1897" s="96">
        <f>IFERROR(G1897*VLOOKUP($E1897,BD!$L$2:$Q$66,5,0),0)</f>
        <v>140</v>
      </c>
      <c r="J1897" s="3">
        <f t="shared" si="127"/>
        <v>2021</v>
      </c>
    </row>
    <row r="1898" spans="1:10" s="9" customFormat="1" hidden="1" x14ac:dyDescent="0.25">
      <c r="A1898" s="447">
        <v>44461</v>
      </c>
      <c r="B1898" s="55" t="str">
        <f t="shared" si="124"/>
        <v>SETIEMBRE</v>
      </c>
      <c r="C1898" s="55">
        <f t="shared" si="125"/>
        <v>39</v>
      </c>
      <c r="D1898" s="3" t="str">
        <f t="shared" si="126"/>
        <v>MIÉRCOLES</v>
      </c>
      <c r="E1898" s="427">
        <v>256380</v>
      </c>
      <c r="F1898" s="3" t="str">
        <f>IFERROR(VLOOKUP(E1898,BD!$L$2:$Q$66,2,0),0)</f>
        <v>INCA KOLA VR 296MLX24 - STICKER</v>
      </c>
      <c r="G1898" s="424">
        <v>200</v>
      </c>
      <c r="H1898" s="3">
        <f>+IFERROR(VLOOKUP(E1898,BD!$L$2:$Q$66,6,0),0)</f>
        <v>40</v>
      </c>
      <c r="I1898" s="96">
        <f>IFERROR(G1898*VLOOKUP($E1898,BD!$L$2:$Q$66,5,0),0)</f>
        <v>46</v>
      </c>
      <c r="J1898" s="3">
        <f t="shared" si="127"/>
        <v>2021</v>
      </c>
    </row>
    <row r="1899" spans="1:10" s="9" customFormat="1" hidden="1" x14ac:dyDescent="0.25">
      <c r="A1899" s="447">
        <v>44461</v>
      </c>
      <c r="B1899" s="55" t="str">
        <f t="shared" si="124"/>
        <v>SETIEMBRE</v>
      </c>
      <c r="C1899" s="55">
        <f t="shared" si="125"/>
        <v>39</v>
      </c>
      <c r="D1899" s="3" t="str">
        <f t="shared" si="126"/>
        <v>MIÉRCOLES</v>
      </c>
      <c r="E1899" s="427">
        <v>256381</v>
      </c>
      <c r="F1899" s="3" t="str">
        <f>IFERROR(VLOOKUP(E1899,BD!$L$2:$Q$66,2,0),0)</f>
        <v>INCA KOLA VR 1.5LX8 - STICKER</v>
      </c>
      <c r="G1899" s="424">
        <v>60</v>
      </c>
      <c r="H1899" s="3">
        <f>+IFERROR(VLOOKUP(E1899,BD!$L$2:$Q$66,6,0),0)</f>
        <v>30</v>
      </c>
      <c r="I1899" s="96">
        <f>IFERROR(G1899*VLOOKUP($E1899,BD!$L$2:$Q$66,5,0),0)</f>
        <v>24</v>
      </c>
      <c r="J1899" s="3">
        <f t="shared" si="127"/>
        <v>2021</v>
      </c>
    </row>
    <row r="1900" spans="1:10" s="9" customFormat="1" hidden="1" x14ac:dyDescent="0.25">
      <c r="A1900" s="447">
        <v>44461</v>
      </c>
      <c r="B1900" s="55" t="str">
        <f t="shared" si="124"/>
        <v>SETIEMBRE</v>
      </c>
      <c r="C1900" s="55">
        <f t="shared" si="125"/>
        <v>39</v>
      </c>
      <c r="D1900" s="3" t="str">
        <f t="shared" si="126"/>
        <v>MIÉRCOLES</v>
      </c>
      <c r="E1900" s="427">
        <v>256383</v>
      </c>
      <c r="F1900" s="3" t="str">
        <f>IFERROR(VLOOKUP(E1900,BD!$L$2:$Q$66,2,0),0)</f>
        <v>COCA COLA VR 1.5LX8 - STICKER</v>
      </c>
      <c r="G1900" s="424">
        <v>60</v>
      </c>
      <c r="H1900" s="3">
        <f>+IFERROR(VLOOKUP(E1900,BD!$L$2:$Q$66,6,0),0)</f>
        <v>30</v>
      </c>
      <c r="I1900" s="96">
        <f>IFERROR(G1900*VLOOKUP($E1900,BD!$L$2:$Q$66,5,0),0)</f>
        <v>13.8</v>
      </c>
      <c r="J1900" s="3">
        <f t="shared" si="127"/>
        <v>2021</v>
      </c>
    </row>
    <row r="1901" spans="1:10" s="9" customFormat="1" hidden="1" x14ac:dyDescent="0.25">
      <c r="A1901" s="447">
        <v>44461</v>
      </c>
      <c r="B1901" s="55" t="str">
        <f t="shared" si="124"/>
        <v>SETIEMBRE</v>
      </c>
      <c r="C1901" s="55">
        <f t="shared" si="125"/>
        <v>39</v>
      </c>
      <c r="D1901" s="3" t="str">
        <f t="shared" si="126"/>
        <v>MIÉRCOLES</v>
      </c>
      <c r="E1901" s="427">
        <v>256675</v>
      </c>
      <c r="F1901" s="3" t="str">
        <f>IFERROR(VLOOKUP(E1901,BD!$L$2:$Q$66,2,0),0)</f>
        <v>INCA KOLA PET 1.5LX2 RF</v>
      </c>
      <c r="G1901" s="424">
        <v>864</v>
      </c>
      <c r="H1901" s="3">
        <f>+IFERROR(VLOOKUP(E1901,BD!$L$2:$Q$66,6,0),0)</f>
        <v>198</v>
      </c>
      <c r="I1901" s="96">
        <f>IFERROR(G1901*VLOOKUP($E1901,BD!$L$2:$Q$66,5,0),0)</f>
        <v>146.88000000000002</v>
      </c>
      <c r="J1901" s="3">
        <f t="shared" si="127"/>
        <v>2021</v>
      </c>
    </row>
    <row r="1902" spans="1:10" s="9" customFormat="1" hidden="1" x14ac:dyDescent="0.25">
      <c r="A1902" s="447">
        <v>44461</v>
      </c>
      <c r="B1902" s="55" t="str">
        <f t="shared" si="124"/>
        <v>SETIEMBRE</v>
      </c>
      <c r="C1902" s="55">
        <f t="shared" si="125"/>
        <v>39</v>
      </c>
      <c r="D1902" s="3" t="str">
        <f t="shared" si="126"/>
        <v>MIÉRCOLES</v>
      </c>
      <c r="E1902" s="427">
        <v>256680</v>
      </c>
      <c r="F1902" s="3" t="str">
        <f>IFERROR(VLOOKUP(E1902,BD!$L$2:$Q$66,2,0),0)</f>
        <v>TRIPACK CC+CC+IK PFM 3LX3 - RFNN</v>
      </c>
      <c r="G1902" s="424">
        <v>1440</v>
      </c>
      <c r="H1902" s="3">
        <f>+IFERROR(VLOOKUP(E1902,BD!$L$2:$Q$66,6,0),0)</f>
        <v>90</v>
      </c>
      <c r="I1902" s="96">
        <f>IFERROR(G1902*VLOOKUP($E1902,BD!$L$2:$Q$66,5,0),0)</f>
        <v>244.8</v>
      </c>
      <c r="J1902" s="3">
        <f t="shared" si="127"/>
        <v>2021</v>
      </c>
    </row>
    <row r="1903" spans="1:10" s="9" customFormat="1" hidden="1" x14ac:dyDescent="0.25">
      <c r="A1903" s="447">
        <v>44461</v>
      </c>
      <c r="B1903" s="55" t="str">
        <f t="shared" si="124"/>
        <v>SETIEMBRE</v>
      </c>
      <c r="C1903" s="55">
        <f t="shared" si="125"/>
        <v>39</v>
      </c>
      <c r="D1903" s="3" t="str">
        <f t="shared" si="126"/>
        <v>MIÉRCOLES</v>
      </c>
      <c r="E1903" s="427">
        <v>256695</v>
      </c>
      <c r="F1903" s="3" t="str">
        <f>IFERROR(VLOOKUP(E1903,BD!$L$2:$Q$66,2,0),0)</f>
        <v>POWERADE 3MORA+3FRUT PET 473MLX6</v>
      </c>
      <c r="G1903" s="424">
        <v>450</v>
      </c>
      <c r="H1903" s="3">
        <f>+IFERROR(VLOOKUP(E1903,BD!$L$2:$Q$66,6,0),0)</f>
        <v>225</v>
      </c>
      <c r="I1903" s="96">
        <f>IFERROR(G1903*VLOOKUP($E1903,BD!$L$2:$Q$66,5,0),0)</f>
        <v>189</v>
      </c>
      <c r="J1903" s="3">
        <f t="shared" si="127"/>
        <v>2021</v>
      </c>
    </row>
    <row r="1904" spans="1:10" s="9" customFormat="1" hidden="1" x14ac:dyDescent="0.25">
      <c r="A1904" s="447">
        <v>44461</v>
      </c>
      <c r="B1904" s="55" t="str">
        <f t="shared" si="124"/>
        <v>SETIEMBRE</v>
      </c>
      <c r="C1904" s="55">
        <f t="shared" si="125"/>
        <v>39</v>
      </c>
      <c r="D1904" s="3" t="str">
        <f t="shared" si="126"/>
        <v>MIÉRCOLES</v>
      </c>
      <c r="E1904" s="427">
        <v>256708</v>
      </c>
      <c r="F1904" s="3" t="str">
        <f>IFERROR(VLOOKUP(E1904,BD!$L$2:$Q$66,2,0),0)</f>
        <v>POWERADE ION4 FRUTA PET473X6 MOD (STICK)</v>
      </c>
      <c r="G1904" s="424">
        <v>2250</v>
      </c>
      <c r="H1904" s="3">
        <f>+IFERROR(VLOOKUP(E1904,BD!$L$2:$Q$66,6,0),0)</f>
        <v>225</v>
      </c>
      <c r="I1904" s="96">
        <f>IFERROR(G1904*VLOOKUP($E1904,BD!$L$2:$Q$66,5,0),0)</f>
        <v>900</v>
      </c>
      <c r="J1904" s="3">
        <f t="shared" si="127"/>
        <v>2021</v>
      </c>
    </row>
    <row r="1905" spans="1:10" s="9" customFormat="1" hidden="1" x14ac:dyDescent="0.25">
      <c r="A1905" s="447">
        <v>44461</v>
      </c>
      <c r="B1905" s="55" t="str">
        <f t="shared" si="124"/>
        <v>SETIEMBRE</v>
      </c>
      <c r="C1905" s="55">
        <f t="shared" si="125"/>
        <v>39</v>
      </c>
      <c r="D1905" s="3" t="str">
        <f t="shared" si="126"/>
        <v>MIÉRCOLES</v>
      </c>
      <c r="E1905" s="427">
        <v>256709</v>
      </c>
      <c r="F1905" s="3" t="str">
        <f>IFERROR(VLOOKUP(E1905,BD!$L$2:$Q$66,2,0),0)</f>
        <v>POWERADE ION4 MORA AZ PET473X6 MOD(STCK)</v>
      </c>
      <c r="G1905" s="424">
        <v>1575</v>
      </c>
      <c r="H1905" s="3">
        <f>+IFERROR(VLOOKUP(E1905,BD!$L$2:$Q$66,6,0),0)</f>
        <v>225</v>
      </c>
      <c r="I1905" s="96">
        <f>IFERROR(G1905*VLOOKUP($E1905,BD!$L$2:$Q$66,5,0),0)</f>
        <v>630</v>
      </c>
      <c r="J1905" s="3">
        <f t="shared" si="127"/>
        <v>2021</v>
      </c>
    </row>
    <row r="1906" spans="1:10" s="9" customFormat="1" hidden="1" x14ac:dyDescent="0.25">
      <c r="A1906" s="447">
        <v>44461</v>
      </c>
      <c r="B1906" s="55" t="str">
        <f t="shared" si="124"/>
        <v>SETIEMBRE</v>
      </c>
      <c r="C1906" s="55">
        <f t="shared" si="125"/>
        <v>39</v>
      </c>
      <c r="D1906" s="3" t="str">
        <f t="shared" si="126"/>
        <v>MIÉRCOLES</v>
      </c>
      <c r="E1906" s="427">
        <v>256720</v>
      </c>
      <c r="F1906" s="3" t="str">
        <f>IFERROR(VLOOKUP(E1906,BD!$L$2:$Q$66,2,0),0)</f>
        <v>FANTA NARANJA PET 500MLX6 BRANDEADO MOD</v>
      </c>
      <c r="G1906" s="424">
        <v>1000</v>
      </c>
      <c r="H1906" s="3">
        <f>+IFERROR(VLOOKUP(E1906,BD!$L$2:$Q$66,6,0),0)</f>
        <v>420</v>
      </c>
      <c r="I1906" s="96">
        <f>IFERROR(G1906*VLOOKUP($E1906,BD!$L$2:$Q$66,5,0),0)</f>
        <v>420</v>
      </c>
      <c r="J1906" s="3">
        <f t="shared" si="127"/>
        <v>2021</v>
      </c>
    </row>
    <row r="1907" spans="1:10" s="9" customFormat="1" hidden="1" x14ac:dyDescent="0.25">
      <c r="A1907" s="447">
        <v>44461</v>
      </c>
      <c r="B1907" s="55" t="str">
        <f t="shared" si="124"/>
        <v>SETIEMBRE</v>
      </c>
      <c r="C1907" s="55">
        <f t="shared" si="125"/>
        <v>39</v>
      </c>
      <c r="D1907" s="3" t="str">
        <f t="shared" si="126"/>
        <v>MIÉRCOLES</v>
      </c>
      <c r="E1907" s="427">
        <v>256601</v>
      </c>
      <c r="F1907" s="3" t="str">
        <f>IFERROR(VLOOKUP(E1907,BD!$L$2:$Q$66,2,0),0)</f>
        <v>INCA KOLA PET 2.25LX2 RF</v>
      </c>
      <c r="G1907" s="424">
        <v>1134</v>
      </c>
      <c r="H1907" s="3">
        <f>+IFERROR(VLOOKUP(E1907,BD!$L$2:$Q$66,6,0),0)</f>
        <v>162</v>
      </c>
      <c r="I1907" s="96">
        <f>IFERROR(G1907*VLOOKUP($E1907,BD!$L$2:$Q$66,5,0),0)</f>
        <v>192.78</v>
      </c>
      <c r="J1907" s="3">
        <f t="shared" si="127"/>
        <v>2021</v>
      </c>
    </row>
    <row r="1908" spans="1:10" s="9" customFormat="1" hidden="1" x14ac:dyDescent="0.25">
      <c r="A1908" s="447">
        <v>44461</v>
      </c>
      <c r="B1908" s="55" t="str">
        <f t="shared" si="124"/>
        <v>SETIEMBRE</v>
      </c>
      <c r="C1908" s="55">
        <f t="shared" si="125"/>
        <v>39</v>
      </c>
      <c r="D1908" s="3" t="str">
        <f t="shared" si="126"/>
        <v>MIÉRCOLES</v>
      </c>
      <c r="E1908" s="427">
        <v>256666</v>
      </c>
      <c r="F1908" s="3" t="str">
        <f>IFERROR(VLOOKUP(E1908,BD!$L$2:$Q$66,2,0),0)</f>
        <v>COCA-COLA PET 2.25LX2 RF</v>
      </c>
      <c r="G1908" s="424">
        <v>648</v>
      </c>
      <c r="H1908" s="3">
        <f>+IFERROR(VLOOKUP(E1908,BD!$L$2:$Q$66,6,0),0)</f>
        <v>162</v>
      </c>
      <c r="I1908" s="96">
        <f>IFERROR(G1908*VLOOKUP($E1908,BD!$L$2:$Q$66,5,0),0)</f>
        <v>110.16000000000001</v>
      </c>
      <c r="J1908" s="3">
        <f t="shared" si="127"/>
        <v>2021</v>
      </c>
    </row>
    <row r="1909" spans="1:10" s="9" customFormat="1" hidden="1" x14ac:dyDescent="0.25">
      <c r="A1909" s="447">
        <v>44461</v>
      </c>
      <c r="B1909" s="55" t="str">
        <f t="shared" si="124"/>
        <v>SETIEMBRE</v>
      </c>
      <c r="C1909" s="55">
        <f t="shared" si="125"/>
        <v>39</v>
      </c>
      <c r="D1909" s="3" t="str">
        <f t="shared" si="126"/>
        <v>MIÉRCOLES</v>
      </c>
      <c r="E1909" s="427">
        <v>256617</v>
      </c>
      <c r="F1909" s="3" t="str">
        <f>IFERROR(VLOOKUP(E1909,BD!$L$2:$Q$66,2,0),0)</f>
        <v>TWO PACK SCHWEPPES GINGER ALE PET 1.5LX2</v>
      </c>
      <c r="G1909" s="424">
        <v>1584</v>
      </c>
      <c r="H1909" s="3">
        <f>+IFERROR(VLOOKUP(E1909,BD!$L$2:$Q$66,6,0),0)</f>
        <v>198</v>
      </c>
      <c r="I1909" s="96">
        <f>IFERROR(G1909*VLOOKUP($E1909,BD!$L$2:$Q$66,5,0),0)</f>
        <v>269.28000000000003</v>
      </c>
      <c r="J1909" s="3">
        <f t="shared" si="127"/>
        <v>2021</v>
      </c>
    </row>
    <row r="1910" spans="1:10" s="9" customFormat="1" hidden="1" x14ac:dyDescent="0.25">
      <c r="A1910" s="447">
        <v>44461</v>
      </c>
      <c r="B1910" s="55" t="str">
        <f t="shared" si="124"/>
        <v>SETIEMBRE</v>
      </c>
      <c r="C1910" s="55">
        <f t="shared" si="125"/>
        <v>39</v>
      </c>
      <c r="D1910" s="3" t="str">
        <f t="shared" si="126"/>
        <v>MIÉRCOLES</v>
      </c>
      <c r="E1910" s="427">
        <v>256549</v>
      </c>
      <c r="F1910" s="3" t="str">
        <f>IFERROR(VLOOKUP(E1910,BD!$L$2:$Q$66,2,0),0)</f>
        <v>TWO PACK IK PET 1.5LX2 - CRCG</v>
      </c>
      <c r="G1910" s="424">
        <v>864</v>
      </c>
      <c r="H1910" s="3">
        <f>+IFERROR(VLOOKUP(E1910,BD!$L$2:$Q$66,6,0),0)</f>
        <v>198</v>
      </c>
      <c r="I1910" s="96">
        <f>IFERROR(G1910*VLOOKUP($E1910,BD!$L$2:$Q$66,5,0),0)</f>
        <v>146.88000000000002</v>
      </c>
      <c r="J1910" s="3">
        <f t="shared" si="127"/>
        <v>2021</v>
      </c>
    </row>
    <row r="1911" spans="1:10" s="9" customFormat="1" hidden="1" x14ac:dyDescent="0.25">
      <c r="A1911" s="447">
        <v>44461</v>
      </c>
      <c r="B1911" s="55" t="str">
        <f t="shared" si="124"/>
        <v>SETIEMBRE</v>
      </c>
      <c r="C1911" s="55">
        <f t="shared" si="125"/>
        <v>39</v>
      </c>
      <c r="D1911" s="3" t="str">
        <f t="shared" si="126"/>
        <v>MIÉRCOLES</v>
      </c>
      <c r="E1911" s="427">
        <v>254853</v>
      </c>
      <c r="F1911" s="3" t="str">
        <f>IFERROR(VLOOKUP(E1911,BD!$L$2:$Q$66,2,0),0)</f>
        <v>INCA KOLA SIN AZUCAR PET 1.5LX2</v>
      </c>
      <c r="G1911" s="424">
        <v>1728</v>
      </c>
      <c r="H1911" s="3">
        <f>+IFERROR(VLOOKUP(E1911,BD!$L$2:$Q$66,6,0),0)</f>
        <v>198</v>
      </c>
      <c r="I1911" s="96">
        <f>IFERROR(G1911*VLOOKUP($E1911,BD!$L$2:$Q$66,5,0),0)</f>
        <v>293.76000000000005</v>
      </c>
      <c r="J1911" s="3">
        <f t="shared" si="127"/>
        <v>2021</v>
      </c>
    </row>
    <row r="1912" spans="1:10" s="9" customFormat="1" hidden="1" x14ac:dyDescent="0.25">
      <c r="A1912" s="447">
        <v>44461</v>
      </c>
      <c r="B1912" s="55" t="str">
        <f t="shared" si="124"/>
        <v>SETIEMBRE</v>
      </c>
      <c r="C1912" s="55">
        <f t="shared" si="125"/>
        <v>39</v>
      </c>
      <c r="D1912" s="3" t="str">
        <f t="shared" si="126"/>
        <v>MIÉRCOLES</v>
      </c>
      <c r="E1912" s="427">
        <v>251406</v>
      </c>
      <c r="F1912" s="3" t="str">
        <f>IFERROR(VLOOKUP(E1912,BD!$L$2:$Q$66,2,0),0)</f>
        <v>COCA-COLA SIN AZUCAR PET 1.5LX2</v>
      </c>
      <c r="G1912" s="424">
        <v>1728</v>
      </c>
      <c r="H1912" s="3">
        <f>+IFERROR(VLOOKUP(E1912,BD!$L$2:$Q$66,6,0),0)</f>
        <v>198</v>
      </c>
      <c r="I1912" s="96">
        <f>IFERROR(G1912*VLOOKUP($E1912,BD!$L$2:$Q$66,5,0),0)</f>
        <v>293.76000000000005</v>
      </c>
      <c r="J1912" s="3">
        <f t="shared" si="127"/>
        <v>2021</v>
      </c>
    </row>
    <row r="1913" spans="1:10" s="9" customFormat="1" hidden="1" x14ac:dyDescent="0.25">
      <c r="A1913" s="447">
        <v>44461</v>
      </c>
      <c r="B1913" s="55" t="str">
        <f t="shared" si="124"/>
        <v>SETIEMBRE</v>
      </c>
      <c r="C1913" s="55">
        <f t="shared" si="125"/>
        <v>39</v>
      </c>
      <c r="D1913" s="3" t="str">
        <f t="shared" si="126"/>
        <v>MIÉRCOLES</v>
      </c>
      <c r="E1913" s="427">
        <v>251633</v>
      </c>
      <c r="F1913" s="3" t="str">
        <f>IFERROR(VLOOKUP(E1913,BD!$L$2:$Q$66,2,0),0)</f>
        <v>SAN LUIS CON GAS PET 625MLX6</v>
      </c>
      <c r="G1913" s="424">
        <v>360</v>
      </c>
      <c r="H1913" s="3">
        <f>+IFERROR(VLOOKUP(E1913,BD!$L$2:$Q$66,6,0),0)</f>
        <v>180</v>
      </c>
      <c r="I1913" s="96">
        <f>IFERROR(G1913*VLOOKUP($E1913,BD!$L$2:$Q$66,5,0),0)</f>
        <v>151.19999999999999</v>
      </c>
      <c r="J1913" s="3">
        <f t="shared" si="127"/>
        <v>2021</v>
      </c>
    </row>
    <row r="1914" spans="1:10" s="9" customFormat="1" hidden="1" x14ac:dyDescent="0.25">
      <c r="A1914" s="447">
        <v>44461</v>
      </c>
      <c r="B1914" s="55" t="str">
        <f t="shared" si="124"/>
        <v>SETIEMBRE</v>
      </c>
      <c r="C1914" s="55">
        <f t="shared" si="125"/>
        <v>39</v>
      </c>
      <c r="D1914" s="3" t="str">
        <f t="shared" si="126"/>
        <v>MIÉRCOLES</v>
      </c>
      <c r="E1914" s="427">
        <v>251633</v>
      </c>
      <c r="F1914" s="3" t="str">
        <f>IFERROR(VLOOKUP(E1914,BD!$L$2:$Q$66,2,0),0)</f>
        <v>SAN LUIS CON GAS PET 625MLX6</v>
      </c>
      <c r="G1914" s="424">
        <v>540</v>
      </c>
      <c r="H1914" s="3">
        <f>+IFERROR(VLOOKUP(E1914,BD!$L$2:$Q$66,6,0),0)</f>
        <v>180</v>
      </c>
      <c r="I1914" s="96">
        <f>IFERROR(G1914*VLOOKUP($E1914,BD!$L$2:$Q$66,5,0),0)</f>
        <v>226.79999999999998</v>
      </c>
      <c r="J1914" s="3">
        <f t="shared" si="127"/>
        <v>2021</v>
      </c>
    </row>
    <row r="1915" spans="1:10" s="9" customFormat="1" hidden="1" x14ac:dyDescent="0.25">
      <c r="A1915" s="447">
        <v>44461</v>
      </c>
      <c r="B1915" s="55" t="str">
        <f t="shared" ref="B1915:B1978" si="128">UPPER(TEXT(A1915,"MMMM"))</f>
        <v>SETIEMBRE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7">
        <v>751468</v>
      </c>
      <c r="F1915" s="3" t="str">
        <f>IFERROR(VLOOKUP(E1915,BD!$L$2:$Q$66,2,0),0)</f>
        <v>MONSTER ENERGY ULTRA 473MLX4</v>
      </c>
      <c r="G1915" s="424">
        <v>1680</v>
      </c>
      <c r="H1915" s="3">
        <f>+IFERROR(VLOOKUP(E1915,BD!$L$2:$Q$66,6,0),0)</f>
        <v>420</v>
      </c>
      <c r="I1915" s="96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hidden="1" x14ac:dyDescent="0.25">
      <c r="A1916" s="447">
        <v>44461</v>
      </c>
      <c r="B1916" s="55" t="str">
        <f t="shared" si="128"/>
        <v>SETIEMBRE</v>
      </c>
      <c r="C1916" s="55">
        <f t="shared" si="129"/>
        <v>39</v>
      </c>
      <c r="D1916" s="3" t="str">
        <f t="shared" si="130"/>
        <v>MIÉRCOLES</v>
      </c>
      <c r="E1916" s="427">
        <v>751315</v>
      </c>
      <c r="F1916" s="3" t="str">
        <f>IFERROR(VLOOKUP(E1916,BD!$L$2:$Q$66,2,0),0)</f>
        <v>MONSTER ENERGY 473MLX4</v>
      </c>
      <c r="G1916" s="424">
        <v>840</v>
      </c>
      <c r="H1916" s="3">
        <f>+IFERROR(VLOOKUP(E1916,BD!$L$2:$Q$66,6,0),0)</f>
        <v>420</v>
      </c>
      <c r="I1916" s="96">
        <f>IFERROR(G1916*VLOOKUP($E1916,BD!$L$2:$Q$66,5,0),0)</f>
        <v>352.8</v>
      </c>
      <c r="J1916" s="3">
        <f t="shared" si="131"/>
        <v>2021</v>
      </c>
    </row>
    <row r="1917" spans="1:10" s="9" customFormat="1" hidden="1" x14ac:dyDescent="0.25">
      <c r="A1917" s="447">
        <v>44461</v>
      </c>
      <c r="B1917" s="55" t="str">
        <f t="shared" si="128"/>
        <v>SETIEMBRE</v>
      </c>
      <c r="C1917" s="55">
        <f t="shared" si="129"/>
        <v>39</v>
      </c>
      <c r="D1917" s="3" t="str">
        <f t="shared" si="130"/>
        <v>MIÉRCOLES</v>
      </c>
      <c r="E1917" s="427">
        <v>256727</v>
      </c>
      <c r="F1917" s="3" t="str">
        <f>IFERROR(VLOOKUP(E1917,BD!$L$2:$Q$66,2,0),0)</f>
        <v>INCA KOLA POWER (CAMU+MACA) PET 410MLX12</v>
      </c>
      <c r="G1917" s="424">
        <v>3900</v>
      </c>
      <c r="H1917" s="3">
        <f>+IFERROR(VLOOKUP(E1917,BD!$L$2:$Q$66,6,0),0)</f>
        <v>420</v>
      </c>
      <c r="I1917" s="96">
        <f>IFERROR(G1917*VLOOKUP($E1917,BD!$L$2:$Q$66,5,0),0)</f>
        <v>4680</v>
      </c>
      <c r="J1917" s="3">
        <f t="shared" si="131"/>
        <v>2021</v>
      </c>
    </row>
    <row r="1918" spans="1:10" s="9" customFormat="1" hidden="1" x14ac:dyDescent="0.25">
      <c r="A1918" s="447">
        <v>44461</v>
      </c>
      <c r="B1918" s="55" t="str">
        <f t="shared" si="128"/>
        <v>SETIEMBRE</v>
      </c>
      <c r="C1918" s="55">
        <f t="shared" si="129"/>
        <v>39</v>
      </c>
      <c r="D1918" s="3" t="str">
        <f t="shared" si="130"/>
        <v>MIÉRCOLES</v>
      </c>
      <c r="E1918" s="427">
        <v>751468</v>
      </c>
      <c r="F1918" s="3" t="str">
        <f>IFERROR(VLOOKUP(E1918,BD!$L$2:$Q$66,2,0),0)</f>
        <v>MONSTER ENERGY ULTRA 473MLX4</v>
      </c>
      <c r="G1918" s="424">
        <v>420</v>
      </c>
      <c r="H1918" s="3">
        <f>+IFERROR(VLOOKUP(E1918,BD!$L$2:$Q$66,6,0),0)</f>
        <v>420</v>
      </c>
      <c r="I1918" s="96">
        <f>IFERROR(G1918*VLOOKUP($E1918,BD!$L$2:$Q$66,5,0),0)</f>
        <v>176.4</v>
      </c>
      <c r="J1918" s="3">
        <f t="shared" si="131"/>
        <v>2021</v>
      </c>
    </row>
    <row r="1919" spans="1:10" s="9" customFormat="1" hidden="1" x14ac:dyDescent="0.25">
      <c r="A1919" s="447">
        <v>44461</v>
      </c>
      <c r="B1919" s="55" t="str">
        <f t="shared" si="128"/>
        <v>SETIEMBRE</v>
      </c>
      <c r="C1919" s="55">
        <f t="shared" si="129"/>
        <v>39</v>
      </c>
      <c r="D1919" s="3" t="str">
        <f t="shared" si="130"/>
        <v>MIÉRCOLES</v>
      </c>
      <c r="E1919" s="427">
        <v>251632</v>
      </c>
      <c r="F1919" s="3" t="str">
        <f>IFERROR(VLOOKUP(E1919,BD!$L$2:$Q$66,2,0),0)</f>
        <v>SAN LUIS SIN GAS PET 625MLX06 MOD</v>
      </c>
      <c r="G1919" s="424">
        <v>180</v>
      </c>
      <c r="H1919" s="3">
        <f>+IFERROR(VLOOKUP(E1919,BD!$L$2:$Q$66,6,0),0)</f>
        <v>180</v>
      </c>
      <c r="I1919" s="96">
        <f>IFERROR(G1919*VLOOKUP($E1919,BD!$L$2:$Q$66,5,0),0)</f>
        <v>75.599999999999994</v>
      </c>
      <c r="J1919" s="3">
        <f t="shared" si="131"/>
        <v>2021</v>
      </c>
    </row>
    <row r="1920" spans="1:10" s="9" customFormat="1" hidden="1" x14ac:dyDescent="0.25">
      <c r="A1920" s="447">
        <v>44461</v>
      </c>
      <c r="B1920" s="55" t="str">
        <f t="shared" si="128"/>
        <v>SETIEMBRE</v>
      </c>
      <c r="C1920" s="55">
        <f t="shared" si="129"/>
        <v>39</v>
      </c>
      <c r="D1920" s="3" t="str">
        <f t="shared" si="130"/>
        <v>MIÉRCOLES</v>
      </c>
      <c r="E1920" s="427">
        <v>256727</v>
      </c>
      <c r="F1920" s="3" t="str">
        <f>IFERROR(VLOOKUP(E1920,BD!$L$2:$Q$66,2,0),0)</f>
        <v>INCA KOLA POWER (CAMU+MACA) PET 410MLX12</v>
      </c>
      <c r="G1920" s="424">
        <v>650</v>
      </c>
      <c r="H1920" s="3">
        <f>+IFERROR(VLOOKUP(E1920,BD!$L$2:$Q$66,6,0),0)</f>
        <v>420</v>
      </c>
      <c r="I1920" s="96">
        <f>IFERROR(G1920*VLOOKUP($E1920,BD!$L$2:$Q$66,5,0),0)</f>
        <v>780</v>
      </c>
      <c r="J1920" s="3">
        <f t="shared" si="131"/>
        <v>2021</v>
      </c>
    </row>
    <row r="1921" spans="1:10" s="9" customFormat="1" hidden="1" x14ac:dyDescent="0.25">
      <c r="A1921" s="447">
        <v>44462</v>
      </c>
      <c r="B1921" s="55" t="str">
        <f t="shared" si="128"/>
        <v>SETIEMBRE</v>
      </c>
      <c r="C1921" s="55">
        <f t="shared" si="129"/>
        <v>39</v>
      </c>
      <c r="D1921" s="3" t="str">
        <f t="shared" si="130"/>
        <v>JUEVES</v>
      </c>
      <c r="E1921" s="427">
        <v>251429</v>
      </c>
      <c r="F1921" s="3" t="str">
        <f>IFERROR(VLOOKUP(E1921,BD!$L$2:$Q$66,2,0),0)</f>
        <v>SAN LUIS SIN GAS PET2500X6 STICKER</v>
      </c>
      <c r="G1921" s="424">
        <v>336</v>
      </c>
      <c r="H1921" s="3">
        <f>+IFERROR(VLOOKUP(E1921,BD!$L$2:$Q$66,6,0),0)</f>
        <v>48</v>
      </c>
      <c r="I1921" s="96">
        <f>IFERROR(G1921*VLOOKUP($E1921,BD!$L$2:$Q$66,5,0),0)</f>
        <v>134.4</v>
      </c>
      <c r="J1921" s="3">
        <f t="shared" si="131"/>
        <v>2021</v>
      </c>
    </row>
    <row r="1922" spans="1:10" s="9" customFormat="1" hidden="1" x14ac:dyDescent="0.25">
      <c r="A1922" s="447">
        <v>44462</v>
      </c>
      <c r="B1922" s="55" t="str">
        <f t="shared" si="128"/>
        <v>SETIEMBRE</v>
      </c>
      <c r="C1922" s="55">
        <f t="shared" si="129"/>
        <v>39</v>
      </c>
      <c r="D1922" s="3" t="str">
        <f t="shared" si="130"/>
        <v>JUEVES</v>
      </c>
      <c r="E1922" s="427">
        <v>251429</v>
      </c>
      <c r="F1922" s="3" t="str">
        <f>IFERROR(VLOOKUP(E1922,BD!$L$2:$Q$66,2,0),0)</f>
        <v>SAN LUIS SIN GAS PET2500X6 STICKER</v>
      </c>
      <c r="G1922" s="424">
        <v>48</v>
      </c>
      <c r="H1922" s="3">
        <f>+IFERROR(VLOOKUP(E1922,BD!$L$2:$Q$66,6,0),0)</f>
        <v>48</v>
      </c>
      <c r="I1922" s="96">
        <f>IFERROR(G1922*VLOOKUP($E1922,BD!$L$2:$Q$66,5,0),0)</f>
        <v>19.200000000000003</v>
      </c>
      <c r="J1922" s="3">
        <f t="shared" si="131"/>
        <v>2021</v>
      </c>
    </row>
    <row r="1923" spans="1:10" s="9" customFormat="1" hidden="1" x14ac:dyDescent="0.25">
      <c r="A1923" s="447">
        <v>44462</v>
      </c>
      <c r="B1923" s="55" t="str">
        <f t="shared" si="128"/>
        <v>SETIEMBRE</v>
      </c>
      <c r="C1923" s="55">
        <f t="shared" si="129"/>
        <v>39</v>
      </c>
      <c r="D1923" s="3" t="str">
        <f t="shared" si="130"/>
        <v>JUEVES</v>
      </c>
      <c r="E1923" s="427">
        <v>256488</v>
      </c>
      <c r="F1923" s="3" t="str">
        <f>IFERROR(VLOOKUP(E1923,BD!$L$2:$Q$66,2,0),0)</f>
        <v>INCA KOLA PET 3LX2 - RF</v>
      </c>
      <c r="G1923" s="424">
        <v>1440</v>
      </c>
      <c r="H1923" s="3">
        <f>+IFERROR(VLOOKUP(E1923,BD!$L$2:$Q$66,6,0),0)</f>
        <v>120</v>
      </c>
      <c r="I1923" s="96">
        <f>IFERROR(G1923*VLOOKUP($E1923,BD!$L$2:$Q$66,5,0),0)</f>
        <v>244.8</v>
      </c>
      <c r="J1923" s="3">
        <f t="shared" si="131"/>
        <v>2021</v>
      </c>
    </row>
    <row r="1924" spans="1:10" s="9" customFormat="1" hidden="1" x14ac:dyDescent="0.25">
      <c r="A1924" s="447">
        <v>44462</v>
      </c>
      <c r="B1924" s="55" t="str">
        <f t="shared" si="128"/>
        <v>SETIEMBRE</v>
      </c>
      <c r="C1924" s="55">
        <f t="shared" si="129"/>
        <v>39</v>
      </c>
      <c r="D1924" s="3" t="str">
        <f t="shared" si="130"/>
        <v>JUEVES</v>
      </c>
      <c r="E1924" s="427">
        <v>256675</v>
      </c>
      <c r="F1924" s="3" t="str">
        <f>IFERROR(VLOOKUP(E1924,BD!$L$2:$Q$66,2,0),0)</f>
        <v>INCA KOLA PET 1.5LX2 RF</v>
      </c>
      <c r="G1924" s="424">
        <v>864</v>
      </c>
      <c r="H1924" s="3">
        <f>+IFERROR(VLOOKUP(E1924,BD!$L$2:$Q$66,6,0),0)</f>
        <v>198</v>
      </c>
      <c r="I1924" s="96">
        <f>IFERROR(G1924*VLOOKUP($E1924,BD!$L$2:$Q$66,5,0),0)</f>
        <v>146.88000000000002</v>
      </c>
      <c r="J1924" s="3">
        <f t="shared" si="131"/>
        <v>2021</v>
      </c>
    </row>
    <row r="1925" spans="1:10" s="9" customFormat="1" hidden="1" x14ac:dyDescent="0.25">
      <c r="A1925" s="447">
        <v>44462</v>
      </c>
      <c r="B1925" s="55" t="str">
        <f t="shared" si="128"/>
        <v>SETIEMBRE</v>
      </c>
      <c r="C1925" s="55">
        <f t="shared" si="129"/>
        <v>39</v>
      </c>
      <c r="D1925" s="3" t="str">
        <f t="shared" si="130"/>
        <v>JUEVES</v>
      </c>
      <c r="E1925" s="427">
        <v>256676</v>
      </c>
      <c r="F1925" s="3" t="str">
        <f>IFERROR(VLOOKUP(E1925,BD!$L$2:$Q$66,2,0),0)</f>
        <v>TWO PACK CC PFM 3LX2 - RFCC</v>
      </c>
      <c r="G1925" s="424">
        <v>720</v>
      </c>
      <c r="H1925" s="3">
        <f>+IFERROR(VLOOKUP(E1925,BD!$L$2:$Q$66,6,0),0)</f>
        <v>120</v>
      </c>
      <c r="I1925" s="96">
        <f>IFERROR(G1925*VLOOKUP($E1925,BD!$L$2:$Q$66,5,0),0)</f>
        <v>122.4</v>
      </c>
      <c r="J1925" s="3">
        <f t="shared" si="131"/>
        <v>2021</v>
      </c>
    </row>
    <row r="1926" spans="1:10" s="9" customFormat="1" hidden="1" x14ac:dyDescent="0.25">
      <c r="A1926" s="447">
        <v>44462</v>
      </c>
      <c r="B1926" s="55" t="str">
        <f t="shared" si="128"/>
        <v>SETIEMBRE</v>
      </c>
      <c r="C1926" s="55">
        <f t="shared" si="129"/>
        <v>39</v>
      </c>
      <c r="D1926" s="3" t="str">
        <f t="shared" si="130"/>
        <v>JUEVES</v>
      </c>
      <c r="E1926" s="427">
        <v>256679</v>
      </c>
      <c r="F1926" s="3" t="str">
        <f>IFERROR(VLOOKUP(E1926,BD!$L$2:$Q$66,2,0),0)</f>
        <v>TRIPACK CC+IK+IK PFM 3LX3 - RFNN</v>
      </c>
      <c r="G1926" s="424">
        <v>720</v>
      </c>
      <c r="H1926" s="3">
        <f>+IFERROR(VLOOKUP(E1926,BD!$L$2:$Q$66,6,0),0)</f>
        <v>90</v>
      </c>
      <c r="I1926" s="96">
        <f>IFERROR(G1926*VLOOKUP($E1926,BD!$L$2:$Q$66,5,0),0)</f>
        <v>122.4</v>
      </c>
      <c r="J1926" s="3">
        <f t="shared" si="131"/>
        <v>2021</v>
      </c>
    </row>
    <row r="1927" spans="1:10" s="9" customFormat="1" hidden="1" x14ac:dyDescent="0.25">
      <c r="A1927" s="447">
        <v>44462</v>
      </c>
      <c r="B1927" s="55" t="str">
        <f t="shared" si="128"/>
        <v>SETIEMBRE</v>
      </c>
      <c r="C1927" s="55">
        <f t="shared" si="129"/>
        <v>39</v>
      </c>
      <c r="D1927" s="3" t="str">
        <f t="shared" si="130"/>
        <v>JUEVES</v>
      </c>
      <c r="E1927" s="427">
        <v>256380</v>
      </c>
      <c r="F1927" s="3" t="str">
        <f>IFERROR(VLOOKUP(E1927,BD!$L$2:$Q$66,2,0),0)</f>
        <v>INCA KOLA VR 296MLX24 - STICKER</v>
      </c>
      <c r="G1927" s="424">
        <v>320</v>
      </c>
      <c r="H1927" s="3">
        <f>+IFERROR(VLOOKUP(E1927,BD!$L$2:$Q$66,6,0),0)</f>
        <v>40</v>
      </c>
      <c r="I1927" s="96">
        <f>IFERROR(G1927*VLOOKUP($E1927,BD!$L$2:$Q$66,5,0),0)</f>
        <v>73.600000000000009</v>
      </c>
      <c r="J1927" s="3">
        <f t="shared" si="131"/>
        <v>2021</v>
      </c>
    </row>
    <row r="1928" spans="1:10" s="9" customFormat="1" hidden="1" x14ac:dyDescent="0.25">
      <c r="A1928" s="447">
        <v>44462</v>
      </c>
      <c r="B1928" s="55" t="str">
        <f t="shared" si="128"/>
        <v>SETIEMBRE</v>
      </c>
      <c r="C1928" s="55">
        <f t="shared" si="129"/>
        <v>39</v>
      </c>
      <c r="D1928" s="3" t="str">
        <f t="shared" si="130"/>
        <v>JUEVES</v>
      </c>
      <c r="E1928" s="427">
        <v>251406</v>
      </c>
      <c r="F1928" s="3" t="str">
        <f>IFERROR(VLOOKUP(E1928,BD!$L$2:$Q$66,2,0),0)</f>
        <v>COCA-COLA SIN AZUCAR PET 1.5LX2</v>
      </c>
      <c r="G1928" s="424">
        <v>648</v>
      </c>
      <c r="H1928" s="3">
        <f>+IFERROR(VLOOKUP(E1928,BD!$L$2:$Q$66,6,0),0)</f>
        <v>198</v>
      </c>
      <c r="I1928" s="96">
        <f>IFERROR(G1928*VLOOKUP($E1928,BD!$L$2:$Q$66,5,0),0)</f>
        <v>110.16000000000001</v>
      </c>
      <c r="J1928" s="3">
        <f t="shared" si="131"/>
        <v>2021</v>
      </c>
    </row>
    <row r="1929" spans="1:10" s="9" customFormat="1" hidden="1" x14ac:dyDescent="0.25">
      <c r="A1929" s="447">
        <v>44462</v>
      </c>
      <c r="B1929" s="55" t="str">
        <f t="shared" si="128"/>
        <v>SETIEMBRE</v>
      </c>
      <c r="C1929" s="55">
        <f t="shared" si="129"/>
        <v>39</v>
      </c>
      <c r="D1929" s="3" t="str">
        <f t="shared" si="130"/>
        <v>JUEVES</v>
      </c>
      <c r="E1929" s="427">
        <v>251633</v>
      </c>
      <c r="F1929" s="3" t="str">
        <f>IFERROR(VLOOKUP(E1929,BD!$L$2:$Q$66,2,0),0)</f>
        <v>SAN LUIS CON GAS PET 625MLX6</v>
      </c>
      <c r="G1929" s="424">
        <v>540</v>
      </c>
      <c r="H1929" s="3">
        <f>+IFERROR(VLOOKUP(E1929,BD!$L$2:$Q$66,6,0),0)</f>
        <v>180</v>
      </c>
      <c r="I1929" s="96">
        <f>IFERROR(G1929*VLOOKUP($E1929,BD!$L$2:$Q$66,5,0),0)</f>
        <v>226.79999999999998</v>
      </c>
      <c r="J1929" s="3">
        <f t="shared" si="131"/>
        <v>2021</v>
      </c>
    </row>
    <row r="1930" spans="1:10" s="9" customFormat="1" hidden="1" x14ac:dyDescent="0.25">
      <c r="A1930" s="447">
        <v>44462</v>
      </c>
      <c r="B1930" s="55" t="str">
        <f t="shared" si="128"/>
        <v>SETIEMBRE</v>
      </c>
      <c r="C1930" s="55">
        <f t="shared" si="129"/>
        <v>39</v>
      </c>
      <c r="D1930" s="3" t="str">
        <f t="shared" si="130"/>
        <v>JUEVES</v>
      </c>
      <c r="E1930" s="427">
        <v>256685</v>
      </c>
      <c r="F1930" s="3" t="str">
        <f>IFERROR(VLOOKUP(E1930,BD!$L$2:$Q$66,2,0),0)</f>
        <v>SL S/G TAPA PLANA 1LT</v>
      </c>
      <c r="G1930" s="424">
        <v>560</v>
      </c>
      <c r="H1930" s="3">
        <f>+IFERROR(VLOOKUP(E1930,BD!$L$2:$Q$66,6,0),0)</f>
        <v>112</v>
      </c>
      <c r="I1930" s="96">
        <f>IFERROR(G1930*VLOOKUP($E1930,BD!$L$2:$Q$66,5,0),0)</f>
        <v>224</v>
      </c>
      <c r="J1930" s="3">
        <f t="shared" si="131"/>
        <v>2021</v>
      </c>
    </row>
    <row r="1931" spans="1:10" s="9" customFormat="1" hidden="1" x14ac:dyDescent="0.25">
      <c r="A1931" s="447">
        <v>44462</v>
      </c>
      <c r="B1931" s="55" t="str">
        <f t="shared" si="128"/>
        <v>SETIEMBRE</v>
      </c>
      <c r="C1931" s="55">
        <f t="shared" si="129"/>
        <v>39</v>
      </c>
      <c r="D1931" s="3" t="str">
        <f t="shared" si="130"/>
        <v>JUEVES</v>
      </c>
      <c r="E1931" s="427">
        <v>254853</v>
      </c>
      <c r="F1931" s="3" t="str">
        <f>IFERROR(VLOOKUP(E1931,BD!$L$2:$Q$66,2,0),0)</f>
        <v>INCA KOLA SIN AZUCAR PET 1.5LX2</v>
      </c>
      <c r="G1931" s="424">
        <v>1080</v>
      </c>
      <c r="H1931" s="3">
        <f>+IFERROR(VLOOKUP(E1931,BD!$L$2:$Q$66,6,0),0)</f>
        <v>198</v>
      </c>
      <c r="I1931" s="96">
        <f>IFERROR(G1931*VLOOKUP($E1931,BD!$L$2:$Q$66,5,0),0)</f>
        <v>183.60000000000002</v>
      </c>
      <c r="J1931" s="3">
        <f t="shared" si="131"/>
        <v>2021</v>
      </c>
    </row>
    <row r="1932" spans="1:10" s="9" customFormat="1" hidden="1" x14ac:dyDescent="0.25">
      <c r="A1932" s="447">
        <v>44462</v>
      </c>
      <c r="B1932" s="55" t="str">
        <f t="shared" si="128"/>
        <v>SETIEMBRE</v>
      </c>
      <c r="C1932" s="55">
        <f t="shared" si="129"/>
        <v>39</v>
      </c>
      <c r="D1932" s="3" t="str">
        <f t="shared" si="130"/>
        <v>JUEVES</v>
      </c>
      <c r="E1932" s="427">
        <v>256617</v>
      </c>
      <c r="F1932" s="3" t="str">
        <f>IFERROR(VLOOKUP(E1932,BD!$L$2:$Q$66,2,0),0)</f>
        <v>TWO PACK SCHWEPPES GINGER ALE PET 1.5LX2</v>
      </c>
      <c r="G1932" s="424">
        <v>990</v>
      </c>
      <c r="H1932" s="3">
        <f>+IFERROR(VLOOKUP(E1932,BD!$L$2:$Q$66,6,0),0)</f>
        <v>198</v>
      </c>
      <c r="I1932" s="96">
        <f>IFERROR(G1932*VLOOKUP($E1932,BD!$L$2:$Q$66,5,0),0)</f>
        <v>168.3</v>
      </c>
      <c r="J1932" s="3">
        <f t="shared" si="131"/>
        <v>2021</v>
      </c>
    </row>
    <row r="1933" spans="1:10" s="9" customFormat="1" hidden="1" x14ac:dyDescent="0.25">
      <c r="A1933" s="447">
        <v>44462</v>
      </c>
      <c r="B1933" s="55" t="str">
        <f t="shared" si="128"/>
        <v>SETIEMBRE</v>
      </c>
      <c r="C1933" s="55">
        <f t="shared" si="129"/>
        <v>39</v>
      </c>
      <c r="D1933" s="3" t="str">
        <f t="shared" si="130"/>
        <v>JUEVES</v>
      </c>
      <c r="E1933" s="427">
        <v>254762</v>
      </c>
      <c r="F1933" s="3" t="str">
        <f>IFERROR(VLOOKUP(E1933,BD!$L$2:$Q$66,2,0),0)</f>
        <v xml:space="preserve">SAN LUIS SPORT S/G 10 Lt x6 </v>
      </c>
      <c r="G1933" s="424">
        <v>448</v>
      </c>
      <c r="H1933" s="3">
        <f>+IFERROR(VLOOKUP(E1933,BD!$L$2:$Q$66,6,0),0)</f>
        <v>240</v>
      </c>
      <c r="I1933" s="96">
        <f>IFERROR(G1933*VLOOKUP($E1933,BD!$L$2:$Q$66,5,0),0)</f>
        <v>179.20000000000002</v>
      </c>
      <c r="J1933" s="3">
        <f t="shared" si="131"/>
        <v>2021</v>
      </c>
    </row>
    <row r="1934" spans="1:10" s="9" customFormat="1" hidden="1" x14ac:dyDescent="0.25">
      <c r="A1934" s="447">
        <v>44462</v>
      </c>
      <c r="B1934" s="55" t="str">
        <f t="shared" si="128"/>
        <v>SETIEMBRE</v>
      </c>
      <c r="C1934" s="55">
        <f t="shared" si="129"/>
        <v>39</v>
      </c>
      <c r="D1934" s="3" t="str">
        <f t="shared" si="130"/>
        <v>JUEVES</v>
      </c>
      <c r="E1934" s="427">
        <v>256666</v>
      </c>
      <c r="F1934" s="3" t="str">
        <f>IFERROR(VLOOKUP(E1934,BD!$L$2:$Q$66,2,0),0)</f>
        <v>COCA-COLA PET 2.25LX2 RF</v>
      </c>
      <c r="G1934" s="424">
        <v>972</v>
      </c>
      <c r="H1934" s="3">
        <f>+IFERROR(VLOOKUP(E1934,BD!$L$2:$Q$66,6,0),0)</f>
        <v>162</v>
      </c>
      <c r="I1934" s="96">
        <f>IFERROR(G1934*VLOOKUP($E1934,BD!$L$2:$Q$66,5,0),0)</f>
        <v>165.24</v>
      </c>
      <c r="J1934" s="3">
        <f t="shared" si="131"/>
        <v>2021</v>
      </c>
    </row>
    <row r="1935" spans="1:10" s="9" customFormat="1" hidden="1" x14ac:dyDescent="0.25">
      <c r="A1935" s="447">
        <v>44462</v>
      </c>
      <c r="B1935" s="55" t="str">
        <f t="shared" si="128"/>
        <v>SETIEMBRE</v>
      </c>
      <c r="C1935" s="55">
        <f t="shared" si="129"/>
        <v>39</v>
      </c>
      <c r="D1935" s="3" t="str">
        <f t="shared" si="130"/>
        <v>JUEVES</v>
      </c>
      <c r="E1935" s="427">
        <v>256601</v>
      </c>
      <c r="F1935" s="3" t="str">
        <f>IFERROR(VLOOKUP(E1935,BD!$L$2:$Q$66,2,0),0)</f>
        <v>INCA KOLA PET 2.25LX2 RF</v>
      </c>
      <c r="G1935" s="424">
        <v>324</v>
      </c>
      <c r="H1935" s="3">
        <f>+IFERROR(VLOOKUP(E1935,BD!$L$2:$Q$66,6,0),0)</f>
        <v>162</v>
      </c>
      <c r="I1935" s="96">
        <f>IFERROR(G1935*VLOOKUP($E1935,BD!$L$2:$Q$66,5,0),0)</f>
        <v>55.080000000000005</v>
      </c>
      <c r="J1935" s="3">
        <f t="shared" si="131"/>
        <v>2021</v>
      </c>
    </row>
    <row r="1936" spans="1:10" s="9" customFormat="1" hidden="1" x14ac:dyDescent="0.25">
      <c r="A1936" s="447">
        <v>44462</v>
      </c>
      <c r="B1936" s="55" t="str">
        <f t="shared" si="128"/>
        <v>SETIEMBRE</v>
      </c>
      <c r="C1936" s="55">
        <f t="shared" si="129"/>
        <v>39</v>
      </c>
      <c r="D1936" s="3" t="str">
        <f t="shared" si="130"/>
        <v>JUEVES</v>
      </c>
      <c r="E1936" s="427">
        <v>256601</v>
      </c>
      <c r="F1936" s="3" t="str">
        <f>IFERROR(VLOOKUP(E1936,BD!$L$2:$Q$66,2,0),0)</f>
        <v>INCA KOLA PET 2.25LX2 RF</v>
      </c>
      <c r="G1936" s="424">
        <v>486</v>
      </c>
      <c r="H1936" s="3">
        <f>+IFERROR(VLOOKUP(E1936,BD!$L$2:$Q$66,6,0),0)</f>
        <v>162</v>
      </c>
      <c r="I1936" s="96">
        <f>IFERROR(G1936*VLOOKUP($E1936,BD!$L$2:$Q$66,5,0),0)</f>
        <v>82.62</v>
      </c>
      <c r="J1936" s="3">
        <f t="shared" si="131"/>
        <v>2021</v>
      </c>
    </row>
    <row r="1937" spans="1:10" s="9" customFormat="1" hidden="1" x14ac:dyDescent="0.25">
      <c r="A1937" s="447">
        <v>44462</v>
      </c>
      <c r="B1937" s="55" t="str">
        <f t="shared" si="128"/>
        <v>SETIEMBRE</v>
      </c>
      <c r="C1937" s="55">
        <f t="shared" si="129"/>
        <v>39</v>
      </c>
      <c r="D1937" s="3" t="str">
        <f t="shared" si="130"/>
        <v>JUEVES</v>
      </c>
      <c r="E1937" s="427">
        <v>256709</v>
      </c>
      <c r="F1937" s="3" t="str">
        <f>IFERROR(VLOOKUP(E1937,BD!$L$2:$Q$66,2,0),0)</f>
        <v>POWERADE ION4 MORA AZ PET473X6 MOD(STCK)</v>
      </c>
      <c r="G1937" s="424">
        <v>450</v>
      </c>
      <c r="H1937" s="3">
        <f>+IFERROR(VLOOKUP(E1937,BD!$L$2:$Q$66,6,0),0)</f>
        <v>225</v>
      </c>
      <c r="I1937" s="96">
        <f>IFERROR(G1937*VLOOKUP($E1937,BD!$L$2:$Q$66,5,0),0)</f>
        <v>180</v>
      </c>
      <c r="J1937" s="3">
        <f t="shared" si="131"/>
        <v>2021</v>
      </c>
    </row>
    <row r="1938" spans="1:10" s="9" customFormat="1" hidden="1" x14ac:dyDescent="0.25">
      <c r="A1938" s="447">
        <v>44462</v>
      </c>
      <c r="B1938" s="55" t="str">
        <f t="shared" si="128"/>
        <v>SETIEMBRE</v>
      </c>
      <c r="C1938" s="55">
        <f t="shared" si="129"/>
        <v>39</v>
      </c>
      <c r="D1938" s="3" t="str">
        <f t="shared" si="130"/>
        <v>JUEVES</v>
      </c>
      <c r="E1938" s="427">
        <v>256381</v>
      </c>
      <c r="F1938" s="3" t="str">
        <f>IFERROR(VLOOKUP(E1938,BD!$L$2:$Q$66,2,0),0)</f>
        <v>INCA KOLA VR 1.5LX8 - STICKER</v>
      </c>
      <c r="G1938" s="424">
        <v>210</v>
      </c>
      <c r="H1938" s="3">
        <f>+IFERROR(VLOOKUP(E1938,BD!$L$2:$Q$66,6,0),0)</f>
        <v>30</v>
      </c>
      <c r="I1938" s="96">
        <f>IFERROR(G1938*VLOOKUP($E1938,BD!$L$2:$Q$66,5,0),0)</f>
        <v>84</v>
      </c>
      <c r="J1938" s="3">
        <f t="shared" si="131"/>
        <v>2021</v>
      </c>
    </row>
    <row r="1939" spans="1:10" s="9" customFormat="1" hidden="1" x14ac:dyDescent="0.25">
      <c r="A1939" s="447">
        <v>44462</v>
      </c>
      <c r="B1939" s="55" t="str">
        <f t="shared" si="128"/>
        <v>SETIEMBRE</v>
      </c>
      <c r="C1939" s="55">
        <f t="shared" si="129"/>
        <v>39</v>
      </c>
      <c r="D1939" s="3" t="str">
        <f t="shared" si="130"/>
        <v>JUEVES</v>
      </c>
      <c r="E1939" s="427">
        <v>256383</v>
      </c>
      <c r="F1939" s="3" t="str">
        <f>IFERROR(VLOOKUP(E1939,BD!$L$2:$Q$66,2,0),0)</f>
        <v>COCA COLA VR 1.5LX8 - STICKER</v>
      </c>
      <c r="G1939" s="424">
        <v>240</v>
      </c>
      <c r="H1939" s="3">
        <f>+IFERROR(VLOOKUP(E1939,BD!$L$2:$Q$66,6,0),0)</f>
        <v>30</v>
      </c>
      <c r="I1939" s="96">
        <f>IFERROR(G1939*VLOOKUP($E1939,BD!$L$2:$Q$66,5,0),0)</f>
        <v>55.2</v>
      </c>
      <c r="J1939" s="3">
        <f t="shared" si="131"/>
        <v>2021</v>
      </c>
    </row>
    <row r="1940" spans="1:10" s="9" customFormat="1" hidden="1" x14ac:dyDescent="0.25">
      <c r="A1940" s="447">
        <v>44462</v>
      </c>
      <c r="B1940" s="55" t="str">
        <f t="shared" si="128"/>
        <v>SETIEMBRE</v>
      </c>
      <c r="C1940" s="55">
        <f t="shared" si="129"/>
        <v>39</v>
      </c>
      <c r="D1940" s="3" t="str">
        <f t="shared" si="130"/>
        <v>JUEVES</v>
      </c>
      <c r="E1940" s="427">
        <v>256383</v>
      </c>
      <c r="F1940" s="3" t="str">
        <f>IFERROR(VLOOKUP(E1940,BD!$L$2:$Q$66,2,0),0)</f>
        <v>COCA COLA VR 1.5LX8 - STICKER</v>
      </c>
      <c r="G1940" s="424">
        <v>30</v>
      </c>
      <c r="H1940" s="3">
        <f>+IFERROR(VLOOKUP(E1940,BD!$L$2:$Q$66,6,0),0)</f>
        <v>30</v>
      </c>
      <c r="I1940" s="96">
        <f>IFERROR(G1940*VLOOKUP($E1940,BD!$L$2:$Q$66,5,0),0)</f>
        <v>6.9</v>
      </c>
      <c r="J1940" s="3">
        <f t="shared" si="131"/>
        <v>2021</v>
      </c>
    </row>
    <row r="1941" spans="1:10" s="9" customFormat="1" hidden="1" x14ac:dyDescent="0.25">
      <c r="A1941" s="447">
        <v>44462</v>
      </c>
      <c r="B1941" s="55" t="str">
        <f t="shared" si="128"/>
        <v>SETIEMBRE</v>
      </c>
      <c r="C1941" s="55">
        <f t="shared" si="129"/>
        <v>39</v>
      </c>
      <c r="D1941" s="3" t="str">
        <f t="shared" si="130"/>
        <v>JUEVES</v>
      </c>
      <c r="E1941" s="427">
        <v>256548</v>
      </c>
      <c r="F1941" s="3" t="str">
        <f>IFERROR(VLOOKUP(E1941,BD!$L$2:$Q$66,2,0),0)</f>
        <v>TWO PACK CC PET 1.5LX2 - CRC</v>
      </c>
      <c r="G1941" s="424">
        <v>1080</v>
      </c>
      <c r="H1941" s="3">
        <f>+IFERROR(VLOOKUP(E1941,BD!$L$2:$Q$66,6,0),0)</f>
        <v>198</v>
      </c>
      <c r="I1941" s="96">
        <f>IFERROR(G1941*VLOOKUP($E1941,BD!$L$2:$Q$66,5,0),0)</f>
        <v>183.60000000000002</v>
      </c>
      <c r="J1941" s="3">
        <f t="shared" si="131"/>
        <v>2021</v>
      </c>
    </row>
    <row r="1942" spans="1:10" s="9" customFormat="1" hidden="1" x14ac:dyDescent="0.25">
      <c r="A1942" s="447">
        <v>44462</v>
      </c>
      <c r="B1942" s="55" t="str">
        <f t="shared" si="128"/>
        <v>SETIEMBRE</v>
      </c>
      <c r="C1942" s="55">
        <f t="shared" si="129"/>
        <v>39</v>
      </c>
      <c r="D1942" s="3" t="str">
        <f t="shared" si="130"/>
        <v>JUEVES</v>
      </c>
      <c r="E1942" s="427">
        <v>256720</v>
      </c>
      <c r="F1942" s="3" t="str">
        <f>IFERROR(VLOOKUP(E1942,BD!$L$2:$Q$66,2,0),0)</f>
        <v>FANTA NARANJA PET 500MLX6 BRANDEADO MOD</v>
      </c>
      <c r="G1942" s="424">
        <v>1000</v>
      </c>
      <c r="H1942" s="3">
        <f>+IFERROR(VLOOKUP(E1942,BD!$L$2:$Q$66,6,0),0)</f>
        <v>420</v>
      </c>
      <c r="I1942" s="96">
        <f>IFERROR(G1942*VLOOKUP($E1942,BD!$L$2:$Q$66,5,0),0)</f>
        <v>420</v>
      </c>
      <c r="J1942" s="3">
        <f t="shared" si="131"/>
        <v>2021</v>
      </c>
    </row>
    <row r="1943" spans="1:10" s="9" customFormat="1" hidden="1" x14ac:dyDescent="0.25">
      <c r="A1943" s="447">
        <v>44462</v>
      </c>
      <c r="B1943" s="55" t="str">
        <f t="shared" si="128"/>
        <v>SETIEMBRE</v>
      </c>
      <c r="C1943" s="55">
        <f t="shared" si="129"/>
        <v>39</v>
      </c>
      <c r="D1943" s="3" t="str">
        <f t="shared" si="130"/>
        <v>JUEVES</v>
      </c>
      <c r="E1943" s="427">
        <v>256549</v>
      </c>
      <c r="F1943" s="3" t="str">
        <f>IFERROR(VLOOKUP(E1943,BD!$L$2:$Q$66,2,0),0)</f>
        <v>TWO PACK IK PET 1.5LX2 - CRCG</v>
      </c>
      <c r="G1943" s="424">
        <v>1080</v>
      </c>
      <c r="H1943" s="3">
        <f>+IFERROR(VLOOKUP(E1943,BD!$L$2:$Q$66,6,0),0)</f>
        <v>198</v>
      </c>
      <c r="I1943" s="96">
        <f>IFERROR(G1943*VLOOKUP($E1943,BD!$L$2:$Q$66,5,0),0)</f>
        <v>183.60000000000002</v>
      </c>
      <c r="J1943" s="3">
        <f t="shared" si="131"/>
        <v>2021</v>
      </c>
    </row>
    <row r="1944" spans="1:10" s="9" customFormat="1" hidden="1" x14ac:dyDescent="0.25">
      <c r="A1944" s="447">
        <v>44462</v>
      </c>
      <c r="B1944" s="55" t="str">
        <f t="shared" si="128"/>
        <v>SETIEMBRE</v>
      </c>
      <c r="C1944" s="55">
        <f t="shared" si="129"/>
        <v>39</v>
      </c>
      <c r="D1944" s="3" t="str">
        <f t="shared" si="130"/>
        <v>JUEVES</v>
      </c>
      <c r="E1944" s="427">
        <v>751468</v>
      </c>
      <c r="F1944" s="3" t="str">
        <f>IFERROR(VLOOKUP(E1944,BD!$L$2:$Q$66,2,0),0)</f>
        <v>MONSTER ENERGY ULTRA 473MLX4</v>
      </c>
      <c r="G1944" s="424">
        <v>840</v>
      </c>
      <c r="H1944" s="3">
        <f>+IFERROR(VLOOKUP(E1944,BD!$L$2:$Q$66,6,0),0)</f>
        <v>420</v>
      </c>
      <c r="I1944" s="96">
        <f>IFERROR(G1944*VLOOKUP($E1944,BD!$L$2:$Q$66,5,0),0)</f>
        <v>352.8</v>
      </c>
      <c r="J1944" s="3">
        <f t="shared" si="131"/>
        <v>2021</v>
      </c>
    </row>
    <row r="1945" spans="1:10" s="9" customFormat="1" hidden="1" x14ac:dyDescent="0.25">
      <c r="A1945" s="447">
        <v>44462</v>
      </c>
      <c r="B1945" s="55" t="str">
        <f t="shared" si="128"/>
        <v>SETIEMBRE</v>
      </c>
      <c r="C1945" s="55">
        <f t="shared" si="129"/>
        <v>39</v>
      </c>
      <c r="D1945" s="3" t="str">
        <f t="shared" si="130"/>
        <v>JUEVES</v>
      </c>
      <c r="E1945" s="427">
        <v>751315</v>
      </c>
      <c r="F1945" s="3" t="str">
        <f>IFERROR(VLOOKUP(E1945,BD!$L$2:$Q$66,2,0),0)</f>
        <v>MONSTER ENERGY 473MLX4</v>
      </c>
      <c r="G1945" s="424">
        <v>2100</v>
      </c>
      <c r="H1945" s="3">
        <f>+IFERROR(VLOOKUP(E1945,BD!$L$2:$Q$66,6,0),0)</f>
        <v>420</v>
      </c>
      <c r="I1945" s="96">
        <f>IFERROR(G1945*VLOOKUP($E1945,BD!$L$2:$Q$66,5,0),0)</f>
        <v>882</v>
      </c>
      <c r="J1945" s="3">
        <f t="shared" si="131"/>
        <v>2021</v>
      </c>
    </row>
    <row r="1946" spans="1:10" s="9" customFormat="1" hidden="1" x14ac:dyDescent="0.25">
      <c r="A1946" s="447">
        <v>44462</v>
      </c>
      <c r="B1946" s="55" t="str">
        <f t="shared" si="128"/>
        <v>SETIEMBRE</v>
      </c>
      <c r="C1946" s="55">
        <f t="shared" si="129"/>
        <v>39</v>
      </c>
      <c r="D1946" s="3" t="str">
        <f t="shared" si="130"/>
        <v>JUEVES</v>
      </c>
      <c r="E1946" s="427">
        <v>256680</v>
      </c>
      <c r="F1946" s="3" t="str">
        <f>IFERROR(VLOOKUP(E1946,BD!$L$2:$Q$66,2,0),0)</f>
        <v>TRIPACK CC+CC+IK PFM 3LX3 - RFNN</v>
      </c>
      <c r="G1946" s="424">
        <v>2160</v>
      </c>
      <c r="H1946" s="3">
        <f>+IFERROR(VLOOKUP(E1946,BD!$L$2:$Q$66,6,0),0)</f>
        <v>90</v>
      </c>
      <c r="I1946" s="96">
        <f>IFERROR(G1946*VLOOKUP($E1946,BD!$L$2:$Q$66,5,0),0)</f>
        <v>367.20000000000005</v>
      </c>
      <c r="J1946" s="3">
        <f t="shared" si="131"/>
        <v>2021</v>
      </c>
    </row>
    <row r="1947" spans="1:10" s="9" customFormat="1" hidden="1" x14ac:dyDescent="0.25">
      <c r="A1947" s="447">
        <v>44462</v>
      </c>
      <c r="B1947" s="55" t="str">
        <f t="shared" si="128"/>
        <v>SETIEMBRE</v>
      </c>
      <c r="C1947" s="55">
        <f t="shared" si="129"/>
        <v>39</v>
      </c>
      <c r="D1947" s="3" t="str">
        <f t="shared" si="130"/>
        <v>JUEVES</v>
      </c>
      <c r="E1947" s="427">
        <v>256708</v>
      </c>
      <c r="F1947" s="3" t="str">
        <f>IFERROR(VLOOKUP(E1947,BD!$L$2:$Q$66,2,0),0)</f>
        <v>POWERADE ION4 FRUTA PET473X6 MOD (STICK)</v>
      </c>
      <c r="G1947" s="424">
        <v>1125</v>
      </c>
      <c r="H1947" s="3">
        <f>+IFERROR(VLOOKUP(E1947,BD!$L$2:$Q$66,6,0),0)</f>
        <v>225</v>
      </c>
      <c r="I1947" s="96">
        <f>IFERROR(G1947*VLOOKUP($E1947,BD!$L$2:$Q$66,5,0),0)</f>
        <v>450</v>
      </c>
      <c r="J1947" s="3">
        <f t="shared" si="131"/>
        <v>2021</v>
      </c>
    </row>
    <row r="1948" spans="1:10" s="9" customFormat="1" hidden="1" x14ac:dyDescent="0.25">
      <c r="A1948" s="447">
        <v>44462</v>
      </c>
      <c r="B1948" s="55" t="str">
        <f t="shared" si="128"/>
        <v>SETIEMBRE</v>
      </c>
      <c r="C1948" s="55">
        <f t="shared" si="129"/>
        <v>39</v>
      </c>
      <c r="D1948" s="3" t="str">
        <f t="shared" si="130"/>
        <v>JUEVES</v>
      </c>
      <c r="E1948" s="427">
        <v>256695</v>
      </c>
      <c r="F1948" s="3" t="str">
        <f>IFERROR(VLOOKUP(E1948,BD!$L$2:$Q$66,2,0),0)</f>
        <v>POWERADE 3MORA+3FRUT PET 473MLX6</v>
      </c>
      <c r="G1948" s="424">
        <v>1350</v>
      </c>
      <c r="H1948" s="3">
        <f>+IFERROR(VLOOKUP(E1948,BD!$L$2:$Q$66,6,0),0)</f>
        <v>225</v>
      </c>
      <c r="I1948" s="96">
        <f>IFERROR(G1948*VLOOKUP($E1948,BD!$L$2:$Q$66,5,0),0)</f>
        <v>567</v>
      </c>
      <c r="J1948" s="3">
        <f t="shared" si="131"/>
        <v>2021</v>
      </c>
    </row>
    <row r="1949" spans="1:10" s="9" customFormat="1" hidden="1" x14ac:dyDescent="0.25">
      <c r="A1949" s="447">
        <v>44462</v>
      </c>
      <c r="B1949" s="55" t="str">
        <f t="shared" si="128"/>
        <v>SETIEMBRE</v>
      </c>
      <c r="C1949" s="55">
        <f t="shared" si="129"/>
        <v>39</v>
      </c>
      <c r="D1949" s="3" t="str">
        <f t="shared" si="130"/>
        <v>JUEVES</v>
      </c>
      <c r="E1949" s="427">
        <v>256678</v>
      </c>
      <c r="F1949" s="3" t="str">
        <f>IFERROR(VLOOKUP(E1949,BD!$L$2:$Q$66,2,0),0)</f>
        <v>TRIPACK (CC+IK)PFM+FT PET 3LX3 - RFNN</v>
      </c>
      <c r="G1949" s="424">
        <v>1440</v>
      </c>
      <c r="H1949" s="3">
        <f>+IFERROR(VLOOKUP(E1949,BD!$L$2:$Q$66,6,0),0)</f>
        <v>90</v>
      </c>
      <c r="I1949" s="96">
        <f>IFERROR(G1949*VLOOKUP($E1949,BD!$L$2:$Q$66,5,0),0)</f>
        <v>244.8</v>
      </c>
      <c r="J1949" s="3">
        <f t="shared" si="131"/>
        <v>2021</v>
      </c>
    </row>
    <row r="1950" spans="1:10" s="9" customFormat="1" hidden="1" x14ac:dyDescent="0.25">
      <c r="A1950" s="447">
        <v>44462</v>
      </c>
      <c r="B1950" s="55" t="str">
        <f t="shared" si="128"/>
        <v>SETIEMBRE</v>
      </c>
      <c r="C1950" s="55">
        <f t="shared" si="129"/>
        <v>39</v>
      </c>
      <c r="D1950" s="3" t="str">
        <f t="shared" si="130"/>
        <v>JUEVES</v>
      </c>
      <c r="E1950" s="427">
        <v>256379</v>
      </c>
      <c r="F1950" s="3" t="str">
        <f>IFERROR(VLOOKUP(E1950,BD!$L$2:$Q$66,2,0),0)</f>
        <v>INCA KOLA VR 625MLX12 - STICKER</v>
      </c>
      <c r="G1950" s="424">
        <v>250</v>
      </c>
      <c r="H1950" s="3">
        <f>+IFERROR(VLOOKUP(E1950,BD!$L$2:$Q$66,6,0),0)</f>
        <v>50</v>
      </c>
      <c r="I1950" s="96">
        <f>IFERROR(G1950*VLOOKUP($E1950,BD!$L$2:$Q$66,5,0),0)</f>
        <v>100</v>
      </c>
      <c r="J1950" s="3">
        <f t="shared" si="131"/>
        <v>2021</v>
      </c>
    </row>
    <row r="1951" spans="1:10" s="9" customFormat="1" hidden="1" x14ac:dyDescent="0.25">
      <c r="A1951" s="447">
        <v>44462</v>
      </c>
      <c r="B1951" s="55" t="str">
        <f t="shared" si="128"/>
        <v>SETIEMBRE</v>
      </c>
      <c r="C1951" s="55">
        <f t="shared" si="129"/>
        <v>39</v>
      </c>
      <c r="D1951" s="3" t="str">
        <f t="shared" si="130"/>
        <v>JUEVES</v>
      </c>
      <c r="E1951" s="427">
        <v>256382</v>
      </c>
      <c r="F1951" s="3" t="str">
        <f>IFERROR(VLOOKUP(E1951,BD!$L$2:$Q$66,2,0),0)</f>
        <v>COCA COLA VR 296MLX24 - STICKER</v>
      </c>
      <c r="G1951" s="424">
        <v>40</v>
      </c>
      <c r="H1951" s="3">
        <f>+IFERROR(VLOOKUP(E1951,BD!$L$2:$Q$66,6,0),0)</f>
        <v>40</v>
      </c>
      <c r="I1951" s="96">
        <f>IFERROR(G1951*VLOOKUP($E1951,BD!$L$2:$Q$66,5,0),0)</f>
        <v>9.2000000000000011</v>
      </c>
      <c r="J1951" s="3">
        <f t="shared" si="131"/>
        <v>2021</v>
      </c>
    </row>
    <row r="1952" spans="1:10" s="9" customFormat="1" hidden="1" x14ac:dyDescent="0.25">
      <c r="A1952" s="447">
        <v>44462</v>
      </c>
      <c r="B1952" s="55" t="str">
        <f t="shared" si="128"/>
        <v>SETIEMBRE</v>
      </c>
      <c r="C1952" s="55">
        <f t="shared" si="129"/>
        <v>39</v>
      </c>
      <c r="D1952" s="3" t="str">
        <f t="shared" si="130"/>
        <v>JUEVES</v>
      </c>
      <c r="E1952" s="427">
        <v>256727</v>
      </c>
      <c r="F1952" s="3" t="str">
        <f>IFERROR(VLOOKUP(E1952,BD!$L$2:$Q$66,2,0),0)</f>
        <v>INCA KOLA POWER (CAMU+MACA) PET 410MLX12</v>
      </c>
      <c r="G1952" s="424">
        <v>260</v>
      </c>
      <c r="H1952" s="3">
        <f>+IFERROR(VLOOKUP(E1952,BD!$L$2:$Q$66,6,0),0)</f>
        <v>420</v>
      </c>
      <c r="I1952" s="96">
        <f>IFERROR(G1952*VLOOKUP($E1952,BD!$L$2:$Q$66,5,0),0)</f>
        <v>312</v>
      </c>
      <c r="J1952" s="3">
        <f t="shared" si="131"/>
        <v>2021</v>
      </c>
    </row>
    <row r="1953" spans="1:10" s="9" customFormat="1" hidden="1" x14ac:dyDescent="0.25">
      <c r="A1953" s="447">
        <v>44463</v>
      </c>
      <c r="B1953" s="55" t="str">
        <f t="shared" si="128"/>
        <v>SETIEMBRE</v>
      </c>
      <c r="C1953" s="55">
        <f t="shared" si="129"/>
        <v>39</v>
      </c>
      <c r="D1953" s="3" t="str">
        <f t="shared" si="130"/>
        <v>VIERNES</v>
      </c>
      <c r="E1953" s="427">
        <v>256721</v>
      </c>
      <c r="F1953" s="3" t="str">
        <f>IFERROR(VLOOKUP(E1953,BD!$L$2:$Q$66,2,0),0)</f>
        <v>SPRITE PET 500MLX6 BRANDEADO MOD</v>
      </c>
      <c r="G1953" s="424">
        <v>500</v>
      </c>
      <c r="H1953" s="3">
        <f>+IFERROR(VLOOKUP(E1953,BD!$L$2:$Q$66,6,0),0)</f>
        <v>420</v>
      </c>
      <c r="I1953" s="96">
        <f>IFERROR(G1953*VLOOKUP($E1953,BD!$L$2:$Q$66,5,0),0)</f>
        <v>210</v>
      </c>
      <c r="J1953" s="3">
        <f t="shared" si="131"/>
        <v>2021</v>
      </c>
    </row>
    <row r="1954" spans="1:10" s="9" customFormat="1" hidden="1" x14ac:dyDescent="0.25">
      <c r="A1954" s="447">
        <v>44462</v>
      </c>
      <c r="B1954" s="55" t="str">
        <f t="shared" si="128"/>
        <v>SETIEMBRE</v>
      </c>
      <c r="C1954" s="55">
        <f t="shared" si="129"/>
        <v>39</v>
      </c>
      <c r="D1954" s="3" t="str">
        <f t="shared" si="130"/>
        <v>JUEVES</v>
      </c>
      <c r="E1954" s="427">
        <v>751468</v>
      </c>
      <c r="F1954" s="3" t="str">
        <f>IFERROR(VLOOKUP(E1954,BD!$L$2:$Q$66,2,0),0)</f>
        <v>MONSTER ENERGY ULTRA 473MLX4</v>
      </c>
      <c r="G1954" s="424">
        <v>1260</v>
      </c>
      <c r="H1954" s="3">
        <f>+IFERROR(VLOOKUP(E1954,BD!$L$2:$Q$66,6,0),0)</f>
        <v>420</v>
      </c>
      <c r="I1954" s="96">
        <f>IFERROR(G1954*VLOOKUP($E1954,BD!$L$2:$Q$66,5,0),0)</f>
        <v>529.19999999999993</v>
      </c>
      <c r="J1954" s="3">
        <f t="shared" si="131"/>
        <v>2021</v>
      </c>
    </row>
    <row r="1955" spans="1:10" s="9" customFormat="1" hidden="1" x14ac:dyDescent="0.25">
      <c r="A1955" s="447">
        <v>44463</v>
      </c>
      <c r="B1955" s="55" t="str">
        <f t="shared" si="128"/>
        <v>SETIEMBRE</v>
      </c>
      <c r="C1955" s="55">
        <f t="shared" si="129"/>
        <v>39</v>
      </c>
      <c r="D1955" s="3" t="str">
        <f t="shared" si="130"/>
        <v>VIERNES</v>
      </c>
      <c r="E1955" s="427">
        <v>256695</v>
      </c>
      <c r="F1955" s="3" t="str">
        <f>IFERROR(VLOOKUP(E1955,BD!$L$2:$Q$66,2,0),0)</f>
        <v>POWERADE 3MORA+3FRUT PET 473MLX6</v>
      </c>
      <c r="G1955" s="424">
        <v>675</v>
      </c>
      <c r="H1955" s="3">
        <f>+IFERROR(VLOOKUP(E1955,BD!$L$2:$Q$66,6,0),0)</f>
        <v>225</v>
      </c>
      <c r="I1955" s="96">
        <f>IFERROR(G1955*VLOOKUP($E1955,BD!$L$2:$Q$66,5,0),0)</f>
        <v>283.5</v>
      </c>
      <c r="J1955" s="3">
        <f t="shared" si="131"/>
        <v>2021</v>
      </c>
    </row>
    <row r="1956" spans="1:10" s="9" customFormat="1" hidden="1" x14ac:dyDescent="0.25">
      <c r="A1956" s="447">
        <v>44463</v>
      </c>
      <c r="B1956" s="55" t="str">
        <f t="shared" si="128"/>
        <v>SETIEMBRE</v>
      </c>
      <c r="C1956" s="55">
        <f t="shared" si="129"/>
        <v>39</v>
      </c>
      <c r="D1956" s="3" t="str">
        <f t="shared" si="130"/>
        <v>VIERNES</v>
      </c>
      <c r="E1956" s="427">
        <v>256721</v>
      </c>
      <c r="F1956" s="3" t="str">
        <f>IFERROR(VLOOKUP(E1956,BD!$L$2:$Q$66,2,0),0)</f>
        <v>SPRITE PET 500MLX6 BRANDEADO MOD</v>
      </c>
      <c r="G1956" s="424">
        <v>250</v>
      </c>
      <c r="H1956" s="3">
        <f>+IFERROR(VLOOKUP(E1956,BD!$L$2:$Q$66,6,0),0)</f>
        <v>420</v>
      </c>
      <c r="I1956" s="96">
        <f>IFERROR(G1956*VLOOKUP($E1956,BD!$L$2:$Q$66,5,0),0)</f>
        <v>105</v>
      </c>
      <c r="J1956" s="3">
        <f t="shared" si="131"/>
        <v>2021</v>
      </c>
    </row>
    <row r="1957" spans="1:10" s="9" customFormat="1" hidden="1" x14ac:dyDescent="0.25">
      <c r="A1957" s="447">
        <v>44463</v>
      </c>
      <c r="B1957" s="55" t="str">
        <f t="shared" si="128"/>
        <v>SETIEMBRE</v>
      </c>
      <c r="C1957" s="55">
        <f t="shared" si="129"/>
        <v>39</v>
      </c>
      <c r="D1957" s="3" t="str">
        <f t="shared" si="130"/>
        <v>VIERNES</v>
      </c>
      <c r="E1957" s="427">
        <v>256720</v>
      </c>
      <c r="F1957" s="3" t="str">
        <f>IFERROR(VLOOKUP(E1957,BD!$L$2:$Q$66,2,0),0)</f>
        <v>FANTA NARANJA PET 500MLX6 BRANDEADO MOD</v>
      </c>
      <c r="G1957" s="424">
        <v>250</v>
      </c>
      <c r="H1957" s="3">
        <f>+IFERROR(VLOOKUP(E1957,BD!$L$2:$Q$66,6,0),0)</f>
        <v>420</v>
      </c>
      <c r="I1957" s="96">
        <f>IFERROR(G1957*VLOOKUP($E1957,BD!$L$2:$Q$66,5,0),0)</f>
        <v>105</v>
      </c>
      <c r="J1957" s="3">
        <f t="shared" si="131"/>
        <v>2021</v>
      </c>
    </row>
    <row r="1958" spans="1:10" s="9" customFormat="1" hidden="1" x14ac:dyDescent="0.25">
      <c r="A1958" s="447">
        <v>44463</v>
      </c>
      <c r="B1958" s="55" t="str">
        <f t="shared" si="128"/>
        <v>SETIEMBRE</v>
      </c>
      <c r="C1958" s="55">
        <f t="shared" si="129"/>
        <v>39</v>
      </c>
      <c r="D1958" s="3" t="str">
        <f t="shared" si="130"/>
        <v>VIERNES</v>
      </c>
      <c r="E1958" s="427">
        <v>256708</v>
      </c>
      <c r="F1958" s="3" t="str">
        <f>IFERROR(VLOOKUP(E1958,BD!$L$2:$Q$66,2,0),0)</f>
        <v>POWERADE ION4 FRUTA PET473X6 MOD (STICK)</v>
      </c>
      <c r="G1958" s="424">
        <v>450</v>
      </c>
      <c r="H1958" s="3">
        <f>+IFERROR(VLOOKUP(E1958,BD!$L$2:$Q$66,6,0),0)</f>
        <v>225</v>
      </c>
      <c r="I1958" s="96">
        <f>IFERROR(G1958*VLOOKUP($E1958,BD!$L$2:$Q$66,5,0),0)</f>
        <v>180</v>
      </c>
      <c r="J1958" s="3">
        <f t="shared" si="131"/>
        <v>2021</v>
      </c>
    </row>
    <row r="1959" spans="1:10" s="9" customFormat="1" hidden="1" x14ac:dyDescent="0.25">
      <c r="A1959" s="447">
        <v>44463</v>
      </c>
      <c r="B1959" s="55" t="str">
        <f t="shared" si="128"/>
        <v>SETIEMBRE</v>
      </c>
      <c r="C1959" s="55">
        <f t="shared" si="129"/>
        <v>39</v>
      </c>
      <c r="D1959" s="3" t="str">
        <f t="shared" si="130"/>
        <v>VIERNES</v>
      </c>
      <c r="E1959" s="427">
        <v>256383</v>
      </c>
      <c r="F1959" s="3" t="str">
        <f>IFERROR(VLOOKUP(E1959,BD!$L$2:$Q$66,2,0),0)</f>
        <v>COCA COLA VR 1.5LX8 - STICKER</v>
      </c>
      <c r="G1959" s="424">
        <v>90</v>
      </c>
      <c r="H1959" s="3">
        <f>+IFERROR(VLOOKUP(E1959,BD!$L$2:$Q$66,6,0),0)</f>
        <v>30</v>
      </c>
      <c r="I1959" s="96">
        <f>IFERROR(G1959*VLOOKUP($E1959,BD!$L$2:$Q$66,5,0),0)</f>
        <v>20.7</v>
      </c>
      <c r="J1959" s="3">
        <f t="shared" si="131"/>
        <v>2021</v>
      </c>
    </row>
    <row r="1960" spans="1:10" s="9" customFormat="1" hidden="1" x14ac:dyDescent="0.25">
      <c r="A1960" s="447">
        <v>44463</v>
      </c>
      <c r="B1960" s="55" t="str">
        <f t="shared" si="128"/>
        <v>SETIEMBRE</v>
      </c>
      <c r="C1960" s="55">
        <f t="shared" si="129"/>
        <v>39</v>
      </c>
      <c r="D1960" s="3" t="str">
        <f t="shared" si="130"/>
        <v>VIERNES</v>
      </c>
      <c r="E1960" s="427">
        <v>256379</v>
      </c>
      <c r="F1960" s="3" t="str">
        <f>IFERROR(VLOOKUP(E1960,BD!$L$2:$Q$66,2,0),0)</f>
        <v>INCA KOLA VR 625MLX12 - STICKER</v>
      </c>
      <c r="G1960" s="424">
        <v>100</v>
      </c>
      <c r="H1960" s="3">
        <f>+IFERROR(VLOOKUP(E1960,BD!$L$2:$Q$66,6,0),0)</f>
        <v>50</v>
      </c>
      <c r="I1960" s="96">
        <f>IFERROR(G1960*VLOOKUP($E1960,BD!$L$2:$Q$66,5,0),0)</f>
        <v>40</v>
      </c>
      <c r="J1960" s="3">
        <f t="shared" si="131"/>
        <v>2021</v>
      </c>
    </row>
    <row r="1961" spans="1:10" s="9" customFormat="1" hidden="1" x14ac:dyDescent="0.25">
      <c r="A1961" s="447">
        <v>44463</v>
      </c>
      <c r="B1961" s="55" t="str">
        <f t="shared" si="128"/>
        <v>SETIEMBRE</v>
      </c>
      <c r="C1961" s="55">
        <f t="shared" si="129"/>
        <v>39</v>
      </c>
      <c r="D1961" s="3" t="str">
        <f t="shared" si="130"/>
        <v>VIERNES</v>
      </c>
      <c r="E1961" s="427">
        <v>256685</v>
      </c>
      <c r="F1961" s="3" t="str">
        <f>IFERROR(VLOOKUP(E1961,BD!$L$2:$Q$66,2,0),0)</f>
        <v>SL S/G TAPA PLANA 1LT</v>
      </c>
      <c r="G1961" s="424">
        <v>224</v>
      </c>
      <c r="H1961" s="3">
        <f>+IFERROR(VLOOKUP(E1961,BD!$L$2:$Q$66,6,0),0)</f>
        <v>112</v>
      </c>
      <c r="I1961" s="96">
        <f>IFERROR(G1961*VLOOKUP($E1961,BD!$L$2:$Q$66,5,0),0)</f>
        <v>89.600000000000009</v>
      </c>
      <c r="J1961" s="3">
        <f t="shared" si="131"/>
        <v>2021</v>
      </c>
    </row>
    <row r="1962" spans="1:10" s="9" customFormat="1" hidden="1" x14ac:dyDescent="0.25">
      <c r="A1962" s="447">
        <v>44463</v>
      </c>
      <c r="B1962" s="55" t="str">
        <f t="shared" si="128"/>
        <v>SETIEMBRE</v>
      </c>
      <c r="C1962" s="55">
        <f t="shared" si="129"/>
        <v>39</v>
      </c>
      <c r="D1962" s="3" t="str">
        <f t="shared" si="130"/>
        <v>VIERNES</v>
      </c>
      <c r="E1962" s="427">
        <v>751315</v>
      </c>
      <c r="F1962" s="3" t="str">
        <f>IFERROR(VLOOKUP(E1962,BD!$L$2:$Q$66,2,0),0)</f>
        <v>MONSTER ENERGY 473MLX4</v>
      </c>
      <c r="G1962" s="424">
        <v>2520</v>
      </c>
      <c r="H1962" s="3">
        <f>+IFERROR(VLOOKUP(E1962,BD!$L$2:$Q$66,6,0),0)</f>
        <v>420</v>
      </c>
      <c r="I1962" s="96">
        <f>IFERROR(G1962*VLOOKUP($E1962,BD!$L$2:$Q$66,5,0),0)</f>
        <v>1058.3999999999999</v>
      </c>
      <c r="J1962" s="3">
        <f t="shared" si="131"/>
        <v>2021</v>
      </c>
    </row>
    <row r="1963" spans="1:10" s="9" customFormat="1" hidden="1" x14ac:dyDescent="0.25">
      <c r="A1963" s="447">
        <v>44463</v>
      </c>
      <c r="B1963" s="55" t="str">
        <f t="shared" si="128"/>
        <v>SETIEMBRE</v>
      </c>
      <c r="C1963" s="55">
        <f t="shared" si="129"/>
        <v>39</v>
      </c>
      <c r="D1963" s="3" t="str">
        <f t="shared" si="130"/>
        <v>VIERNES</v>
      </c>
      <c r="E1963" s="427">
        <v>751468</v>
      </c>
      <c r="F1963" s="3" t="str">
        <f>IFERROR(VLOOKUP(E1963,BD!$L$2:$Q$66,2,0),0)</f>
        <v>MONSTER ENERGY ULTRA 473MLX4</v>
      </c>
      <c r="G1963" s="424">
        <v>840</v>
      </c>
      <c r="H1963" s="3">
        <f>+IFERROR(VLOOKUP(E1963,BD!$L$2:$Q$66,6,0),0)</f>
        <v>420</v>
      </c>
      <c r="I1963" s="96">
        <f>IFERROR(G1963*VLOOKUP($E1963,BD!$L$2:$Q$66,5,0),0)</f>
        <v>352.8</v>
      </c>
      <c r="J1963" s="3">
        <f t="shared" si="131"/>
        <v>2021</v>
      </c>
    </row>
    <row r="1964" spans="1:10" s="9" customFormat="1" hidden="1" x14ac:dyDescent="0.25">
      <c r="A1964" s="447">
        <v>44463</v>
      </c>
      <c r="B1964" s="55" t="str">
        <f t="shared" si="128"/>
        <v>SETIEMBRE</v>
      </c>
      <c r="C1964" s="55">
        <f t="shared" si="129"/>
        <v>39</v>
      </c>
      <c r="D1964" s="3" t="str">
        <f t="shared" si="130"/>
        <v>VIERNES</v>
      </c>
      <c r="E1964" s="427">
        <v>751468</v>
      </c>
      <c r="F1964" s="3" t="str">
        <f>IFERROR(VLOOKUP(E1964,BD!$L$2:$Q$66,2,0),0)</f>
        <v>MONSTER ENERGY ULTRA 473MLX4</v>
      </c>
      <c r="G1964" s="424">
        <v>840</v>
      </c>
      <c r="H1964" s="3">
        <f>+IFERROR(VLOOKUP(E1964,BD!$L$2:$Q$66,6,0),0)</f>
        <v>420</v>
      </c>
      <c r="I1964" s="96">
        <f>IFERROR(G1964*VLOOKUP($E1964,BD!$L$2:$Q$66,5,0),0)</f>
        <v>352.8</v>
      </c>
      <c r="J1964" s="3">
        <f t="shared" si="131"/>
        <v>2021</v>
      </c>
    </row>
    <row r="1965" spans="1:10" s="9" customFormat="1" hidden="1" x14ac:dyDescent="0.25">
      <c r="A1965" s="447">
        <v>44463</v>
      </c>
      <c r="B1965" s="55" t="str">
        <f t="shared" si="128"/>
        <v>SETIEMBRE</v>
      </c>
      <c r="C1965" s="55">
        <f t="shared" si="129"/>
        <v>39</v>
      </c>
      <c r="D1965" s="3" t="str">
        <f t="shared" si="130"/>
        <v>VIERNES</v>
      </c>
      <c r="E1965" s="427">
        <v>251633</v>
      </c>
      <c r="F1965" s="3" t="str">
        <f>IFERROR(VLOOKUP(E1965,BD!$L$2:$Q$66,2,0),0)</f>
        <v>SAN LUIS CON GAS PET 625MLX6</v>
      </c>
      <c r="G1965" s="424">
        <v>360</v>
      </c>
      <c r="H1965" s="3">
        <f>+IFERROR(VLOOKUP(E1965,BD!$L$2:$Q$66,6,0),0)</f>
        <v>180</v>
      </c>
      <c r="I1965" s="96">
        <f>IFERROR(G1965*VLOOKUP($E1965,BD!$L$2:$Q$66,5,0),0)</f>
        <v>151.19999999999999</v>
      </c>
      <c r="J1965" s="3">
        <f t="shared" si="131"/>
        <v>2021</v>
      </c>
    </row>
    <row r="1966" spans="1:10" s="9" customFormat="1" hidden="1" x14ac:dyDescent="0.25">
      <c r="A1966" s="447">
        <v>44463</v>
      </c>
      <c r="B1966" s="55" t="str">
        <f t="shared" si="128"/>
        <v>SETIEMBRE</v>
      </c>
      <c r="C1966" s="55">
        <f t="shared" si="129"/>
        <v>39</v>
      </c>
      <c r="D1966" s="3" t="str">
        <f t="shared" si="130"/>
        <v>VIERNES</v>
      </c>
      <c r="E1966" s="427">
        <v>251406</v>
      </c>
      <c r="F1966" s="3" t="str">
        <f>IFERROR(VLOOKUP(E1966,BD!$L$2:$Q$66,2,0),0)</f>
        <v>COCA-COLA SIN AZUCAR PET 1.5LX2</v>
      </c>
      <c r="G1966" s="424">
        <v>432</v>
      </c>
      <c r="H1966" s="3">
        <f>+IFERROR(VLOOKUP(E1966,BD!$L$2:$Q$66,6,0),0)</f>
        <v>198</v>
      </c>
      <c r="I1966" s="96">
        <f>IFERROR(G1966*VLOOKUP($E1966,BD!$L$2:$Q$66,5,0),0)</f>
        <v>73.440000000000012</v>
      </c>
      <c r="J1966" s="3">
        <f t="shared" si="131"/>
        <v>2021</v>
      </c>
    </row>
    <row r="1967" spans="1:10" s="9" customFormat="1" hidden="1" x14ac:dyDescent="0.25">
      <c r="A1967" s="447">
        <v>44463</v>
      </c>
      <c r="B1967" s="55" t="str">
        <f t="shared" si="128"/>
        <v>SETIEMBRE</v>
      </c>
      <c r="C1967" s="55">
        <f t="shared" si="129"/>
        <v>39</v>
      </c>
      <c r="D1967" s="3" t="str">
        <f t="shared" si="130"/>
        <v>VIERNES</v>
      </c>
      <c r="E1967" s="427">
        <v>256617</v>
      </c>
      <c r="F1967" s="3" t="str">
        <f>IFERROR(VLOOKUP(E1967,BD!$L$2:$Q$66,2,0),0)</f>
        <v>TWO PACK SCHWEPPES GINGER ALE PET 1.5LX2</v>
      </c>
      <c r="G1967" s="424">
        <v>594</v>
      </c>
      <c r="H1967" s="3">
        <f>+IFERROR(VLOOKUP(E1967,BD!$L$2:$Q$66,6,0),0)</f>
        <v>198</v>
      </c>
      <c r="I1967" s="96">
        <f>IFERROR(G1967*VLOOKUP($E1967,BD!$L$2:$Q$66,5,0),0)</f>
        <v>100.98</v>
      </c>
      <c r="J1967" s="3">
        <f t="shared" si="131"/>
        <v>2021</v>
      </c>
    </row>
    <row r="1968" spans="1:10" s="9" customFormat="1" hidden="1" x14ac:dyDescent="0.25">
      <c r="A1968" s="447">
        <v>44463</v>
      </c>
      <c r="B1968" s="55" t="str">
        <f t="shared" si="128"/>
        <v>SETIEMBRE</v>
      </c>
      <c r="C1968" s="55">
        <f t="shared" si="129"/>
        <v>39</v>
      </c>
      <c r="D1968" s="3" t="str">
        <f t="shared" si="130"/>
        <v>VIERNES</v>
      </c>
      <c r="E1968" s="427">
        <v>256666</v>
      </c>
      <c r="F1968" s="3" t="str">
        <f>IFERROR(VLOOKUP(E1968,BD!$L$2:$Q$66,2,0),0)</f>
        <v>COCA-COLA PET 2.25LX2 RF</v>
      </c>
      <c r="G1968" s="424">
        <v>324</v>
      </c>
      <c r="H1968" s="3">
        <f>+IFERROR(VLOOKUP(E1968,BD!$L$2:$Q$66,6,0),0)</f>
        <v>162</v>
      </c>
      <c r="I1968" s="96">
        <f>IFERROR(G1968*VLOOKUP($E1968,BD!$L$2:$Q$66,5,0),0)</f>
        <v>55.080000000000005</v>
      </c>
      <c r="J1968" s="3">
        <f t="shared" si="131"/>
        <v>2021</v>
      </c>
    </row>
    <row r="1969" spans="1:10" s="9" customFormat="1" hidden="1" x14ac:dyDescent="0.25">
      <c r="A1969" s="447">
        <v>44463</v>
      </c>
      <c r="B1969" s="55" t="str">
        <f t="shared" si="128"/>
        <v>SETIEMBRE</v>
      </c>
      <c r="C1969" s="55">
        <f t="shared" si="129"/>
        <v>39</v>
      </c>
      <c r="D1969" s="3" t="str">
        <f t="shared" si="130"/>
        <v>VIERNES</v>
      </c>
      <c r="E1969" s="427">
        <v>256601</v>
      </c>
      <c r="F1969" s="3" t="str">
        <f>IFERROR(VLOOKUP(E1969,BD!$L$2:$Q$66,2,0),0)</f>
        <v>INCA KOLA PET 2.25LX2 RF</v>
      </c>
      <c r="G1969" s="424">
        <v>324</v>
      </c>
      <c r="H1969" s="3">
        <f>+IFERROR(VLOOKUP(E1969,BD!$L$2:$Q$66,6,0),0)</f>
        <v>162</v>
      </c>
      <c r="I1969" s="96">
        <f>IFERROR(G1969*VLOOKUP($E1969,BD!$L$2:$Q$66,5,0),0)</f>
        <v>55.080000000000005</v>
      </c>
      <c r="J1969" s="3">
        <f t="shared" si="131"/>
        <v>2021</v>
      </c>
    </row>
    <row r="1970" spans="1:10" s="9" customFormat="1" hidden="1" x14ac:dyDescent="0.25">
      <c r="A1970" s="447">
        <v>44463</v>
      </c>
      <c r="B1970" s="55" t="str">
        <f t="shared" si="128"/>
        <v>SETIEMBRE</v>
      </c>
      <c r="C1970" s="55">
        <f t="shared" si="129"/>
        <v>39</v>
      </c>
      <c r="D1970" s="3" t="str">
        <f t="shared" si="130"/>
        <v>VIERNES</v>
      </c>
      <c r="E1970" s="427">
        <v>256677</v>
      </c>
      <c r="F1970" s="3" t="str">
        <f>IFERROR(VLOOKUP(E1970,BD!$L$2:$Q$66,2,0),0)</f>
        <v>TWO PACK CC + IK PFM 3LX2 - RFNN</v>
      </c>
      <c r="G1970" s="424">
        <v>4800</v>
      </c>
      <c r="H1970" s="3">
        <f>+IFERROR(VLOOKUP(E1970,BD!$L$2:$Q$66,6,0),0)</f>
        <v>120</v>
      </c>
      <c r="I1970" s="96">
        <f>IFERROR(G1970*VLOOKUP($E1970,BD!$L$2:$Q$66,5,0),0)</f>
        <v>816.00000000000011</v>
      </c>
      <c r="J1970" s="3">
        <f t="shared" si="131"/>
        <v>2021</v>
      </c>
    </row>
    <row r="1971" spans="1:10" s="9" customFormat="1" hidden="1" x14ac:dyDescent="0.25">
      <c r="A1971" s="447">
        <v>44463</v>
      </c>
      <c r="B1971" s="55" t="str">
        <f t="shared" si="128"/>
        <v>SETIEMBRE</v>
      </c>
      <c r="C1971" s="55">
        <f t="shared" si="129"/>
        <v>39</v>
      </c>
      <c r="D1971" s="3" t="str">
        <f t="shared" si="130"/>
        <v>VIERNES</v>
      </c>
      <c r="E1971" s="427">
        <v>256652</v>
      </c>
      <c r="F1971" s="3" t="str">
        <f>IFERROR(VLOOKUP(E1971,BD!$L$2:$Q$66,2,0),0)</f>
        <v>TRIPACK FT NAR+FT KI+SP PET 3L</v>
      </c>
      <c r="G1971" s="424">
        <v>2430</v>
      </c>
      <c r="H1971" s="3">
        <f>+IFERROR(VLOOKUP(E1971,BD!$L$2:$Q$66,6,0),0)</f>
        <v>90</v>
      </c>
      <c r="I1971" s="96">
        <f>IFERROR(G1971*VLOOKUP($E1971,BD!$L$2:$Q$66,5,0),0)</f>
        <v>413.1</v>
      </c>
      <c r="J1971" s="3">
        <f t="shared" si="131"/>
        <v>2021</v>
      </c>
    </row>
    <row r="1972" spans="1:10" s="9" customFormat="1" hidden="1" x14ac:dyDescent="0.25">
      <c r="A1972" s="447">
        <v>44463</v>
      </c>
      <c r="B1972" s="55" t="str">
        <f t="shared" si="128"/>
        <v>SETIEMBRE</v>
      </c>
      <c r="C1972" s="55">
        <f t="shared" si="129"/>
        <v>39</v>
      </c>
      <c r="D1972" s="3" t="str">
        <f t="shared" si="130"/>
        <v>VIERNES</v>
      </c>
      <c r="E1972" s="427">
        <v>256652</v>
      </c>
      <c r="F1972" s="3" t="str">
        <f>IFERROR(VLOOKUP(E1972,BD!$L$2:$Q$66,2,0),0)</f>
        <v>TRIPACK FT NAR+FT KI+SP PET 3L</v>
      </c>
      <c r="G1972" s="424">
        <v>450</v>
      </c>
      <c r="H1972" s="3">
        <f>+IFERROR(VLOOKUP(E1972,BD!$L$2:$Q$66,6,0),0)</f>
        <v>90</v>
      </c>
      <c r="I1972" s="96">
        <f>IFERROR(G1972*VLOOKUP($E1972,BD!$L$2:$Q$66,5,0),0)</f>
        <v>76.5</v>
      </c>
      <c r="J1972" s="3">
        <f t="shared" si="131"/>
        <v>2021</v>
      </c>
    </row>
    <row r="1973" spans="1:10" s="9" customFormat="1" hidden="1" x14ac:dyDescent="0.25">
      <c r="A1973" s="447">
        <v>44463</v>
      </c>
      <c r="B1973" s="55" t="str">
        <f t="shared" si="128"/>
        <v>SETIEMBRE</v>
      </c>
      <c r="C1973" s="55">
        <f t="shared" si="129"/>
        <v>39</v>
      </c>
      <c r="D1973" s="3" t="str">
        <f t="shared" si="130"/>
        <v>VIERNES</v>
      </c>
      <c r="E1973" s="427">
        <v>256678</v>
      </c>
      <c r="F1973" s="3" t="str">
        <f>IFERROR(VLOOKUP(E1973,BD!$L$2:$Q$66,2,0),0)</f>
        <v>TRIPACK (CC+IK)PFM+FT PET 3LX3 - RFNN</v>
      </c>
      <c r="G1973" s="424">
        <v>3060</v>
      </c>
      <c r="H1973" s="3">
        <f>+IFERROR(VLOOKUP(E1973,BD!$L$2:$Q$66,6,0),0)</f>
        <v>90</v>
      </c>
      <c r="I1973" s="96">
        <f>IFERROR(G1973*VLOOKUP($E1973,BD!$L$2:$Q$66,5,0),0)</f>
        <v>520.20000000000005</v>
      </c>
      <c r="J1973" s="3">
        <f t="shared" si="131"/>
        <v>2021</v>
      </c>
    </row>
    <row r="1974" spans="1:10" s="9" customFormat="1" hidden="1" x14ac:dyDescent="0.25">
      <c r="A1974" s="447">
        <v>44463</v>
      </c>
      <c r="B1974" s="55" t="str">
        <f t="shared" si="128"/>
        <v>SETIEMBRE</v>
      </c>
      <c r="C1974" s="55">
        <f t="shared" si="129"/>
        <v>39</v>
      </c>
      <c r="D1974" s="3" t="str">
        <f t="shared" si="130"/>
        <v>VIERNES</v>
      </c>
      <c r="E1974" s="427">
        <v>256695</v>
      </c>
      <c r="F1974" s="3" t="str">
        <f>IFERROR(VLOOKUP(E1974,BD!$L$2:$Q$66,2,0),0)</f>
        <v>POWERADE 3MORA+3FRUT PET 473MLX6</v>
      </c>
      <c r="G1974" s="424">
        <v>675</v>
      </c>
      <c r="H1974" s="3">
        <f>+IFERROR(VLOOKUP(E1974,BD!$L$2:$Q$66,6,0),0)</f>
        <v>225</v>
      </c>
      <c r="I1974" s="96">
        <f>IFERROR(G1974*VLOOKUP($E1974,BD!$L$2:$Q$66,5,0),0)</f>
        <v>283.5</v>
      </c>
      <c r="J1974" s="3">
        <f t="shared" si="131"/>
        <v>2021</v>
      </c>
    </row>
    <row r="1975" spans="1:10" s="9" customFormat="1" hidden="1" x14ac:dyDescent="0.25">
      <c r="A1975" s="447">
        <v>44463</v>
      </c>
      <c r="B1975" s="55" t="str">
        <f t="shared" si="128"/>
        <v>SETIEMBRE</v>
      </c>
      <c r="C1975" s="55">
        <f t="shared" si="129"/>
        <v>39</v>
      </c>
      <c r="D1975" s="3" t="str">
        <f t="shared" si="130"/>
        <v>VIERNES</v>
      </c>
      <c r="E1975" s="427">
        <v>256488</v>
      </c>
      <c r="F1975" s="3" t="str">
        <f>IFERROR(VLOOKUP(E1975,BD!$L$2:$Q$66,2,0),0)</f>
        <v>INCA KOLA PET 3LX2 - RF</v>
      </c>
      <c r="G1975" s="424">
        <v>960</v>
      </c>
      <c r="H1975" s="3">
        <f>+IFERROR(VLOOKUP(E1975,BD!$L$2:$Q$66,6,0),0)</f>
        <v>120</v>
      </c>
      <c r="I1975" s="96">
        <f>IFERROR(G1975*VLOOKUP($E1975,BD!$L$2:$Q$66,5,0),0)</f>
        <v>163.20000000000002</v>
      </c>
      <c r="J1975" s="3">
        <f t="shared" si="131"/>
        <v>2021</v>
      </c>
    </row>
    <row r="1976" spans="1:10" s="9" customFormat="1" hidden="1" x14ac:dyDescent="0.25">
      <c r="A1976" s="447">
        <v>44463</v>
      </c>
      <c r="B1976" s="55" t="str">
        <f t="shared" si="128"/>
        <v>SETIEMBRE</v>
      </c>
      <c r="C1976" s="55">
        <f t="shared" si="129"/>
        <v>39</v>
      </c>
      <c r="D1976" s="3" t="str">
        <f t="shared" si="130"/>
        <v>VIERNES</v>
      </c>
      <c r="E1976" s="427">
        <v>256680</v>
      </c>
      <c r="F1976" s="3" t="str">
        <f>IFERROR(VLOOKUP(E1976,BD!$L$2:$Q$66,2,0),0)</f>
        <v>TRIPACK CC+CC+IK PFM 3LX3 - RFNN</v>
      </c>
      <c r="G1976" s="424">
        <v>1080</v>
      </c>
      <c r="H1976" s="3">
        <f>+IFERROR(VLOOKUP(E1976,BD!$L$2:$Q$66,6,0),0)</f>
        <v>90</v>
      </c>
      <c r="I1976" s="96">
        <f>IFERROR(G1976*VLOOKUP($E1976,BD!$L$2:$Q$66,5,0),0)</f>
        <v>183.60000000000002</v>
      </c>
      <c r="J1976" s="3">
        <f t="shared" si="131"/>
        <v>2021</v>
      </c>
    </row>
    <row r="1977" spans="1:10" s="9" customFormat="1" hidden="1" x14ac:dyDescent="0.25">
      <c r="A1977" s="447">
        <v>44463</v>
      </c>
      <c r="B1977" s="55" t="str">
        <f t="shared" si="128"/>
        <v>SETIEMBRE</v>
      </c>
      <c r="C1977" s="55">
        <f t="shared" si="129"/>
        <v>39</v>
      </c>
      <c r="D1977" s="3" t="str">
        <f t="shared" si="130"/>
        <v>VIERNES</v>
      </c>
      <c r="E1977" s="427">
        <v>256679</v>
      </c>
      <c r="F1977" s="3" t="str">
        <f>IFERROR(VLOOKUP(E1977,BD!$L$2:$Q$66,2,0),0)</f>
        <v>TRIPACK CC+IK+IK PFM 3LX3 - RFNN</v>
      </c>
      <c r="G1977" s="424">
        <v>1080</v>
      </c>
      <c r="H1977" s="3">
        <f>+IFERROR(VLOOKUP(E1977,BD!$L$2:$Q$66,6,0),0)</f>
        <v>90</v>
      </c>
      <c r="I1977" s="96">
        <f>IFERROR(G1977*VLOOKUP($E1977,BD!$L$2:$Q$66,5,0),0)</f>
        <v>183.60000000000002</v>
      </c>
      <c r="J1977" s="3">
        <f t="shared" si="131"/>
        <v>2021</v>
      </c>
    </row>
    <row r="1978" spans="1:10" s="9" customFormat="1" hidden="1" x14ac:dyDescent="0.25">
      <c r="A1978" s="447">
        <v>44463</v>
      </c>
      <c r="B1978" s="55" t="str">
        <f t="shared" si="128"/>
        <v>SETIEMBRE</v>
      </c>
      <c r="C1978" s="55">
        <f t="shared" si="129"/>
        <v>39</v>
      </c>
      <c r="D1978" s="3" t="str">
        <f t="shared" si="130"/>
        <v>VIERNES</v>
      </c>
      <c r="E1978" s="427">
        <v>256674</v>
      </c>
      <c r="F1978" s="3" t="str">
        <f>IFERROR(VLOOKUP(E1978,BD!$L$2:$Q$66,2,0),0)</f>
        <v>COCA-COLA PET 1.5LX2 RF</v>
      </c>
      <c r="G1978" s="424">
        <v>648</v>
      </c>
      <c r="H1978" s="3">
        <f>+IFERROR(VLOOKUP(E1978,BD!$L$2:$Q$66,6,0),0)</f>
        <v>198</v>
      </c>
      <c r="I1978" s="96">
        <f>IFERROR(G1978*VLOOKUP($E1978,BD!$L$2:$Q$66,5,0),0)</f>
        <v>110.16000000000001</v>
      </c>
      <c r="J1978" s="3">
        <f t="shared" si="131"/>
        <v>2021</v>
      </c>
    </row>
    <row r="1979" spans="1:10" s="9" customFormat="1" hidden="1" x14ac:dyDescent="0.25">
      <c r="A1979" s="447">
        <v>44463</v>
      </c>
      <c r="B1979" s="55" t="str">
        <f t="shared" ref="B1979:B2042" si="132">UPPER(TEXT(A1979,"MMMM"))</f>
        <v>SETIEMBRE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7">
        <v>256616</v>
      </c>
      <c r="F1979" s="3" t="str">
        <f>IFERROR(VLOOKUP(E1979,BD!$L$2:$Q$66,2,0),0)</f>
        <v>TWO PACK SCHWEPPES CITRUS PET 1.5LX2</v>
      </c>
      <c r="G1979" s="424">
        <v>396</v>
      </c>
      <c r="H1979" s="3">
        <f>+IFERROR(VLOOKUP(E1979,BD!$L$2:$Q$66,6,0),0)</f>
        <v>198</v>
      </c>
      <c r="I1979" s="96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hidden="1" x14ac:dyDescent="0.25">
      <c r="A1980" s="447">
        <v>44464</v>
      </c>
      <c r="B1980" s="55" t="str">
        <f t="shared" si="132"/>
        <v>SETIEMBRE</v>
      </c>
      <c r="C1980" s="55">
        <f t="shared" si="133"/>
        <v>40</v>
      </c>
      <c r="D1980" s="3" t="str">
        <f t="shared" si="134"/>
        <v>SÁBADO</v>
      </c>
      <c r="E1980" s="427">
        <v>251429</v>
      </c>
      <c r="F1980" s="3" t="str">
        <f>IFERROR(VLOOKUP(E1980,BD!$L$2:$Q$66,2,0),0)</f>
        <v>SAN LUIS SIN GAS PET2500X6 STICKER</v>
      </c>
      <c r="G1980" s="424">
        <v>576</v>
      </c>
      <c r="H1980" s="3">
        <f>+IFERROR(VLOOKUP(E1980,BD!$L$2:$Q$66,6,0),0)</f>
        <v>48</v>
      </c>
      <c r="I1980" s="96">
        <f>IFERROR(G1980*VLOOKUP($E1980,BD!$L$2:$Q$66,5,0),0)</f>
        <v>230.4</v>
      </c>
      <c r="J1980" s="3">
        <f t="shared" si="135"/>
        <v>2021</v>
      </c>
    </row>
    <row r="1981" spans="1:10" s="9" customFormat="1" hidden="1" x14ac:dyDescent="0.25">
      <c r="A1981" s="447">
        <v>44464</v>
      </c>
      <c r="B1981" s="55" t="str">
        <f t="shared" si="132"/>
        <v>SETIEMBRE</v>
      </c>
      <c r="C1981" s="55">
        <f t="shared" si="133"/>
        <v>40</v>
      </c>
      <c r="D1981" s="3" t="str">
        <f t="shared" si="134"/>
        <v>SÁBADO</v>
      </c>
      <c r="E1981" s="427">
        <v>256382</v>
      </c>
      <c r="F1981" s="3" t="str">
        <f>IFERROR(VLOOKUP(E1981,BD!$L$2:$Q$66,2,0),0)</f>
        <v>COCA COLA VR 296MLX24 - STICKER</v>
      </c>
      <c r="G1981" s="424">
        <v>160</v>
      </c>
      <c r="H1981" s="3">
        <f>+IFERROR(VLOOKUP(E1981,BD!$L$2:$Q$66,6,0),0)</f>
        <v>40</v>
      </c>
      <c r="I1981" s="96">
        <f>IFERROR(G1981*VLOOKUP($E1981,BD!$L$2:$Q$66,5,0),0)</f>
        <v>36.800000000000004</v>
      </c>
      <c r="J1981" s="3">
        <f t="shared" si="135"/>
        <v>2021</v>
      </c>
    </row>
    <row r="1982" spans="1:10" s="9" customFormat="1" hidden="1" x14ac:dyDescent="0.25">
      <c r="A1982" s="447">
        <v>44464</v>
      </c>
      <c r="B1982" s="55" t="str">
        <f t="shared" si="132"/>
        <v>SETIEMBRE</v>
      </c>
      <c r="C1982" s="55">
        <f t="shared" si="133"/>
        <v>40</v>
      </c>
      <c r="D1982" s="3" t="str">
        <f t="shared" si="134"/>
        <v>SÁBADO</v>
      </c>
      <c r="E1982" s="427">
        <v>256380</v>
      </c>
      <c r="F1982" s="3" t="str">
        <f>IFERROR(VLOOKUP(E1982,BD!$L$2:$Q$66,2,0),0)</f>
        <v>INCA KOLA VR 296MLX24 - STICKER</v>
      </c>
      <c r="G1982" s="424">
        <v>160</v>
      </c>
      <c r="H1982" s="3">
        <f>+IFERROR(VLOOKUP(E1982,BD!$L$2:$Q$66,6,0),0)</f>
        <v>40</v>
      </c>
      <c r="I1982" s="96">
        <f>IFERROR(G1982*VLOOKUP($E1982,BD!$L$2:$Q$66,5,0),0)</f>
        <v>36.800000000000004</v>
      </c>
      <c r="J1982" s="3">
        <f t="shared" si="135"/>
        <v>2021</v>
      </c>
    </row>
    <row r="1983" spans="1:10" s="9" customFormat="1" hidden="1" x14ac:dyDescent="0.25">
      <c r="A1983" s="447">
        <v>44464</v>
      </c>
      <c r="B1983" s="55" t="str">
        <f t="shared" si="132"/>
        <v>SETIEMBRE</v>
      </c>
      <c r="C1983" s="55">
        <f t="shared" si="133"/>
        <v>40</v>
      </c>
      <c r="D1983" s="3" t="str">
        <f t="shared" si="134"/>
        <v>SÁBADO</v>
      </c>
      <c r="E1983" s="427">
        <v>256379</v>
      </c>
      <c r="F1983" s="3" t="str">
        <f>IFERROR(VLOOKUP(E1983,BD!$L$2:$Q$66,2,0),0)</f>
        <v>INCA KOLA VR 625MLX12 - STICKER</v>
      </c>
      <c r="G1983" s="424">
        <v>550</v>
      </c>
      <c r="H1983" s="3">
        <f>+IFERROR(VLOOKUP(E1983,BD!$L$2:$Q$66,6,0),0)</f>
        <v>50</v>
      </c>
      <c r="I1983" s="96">
        <f>IFERROR(G1983*VLOOKUP($E1983,BD!$L$2:$Q$66,5,0),0)</f>
        <v>220</v>
      </c>
      <c r="J1983" s="3">
        <f t="shared" si="135"/>
        <v>2021</v>
      </c>
    </row>
    <row r="1984" spans="1:10" s="9" customFormat="1" hidden="1" x14ac:dyDescent="0.25">
      <c r="A1984" s="447">
        <v>44464</v>
      </c>
      <c r="B1984" s="55" t="str">
        <f t="shared" si="132"/>
        <v>SETIEMBRE</v>
      </c>
      <c r="C1984" s="55">
        <f t="shared" si="133"/>
        <v>40</v>
      </c>
      <c r="D1984" s="3" t="str">
        <f t="shared" si="134"/>
        <v>SÁBADO</v>
      </c>
      <c r="E1984" s="427">
        <v>751315</v>
      </c>
      <c r="F1984" s="3" t="str">
        <f>IFERROR(VLOOKUP(E1984,BD!$L$2:$Q$66,2,0),0)</f>
        <v>MONSTER ENERGY 473MLX4</v>
      </c>
      <c r="G1984" s="424">
        <v>1680</v>
      </c>
      <c r="H1984" s="3">
        <f>+IFERROR(VLOOKUP(E1984,BD!$L$2:$Q$66,6,0),0)</f>
        <v>420</v>
      </c>
      <c r="I1984" s="96">
        <f>IFERROR(G1984*VLOOKUP($E1984,BD!$L$2:$Q$66,5,0),0)</f>
        <v>705.6</v>
      </c>
      <c r="J1984" s="3">
        <f t="shared" si="135"/>
        <v>2021</v>
      </c>
    </row>
    <row r="1985" spans="1:10" s="9" customFormat="1" hidden="1" x14ac:dyDescent="0.25">
      <c r="A1985" s="447">
        <v>44464</v>
      </c>
      <c r="B1985" s="55" t="str">
        <f t="shared" si="132"/>
        <v>SETIEMBRE</v>
      </c>
      <c r="C1985" s="55">
        <f t="shared" si="133"/>
        <v>40</v>
      </c>
      <c r="D1985" s="3" t="str">
        <f t="shared" si="134"/>
        <v>SÁBADO</v>
      </c>
      <c r="E1985" s="427">
        <v>251633</v>
      </c>
      <c r="F1985" s="3" t="str">
        <f>IFERROR(VLOOKUP(E1985,BD!$L$2:$Q$66,2,0),0)</f>
        <v>SAN LUIS CON GAS PET 625MLX6</v>
      </c>
      <c r="G1985" s="424">
        <v>1080</v>
      </c>
      <c r="H1985" s="3">
        <f>+IFERROR(VLOOKUP(E1985,BD!$L$2:$Q$66,6,0),0)</f>
        <v>180</v>
      </c>
      <c r="I1985" s="96">
        <f>IFERROR(G1985*VLOOKUP($E1985,BD!$L$2:$Q$66,5,0),0)</f>
        <v>453.59999999999997</v>
      </c>
      <c r="J1985" s="3">
        <f t="shared" si="135"/>
        <v>2021</v>
      </c>
    </row>
    <row r="1986" spans="1:10" s="9" customFormat="1" hidden="1" x14ac:dyDescent="0.25">
      <c r="A1986" s="447">
        <v>44464</v>
      </c>
      <c r="B1986" s="55" t="str">
        <f t="shared" si="132"/>
        <v>SETIEMBRE</v>
      </c>
      <c r="C1986" s="55">
        <f t="shared" si="133"/>
        <v>40</v>
      </c>
      <c r="D1986" s="3" t="str">
        <f t="shared" si="134"/>
        <v>SÁBADO</v>
      </c>
      <c r="E1986" s="427">
        <v>256678</v>
      </c>
      <c r="F1986" s="3" t="str">
        <f>IFERROR(VLOOKUP(E1986,BD!$L$2:$Q$66,2,0),0)</f>
        <v>TRIPACK (CC+IK)PFM+FT PET 3LX3 - RFNN</v>
      </c>
      <c r="G1986" s="424">
        <v>1980</v>
      </c>
      <c r="H1986" s="3">
        <f>+IFERROR(VLOOKUP(E1986,BD!$L$2:$Q$66,6,0),0)</f>
        <v>90</v>
      </c>
      <c r="I1986" s="96">
        <f>IFERROR(G1986*VLOOKUP($E1986,BD!$L$2:$Q$66,5,0),0)</f>
        <v>336.6</v>
      </c>
      <c r="J1986" s="3">
        <f t="shared" si="135"/>
        <v>2021</v>
      </c>
    </row>
    <row r="1987" spans="1:10" s="9" customFormat="1" hidden="1" x14ac:dyDescent="0.25">
      <c r="A1987" s="447">
        <v>44464</v>
      </c>
      <c r="B1987" s="55" t="str">
        <f t="shared" si="132"/>
        <v>SETIEMBRE</v>
      </c>
      <c r="C1987" s="55">
        <f t="shared" si="133"/>
        <v>40</v>
      </c>
      <c r="D1987" s="3" t="str">
        <f t="shared" si="134"/>
        <v>SÁBADO</v>
      </c>
      <c r="E1987" s="427">
        <v>256678</v>
      </c>
      <c r="F1987" s="3" t="str">
        <f>IFERROR(VLOOKUP(E1987,BD!$L$2:$Q$66,2,0),0)</f>
        <v>TRIPACK (CC+IK)PFM+FT PET 3LX3 - RFNN</v>
      </c>
      <c r="G1987" s="424">
        <v>180</v>
      </c>
      <c r="H1987" s="3">
        <f>+IFERROR(VLOOKUP(E1987,BD!$L$2:$Q$66,6,0),0)</f>
        <v>90</v>
      </c>
      <c r="I1987" s="96">
        <f>IFERROR(G1987*VLOOKUP($E1987,BD!$L$2:$Q$66,5,0),0)</f>
        <v>30.6</v>
      </c>
      <c r="J1987" s="3">
        <f t="shared" si="135"/>
        <v>2021</v>
      </c>
    </row>
    <row r="1988" spans="1:10" s="9" customFormat="1" hidden="1" x14ac:dyDescent="0.25">
      <c r="A1988" s="447">
        <v>44464</v>
      </c>
      <c r="B1988" s="55" t="str">
        <f t="shared" si="132"/>
        <v>SETIEMBRE</v>
      </c>
      <c r="C1988" s="55">
        <f t="shared" si="133"/>
        <v>40</v>
      </c>
      <c r="D1988" s="3" t="str">
        <f t="shared" si="134"/>
        <v>SÁBADO</v>
      </c>
      <c r="E1988" s="427">
        <v>256677</v>
      </c>
      <c r="F1988" s="3" t="str">
        <f>IFERROR(VLOOKUP(E1988,BD!$L$2:$Q$66,2,0),0)</f>
        <v>TWO PACK CC + IK PFM 3LX2 - RFNN</v>
      </c>
      <c r="G1988" s="424">
        <v>360</v>
      </c>
      <c r="H1988" s="3">
        <f>+IFERROR(VLOOKUP(E1988,BD!$L$2:$Q$66,6,0),0)</f>
        <v>120</v>
      </c>
      <c r="I1988" s="96">
        <f>IFERROR(G1988*VLOOKUP($E1988,BD!$L$2:$Q$66,5,0),0)</f>
        <v>61.2</v>
      </c>
      <c r="J1988" s="3">
        <f t="shared" si="135"/>
        <v>2021</v>
      </c>
    </row>
    <row r="1989" spans="1:10" s="9" customFormat="1" hidden="1" x14ac:dyDescent="0.25">
      <c r="A1989" s="447">
        <v>44464</v>
      </c>
      <c r="B1989" s="55" t="str">
        <f t="shared" si="132"/>
        <v>SETIEMBRE</v>
      </c>
      <c r="C1989" s="55">
        <f t="shared" si="133"/>
        <v>40</v>
      </c>
      <c r="D1989" s="3" t="str">
        <f t="shared" si="134"/>
        <v>SÁBADO</v>
      </c>
      <c r="E1989" s="427">
        <v>256677</v>
      </c>
      <c r="F1989" s="3" t="str">
        <f>IFERROR(VLOOKUP(E1989,BD!$L$2:$Q$66,2,0),0)</f>
        <v>TWO PACK CC + IK PFM 3LX2 - RFNN</v>
      </c>
      <c r="G1989" s="424">
        <v>5160</v>
      </c>
      <c r="H1989" s="3">
        <f>+IFERROR(VLOOKUP(E1989,BD!$L$2:$Q$66,6,0),0)</f>
        <v>120</v>
      </c>
      <c r="I1989" s="96">
        <f>IFERROR(G1989*VLOOKUP($E1989,BD!$L$2:$Q$66,5,0),0)</f>
        <v>877.2</v>
      </c>
      <c r="J1989" s="3">
        <f t="shared" si="135"/>
        <v>2021</v>
      </c>
    </row>
    <row r="1990" spans="1:10" s="9" customFormat="1" hidden="1" x14ac:dyDescent="0.25">
      <c r="A1990" s="447">
        <v>44464</v>
      </c>
      <c r="B1990" s="55" t="str">
        <f t="shared" si="132"/>
        <v>SETIEMBRE</v>
      </c>
      <c r="C1990" s="55">
        <f t="shared" si="133"/>
        <v>40</v>
      </c>
      <c r="D1990" s="3" t="str">
        <f t="shared" si="134"/>
        <v>SÁBADO</v>
      </c>
      <c r="E1990" s="427">
        <v>256652</v>
      </c>
      <c r="F1990" s="3" t="str">
        <f>IFERROR(VLOOKUP(E1990,BD!$L$2:$Q$66,2,0),0)</f>
        <v>TRIPACK FT NAR+FT KI+SP PET 3L</v>
      </c>
      <c r="G1990" s="424">
        <v>2880</v>
      </c>
      <c r="H1990" s="3">
        <f>+IFERROR(VLOOKUP(E1990,BD!$L$2:$Q$66,6,0),0)</f>
        <v>90</v>
      </c>
      <c r="I1990" s="96">
        <f>IFERROR(G1990*VLOOKUP($E1990,BD!$L$2:$Q$66,5,0),0)</f>
        <v>489.6</v>
      </c>
      <c r="J1990" s="3">
        <f t="shared" si="135"/>
        <v>2021</v>
      </c>
    </row>
    <row r="1991" spans="1:10" s="9" customFormat="1" hidden="1" x14ac:dyDescent="0.25">
      <c r="A1991" s="447">
        <v>44464</v>
      </c>
      <c r="B1991" s="55" t="str">
        <f t="shared" si="132"/>
        <v>SETIEMBRE</v>
      </c>
      <c r="C1991" s="55">
        <f t="shared" si="133"/>
        <v>40</v>
      </c>
      <c r="D1991" s="3" t="str">
        <f t="shared" si="134"/>
        <v>SÁBADO</v>
      </c>
      <c r="E1991" s="427">
        <v>256616</v>
      </c>
      <c r="F1991" s="3" t="str">
        <f>IFERROR(VLOOKUP(E1991,BD!$L$2:$Q$66,2,0),0)</f>
        <v>TWO PACK SCHWEPPES CITRUS PET 1.5LX2</v>
      </c>
      <c r="G1991" s="424">
        <v>594</v>
      </c>
      <c r="H1991" s="3">
        <f>+IFERROR(VLOOKUP(E1991,BD!$L$2:$Q$66,6,0),0)</f>
        <v>198</v>
      </c>
      <c r="I1991" s="96">
        <f>IFERROR(G1991*VLOOKUP($E1991,BD!$L$2:$Q$66,5,0),0)</f>
        <v>100.98</v>
      </c>
      <c r="J1991" s="3">
        <f t="shared" si="135"/>
        <v>2021</v>
      </c>
    </row>
    <row r="1992" spans="1:10" s="9" customFormat="1" hidden="1" x14ac:dyDescent="0.25">
      <c r="A1992" s="447">
        <v>44464</v>
      </c>
      <c r="B1992" s="55" t="str">
        <f t="shared" si="132"/>
        <v>SETIEMBRE</v>
      </c>
      <c r="C1992" s="55">
        <f t="shared" si="133"/>
        <v>40</v>
      </c>
      <c r="D1992" s="3" t="str">
        <f t="shared" si="134"/>
        <v>SÁBADO</v>
      </c>
      <c r="E1992" s="427">
        <v>256601</v>
      </c>
      <c r="F1992" s="3" t="str">
        <f>IFERROR(VLOOKUP(E1992,BD!$L$2:$Q$66,2,0),0)</f>
        <v>INCA KOLA PET 2.25LX2 RF</v>
      </c>
      <c r="G1992" s="424">
        <v>162</v>
      </c>
      <c r="H1992" s="3">
        <f>+IFERROR(VLOOKUP(E1992,BD!$L$2:$Q$66,6,0),0)</f>
        <v>162</v>
      </c>
      <c r="I1992" s="96">
        <f>IFERROR(G1992*VLOOKUP($E1992,BD!$L$2:$Q$66,5,0),0)</f>
        <v>27.540000000000003</v>
      </c>
      <c r="J1992" s="3">
        <f t="shared" si="135"/>
        <v>2021</v>
      </c>
    </row>
    <row r="1993" spans="1:10" s="9" customFormat="1" hidden="1" x14ac:dyDescent="0.25">
      <c r="A1993" s="447">
        <v>44464</v>
      </c>
      <c r="B1993" s="55" t="str">
        <f t="shared" si="132"/>
        <v>SETIEMBRE</v>
      </c>
      <c r="C1993" s="55">
        <f t="shared" si="133"/>
        <v>40</v>
      </c>
      <c r="D1993" s="3" t="str">
        <f t="shared" si="134"/>
        <v>SÁBADO</v>
      </c>
      <c r="E1993" s="427">
        <v>256488</v>
      </c>
      <c r="F1993" s="3" t="str">
        <f>IFERROR(VLOOKUP(E1993,BD!$L$2:$Q$66,2,0),0)</f>
        <v>INCA KOLA PET 3LX2 - RF</v>
      </c>
      <c r="G1993" s="424">
        <v>120</v>
      </c>
      <c r="H1993" s="3">
        <f>+IFERROR(VLOOKUP(E1993,BD!$L$2:$Q$66,6,0),0)</f>
        <v>120</v>
      </c>
      <c r="I1993" s="96">
        <f>IFERROR(G1993*VLOOKUP($E1993,BD!$L$2:$Q$66,5,0),0)</f>
        <v>20.400000000000002</v>
      </c>
      <c r="J1993" s="3">
        <f t="shared" si="135"/>
        <v>2021</v>
      </c>
    </row>
    <row r="1994" spans="1:10" s="9" customFormat="1" hidden="1" x14ac:dyDescent="0.25">
      <c r="A1994" s="447">
        <v>44464</v>
      </c>
      <c r="B1994" s="55" t="str">
        <f t="shared" si="132"/>
        <v>SETIEMBRE</v>
      </c>
      <c r="C1994" s="55">
        <f t="shared" si="133"/>
        <v>40</v>
      </c>
      <c r="D1994" s="3" t="str">
        <f t="shared" si="134"/>
        <v>SÁBADO</v>
      </c>
      <c r="E1994" s="427">
        <v>254853</v>
      </c>
      <c r="F1994" s="3" t="str">
        <f>IFERROR(VLOOKUP(E1994,BD!$L$2:$Q$66,2,0),0)</f>
        <v>INCA KOLA SIN AZUCAR PET 1.5LX2</v>
      </c>
      <c r="G1994" s="424">
        <v>1296</v>
      </c>
      <c r="H1994" s="3">
        <f>+IFERROR(VLOOKUP(E1994,BD!$L$2:$Q$66,6,0),0)</f>
        <v>198</v>
      </c>
      <c r="I1994" s="96">
        <f>IFERROR(G1994*VLOOKUP($E1994,BD!$L$2:$Q$66,5,0),0)</f>
        <v>220.32000000000002</v>
      </c>
      <c r="J1994" s="3">
        <f t="shared" si="135"/>
        <v>2021</v>
      </c>
    </row>
    <row r="1995" spans="1:10" s="9" customFormat="1" hidden="1" x14ac:dyDescent="0.25">
      <c r="A1995" s="447">
        <v>44464</v>
      </c>
      <c r="B1995" s="55" t="str">
        <f t="shared" si="132"/>
        <v>SETIEMBRE</v>
      </c>
      <c r="C1995" s="55">
        <f t="shared" si="133"/>
        <v>40</v>
      </c>
      <c r="D1995" s="3" t="str">
        <f t="shared" si="134"/>
        <v>SÁBADO</v>
      </c>
      <c r="E1995" s="427">
        <v>251406</v>
      </c>
      <c r="F1995" s="3" t="str">
        <f>IFERROR(VLOOKUP(E1995,BD!$L$2:$Q$66,2,0),0)</f>
        <v>COCA-COLA SIN AZUCAR PET 1.5LX2</v>
      </c>
      <c r="G1995" s="424">
        <v>1080</v>
      </c>
      <c r="H1995" s="3">
        <f>+IFERROR(VLOOKUP(E1995,BD!$L$2:$Q$66,6,0),0)</f>
        <v>198</v>
      </c>
      <c r="I1995" s="96">
        <f>IFERROR(G1995*VLOOKUP($E1995,BD!$L$2:$Q$66,5,0),0)</f>
        <v>183.60000000000002</v>
      </c>
      <c r="J1995" s="3">
        <f t="shared" si="135"/>
        <v>2021</v>
      </c>
    </row>
    <row r="1996" spans="1:10" s="9" customFormat="1" hidden="1" x14ac:dyDescent="0.25">
      <c r="A1996" s="447">
        <v>44464</v>
      </c>
      <c r="B1996" s="55" t="str">
        <f t="shared" si="132"/>
        <v>SETIEMBRE</v>
      </c>
      <c r="C1996" s="55">
        <f t="shared" si="133"/>
        <v>40</v>
      </c>
      <c r="D1996" s="3" t="str">
        <f t="shared" si="134"/>
        <v>SÁBADO</v>
      </c>
      <c r="E1996" s="427">
        <v>256383</v>
      </c>
      <c r="F1996" s="3" t="str">
        <f>IFERROR(VLOOKUP(E1996,BD!$L$2:$Q$66,2,0),0)</f>
        <v>COCA COLA VR 1.5LX8 - STICKER</v>
      </c>
      <c r="G1996" s="424">
        <v>210</v>
      </c>
      <c r="H1996" s="3">
        <f>+IFERROR(VLOOKUP(E1996,BD!$L$2:$Q$66,6,0),0)</f>
        <v>30</v>
      </c>
      <c r="I1996" s="96">
        <f>IFERROR(G1996*VLOOKUP($E1996,BD!$L$2:$Q$66,5,0),0)</f>
        <v>48.300000000000004</v>
      </c>
      <c r="J1996" s="3">
        <f t="shared" si="135"/>
        <v>2021</v>
      </c>
    </row>
    <row r="1997" spans="1:10" s="9" customFormat="1" hidden="1" x14ac:dyDescent="0.25">
      <c r="A1997" s="447">
        <v>44464</v>
      </c>
      <c r="B1997" s="55" t="str">
        <f t="shared" si="132"/>
        <v>SETIEMBRE</v>
      </c>
      <c r="C1997" s="55">
        <f t="shared" si="133"/>
        <v>40</v>
      </c>
      <c r="D1997" s="3" t="str">
        <f t="shared" si="134"/>
        <v>SÁBADO</v>
      </c>
      <c r="E1997" s="427">
        <v>256381</v>
      </c>
      <c r="F1997" s="3" t="str">
        <f>IFERROR(VLOOKUP(E1997,BD!$L$2:$Q$66,2,0),0)</f>
        <v>INCA KOLA VR 1.5LX8 - STICKER</v>
      </c>
      <c r="G1997" s="424">
        <v>120</v>
      </c>
      <c r="H1997" s="3">
        <f>+IFERROR(VLOOKUP(E1997,BD!$L$2:$Q$66,6,0),0)</f>
        <v>30</v>
      </c>
      <c r="I1997" s="96">
        <f>IFERROR(G1997*VLOOKUP($E1997,BD!$L$2:$Q$66,5,0),0)</f>
        <v>48</v>
      </c>
      <c r="J1997" s="3">
        <f t="shared" si="135"/>
        <v>2021</v>
      </c>
    </row>
    <row r="1998" spans="1:10" s="9" customFormat="1" hidden="1" x14ac:dyDescent="0.25">
      <c r="A1998" s="447">
        <v>44464</v>
      </c>
      <c r="B1998" s="55" t="str">
        <f t="shared" si="132"/>
        <v>SETIEMBRE</v>
      </c>
      <c r="C1998" s="55">
        <f t="shared" si="133"/>
        <v>40</v>
      </c>
      <c r="D1998" s="3" t="str">
        <f t="shared" si="134"/>
        <v>SÁBADO</v>
      </c>
      <c r="E1998" s="427">
        <v>751468</v>
      </c>
      <c r="F1998" s="3" t="str">
        <f>IFERROR(VLOOKUP(E1998,BD!$L$2:$Q$66,2,0),0)</f>
        <v>MONSTER ENERGY ULTRA 473MLX4</v>
      </c>
      <c r="G1998" s="424">
        <v>1260</v>
      </c>
      <c r="H1998" s="3">
        <f>+IFERROR(VLOOKUP(E1998,BD!$L$2:$Q$66,6,0),0)</f>
        <v>420</v>
      </c>
      <c r="I1998" s="96">
        <f>IFERROR(G1998*VLOOKUP($E1998,BD!$L$2:$Q$66,5,0),0)</f>
        <v>529.19999999999993</v>
      </c>
      <c r="J1998" s="3">
        <f t="shared" si="135"/>
        <v>2021</v>
      </c>
    </row>
    <row r="1999" spans="1:10" s="9" customFormat="1" hidden="1" x14ac:dyDescent="0.25">
      <c r="A1999" s="447">
        <v>44464</v>
      </c>
      <c r="B1999" s="55" t="str">
        <f t="shared" si="132"/>
        <v>SETIEMBRE</v>
      </c>
      <c r="C1999" s="55">
        <f t="shared" si="133"/>
        <v>40</v>
      </c>
      <c r="D1999" s="3" t="str">
        <f t="shared" si="134"/>
        <v>SÁBADO</v>
      </c>
      <c r="E1999" s="427">
        <v>256674</v>
      </c>
      <c r="F1999" s="3" t="str">
        <f>IFERROR(VLOOKUP(E1999,BD!$L$2:$Q$66,2,0),0)</f>
        <v>COCA-COLA PET 1.5LX2 RF</v>
      </c>
      <c r="G1999" s="424">
        <v>1728</v>
      </c>
      <c r="H1999" s="3">
        <f>+IFERROR(VLOOKUP(E1999,BD!$L$2:$Q$66,6,0),0)</f>
        <v>198</v>
      </c>
      <c r="I1999" s="96">
        <f>IFERROR(G1999*VLOOKUP($E1999,BD!$L$2:$Q$66,5,0),0)</f>
        <v>293.76000000000005</v>
      </c>
      <c r="J1999" s="3">
        <f t="shared" si="135"/>
        <v>2021</v>
      </c>
    </row>
    <row r="2000" spans="1:10" s="9" customFormat="1" hidden="1" x14ac:dyDescent="0.25">
      <c r="A2000" s="447">
        <v>44464</v>
      </c>
      <c r="B2000" s="55" t="str">
        <f t="shared" si="132"/>
        <v>SETIEMBRE</v>
      </c>
      <c r="C2000" s="55">
        <f t="shared" si="133"/>
        <v>40</v>
      </c>
      <c r="D2000" s="3" t="str">
        <f t="shared" si="134"/>
        <v>SÁBADO</v>
      </c>
      <c r="E2000" s="427">
        <v>256617</v>
      </c>
      <c r="F2000" s="3" t="str">
        <f>IFERROR(VLOOKUP(E2000,BD!$L$2:$Q$66,2,0),0)</f>
        <v>TWO PACK SCHWEPPES GINGER ALE PET 1.5LX2</v>
      </c>
      <c r="G2000" s="424">
        <v>396</v>
      </c>
      <c r="H2000" s="3">
        <f>+IFERROR(VLOOKUP(E2000,BD!$L$2:$Q$66,6,0),0)</f>
        <v>198</v>
      </c>
      <c r="I2000" s="96">
        <f>IFERROR(G2000*VLOOKUP($E2000,BD!$L$2:$Q$66,5,0),0)</f>
        <v>67.320000000000007</v>
      </c>
      <c r="J2000" s="3">
        <f t="shared" si="135"/>
        <v>2021</v>
      </c>
    </row>
    <row r="2001" spans="1:10" s="9" customFormat="1" hidden="1" x14ac:dyDescent="0.25">
      <c r="A2001" s="447">
        <v>44465</v>
      </c>
      <c r="B2001" s="55" t="str">
        <f t="shared" si="132"/>
        <v>SETIEMBRE</v>
      </c>
      <c r="C2001" s="55">
        <f t="shared" si="133"/>
        <v>40</v>
      </c>
      <c r="D2001" s="3" t="str">
        <f t="shared" si="134"/>
        <v>DOMINGO</v>
      </c>
      <c r="E2001" s="427">
        <v>256695</v>
      </c>
      <c r="F2001" s="3" t="str">
        <f>IFERROR(VLOOKUP(E2001,BD!$L$2:$Q$66,2,0),0)</f>
        <v>POWERADE 3MORA+3FRUT PET 473MLX6</v>
      </c>
      <c r="G2001" s="424">
        <v>1125</v>
      </c>
      <c r="H2001" s="3">
        <f>+IFERROR(VLOOKUP(E2001,BD!$L$2:$Q$66,6,0),0)</f>
        <v>225</v>
      </c>
      <c r="I2001" s="96">
        <f>IFERROR(G2001*VLOOKUP($E2001,BD!$L$2:$Q$66,5,0),0)</f>
        <v>472.5</v>
      </c>
      <c r="J2001" s="3">
        <f t="shared" si="135"/>
        <v>2021</v>
      </c>
    </row>
    <row r="2002" spans="1:10" s="9" customFormat="1" hidden="1" x14ac:dyDescent="0.25">
      <c r="A2002" s="447">
        <v>44465</v>
      </c>
      <c r="B2002" s="55" t="str">
        <f t="shared" si="132"/>
        <v>SETIEMBRE</v>
      </c>
      <c r="C2002" s="55">
        <f t="shared" si="133"/>
        <v>40</v>
      </c>
      <c r="D2002" s="3" t="str">
        <f t="shared" si="134"/>
        <v>DOMINGO</v>
      </c>
      <c r="E2002" s="427">
        <v>751468</v>
      </c>
      <c r="F2002" s="3" t="str">
        <f>IFERROR(VLOOKUP(E2002,BD!$L$2:$Q$66,2,0),0)</f>
        <v>MONSTER ENERGY ULTRA 473MLX4</v>
      </c>
      <c r="G2002" s="424">
        <v>2100</v>
      </c>
      <c r="H2002" s="3">
        <f>+IFERROR(VLOOKUP(E2002,BD!$L$2:$Q$66,6,0),0)</f>
        <v>420</v>
      </c>
      <c r="I2002" s="96">
        <f>IFERROR(G2002*VLOOKUP($E2002,BD!$L$2:$Q$66,5,0),0)</f>
        <v>882</v>
      </c>
      <c r="J2002" s="3">
        <f t="shared" si="135"/>
        <v>2021</v>
      </c>
    </row>
    <row r="2003" spans="1:10" s="9" customFormat="1" hidden="1" x14ac:dyDescent="0.25">
      <c r="A2003" s="447">
        <v>44465</v>
      </c>
      <c r="B2003" s="55" t="str">
        <f t="shared" si="132"/>
        <v>SETIEMBRE</v>
      </c>
      <c r="C2003" s="55">
        <f t="shared" si="133"/>
        <v>40</v>
      </c>
      <c r="D2003" s="3" t="str">
        <f t="shared" si="134"/>
        <v>DOMINGO</v>
      </c>
      <c r="E2003" s="427">
        <v>751315</v>
      </c>
      <c r="F2003" s="3" t="str">
        <f>IFERROR(VLOOKUP(E2003,BD!$L$2:$Q$66,2,0),0)</f>
        <v>MONSTER ENERGY 473MLX4</v>
      </c>
      <c r="G2003" s="424">
        <v>2520</v>
      </c>
      <c r="H2003" s="3">
        <f>+IFERROR(VLOOKUP(E2003,BD!$L$2:$Q$66,6,0),0)</f>
        <v>420</v>
      </c>
      <c r="I2003" s="96">
        <f>IFERROR(G2003*VLOOKUP($E2003,BD!$L$2:$Q$66,5,0),0)</f>
        <v>1058.3999999999999</v>
      </c>
      <c r="J2003" s="3">
        <f t="shared" si="135"/>
        <v>2021</v>
      </c>
    </row>
    <row r="2004" spans="1:10" s="9" customFormat="1" hidden="1" x14ac:dyDescent="0.25">
      <c r="A2004" s="447">
        <v>44465</v>
      </c>
      <c r="B2004" s="55" t="str">
        <f t="shared" si="132"/>
        <v>SETIEMBRE</v>
      </c>
      <c r="C2004" s="55">
        <f t="shared" si="133"/>
        <v>40</v>
      </c>
      <c r="D2004" s="3" t="str">
        <f t="shared" si="134"/>
        <v>DOMINGO</v>
      </c>
      <c r="E2004" s="427">
        <v>256695</v>
      </c>
      <c r="F2004" s="3" t="str">
        <f>IFERROR(VLOOKUP(E2004,BD!$L$2:$Q$66,2,0),0)</f>
        <v>POWERADE 3MORA+3FRUT PET 473MLX6</v>
      </c>
      <c r="G2004" s="425">
        <v>1125</v>
      </c>
      <c r="H2004" s="3">
        <f>+IFERROR(VLOOKUP(E2004,BD!$L$2:$Q$66,6,0),0)</f>
        <v>225</v>
      </c>
      <c r="I2004" s="96">
        <f>IFERROR(G2004*VLOOKUP($E2004,BD!$L$2:$Q$66,5,0),0)</f>
        <v>472.5</v>
      </c>
      <c r="J2004" s="3">
        <f t="shared" si="135"/>
        <v>2021</v>
      </c>
    </row>
    <row r="2005" spans="1:10" s="9" customFormat="1" hidden="1" x14ac:dyDescent="0.25">
      <c r="A2005" s="447">
        <v>44465</v>
      </c>
      <c r="B2005" s="55" t="str">
        <f t="shared" si="132"/>
        <v>SETIEMBRE</v>
      </c>
      <c r="C2005" s="55">
        <f t="shared" si="133"/>
        <v>40</v>
      </c>
      <c r="D2005" s="3" t="str">
        <f t="shared" si="134"/>
        <v>DOMINGO</v>
      </c>
      <c r="E2005" s="427">
        <v>256674</v>
      </c>
      <c r="F2005" s="3" t="str">
        <f>IFERROR(VLOOKUP(E2005,BD!$L$2:$Q$66,2,0),0)</f>
        <v>COCA-COLA PET 1.5LX2 RF</v>
      </c>
      <c r="G2005" s="424">
        <v>1944</v>
      </c>
      <c r="H2005" s="3">
        <f>+IFERROR(VLOOKUP(E2005,BD!$L$2:$Q$66,6,0),0)</f>
        <v>198</v>
      </c>
      <c r="I2005" s="96">
        <f>IFERROR(G2005*VLOOKUP($E2005,BD!$L$2:$Q$66,5,0),0)</f>
        <v>330.48</v>
      </c>
      <c r="J2005" s="3">
        <f t="shared" si="135"/>
        <v>2021</v>
      </c>
    </row>
    <row r="2006" spans="1:10" s="9" customFormat="1" hidden="1" x14ac:dyDescent="0.25">
      <c r="A2006" s="447">
        <v>44465</v>
      </c>
      <c r="B2006" s="55" t="str">
        <f t="shared" si="132"/>
        <v>SETIEMBRE</v>
      </c>
      <c r="C2006" s="55">
        <f t="shared" si="133"/>
        <v>40</v>
      </c>
      <c r="D2006" s="3" t="str">
        <f t="shared" si="134"/>
        <v>DOMINGO</v>
      </c>
      <c r="E2006" s="427">
        <v>256675</v>
      </c>
      <c r="F2006" s="3" t="str">
        <f>IFERROR(VLOOKUP(E2006,BD!$L$2:$Q$66,2,0),0)</f>
        <v>INCA KOLA PET 1.5LX2 RF</v>
      </c>
      <c r="G2006" s="424">
        <v>1296</v>
      </c>
      <c r="H2006" s="3">
        <f>+IFERROR(VLOOKUP(E2006,BD!$L$2:$Q$66,6,0),0)</f>
        <v>198</v>
      </c>
      <c r="I2006" s="96">
        <f>IFERROR(G2006*VLOOKUP($E2006,BD!$L$2:$Q$66,5,0),0)</f>
        <v>220.32000000000002</v>
      </c>
      <c r="J2006" s="3">
        <f t="shared" si="135"/>
        <v>2021</v>
      </c>
    </row>
    <row r="2007" spans="1:10" s="9" customFormat="1" hidden="1" x14ac:dyDescent="0.25">
      <c r="A2007" s="447">
        <v>44465</v>
      </c>
      <c r="B2007" s="55" t="str">
        <f t="shared" si="132"/>
        <v>SETIEMBRE</v>
      </c>
      <c r="C2007" s="55">
        <f t="shared" si="133"/>
        <v>40</v>
      </c>
      <c r="D2007" s="3" t="str">
        <f t="shared" si="134"/>
        <v>DOMINGO</v>
      </c>
      <c r="E2007" s="427">
        <v>256678</v>
      </c>
      <c r="F2007" s="3" t="str">
        <f>IFERROR(VLOOKUP(E2007,BD!$L$2:$Q$66,2,0),0)</f>
        <v>TRIPACK (CC+IK)PFM+FT PET 3LX3 - RFNN</v>
      </c>
      <c r="G2007" s="424">
        <v>720</v>
      </c>
      <c r="H2007" s="3">
        <f>+IFERROR(VLOOKUP(E2007,BD!$L$2:$Q$66,6,0),0)</f>
        <v>90</v>
      </c>
      <c r="I2007" s="96">
        <f>IFERROR(G2007*VLOOKUP($E2007,BD!$L$2:$Q$66,5,0),0)</f>
        <v>122.4</v>
      </c>
      <c r="J2007" s="3">
        <f t="shared" si="135"/>
        <v>2021</v>
      </c>
    </row>
    <row r="2008" spans="1:10" s="9" customFormat="1" hidden="1" x14ac:dyDescent="0.25">
      <c r="A2008" s="447">
        <v>44465</v>
      </c>
      <c r="B2008" s="55" t="str">
        <f t="shared" si="132"/>
        <v>SETIEMBRE</v>
      </c>
      <c r="C2008" s="55">
        <f t="shared" si="133"/>
        <v>40</v>
      </c>
      <c r="D2008" s="3" t="str">
        <f t="shared" si="134"/>
        <v>DOMINGO</v>
      </c>
      <c r="E2008" s="427">
        <v>256666</v>
      </c>
      <c r="F2008" s="3" t="str">
        <f>IFERROR(VLOOKUP(E2008,BD!$L$2:$Q$66,2,0),0)</f>
        <v>COCA-COLA PET 2.25LX2 RF</v>
      </c>
      <c r="G2008" s="424">
        <v>324</v>
      </c>
      <c r="H2008" s="3">
        <f>+IFERROR(VLOOKUP(E2008,BD!$L$2:$Q$66,6,0),0)</f>
        <v>162</v>
      </c>
      <c r="I2008" s="96">
        <f>IFERROR(G2008*VLOOKUP($E2008,BD!$L$2:$Q$66,5,0),0)</f>
        <v>55.080000000000005</v>
      </c>
      <c r="J2008" s="3">
        <f t="shared" si="135"/>
        <v>2021</v>
      </c>
    </row>
    <row r="2009" spans="1:10" s="9" customFormat="1" hidden="1" x14ac:dyDescent="0.25">
      <c r="A2009" s="447">
        <v>44465</v>
      </c>
      <c r="B2009" s="55" t="str">
        <f t="shared" si="132"/>
        <v>SETIEMBRE</v>
      </c>
      <c r="C2009" s="55">
        <f t="shared" si="133"/>
        <v>40</v>
      </c>
      <c r="D2009" s="3" t="str">
        <f t="shared" si="134"/>
        <v>DOMINGO</v>
      </c>
      <c r="E2009" s="427">
        <v>254853</v>
      </c>
      <c r="F2009" s="3" t="str">
        <f>IFERROR(VLOOKUP(E2009,BD!$L$2:$Q$66,2,0),0)</f>
        <v>INCA KOLA SIN AZUCAR PET 1.5LX2</v>
      </c>
      <c r="G2009" s="424">
        <v>2160</v>
      </c>
      <c r="H2009" s="3">
        <f>+IFERROR(VLOOKUP(E2009,BD!$L$2:$Q$66,6,0),0)</f>
        <v>198</v>
      </c>
      <c r="I2009" s="96">
        <f>IFERROR(G2009*VLOOKUP($E2009,BD!$L$2:$Q$66,5,0),0)</f>
        <v>367.20000000000005</v>
      </c>
      <c r="J2009" s="3">
        <f t="shared" si="135"/>
        <v>2021</v>
      </c>
    </row>
    <row r="2010" spans="1:10" s="9" customFormat="1" hidden="1" x14ac:dyDescent="0.25">
      <c r="A2010" s="447">
        <v>44465</v>
      </c>
      <c r="B2010" s="55" t="str">
        <f t="shared" si="132"/>
        <v>SETIEMBRE</v>
      </c>
      <c r="C2010" s="55">
        <f t="shared" si="133"/>
        <v>40</v>
      </c>
      <c r="D2010" s="3" t="str">
        <f t="shared" si="134"/>
        <v>DOMINGO</v>
      </c>
      <c r="E2010" s="427">
        <v>256488</v>
      </c>
      <c r="F2010" s="3" t="str">
        <f>IFERROR(VLOOKUP(E2010,BD!$L$2:$Q$66,2,0),0)</f>
        <v>INCA KOLA PET 3LX2 - RF</v>
      </c>
      <c r="G2010" s="424">
        <v>2640</v>
      </c>
      <c r="H2010" s="3">
        <f>+IFERROR(VLOOKUP(E2010,BD!$L$2:$Q$66,6,0),0)</f>
        <v>120</v>
      </c>
      <c r="I2010" s="96">
        <f>IFERROR(G2010*VLOOKUP($E2010,BD!$L$2:$Q$66,5,0),0)</f>
        <v>448.8</v>
      </c>
      <c r="J2010" s="3">
        <f t="shared" si="135"/>
        <v>2021</v>
      </c>
    </row>
    <row r="2011" spans="1:10" s="9" customFormat="1" hidden="1" x14ac:dyDescent="0.25">
      <c r="A2011" s="447">
        <v>44465</v>
      </c>
      <c r="B2011" s="55" t="str">
        <f t="shared" si="132"/>
        <v>SETIEMBRE</v>
      </c>
      <c r="C2011" s="55">
        <f t="shared" si="133"/>
        <v>40</v>
      </c>
      <c r="D2011" s="3" t="str">
        <f t="shared" si="134"/>
        <v>DOMINGO</v>
      </c>
      <c r="E2011" s="427">
        <v>256676</v>
      </c>
      <c r="F2011" s="3" t="str">
        <f>IFERROR(VLOOKUP(E2011,BD!$L$2:$Q$66,2,0),0)</f>
        <v>TWO PACK CC PFM 3LX2 - RFCC</v>
      </c>
      <c r="G2011" s="424">
        <v>360</v>
      </c>
      <c r="H2011" s="3">
        <f>+IFERROR(VLOOKUP(E2011,BD!$L$2:$Q$66,6,0),0)</f>
        <v>120</v>
      </c>
      <c r="I2011" s="96">
        <f>IFERROR(G2011*VLOOKUP($E2011,BD!$L$2:$Q$66,5,0),0)</f>
        <v>61.2</v>
      </c>
      <c r="J2011" s="3">
        <f t="shared" si="135"/>
        <v>2021</v>
      </c>
    </row>
    <row r="2012" spans="1:10" s="9" customFormat="1" hidden="1" x14ac:dyDescent="0.25">
      <c r="A2012" s="447">
        <v>44465</v>
      </c>
      <c r="B2012" s="55" t="str">
        <f t="shared" si="132"/>
        <v>SETIEMBRE</v>
      </c>
      <c r="C2012" s="55">
        <f t="shared" si="133"/>
        <v>40</v>
      </c>
      <c r="D2012" s="3" t="str">
        <f t="shared" si="134"/>
        <v>DOMINGO</v>
      </c>
      <c r="E2012" s="427">
        <v>256677</v>
      </c>
      <c r="F2012" s="3" t="str">
        <f>IFERROR(VLOOKUP(E2012,BD!$L$2:$Q$66,2,0),0)</f>
        <v>TWO PACK CC + IK PFM 3LX2 - RFNN</v>
      </c>
      <c r="G2012" s="424">
        <v>2640</v>
      </c>
      <c r="H2012" s="3">
        <f>+IFERROR(VLOOKUP(E2012,BD!$L$2:$Q$66,6,0),0)</f>
        <v>120</v>
      </c>
      <c r="I2012" s="96">
        <f>IFERROR(G2012*VLOOKUP($E2012,BD!$L$2:$Q$66,5,0),0)</f>
        <v>448.8</v>
      </c>
      <c r="J2012" s="3">
        <f t="shared" si="135"/>
        <v>2021</v>
      </c>
    </row>
    <row r="2013" spans="1:10" s="9" customFormat="1" hidden="1" x14ac:dyDescent="0.25">
      <c r="A2013" s="447">
        <v>44465</v>
      </c>
      <c r="B2013" s="55" t="str">
        <f t="shared" si="132"/>
        <v>SETIEMBRE</v>
      </c>
      <c r="C2013" s="55">
        <f t="shared" si="133"/>
        <v>40</v>
      </c>
      <c r="D2013" s="3" t="str">
        <f t="shared" si="134"/>
        <v>DOMINGO</v>
      </c>
      <c r="E2013" s="427">
        <v>251429</v>
      </c>
      <c r="F2013" s="3" t="str">
        <f>IFERROR(VLOOKUP(E2013,BD!$L$2:$Q$66,2,0),0)</f>
        <v>SAN LUIS SIN GAS PET2500X6 STICKER</v>
      </c>
      <c r="G2013" s="424">
        <v>336</v>
      </c>
      <c r="H2013" s="3">
        <f>+IFERROR(VLOOKUP(E2013,BD!$L$2:$Q$66,6,0),0)</f>
        <v>48</v>
      </c>
      <c r="I2013" s="96">
        <f>IFERROR(G2013*VLOOKUP($E2013,BD!$L$2:$Q$66,5,0),0)</f>
        <v>134.4</v>
      </c>
      <c r="J2013" s="3">
        <f t="shared" si="135"/>
        <v>2021</v>
      </c>
    </row>
    <row r="2014" spans="1:10" s="9" customFormat="1" hidden="1" x14ac:dyDescent="0.25">
      <c r="A2014" s="447">
        <v>44465</v>
      </c>
      <c r="B2014" s="55" t="str">
        <f t="shared" si="132"/>
        <v>SETIEMBRE</v>
      </c>
      <c r="C2014" s="55">
        <f t="shared" si="133"/>
        <v>40</v>
      </c>
      <c r="D2014" s="3" t="str">
        <f t="shared" si="134"/>
        <v>DOMINGO</v>
      </c>
      <c r="E2014" s="427">
        <v>256721</v>
      </c>
      <c r="F2014" s="3" t="str">
        <f>IFERROR(VLOOKUP(E2014,BD!$L$2:$Q$66,2,0),0)</f>
        <v>SPRITE PET 500MLX6 BRANDEADO MOD</v>
      </c>
      <c r="G2014" s="424">
        <v>1000</v>
      </c>
      <c r="H2014" s="3">
        <f>+IFERROR(VLOOKUP(E2014,BD!$L$2:$Q$66,6,0),0)</f>
        <v>420</v>
      </c>
      <c r="I2014" s="96">
        <f>IFERROR(G2014*VLOOKUP($E2014,BD!$L$2:$Q$66,5,0),0)</f>
        <v>420</v>
      </c>
      <c r="J2014" s="3">
        <f t="shared" si="135"/>
        <v>2021</v>
      </c>
    </row>
    <row r="2015" spans="1:10" s="9" customFormat="1" hidden="1" x14ac:dyDescent="0.25">
      <c r="A2015" s="447">
        <v>44465</v>
      </c>
      <c r="B2015" s="55" t="str">
        <f t="shared" si="132"/>
        <v>SETIEMBRE</v>
      </c>
      <c r="C2015" s="55">
        <f t="shared" si="133"/>
        <v>40</v>
      </c>
      <c r="D2015" s="3" t="str">
        <f t="shared" si="134"/>
        <v>DOMINGO</v>
      </c>
      <c r="E2015" s="427">
        <v>251406</v>
      </c>
      <c r="F2015" s="3" t="str">
        <f>IFERROR(VLOOKUP(E2015,BD!$L$2:$Q$66,2,0),0)</f>
        <v>COCA-COLA SIN AZUCAR PET 1.5LX2</v>
      </c>
      <c r="G2015" s="424">
        <v>1296</v>
      </c>
      <c r="H2015" s="3">
        <f>+IFERROR(VLOOKUP(E2015,BD!$L$2:$Q$66,6,0),0)</f>
        <v>198</v>
      </c>
      <c r="I2015" s="96">
        <f>IFERROR(G2015*VLOOKUP($E2015,BD!$L$2:$Q$66,5,0),0)</f>
        <v>220.32000000000002</v>
      </c>
      <c r="J2015" s="3">
        <f t="shared" si="135"/>
        <v>2021</v>
      </c>
    </row>
    <row r="2016" spans="1:10" s="9" customFormat="1" hidden="1" x14ac:dyDescent="0.25">
      <c r="A2016" s="447">
        <v>44466</v>
      </c>
      <c r="B2016" s="55" t="str">
        <f t="shared" si="132"/>
        <v>SETIEMBRE</v>
      </c>
      <c r="C2016" s="55">
        <f t="shared" si="133"/>
        <v>40</v>
      </c>
      <c r="D2016" s="3" t="str">
        <f t="shared" si="134"/>
        <v>LUNES</v>
      </c>
      <c r="E2016" s="427">
        <v>256678</v>
      </c>
      <c r="F2016" s="3" t="str">
        <f>IFERROR(VLOOKUP(E2016,BD!$L$2:$Q$66,2,0),0)</f>
        <v>TRIPACK (CC+IK)PFM+FT PET 3LX3 - RFNN</v>
      </c>
      <c r="G2016" s="424">
        <v>540</v>
      </c>
      <c r="H2016" s="3">
        <f>+IFERROR(VLOOKUP(E2016,BD!$L$2:$Q$66,6,0),0)</f>
        <v>90</v>
      </c>
      <c r="I2016" s="96">
        <f>IFERROR(G2016*VLOOKUP($E2016,BD!$L$2:$Q$66,5,0),0)</f>
        <v>91.800000000000011</v>
      </c>
      <c r="J2016" s="3">
        <f t="shared" si="135"/>
        <v>2021</v>
      </c>
    </row>
    <row r="2017" spans="1:10" s="9" customFormat="1" hidden="1" x14ac:dyDescent="0.25">
      <c r="A2017" s="447">
        <v>44466</v>
      </c>
      <c r="B2017" s="55" t="str">
        <f t="shared" si="132"/>
        <v>SETIEMBRE</v>
      </c>
      <c r="C2017" s="55">
        <f t="shared" si="133"/>
        <v>40</v>
      </c>
      <c r="D2017" s="3" t="str">
        <f t="shared" si="134"/>
        <v>LUNES</v>
      </c>
      <c r="E2017" s="427">
        <v>256677</v>
      </c>
      <c r="F2017" s="3" t="str">
        <f>IFERROR(VLOOKUP(E2017,BD!$L$2:$Q$66,2,0),0)</f>
        <v>TWO PACK CC + IK PFM 3LX2 - RFNN</v>
      </c>
      <c r="G2017" s="424">
        <v>240</v>
      </c>
      <c r="H2017" s="3">
        <f>+IFERROR(VLOOKUP(E2017,BD!$L$2:$Q$66,6,0),0)</f>
        <v>120</v>
      </c>
      <c r="I2017" s="96">
        <f>IFERROR(G2017*VLOOKUP($E2017,BD!$L$2:$Q$66,5,0),0)</f>
        <v>40.800000000000004</v>
      </c>
      <c r="J2017" s="3">
        <f t="shared" si="135"/>
        <v>2021</v>
      </c>
    </row>
    <row r="2018" spans="1:10" s="9" customFormat="1" hidden="1" x14ac:dyDescent="0.25">
      <c r="A2018" s="447">
        <v>44466</v>
      </c>
      <c r="B2018" s="55" t="str">
        <f t="shared" si="132"/>
        <v>SETIEMBRE</v>
      </c>
      <c r="C2018" s="55">
        <f t="shared" si="133"/>
        <v>40</v>
      </c>
      <c r="D2018" s="3" t="str">
        <f t="shared" si="134"/>
        <v>LUNES</v>
      </c>
      <c r="E2018" s="427">
        <v>256616</v>
      </c>
      <c r="F2018" s="3" t="str">
        <f>IFERROR(VLOOKUP(E2018,BD!$L$2:$Q$66,2,0),0)</f>
        <v>TWO PACK SCHWEPPES CITRUS PET 1.5LX2</v>
      </c>
      <c r="G2018" s="424">
        <v>396</v>
      </c>
      <c r="H2018" s="3">
        <f>+IFERROR(VLOOKUP(E2018,BD!$L$2:$Q$66,6,0),0)</f>
        <v>198</v>
      </c>
      <c r="I2018" s="96">
        <f>IFERROR(G2018*VLOOKUP($E2018,BD!$L$2:$Q$66,5,0),0)</f>
        <v>67.320000000000007</v>
      </c>
      <c r="J2018" s="3">
        <f t="shared" si="135"/>
        <v>2021</v>
      </c>
    </row>
    <row r="2019" spans="1:10" s="9" customFormat="1" hidden="1" x14ac:dyDescent="0.25">
      <c r="A2019" s="447">
        <v>44466</v>
      </c>
      <c r="B2019" s="55" t="str">
        <f t="shared" si="132"/>
        <v>SETIEMBRE</v>
      </c>
      <c r="C2019" s="55">
        <f t="shared" si="133"/>
        <v>40</v>
      </c>
      <c r="D2019" s="3" t="str">
        <f t="shared" si="134"/>
        <v>LUNES</v>
      </c>
      <c r="E2019" s="427">
        <v>256675</v>
      </c>
      <c r="F2019" s="3" t="str">
        <f>IFERROR(VLOOKUP(E2019,BD!$L$2:$Q$66,2,0),0)</f>
        <v>INCA KOLA PET 1.5LX2 RF</v>
      </c>
      <c r="G2019" s="424">
        <v>432</v>
      </c>
      <c r="H2019" s="3">
        <f>+IFERROR(VLOOKUP(E2019,BD!$L$2:$Q$66,6,0),0)</f>
        <v>198</v>
      </c>
      <c r="I2019" s="96">
        <f>IFERROR(G2019*VLOOKUP($E2019,BD!$L$2:$Q$66,5,0),0)</f>
        <v>73.440000000000012</v>
      </c>
      <c r="J2019" s="3">
        <f t="shared" si="135"/>
        <v>2021</v>
      </c>
    </row>
    <row r="2020" spans="1:10" s="9" customFormat="1" hidden="1" x14ac:dyDescent="0.25">
      <c r="A2020" s="447">
        <v>44466</v>
      </c>
      <c r="B2020" s="55" t="str">
        <f t="shared" si="132"/>
        <v>SETIEMBRE</v>
      </c>
      <c r="C2020" s="55">
        <f t="shared" si="133"/>
        <v>40</v>
      </c>
      <c r="D2020" s="3" t="str">
        <f t="shared" si="134"/>
        <v>LUNES</v>
      </c>
      <c r="E2020" s="427">
        <v>254853</v>
      </c>
      <c r="F2020" s="3" t="str">
        <f>IFERROR(VLOOKUP(E2020,BD!$L$2:$Q$66,2,0),0)</f>
        <v>INCA KOLA SIN AZUCAR PET 1.5LX2</v>
      </c>
      <c r="G2020" s="424">
        <v>648</v>
      </c>
      <c r="H2020" s="3">
        <f>+IFERROR(VLOOKUP(E2020,BD!$L$2:$Q$66,6,0),0)</f>
        <v>198</v>
      </c>
      <c r="I2020" s="96">
        <f>IFERROR(G2020*VLOOKUP($E2020,BD!$L$2:$Q$66,5,0),0)</f>
        <v>110.16000000000001</v>
      </c>
      <c r="J2020" s="3">
        <f t="shared" si="135"/>
        <v>2021</v>
      </c>
    </row>
    <row r="2021" spans="1:10" s="9" customFormat="1" hidden="1" x14ac:dyDescent="0.25">
      <c r="A2021" s="447">
        <v>44466</v>
      </c>
      <c r="B2021" s="55" t="str">
        <f t="shared" si="132"/>
        <v>SETIEMBRE</v>
      </c>
      <c r="C2021" s="55">
        <f t="shared" si="133"/>
        <v>40</v>
      </c>
      <c r="D2021" s="3" t="str">
        <f t="shared" si="134"/>
        <v>LUNES</v>
      </c>
      <c r="E2021" s="427">
        <v>256674</v>
      </c>
      <c r="F2021" s="3" t="str">
        <f>IFERROR(VLOOKUP(E2021,BD!$L$2:$Q$66,2,0),0)</f>
        <v>COCA-COLA PET 1.5LX2 RF</v>
      </c>
      <c r="G2021" s="424">
        <v>432</v>
      </c>
      <c r="H2021" s="3">
        <f>+IFERROR(VLOOKUP(E2021,BD!$L$2:$Q$66,6,0),0)</f>
        <v>198</v>
      </c>
      <c r="I2021" s="96">
        <f>IFERROR(G2021*VLOOKUP($E2021,BD!$L$2:$Q$66,5,0),0)</f>
        <v>73.440000000000012</v>
      </c>
      <c r="J2021" s="3">
        <f t="shared" si="135"/>
        <v>2021</v>
      </c>
    </row>
    <row r="2022" spans="1:10" s="9" customFormat="1" hidden="1" x14ac:dyDescent="0.25">
      <c r="A2022" s="447">
        <v>44466</v>
      </c>
      <c r="B2022" s="55" t="str">
        <f t="shared" si="132"/>
        <v>SETIEMBRE</v>
      </c>
      <c r="C2022" s="55">
        <f t="shared" si="133"/>
        <v>40</v>
      </c>
      <c r="D2022" s="3" t="str">
        <f t="shared" si="134"/>
        <v>LUNES</v>
      </c>
      <c r="E2022" s="427">
        <v>256676</v>
      </c>
      <c r="F2022" s="3" t="str">
        <f>IFERROR(VLOOKUP(E2022,BD!$L$2:$Q$66,2,0),0)</f>
        <v>TWO PACK CC PFM 3LX2 - RFCC</v>
      </c>
      <c r="G2022" s="424">
        <v>720</v>
      </c>
      <c r="H2022" s="3">
        <f>+IFERROR(VLOOKUP(E2022,BD!$L$2:$Q$66,6,0),0)</f>
        <v>120</v>
      </c>
      <c r="I2022" s="96">
        <f>IFERROR(G2022*VLOOKUP($E2022,BD!$L$2:$Q$66,5,0),0)</f>
        <v>122.4</v>
      </c>
      <c r="J2022" s="3">
        <f t="shared" si="135"/>
        <v>2021</v>
      </c>
    </row>
    <row r="2023" spans="1:10" s="9" customFormat="1" hidden="1" x14ac:dyDescent="0.25">
      <c r="A2023" s="447">
        <v>44467</v>
      </c>
      <c r="B2023" s="55" t="str">
        <f t="shared" si="132"/>
        <v>SETIEMBRE</v>
      </c>
      <c r="C2023" s="55">
        <f t="shared" si="133"/>
        <v>40</v>
      </c>
      <c r="D2023" s="3" t="str">
        <f t="shared" si="134"/>
        <v>MARTES</v>
      </c>
      <c r="E2023" s="427">
        <v>251406</v>
      </c>
      <c r="F2023" s="3" t="str">
        <f>IFERROR(VLOOKUP(E2023,BD!$L$2:$Q$66,2,0),0)</f>
        <v>COCA-COLA SIN AZUCAR PET 1.5LX2</v>
      </c>
      <c r="G2023" s="424">
        <v>6048</v>
      </c>
      <c r="H2023" s="3">
        <f>+IFERROR(VLOOKUP(E2023,BD!$L$2:$Q$66,6,0),0)</f>
        <v>198</v>
      </c>
      <c r="I2023" s="96">
        <f>IFERROR(G2023*VLOOKUP($E2023,BD!$L$2:$Q$66,5,0),0)</f>
        <v>1028.1600000000001</v>
      </c>
      <c r="J2023" s="3">
        <f t="shared" si="135"/>
        <v>2021</v>
      </c>
    </row>
    <row r="2024" spans="1:10" s="9" customFormat="1" hidden="1" x14ac:dyDescent="0.25">
      <c r="A2024" s="447">
        <v>44467</v>
      </c>
      <c r="B2024" s="55" t="str">
        <f t="shared" si="132"/>
        <v>SETIEMBRE</v>
      </c>
      <c r="C2024" s="55">
        <f t="shared" si="133"/>
        <v>40</v>
      </c>
      <c r="D2024" s="3" t="str">
        <f t="shared" si="134"/>
        <v>MARTES</v>
      </c>
      <c r="E2024" s="427">
        <v>256381</v>
      </c>
      <c r="F2024" s="3" t="str">
        <f>IFERROR(VLOOKUP(E2024,BD!$L$2:$Q$66,2,0),0)</f>
        <v>INCA KOLA VR 1.5LX8 - STICKER</v>
      </c>
      <c r="G2024" s="424">
        <v>30</v>
      </c>
      <c r="H2024" s="3">
        <f>+IFERROR(VLOOKUP(E2024,BD!$L$2:$Q$66,6,0),0)</f>
        <v>30</v>
      </c>
      <c r="I2024" s="96">
        <f>IFERROR(G2024*VLOOKUP($E2024,BD!$L$2:$Q$66,5,0),0)</f>
        <v>12</v>
      </c>
      <c r="J2024" s="3">
        <f t="shared" si="135"/>
        <v>2021</v>
      </c>
    </row>
    <row r="2025" spans="1:10" s="9" customFormat="1" hidden="1" x14ac:dyDescent="0.25">
      <c r="A2025" s="447">
        <v>44467</v>
      </c>
      <c r="B2025" s="55" t="str">
        <f t="shared" si="132"/>
        <v>SETIEMBRE</v>
      </c>
      <c r="C2025" s="55">
        <f t="shared" si="133"/>
        <v>40</v>
      </c>
      <c r="D2025" s="3" t="str">
        <f t="shared" si="134"/>
        <v>MARTES</v>
      </c>
      <c r="E2025" s="427">
        <v>256379</v>
      </c>
      <c r="F2025" s="3" t="str">
        <f>IFERROR(VLOOKUP(E2025,BD!$L$2:$Q$66,2,0),0)</f>
        <v>INCA KOLA VR 625MLX12 - STICKER</v>
      </c>
      <c r="G2025" s="424">
        <v>50</v>
      </c>
      <c r="H2025" s="3">
        <f>+IFERROR(VLOOKUP(E2025,BD!$L$2:$Q$66,6,0),0)</f>
        <v>50</v>
      </c>
      <c r="I2025" s="96">
        <f>IFERROR(G2025*VLOOKUP($E2025,BD!$L$2:$Q$66,5,0),0)</f>
        <v>20</v>
      </c>
      <c r="J2025" s="3">
        <f t="shared" si="135"/>
        <v>2021</v>
      </c>
    </row>
    <row r="2026" spans="1:10" s="9" customFormat="1" hidden="1" x14ac:dyDescent="0.25">
      <c r="A2026" s="447">
        <v>44467</v>
      </c>
      <c r="B2026" s="55" t="str">
        <f t="shared" si="132"/>
        <v>SETIEMBRE</v>
      </c>
      <c r="C2026" s="55">
        <f t="shared" si="133"/>
        <v>40</v>
      </c>
      <c r="D2026" s="3" t="str">
        <f t="shared" si="134"/>
        <v>MARTES</v>
      </c>
      <c r="E2026" s="427">
        <v>251429</v>
      </c>
      <c r="F2026" s="3" t="str">
        <f>IFERROR(VLOOKUP(E2026,BD!$L$2:$Q$66,2,0),0)</f>
        <v>SAN LUIS SIN GAS PET2500X6 STICKER</v>
      </c>
      <c r="G2026" s="424">
        <v>576</v>
      </c>
      <c r="H2026" s="3">
        <f>+IFERROR(VLOOKUP(E2026,BD!$L$2:$Q$66,6,0),0)</f>
        <v>48</v>
      </c>
      <c r="I2026" s="96">
        <f>IFERROR(G2026*VLOOKUP($E2026,BD!$L$2:$Q$66,5,0),0)</f>
        <v>230.4</v>
      </c>
      <c r="J2026" s="3">
        <f t="shared" si="135"/>
        <v>2021</v>
      </c>
    </row>
    <row r="2027" spans="1:10" s="9" customFormat="1" hidden="1" x14ac:dyDescent="0.25">
      <c r="A2027" s="447">
        <v>44467</v>
      </c>
      <c r="B2027" s="55" t="str">
        <f t="shared" si="132"/>
        <v>SETIEMBRE</v>
      </c>
      <c r="C2027" s="55">
        <f t="shared" si="133"/>
        <v>40</v>
      </c>
      <c r="D2027" s="3" t="str">
        <f t="shared" si="134"/>
        <v>MARTES</v>
      </c>
      <c r="E2027" s="427">
        <v>751315</v>
      </c>
      <c r="F2027" s="3" t="str">
        <f>IFERROR(VLOOKUP(E2027,BD!$L$2:$Q$66,2,0),0)</f>
        <v>MONSTER ENERGY 473MLX4</v>
      </c>
      <c r="G2027" s="424">
        <v>3360</v>
      </c>
      <c r="H2027" s="3">
        <f>+IFERROR(VLOOKUP(E2027,BD!$L$2:$Q$66,6,0),0)</f>
        <v>420</v>
      </c>
      <c r="I2027" s="96">
        <f>IFERROR(G2027*VLOOKUP($E2027,BD!$L$2:$Q$66,5,0),0)</f>
        <v>1411.2</v>
      </c>
      <c r="J2027" s="3">
        <f t="shared" si="135"/>
        <v>2021</v>
      </c>
    </row>
    <row r="2028" spans="1:10" s="9" customFormat="1" hidden="1" x14ac:dyDescent="0.25">
      <c r="A2028" s="447">
        <v>44467</v>
      </c>
      <c r="B2028" s="55" t="str">
        <f t="shared" si="132"/>
        <v>SETIEMBRE</v>
      </c>
      <c r="C2028" s="55">
        <f t="shared" si="133"/>
        <v>40</v>
      </c>
      <c r="D2028" s="3" t="str">
        <f t="shared" si="134"/>
        <v>MARTES</v>
      </c>
      <c r="E2028" s="427">
        <v>254853</v>
      </c>
      <c r="F2028" s="3" t="str">
        <f>IFERROR(VLOOKUP(E2028,BD!$L$2:$Q$66,2,0),0)</f>
        <v>INCA KOLA SIN AZUCAR PET 1.5LX2</v>
      </c>
      <c r="G2028" s="424">
        <v>2808</v>
      </c>
      <c r="H2028" s="3">
        <f>+IFERROR(VLOOKUP(E2028,BD!$L$2:$Q$66,6,0),0)</f>
        <v>198</v>
      </c>
      <c r="I2028" s="96">
        <f>IFERROR(G2028*VLOOKUP($E2028,BD!$L$2:$Q$66,5,0),0)</f>
        <v>477.36</v>
      </c>
      <c r="J2028" s="3">
        <f t="shared" si="135"/>
        <v>2021</v>
      </c>
    </row>
    <row r="2029" spans="1:10" s="9" customFormat="1" hidden="1" x14ac:dyDescent="0.25">
      <c r="A2029" s="447">
        <v>44467</v>
      </c>
      <c r="B2029" s="55" t="str">
        <f t="shared" si="132"/>
        <v>SETIEMBRE</v>
      </c>
      <c r="C2029" s="55">
        <f t="shared" si="133"/>
        <v>40</v>
      </c>
      <c r="D2029" s="3" t="str">
        <f t="shared" si="134"/>
        <v>MARTES</v>
      </c>
      <c r="E2029" s="427">
        <v>256616</v>
      </c>
      <c r="F2029" s="3" t="str">
        <f>IFERROR(VLOOKUP(E2029,BD!$L$2:$Q$66,2,0),0)</f>
        <v>TWO PACK SCHWEPPES CITRUS PET 1.5LX2</v>
      </c>
      <c r="G2029" s="424">
        <v>990</v>
      </c>
      <c r="H2029" s="3">
        <f>+IFERROR(VLOOKUP(E2029,BD!$L$2:$Q$66,6,0),0)</f>
        <v>198</v>
      </c>
      <c r="I2029" s="96">
        <f>IFERROR(G2029*VLOOKUP($E2029,BD!$L$2:$Q$66,5,0),0)</f>
        <v>168.3</v>
      </c>
      <c r="J2029" s="3">
        <f t="shared" si="135"/>
        <v>2021</v>
      </c>
    </row>
    <row r="2030" spans="1:10" s="9" customFormat="1" hidden="1" x14ac:dyDescent="0.25">
      <c r="A2030" s="447">
        <v>44467</v>
      </c>
      <c r="B2030" s="55" t="str">
        <f t="shared" si="132"/>
        <v>SETIEMBRE</v>
      </c>
      <c r="C2030" s="55">
        <f t="shared" si="133"/>
        <v>40</v>
      </c>
      <c r="D2030" s="3" t="str">
        <f t="shared" si="134"/>
        <v>MARTES</v>
      </c>
      <c r="E2030" s="427">
        <v>256617</v>
      </c>
      <c r="F2030" s="3" t="str">
        <f>IFERROR(VLOOKUP(E2030,BD!$L$2:$Q$66,2,0),0)</f>
        <v>TWO PACK SCHWEPPES GINGER ALE PET 1.5LX2</v>
      </c>
      <c r="G2030" s="424">
        <v>594</v>
      </c>
      <c r="H2030" s="3">
        <f>+IFERROR(VLOOKUP(E2030,BD!$L$2:$Q$66,6,0),0)</f>
        <v>198</v>
      </c>
      <c r="I2030" s="96">
        <f>IFERROR(G2030*VLOOKUP($E2030,BD!$L$2:$Q$66,5,0),0)</f>
        <v>100.98</v>
      </c>
      <c r="J2030" s="3">
        <f t="shared" si="135"/>
        <v>2021</v>
      </c>
    </row>
    <row r="2031" spans="1:10" s="9" customFormat="1" hidden="1" x14ac:dyDescent="0.25">
      <c r="A2031" s="447">
        <v>44467</v>
      </c>
      <c r="B2031" s="55" t="str">
        <f t="shared" si="132"/>
        <v>SETIEMBRE</v>
      </c>
      <c r="C2031" s="55">
        <f t="shared" si="133"/>
        <v>40</v>
      </c>
      <c r="D2031" s="3" t="str">
        <f t="shared" si="134"/>
        <v>MARTES</v>
      </c>
      <c r="E2031" s="427">
        <v>256488</v>
      </c>
      <c r="F2031" s="3" t="str">
        <f>IFERROR(VLOOKUP(E2031,BD!$L$2:$Q$66,2,0),0)</f>
        <v>INCA KOLA PET 3LX2 - RF</v>
      </c>
      <c r="G2031" s="424">
        <v>1200</v>
      </c>
      <c r="H2031" s="3">
        <f>+IFERROR(VLOOKUP(E2031,BD!$L$2:$Q$66,6,0),0)</f>
        <v>120</v>
      </c>
      <c r="I2031" s="96">
        <f>IFERROR(G2031*VLOOKUP($E2031,BD!$L$2:$Q$66,5,0),0)</f>
        <v>204.00000000000003</v>
      </c>
      <c r="J2031" s="3">
        <f t="shared" si="135"/>
        <v>2021</v>
      </c>
    </row>
    <row r="2032" spans="1:10" s="9" customFormat="1" hidden="1" x14ac:dyDescent="0.25">
      <c r="A2032" s="447">
        <v>44467</v>
      </c>
      <c r="B2032" s="55" t="str">
        <f t="shared" si="132"/>
        <v>SETIEMBRE</v>
      </c>
      <c r="C2032" s="55">
        <f t="shared" si="133"/>
        <v>40</v>
      </c>
      <c r="D2032" s="3" t="str">
        <f t="shared" si="134"/>
        <v>MARTES</v>
      </c>
      <c r="E2032" s="427">
        <v>256674</v>
      </c>
      <c r="F2032" s="3" t="str">
        <f>IFERROR(VLOOKUP(E2032,BD!$L$2:$Q$66,2,0),0)</f>
        <v>COCA-COLA PET 1.5LX2 RF</v>
      </c>
      <c r="G2032" s="424">
        <v>5400</v>
      </c>
      <c r="H2032" s="3">
        <f>+IFERROR(VLOOKUP(E2032,BD!$L$2:$Q$66,6,0),0)</f>
        <v>198</v>
      </c>
      <c r="I2032" s="96">
        <f>IFERROR(G2032*VLOOKUP($E2032,BD!$L$2:$Q$66,5,0),0)</f>
        <v>918.00000000000011</v>
      </c>
      <c r="J2032" s="3">
        <f t="shared" si="135"/>
        <v>2021</v>
      </c>
    </row>
    <row r="2033" spans="1:10" s="9" customFormat="1" hidden="1" x14ac:dyDescent="0.25">
      <c r="A2033" s="447">
        <v>44467</v>
      </c>
      <c r="B2033" s="55" t="str">
        <f t="shared" si="132"/>
        <v>SETIEMBRE</v>
      </c>
      <c r="C2033" s="55">
        <f t="shared" si="133"/>
        <v>40</v>
      </c>
      <c r="D2033" s="3" t="str">
        <f t="shared" si="134"/>
        <v>MARTES</v>
      </c>
      <c r="E2033" s="427">
        <v>256675</v>
      </c>
      <c r="F2033" s="3" t="str">
        <f>IFERROR(VLOOKUP(E2033,BD!$L$2:$Q$66,2,0),0)</f>
        <v>INCA KOLA PET 1.5LX2 RF</v>
      </c>
      <c r="G2033" s="424">
        <v>4752</v>
      </c>
      <c r="H2033" s="3">
        <f>+IFERROR(VLOOKUP(E2033,BD!$L$2:$Q$66,6,0),0)</f>
        <v>198</v>
      </c>
      <c r="I2033" s="96">
        <f>IFERROR(G2033*VLOOKUP($E2033,BD!$L$2:$Q$66,5,0),0)</f>
        <v>807.84</v>
      </c>
      <c r="J2033" s="3">
        <f t="shared" si="135"/>
        <v>2021</v>
      </c>
    </row>
    <row r="2034" spans="1:10" s="9" customFormat="1" hidden="1" x14ac:dyDescent="0.25">
      <c r="A2034" s="447">
        <v>44467</v>
      </c>
      <c r="B2034" s="55" t="str">
        <f t="shared" si="132"/>
        <v>SETIEMBRE</v>
      </c>
      <c r="C2034" s="55">
        <f t="shared" si="133"/>
        <v>40</v>
      </c>
      <c r="D2034" s="3" t="str">
        <f t="shared" si="134"/>
        <v>MARTES</v>
      </c>
      <c r="E2034" s="427">
        <v>256678</v>
      </c>
      <c r="F2034" s="3" t="str">
        <f>IFERROR(VLOOKUP(E2034,BD!$L$2:$Q$66,2,0),0)</f>
        <v>TRIPACK (CC+IK)PFM+FT PET 3LX3 - RFNN</v>
      </c>
      <c r="G2034" s="424">
        <v>3240</v>
      </c>
      <c r="H2034" s="3">
        <f>+IFERROR(VLOOKUP(E2034,BD!$L$2:$Q$66,6,0),0)</f>
        <v>90</v>
      </c>
      <c r="I2034" s="96">
        <f>IFERROR(G2034*VLOOKUP($E2034,BD!$L$2:$Q$66,5,0),0)</f>
        <v>550.80000000000007</v>
      </c>
      <c r="J2034" s="3">
        <f t="shared" si="135"/>
        <v>2021</v>
      </c>
    </row>
    <row r="2035" spans="1:10" s="9" customFormat="1" hidden="1" x14ac:dyDescent="0.25">
      <c r="A2035" s="447">
        <v>44467</v>
      </c>
      <c r="B2035" s="55" t="str">
        <f t="shared" si="132"/>
        <v>SETIEMBRE</v>
      </c>
      <c r="C2035" s="55">
        <f t="shared" si="133"/>
        <v>40</v>
      </c>
      <c r="D2035" s="3" t="str">
        <f t="shared" si="134"/>
        <v>MARTES</v>
      </c>
      <c r="E2035" s="427">
        <v>256695</v>
      </c>
      <c r="F2035" s="3" t="str">
        <f>IFERROR(VLOOKUP(E2035,BD!$L$2:$Q$66,2,0),0)</f>
        <v>POWERADE 3MORA+3FRUT PET 473MLX6</v>
      </c>
      <c r="G2035" s="424">
        <v>450</v>
      </c>
      <c r="H2035" s="3">
        <f>+IFERROR(VLOOKUP(E2035,BD!$L$2:$Q$66,6,0),0)</f>
        <v>225</v>
      </c>
      <c r="I2035" s="96">
        <f>IFERROR(G2035*VLOOKUP($E2035,BD!$L$2:$Q$66,5,0),0)</f>
        <v>189</v>
      </c>
      <c r="J2035" s="3">
        <f t="shared" si="135"/>
        <v>2021</v>
      </c>
    </row>
    <row r="2036" spans="1:10" s="9" customFormat="1" hidden="1" x14ac:dyDescent="0.25">
      <c r="A2036" s="447">
        <v>44467</v>
      </c>
      <c r="B2036" s="55" t="str">
        <f t="shared" si="132"/>
        <v>SETIEMBRE</v>
      </c>
      <c r="C2036" s="55">
        <f t="shared" si="133"/>
        <v>40</v>
      </c>
      <c r="D2036" s="3" t="str">
        <f t="shared" si="134"/>
        <v>MARTES</v>
      </c>
      <c r="E2036" s="427">
        <v>256685</v>
      </c>
      <c r="F2036" s="3" t="str">
        <f>IFERROR(VLOOKUP(E2036,BD!$L$2:$Q$66,2,0),0)</f>
        <v>SL S/G TAPA PLANA 1LT</v>
      </c>
      <c r="G2036" s="424">
        <v>112</v>
      </c>
      <c r="H2036" s="3">
        <f>+IFERROR(VLOOKUP(E2036,BD!$L$2:$Q$66,6,0),0)</f>
        <v>112</v>
      </c>
      <c r="I2036" s="96">
        <f>IFERROR(G2036*VLOOKUP($E2036,BD!$L$2:$Q$66,5,0),0)</f>
        <v>44.800000000000004</v>
      </c>
      <c r="J2036" s="3">
        <f t="shared" si="135"/>
        <v>2021</v>
      </c>
    </row>
    <row r="2037" spans="1:10" s="9" customFormat="1" hidden="1" x14ac:dyDescent="0.25">
      <c r="A2037" s="447">
        <v>44467</v>
      </c>
      <c r="B2037" s="55" t="str">
        <f t="shared" si="132"/>
        <v>SETIEMBRE</v>
      </c>
      <c r="C2037" s="55">
        <f t="shared" si="133"/>
        <v>40</v>
      </c>
      <c r="D2037" s="3" t="str">
        <f t="shared" si="134"/>
        <v>MARTES</v>
      </c>
      <c r="E2037" s="427">
        <v>251406</v>
      </c>
      <c r="F2037" s="3" t="str">
        <f>IFERROR(VLOOKUP(E2037,BD!$L$2:$Q$66,2,0),0)</f>
        <v>COCA-COLA SIN AZUCAR PET 1.5LX2</v>
      </c>
      <c r="G2037" s="424">
        <v>432</v>
      </c>
      <c r="H2037" s="3">
        <f>+IFERROR(VLOOKUP(E2037,BD!$L$2:$Q$66,6,0),0)</f>
        <v>198</v>
      </c>
      <c r="I2037" s="96">
        <f>IFERROR(G2037*VLOOKUP($E2037,BD!$L$2:$Q$66,5,0),0)</f>
        <v>73.440000000000012</v>
      </c>
      <c r="J2037" s="3">
        <f t="shared" si="135"/>
        <v>2021</v>
      </c>
    </row>
    <row r="2038" spans="1:10" s="9" customFormat="1" hidden="1" x14ac:dyDescent="0.25">
      <c r="A2038" s="447">
        <v>44467</v>
      </c>
      <c r="B2038" s="55" t="str">
        <f t="shared" si="132"/>
        <v>SETIEMBRE</v>
      </c>
      <c r="C2038" s="55">
        <f t="shared" si="133"/>
        <v>40</v>
      </c>
      <c r="D2038" s="3" t="str">
        <f t="shared" si="134"/>
        <v>MARTES</v>
      </c>
      <c r="E2038" s="427">
        <v>256676</v>
      </c>
      <c r="F2038" s="3" t="str">
        <f>IFERROR(VLOOKUP(E2038,BD!$L$2:$Q$66,2,0),0)</f>
        <v>TWO PACK CC PFM 3LX2 - RFCC</v>
      </c>
      <c r="G2038" s="424">
        <v>1200</v>
      </c>
      <c r="H2038" s="3">
        <f>+IFERROR(VLOOKUP(E2038,BD!$L$2:$Q$66,6,0),0)</f>
        <v>120</v>
      </c>
      <c r="I2038" s="96">
        <f>IFERROR(G2038*VLOOKUP($E2038,BD!$L$2:$Q$66,5,0),0)</f>
        <v>204.00000000000003</v>
      </c>
      <c r="J2038" s="3">
        <f t="shared" si="135"/>
        <v>2021</v>
      </c>
    </row>
    <row r="2039" spans="1:10" s="9" customFormat="1" hidden="1" x14ac:dyDescent="0.25">
      <c r="A2039" s="447">
        <v>44467</v>
      </c>
      <c r="B2039" s="55" t="str">
        <f t="shared" si="132"/>
        <v>SETIEMBRE</v>
      </c>
      <c r="C2039" s="55">
        <f t="shared" si="133"/>
        <v>40</v>
      </c>
      <c r="D2039" s="3" t="str">
        <f t="shared" si="134"/>
        <v>MARTES</v>
      </c>
      <c r="E2039" s="427">
        <v>751315</v>
      </c>
      <c r="F2039" s="3" t="str">
        <f>IFERROR(VLOOKUP(E2039,BD!$L$2:$Q$66,2,0),0)</f>
        <v>MONSTER ENERGY 473MLX4</v>
      </c>
      <c r="G2039" s="424">
        <v>1680</v>
      </c>
      <c r="H2039" s="3">
        <f>+IFERROR(VLOOKUP(E2039,BD!$L$2:$Q$66,6,0),0)</f>
        <v>420</v>
      </c>
      <c r="I2039" s="96">
        <f>IFERROR(G2039*VLOOKUP($E2039,BD!$L$2:$Q$66,5,0),0)</f>
        <v>705.6</v>
      </c>
      <c r="J2039" s="3">
        <f t="shared" si="135"/>
        <v>2021</v>
      </c>
    </row>
    <row r="2040" spans="1:10" s="9" customFormat="1" hidden="1" x14ac:dyDescent="0.25">
      <c r="A2040" s="447">
        <v>44468</v>
      </c>
      <c r="B2040" s="55" t="str">
        <f t="shared" si="132"/>
        <v>SETIEMBRE</v>
      </c>
      <c r="C2040" s="55">
        <f t="shared" si="133"/>
        <v>40</v>
      </c>
      <c r="D2040" s="3" t="str">
        <f t="shared" si="134"/>
        <v>MIÉRCOLES</v>
      </c>
      <c r="E2040" s="427">
        <v>256674</v>
      </c>
      <c r="F2040" s="3" t="str">
        <f>IFERROR(VLOOKUP(E2040,BD!$L$2:$Q$66,2,0),0)</f>
        <v>COCA-COLA PET 1.5LX2 RF</v>
      </c>
      <c r="G2040" s="424">
        <v>1728</v>
      </c>
      <c r="H2040" s="3">
        <f>+IFERROR(VLOOKUP(E2040,BD!$L$2:$Q$66,6,0),0)</f>
        <v>198</v>
      </c>
      <c r="I2040" s="96">
        <f>IFERROR(G2040*VLOOKUP($E2040,BD!$L$2:$Q$66,5,0),0)</f>
        <v>293.76000000000005</v>
      </c>
      <c r="J2040" s="3">
        <f t="shared" si="135"/>
        <v>2021</v>
      </c>
    </row>
    <row r="2041" spans="1:10" s="9" customFormat="1" hidden="1" x14ac:dyDescent="0.25">
      <c r="A2041" s="447">
        <v>44468</v>
      </c>
      <c r="B2041" s="55" t="str">
        <f t="shared" si="132"/>
        <v>SETIEMBRE</v>
      </c>
      <c r="C2041" s="55">
        <f t="shared" si="133"/>
        <v>40</v>
      </c>
      <c r="D2041" s="3" t="str">
        <f t="shared" si="134"/>
        <v>MIÉRCOLES</v>
      </c>
      <c r="E2041" s="427">
        <v>256675</v>
      </c>
      <c r="F2041" s="3" t="str">
        <f>IFERROR(VLOOKUP(E2041,BD!$L$2:$Q$66,2,0),0)</f>
        <v>INCA KOLA PET 1.5LX2 RF</v>
      </c>
      <c r="G2041" s="424">
        <v>864</v>
      </c>
      <c r="H2041" s="3">
        <f>+IFERROR(VLOOKUP(E2041,BD!$L$2:$Q$66,6,0),0)</f>
        <v>198</v>
      </c>
      <c r="I2041" s="96">
        <f>IFERROR(G2041*VLOOKUP($E2041,BD!$L$2:$Q$66,5,0),0)</f>
        <v>146.88000000000002</v>
      </c>
      <c r="J2041" s="3">
        <f t="shared" si="135"/>
        <v>2021</v>
      </c>
    </row>
    <row r="2042" spans="1:10" s="9" customFormat="1" hidden="1" x14ac:dyDescent="0.25">
      <c r="A2042" s="447">
        <v>44468</v>
      </c>
      <c r="B2042" s="55" t="str">
        <f t="shared" si="132"/>
        <v>SETIEMBRE</v>
      </c>
      <c r="C2042" s="55">
        <f t="shared" si="133"/>
        <v>40</v>
      </c>
      <c r="D2042" s="3" t="str">
        <f t="shared" si="134"/>
        <v>MIÉRCOLES</v>
      </c>
      <c r="E2042" s="427">
        <v>256677</v>
      </c>
      <c r="F2042" s="3" t="str">
        <f>IFERROR(VLOOKUP(E2042,BD!$L$2:$Q$66,2,0),0)</f>
        <v>TWO PACK CC + IK PFM 3LX2 - RFNN</v>
      </c>
      <c r="G2042" s="424">
        <v>600</v>
      </c>
      <c r="H2042" s="3">
        <f>+IFERROR(VLOOKUP(E2042,BD!$L$2:$Q$66,6,0),0)</f>
        <v>120</v>
      </c>
      <c r="I2042" s="96">
        <f>IFERROR(G2042*VLOOKUP($E2042,BD!$L$2:$Q$66,5,0),0)</f>
        <v>102.00000000000001</v>
      </c>
      <c r="J2042" s="3">
        <f t="shared" si="135"/>
        <v>2021</v>
      </c>
    </row>
    <row r="2043" spans="1:10" s="9" customFormat="1" hidden="1" x14ac:dyDescent="0.25">
      <c r="A2043" s="447">
        <v>44468</v>
      </c>
      <c r="B2043" s="55" t="str">
        <f t="shared" ref="B2043:B2106" si="136">UPPER(TEXT(A2043,"MMMM"))</f>
        <v>SETIEMBRE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7">
        <v>256383</v>
      </c>
      <c r="F2043" s="3" t="str">
        <f>IFERROR(VLOOKUP(E2043,BD!$L$2:$Q$66,2,0),0)</f>
        <v>COCA COLA VR 1.5LX8 - STICKER</v>
      </c>
      <c r="G2043" s="424">
        <v>60</v>
      </c>
      <c r="H2043" s="3">
        <f>+IFERROR(VLOOKUP(E2043,BD!$L$2:$Q$66,6,0),0)</f>
        <v>30</v>
      </c>
      <c r="I2043" s="96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hidden="1" x14ac:dyDescent="0.25">
      <c r="A2044" s="447">
        <v>44468</v>
      </c>
      <c r="B2044" s="55" t="str">
        <f t="shared" si="136"/>
        <v>SETIEMBRE</v>
      </c>
      <c r="C2044" s="55">
        <f t="shared" si="137"/>
        <v>40</v>
      </c>
      <c r="D2044" s="3" t="str">
        <f t="shared" si="138"/>
        <v>MIÉRCOLES</v>
      </c>
      <c r="E2044" s="427">
        <v>256379</v>
      </c>
      <c r="F2044" s="3" t="str">
        <f>IFERROR(VLOOKUP(E2044,BD!$L$2:$Q$66,2,0),0)</f>
        <v>INCA KOLA VR 625MLX12 - STICKER</v>
      </c>
      <c r="G2044" s="424">
        <v>150</v>
      </c>
      <c r="H2044" s="3">
        <f>+IFERROR(VLOOKUP(E2044,BD!$L$2:$Q$66,6,0),0)</f>
        <v>50</v>
      </c>
      <c r="I2044" s="96">
        <f>IFERROR(G2044*VLOOKUP($E2044,BD!$L$2:$Q$66,5,0),0)</f>
        <v>60</v>
      </c>
      <c r="J2044" s="3">
        <f t="shared" si="139"/>
        <v>2021</v>
      </c>
    </row>
    <row r="2045" spans="1:10" s="9" customFormat="1" hidden="1" x14ac:dyDescent="0.25">
      <c r="A2045" s="447">
        <v>44468</v>
      </c>
      <c r="B2045" s="55" t="str">
        <f t="shared" si="136"/>
        <v>SETIEMBRE</v>
      </c>
      <c r="C2045" s="55">
        <f t="shared" si="137"/>
        <v>40</v>
      </c>
      <c r="D2045" s="3" t="str">
        <f t="shared" si="138"/>
        <v>MIÉRCOLES</v>
      </c>
      <c r="E2045" s="427">
        <v>251429</v>
      </c>
      <c r="F2045" s="3" t="str">
        <f>IFERROR(VLOOKUP(E2045,BD!$L$2:$Q$66,2,0),0)</f>
        <v>SAN LUIS SIN GAS PET2500X6 STICKER</v>
      </c>
      <c r="G2045" s="424">
        <v>336</v>
      </c>
      <c r="H2045" s="3">
        <f>+IFERROR(VLOOKUP(E2045,BD!$L$2:$Q$66,6,0),0)</f>
        <v>48</v>
      </c>
      <c r="I2045" s="96">
        <f>IFERROR(G2045*VLOOKUP($E2045,BD!$L$2:$Q$66,5,0),0)</f>
        <v>134.4</v>
      </c>
      <c r="J2045" s="3">
        <f t="shared" si="139"/>
        <v>2021</v>
      </c>
    </row>
    <row r="2046" spans="1:10" s="9" customFormat="1" hidden="1" x14ac:dyDescent="0.25">
      <c r="A2046" s="447">
        <v>44468</v>
      </c>
      <c r="B2046" s="55" t="str">
        <f t="shared" si="136"/>
        <v>SETIEMBRE</v>
      </c>
      <c r="C2046" s="55">
        <f t="shared" si="137"/>
        <v>40</v>
      </c>
      <c r="D2046" s="3" t="str">
        <f t="shared" si="138"/>
        <v>MIÉRCOLES</v>
      </c>
      <c r="E2046" s="427">
        <v>254853</v>
      </c>
      <c r="F2046" s="3" t="str">
        <f>IFERROR(VLOOKUP(E2046,BD!$L$2:$Q$66,2,0),0)</f>
        <v>INCA KOLA SIN AZUCAR PET 1.5LX2</v>
      </c>
      <c r="G2046" s="424">
        <v>1512</v>
      </c>
      <c r="H2046" s="3">
        <f>+IFERROR(VLOOKUP(E2046,BD!$L$2:$Q$66,6,0),0)</f>
        <v>198</v>
      </c>
      <c r="I2046" s="96">
        <f>IFERROR(G2046*VLOOKUP($E2046,BD!$L$2:$Q$66,5,0),0)</f>
        <v>257.04000000000002</v>
      </c>
      <c r="J2046" s="3">
        <f t="shared" si="139"/>
        <v>2021</v>
      </c>
    </row>
    <row r="2047" spans="1:10" s="9" customFormat="1" hidden="1" x14ac:dyDescent="0.25">
      <c r="A2047" s="447">
        <v>44468</v>
      </c>
      <c r="B2047" s="55" t="str">
        <f t="shared" si="136"/>
        <v>SETIEMBRE</v>
      </c>
      <c r="C2047" s="55">
        <f t="shared" si="137"/>
        <v>40</v>
      </c>
      <c r="D2047" s="3" t="str">
        <f t="shared" si="138"/>
        <v>MIÉRCOLES</v>
      </c>
      <c r="E2047" s="427">
        <v>256678</v>
      </c>
      <c r="F2047" s="3" t="str">
        <f>IFERROR(VLOOKUP(E2047,BD!$L$2:$Q$66,2,0),0)</f>
        <v>TRIPACK (CC+IK)PFM+FT PET 3LX3 - RFNN</v>
      </c>
      <c r="G2047" s="424">
        <v>1440</v>
      </c>
      <c r="H2047" s="3">
        <f>+IFERROR(VLOOKUP(E2047,BD!$L$2:$Q$66,6,0),0)</f>
        <v>90</v>
      </c>
      <c r="I2047" s="96">
        <f>IFERROR(G2047*VLOOKUP($E2047,BD!$L$2:$Q$66,5,0),0)</f>
        <v>244.8</v>
      </c>
      <c r="J2047" s="3">
        <f t="shared" si="139"/>
        <v>2021</v>
      </c>
    </row>
    <row r="2048" spans="1:10" s="9" customFormat="1" hidden="1" x14ac:dyDescent="0.25">
      <c r="A2048" s="447">
        <v>44468</v>
      </c>
      <c r="B2048" s="55" t="str">
        <f t="shared" si="136"/>
        <v>SETIEMBRE</v>
      </c>
      <c r="C2048" s="55">
        <f t="shared" si="137"/>
        <v>40</v>
      </c>
      <c r="D2048" s="3" t="str">
        <f t="shared" si="138"/>
        <v>MIÉRCOLES</v>
      </c>
      <c r="E2048" s="427">
        <v>256695</v>
      </c>
      <c r="F2048" s="3" t="str">
        <f>IFERROR(VLOOKUP(E2048,BD!$L$2:$Q$66,2,0),0)</f>
        <v>POWERADE 3MORA+3FRUT PET 473MLX6</v>
      </c>
      <c r="G2048" s="424">
        <v>675</v>
      </c>
      <c r="H2048" s="3">
        <f>+IFERROR(VLOOKUP(E2048,BD!$L$2:$Q$66,6,0),0)</f>
        <v>225</v>
      </c>
      <c r="I2048" s="96">
        <f>IFERROR(G2048*VLOOKUP($E2048,BD!$L$2:$Q$66,5,0),0)</f>
        <v>283.5</v>
      </c>
      <c r="J2048" s="3">
        <f t="shared" si="139"/>
        <v>2021</v>
      </c>
    </row>
    <row r="2049" spans="1:10" s="9" customFormat="1" hidden="1" x14ac:dyDescent="0.25">
      <c r="A2049" s="447">
        <v>44468</v>
      </c>
      <c r="B2049" s="55" t="str">
        <f t="shared" si="136"/>
        <v>SETIEMBRE</v>
      </c>
      <c r="C2049" s="55">
        <f t="shared" si="137"/>
        <v>40</v>
      </c>
      <c r="D2049" s="3" t="str">
        <f t="shared" si="138"/>
        <v>MIÉRCOLES</v>
      </c>
      <c r="E2049" s="427">
        <v>256616</v>
      </c>
      <c r="F2049" s="3" t="str">
        <f>IFERROR(VLOOKUP(E2049,BD!$L$2:$Q$66,2,0),0)</f>
        <v>TWO PACK SCHWEPPES CITRUS PET 1.5LX2</v>
      </c>
      <c r="G2049" s="424">
        <v>396</v>
      </c>
      <c r="H2049" s="3">
        <f>+IFERROR(VLOOKUP(E2049,BD!$L$2:$Q$66,6,0),0)</f>
        <v>198</v>
      </c>
      <c r="I2049" s="96">
        <f>IFERROR(G2049*VLOOKUP($E2049,BD!$L$2:$Q$66,5,0),0)</f>
        <v>67.320000000000007</v>
      </c>
      <c r="J2049" s="3">
        <f t="shared" si="139"/>
        <v>2021</v>
      </c>
    </row>
    <row r="2050" spans="1:10" s="9" customFormat="1" hidden="1" x14ac:dyDescent="0.25">
      <c r="A2050" s="447">
        <v>44468</v>
      </c>
      <c r="B2050" s="55" t="str">
        <f t="shared" si="136"/>
        <v>SETIEMBRE</v>
      </c>
      <c r="C2050" s="55">
        <f t="shared" si="137"/>
        <v>40</v>
      </c>
      <c r="D2050" s="3" t="str">
        <f t="shared" si="138"/>
        <v>MIÉRCOLES</v>
      </c>
      <c r="E2050" s="427">
        <v>256617</v>
      </c>
      <c r="F2050" s="3" t="str">
        <f>IFERROR(VLOOKUP(E2050,BD!$L$2:$Q$66,2,0),0)</f>
        <v>TWO PACK SCHWEPPES GINGER ALE PET 1.5LX2</v>
      </c>
      <c r="G2050" s="424">
        <v>198</v>
      </c>
      <c r="H2050" s="3">
        <f>+IFERROR(VLOOKUP(E2050,BD!$L$2:$Q$66,6,0),0)</f>
        <v>198</v>
      </c>
      <c r="I2050" s="96">
        <f>IFERROR(G2050*VLOOKUP($E2050,BD!$L$2:$Q$66,5,0),0)</f>
        <v>33.660000000000004</v>
      </c>
      <c r="J2050" s="3">
        <f t="shared" si="139"/>
        <v>2021</v>
      </c>
    </row>
    <row r="2051" spans="1:10" s="9" customFormat="1" hidden="1" x14ac:dyDescent="0.25">
      <c r="A2051" s="447">
        <v>44468</v>
      </c>
      <c r="B2051" s="55" t="str">
        <f t="shared" si="136"/>
        <v>SETIEMBRE</v>
      </c>
      <c r="C2051" s="55">
        <f t="shared" si="137"/>
        <v>40</v>
      </c>
      <c r="D2051" s="3" t="str">
        <f t="shared" si="138"/>
        <v>MIÉRCOLES</v>
      </c>
      <c r="E2051" s="427">
        <v>256488</v>
      </c>
      <c r="F2051" s="3" t="str">
        <f>IFERROR(VLOOKUP(E2051,BD!$L$2:$Q$66,2,0),0)</f>
        <v>INCA KOLA PET 3LX2 - RF</v>
      </c>
      <c r="G2051" s="424">
        <v>1200</v>
      </c>
      <c r="H2051" s="3">
        <f>+IFERROR(VLOOKUP(E2051,BD!$L$2:$Q$66,6,0),0)</f>
        <v>120</v>
      </c>
      <c r="I2051" s="96">
        <f>IFERROR(G2051*VLOOKUP($E2051,BD!$L$2:$Q$66,5,0),0)</f>
        <v>204.00000000000003</v>
      </c>
      <c r="J2051" s="3">
        <f t="shared" si="139"/>
        <v>2021</v>
      </c>
    </row>
    <row r="2052" spans="1:10" s="9" customFormat="1" hidden="1" x14ac:dyDescent="0.25">
      <c r="A2052" s="447">
        <v>44468</v>
      </c>
      <c r="B2052" s="55" t="str">
        <f t="shared" si="136"/>
        <v>SETIEMBRE</v>
      </c>
      <c r="C2052" s="55">
        <f t="shared" si="137"/>
        <v>40</v>
      </c>
      <c r="D2052" s="3" t="str">
        <f t="shared" si="138"/>
        <v>MIÉRCOLES</v>
      </c>
      <c r="E2052" s="427">
        <v>256666</v>
      </c>
      <c r="F2052" s="3" t="str">
        <f>IFERROR(VLOOKUP(E2052,BD!$L$2:$Q$66,2,0),0)</f>
        <v>COCA-COLA PET 2.25LX2 RF</v>
      </c>
      <c r="G2052" s="424">
        <v>486</v>
      </c>
      <c r="H2052" s="3">
        <f>+IFERROR(VLOOKUP(E2052,BD!$L$2:$Q$66,6,0),0)</f>
        <v>162</v>
      </c>
      <c r="I2052" s="96">
        <f>IFERROR(G2052*VLOOKUP($E2052,BD!$L$2:$Q$66,5,0),0)</f>
        <v>82.62</v>
      </c>
      <c r="J2052" s="3">
        <f t="shared" si="139"/>
        <v>2021</v>
      </c>
    </row>
    <row r="2053" spans="1:10" s="9" customFormat="1" hidden="1" x14ac:dyDescent="0.25">
      <c r="A2053" s="447">
        <v>44468</v>
      </c>
      <c r="B2053" s="55" t="str">
        <f t="shared" si="136"/>
        <v>SETIEMBRE</v>
      </c>
      <c r="C2053" s="55">
        <f t="shared" si="137"/>
        <v>40</v>
      </c>
      <c r="D2053" s="3" t="str">
        <f t="shared" si="138"/>
        <v>MIÉRCOLES</v>
      </c>
      <c r="E2053" s="427">
        <v>256676</v>
      </c>
      <c r="F2053" s="3" t="str">
        <f>IFERROR(VLOOKUP(E2053,BD!$L$2:$Q$66,2,0),0)</f>
        <v>TWO PACK CC PFM 3LX2 - RFCC</v>
      </c>
      <c r="G2053" s="424">
        <v>1200</v>
      </c>
      <c r="H2053" s="3">
        <f>+IFERROR(VLOOKUP(E2053,BD!$L$2:$Q$66,6,0),0)</f>
        <v>120</v>
      </c>
      <c r="I2053" s="96">
        <f>IFERROR(G2053*VLOOKUP($E2053,BD!$L$2:$Q$66,5,0),0)</f>
        <v>204.00000000000003</v>
      </c>
      <c r="J2053" s="3">
        <f t="shared" si="139"/>
        <v>2021</v>
      </c>
    </row>
    <row r="2054" spans="1:10" s="9" customFormat="1" hidden="1" x14ac:dyDescent="0.25">
      <c r="A2054" s="447">
        <v>44468</v>
      </c>
      <c r="B2054" s="55" t="str">
        <f t="shared" si="136"/>
        <v>SETIEMBRE</v>
      </c>
      <c r="C2054" s="55">
        <f t="shared" si="137"/>
        <v>40</v>
      </c>
      <c r="D2054" s="3" t="str">
        <f t="shared" si="138"/>
        <v>MIÉRCOLES</v>
      </c>
      <c r="E2054" s="427">
        <v>256682</v>
      </c>
      <c r="F2054" s="3" t="str">
        <f>IFERROR(VLOOKUP(E2054,BD!$L$2:$Q$66,2,0),0)</f>
        <v>TRIPACK (FT NAR+SP)PET+IK RF PFM 3L</v>
      </c>
      <c r="G2054" s="424">
        <v>180</v>
      </c>
      <c r="H2054" s="3">
        <f>+IFERROR(VLOOKUP(E2054,BD!$L$2:$Q$66,6,0),0)</f>
        <v>90</v>
      </c>
      <c r="I2054" s="96">
        <f>IFERROR(G2054*VLOOKUP($E2054,BD!$L$2:$Q$66,5,0),0)</f>
        <v>30.6</v>
      </c>
      <c r="J2054" s="3">
        <f t="shared" si="139"/>
        <v>2021</v>
      </c>
    </row>
    <row r="2055" spans="1:10" s="9" customFormat="1" hidden="1" x14ac:dyDescent="0.25">
      <c r="A2055" s="447">
        <v>44468</v>
      </c>
      <c r="B2055" s="55" t="str">
        <f t="shared" si="136"/>
        <v>SETIEMBRE</v>
      </c>
      <c r="C2055" s="55">
        <f t="shared" si="137"/>
        <v>40</v>
      </c>
      <c r="D2055" s="3" t="str">
        <f t="shared" si="138"/>
        <v>MIÉRCOLES</v>
      </c>
      <c r="E2055" s="427">
        <v>751315</v>
      </c>
      <c r="F2055" s="3" t="str">
        <f>IFERROR(VLOOKUP(E2055,BD!$L$2:$Q$66,2,0),0)</f>
        <v>MONSTER ENERGY 473MLX4</v>
      </c>
      <c r="G2055" s="424">
        <v>840</v>
      </c>
      <c r="H2055" s="3">
        <f>+IFERROR(VLOOKUP(E2055,BD!$L$2:$Q$66,6,0),0)</f>
        <v>420</v>
      </c>
      <c r="I2055" s="96">
        <f>IFERROR(G2055*VLOOKUP($E2055,BD!$L$2:$Q$66,5,0),0)</f>
        <v>352.8</v>
      </c>
      <c r="J2055" s="3">
        <f t="shared" si="139"/>
        <v>2021</v>
      </c>
    </row>
    <row r="2056" spans="1:10" s="9" customFormat="1" hidden="1" x14ac:dyDescent="0.25">
      <c r="A2056" s="447">
        <v>44468</v>
      </c>
      <c r="B2056" s="55" t="str">
        <f t="shared" si="136"/>
        <v>SETIEMBRE</v>
      </c>
      <c r="C2056" s="55">
        <f t="shared" si="137"/>
        <v>40</v>
      </c>
      <c r="D2056" s="3" t="str">
        <f t="shared" si="138"/>
        <v>MIÉRCOLES</v>
      </c>
      <c r="E2056" s="427">
        <v>256727</v>
      </c>
      <c r="F2056" s="3" t="str">
        <f>IFERROR(VLOOKUP(E2056,BD!$L$2:$Q$66,2,0),0)</f>
        <v>INCA KOLA POWER (CAMU+MACA) PET 410MLX12</v>
      </c>
      <c r="G2056" s="424">
        <v>650</v>
      </c>
      <c r="H2056" s="3">
        <f>+IFERROR(VLOOKUP(E2056,BD!$L$2:$Q$66,6,0),0)</f>
        <v>420</v>
      </c>
      <c r="I2056" s="96">
        <f>IFERROR(G2056*VLOOKUP($E2056,BD!$L$2:$Q$66,5,0),0)</f>
        <v>780</v>
      </c>
      <c r="J2056" s="3">
        <f t="shared" si="139"/>
        <v>2021</v>
      </c>
    </row>
    <row r="2057" spans="1:10" s="9" customFormat="1" hidden="1" x14ac:dyDescent="0.25">
      <c r="A2057" s="447">
        <v>44468</v>
      </c>
      <c r="B2057" s="55" t="str">
        <f t="shared" si="136"/>
        <v>SETIEMBRE</v>
      </c>
      <c r="C2057" s="55">
        <f t="shared" si="137"/>
        <v>40</v>
      </c>
      <c r="D2057" s="3" t="str">
        <f t="shared" si="138"/>
        <v>MIÉRCOLES</v>
      </c>
      <c r="E2057" s="427">
        <v>256488</v>
      </c>
      <c r="F2057" s="3" t="str">
        <f>IFERROR(VLOOKUP(E2057,BD!$L$2:$Q$66,2,0),0)</f>
        <v>INCA KOLA PET 3LX2 - RF</v>
      </c>
      <c r="G2057" s="424">
        <v>480</v>
      </c>
      <c r="H2057" s="3">
        <f>+IFERROR(VLOOKUP(E2057,BD!$L$2:$Q$66,6,0),0)</f>
        <v>120</v>
      </c>
      <c r="I2057" s="96">
        <f>IFERROR(G2057*VLOOKUP($E2057,BD!$L$2:$Q$66,5,0),0)</f>
        <v>81.600000000000009</v>
      </c>
      <c r="J2057" s="3">
        <f t="shared" si="139"/>
        <v>2021</v>
      </c>
    </row>
    <row r="2058" spans="1:10" s="9" customFormat="1" hidden="1" x14ac:dyDescent="0.25">
      <c r="A2058" s="447">
        <v>44468</v>
      </c>
      <c r="B2058" s="55" t="str">
        <f t="shared" si="136"/>
        <v>SETIEMBRE</v>
      </c>
      <c r="C2058" s="55">
        <f t="shared" si="137"/>
        <v>40</v>
      </c>
      <c r="D2058" s="3" t="str">
        <f t="shared" si="138"/>
        <v>MIÉRCOLES</v>
      </c>
      <c r="E2058" s="427">
        <v>256677</v>
      </c>
      <c r="F2058" s="3" t="str">
        <f>IFERROR(VLOOKUP(E2058,BD!$L$2:$Q$66,2,0),0)</f>
        <v>TWO PACK CC + IK PFM 3LX2 - RFNN</v>
      </c>
      <c r="G2058" s="424">
        <v>3960</v>
      </c>
      <c r="H2058" s="3">
        <f>+IFERROR(VLOOKUP(E2058,BD!$L$2:$Q$66,6,0),0)</f>
        <v>120</v>
      </c>
      <c r="I2058" s="96">
        <f>IFERROR(G2058*VLOOKUP($E2058,BD!$L$2:$Q$66,5,0),0)</f>
        <v>673.2</v>
      </c>
      <c r="J2058" s="3">
        <f t="shared" si="139"/>
        <v>2021</v>
      </c>
    </row>
    <row r="2059" spans="1:10" s="9" customFormat="1" hidden="1" x14ac:dyDescent="0.25">
      <c r="A2059" s="447">
        <v>44468</v>
      </c>
      <c r="B2059" s="55" t="str">
        <f t="shared" si="136"/>
        <v>SETIEMBRE</v>
      </c>
      <c r="C2059" s="55">
        <f t="shared" si="137"/>
        <v>40</v>
      </c>
      <c r="D2059" s="3" t="str">
        <f t="shared" si="138"/>
        <v>MIÉRCOLES</v>
      </c>
      <c r="E2059" s="427">
        <v>256695</v>
      </c>
      <c r="F2059" s="3" t="str">
        <f>IFERROR(VLOOKUP(E2059,BD!$L$2:$Q$66,2,0),0)</f>
        <v>POWERADE 3MORA+3FRUT PET 473MLX6</v>
      </c>
      <c r="G2059" s="424">
        <v>450</v>
      </c>
      <c r="H2059" s="3">
        <f>+IFERROR(VLOOKUP(E2059,BD!$L$2:$Q$66,6,0),0)</f>
        <v>225</v>
      </c>
      <c r="I2059" s="96">
        <f>IFERROR(G2059*VLOOKUP($E2059,BD!$L$2:$Q$66,5,0),0)</f>
        <v>189</v>
      </c>
      <c r="J2059" s="3">
        <f t="shared" si="139"/>
        <v>2021</v>
      </c>
    </row>
    <row r="2060" spans="1:10" s="9" customFormat="1" hidden="1" x14ac:dyDescent="0.25">
      <c r="A2060" s="447">
        <v>44468</v>
      </c>
      <c r="B2060" s="55" t="str">
        <f t="shared" si="136"/>
        <v>SETIEMBRE</v>
      </c>
      <c r="C2060" s="55">
        <f t="shared" si="137"/>
        <v>40</v>
      </c>
      <c r="D2060" s="3" t="str">
        <f t="shared" si="138"/>
        <v>MIÉRCOLES</v>
      </c>
      <c r="E2060" s="427">
        <v>256727</v>
      </c>
      <c r="F2060" s="3" t="str">
        <f>IFERROR(VLOOKUP(E2060,BD!$L$2:$Q$66,2,0),0)</f>
        <v>INCA KOLA POWER (CAMU+MACA) PET 410MLX12</v>
      </c>
      <c r="G2060" s="424">
        <v>650</v>
      </c>
      <c r="H2060" s="3">
        <f>+IFERROR(VLOOKUP(E2060,BD!$L$2:$Q$66,6,0),0)</f>
        <v>420</v>
      </c>
      <c r="I2060" s="96">
        <f>IFERROR(G2060*VLOOKUP($E2060,BD!$L$2:$Q$66,5,0),0)</f>
        <v>780</v>
      </c>
      <c r="J2060" s="3">
        <f t="shared" si="139"/>
        <v>2021</v>
      </c>
    </row>
    <row r="2061" spans="1:10" s="9" customFormat="1" hidden="1" x14ac:dyDescent="0.25">
      <c r="A2061" s="447">
        <v>44469</v>
      </c>
      <c r="B2061" s="55" t="str">
        <f t="shared" si="136"/>
        <v>SETIEMBRE</v>
      </c>
      <c r="C2061" s="55">
        <f t="shared" si="137"/>
        <v>40</v>
      </c>
      <c r="D2061" s="3" t="str">
        <f t="shared" si="138"/>
        <v>JUEVES</v>
      </c>
      <c r="E2061" s="427">
        <v>254762</v>
      </c>
      <c r="F2061" s="3" t="str">
        <f>IFERROR(VLOOKUP(E2061,BD!$L$2:$Q$66,2,0),0)</f>
        <v xml:space="preserve">SAN LUIS SPORT S/G 10 Lt x6 </v>
      </c>
      <c r="G2061" s="424">
        <v>224</v>
      </c>
      <c r="H2061" s="3">
        <f>+IFERROR(VLOOKUP(E2061,BD!$L$2:$Q$66,6,0),0)</f>
        <v>240</v>
      </c>
      <c r="I2061" s="96">
        <f>IFERROR(G2061*VLOOKUP($E2061,BD!$L$2:$Q$66,5,0),0)</f>
        <v>89.600000000000009</v>
      </c>
      <c r="J2061" s="3">
        <f t="shared" si="139"/>
        <v>2021</v>
      </c>
    </row>
    <row r="2062" spans="1:10" s="9" customFormat="1" hidden="1" x14ac:dyDescent="0.25">
      <c r="A2062" s="447">
        <v>44469</v>
      </c>
      <c r="B2062" s="55" t="str">
        <f t="shared" si="136"/>
        <v>SETIEMBRE</v>
      </c>
      <c r="C2062" s="55">
        <f t="shared" si="137"/>
        <v>40</v>
      </c>
      <c r="D2062" s="3" t="str">
        <f t="shared" si="138"/>
        <v>JUEVES</v>
      </c>
      <c r="E2062" s="427">
        <v>256685</v>
      </c>
      <c r="F2062" s="3" t="str">
        <f>IFERROR(VLOOKUP(E2062,BD!$L$2:$Q$66,2,0),0)</f>
        <v>SL S/G TAPA PLANA 1LT</v>
      </c>
      <c r="G2062" s="424">
        <v>448</v>
      </c>
      <c r="H2062" s="3">
        <f>+IFERROR(VLOOKUP(E2062,BD!$L$2:$Q$66,6,0),0)</f>
        <v>112</v>
      </c>
      <c r="I2062" s="96">
        <f>IFERROR(G2062*VLOOKUP($E2062,BD!$L$2:$Q$66,5,0),0)</f>
        <v>179.20000000000002</v>
      </c>
      <c r="J2062" s="3">
        <f t="shared" si="139"/>
        <v>2021</v>
      </c>
    </row>
    <row r="2063" spans="1:10" s="9" customFormat="1" hidden="1" x14ac:dyDescent="0.25">
      <c r="A2063" s="447">
        <v>44469</v>
      </c>
      <c r="B2063" s="55" t="str">
        <f t="shared" si="136"/>
        <v>SETIEMBRE</v>
      </c>
      <c r="C2063" s="55">
        <f t="shared" si="137"/>
        <v>40</v>
      </c>
      <c r="D2063" s="3" t="str">
        <f t="shared" si="138"/>
        <v>JUEVES</v>
      </c>
      <c r="E2063" s="427">
        <v>256695</v>
      </c>
      <c r="F2063" s="3" t="str">
        <f>IFERROR(VLOOKUP(E2063,BD!$L$2:$Q$66,2,0),0)</f>
        <v>POWERADE 3MORA+3FRUT PET 473MLX6</v>
      </c>
      <c r="G2063" s="424">
        <v>2925</v>
      </c>
      <c r="H2063" s="3">
        <f>+IFERROR(VLOOKUP(E2063,BD!$L$2:$Q$66,6,0),0)</f>
        <v>225</v>
      </c>
      <c r="I2063" s="96">
        <f>IFERROR(G2063*VLOOKUP($E2063,BD!$L$2:$Q$66,5,0),0)</f>
        <v>1228.5</v>
      </c>
      <c r="J2063" s="3">
        <f t="shared" si="139"/>
        <v>2021</v>
      </c>
    </row>
    <row r="2064" spans="1:10" s="9" customFormat="1" hidden="1" x14ac:dyDescent="0.25">
      <c r="A2064" s="447">
        <v>44469</v>
      </c>
      <c r="B2064" s="55" t="str">
        <f t="shared" si="136"/>
        <v>SETIEMBRE</v>
      </c>
      <c r="C2064" s="55">
        <f t="shared" si="137"/>
        <v>40</v>
      </c>
      <c r="D2064" s="3" t="str">
        <f t="shared" si="138"/>
        <v>JUEVES</v>
      </c>
      <c r="E2064" s="427">
        <v>256616</v>
      </c>
      <c r="F2064" s="3" t="str">
        <f>IFERROR(VLOOKUP(E2064,BD!$L$2:$Q$66,2,0),0)</f>
        <v>TWO PACK SCHWEPPES CITRUS PET 1.5LX2</v>
      </c>
      <c r="G2064" s="424">
        <v>792</v>
      </c>
      <c r="H2064" s="3">
        <f>+IFERROR(VLOOKUP(E2064,BD!$L$2:$Q$66,6,0),0)</f>
        <v>198</v>
      </c>
      <c r="I2064" s="96">
        <f>IFERROR(G2064*VLOOKUP($E2064,BD!$L$2:$Q$66,5,0),0)</f>
        <v>134.64000000000001</v>
      </c>
      <c r="J2064" s="3">
        <f t="shared" si="139"/>
        <v>2021</v>
      </c>
    </row>
    <row r="2065" spans="1:10" s="9" customFormat="1" hidden="1" x14ac:dyDescent="0.25">
      <c r="A2065" s="447">
        <v>44469</v>
      </c>
      <c r="B2065" s="55" t="str">
        <f t="shared" si="136"/>
        <v>SETIEMBRE</v>
      </c>
      <c r="C2065" s="55">
        <f t="shared" si="137"/>
        <v>40</v>
      </c>
      <c r="D2065" s="3" t="str">
        <f t="shared" si="138"/>
        <v>JUEVES</v>
      </c>
      <c r="E2065" s="427">
        <v>256617</v>
      </c>
      <c r="F2065" s="3" t="str">
        <f>IFERROR(VLOOKUP(E2065,BD!$L$2:$Q$66,2,0),0)</f>
        <v>TWO PACK SCHWEPPES GINGER ALE PET 1.5LX2</v>
      </c>
      <c r="G2065" s="424">
        <v>198</v>
      </c>
      <c r="H2065" s="3">
        <f>+IFERROR(VLOOKUP(E2065,BD!$L$2:$Q$66,6,0),0)</f>
        <v>198</v>
      </c>
      <c r="I2065" s="96">
        <f>IFERROR(G2065*VLOOKUP($E2065,BD!$L$2:$Q$66,5,0),0)</f>
        <v>33.660000000000004</v>
      </c>
      <c r="J2065" s="3">
        <f t="shared" si="139"/>
        <v>2021</v>
      </c>
    </row>
    <row r="2066" spans="1:10" s="9" customFormat="1" hidden="1" x14ac:dyDescent="0.25">
      <c r="A2066" s="447">
        <v>44469</v>
      </c>
      <c r="B2066" s="55" t="str">
        <f t="shared" si="136"/>
        <v>SETIEMBRE</v>
      </c>
      <c r="C2066" s="55">
        <f t="shared" si="137"/>
        <v>40</v>
      </c>
      <c r="D2066" s="3" t="str">
        <f t="shared" si="138"/>
        <v>JUEVES</v>
      </c>
      <c r="E2066" s="427">
        <v>256675</v>
      </c>
      <c r="F2066" s="3" t="str">
        <f>IFERROR(VLOOKUP(E2066,BD!$L$2:$Q$66,2,0),0)</f>
        <v>INCA KOLA PET 1.5LX2 RF</v>
      </c>
      <c r="G2066" s="424">
        <v>216</v>
      </c>
      <c r="H2066" s="3">
        <f>+IFERROR(VLOOKUP(E2066,BD!$L$2:$Q$66,6,0),0)</f>
        <v>198</v>
      </c>
      <c r="I2066" s="96">
        <f>IFERROR(G2066*VLOOKUP($E2066,BD!$L$2:$Q$66,5,0),0)</f>
        <v>36.720000000000006</v>
      </c>
      <c r="J2066" s="3">
        <f t="shared" si="139"/>
        <v>2021</v>
      </c>
    </row>
    <row r="2067" spans="1:10" s="9" customFormat="1" hidden="1" x14ac:dyDescent="0.25">
      <c r="A2067" s="447">
        <v>44469</v>
      </c>
      <c r="B2067" s="55" t="str">
        <f t="shared" si="136"/>
        <v>SETIEMBRE</v>
      </c>
      <c r="C2067" s="55">
        <f t="shared" si="137"/>
        <v>40</v>
      </c>
      <c r="D2067" s="3" t="str">
        <f t="shared" si="138"/>
        <v>JUEVES</v>
      </c>
      <c r="E2067" s="427">
        <v>256601</v>
      </c>
      <c r="F2067" s="3" t="str">
        <f>IFERROR(VLOOKUP(E2067,BD!$L$2:$Q$66,2,0),0)</f>
        <v>INCA KOLA PET 2.25LX2 RF</v>
      </c>
      <c r="G2067" s="424">
        <v>162</v>
      </c>
      <c r="H2067" s="3">
        <f>+IFERROR(VLOOKUP(E2067,BD!$L$2:$Q$66,6,0),0)</f>
        <v>162</v>
      </c>
      <c r="I2067" s="96">
        <f>IFERROR(G2067*VLOOKUP($E2067,BD!$L$2:$Q$66,5,0),0)</f>
        <v>27.540000000000003</v>
      </c>
      <c r="J2067" s="3">
        <f t="shared" si="139"/>
        <v>2021</v>
      </c>
    </row>
    <row r="2068" spans="1:10" s="9" customFormat="1" hidden="1" x14ac:dyDescent="0.25">
      <c r="A2068" s="447">
        <v>44469</v>
      </c>
      <c r="B2068" s="55" t="str">
        <f t="shared" si="136"/>
        <v>SETIEMBRE</v>
      </c>
      <c r="C2068" s="55">
        <f t="shared" si="137"/>
        <v>40</v>
      </c>
      <c r="D2068" s="3" t="str">
        <f t="shared" si="138"/>
        <v>JUEVES</v>
      </c>
      <c r="E2068" s="427">
        <v>256666</v>
      </c>
      <c r="F2068" s="3" t="str">
        <f>IFERROR(VLOOKUP(E2068,BD!$L$2:$Q$66,2,0),0)</f>
        <v>COCA-COLA PET 2.25LX2 RF</v>
      </c>
      <c r="G2068" s="424">
        <v>162</v>
      </c>
      <c r="H2068" s="3">
        <f>+IFERROR(VLOOKUP(E2068,BD!$L$2:$Q$66,6,0),0)</f>
        <v>162</v>
      </c>
      <c r="I2068" s="96">
        <f>IFERROR(G2068*VLOOKUP($E2068,BD!$L$2:$Q$66,5,0),0)</f>
        <v>27.540000000000003</v>
      </c>
      <c r="J2068" s="3">
        <f t="shared" si="139"/>
        <v>2021</v>
      </c>
    </row>
    <row r="2069" spans="1:10" s="9" customFormat="1" hidden="1" x14ac:dyDescent="0.25">
      <c r="A2069" s="447">
        <v>44469</v>
      </c>
      <c r="B2069" s="55" t="str">
        <f t="shared" si="136"/>
        <v>SETIEMBRE</v>
      </c>
      <c r="C2069" s="55">
        <f t="shared" si="137"/>
        <v>40</v>
      </c>
      <c r="D2069" s="3" t="str">
        <f t="shared" si="138"/>
        <v>JUEVES</v>
      </c>
      <c r="E2069" s="427">
        <v>256720</v>
      </c>
      <c r="F2069" s="3" t="str">
        <f>IFERROR(VLOOKUP(E2069,BD!$L$2:$Q$66,2,0),0)</f>
        <v>FANTA NARANJA PET 500MLX6 BRANDEADO MOD</v>
      </c>
      <c r="G2069" s="424">
        <v>750</v>
      </c>
      <c r="H2069" s="3">
        <f>+IFERROR(VLOOKUP(E2069,BD!$L$2:$Q$66,6,0),0)</f>
        <v>420</v>
      </c>
      <c r="I2069" s="96">
        <f>IFERROR(G2069*VLOOKUP($E2069,BD!$L$2:$Q$66,5,0),0)</f>
        <v>315</v>
      </c>
      <c r="J2069" s="3">
        <f t="shared" si="139"/>
        <v>2021</v>
      </c>
    </row>
    <row r="2070" spans="1:10" s="9" customFormat="1" hidden="1" x14ac:dyDescent="0.25">
      <c r="A2070" s="447">
        <v>44469</v>
      </c>
      <c r="B2070" s="55" t="str">
        <f t="shared" si="136"/>
        <v>SETIEMBRE</v>
      </c>
      <c r="C2070" s="55">
        <f t="shared" si="137"/>
        <v>40</v>
      </c>
      <c r="D2070" s="3" t="str">
        <f t="shared" si="138"/>
        <v>JUEVES</v>
      </c>
      <c r="E2070" s="427">
        <v>251429</v>
      </c>
      <c r="F2070" s="3" t="str">
        <f>IFERROR(VLOOKUP(E2070,BD!$L$2:$Q$66,2,0),0)</f>
        <v>SAN LUIS SIN GAS PET2500X6 STICKER</v>
      </c>
      <c r="G2070" s="424">
        <v>144</v>
      </c>
      <c r="H2070" s="3">
        <f>+IFERROR(VLOOKUP(E2070,BD!$L$2:$Q$66,6,0),0)</f>
        <v>48</v>
      </c>
      <c r="I2070" s="96">
        <f>IFERROR(G2070*VLOOKUP($E2070,BD!$L$2:$Q$66,5,0),0)</f>
        <v>57.6</v>
      </c>
      <c r="J2070" s="3">
        <f t="shared" si="139"/>
        <v>2021</v>
      </c>
    </row>
    <row r="2071" spans="1:10" s="9" customFormat="1" hidden="1" x14ac:dyDescent="0.25">
      <c r="A2071" s="447">
        <v>44469</v>
      </c>
      <c r="B2071" s="55" t="str">
        <f t="shared" si="136"/>
        <v>SETIEMBRE</v>
      </c>
      <c r="C2071" s="55">
        <f t="shared" si="137"/>
        <v>40</v>
      </c>
      <c r="D2071" s="3" t="str">
        <f t="shared" si="138"/>
        <v>JUEVES</v>
      </c>
      <c r="E2071" s="427">
        <v>256674</v>
      </c>
      <c r="F2071" s="3" t="str">
        <f>IFERROR(VLOOKUP(E2071,BD!$L$2:$Q$66,2,0),0)</f>
        <v>COCA-COLA PET 1.5LX2 RF</v>
      </c>
      <c r="G2071" s="424">
        <v>648</v>
      </c>
      <c r="H2071" s="3">
        <f>+IFERROR(VLOOKUP(E2071,BD!$L$2:$Q$66,6,0),0)</f>
        <v>198</v>
      </c>
      <c r="I2071" s="96">
        <f>IFERROR(G2071*VLOOKUP($E2071,BD!$L$2:$Q$66,5,0),0)</f>
        <v>110.16000000000001</v>
      </c>
      <c r="J2071" s="3">
        <f t="shared" si="139"/>
        <v>2021</v>
      </c>
    </row>
    <row r="2072" spans="1:10" s="9" customFormat="1" hidden="1" x14ac:dyDescent="0.25">
      <c r="A2072" s="447">
        <v>44469</v>
      </c>
      <c r="B2072" s="55" t="str">
        <f t="shared" si="136"/>
        <v>SETIEMBRE</v>
      </c>
      <c r="C2072" s="55">
        <f t="shared" si="137"/>
        <v>40</v>
      </c>
      <c r="D2072" s="3" t="str">
        <f t="shared" si="138"/>
        <v>JUEVES</v>
      </c>
      <c r="E2072" s="427">
        <v>256676</v>
      </c>
      <c r="F2072" s="3" t="str">
        <f>IFERROR(VLOOKUP(E2072,BD!$L$2:$Q$66,2,0),0)</f>
        <v>TWO PACK CC PFM 3LX2 - RFCC</v>
      </c>
      <c r="G2072" s="424">
        <v>1200</v>
      </c>
      <c r="H2072" s="3">
        <f>+IFERROR(VLOOKUP(E2072,BD!$L$2:$Q$66,6,0),0)</f>
        <v>120</v>
      </c>
      <c r="I2072" s="96">
        <f>IFERROR(G2072*VLOOKUP($E2072,BD!$L$2:$Q$66,5,0),0)</f>
        <v>204.00000000000003</v>
      </c>
      <c r="J2072" s="3">
        <f t="shared" si="139"/>
        <v>2021</v>
      </c>
    </row>
    <row r="2073" spans="1:10" s="9" customFormat="1" hidden="1" x14ac:dyDescent="0.25">
      <c r="A2073" s="447">
        <v>44469</v>
      </c>
      <c r="B2073" s="55" t="str">
        <f t="shared" si="136"/>
        <v>SETIEMBRE</v>
      </c>
      <c r="C2073" s="55">
        <f t="shared" si="137"/>
        <v>40</v>
      </c>
      <c r="D2073" s="3" t="str">
        <f t="shared" si="138"/>
        <v>JUEVES</v>
      </c>
      <c r="E2073" s="427">
        <v>256677</v>
      </c>
      <c r="F2073" s="3" t="str">
        <f>IFERROR(VLOOKUP(E2073,BD!$L$2:$Q$66,2,0),0)</f>
        <v>TWO PACK CC + IK PFM 3LX2 - RFNN</v>
      </c>
      <c r="G2073" s="424">
        <v>2160</v>
      </c>
      <c r="H2073" s="3">
        <f>+IFERROR(VLOOKUP(E2073,BD!$L$2:$Q$66,6,0),0)</f>
        <v>120</v>
      </c>
      <c r="I2073" s="96">
        <f>IFERROR(G2073*VLOOKUP($E2073,BD!$L$2:$Q$66,5,0),0)</f>
        <v>367.20000000000005</v>
      </c>
      <c r="J2073" s="3">
        <f t="shared" si="139"/>
        <v>2021</v>
      </c>
    </row>
    <row r="2074" spans="1:10" s="9" customFormat="1" hidden="1" x14ac:dyDescent="0.25">
      <c r="A2074" s="447">
        <v>44469</v>
      </c>
      <c r="B2074" s="55" t="str">
        <f t="shared" si="136"/>
        <v>SETIEMBRE</v>
      </c>
      <c r="C2074" s="55">
        <f t="shared" si="137"/>
        <v>40</v>
      </c>
      <c r="D2074" s="3" t="str">
        <f t="shared" si="138"/>
        <v>JUEVES</v>
      </c>
      <c r="E2074" s="427">
        <v>256680</v>
      </c>
      <c r="F2074" s="3" t="str">
        <f>IFERROR(VLOOKUP(E2074,BD!$L$2:$Q$66,2,0),0)</f>
        <v>TRIPACK CC+CC+IK PFM 3LX3 - RFNN</v>
      </c>
      <c r="G2074" s="424">
        <v>180</v>
      </c>
      <c r="H2074" s="3">
        <f>+IFERROR(VLOOKUP(E2074,BD!$L$2:$Q$66,6,0),0)</f>
        <v>90</v>
      </c>
      <c r="I2074" s="96">
        <f>IFERROR(G2074*VLOOKUP($E2074,BD!$L$2:$Q$66,5,0),0)</f>
        <v>30.6</v>
      </c>
      <c r="J2074" s="3">
        <f t="shared" si="139"/>
        <v>2021</v>
      </c>
    </row>
    <row r="2075" spans="1:10" s="9" customFormat="1" hidden="1" x14ac:dyDescent="0.25">
      <c r="A2075" s="447">
        <v>44469</v>
      </c>
      <c r="B2075" s="55" t="str">
        <f t="shared" si="136"/>
        <v>SETIEMBRE</v>
      </c>
      <c r="C2075" s="55">
        <f t="shared" si="137"/>
        <v>40</v>
      </c>
      <c r="D2075" s="3" t="str">
        <f t="shared" si="138"/>
        <v>JUEVES</v>
      </c>
      <c r="E2075" s="427">
        <v>256678</v>
      </c>
      <c r="F2075" s="3" t="str">
        <f>IFERROR(VLOOKUP(E2075,BD!$L$2:$Q$66,2,0),0)</f>
        <v>TRIPACK (CC+IK)PFM+FT PET 3LX3 - RFNN</v>
      </c>
      <c r="G2075" s="424">
        <v>2160</v>
      </c>
      <c r="H2075" s="3">
        <f>+IFERROR(VLOOKUP(E2075,BD!$L$2:$Q$66,6,0),0)</f>
        <v>90</v>
      </c>
      <c r="I2075" s="96">
        <f>IFERROR(G2075*VLOOKUP($E2075,BD!$L$2:$Q$66,5,0),0)</f>
        <v>367.20000000000005</v>
      </c>
      <c r="J2075" s="3">
        <f t="shared" si="139"/>
        <v>2021</v>
      </c>
    </row>
    <row r="2076" spans="1:10" s="9" customFormat="1" hidden="1" x14ac:dyDescent="0.25">
      <c r="A2076" s="447">
        <v>44469</v>
      </c>
      <c r="B2076" s="55" t="str">
        <f t="shared" si="136"/>
        <v>SETIEMBRE</v>
      </c>
      <c r="C2076" s="55">
        <f t="shared" si="137"/>
        <v>40</v>
      </c>
      <c r="D2076" s="3" t="str">
        <f t="shared" si="138"/>
        <v>JUEVES</v>
      </c>
      <c r="E2076" s="427">
        <v>256652</v>
      </c>
      <c r="F2076" s="3" t="str">
        <f>IFERROR(VLOOKUP(E2076,BD!$L$2:$Q$66,2,0),0)</f>
        <v>TRIPACK FT NAR+FT KI+SP PET 3L</v>
      </c>
      <c r="G2076" s="424">
        <v>360</v>
      </c>
      <c r="H2076" s="3">
        <f>+IFERROR(VLOOKUP(E2076,BD!$L$2:$Q$66,6,0),0)</f>
        <v>90</v>
      </c>
      <c r="I2076" s="96">
        <f>IFERROR(G2076*VLOOKUP($E2076,BD!$L$2:$Q$66,5,0),0)</f>
        <v>61.2</v>
      </c>
      <c r="J2076" s="3">
        <f t="shared" si="139"/>
        <v>2021</v>
      </c>
    </row>
    <row r="2077" spans="1:10" s="9" customFormat="1" hidden="1" x14ac:dyDescent="0.25">
      <c r="A2077" s="447">
        <v>44469</v>
      </c>
      <c r="B2077" s="55" t="str">
        <f t="shared" si="136"/>
        <v>SETIEMBRE</v>
      </c>
      <c r="C2077" s="55">
        <f t="shared" si="137"/>
        <v>40</v>
      </c>
      <c r="D2077" s="3" t="str">
        <f t="shared" si="138"/>
        <v>JUEVES</v>
      </c>
      <c r="E2077" s="427">
        <v>256679</v>
      </c>
      <c r="F2077" s="3" t="str">
        <f>IFERROR(VLOOKUP(E2077,BD!$L$2:$Q$66,2,0),0)</f>
        <v>TRIPACK CC+IK+IK PFM 3LX3 - RFNN</v>
      </c>
      <c r="G2077" s="424">
        <v>360</v>
      </c>
      <c r="H2077" s="3">
        <f>+IFERROR(VLOOKUP(E2077,BD!$L$2:$Q$66,6,0),0)</f>
        <v>90</v>
      </c>
      <c r="I2077" s="96">
        <f>IFERROR(G2077*VLOOKUP($E2077,BD!$L$2:$Q$66,5,0),0)</f>
        <v>61.2</v>
      </c>
      <c r="J2077" s="3">
        <f t="shared" si="139"/>
        <v>2021</v>
      </c>
    </row>
    <row r="2078" spans="1:10" s="9" customFormat="1" hidden="1" x14ac:dyDescent="0.25">
      <c r="A2078" s="447">
        <v>44469</v>
      </c>
      <c r="B2078" s="55" t="str">
        <f t="shared" si="136"/>
        <v>SETIEMBRE</v>
      </c>
      <c r="C2078" s="55">
        <f t="shared" si="137"/>
        <v>40</v>
      </c>
      <c r="D2078" s="3" t="str">
        <f t="shared" si="138"/>
        <v>JUEVES</v>
      </c>
      <c r="E2078" s="427">
        <v>751315</v>
      </c>
      <c r="F2078" s="3" t="str">
        <f>IFERROR(VLOOKUP(E2078,BD!$L$2:$Q$66,2,0),0)</f>
        <v>MONSTER ENERGY 473MLX4</v>
      </c>
      <c r="G2078" s="424">
        <v>2100</v>
      </c>
      <c r="H2078" s="3">
        <f>+IFERROR(VLOOKUP(E2078,BD!$L$2:$Q$66,6,0),0)</f>
        <v>420</v>
      </c>
      <c r="I2078" s="96">
        <f>IFERROR(G2078*VLOOKUP($E2078,BD!$L$2:$Q$66,5,0),0)</f>
        <v>882</v>
      </c>
      <c r="J2078" s="3">
        <f t="shared" si="139"/>
        <v>2021</v>
      </c>
    </row>
    <row r="2079" spans="1:10" s="9" customFormat="1" hidden="1" x14ac:dyDescent="0.25">
      <c r="A2079" s="447">
        <v>44469</v>
      </c>
      <c r="B2079" s="55" t="str">
        <f t="shared" si="136"/>
        <v>SETIEMBRE</v>
      </c>
      <c r="C2079" s="55">
        <f t="shared" si="137"/>
        <v>40</v>
      </c>
      <c r="D2079" s="3" t="str">
        <f t="shared" si="138"/>
        <v>JUEVES</v>
      </c>
      <c r="E2079" s="427">
        <v>251406</v>
      </c>
      <c r="F2079" s="3" t="str">
        <f>IFERROR(VLOOKUP(E2079,BD!$L$2:$Q$66,2,0),0)</f>
        <v>COCA-COLA SIN AZUCAR PET 1.5LX2</v>
      </c>
      <c r="G2079" s="424">
        <v>864</v>
      </c>
      <c r="H2079" s="3">
        <f>+IFERROR(VLOOKUP(E2079,BD!$L$2:$Q$66,6,0),0)</f>
        <v>198</v>
      </c>
      <c r="I2079" s="96">
        <f>IFERROR(G2079*VLOOKUP($E2079,BD!$L$2:$Q$66,5,0),0)</f>
        <v>146.88000000000002</v>
      </c>
      <c r="J2079" s="3">
        <f t="shared" si="139"/>
        <v>2021</v>
      </c>
    </row>
    <row r="2080" spans="1:10" s="9" customFormat="1" hidden="1" x14ac:dyDescent="0.25">
      <c r="A2080" s="447">
        <v>44469</v>
      </c>
      <c r="B2080" s="55" t="str">
        <f t="shared" si="136"/>
        <v>SETIEMBRE</v>
      </c>
      <c r="C2080" s="55">
        <f t="shared" si="137"/>
        <v>40</v>
      </c>
      <c r="D2080" s="3" t="str">
        <f t="shared" si="138"/>
        <v>JUEVES</v>
      </c>
      <c r="E2080" s="427">
        <v>254853</v>
      </c>
      <c r="F2080" s="3" t="str">
        <f>IFERROR(VLOOKUP(E2080,BD!$L$2:$Q$66,2,0),0)</f>
        <v>INCA KOLA SIN AZUCAR PET 1.5LX2</v>
      </c>
      <c r="G2080" s="424">
        <v>1512</v>
      </c>
      <c r="H2080" s="3">
        <f>+IFERROR(VLOOKUP(E2080,BD!$L$2:$Q$66,6,0),0)</f>
        <v>198</v>
      </c>
      <c r="I2080" s="96">
        <f>IFERROR(G2080*VLOOKUP($E2080,BD!$L$2:$Q$66,5,0),0)</f>
        <v>257.04000000000002</v>
      </c>
      <c r="J2080" s="3">
        <f t="shared" si="139"/>
        <v>2021</v>
      </c>
    </row>
    <row r="2081" spans="1:10" s="9" customFormat="1" hidden="1" x14ac:dyDescent="0.25">
      <c r="A2081" s="447">
        <v>44469</v>
      </c>
      <c r="B2081" s="55" t="str">
        <f t="shared" si="136"/>
        <v>SETIEMBRE</v>
      </c>
      <c r="C2081" s="55">
        <f t="shared" si="137"/>
        <v>40</v>
      </c>
      <c r="D2081" s="3" t="str">
        <f t="shared" si="138"/>
        <v>JUEVES</v>
      </c>
      <c r="E2081" s="427">
        <v>256488</v>
      </c>
      <c r="F2081" s="3" t="str">
        <f>IFERROR(VLOOKUP(E2081,BD!$L$2:$Q$66,2,0),0)</f>
        <v>INCA KOLA PET 3LX2 - RF</v>
      </c>
      <c r="G2081" s="424">
        <v>840</v>
      </c>
      <c r="H2081" s="3">
        <f>+IFERROR(VLOOKUP(E2081,BD!$L$2:$Q$66,6,0),0)</f>
        <v>120</v>
      </c>
      <c r="I2081" s="96">
        <f>IFERROR(G2081*VLOOKUP($E2081,BD!$L$2:$Q$66,5,0),0)</f>
        <v>142.80000000000001</v>
      </c>
      <c r="J2081" s="3">
        <f t="shared" si="139"/>
        <v>2021</v>
      </c>
    </row>
    <row r="2082" spans="1:10" s="9" customFormat="1" hidden="1" x14ac:dyDescent="0.25">
      <c r="A2082" s="447">
        <v>44469</v>
      </c>
      <c r="B2082" s="55" t="str">
        <f t="shared" si="136"/>
        <v>SETIEMBRE</v>
      </c>
      <c r="C2082" s="55">
        <f t="shared" si="137"/>
        <v>40</v>
      </c>
      <c r="D2082" s="3" t="str">
        <f t="shared" si="138"/>
        <v>JUEVES</v>
      </c>
      <c r="E2082" s="427">
        <v>256381</v>
      </c>
      <c r="F2082" s="3" t="str">
        <f>IFERROR(VLOOKUP(E2082,BD!$L$2:$Q$66,2,0),0)</f>
        <v>INCA KOLA VR 1.5LX8 - STICKER</v>
      </c>
      <c r="G2082" s="424">
        <v>120</v>
      </c>
      <c r="H2082" s="3">
        <f>+IFERROR(VLOOKUP(E2082,BD!$L$2:$Q$66,6,0),0)</f>
        <v>30</v>
      </c>
      <c r="I2082" s="96">
        <f>IFERROR(G2082*VLOOKUP($E2082,BD!$L$2:$Q$66,5,0),0)</f>
        <v>48</v>
      </c>
      <c r="J2082" s="3">
        <f t="shared" si="139"/>
        <v>2021</v>
      </c>
    </row>
    <row r="2083" spans="1:10" s="9" customFormat="1" hidden="1" x14ac:dyDescent="0.25">
      <c r="A2083" s="447">
        <v>44469</v>
      </c>
      <c r="B2083" s="55" t="str">
        <f t="shared" si="136"/>
        <v>SETIEMBRE</v>
      </c>
      <c r="C2083" s="55">
        <f t="shared" si="137"/>
        <v>40</v>
      </c>
      <c r="D2083" s="3" t="str">
        <f t="shared" si="138"/>
        <v>JUEVES</v>
      </c>
      <c r="E2083" s="427">
        <v>256709</v>
      </c>
      <c r="F2083" s="3" t="str">
        <f>IFERROR(VLOOKUP(E2083,BD!$L$2:$Q$66,2,0),0)</f>
        <v>POWERADE ION4 MORA AZ PET473X6 MOD(STCK)</v>
      </c>
      <c r="G2083" s="424">
        <v>225</v>
      </c>
      <c r="H2083" s="3">
        <f>+IFERROR(VLOOKUP(E2083,BD!$L$2:$Q$66,6,0),0)</f>
        <v>225</v>
      </c>
      <c r="I2083" s="96">
        <f>IFERROR(G2083*VLOOKUP($E2083,BD!$L$2:$Q$66,5,0),0)</f>
        <v>90</v>
      </c>
      <c r="J2083" s="3">
        <f t="shared" si="139"/>
        <v>2021</v>
      </c>
    </row>
    <row r="2084" spans="1:10" s="9" customFormat="1" hidden="1" x14ac:dyDescent="0.25">
      <c r="A2084" s="447">
        <v>44469</v>
      </c>
      <c r="B2084" s="55" t="str">
        <f t="shared" si="136"/>
        <v>SETIEMBRE</v>
      </c>
      <c r="C2084" s="55">
        <f t="shared" si="137"/>
        <v>40</v>
      </c>
      <c r="D2084" s="3" t="str">
        <f t="shared" si="138"/>
        <v>JUEVES</v>
      </c>
      <c r="E2084" s="427">
        <v>256708</v>
      </c>
      <c r="F2084" s="3" t="str">
        <f>IFERROR(VLOOKUP(E2084,BD!$L$2:$Q$66,2,0),0)</f>
        <v>POWERADE ION4 FRUTA PET473X6 MOD (STICK)</v>
      </c>
      <c r="G2084" s="424">
        <v>900</v>
      </c>
      <c r="H2084" s="3">
        <f>+IFERROR(VLOOKUP(E2084,BD!$L$2:$Q$66,6,0),0)</f>
        <v>225</v>
      </c>
      <c r="I2084" s="96">
        <f>IFERROR(G2084*VLOOKUP($E2084,BD!$L$2:$Q$66,5,0),0)</f>
        <v>360</v>
      </c>
      <c r="J2084" s="3">
        <f t="shared" si="139"/>
        <v>2021</v>
      </c>
    </row>
    <row r="2085" spans="1:10" s="9" customFormat="1" hidden="1" x14ac:dyDescent="0.25">
      <c r="A2085" s="447">
        <v>44469</v>
      </c>
      <c r="B2085" s="55" t="str">
        <f t="shared" si="136"/>
        <v>SETIEMBRE</v>
      </c>
      <c r="C2085" s="55">
        <f t="shared" si="137"/>
        <v>40</v>
      </c>
      <c r="D2085" s="3" t="str">
        <f t="shared" si="138"/>
        <v>JUEVES</v>
      </c>
      <c r="E2085" s="427">
        <v>251429</v>
      </c>
      <c r="F2085" s="3" t="str">
        <f>IFERROR(VLOOKUP(E2085,BD!$L$2:$Q$66,2,0),0)</f>
        <v>SAN LUIS SIN GAS PET2500X6 STICKER</v>
      </c>
      <c r="G2085" s="424">
        <v>480</v>
      </c>
      <c r="H2085" s="3">
        <f>+IFERROR(VLOOKUP(E2085,BD!$L$2:$Q$66,6,0),0)</f>
        <v>48</v>
      </c>
      <c r="I2085" s="96">
        <f>IFERROR(G2085*VLOOKUP($E2085,BD!$L$2:$Q$66,5,0),0)</f>
        <v>192</v>
      </c>
      <c r="J2085" s="3">
        <f t="shared" si="139"/>
        <v>2021</v>
      </c>
    </row>
    <row r="2086" spans="1:10" s="9" customFormat="1" hidden="1" x14ac:dyDescent="0.25">
      <c r="A2086" s="447">
        <v>44469</v>
      </c>
      <c r="B2086" s="55" t="str">
        <f t="shared" si="136"/>
        <v>SETIEMBRE</v>
      </c>
      <c r="C2086" s="55">
        <f t="shared" si="137"/>
        <v>40</v>
      </c>
      <c r="D2086" s="3" t="str">
        <f t="shared" si="138"/>
        <v>JUEVES</v>
      </c>
      <c r="E2086" s="427">
        <v>256674</v>
      </c>
      <c r="F2086" s="3" t="str">
        <f>IFERROR(VLOOKUP(E2086,BD!$L$2:$Q$66,2,0),0)</f>
        <v>COCA-COLA PET 1.5LX2 RF</v>
      </c>
      <c r="G2086" s="424">
        <v>1080</v>
      </c>
      <c r="H2086" s="3">
        <f>+IFERROR(VLOOKUP(E2086,BD!$L$2:$Q$66,6,0),0)</f>
        <v>198</v>
      </c>
      <c r="I2086" s="96">
        <f>IFERROR(G2086*VLOOKUP($E2086,BD!$L$2:$Q$66,5,0),0)</f>
        <v>183.60000000000002</v>
      </c>
      <c r="J2086" s="3">
        <f t="shared" si="139"/>
        <v>2021</v>
      </c>
    </row>
    <row r="2087" spans="1:10" s="9" customFormat="1" hidden="1" x14ac:dyDescent="0.25">
      <c r="A2087" s="447">
        <v>44469</v>
      </c>
      <c r="B2087" s="55" t="str">
        <f t="shared" si="136"/>
        <v>SETIEMBRE</v>
      </c>
      <c r="C2087" s="55">
        <f t="shared" si="137"/>
        <v>40</v>
      </c>
      <c r="D2087" s="3" t="str">
        <f t="shared" si="138"/>
        <v>JUEVES</v>
      </c>
      <c r="E2087" s="427">
        <v>256674</v>
      </c>
      <c r="F2087" s="3" t="str">
        <f>IFERROR(VLOOKUP(E2087,BD!$L$2:$Q$66,2,0),0)</f>
        <v>COCA-COLA PET 1.5LX2 RF</v>
      </c>
      <c r="G2087" s="424">
        <v>864</v>
      </c>
      <c r="H2087" s="3">
        <f>+IFERROR(VLOOKUP(E2087,BD!$L$2:$Q$66,6,0),0)</f>
        <v>198</v>
      </c>
      <c r="I2087" s="96">
        <f>IFERROR(G2087*VLOOKUP($E2087,BD!$L$2:$Q$66,5,0),0)</f>
        <v>146.88000000000002</v>
      </c>
      <c r="J2087" s="3">
        <f t="shared" si="139"/>
        <v>2021</v>
      </c>
    </row>
    <row r="2088" spans="1:10" s="9" customFormat="1" hidden="1" x14ac:dyDescent="0.25">
      <c r="A2088" s="447">
        <v>44469</v>
      </c>
      <c r="B2088" s="55" t="str">
        <f t="shared" si="136"/>
        <v>SETIEMBRE</v>
      </c>
      <c r="C2088" s="55">
        <f t="shared" si="137"/>
        <v>40</v>
      </c>
      <c r="D2088" s="3" t="str">
        <f t="shared" si="138"/>
        <v>JUEVES</v>
      </c>
      <c r="E2088" s="427">
        <v>256617</v>
      </c>
      <c r="F2088" s="3" t="str">
        <f>IFERROR(VLOOKUP(E2088,BD!$L$2:$Q$66,2,0),0)</f>
        <v>TWO PACK SCHWEPPES GINGER ALE PET 1.5LX2</v>
      </c>
      <c r="G2088" s="424">
        <v>396</v>
      </c>
      <c r="H2088" s="3">
        <f>+IFERROR(VLOOKUP(E2088,BD!$L$2:$Q$66,6,0),0)</f>
        <v>198</v>
      </c>
      <c r="I2088" s="96">
        <f>IFERROR(G2088*VLOOKUP($E2088,BD!$L$2:$Q$66,5,0),0)</f>
        <v>67.320000000000007</v>
      </c>
      <c r="J2088" s="3">
        <f t="shared" si="139"/>
        <v>2021</v>
      </c>
    </row>
    <row r="2089" spans="1:10" s="9" customFormat="1" hidden="1" x14ac:dyDescent="0.25">
      <c r="A2089" s="447">
        <v>44469</v>
      </c>
      <c r="B2089" s="55" t="str">
        <f t="shared" si="136"/>
        <v>SETIEMBRE</v>
      </c>
      <c r="C2089" s="55">
        <f t="shared" si="137"/>
        <v>40</v>
      </c>
      <c r="D2089" s="3" t="str">
        <f t="shared" si="138"/>
        <v>JUEVES</v>
      </c>
      <c r="E2089" s="427">
        <v>256616</v>
      </c>
      <c r="F2089" s="3" t="str">
        <f>IFERROR(VLOOKUP(E2089,BD!$L$2:$Q$66,2,0),0)</f>
        <v>TWO PACK SCHWEPPES CITRUS PET 1.5LX2</v>
      </c>
      <c r="G2089" s="424">
        <v>396</v>
      </c>
      <c r="H2089" s="3">
        <f>+IFERROR(VLOOKUP(E2089,BD!$L$2:$Q$66,6,0),0)</f>
        <v>198</v>
      </c>
      <c r="I2089" s="96">
        <f>IFERROR(G2089*VLOOKUP($E2089,BD!$L$2:$Q$66,5,0),0)</f>
        <v>67.320000000000007</v>
      </c>
      <c r="J2089" s="3">
        <f t="shared" si="139"/>
        <v>2021</v>
      </c>
    </row>
    <row r="2090" spans="1:10" s="9" customFormat="1" hidden="1" x14ac:dyDescent="0.25">
      <c r="A2090" s="447">
        <v>44469</v>
      </c>
      <c r="B2090" s="55" t="str">
        <f t="shared" si="136"/>
        <v>SETIEMBRE</v>
      </c>
      <c r="C2090" s="55">
        <f t="shared" si="137"/>
        <v>40</v>
      </c>
      <c r="D2090" s="3" t="str">
        <f t="shared" si="138"/>
        <v>JUEVES</v>
      </c>
      <c r="E2090" s="427">
        <v>254853</v>
      </c>
      <c r="F2090" s="3" t="str">
        <f>IFERROR(VLOOKUP(E2090,BD!$L$2:$Q$66,2,0),0)</f>
        <v>INCA KOLA SIN AZUCAR PET 1.5LX2</v>
      </c>
      <c r="G2090" s="424">
        <v>432</v>
      </c>
      <c r="H2090" s="3">
        <f>+IFERROR(VLOOKUP(E2090,BD!$L$2:$Q$66,6,0),0)</f>
        <v>198</v>
      </c>
      <c r="I2090" s="96">
        <f>IFERROR(G2090*VLOOKUP($E2090,BD!$L$2:$Q$66,5,0),0)</f>
        <v>73.440000000000012</v>
      </c>
      <c r="J2090" s="3">
        <f t="shared" si="139"/>
        <v>2021</v>
      </c>
    </row>
    <row r="2091" spans="1:10" s="9" customFormat="1" hidden="1" x14ac:dyDescent="0.25">
      <c r="A2091" s="511">
        <v>44469</v>
      </c>
      <c r="B2091" s="57" t="str">
        <f t="shared" si="136"/>
        <v>SETIEMBRE</v>
      </c>
      <c r="C2091" s="57">
        <f t="shared" si="137"/>
        <v>40</v>
      </c>
      <c r="D2091" s="33" t="str">
        <f t="shared" si="138"/>
        <v>JUEVES</v>
      </c>
      <c r="E2091" s="470">
        <v>256666</v>
      </c>
      <c r="F2091" s="33" t="str">
        <f>IFERROR(VLOOKUP(E2091,BD!$L$2:$Q$66,2,0),0)</f>
        <v>COCA-COLA PET 2.25LX2 RF</v>
      </c>
      <c r="G2091" s="512">
        <v>486</v>
      </c>
      <c r="H2091" s="33">
        <f>+IFERROR(VLOOKUP(E2091,BD!$L$2:$Q$66,6,0),0)</f>
        <v>162</v>
      </c>
      <c r="I2091" s="499">
        <f>IFERROR(G2091*VLOOKUP($E2091,BD!$L$2:$Q$66,5,0),0)</f>
        <v>82.62</v>
      </c>
      <c r="J2091" s="33">
        <f t="shared" si="139"/>
        <v>2021</v>
      </c>
    </row>
    <row r="2092" spans="1:10" s="9" customFormat="1" hidden="1" x14ac:dyDescent="0.25">
      <c r="A2092" s="493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63">
        <v>256667</v>
      </c>
      <c r="F2092" s="6">
        <f>IFERROR(VLOOKUP(E2092,BD!$L$2:$Q$66,2,0),0)</f>
        <v>0</v>
      </c>
      <c r="G2092" s="513">
        <v>137</v>
      </c>
      <c r="H2092" s="6">
        <f>+IFERROR(VLOOKUP(E2092,BD!$L$2:$Q$66,6,0),0)</f>
        <v>0</v>
      </c>
      <c r="I2092" s="97">
        <f>IFERROR(G2092*VLOOKUP($E2092,BD!$L$2:$Q$66,5,0),0)</f>
        <v>0</v>
      </c>
      <c r="J2092" s="109">
        <f t="shared" si="139"/>
        <v>2021</v>
      </c>
    </row>
    <row r="2093" spans="1:10" s="9" customFormat="1" hidden="1" x14ac:dyDescent="0.25">
      <c r="A2093" s="491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7">
        <v>256625</v>
      </c>
      <c r="F2093" s="3">
        <f>IFERROR(VLOOKUP(E2093,BD!$L$2:$Q$66,2,0),0)</f>
        <v>0</v>
      </c>
      <c r="G2093" s="424">
        <v>29</v>
      </c>
      <c r="H2093" s="3">
        <f>+IFERROR(VLOOKUP(E2093,BD!$L$2:$Q$66,6,0),0)</f>
        <v>0</v>
      </c>
      <c r="I2093" s="96">
        <f>IFERROR(G2093*VLOOKUP($E2093,BD!$L$2:$Q$66,5,0),0)</f>
        <v>0</v>
      </c>
      <c r="J2093" s="5">
        <f t="shared" si="139"/>
        <v>2021</v>
      </c>
    </row>
    <row r="2094" spans="1:10" s="9" customFormat="1" ht="15.75" hidden="1" thickBot="1" x14ac:dyDescent="0.3">
      <c r="A2094" s="492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9">
        <v>254734</v>
      </c>
      <c r="F2094" s="8">
        <f>IFERROR(VLOOKUP(E2094,BD!$L$2:$Q$66,2,0),0)</f>
        <v>0</v>
      </c>
      <c r="G2094" s="501">
        <v>66</v>
      </c>
      <c r="H2094" s="8">
        <f>+IFERROR(VLOOKUP(E2094,BD!$L$2:$Q$66,6,0),0)</f>
        <v>0</v>
      </c>
      <c r="I2094" s="98">
        <f>IFERROR(G2094*VLOOKUP($E2094,BD!$L$2:$Q$66,5,0),0)</f>
        <v>0</v>
      </c>
      <c r="J2094" s="110">
        <f t="shared" si="139"/>
        <v>2021</v>
      </c>
    </row>
    <row r="2095" spans="1:10" s="9" customFormat="1" hidden="1" x14ac:dyDescent="0.25">
      <c r="A2095" s="493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63">
        <v>256674</v>
      </c>
      <c r="F2095" s="6" t="str">
        <f>IFERROR(VLOOKUP(E2095,BD!$L$2:$Q$66,2,0),0)</f>
        <v>COCA-COLA PET 1.5LX2 RF</v>
      </c>
      <c r="G2095" s="513">
        <f>216*4</f>
        <v>864</v>
      </c>
      <c r="H2095" s="6">
        <f>+IFERROR(VLOOKUP(E2095,BD!$L$2:$Q$66,6,0),0)</f>
        <v>198</v>
      </c>
      <c r="I2095" s="97">
        <f>IFERROR(G2095*VLOOKUP($E2095,BD!$L$2:$Q$66,5,0),0)</f>
        <v>146.88000000000002</v>
      </c>
      <c r="J2095" s="109">
        <f t="shared" si="139"/>
        <v>2021</v>
      </c>
    </row>
    <row r="2096" spans="1:10" s="9" customFormat="1" hidden="1" x14ac:dyDescent="0.25">
      <c r="A2096" s="491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7">
        <v>256677</v>
      </c>
      <c r="F2096" s="3" t="str">
        <f>IFERROR(VLOOKUP(E2096,BD!$L$2:$Q$66,2,0),0)</f>
        <v>TWO PACK CC + IK PFM 3LX2 - RFNN</v>
      </c>
      <c r="G2096" s="424">
        <f>120*14</f>
        <v>1680</v>
      </c>
      <c r="H2096" s="3">
        <f>+IFERROR(VLOOKUP(E2096,BD!$L$2:$Q$66,6,0),0)</f>
        <v>120</v>
      </c>
      <c r="I2096" s="96">
        <f>IFERROR(G2096*VLOOKUP($E2096,BD!$L$2:$Q$66,5,0),0)</f>
        <v>285.60000000000002</v>
      </c>
      <c r="J2096" s="5">
        <f t="shared" si="139"/>
        <v>2021</v>
      </c>
    </row>
    <row r="2097" spans="1:10" s="9" customFormat="1" hidden="1" x14ac:dyDescent="0.25">
      <c r="A2097" s="491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7">
        <v>256676</v>
      </c>
      <c r="F2097" s="3" t="str">
        <f>IFERROR(VLOOKUP(E2097,BD!$L$2:$Q$66,2,0),0)</f>
        <v>TWO PACK CC PFM 3LX2 - RFCC</v>
      </c>
      <c r="G2097" s="424">
        <f>120*8</f>
        <v>960</v>
      </c>
      <c r="H2097" s="3">
        <f>+IFERROR(VLOOKUP(E2097,BD!$L$2:$Q$66,6,0),0)</f>
        <v>120</v>
      </c>
      <c r="I2097" s="96">
        <f>IFERROR(G2097*VLOOKUP($E2097,BD!$L$2:$Q$66,5,0),0)</f>
        <v>163.20000000000002</v>
      </c>
      <c r="J2097" s="5">
        <f t="shared" si="139"/>
        <v>2021</v>
      </c>
    </row>
    <row r="2098" spans="1:10" s="9" customFormat="1" hidden="1" x14ac:dyDescent="0.25">
      <c r="A2098" s="491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7">
        <v>251406</v>
      </c>
      <c r="F2098" s="3" t="str">
        <f>IFERROR(VLOOKUP(E2098,BD!$L$2:$Q$66,2,0),0)</f>
        <v>COCA-COLA SIN AZUCAR PET 1.5LX2</v>
      </c>
      <c r="G2098" s="424">
        <f>216*9</f>
        <v>1944</v>
      </c>
      <c r="H2098" s="3">
        <f>+IFERROR(VLOOKUP(E2098,BD!$L$2:$Q$66,6,0),0)</f>
        <v>198</v>
      </c>
      <c r="I2098" s="96">
        <f>IFERROR(G2098*VLOOKUP($E2098,BD!$L$2:$Q$66,5,0),0)</f>
        <v>330.48</v>
      </c>
      <c r="J2098" s="5">
        <f t="shared" si="139"/>
        <v>2021</v>
      </c>
    </row>
    <row r="2099" spans="1:10" s="9" customFormat="1" hidden="1" x14ac:dyDescent="0.25">
      <c r="A2099" s="491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7">
        <v>251429</v>
      </c>
      <c r="F2099" s="3" t="str">
        <f>IFERROR(VLOOKUP(E2099,BD!$L$2:$Q$66,2,0),0)</f>
        <v>SAN LUIS SIN GAS PET2500X6 STICKER</v>
      </c>
      <c r="G2099" s="424">
        <f>48*6</f>
        <v>288</v>
      </c>
      <c r="H2099" s="3">
        <f>+IFERROR(VLOOKUP(E2099,BD!$L$2:$Q$66,6,0),0)</f>
        <v>48</v>
      </c>
      <c r="I2099" s="96">
        <f>IFERROR(G2099*VLOOKUP($E2099,BD!$L$2:$Q$66,5,0),0)</f>
        <v>115.2</v>
      </c>
      <c r="J2099" s="5">
        <f t="shared" si="139"/>
        <v>2021</v>
      </c>
    </row>
    <row r="2100" spans="1:10" s="9" customFormat="1" hidden="1" x14ac:dyDescent="0.25">
      <c r="A2100" s="491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7">
        <v>256488</v>
      </c>
      <c r="F2100" s="3" t="str">
        <f>IFERROR(VLOOKUP(E2100,BD!$L$2:$Q$66,2,0),0)</f>
        <v>INCA KOLA PET 3LX2 - RF</v>
      </c>
      <c r="G2100" s="424">
        <f>120*13</f>
        <v>1560</v>
      </c>
      <c r="H2100" s="3">
        <f>+IFERROR(VLOOKUP(E2100,BD!$L$2:$Q$66,6,0),0)</f>
        <v>120</v>
      </c>
      <c r="I2100" s="96">
        <f>IFERROR(G2100*VLOOKUP($E2100,BD!$L$2:$Q$66,5,0),0)</f>
        <v>265.20000000000005</v>
      </c>
      <c r="J2100" s="5">
        <f t="shared" si="139"/>
        <v>2021</v>
      </c>
    </row>
    <row r="2101" spans="1:10" s="9" customFormat="1" hidden="1" x14ac:dyDescent="0.25">
      <c r="A2101" s="491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7">
        <v>256383</v>
      </c>
      <c r="F2101" s="3" t="str">
        <f>IFERROR(VLOOKUP(E2101,BD!$L$2:$Q$66,2,0),0)</f>
        <v>COCA COLA VR 1.5LX8 - STICKER</v>
      </c>
      <c r="G2101" s="424">
        <f>30*2</f>
        <v>60</v>
      </c>
      <c r="H2101" s="3">
        <f>+IFERROR(VLOOKUP(E2101,BD!$L$2:$Q$66,6,0),0)</f>
        <v>30</v>
      </c>
      <c r="I2101" s="96">
        <f>IFERROR(G2101*VLOOKUP($E2101,BD!$L$2:$Q$66,5,0),0)</f>
        <v>13.8</v>
      </c>
      <c r="J2101" s="5">
        <f t="shared" si="139"/>
        <v>2021</v>
      </c>
    </row>
    <row r="2102" spans="1:10" s="9" customFormat="1" hidden="1" x14ac:dyDescent="0.25">
      <c r="A2102" s="491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7">
        <v>256381</v>
      </c>
      <c r="F2102" s="3" t="str">
        <f>IFERROR(VLOOKUP(E2102,BD!$L$2:$Q$66,2,0),0)</f>
        <v>INCA KOLA VR 1.5LX8 - STICKER</v>
      </c>
      <c r="G2102" s="424">
        <f>30*2</f>
        <v>60</v>
      </c>
      <c r="H2102" s="3">
        <f>+IFERROR(VLOOKUP(E2102,BD!$L$2:$Q$66,6,0),0)</f>
        <v>30</v>
      </c>
      <c r="I2102" s="96">
        <f>IFERROR(G2102*VLOOKUP($E2102,BD!$L$2:$Q$66,5,0),0)</f>
        <v>24</v>
      </c>
      <c r="J2102" s="5">
        <f t="shared" si="139"/>
        <v>2021</v>
      </c>
    </row>
    <row r="2103" spans="1:10" s="9" customFormat="1" hidden="1" x14ac:dyDescent="0.25">
      <c r="A2103" s="491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7">
        <v>256379</v>
      </c>
      <c r="F2103" s="3" t="str">
        <f>IFERROR(VLOOKUP(E2103,BD!$L$2:$Q$66,2,0),0)</f>
        <v>INCA KOLA VR 625MLX12 - STICKER</v>
      </c>
      <c r="G2103" s="424">
        <f>50*2</f>
        <v>100</v>
      </c>
      <c r="H2103" s="3">
        <f>+IFERROR(VLOOKUP(E2103,BD!$L$2:$Q$66,6,0),0)</f>
        <v>50</v>
      </c>
      <c r="I2103" s="96">
        <f>IFERROR(G2103*VLOOKUP($E2103,BD!$L$2:$Q$66,5,0),0)</f>
        <v>40</v>
      </c>
      <c r="J2103" s="5">
        <f t="shared" si="139"/>
        <v>2021</v>
      </c>
    </row>
    <row r="2104" spans="1:10" s="9" customFormat="1" hidden="1" x14ac:dyDescent="0.25">
      <c r="A2104" s="491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7">
        <v>256652</v>
      </c>
      <c r="F2104" s="3" t="str">
        <f>IFERROR(VLOOKUP(E2104,BD!$L$2:$Q$66,2,0),0)</f>
        <v>TRIPACK FT NAR+FT KI+SP PET 3L</v>
      </c>
      <c r="G2104" s="424">
        <f>90*2</f>
        <v>180</v>
      </c>
      <c r="H2104" s="3">
        <f>+IFERROR(VLOOKUP(E2104,BD!$L$2:$Q$66,6,0),0)</f>
        <v>90</v>
      </c>
      <c r="I2104" s="96">
        <f>IFERROR(G2104*VLOOKUP($E2104,BD!$L$2:$Q$66,5,0),0)</f>
        <v>30.6</v>
      </c>
      <c r="J2104" s="5">
        <f t="shared" si="139"/>
        <v>2021</v>
      </c>
    </row>
    <row r="2105" spans="1:10" s="9" customFormat="1" hidden="1" x14ac:dyDescent="0.25">
      <c r="A2105" s="491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7">
        <v>256709</v>
      </c>
      <c r="F2105" s="3" t="str">
        <f>IFERROR(VLOOKUP(E2105,BD!$L$2:$Q$66,2,0),0)</f>
        <v>POWERADE ION4 MORA AZ PET473X6 MOD(STCK)</v>
      </c>
      <c r="G2105" s="424">
        <f>225*2</f>
        <v>450</v>
      </c>
      <c r="H2105" s="3">
        <f>+IFERROR(VLOOKUP(E2105,BD!$L$2:$Q$66,6,0),0)</f>
        <v>225</v>
      </c>
      <c r="I2105" s="96">
        <f>IFERROR(G2105*VLOOKUP($E2105,BD!$L$2:$Q$66,5,0),0)</f>
        <v>180</v>
      </c>
      <c r="J2105" s="5">
        <f t="shared" si="139"/>
        <v>2021</v>
      </c>
    </row>
    <row r="2106" spans="1:10" s="9" customFormat="1" hidden="1" x14ac:dyDescent="0.25">
      <c r="A2106" s="491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7">
        <v>256678</v>
      </c>
      <c r="F2106" s="3" t="str">
        <f>IFERROR(VLOOKUP(E2106,BD!$L$2:$Q$66,2,0),0)</f>
        <v>TRIPACK (CC+IK)PFM+FT PET 3LX3 - RFNN</v>
      </c>
      <c r="G2106" s="424">
        <f>90*3</f>
        <v>270</v>
      </c>
      <c r="H2106" s="3">
        <f>+IFERROR(VLOOKUP(E2106,BD!$L$2:$Q$66,6,0),0)</f>
        <v>90</v>
      </c>
      <c r="I2106" s="96">
        <f>IFERROR(G2106*VLOOKUP($E2106,BD!$L$2:$Q$66,5,0),0)</f>
        <v>45.900000000000006</v>
      </c>
      <c r="J2106" s="5">
        <f t="shared" si="139"/>
        <v>2021</v>
      </c>
    </row>
    <row r="2107" spans="1:10" s="9" customFormat="1" hidden="1" x14ac:dyDescent="0.25">
      <c r="A2107" s="491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7">
        <v>256708</v>
      </c>
      <c r="F2107" s="3" t="str">
        <f>IFERROR(VLOOKUP(E2107,BD!$L$2:$Q$66,2,0),0)</f>
        <v>POWERADE ION4 FRUTA PET473X6 MOD (STICK)</v>
      </c>
      <c r="G2107" s="424">
        <f>225*3</f>
        <v>675</v>
      </c>
      <c r="H2107" s="3">
        <f>+IFERROR(VLOOKUP(E2107,BD!$L$2:$Q$66,6,0),0)</f>
        <v>225</v>
      </c>
      <c r="I2107" s="96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hidden="1" x14ac:dyDescent="0.25">
      <c r="A2108" s="491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7">
        <v>256616</v>
      </c>
      <c r="F2108" s="3" t="str">
        <f>IFERROR(VLOOKUP(E2108,BD!$L$2:$Q$66,2,0),0)</f>
        <v>TWO PACK SCHWEPPES CITRUS PET 1.5LX2</v>
      </c>
      <c r="G2108" s="424">
        <f>198*4</f>
        <v>792</v>
      </c>
      <c r="H2108" s="3">
        <f>+IFERROR(VLOOKUP(E2108,BD!$L$2:$Q$66,6,0),0)</f>
        <v>198</v>
      </c>
      <c r="I2108" s="96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hidden="1" thickBot="1" x14ac:dyDescent="0.3">
      <c r="A2109" s="492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9">
        <v>256617</v>
      </c>
      <c r="F2109" s="8" t="str">
        <f>IFERROR(VLOOKUP(E2109,BD!$L$2:$Q$66,2,0),0)</f>
        <v>TWO PACK SCHWEPPES GINGER ALE PET 1.5LX2</v>
      </c>
      <c r="G2109" s="501">
        <f>198*4</f>
        <v>792</v>
      </c>
      <c r="H2109" s="8">
        <f>+IFERROR(VLOOKUP(E2109,BD!$L$2:$Q$66,6,0),0)</f>
        <v>198</v>
      </c>
      <c r="I2109" s="98">
        <f>IFERROR(G2109*VLOOKUP($E2109,BD!$L$2:$Q$66,5,0),0)</f>
        <v>134.64000000000001</v>
      </c>
      <c r="J2109" s="110">
        <f t="shared" si="143"/>
        <v>2021</v>
      </c>
    </row>
    <row r="2110" spans="1:10" s="9" customFormat="1" hidden="1" x14ac:dyDescent="0.25">
      <c r="A2110" s="493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63">
        <v>256675</v>
      </c>
      <c r="F2110" s="6" t="str">
        <f>IFERROR(VLOOKUP(E2110,BD!$L$2:$Q$66,2,0),0)</f>
        <v>INCA KOLA PET 1.5LX2 RF</v>
      </c>
      <c r="G2110" s="513">
        <f>216*11</f>
        <v>2376</v>
      </c>
      <c r="H2110" s="6">
        <f>+IFERROR(VLOOKUP(E2110,BD!$L$2:$Q$66,6,0),0)</f>
        <v>198</v>
      </c>
      <c r="I2110" s="97">
        <f>IFERROR(G2110*VLOOKUP($E2110,BD!$L$2:$Q$66,5,0),0)</f>
        <v>403.92</v>
      </c>
      <c r="J2110" s="109">
        <f t="shared" si="143"/>
        <v>2021</v>
      </c>
    </row>
    <row r="2111" spans="1:10" s="9" customFormat="1" hidden="1" x14ac:dyDescent="0.25">
      <c r="A2111" s="491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7">
        <v>256685</v>
      </c>
      <c r="F2111" s="3" t="str">
        <f>IFERROR(VLOOKUP(E2111,BD!$L$2:$Q$66,2,0),0)</f>
        <v>SL S/G TAPA PLANA 1LT</v>
      </c>
      <c r="G2111" s="424">
        <v>112</v>
      </c>
      <c r="H2111" s="3">
        <f>+IFERROR(VLOOKUP(E2111,BD!$L$2:$Q$66,6,0),0)</f>
        <v>112</v>
      </c>
      <c r="I2111" s="96">
        <f>IFERROR(G2111*VLOOKUP($E2111,BD!$L$2:$Q$66,5,0),0)</f>
        <v>44.800000000000004</v>
      </c>
      <c r="J2111" s="5">
        <f t="shared" si="143"/>
        <v>2021</v>
      </c>
    </row>
    <row r="2112" spans="1:10" s="9" customFormat="1" hidden="1" x14ac:dyDescent="0.25">
      <c r="A2112" s="491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7">
        <v>256720</v>
      </c>
      <c r="F2112" s="3" t="str">
        <f>IFERROR(VLOOKUP(E2112,BD!$L$2:$Q$66,2,0),0)</f>
        <v>FANTA NARANJA PET 500MLX6 BRANDEADO MOD</v>
      </c>
      <c r="G2112" s="424">
        <v>250</v>
      </c>
      <c r="H2112" s="3">
        <f>+IFERROR(VLOOKUP(E2112,BD!$L$2:$Q$66,6,0),0)</f>
        <v>420</v>
      </c>
      <c r="I2112" s="96">
        <f>IFERROR(G2112*VLOOKUP($E2112,BD!$L$2:$Q$66,5,0),0)</f>
        <v>105</v>
      </c>
      <c r="J2112" s="5">
        <f t="shared" si="143"/>
        <v>2021</v>
      </c>
    </row>
    <row r="2113" spans="1:10" s="9" customFormat="1" hidden="1" x14ac:dyDescent="0.25">
      <c r="A2113" s="491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7">
        <v>251633</v>
      </c>
      <c r="F2113" s="3" t="str">
        <f>IFERROR(VLOOKUP(E2113,BD!$L$2:$Q$66,2,0),0)</f>
        <v>SAN LUIS CON GAS PET 625MLX6</v>
      </c>
      <c r="G2113" s="424">
        <f>180*2</f>
        <v>360</v>
      </c>
      <c r="H2113" s="3">
        <f>+IFERROR(VLOOKUP(E2113,BD!$L$2:$Q$66,6,0),0)</f>
        <v>180</v>
      </c>
      <c r="I2113" s="96">
        <f>IFERROR(G2113*VLOOKUP($E2113,BD!$L$2:$Q$66,5,0),0)</f>
        <v>151.19999999999999</v>
      </c>
      <c r="J2113" s="5">
        <f t="shared" si="143"/>
        <v>2021</v>
      </c>
    </row>
    <row r="2114" spans="1:10" s="9" customFormat="1" hidden="1" x14ac:dyDescent="0.25">
      <c r="A2114" s="491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7">
        <v>256682</v>
      </c>
      <c r="F2114" s="3" t="str">
        <f>IFERROR(VLOOKUP(E2114,BD!$L$2:$Q$66,2,0),0)</f>
        <v>TRIPACK (FT NAR+SP)PET+IK RF PFM 3L</v>
      </c>
      <c r="G2114" s="424">
        <v>90</v>
      </c>
      <c r="H2114" s="3">
        <f>+IFERROR(VLOOKUP(E2114,BD!$L$2:$Q$66,6,0),0)</f>
        <v>90</v>
      </c>
      <c r="I2114" s="96">
        <f>IFERROR(G2114*VLOOKUP($E2114,BD!$L$2:$Q$66,5,0),0)</f>
        <v>15.3</v>
      </c>
      <c r="J2114" s="5">
        <f t="shared" si="143"/>
        <v>2021</v>
      </c>
    </row>
    <row r="2115" spans="1:10" s="9" customFormat="1" hidden="1" x14ac:dyDescent="0.25">
      <c r="A2115" s="491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7">
        <v>256695</v>
      </c>
      <c r="F2115" s="3" t="str">
        <f>IFERROR(VLOOKUP(E2115,BD!$L$2:$Q$66,2,0),0)</f>
        <v>POWERADE 3MORA+3FRUT PET 473MLX6</v>
      </c>
      <c r="G2115" s="424">
        <f>225*22</f>
        <v>4950</v>
      </c>
      <c r="H2115" s="3">
        <f>+IFERROR(VLOOKUP(E2115,BD!$L$2:$Q$66,6,0),0)</f>
        <v>225</v>
      </c>
      <c r="I2115" s="96">
        <f>IFERROR(G2115*VLOOKUP($E2115,BD!$L$2:$Q$66,5,0),0)</f>
        <v>2079</v>
      </c>
      <c r="J2115" s="5">
        <f t="shared" si="143"/>
        <v>2021</v>
      </c>
    </row>
    <row r="2116" spans="1:10" s="9" customFormat="1" ht="15.75" hidden="1" thickBot="1" x14ac:dyDescent="0.3">
      <c r="A2116" s="492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9">
        <v>256721</v>
      </c>
      <c r="F2116" s="8" t="str">
        <f>IFERROR(VLOOKUP(E2116,BD!$L$2:$Q$66,2,0),0)</f>
        <v>SPRITE PET 500MLX6 BRANDEADO MOD</v>
      </c>
      <c r="G2116" s="501">
        <f>250*5</f>
        <v>1250</v>
      </c>
      <c r="H2116" s="8">
        <f>+IFERROR(VLOOKUP(E2116,BD!$L$2:$Q$66,6,0),0)</f>
        <v>420</v>
      </c>
      <c r="I2116" s="98">
        <f>IFERROR(G2116*VLOOKUP($E2116,BD!$L$2:$Q$66,5,0),0)</f>
        <v>525</v>
      </c>
      <c r="J2116" s="110">
        <f t="shared" si="143"/>
        <v>2021</v>
      </c>
    </row>
    <row r="2117" spans="1:10" s="9" customFormat="1" ht="15.75" hidden="1" thickBot="1" x14ac:dyDescent="0.3">
      <c r="A2117" s="514">
        <v>44470</v>
      </c>
      <c r="B2117" s="486" t="str">
        <f t="shared" si="140"/>
        <v>OCTUBRE</v>
      </c>
      <c r="C2117" s="486">
        <f t="shared" si="141"/>
        <v>40</v>
      </c>
      <c r="D2117" s="487" t="str">
        <f t="shared" si="142"/>
        <v>VIERNES</v>
      </c>
      <c r="E2117" s="515">
        <v>256488</v>
      </c>
      <c r="F2117" s="487" t="str">
        <f>IFERROR(VLOOKUP(E2117,BD!$L$2:$Q$66,2,0),0)</f>
        <v>INCA KOLA PET 3LX2 - RF</v>
      </c>
      <c r="G2117" s="516">
        <f>120*3</f>
        <v>360</v>
      </c>
      <c r="H2117" s="487">
        <f>+IFERROR(VLOOKUP(E2117,BD!$L$2:$Q$66,6,0),0)</f>
        <v>120</v>
      </c>
      <c r="I2117" s="490">
        <f>IFERROR(G2117*VLOOKUP($E2117,BD!$L$2:$Q$66,5,0),0)</f>
        <v>61.2</v>
      </c>
      <c r="J2117" s="517">
        <f t="shared" si="143"/>
        <v>2021</v>
      </c>
    </row>
    <row r="2118" spans="1:10" s="9" customFormat="1" hidden="1" x14ac:dyDescent="0.25">
      <c r="A2118" s="493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63">
        <v>256674</v>
      </c>
      <c r="F2118" s="6" t="str">
        <f>IFERROR(VLOOKUP(E2118,BD!$L$2:$Q$66,2,0),0)</f>
        <v>COCA-COLA PET 1.5LX2 RF</v>
      </c>
      <c r="G2118" s="513">
        <f>216*8</f>
        <v>1728</v>
      </c>
      <c r="H2118" s="6">
        <f>+IFERROR(VLOOKUP(E2118,BD!$L$2:$Q$66,6,0),0)</f>
        <v>198</v>
      </c>
      <c r="I2118" s="97">
        <f>IFERROR(G2118*VLOOKUP($E2118,BD!$L$2:$Q$66,5,0),0)</f>
        <v>293.76000000000005</v>
      </c>
      <c r="J2118" s="109">
        <f t="shared" si="143"/>
        <v>2021</v>
      </c>
    </row>
    <row r="2119" spans="1:10" s="9" customFormat="1" hidden="1" x14ac:dyDescent="0.25">
      <c r="A2119" s="491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7">
        <v>256675</v>
      </c>
      <c r="F2119" s="3" t="str">
        <f>IFERROR(VLOOKUP(E2119,BD!$L$2:$Q$66,2,0),0)</f>
        <v>INCA KOLA PET 1.5LX2 RF</v>
      </c>
      <c r="G2119" s="424">
        <f>216*4</f>
        <v>864</v>
      </c>
      <c r="H2119" s="3">
        <f>+IFERROR(VLOOKUP(E2119,BD!$L$2:$Q$66,6,0),0)</f>
        <v>198</v>
      </c>
      <c r="I2119" s="96">
        <f>IFERROR(G2119*VLOOKUP($E2119,BD!$L$2:$Q$66,5,0),0)</f>
        <v>146.88000000000002</v>
      </c>
      <c r="J2119" s="5">
        <f t="shared" si="143"/>
        <v>2021</v>
      </c>
    </row>
    <row r="2120" spans="1:10" s="9" customFormat="1" hidden="1" x14ac:dyDescent="0.25">
      <c r="A2120" s="491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7">
        <v>256676</v>
      </c>
      <c r="F2120" s="3" t="str">
        <f>IFERROR(VLOOKUP(E2120,BD!$L$2:$Q$66,2,0),0)</f>
        <v>TWO PACK CC PFM 3LX2 - RFCC</v>
      </c>
      <c r="G2120" s="424">
        <f>120*6</f>
        <v>720</v>
      </c>
      <c r="H2120" s="3">
        <f>+IFERROR(VLOOKUP(E2120,BD!$L$2:$Q$66,6,0),0)</f>
        <v>120</v>
      </c>
      <c r="I2120" s="96">
        <f>IFERROR(G2120*VLOOKUP($E2120,BD!$L$2:$Q$66,5,0),0)</f>
        <v>122.4</v>
      </c>
      <c r="J2120" s="5">
        <f t="shared" si="143"/>
        <v>2021</v>
      </c>
    </row>
    <row r="2121" spans="1:10" s="9" customFormat="1" hidden="1" x14ac:dyDescent="0.25">
      <c r="A2121" s="491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7">
        <v>256677</v>
      </c>
      <c r="F2121" s="3" t="str">
        <f>IFERROR(VLOOKUP(E2121,BD!$L$2:$Q$66,2,0),0)</f>
        <v>TWO PACK CC + IK PFM 3LX2 - RFNN</v>
      </c>
      <c r="G2121" s="424">
        <f>120*18</f>
        <v>2160</v>
      </c>
      <c r="H2121" s="3">
        <f>+IFERROR(VLOOKUP(E2121,BD!$L$2:$Q$66,6,0),0)</f>
        <v>120</v>
      </c>
      <c r="I2121" s="96">
        <f>IFERROR(G2121*VLOOKUP($E2121,BD!$L$2:$Q$66,5,0),0)</f>
        <v>367.20000000000005</v>
      </c>
      <c r="J2121" s="5">
        <f t="shared" si="143"/>
        <v>2021</v>
      </c>
    </row>
    <row r="2122" spans="1:10" s="9" customFormat="1" hidden="1" x14ac:dyDescent="0.25">
      <c r="A2122" s="491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7">
        <v>256720</v>
      </c>
      <c r="F2122" s="3" t="str">
        <f>IFERROR(VLOOKUP(E2122,BD!$L$2:$Q$66,2,0),0)</f>
        <v>FANTA NARANJA PET 500MLX6 BRANDEADO MOD</v>
      </c>
      <c r="G2122" s="424">
        <f>250*3</f>
        <v>750</v>
      </c>
      <c r="H2122" s="3">
        <f>+IFERROR(VLOOKUP(E2122,BD!$L$2:$Q$66,6,0),0)</f>
        <v>420</v>
      </c>
      <c r="I2122" s="96">
        <f>IFERROR(G2122*VLOOKUP($E2122,BD!$L$2:$Q$66,5,0),0)</f>
        <v>315</v>
      </c>
      <c r="J2122" s="5">
        <f t="shared" si="143"/>
        <v>2021</v>
      </c>
    </row>
    <row r="2123" spans="1:10" s="9" customFormat="1" hidden="1" x14ac:dyDescent="0.25">
      <c r="A2123" s="491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7">
        <v>251429</v>
      </c>
      <c r="F2123" s="3" t="str">
        <f>IFERROR(VLOOKUP(E2123,BD!$L$2:$Q$66,2,0),0)</f>
        <v>SAN LUIS SIN GAS PET2500X6 STICKER</v>
      </c>
      <c r="G2123" s="424">
        <f>48*6</f>
        <v>288</v>
      </c>
      <c r="H2123" s="3">
        <f>+IFERROR(VLOOKUP(E2123,BD!$L$2:$Q$66,6,0),0)</f>
        <v>48</v>
      </c>
      <c r="I2123" s="96">
        <f>IFERROR(G2123*VLOOKUP($E2123,BD!$L$2:$Q$66,5,0),0)</f>
        <v>115.2</v>
      </c>
      <c r="J2123" s="5">
        <f t="shared" si="143"/>
        <v>2021</v>
      </c>
    </row>
    <row r="2124" spans="1:10" s="9" customFormat="1" hidden="1" x14ac:dyDescent="0.25">
      <c r="A2124" s="491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7">
        <v>256685</v>
      </c>
      <c r="F2124" s="3" t="str">
        <f>IFERROR(VLOOKUP(E2124,BD!$L$2:$Q$66,2,0),0)</f>
        <v>SL S/G TAPA PLANA 1LT</v>
      </c>
      <c r="G2124" s="424">
        <f>112*2</f>
        <v>224</v>
      </c>
      <c r="H2124" s="3">
        <f>+IFERROR(VLOOKUP(E2124,BD!$L$2:$Q$66,6,0),0)</f>
        <v>112</v>
      </c>
      <c r="I2124" s="96">
        <f>IFERROR(G2124*VLOOKUP($E2124,BD!$L$2:$Q$66,5,0),0)</f>
        <v>89.600000000000009</v>
      </c>
      <c r="J2124" s="5">
        <f t="shared" si="143"/>
        <v>2021</v>
      </c>
    </row>
    <row r="2125" spans="1:10" s="9" customFormat="1" hidden="1" x14ac:dyDescent="0.25">
      <c r="A2125" s="491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7">
        <v>251633</v>
      </c>
      <c r="F2125" s="3" t="str">
        <f>IFERROR(VLOOKUP(E2125,BD!$L$2:$Q$66,2,0),0)</f>
        <v>SAN LUIS CON GAS PET 625MLX6</v>
      </c>
      <c r="G2125" s="424">
        <f>180*2</f>
        <v>360</v>
      </c>
      <c r="H2125" s="3">
        <f>+IFERROR(VLOOKUP(E2125,BD!$L$2:$Q$66,6,0),0)</f>
        <v>180</v>
      </c>
      <c r="I2125" s="96">
        <f>IFERROR(G2125*VLOOKUP($E2125,BD!$L$2:$Q$66,5,0),0)</f>
        <v>151.19999999999999</v>
      </c>
      <c r="J2125" s="5">
        <f t="shared" si="143"/>
        <v>2021</v>
      </c>
    </row>
    <row r="2126" spans="1:10" s="9" customFormat="1" hidden="1" x14ac:dyDescent="0.25">
      <c r="A2126" s="491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7">
        <v>256488</v>
      </c>
      <c r="F2126" s="3" t="str">
        <f>IFERROR(VLOOKUP(E2126,BD!$L$2:$Q$66,2,0),0)</f>
        <v>INCA KOLA PET 3LX2 - RF</v>
      </c>
      <c r="G2126" s="424">
        <f>120*7</f>
        <v>840</v>
      </c>
      <c r="H2126" s="3">
        <f>+IFERROR(VLOOKUP(E2126,BD!$L$2:$Q$66,6,0),0)</f>
        <v>120</v>
      </c>
      <c r="I2126" s="96">
        <f>IFERROR(G2126*VLOOKUP($E2126,BD!$L$2:$Q$66,5,0),0)</f>
        <v>142.80000000000001</v>
      </c>
      <c r="J2126" s="5">
        <f t="shared" si="143"/>
        <v>2021</v>
      </c>
    </row>
    <row r="2127" spans="1:10" s="9" customFormat="1" hidden="1" x14ac:dyDescent="0.25">
      <c r="A2127" s="491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7">
        <v>256652</v>
      </c>
      <c r="F2127" s="3" t="str">
        <f>IFERROR(VLOOKUP(E2127,BD!$L$2:$Q$66,2,0),0)</f>
        <v>TRIPACK FT NAR+FT KI+SP PET 3L</v>
      </c>
      <c r="G2127" s="424">
        <f>90*8</f>
        <v>720</v>
      </c>
      <c r="H2127" s="3">
        <f>+IFERROR(VLOOKUP(E2127,BD!$L$2:$Q$66,6,0),0)</f>
        <v>90</v>
      </c>
      <c r="I2127" s="96">
        <f>IFERROR(G2127*VLOOKUP($E2127,BD!$L$2:$Q$66,5,0),0)</f>
        <v>122.4</v>
      </c>
      <c r="J2127" s="5">
        <f t="shared" si="143"/>
        <v>2021</v>
      </c>
    </row>
    <row r="2128" spans="1:10" s="9" customFormat="1" hidden="1" x14ac:dyDescent="0.25">
      <c r="A2128" s="491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7">
        <v>256379</v>
      </c>
      <c r="F2128" s="3" t="str">
        <f>IFERROR(VLOOKUP(E2128,BD!$L$2:$Q$66,2,0),0)</f>
        <v>INCA KOLA VR 625MLX12 - STICKER</v>
      </c>
      <c r="G2128" s="424">
        <v>50</v>
      </c>
      <c r="H2128" s="3">
        <f>+IFERROR(VLOOKUP(E2128,BD!$L$2:$Q$66,6,0),0)</f>
        <v>50</v>
      </c>
      <c r="I2128" s="96">
        <f>IFERROR(G2128*VLOOKUP($E2128,BD!$L$2:$Q$66,5,0),0)</f>
        <v>20</v>
      </c>
      <c r="J2128" s="5">
        <f t="shared" si="143"/>
        <v>2021</v>
      </c>
    </row>
    <row r="2129" spans="1:10" s="9" customFormat="1" hidden="1" x14ac:dyDescent="0.25">
      <c r="A2129" s="491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7">
        <v>256678</v>
      </c>
      <c r="F2129" s="3" t="str">
        <f>IFERROR(VLOOKUP(E2129,BD!$L$2:$Q$66,2,0),0)</f>
        <v>TRIPACK (CC+IK)PFM+FT PET 3LX3 - RFNN</v>
      </c>
      <c r="G2129" s="424">
        <f>90*19</f>
        <v>1710</v>
      </c>
      <c r="H2129" s="3">
        <f>+IFERROR(VLOOKUP(E2129,BD!$L$2:$Q$66,6,0),0)</f>
        <v>90</v>
      </c>
      <c r="I2129" s="96">
        <f>IFERROR(G2129*VLOOKUP($E2129,BD!$L$2:$Q$66,5,0),0)</f>
        <v>290.70000000000005</v>
      </c>
      <c r="J2129" s="5">
        <f t="shared" si="143"/>
        <v>2021</v>
      </c>
    </row>
    <row r="2130" spans="1:10" s="9" customFormat="1" hidden="1" x14ac:dyDescent="0.25">
      <c r="A2130" s="491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7">
        <v>256679</v>
      </c>
      <c r="F2130" s="3" t="str">
        <f>IFERROR(VLOOKUP(E2130,BD!$L$2:$Q$66,2,0),0)</f>
        <v>TRIPACK CC+IK+IK PFM 3LX3 - RFNN</v>
      </c>
      <c r="G2130" s="424">
        <f>90*2</f>
        <v>180</v>
      </c>
      <c r="H2130" s="3">
        <f>+IFERROR(VLOOKUP(E2130,BD!$L$2:$Q$66,6,0),0)</f>
        <v>90</v>
      </c>
      <c r="I2130" s="96">
        <f>IFERROR(G2130*VLOOKUP($E2130,BD!$L$2:$Q$66,5,0),0)</f>
        <v>30.6</v>
      </c>
      <c r="J2130" s="5">
        <f t="shared" si="143"/>
        <v>2021</v>
      </c>
    </row>
    <row r="2131" spans="1:10" s="9" customFormat="1" hidden="1" x14ac:dyDescent="0.25">
      <c r="A2131" s="491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7">
        <v>254853</v>
      </c>
      <c r="F2131" s="3" t="str">
        <f>IFERROR(VLOOKUP(E2131,BD!$L$2:$Q$66,2,0),0)</f>
        <v>INCA KOLA SIN AZUCAR PET 1.5LX2</v>
      </c>
      <c r="G2131" s="424">
        <f>216*8</f>
        <v>1728</v>
      </c>
      <c r="H2131" s="3">
        <f>+IFERROR(VLOOKUP(E2131,BD!$L$2:$Q$66,6,0),0)</f>
        <v>198</v>
      </c>
      <c r="I2131" s="96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hidden="1" thickBot="1" x14ac:dyDescent="0.3">
      <c r="A2132" s="492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9">
        <v>256617</v>
      </c>
      <c r="F2132" s="8" t="str">
        <f>IFERROR(VLOOKUP(E2132,BD!$L$2:$Q$66,2,0),0)</f>
        <v>TWO PACK SCHWEPPES GINGER ALE PET 1.5LX2</v>
      </c>
      <c r="G2132" s="501">
        <f>198*2</f>
        <v>396</v>
      </c>
      <c r="H2132" s="8">
        <f>+IFERROR(VLOOKUP(E2132,BD!$L$2:$Q$66,6,0),0)</f>
        <v>198</v>
      </c>
      <c r="I2132" s="98">
        <f>IFERROR(G2132*VLOOKUP($E2132,BD!$L$2:$Q$66,5,0),0)</f>
        <v>67.320000000000007</v>
      </c>
      <c r="J2132" s="110">
        <f t="shared" si="143"/>
        <v>2021</v>
      </c>
    </row>
    <row r="2133" spans="1:10" s="9" customFormat="1" hidden="1" x14ac:dyDescent="0.25">
      <c r="A2133" s="493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63">
        <v>256666</v>
      </c>
      <c r="F2133" s="6" t="str">
        <f>IFERROR(VLOOKUP(E2133,BD!$L$2:$Q$66,2,0),0)</f>
        <v>COCA-COLA PET 2.25LX2 RF</v>
      </c>
      <c r="G2133" s="513">
        <v>162</v>
      </c>
      <c r="H2133" s="6">
        <f>+IFERROR(VLOOKUP(E2133,BD!$L$2:$Q$66,6,0),0)</f>
        <v>162</v>
      </c>
      <c r="I2133" s="97">
        <f>IFERROR(G2133*VLOOKUP($E2133,BD!$L$2:$Q$66,5,0),0)</f>
        <v>27.540000000000003</v>
      </c>
      <c r="J2133" s="109">
        <f t="shared" si="143"/>
        <v>2021</v>
      </c>
    </row>
    <row r="2134" spans="1:10" s="9" customFormat="1" hidden="1" x14ac:dyDescent="0.25">
      <c r="A2134" s="491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7">
        <v>251406</v>
      </c>
      <c r="F2134" s="3" t="str">
        <f>IFERROR(VLOOKUP(E2134,BD!$L$2:$Q$66,2,0),0)</f>
        <v>COCA-COLA SIN AZUCAR PET 1.5LX2</v>
      </c>
      <c r="G2134" s="424">
        <f>216*10</f>
        <v>2160</v>
      </c>
      <c r="H2134" s="3">
        <f>+IFERROR(VLOOKUP(E2134,BD!$L$2:$Q$66,6,0),0)</f>
        <v>198</v>
      </c>
      <c r="I2134" s="96">
        <f>IFERROR(G2134*VLOOKUP($E2134,BD!$L$2:$Q$66,5,0),0)</f>
        <v>367.20000000000005</v>
      </c>
      <c r="J2134" s="5">
        <f t="shared" si="143"/>
        <v>2021</v>
      </c>
    </row>
    <row r="2135" spans="1:10" s="9" customFormat="1" hidden="1" x14ac:dyDescent="0.25">
      <c r="A2135" s="491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7">
        <v>256382</v>
      </c>
      <c r="F2135" s="3" t="str">
        <f>IFERROR(VLOOKUP(E2135,BD!$L$2:$Q$66,2,0),0)</f>
        <v>COCA COLA VR 296MLX24 - STICKER</v>
      </c>
      <c r="G2135" s="424">
        <f>40*4</f>
        <v>160</v>
      </c>
      <c r="H2135" s="3">
        <f>+IFERROR(VLOOKUP(E2135,BD!$L$2:$Q$66,6,0),0)</f>
        <v>40</v>
      </c>
      <c r="I2135" s="96">
        <f>IFERROR(G2135*VLOOKUP($E2135,BD!$L$2:$Q$66,5,0),0)</f>
        <v>36.800000000000004</v>
      </c>
      <c r="J2135" s="5">
        <f t="shared" si="143"/>
        <v>2021</v>
      </c>
    </row>
    <row r="2136" spans="1:10" s="9" customFormat="1" hidden="1" x14ac:dyDescent="0.25">
      <c r="A2136" s="491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7">
        <v>256383</v>
      </c>
      <c r="F2136" s="3" t="str">
        <f>IFERROR(VLOOKUP(E2136,BD!$L$2:$Q$66,2,0),0)</f>
        <v>COCA COLA VR 1.5LX8 - STICKER</v>
      </c>
      <c r="G2136" s="424">
        <f>30*2</f>
        <v>60</v>
      </c>
      <c r="H2136" s="3">
        <f>+IFERROR(VLOOKUP(E2136,BD!$L$2:$Q$66,6,0),0)</f>
        <v>30</v>
      </c>
      <c r="I2136" s="96">
        <f>IFERROR(G2136*VLOOKUP($E2136,BD!$L$2:$Q$66,5,0),0)</f>
        <v>13.8</v>
      </c>
      <c r="J2136" s="5">
        <f t="shared" si="143"/>
        <v>2021</v>
      </c>
    </row>
    <row r="2137" spans="1:10" s="9" customFormat="1" hidden="1" x14ac:dyDescent="0.25">
      <c r="A2137" s="491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7">
        <v>256709</v>
      </c>
      <c r="F2137" s="3" t="str">
        <f>IFERROR(VLOOKUP(E2137,BD!$L$2:$Q$66,2,0),0)</f>
        <v>POWERADE ION4 MORA AZ PET473X6 MOD(STCK)</v>
      </c>
      <c r="G2137" s="424">
        <f>225*2</f>
        <v>450</v>
      </c>
      <c r="H2137" s="3">
        <f>+IFERROR(VLOOKUP(E2137,BD!$L$2:$Q$66,6,0),0)</f>
        <v>225</v>
      </c>
      <c r="I2137" s="96">
        <f>IFERROR(G2137*VLOOKUP($E2137,BD!$L$2:$Q$66,5,0),0)</f>
        <v>180</v>
      </c>
      <c r="J2137" s="5">
        <f t="shared" si="143"/>
        <v>2021</v>
      </c>
    </row>
    <row r="2138" spans="1:10" s="9" customFormat="1" ht="15.75" hidden="1" thickBot="1" x14ac:dyDescent="0.3">
      <c r="A2138" s="492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9">
        <v>256708</v>
      </c>
      <c r="F2138" s="8" t="str">
        <f>IFERROR(VLOOKUP(E2138,BD!$L$2:$Q$66,2,0),0)</f>
        <v>POWERADE ION4 FRUTA PET473X6 MOD (STICK)</v>
      </c>
      <c r="G2138" s="501">
        <f>225*2</f>
        <v>450</v>
      </c>
      <c r="H2138" s="8">
        <f>+IFERROR(VLOOKUP(E2138,BD!$L$2:$Q$66,6,0),0)</f>
        <v>225</v>
      </c>
      <c r="I2138" s="98">
        <f>IFERROR(G2138*VLOOKUP($E2138,BD!$L$2:$Q$66,5,0),0)</f>
        <v>180</v>
      </c>
      <c r="J2138" s="110">
        <f t="shared" si="143"/>
        <v>2021</v>
      </c>
    </row>
    <row r="2139" spans="1:10" s="9" customFormat="1" hidden="1" x14ac:dyDescent="0.25">
      <c r="A2139" s="493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63">
        <v>256488</v>
      </c>
      <c r="F2139" s="6" t="str">
        <f>IFERROR(VLOOKUP(E2139,BD!$L$2:$Q$66,2,0),0)</f>
        <v>INCA KOLA PET 3LX2 - RF</v>
      </c>
      <c r="G2139" s="513">
        <f>120*10</f>
        <v>1200</v>
      </c>
      <c r="H2139" s="6">
        <f>+IFERROR(VLOOKUP(E2139,BD!$L$2:$Q$66,6,0),0)</f>
        <v>120</v>
      </c>
      <c r="I2139" s="97">
        <f>IFERROR(G2139*VLOOKUP($E2139,BD!$L$2:$Q$66,5,0),0)</f>
        <v>204.00000000000003</v>
      </c>
      <c r="J2139" s="109">
        <f t="shared" si="143"/>
        <v>2021</v>
      </c>
    </row>
    <row r="2140" spans="1:10" s="9" customFormat="1" hidden="1" x14ac:dyDescent="0.25">
      <c r="A2140" s="491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7">
        <v>251406</v>
      </c>
      <c r="F2140" s="3" t="str">
        <f>IFERROR(VLOOKUP(E2140,BD!$L$2:$Q$66,2,0),0)</f>
        <v>COCA-COLA SIN AZUCAR PET 1.5LX2</v>
      </c>
      <c r="G2140" s="424">
        <f>216*6</f>
        <v>1296</v>
      </c>
      <c r="H2140" s="3">
        <f>+IFERROR(VLOOKUP(E2140,BD!$L$2:$Q$66,6,0),0)</f>
        <v>198</v>
      </c>
      <c r="I2140" s="96">
        <f>IFERROR(G2140*VLOOKUP($E2140,BD!$L$2:$Q$66,5,0),0)</f>
        <v>220.32000000000002</v>
      </c>
      <c r="J2140" s="5">
        <f t="shared" si="143"/>
        <v>2021</v>
      </c>
    </row>
    <row r="2141" spans="1:10" s="9" customFormat="1" hidden="1" x14ac:dyDescent="0.25">
      <c r="A2141" s="491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7">
        <v>256676</v>
      </c>
      <c r="F2141" s="3" t="str">
        <f>IFERROR(VLOOKUP(E2141,BD!$L$2:$Q$66,2,0),0)</f>
        <v>TWO PACK CC PFM 3LX2 - RFCC</v>
      </c>
      <c r="G2141" s="424">
        <f>120*8</f>
        <v>960</v>
      </c>
      <c r="H2141" s="3">
        <f>+IFERROR(VLOOKUP(E2141,BD!$L$2:$Q$66,6,0),0)</f>
        <v>120</v>
      </c>
      <c r="I2141" s="96">
        <f>IFERROR(G2141*VLOOKUP($E2141,BD!$L$2:$Q$66,5,0),0)</f>
        <v>163.20000000000002</v>
      </c>
      <c r="J2141" s="5">
        <f t="shared" si="143"/>
        <v>2021</v>
      </c>
    </row>
    <row r="2142" spans="1:10" s="9" customFormat="1" hidden="1" x14ac:dyDescent="0.25">
      <c r="A2142" s="491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7">
        <v>256674</v>
      </c>
      <c r="F2142" s="3" t="str">
        <f>IFERROR(VLOOKUP(E2142,BD!$L$2:$Q$66,2,0),0)</f>
        <v>COCA-COLA PET 1.5LX2 RF</v>
      </c>
      <c r="G2142" s="424">
        <f>216*6</f>
        <v>1296</v>
      </c>
      <c r="H2142" s="3">
        <f>+IFERROR(VLOOKUP(E2142,BD!$L$2:$Q$66,6,0),0)</f>
        <v>198</v>
      </c>
      <c r="I2142" s="96">
        <f>IFERROR(G2142*VLOOKUP($E2142,BD!$L$2:$Q$66,5,0),0)</f>
        <v>220.32000000000002</v>
      </c>
      <c r="J2142" s="5">
        <f t="shared" si="143"/>
        <v>2021</v>
      </c>
    </row>
    <row r="2143" spans="1:10" s="9" customFormat="1" hidden="1" x14ac:dyDescent="0.25">
      <c r="A2143" s="491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7">
        <v>256685</v>
      </c>
      <c r="F2143" s="3" t="str">
        <f>IFERROR(VLOOKUP(E2143,BD!$L$2:$Q$66,2,0),0)</f>
        <v>SL S/G TAPA PLANA 1LT</v>
      </c>
      <c r="G2143" s="424">
        <f>112*4</f>
        <v>448</v>
      </c>
      <c r="H2143" s="3">
        <f>+IFERROR(VLOOKUP(E2143,BD!$L$2:$Q$66,6,0),0)</f>
        <v>112</v>
      </c>
      <c r="I2143" s="96">
        <f>IFERROR(G2143*VLOOKUP($E2143,BD!$L$2:$Q$66,5,0),0)</f>
        <v>179.20000000000002</v>
      </c>
      <c r="J2143" s="5">
        <f t="shared" si="143"/>
        <v>2021</v>
      </c>
    </row>
    <row r="2144" spans="1:10" s="9" customFormat="1" hidden="1" x14ac:dyDescent="0.25">
      <c r="A2144" s="491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7">
        <v>256381</v>
      </c>
      <c r="F2144" s="3" t="str">
        <f>IFERROR(VLOOKUP(E2144,BD!$L$2:$Q$66,2,0),0)</f>
        <v>INCA KOLA VR 1.5LX8 - STICKER</v>
      </c>
      <c r="G2144" s="424">
        <f>30*5</f>
        <v>150</v>
      </c>
      <c r="H2144" s="3">
        <f>+IFERROR(VLOOKUP(E2144,BD!$L$2:$Q$66,6,0),0)</f>
        <v>30</v>
      </c>
      <c r="I2144" s="96">
        <f>IFERROR(G2144*VLOOKUP($E2144,BD!$L$2:$Q$66,5,0),0)</f>
        <v>60</v>
      </c>
      <c r="J2144" s="5">
        <f t="shared" si="143"/>
        <v>2021</v>
      </c>
    </row>
    <row r="2145" spans="1:11" s="9" customFormat="1" hidden="1" x14ac:dyDescent="0.25">
      <c r="A2145" s="491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7">
        <v>256379</v>
      </c>
      <c r="F2145" s="3" t="str">
        <f>IFERROR(VLOOKUP(E2145,BD!$L$2:$Q$66,2,0),0)</f>
        <v>INCA KOLA VR 625MLX12 - STICKER</v>
      </c>
      <c r="G2145" s="424">
        <f>50*3</f>
        <v>150</v>
      </c>
      <c r="H2145" s="3">
        <f>+IFERROR(VLOOKUP(E2145,BD!$L$2:$Q$66,6,0),0)</f>
        <v>50</v>
      </c>
      <c r="I2145" s="96">
        <f>IFERROR(G2145*VLOOKUP($E2145,BD!$L$2:$Q$66,5,0),0)</f>
        <v>60</v>
      </c>
      <c r="J2145" s="5">
        <f t="shared" si="143"/>
        <v>2021</v>
      </c>
    </row>
    <row r="2146" spans="1:11" s="9" customFormat="1" hidden="1" x14ac:dyDescent="0.25">
      <c r="A2146" s="491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7">
        <v>256720</v>
      </c>
      <c r="F2146" s="3" t="str">
        <f>IFERROR(VLOOKUP(E2146,BD!$L$2:$Q$66,2,0),0)</f>
        <v>FANTA NARANJA PET 500MLX6 BRANDEADO MOD</v>
      </c>
      <c r="G2146" s="424">
        <f>250*2</f>
        <v>500</v>
      </c>
      <c r="H2146" s="3">
        <f>+IFERROR(VLOOKUP(E2146,BD!$L$2:$Q$66,6,0),0)</f>
        <v>420</v>
      </c>
      <c r="I2146" s="96">
        <f>IFERROR(G2146*VLOOKUP($E2146,BD!$L$2:$Q$66,5,0),0)</f>
        <v>210</v>
      </c>
      <c r="J2146" s="5">
        <f t="shared" si="143"/>
        <v>2021</v>
      </c>
    </row>
    <row r="2147" spans="1:11" s="9" customFormat="1" hidden="1" x14ac:dyDescent="0.25">
      <c r="A2147" s="491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7">
        <v>256721</v>
      </c>
      <c r="F2147" s="3" t="str">
        <f>IFERROR(VLOOKUP(E2147,BD!$L$2:$Q$66,2,0),0)</f>
        <v>SPRITE PET 500MLX6 BRANDEADO MOD</v>
      </c>
      <c r="G2147" s="424">
        <v>250</v>
      </c>
      <c r="H2147" s="3">
        <f>+IFERROR(VLOOKUP(E2147,BD!$L$2:$Q$66,6,0),0)</f>
        <v>420</v>
      </c>
      <c r="I2147" s="96">
        <f>IFERROR(G2147*VLOOKUP($E2147,BD!$L$2:$Q$66,5,0),0)</f>
        <v>105</v>
      </c>
      <c r="J2147" s="5">
        <f t="shared" si="143"/>
        <v>2021</v>
      </c>
    </row>
    <row r="2148" spans="1:11" s="9" customFormat="1" hidden="1" x14ac:dyDescent="0.25">
      <c r="A2148" s="491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7">
        <v>251633</v>
      </c>
      <c r="F2148" s="3" t="str">
        <f>IFERROR(VLOOKUP(E2148,BD!$L$2:$Q$66,2,0),0)</f>
        <v>SAN LUIS CON GAS PET 625MLX6</v>
      </c>
      <c r="G2148" s="424">
        <f>180*2</f>
        <v>360</v>
      </c>
      <c r="H2148" s="3">
        <f>+IFERROR(VLOOKUP(E2148,BD!$L$2:$Q$66,6,0),0)</f>
        <v>180</v>
      </c>
      <c r="I2148" s="96">
        <f>IFERROR(G2148*VLOOKUP($E2148,BD!$L$2:$Q$66,5,0),0)</f>
        <v>151.19999999999999</v>
      </c>
      <c r="J2148" s="5">
        <f t="shared" si="143"/>
        <v>2021</v>
      </c>
    </row>
    <row r="2149" spans="1:11" s="9" customFormat="1" hidden="1" x14ac:dyDescent="0.25">
      <c r="A2149" s="491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7">
        <v>256678</v>
      </c>
      <c r="F2149" s="3" t="str">
        <f>IFERROR(VLOOKUP(E2149,BD!$L$2:$Q$66,2,0),0)</f>
        <v>TRIPACK (CC+IK)PFM+FT PET 3LX3 - RFNN</v>
      </c>
      <c r="G2149" s="424">
        <f>90*16</f>
        <v>1440</v>
      </c>
      <c r="H2149" s="3">
        <f>+IFERROR(VLOOKUP(E2149,BD!$L$2:$Q$66,6,0),0)</f>
        <v>90</v>
      </c>
      <c r="I2149" s="96">
        <f>IFERROR(G2149*VLOOKUP($E2149,BD!$L$2:$Q$66,5,0),0)</f>
        <v>244.8</v>
      </c>
      <c r="J2149" s="5">
        <f t="shared" si="143"/>
        <v>2021</v>
      </c>
    </row>
    <row r="2150" spans="1:11" s="9" customFormat="1" hidden="1" x14ac:dyDescent="0.25">
      <c r="A2150" s="491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7">
        <v>256677</v>
      </c>
      <c r="F2150" s="3" t="str">
        <f>IFERROR(VLOOKUP(E2150,BD!$L$2:$Q$66,2,0),0)</f>
        <v>TWO PACK CC + IK PFM 3LX2 - RFNN</v>
      </c>
      <c r="G2150" s="424">
        <f>120*14</f>
        <v>1680</v>
      </c>
      <c r="H2150" s="3">
        <f>+IFERROR(VLOOKUP(E2150,BD!$L$2:$Q$66,6,0),0)</f>
        <v>120</v>
      </c>
      <c r="I2150" s="96">
        <f>IFERROR(G2150*VLOOKUP($E2150,BD!$L$2:$Q$66,5,0),0)</f>
        <v>285.60000000000002</v>
      </c>
      <c r="J2150" s="5">
        <f t="shared" si="143"/>
        <v>2021</v>
      </c>
    </row>
    <row r="2151" spans="1:11" s="9" customFormat="1" hidden="1" x14ac:dyDescent="0.25">
      <c r="A2151" s="491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7">
        <v>256666</v>
      </c>
      <c r="F2151" s="3" t="str">
        <f>IFERROR(VLOOKUP(E2151,BD!$L$2:$Q$66,2,0),0)</f>
        <v>COCA-COLA PET 2.25LX2 RF</v>
      </c>
      <c r="G2151" s="424">
        <f>162*4</f>
        <v>648</v>
      </c>
      <c r="H2151" s="3">
        <f>+IFERROR(VLOOKUP(E2151,BD!$L$2:$Q$66,6,0),0)</f>
        <v>162</v>
      </c>
      <c r="I2151" s="96">
        <f>IFERROR(G2151*VLOOKUP($E2151,BD!$L$2:$Q$66,5,0),0)</f>
        <v>110.16000000000001</v>
      </c>
      <c r="J2151" s="5">
        <f t="shared" si="143"/>
        <v>2021</v>
      </c>
    </row>
    <row r="2152" spans="1:11" s="9" customFormat="1" hidden="1" x14ac:dyDescent="0.25">
      <c r="A2152" s="491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7">
        <v>256652</v>
      </c>
      <c r="F2152" s="3" t="str">
        <f>IFERROR(VLOOKUP(E2152,BD!$L$2:$Q$66,2,0),0)</f>
        <v>TRIPACK FT NAR+FT KI+SP PET 3L</v>
      </c>
      <c r="G2152" s="424">
        <f>90*8</f>
        <v>720</v>
      </c>
      <c r="H2152" s="3">
        <f>+IFERROR(VLOOKUP(E2152,BD!$L$2:$Q$66,6,0),0)</f>
        <v>90</v>
      </c>
      <c r="I2152" s="96">
        <f>IFERROR(G2152*VLOOKUP($E2152,BD!$L$2:$Q$66,5,0),0)</f>
        <v>122.4</v>
      </c>
      <c r="J2152" s="5">
        <f t="shared" si="143"/>
        <v>2021</v>
      </c>
    </row>
    <row r="2153" spans="1:11" s="9" customFormat="1" ht="15.75" hidden="1" thickBot="1" x14ac:dyDescent="0.3">
      <c r="A2153" s="492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9">
        <v>254853</v>
      </c>
      <c r="F2153" s="8" t="str">
        <f>IFERROR(VLOOKUP(E2153,BD!$L$2:$Q$66,2,0),0)</f>
        <v>INCA KOLA SIN AZUCAR PET 1.5LX2</v>
      </c>
      <c r="G2153" s="501">
        <f>216*6</f>
        <v>1296</v>
      </c>
      <c r="H2153" s="8">
        <f>+IFERROR(VLOOKUP(E2153,BD!$L$2:$Q$66,6,0),0)</f>
        <v>198</v>
      </c>
      <c r="I2153" s="98">
        <f>IFERROR(G2153*VLOOKUP($E2153,BD!$L$2:$Q$66,5,0),0)</f>
        <v>220.32000000000002</v>
      </c>
      <c r="J2153" s="110">
        <f t="shared" si="143"/>
        <v>2021</v>
      </c>
    </row>
    <row r="2154" spans="1:11" s="9" customFormat="1" hidden="1" x14ac:dyDescent="0.25">
      <c r="A2154" s="493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63">
        <v>256601</v>
      </c>
      <c r="F2154" s="6" t="str">
        <f>IFERROR(VLOOKUP(E2154,BD!$L$2:$Q$66,2,0),0)</f>
        <v>INCA KOLA PET 2.25LX2 RF</v>
      </c>
      <c r="G2154" s="513">
        <f>162*4</f>
        <v>648</v>
      </c>
      <c r="H2154" s="6">
        <f>+IFERROR(VLOOKUP(E2154,BD!$L$2:$Q$66,6,0),0)</f>
        <v>162</v>
      </c>
      <c r="I2154" s="97">
        <f>IFERROR(G2154*VLOOKUP($E2154,BD!$L$2:$Q$66,5,0),0)</f>
        <v>110.16000000000001</v>
      </c>
      <c r="J2154" s="109">
        <f t="shared" si="143"/>
        <v>2021</v>
      </c>
    </row>
    <row r="2155" spans="1:11" s="9" customFormat="1" hidden="1" x14ac:dyDescent="0.25">
      <c r="A2155" s="491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7">
        <v>256682</v>
      </c>
      <c r="F2155" s="3" t="str">
        <f>IFERROR(VLOOKUP(E2155,BD!$L$2:$Q$66,2,0),0)</f>
        <v>TRIPACK (FT NAR+SP)PET+IK RF PFM 3L</v>
      </c>
      <c r="G2155" s="424">
        <f>90*2</f>
        <v>180</v>
      </c>
      <c r="H2155" s="3">
        <f>+IFERROR(VLOOKUP(E2155,BD!$L$2:$Q$66,6,0),0)</f>
        <v>90</v>
      </c>
      <c r="I2155" s="96">
        <f>IFERROR(G2155*VLOOKUP($E2155,BD!$L$2:$Q$66,5,0),0)</f>
        <v>30.6</v>
      </c>
      <c r="J2155" s="5">
        <f t="shared" si="143"/>
        <v>2021</v>
      </c>
    </row>
    <row r="2156" spans="1:11" s="9" customFormat="1" hidden="1" x14ac:dyDescent="0.25">
      <c r="A2156" s="491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7">
        <v>256617</v>
      </c>
      <c r="F2156" s="3" t="str">
        <f>IFERROR(VLOOKUP(E2156,BD!$L$2:$Q$66,2,0),0)</f>
        <v>TWO PACK SCHWEPPES GINGER ALE PET 1.5LX2</v>
      </c>
      <c r="G2156" s="424">
        <f>198*3</f>
        <v>594</v>
      </c>
      <c r="H2156" s="3">
        <f>+IFERROR(VLOOKUP(E2156,BD!$L$2:$Q$66,6,0),0)</f>
        <v>198</v>
      </c>
      <c r="I2156" s="96">
        <f>IFERROR(G2156*VLOOKUP($E2156,BD!$L$2:$Q$66,5,0),0)</f>
        <v>100.98</v>
      </c>
      <c r="J2156" s="5">
        <f t="shared" si="143"/>
        <v>2021</v>
      </c>
    </row>
    <row r="2157" spans="1:11" s="9" customFormat="1" hidden="1" x14ac:dyDescent="0.25">
      <c r="A2157" s="491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7">
        <v>254762</v>
      </c>
      <c r="F2157" s="3" t="str">
        <f>IFERROR(VLOOKUP(E2157,BD!$L$2:$Q$66,2,0),0)</f>
        <v xml:space="preserve">SAN LUIS SPORT S/G 10 Lt x6 </v>
      </c>
      <c r="G2157" s="424">
        <v>112</v>
      </c>
      <c r="H2157" s="3">
        <f>+IFERROR(VLOOKUP(E2157,BD!$L$2:$Q$66,6,0),0)</f>
        <v>240</v>
      </c>
      <c r="I2157" s="96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hidden="1" thickBot="1" x14ac:dyDescent="0.3">
      <c r="A2158" s="492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9">
        <v>251632</v>
      </c>
      <c r="F2158" s="8" t="str">
        <f>IFERROR(VLOOKUP(E2158,BD!$L$2:$Q$66,2,0),0)</f>
        <v>SAN LUIS SIN GAS PET 625MLX06 MOD</v>
      </c>
      <c r="G2158" s="501">
        <v>180</v>
      </c>
      <c r="H2158" s="8">
        <f>+IFERROR(VLOOKUP(E2158,BD!$L$2:$Q$66,6,0),0)</f>
        <v>180</v>
      </c>
      <c r="I2158" s="98">
        <f>IFERROR(G2158*VLOOKUP($E2158,BD!$L$2:$Q$66,5,0),0)</f>
        <v>75.599999999999994</v>
      </c>
      <c r="J2158" s="110">
        <f t="shared" si="143"/>
        <v>2021</v>
      </c>
    </row>
    <row r="2159" spans="1:11" s="9" customFormat="1" hidden="1" x14ac:dyDescent="0.25">
      <c r="A2159" s="493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63">
        <v>256580</v>
      </c>
      <c r="F2159" s="6">
        <f>IFERROR(VLOOKUP(E2159,BD!$L$2:$Q$66,2,0),0)</f>
        <v>0</v>
      </c>
      <c r="G2159" s="513">
        <v>10</v>
      </c>
      <c r="H2159" s="6">
        <f>+IFERROR(VLOOKUP(E2159,BD!$L$2:$Q$66,6,0),0)</f>
        <v>0</v>
      </c>
      <c r="I2159" s="97">
        <f>IFERROR(G2159*VLOOKUP($E2159,BD!$L$2:$Q$66,5,0),0)</f>
        <v>0</v>
      </c>
      <c r="J2159" s="109">
        <f t="shared" si="143"/>
        <v>2021</v>
      </c>
      <c r="K2159" s="9" t="s">
        <v>237</v>
      </c>
    </row>
    <row r="2160" spans="1:11" s="9" customFormat="1" hidden="1" x14ac:dyDescent="0.25">
      <c r="A2160" s="491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7">
        <v>256625</v>
      </c>
      <c r="F2160" s="3">
        <f>IFERROR(VLOOKUP(E2160,BD!$L$2:$Q$66,2,0),0)</f>
        <v>0</v>
      </c>
      <c r="G2160" s="424">
        <v>4</v>
      </c>
      <c r="H2160" s="3">
        <f>+IFERROR(VLOOKUP(E2160,BD!$L$2:$Q$66,6,0),0)</f>
        <v>0</v>
      </c>
      <c r="I2160" s="96">
        <f>IFERROR(G2160*VLOOKUP($E2160,BD!$L$2:$Q$66,5,0),0)</f>
        <v>0</v>
      </c>
      <c r="J2160" s="5">
        <f t="shared" si="143"/>
        <v>2021</v>
      </c>
      <c r="K2160" s="9" t="s">
        <v>237</v>
      </c>
    </row>
    <row r="2161" spans="1:11" s="9" customFormat="1" hidden="1" x14ac:dyDescent="0.25">
      <c r="A2161" s="491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7">
        <v>251641</v>
      </c>
      <c r="F2161" s="3">
        <f>IFERROR(VLOOKUP(E2161,BD!$L$2:$Q$66,2,0),0)</f>
        <v>0</v>
      </c>
      <c r="G2161" s="424">
        <v>3</v>
      </c>
      <c r="H2161" s="3">
        <f>+IFERROR(VLOOKUP(E2161,BD!$L$2:$Q$66,6,0),0)</f>
        <v>0</v>
      </c>
      <c r="I2161" s="96">
        <f>IFERROR(G2161*VLOOKUP($E2161,BD!$L$2:$Q$66,5,0),0)</f>
        <v>0</v>
      </c>
      <c r="J2161" s="5">
        <f t="shared" si="143"/>
        <v>2021</v>
      </c>
      <c r="K2161" s="9" t="s">
        <v>237</v>
      </c>
    </row>
    <row r="2162" spans="1:11" s="9" customFormat="1" hidden="1" x14ac:dyDescent="0.25">
      <c r="A2162" s="491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7">
        <v>256575</v>
      </c>
      <c r="F2162" s="3">
        <f>IFERROR(VLOOKUP(E2162,BD!$L$2:$Q$66,2,0),0)</f>
        <v>0</v>
      </c>
      <c r="G2162" s="424">
        <v>17</v>
      </c>
      <c r="H2162" s="3">
        <f>+IFERROR(VLOOKUP(E2162,BD!$L$2:$Q$66,6,0),0)</f>
        <v>0</v>
      </c>
      <c r="I2162" s="96">
        <f>IFERROR(G2162*VLOOKUP($E2162,BD!$L$2:$Q$66,5,0),0)</f>
        <v>0</v>
      </c>
      <c r="J2162" s="5">
        <f t="shared" si="143"/>
        <v>2021</v>
      </c>
      <c r="K2162" s="9" t="s">
        <v>237</v>
      </c>
    </row>
    <row r="2163" spans="1:11" s="9" customFormat="1" hidden="1" x14ac:dyDescent="0.25">
      <c r="A2163" s="491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7">
        <v>256664</v>
      </c>
      <c r="F2163" s="3">
        <f>IFERROR(VLOOKUP(E2163,BD!$L$2:$Q$66,2,0),0)</f>
        <v>0</v>
      </c>
      <c r="G2163" s="424">
        <v>4</v>
      </c>
      <c r="H2163" s="3">
        <f>+IFERROR(VLOOKUP(E2163,BD!$L$2:$Q$66,6,0),0)</f>
        <v>0</v>
      </c>
      <c r="I2163" s="96">
        <f>IFERROR(G2163*VLOOKUP($E2163,BD!$L$2:$Q$66,5,0),0)</f>
        <v>0</v>
      </c>
      <c r="J2163" s="5">
        <f t="shared" si="143"/>
        <v>2021</v>
      </c>
      <c r="K2163" s="9" t="s">
        <v>237</v>
      </c>
    </row>
    <row r="2164" spans="1:11" s="9" customFormat="1" hidden="1" x14ac:dyDescent="0.25">
      <c r="A2164" s="491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7">
        <v>256663</v>
      </c>
      <c r="F2164" s="3">
        <f>IFERROR(VLOOKUP(E2164,BD!$L$2:$Q$66,2,0),0)</f>
        <v>0</v>
      </c>
      <c r="G2164" s="424">
        <v>12</v>
      </c>
      <c r="H2164" s="3">
        <f>+IFERROR(VLOOKUP(E2164,BD!$L$2:$Q$66,6,0),0)</f>
        <v>0</v>
      </c>
      <c r="I2164" s="96">
        <f>IFERROR(G2164*VLOOKUP($E2164,BD!$L$2:$Q$66,5,0),0)</f>
        <v>0</v>
      </c>
      <c r="J2164" s="5">
        <f t="shared" si="143"/>
        <v>2021</v>
      </c>
      <c r="K2164" s="9" t="s">
        <v>237</v>
      </c>
    </row>
    <row r="2165" spans="1:11" s="9" customFormat="1" hidden="1" x14ac:dyDescent="0.25">
      <c r="A2165" s="491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7">
        <v>256668</v>
      </c>
      <c r="F2165" s="3">
        <f>IFERROR(VLOOKUP(E2165,BD!$L$2:$Q$66,2,0),0)</f>
        <v>0</v>
      </c>
      <c r="G2165" s="424">
        <v>4</v>
      </c>
      <c r="H2165" s="3">
        <f>+IFERROR(VLOOKUP(E2165,BD!$L$2:$Q$66,6,0),0)</f>
        <v>0</v>
      </c>
      <c r="I2165" s="96">
        <f>IFERROR(G2165*VLOOKUP($E2165,BD!$L$2:$Q$66,5,0),0)</f>
        <v>0</v>
      </c>
      <c r="J2165" s="5">
        <f t="shared" si="143"/>
        <v>2021</v>
      </c>
      <c r="K2165" s="9" t="s">
        <v>237</v>
      </c>
    </row>
    <row r="2166" spans="1:11" s="9" customFormat="1" hidden="1" x14ac:dyDescent="0.25">
      <c r="A2166" s="491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7">
        <v>256564</v>
      </c>
      <c r="F2166" s="3">
        <f>IFERROR(VLOOKUP(E2166,BD!$L$2:$Q$66,2,0),0)</f>
        <v>0</v>
      </c>
      <c r="G2166" s="424">
        <v>3</v>
      </c>
      <c r="H2166" s="3">
        <f>+IFERROR(VLOOKUP(E2166,BD!$L$2:$Q$66,6,0),0)</f>
        <v>0</v>
      </c>
      <c r="I2166" s="96">
        <f>IFERROR(G2166*VLOOKUP($E2166,BD!$L$2:$Q$66,5,0),0)</f>
        <v>0</v>
      </c>
      <c r="J2166" s="5">
        <f t="shared" si="143"/>
        <v>2021</v>
      </c>
      <c r="K2166" s="9" t="s">
        <v>237</v>
      </c>
    </row>
    <row r="2167" spans="1:11" s="9" customFormat="1" hidden="1" x14ac:dyDescent="0.25">
      <c r="A2167" s="491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7">
        <v>250422</v>
      </c>
      <c r="F2167" s="3">
        <f>IFERROR(VLOOKUP(E2167,BD!$L$2:$Q$66,2,0),0)</f>
        <v>0</v>
      </c>
      <c r="G2167" s="424">
        <v>2</v>
      </c>
      <c r="H2167" s="3">
        <f>+IFERROR(VLOOKUP(E2167,BD!$L$2:$Q$66,6,0),0)</f>
        <v>0</v>
      </c>
      <c r="I2167" s="96">
        <f>IFERROR(G2167*VLOOKUP($E2167,BD!$L$2:$Q$66,5,0),0)</f>
        <v>0</v>
      </c>
      <c r="J2167" s="5">
        <f t="shared" si="143"/>
        <v>2021</v>
      </c>
      <c r="K2167" s="9" t="s">
        <v>237</v>
      </c>
    </row>
    <row r="2168" spans="1:11" s="9" customFormat="1" hidden="1" x14ac:dyDescent="0.25">
      <c r="A2168" s="491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7">
        <v>256584</v>
      </c>
      <c r="F2168" s="3">
        <f>IFERROR(VLOOKUP(E2168,BD!$L$2:$Q$66,2,0),0)</f>
        <v>0</v>
      </c>
      <c r="G2168" s="424">
        <v>16</v>
      </c>
      <c r="H2168" s="3">
        <f>+IFERROR(VLOOKUP(E2168,BD!$L$2:$Q$66,6,0),0)</f>
        <v>0</v>
      </c>
      <c r="I2168" s="96">
        <f>IFERROR(G2168*VLOOKUP($E2168,BD!$L$2:$Q$66,5,0),0)</f>
        <v>0</v>
      </c>
      <c r="J2168" s="5">
        <f t="shared" si="143"/>
        <v>2021</v>
      </c>
      <c r="K2168" s="9" t="s">
        <v>237</v>
      </c>
    </row>
    <row r="2169" spans="1:11" s="9" customFormat="1" ht="15.75" hidden="1" thickBot="1" x14ac:dyDescent="0.3">
      <c r="A2169" s="492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9">
        <v>256609</v>
      </c>
      <c r="F2169" s="8">
        <f>IFERROR(VLOOKUP(E2169,BD!$L$2:$Q$66,2,0),0)</f>
        <v>0</v>
      </c>
      <c r="G2169" s="501">
        <v>4</v>
      </c>
      <c r="H2169" s="8">
        <f>+IFERROR(VLOOKUP(E2169,BD!$L$2:$Q$66,6,0),0)</f>
        <v>0</v>
      </c>
      <c r="I2169" s="98">
        <f>IFERROR(G2169*VLOOKUP($E2169,BD!$L$2:$Q$66,5,0),0)</f>
        <v>0</v>
      </c>
      <c r="J2169" s="110">
        <f t="shared" si="143"/>
        <v>2021</v>
      </c>
      <c r="K2169" s="9" t="s">
        <v>237</v>
      </c>
    </row>
    <row r="2170" spans="1:11" s="9" customFormat="1" hidden="1" x14ac:dyDescent="0.25">
      <c r="A2170" s="493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63">
        <v>251406</v>
      </c>
      <c r="F2170" s="6" t="str">
        <f>IFERROR(VLOOKUP(E2170,BD!$L$2:$Q$66,2,0),0)</f>
        <v>COCA-COLA SIN AZUCAR PET 1.5LX2</v>
      </c>
      <c r="G2170" s="513">
        <f>216*6</f>
        <v>1296</v>
      </c>
      <c r="H2170" s="6">
        <f>+IFERROR(VLOOKUP(E2170,BD!$L$2:$Q$66,6,0),0)</f>
        <v>198</v>
      </c>
      <c r="I2170" s="97">
        <f>IFERROR(G2170*VLOOKUP($E2170,BD!$L$2:$Q$66,5,0),0)</f>
        <v>220.32000000000002</v>
      </c>
      <c r="J2170" s="109">
        <f t="shared" si="143"/>
        <v>2021</v>
      </c>
    </row>
    <row r="2171" spans="1:11" s="9" customFormat="1" hidden="1" x14ac:dyDescent="0.25">
      <c r="A2171" s="491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7">
        <v>256677</v>
      </c>
      <c r="F2171" s="3" t="str">
        <f>IFERROR(VLOOKUP(E2171,BD!$L$2:$Q$66,2,0),0)</f>
        <v>TWO PACK CC + IK PFM 3LX2 - RFNN</v>
      </c>
      <c r="G2171" s="424">
        <f>120*20</f>
        <v>2400</v>
      </c>
      <c r="H2171" s="3">
        <f>+IFERROR(VLOOKUP(E2171,BD!$L$2:$Q$66,6,0),0)</f>
        <v>120</v>
      </c>
      <c r="I2171" s="96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hidden="1" x14ac:dyDescent="0.25">
      <c r="A2172" s="491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7">
        <v>256488</v>
      </c>
      <c r="F2172" s="3" t="str">
        <f>IFERROR(VLOOKUP(E2172,BD!$L$2:$Q$66,2,0),0)</f>
        <v>INCA KOLA PET 3LX2 - RF</v>
      </c>
      <c r="G2172" s="424">
        <f>120*11</f>
        <v>1320</v>
      </c>
      <c r="H2172" s="3">
        <f>+IFERROR(VLOOKUP(E2172,BD!$L$2:$Q$66,6,0),0)</f>
        <v>120</v>
      </c>
      <c r="I2172" s="96">
        <f>IFERROR(G2172*VLOOKUP($E2172,BD!$L$2:$Q$66,5,0),0)</f>
        <v>224.4</v>
      </c>
      <c r="J2172" s="5">
        <f t="shared" si="147"/>
        <v>2021</v>
      </c>
    </row>
    <row r="2173" spans="1:11" s="9" customFormat="1" hidden="1" x14ac:dyDescent="0.25">
      <c r="A2173" s="491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7">
        <v>256674</v>
      </c>
      <c r="F2173" s="3" t="str">
        <f>IFERROR(VLOOKUP(E2173,BD!$L$2:$Q$66,2,0),0)</f>
        <v>COCA-COLA PET 1.5LX2 RF</v>
      </c>
      <c r="G2173" s="424">
        <f>216*6</f>
        <v>1296</v>
      </c>
      <c r="H2173" s="3">
        <f>+IFERROR(VLOOKUP(E2173,BD!$L$2:$Q$66,6,0),0)</f>
        <v>198</v>
      </c>
      <c r="I2173" s="96">
        <f>IFERROR(G2173*VLOOKUP($E2173,BD!$L$2:$Q$66,5,0),0)</f>
        <v>220.32000000000002</v>
      </c>
      <c r="J2173" s="5">
        <f t="shared" si="147"/>
        <v>2021</v>
      </c>
    </row>
    <row r="2174" spans="1:11" s="9" customFormat="1" hidden="1" x14ac:dyDescent="0.25">
      <c r="A2174" s="491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7">
        <v>256675</v>
      </c>
      <c r="F2174" s="3" t="str">
        <f>IFERROR(VLOOKUP(E2174,BD!$L$2:$Q$66,2,0),0)</f>
        <v>INCA KOLA PET 1.5LX2 RF</v>
      </c>
      <c r="G2174" s="424">
        <f>216*4</f>
        <v>864</v>
      </c>
      <c r="H2174" s="3">
        <f>+IFERROR(VLOOKUP(E2174,BD!$L$2:$Q$66,6,0),0)</f>
        <v>198</v>
      </c>
      <c r="I2174" s="96">
        <f>IFERROR(G2174*VLOOKUP($E2174,BD!$L$2:$Q$66,5,0),0)</f>
        <v>146.88000000000002</v>
      </c>
      <c r="J2174" s="5">
        <f t="shared" si="147"/>
        <v>2021</v>
      </c>
    </row>
    <row r="2175" spans="1:11" s="9" customFormat="1" hidden="1" x14ac:dyDescent="0.25">
      <c r="A2175" s="491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7">
        <v>256676</v>
      </c>
      <c r="F2175" s="3" t="str">
        <f>IFERROR(VLOOKUP(E2175,BD!$L$2:$Q$66,2,0),0)</f>
        <v>TWO PACK CC PFM 3LX2 - RFCC</v>
      </c>
      <c r="G2175" s="424">
        <f>120*8</f>
        <v>960</v>
      </c>
      <c r="H2175" s="3">
        <f>+IFERROR(VLOOKUP(E2175,BD!$L$2:$Q$66,6,0),0)</f>
        <v>120</v>
      </c>
      <c r="I2175" s="96">
        <f>IFERROR(G2175*VLOOKUP($E2175,BD!$L$2:$Q$66,5,0),0)</f>
        <v>163.20000000000002</v>
      </c>
      <c r="J2175" s="5">
        <f t="shared" si="147"/>
        <v>2021</v>
      </c>
    </row>
    <row r="2176" spans="1:11" s="9" customFormat="1" hidden="1" x14ac:dyDescent="0.25">
      <c r="A2176" s="491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7">
        <v>254762</v>
      </c>
      <c r="F2176" s="3" t="str">
        <f>IFERROR(VLOOKUP(E2176,BD!$L$2:$Q$66,2,0),0)</f>
        <v xml:space="preserve">SAN LUIS SPORT S/G 10 Lt x6 </v>
      </c>
      <c r="G2176" s="424">
        <f>112*2</f>
        <v>224</v>
      </c>
      <c r="H2176" s="3">
        <f>+IFERROR(VLOOKUP(E2176,BD!$L$2:$Q$66,6,0),0)</f>
        <v>240</v>
      </c>
      <c r="I2176" s="96">
        <f>IFERROR(G2176*VLOOKUP($E2176,BD!$L$2:$Q$66,5,0),0)</f>
        <v>89.600000000000009</v>
      </c>
      <c r="J2176" s="5">
        <f t="shared" si="147"/>
        <v>2021</v>
      </c>
    </row>
    <row r="2177" spans="1:10" s="9" customFormat="1" hidden="1" x14ac:dyDescent="0.25">
      <c r="A2177" s="491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7">
        <v>254853</v>
      </c>
      <c r="F2177" s="3" t="str">
        <f>IFERROR(VLOOKUP(E2177,BD!$L$2:$Q$66,2,0),0)</f>
        <v>INCA KOLA SIN AZUCAR PET 1.5LX2</v>
      </c>
      <c r="G2177" s="424">
        <f>216*6</f>
        <v>1296</v>
      </c>
      <c r="H2177" s="3">
        <f>+IFERROR(VLOOKUP(E2177,BD!$L$2:$Q$66,6,0),0)</f>
        <v>198</v>
      </c>
      <c r="I2177" s="96">
        <f>IFERROR(G2177*VLOOKUP($E2177,BD!$L$2:$Q$66,5,0),0)</f>
        <v>220.32000000000002</v>
      </c>
      <c r="J2177" s="5">
        <f t="shared" si="147"/>
        <v>2021</v>
      </c>
    </row>
    <row r="2178" spans="1:10" s="9" customFormat="1" hidden="1" x14ac:dyDescent="0.25">
      <c r="A2178" s="491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7">
        <v>251429</v>
      </c>
      <c r="F2178" s="3" t="str">
        <f>IFERROR(VLOOKUP(E2178,BD!$L$2:$Q$66,2,0),0)</f>
        <v>SAN LUIS SIN GAS PET2500X6 STICKER</v>
      </c>
      <c r="G2178" s="424">
        <f>48*17</f>
        <v>816</v>
      </c>
      <c r="H2178" s="3">
        <f>+IFERROR(VLOOKUP(E2178,BD!$L$2:$Q$66,6,0),0)</f>
        <v>48</v>
      </c>
      <c r="I2178" s="96">
        <f>IFERROR(G2178*VLOOKUP($E2178,BD!$L$2:$Q$66,5,0),0)</f>
        <v>326.40000000000003</v>
      </c>
      <c r="J2178" s="5">
        <f t="shared" si="147"/>
        <v>2021</v>
      </c>
    </row>
    <row r="2179" spans="1:10" s="9" customFormat="1" hidden="1" x14ac:dyDescent="0.25">
      <c r="A2179" s="491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7">
        <v>256652</v>
      </c>
      <c r="F2179" s="3" t="str">
        <f>IFERROR(VLOOKUP(E2179,BD!$L$2:$Q$66,2,0),0)</f>
        <v>TRIPACK FT NAR+FT KI+SP PET 3L</v>
      </c>
      <c r="G2179" s="424">
        <f>90*11</f>
        <v>990</v>
      </c>
      <c r="H2179" s="3">
        <f>+IFERROR(VLOOKUP(E2179,BD!$L$2:$Q$66,6,0),0)</f>
        <v>90</v>
      </c>
      <c r="I2179" s="96">
        <f>IFERROR(G2179*VLOOKUP($E2179,BD!$L$2:$Q$66,5,0),0)</f>
        <v>168.3</v>
      </c>
      <c r="J2179" s="5">
        <f t="shared" si="147"/>
        <v>2021</v>
      </c>
    </row>
    <row r="2180" spans="1:10" s="9" customFormat="1" hidden="1" x14ac:dyDescent="0.25">
      <c r="A2180" s="491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7">
        <v>256678</v>
      </c>
      <c r="F2180" s="3" t="str">
        <f>IFERROR(VLOOKUP(E2180,BD!$L$2:$Q$66,2,0),0)</f>
        <v>TRIPACK (CC+IK)PFM+FT PET 3LX3 - RFNN</v>
      </c>
      <c r="G2180" s="424">
        <f>90*32</f>
        <v>2880</v>
      </c>
      <c r="H2180" s="3">
        <f>+IFERROR(VLOOKUP(E2180,BD!$L$2:$Q$66,6,0),0)</f>
        <v>90</v>
      </c>
      <c r="I2180" s="96">
        <f>IFERROR(G2180*VLOOKUP($E2180,BD!$L$2:$Q$66,5,0),0)</f>
        <v>489.6</v>
      </c>
      <c r="J2180" s="5">
        <f t="shared" si="147"/>
        <v>2021</v>
      </c>
    </row>
    <row r="2181" spans="1:10" s="9" customFormat="1" hidden="1" x14ac:dyDescent="0.25">
      <c r="A2181" s="491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7">
        <v>256652</v>
      </c>
      <c r="F2181" s="3" t="str">
        <f>IFERROR(VLOOKUP(E2181,BD!$L$2:$Q$66,2,0),0)</f>
        <v>TRIPACK FT NAR+FT KI+SP PET 3L</v>
      </c>
      <c r="G2181" s="424">
        <f>90*2</f>
        <v>180</v>
      </c>
      <c r="H2181" s="3">
        <f>+IFERROR(VLOOKUP(E2181,BD!$L$2:$Q$66,6,0),0)</f>
        <v>90</v>
      </c>
      <c r="I2181" s="96">
        <f>IFERROR(G2181*VLOOKUP($E2181,BD!$L$2:$Q$66,5,0),0)</f>
        <v>30.6</v>
      </c>
      <c r="J2181" s="5">
        <f t="shared" si="147"/>
        <v>2021</v>
      </c>
    </row>
    <row r="2182" spans="1:10" s="9" customFormat="1" hidden="1" x14ac:dyDescent="0.25">
      <c r="A2182" s="491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7">
        <v>256679</v>
      </c>
      <c r="F2182" s="3" t="str">
        <f>IFERROR(VLOOKUP(E2182,BD!$L$2:$Q$66,2,0),0)</f>
        <v>TRIPACK CC+IK+IK PFM 3LX3 - RFNN</v>
      </c>
      <c r="G2182" s="424">
        <f>90*5</f>
        <v>450</v>
      </c>
      <c r="H2182" s="3">
        <f>+IFERROR(VLOOKUP(E2182,BD!$L$2:$Q$66,6,0),0)</f>
        <v>90</v>
      </c>
      <c r="I2182" s="96">
        <f>IFERROR(G2182*VLOOKUP($E2182,BD!$L$2:$Q$66,5,0),0)</f>
        <v>76.5</v>
      </c>
      <c r="J2182" s="5">
        <f t="shared" si="147"/>
        <v>2021</v>
      </c>
    </row>
    <row r="2183" spans="1:10" s="9" customFormat="1" hidden="1" x14ac:dyDescent="0.25">
      <c r="A2183" s="491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7">
        <v>256720</v>
      </c>
      <c r="F2183" s="3" t="str">
        <f>IFERROR(VLOOKUP(E2183,BD!$L$2:$Q$66,2,0),0)</f>
        <v>FANTA NARANJA PET 500MLX6 BRANDEADO MOD</v>
      </c>
      <c r="G2183" s="424">
        <f>250*2</f>
        <v>500</v>
      </c>
      <c r="H2183" s="3">
        <f>+IFERROR(VLOOKUP(E2183,BD!$L$2:$Q$66,6,0),0)</f>
        <v>420</v>
      </c>
      <c r="I2183" s="96">
        <f>IFERROR(G2183*VLOOKUP($E2183,BD!$L$2:$Q$66,5,0),0)</f>
        <v>210</v>
      </c>
      <c r="J2183" s="5">
        <f t="shared" si="147"/>
        <v>2021</v>
      </c>
    </row>
    <row r="2184" spans="1:10" s="9" customFormat="1" ht="15.75" hidden="1" thickBot="1" x14ac:dyDescent="0.3">
      <c r="A2184" s="492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9">
        <v>251633</v>
      </c>
      <c r="F2184" s="8" t="str">
        <f>IFERROR(VLOOKUP(E2184,BD!$L$2:$Q$66,2,0),0)</f>
        <v>SAN LUIS CON GAS PET 625MLX6</v>
      </c>
      <c r="G2184" s="501">
        <v>360</v>
      </c>
      <c r="H2184" s="8">
        <f>+IFERROR(VLOOKUP(E2184,BD!$L$2:$Q$66,6,0),0)</f>
        <v>180</v>
      </c>
      <c r="I2184" s="98">
        <f>IFERROR(G2184*VLOOKUP($E2184,BD!$L$2:$Q$66,5,0),0)</f>
        <v>151.19999999999999</v>
      </c>
      <c r="J2184" s="110">
        <f t="shared" si="147"/>
        <v>2021</v>
      </c>
    </row>
    <row r="2185" spans="1:10" s="9" customFormat="1" hidden="1" x14ac:dyDescent="0.25">
      <c r="A2185" s="493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63">
        <v>256685</v>
      </c>
      <c r="F2185" s="6" t="str">
        <f>IFERROR(VLOOKUP(E2185,BD!$L$2:$Q$66,2,0),0)</f>
        <v>SL S/G TAPA PLANA 1LT</v>
      </c>
      <c r="G2185" s="513">
        <v>112</v>
      </c>
      <c r="H2185" s="6">
        <f>+IFERROR(VLOOKUP(E2185,BD!$L$2:$Q$66,6,0),0)</f>
        <v>112</v>
      </c>
      <c r="I2185" s="97">
        <f>IFERROR(G2185*VLOOKUP($E2185,BD!$L$2:$Q$66,5,0),0)</f>
        <v>44.800000000000004</v>
      </c>
      <c r="J2185" s="109">
        <f t="shared" si="147"/>
        <v>2021</v>
      </c>
    </row>
    <row r="2186" spans="1:10" s="9" customFormat="1" hidden="1" x14ac:dyDescent="0.25">
      <c r="A2186" s="491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7">
        <v>256721</v>
      </c>
      <c r="F2186" s="3" t="str">
        <f>IFERROR(VLOOKUP(E2186,BD!$L$2:$Q$66,2,0),0)</f>
        <v>SPRITE PET 500MLX6 BRANDEADO MOD</v>
      </c>
      <c r="G2186" s="424">
        <v>250</v>
      </c>
      <c r="H2186" s="3">
        <f>+IFERROR(VLOOKUP(E2186,BD!$L$2:$Q$66,6,0),0)</f>
        <v>420</v>
      </c>
      <c r="I2186" s="96">
        <f>IFERROR(G2186*VLOOKUP($E2186,BD!$L$2:$Q$66,5,0),0)</f>
        <v>105</v>
      </c>
      <c r="J2186" s="5">
        <f t="shared" si="147"/>
        <v>2021</v>
      </c>
    </row>
    <row r="2187" spans="1:10" s="9" customFormat="1" hidden="1" x14ac:dyDescent="0.25">
      <c r="A2187" s="491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7">
        <v>256379</v>
      </c>
      <c r="F2187" s="3" t="str">
        <f>IFERROR(VLOOKUP(E2187,BD!$L$2:$Q$66,2,0),0)</f>
        <v>INCA KOLA VR 625MLX12 - STICKER</v>
      </c>
      <c r="G2187" s="424">
        <v>50</v>
      </c>
      <c r="H2187" s="3">
        <f>+IFERROR(VLOOKUP(E2187,BD!$L$2:$Q$66,6,0),0)</f>
        <v>50</v>
      </c>
      <c r="I2187" s="96">
        <f>IFERROR(G2187*VLOOKUP($E2187,BD!$L$2:$Q$66,5,0),0)</f>
        <v>20</v>
      </c>
      <c r="J2187" s="5">
        <f t="shared" si="147"/>
        <v>2021</v>
      </c>
    </row>
    <row r="2188" spans="1:10" s="9" customFormat="1" hidden="1" x14ac:dyDescent="0.25">
      <c r="A2188" s="491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7">
        <v>256381</v>
      </c>
      <c r="F2188" s="3" t="str">
        <f>IFERROR(VLOOKUP(E2188,BD!$L$2:$Q$66,2,0),0)</f>
        <v>INCA KOLA VR 1.5LX8 - STICKER</v>
      </c>
      <c r="G2188" s="424">
        <v>30</v>
      </c>
      <c r="H2188" s="3">
        <f>+IFERROR(VLOOKUP(E2188,BD!$L$2:$Q$66,6,0),0)</f>
        <v>30</v>
      </c>
      <c r="I2188" s="96">
        <f>IFERROR(G2188*VLOOKUP($E2188,BD!$L$2:$Q$66,5,0),0)</f>
        <v>12</v>
      </c>
      <c r="J2188" s="5">
        <f t="shared" si="147"/>
        <v>2021</v>
      </c>
    </row>
    <row r="2189" spans="1:10" s="9" customFormat="1" hidden="1" x14ac:dyDescent="0.25">
      <c r="A2189" s="491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7">
        <v>256666</v>
      </c>
      <c r="F2189" s="3" t="str">
        <f>IFERROR(VLOOKUP(E2189,BD!$L$2:$Q$66,2,0),0)</f>
        <v>COCA-COLA PET 2.25LX2 RF</v>
      </c>
      <c r="G2189" s="424">
        <f>162*2</f>
        <v>324</v>
      </c>
      <c r="H2189" s="3">
        <f>+IFERROR(VLOOKUP(E2189,BD!$L$2:$Q$66,6,0),0)</f>
        <v>162</v>
      </c>
      <c r="I2189" s="96">
        <f>IFERROR(G2189*VLOOKUP($E2189,BD!$L$2:$Q$66,5,0),0)</f>
        <v>55.080000000000005</v>
      </c>
      <c r="J2189" s="5">
        <f t="shared" si="147"/>
        <v>2021</v>
      </c>
    </row>
    <row r="2190" spans="1:10" s="9" customFormat="1" hidden="1" x14ac:dyDescent="0.25">
      <c r="A2190" s="491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7">
        <v>256617</v>
      </c>
      <c r="F2190" s="3" t="str">
        <f>IFERROR(VLOOKUP(E2190,BD!$L$2:$Q$66,2,0),0)</f>
        <v>TWO PACK SCHWEPPES GINGER ALE PET 1.5LX2</v>
      </c>
      <c r="G2190" s="424">
        <v>198</v>
      </c>
      <c r="H2190" s="3">
        <f>+IFERROR(VLOOKUP(E2190,BD!$L$2:$Q$66,6,0),0)</f>
        <v>198</v>
      </c>
      <c r="I2190" s="96">
        <f>IFERROR(G2190*VLOOKUP($E2190,BD!$L$2:$Q$66,5,0),0)</f>
        <v>33.660000000000004</v>
      </c>
      <c r="J2190" s="5">
        <f t="shared" si="147"/>
        <v>2021</v>
      </c>
    </row>
    <row r="2191" spans="1:10" s="9" customFormat="1" hidden="1" x14ac:dyDescent="0.25">
      <c r="A2191" s="491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7">
        <v>256616</v>
      </c>
      <c r="F2191" s="3" t="str">
        <f>IFERROR(VLOOKUP(E2191,BD!$L$2:$Q$66,2,0),0)</f>
        <v>TWO PACK SCHWEPPES CITRUS PET 1.5LX2</v>
      </c>
      <c r="G2191" s="424">
        <f>198*2</f>
        <v>396</v>
      </c>
      <c r="H2191" s="3">
        <f>+IFERROR(VLOOKUP(E2191,BD!$L$2:$Q$66,6,0),0)</f>
        <v>198</v>
      </c>
      <c r="I2191" s="96">
        <f>IFERROR(G2191*VLOOKUP($E2191,BD!$L$2:$Q$66,5,0),0)</f>
        <v>67.320000000000007</v>
      </c>
      <c r="J2191" s="5">
        <f t="shared" si="147"/>
        <v>2021</v>
      </c>
    </row>
    <row r="2192" spans="1:10" s="9" customFormat="1" hidden="1" x14ac:dyDescent="0.25">
      <c r="A2192" s="491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7">
        <v>256601</v>
      </c>
      <c r="F2192" s="3" t="str">
        <f>IFERROR(VLOOKUP(E2192,BD!$L$2:$Q$66,2,0),0)</f>
        <v>INCA KOLA PET 2.25LX2 RF</v>
      </c>
      <c r="G2192" s="424">
        <v>162</v>
      </c>
      <c r="H2192" s="3">
        <f>+IFERROR(VLOOKUP(E2192,BD!$L$2:$Q$66,6,0),0)</f>
        <v>162</v>
      </c>
      <c r="I2192" s="96">
        <f>IFERROR(G2192*VLOOKUP($E2192,BD!$L$2:$Q$66,5,0),0)</f>
        <v>27.540000000000003</v>
      </c>
      <c r="J2192" s="5">
        <f t="shared" si="147"/>
        <v>2021</v>
      </c>
    </row>
    <row r="2193" spans="1:10" s="9" customFormat="1" hidden="1" x14ac:dyDescent="0.25">
      <c r="A2193" s="491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7">
        <v>256695</v>
      </c>
      <c r="F2193" s="3" t="str">
        <f>IFERROR(VLOOKUP(E2193,BD!$L$2:$Q$66,2,0),0)</f>
        <v>POWERADE 3MORA+3FRUT PET 473MLX6</v>
      </c>
      <c r="G2193" s="424">
        <f>225*4</f>
        <v>900</v>
      </c>
      <c r="H2193" s="3">
        <f>+IFERROR(VLOOKUP(E2193,BD!$L$2:$Q$66,6,0),0)</f>
        <v>225</v>
      </c>
      <c r="I2193" s="96">
        <f>IFERROR(G2193*VLOOKUP($E2193,BD!$L$2:$Q$66,5,0),0)</f>
        <v>378</v>
      </c>
      <c r="J2193" s="5">
        <f t="shared" si="147"/>
        <v>2021</v>
      </c>
    </row>
    <row r="2194" spans="1:10" s="9" customFormat="1" ht="15.75" hidden="1" thickBot="1" x14ac:dyDescent="0.3">
      <c r="A2194" s="492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9">
        <v>256708</v>
      </c>
      <c r="F2194" s="8" t="str">
        <f>IFERROR(VLOOKUP(E2194,BD!$L$2:$Q$66,2,0),0)</f>
        <v>POWERADE ION4 FRUTA PET473X6 MOD (STICK)</v>
      </c>
      <c r="G2194" s="501">
        <v>225</v>
      </c>
      <c r="H2194" s="8">
        <f>+IFERROR(VLOOKUP(E2194,BD!$L$2:$Q$66,6,0),0)</f>
        <v>225</v>
      </c>
      <c r="I2194" s="98">
        <f>IFERROR(G2194*VLOOKUP($E2194,BD!$L$2:$Q$66,5,0),0)</f>
        <v>90</v>
      </c>
      <c r="J2194" s="110">
        <f t="shared" si="147"/>
        <v>2021</v>
      </c>
    </row>
    <row r="2195" spans="1:10" s="9" customFormat="1" hidden="1" x14ac:dyDescent="0.25">
      <c r="A2195" s="493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63">
        <v>251406</v>
      </c>
      <c r="F2195" s="6" t="str">
        <f>IFERROR(VLOOKUP(E2195,BD!$L$2:$Q$66,2,0),0)</f>
        <v>COCA-COLA SIN AZUCAR PET 1.5LX2</v>
      </c>
      <c r="G2195" s="513">
        <f>216*4</f>
        <v>864</v>
      </c>
      <c r="H2195" s="6">
        <f>+IFERROR(VLOOKUP(E2195,BD!$L$2:$Q$66,6,0),0)</f>
        <v>198</v>
      </c>
      <c r="I2195" s="97">
        <f>IFERROR(G2195*VLOOKUP($E2195,BD!$L$2:$Q$66,5,0),0)</f>
        <v>146.88000000000002</v>
      </c>
      <c r="J2195" s="109">
        <f t="shared" si="147"/>
        <v>2021</v>
      </c>
    </row>
    <row r="2196" spans="1:10" s="9" customFormat="1" hidden="1" x14ac:dyDescent="0.25">
      <c r="A2196" s="491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7">
        <v>251633</v>
      </c>
      <c r="F2196" s="3" t="str">
        <f>IFERROR(VLOOKUP(E2196,BD!$L$2:$Q$66,2,0),0)</f>
        <v>SAN LUIS CON GAS PET 625MLX6</v>
      </c>
      <c r="G2196" s="424">
        <f>180*4</f>
        <v>720</v>
      </c>
      <c r="H2196" s="3">
        <f>+IFERROR(VLOOKUP(E2196,BD!$L$2:$Q$66,6,0),0)</f>
        <v>180</v>
      </c>
      <c r="I2196" s="96">
        <f>IFERROR(G2196*VLOOKUP($E2196,BD!$L$2:$Q$66,5,0),0)</f>
        <v>302.39999999999998</v>
      </c>
      <c r="J2196" s="5">
        <f t="shared" si="147"/>
        <v>2021</v>
      </c>
    </row>
    <row r="2197" spans="1:10" s="9" customFormat="1" hidden="1" x14ac:dyDescent="0.25">
      <c r="A2197" s="491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7">
        <v>256708</v>
      </c>
      <c r="F2197" s="3" t="str">
        <f>IFERROR(VLOOKUP(E2197,BD!$L$2:$Q$66,2,0),0)</f>
        <v>POWERADE ION4 FRUTA PET473X6 MOD (STICK)</v>
      </c>
      <c r="G2197" s="424">
        <f>225*4</f>
        <v>900</v>
      </c>
      <c r="H2197" s="3">
        <f>+IFERROR(VLOOKUP(E2197,BD!$L$2:$Q$66,6,0),0)</f>
        <v>225</v>
      </c>
      <c r="I2197" s="96">
        <f>IFERROR(G2197*VLOOKUP($E2197,BD!$L$2:$Q$66,5,0),0)</f>
        <v>360</v>
      </c>
      <c r="J2197" s="5">
        <f t="shared" si="147"/>
        <v>2021</v>
      </c>
    </row>
    <row r="2198" spans="1:10" s="9" customFormat="1" hidden="1" x14ac:dyDescent="0.25">
      <c r="A2198" s="491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7">
        <v>256488</v>
      </c>
      <c r="F2198" s="3" t="str">
        <f>IFERROR(VLOOKUP(E2198,BD!$L$2:$Q$66,2,0),0)</f>
        <v>INCA KOLA PET 3LX2 - RF</v>
      </c>
      <c r="G2198" s="424">
        <f>120*14</f>
        <v>1680</v>
      </c>
      <c r="H2198" s="3">
        <f>+IFERROR(VLOOKUP(E2198,BD!$L$2:$Q$66,6,0),0)</f>
        <v>120</v>
      </c>
      <c r="I2198" s="96">
        <f>IFERROR(G2198*VLOOKUP($E2198,BD!$L$2:$Q$66,5,0),0)</f>
        <v>285.60000000000002</v>
      </c>
      <c r="J2198" s="5">
        <f t="shared" si="147"/>
        <v>2021</v>
      </c>
    </row>
    <row r="2199" spans="1:10" s="9" customFormat="1" hidden="1" x14ac:dyDescent="0.25">
      <c r="A2199" s="491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7">
        <v>256677</v>
      </c>
      <c r="F2199" s="3" t="str">
        <f>IFERROR(VLOOKUP(E2199,BD!$L$2:$Q$66,2,0),0)</f>
        <v>TWO PACK CC + IK PFM 3LX2 - RFNN</v>
      </c>
      <c r="G2199" s="424">
        <f>120*16</f>
        <v>1920</v>
      </c>
      <c r="H2199" s="3">
        <f>+IFERROR(VLOOKUP(E2199,BD!$L$2:$Q$66,6,0),0)</f>
        <v>120</v>
      </c>
      <c r="I2199" s="96">
        <f>IFERROR(G2199*VLOOKUP($E2199,BD!$L$2:$Q$66,5,0),0)</f>
        <v>326.40000000000003</v>
      </c>
      <c r="J2199" s="5">
        <f t="shared" si="147"/>
        <v>2021</v>
      </c>
    </row>
    <row r="2200" spans="1:10" s="9" customFormat="1" hidden="1" x14ac:dyDescent="0.25">
      <c r="A2200" s="491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7">
        <v>256652</v>
      </c>
      <c r="F2200" s="3" t="str">
        <f>IFERROR(VLOOKUP(E2200,BD!$L$2:$Q$66,2,0),0)</f>
        <v>TRIPACK FT NAR+FT KI+SP PET 3L</v>
      </c>
      <c r="G2200" s="424">
        <f>90*10</f>
        <v>900</v>
      </c>
      <c r="H2200" s="3">
        <f>+IFERROR(VLOOKUP(E2200,BD!$L$2:$Q$66,6,0),0)</f>
        <v>90</v>
      </c>
      <c r="I2200" s="96">
        <f>IFERROR(G2200*VLOOKUP($E2200,BD!$L$2:$Q$66,5,0),0)</f>
        <v>153</v>
      </c>
      <c r="J2200" s="5">
        <f t="shared" si="147"/>
        <v>2021</v>
      </c>
    </row>
    <row r="2201" spans="1:10" s="9" customFormat="1" hidden="1" x14ac:dyDescent="0.25">
      <c r="A2201" s="491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7">
        <v>256678</v>
      </c>
      <c r="F2201" s="3" t="str">
        <f>IFERROR(VLOOKUP(E2201,BD!$L$2:$Q$66,2,0),0)</f>
        <v>TRIPACK (CC+IK)PFM+FT PET 3LX3 - RFNN</v>
      </c>
      <c r="G2201" s="424">
        <f>90*37</f>
        <v>3330</v>
      </c>
      <c r="H2201" s="3">
        <f>+IFERROR(VLOOKUP(E2201,BD!$L$2:$Q$66,6,0),0)</f>
        <v>90</v>
      </c>
      <c r="I2201" s="96">
        <f>IFERROR(G2201*VLOOKUP($E2201,BD!$L$2:$Q$66,5,0),0)</f>
        <v>566.1</v>
      </c>
      <c r="J2201" s="5">
        <f t="shared" si="147"/>
        <v>2021</v>
      </c>
    </row>
    <row r="2202" spans="1:10" s="9" customFormat="1" hidden="1" x14ac:dyDescent="0.25">
      <c r="A2202" s="491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7">
        <v>256679</v>
      </c>
      <c r="F2202" s="3" t="str">
        <f>IFERROR(VLOOKUP(E2202,BD!$L$2:$Q$66,2,0),0)</f>
        <v>TRIPACK CC+IK+IK PFM 3LX3 - RFNN</v>
      </c>
      <c r="G2202" s="424">
        <f>90*5</f>
        <v>450</v>
      </c>
      <c r="H2202" s="3">
        <f>+IFERROR(VLOOKUP(E2202,BD!$L$2:$Q$66,6,0),0)</f>
        <v>90</v>
      </c>
      <c r="I2202" s="96">
        <f>IFERROR(G2202*VLOOKUP($E2202,BD!$L$2:$Q$66,5,0),0)</f>
        <v>76.5</v>
      </c>
      <c r="J2202" s="5">
        <f t="shared" si="147"/>
        <v>2021</v>
      </c>
    </row>
    <row r="2203" spans="1:10" s="9" customFormat="1" hidden="1" x14ac:dyDescent="0.25">
      <c r="A2203" s="491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7">
        <v>251429</v>
      </c>
      <c r="F2203" s="3" t="str">
        <f>IFERROR(VLOOKUP(E2203,BD!$L$2:$Q$66,2,0),0)</f>
        <v>SAN LUIS SIN GAS PET2500X6 STICKER</v>
      </c>
      <c r="G2203" s="424">
        <f>48*14</f>
        <v>672</v>
      </c>
      <c r="H2203" s="3">
        <f>+IFERROR(VLOOKUP(E2203,BD!$L$2:$Q$66,6,0),0)</f>
        <v>48</v>
      </c>
      <c r="I2203" s="96">
        <f>IFERROR(G2203*VLOOKUP($E2203,BD!$L$2:$Q$66,5,0),0)</f>
        <v>268.8</v>
      </c>
      <c r="J2203" s="5">
        <f t="shared" si="147"/>
        <v>2021</v>
      </c>
    </row>
    <row r="2204" spans="1:10" s="9" customFormat="1" hidden="1" x14ac:dyDescent="0.25">
      <c r="A2204" s="491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7">
        <v>256381</v>
      </c>
      <c r="F2204" s="3" t="str">
        <f>IFERROR(VLOOKUP(E2204,BD!$L$2:$Q$66,2,0),0)</f>
        <v>INCA KOLA VR 1.5LX8 - STICKER</v>
      </c>
      <c r="G2204" s="424">
        <f>30*2</f>
        <v>60</v>
      </c>
      <c r="H2204" s="3">
        <f>+IFERROR(VLOOKUP(E2204,BD!$L$2:$Q$66,6,0),0)</f>
        <v>30</v>
      </c>
      <c r="I2204" s="96">
        <f>IFERROR(G2204*VLOOKUP($E2204,BD!$L$2:$Q$66,5,0),0)</f>
        <v>24</v>
      </c>
      <c r="J2204" s="5">
        <f t="shared" si="147"/>
        <v>2021</v>
      </c>
    </row>
    <row r="2205" spans="1:10" s="9" customFormat="1" hidden="1" x14ac:dyDescent="0.25">
      <c r="A2205" s="491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7">
        <v>256379</v>
      </c>
      <c r="F2205" s="3" t="str">
        <f>IFERROR(VLOOKUP(E2205,BD!$L$2:$Q$66,2,0),0)</f>
        <v>INCA KOLA VR 625MLX12 - STICKER</v>
      </c>
      <c r="G2205" s="424">
        <v>100</v>
      </c>
      <c r="H2205" s="3">
        <f>+IFERROR(VLOOKUP(E2205,BD!$L$2:$Q$66,6,0),0)</f>
        <v>50</v>
      </c>
      <c r="I2205" s="96">
        <f>IFERROR(G2205*VLOOKUP($E2205,BD!$L$2:$Q$66,5,0),0)</f>
        <v>40</v>
      </c>
      <c r="J2205" s="5">
        <f t="shared" si="147"/>
        <v>2021</v>
      </c>
    </row>
    <row r="2206" spans="1:10" s="9" customFormat="1" hidden="1" x14ac:dyDescent="0.25">
      <c r="A2206" s="491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7">
        <v>254762</v>
      </c>
      <c r="F2206" s="3" t="str">
        <f>IFERROR(VLOOKUP(E2206,BD!$L$2:$Q$66,2,0),0)</f>
        <v xml:space="preserve">SAN LUIS SPORT S/G 10 Lt x6 </v>
      </c>
      <c r="G2206" s="424">
        <f>112*2</f>
        <v>224</v>
      </c>
      <c r="H2206" s="3">
        <f>+IFERROR(VLOOKUP(E2206,BD!$L$2:$Q$66,6,0),0)</f>
        <v>240</v>
      </c>
      <c r="I2206" s="96">
        <f>IFERROR(G2206*VLOOKUP($E2206,BD!$L$2:$Q$66,5,0),0)</f>
        <v>89.600000000000009</v>
      </c>
      <c r="J2206" s="5">
        <f t="shared" si="147"/>
        <v>2021</v>
      </c>
    </row>
    <row r="2207" spans="1:10" s="9" customFormat="1" hidden="1" x14ac:dyDescent="0.25">
      <c r="A2207" s="491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7">
        <v>254853</v>
      </c>
      <c r="F2207" s="3" t="str">
        <f>IFERROR(VLOOKUP(E2207,BD!$L$2:$Q$66,2,0),0)</f>
        <v>INCA KOLA SIN AZUCAR PET 1.5LX2</v>
      </c>
      <c r="G2207" s="424">
        <f>216*8</f>
        <v>1728</v>
      </c>
      <c r="H2207" s="3">
        <f>+IFERROR(VLOOKUP(E2207,BD!$L$2:$Q$66,6,0),0)</f>
        <v>198</v>
      </c>
      <c r="I2207" s="96">
        <f>IFERROR(G2207*VLOOKUP($E2207,BD!$L$2:$Q$66,5,0),0)</f>
        <v>293.76000000000005</v>
      </c>
      <c r="J2207" s="5">
        <f t="shared" si="147"/>
        <v>2021</v>
      </c>
    </row>
    <row r="2208" spans="1:10" s="9" customFormat="1" hidden="1" x14ac:dyDescent="0.25">
      <c r="A2208" s="491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7">
        <v>256616</v>
      </c>
      <c r="F2208" s="3" t="str">
        <f>IFERROR(VLOOKUP(E2208,BD!$L$2:$Q$66,2,0),0)</f>
        <v>TWO PACK SCHWEPPES CITRUS PET 1.5LX2</v>
      </c>
      <c r="G2208" s="424">
        <v>198</v>
      </c>
      <c r="H2208" s="3">
        <f>+IFERROR(VLOOKUP(E2208,BD!$L$2:$Q$66,6,0),0)</f>
        <v>198</v>
      </c>
      <c r="I2208" s="96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hidden="1" thickBot="1" x14ac:dyDescent="0.3">
      <c r="A2209" s="492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9">
        <v>256383</v>
      </c>
      <c r="F2209" s="8" t="str">
        <f>IFERROR(VLOOKUP(E2209,BD!$L$2:$Q$66,2,0),0)</f>
        <v>COCA COLA VR 1.5LX8 - STICKER</v>
      </c>
      <c r="G2209" s="501">
        <v>30</v>
      </c>
      <c r="H2209" s="8">
        <f>+IFERROR(VLOOKUP(E2209,BD!$L$2:$Q$66,6,0),0)</f>
        <v>30</v>
      </c>
      <c r="I2209" s="98">
        <f>IFERROR(G2209*VLOOKUP($E2209,BD!$L$2:$Q$66,5,0),0)</f>
        <v>6.9</v>
      </c>
      <c r="J2209" s="110">
        <f t="shared" si="147"/>
        <v>2021</v>
      </c>
    </row>
    <row r="2210" spans="1:10" s="9" customFormat="1" hidden="1" x14ac:dyDescent="0.25">
      <c r="A2210" s="493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63">
        <v>256382</v>
      </c>
      <c r="F2210" s="6" t="str">
        <f>IFERROR(VLOOKUP(E2210,BD!$L$2:$Q$66,2,0),0)</f>
        <v>COCA COLA VR 296MLX24 - STICKER</v>
      </c>
      <c r="G2210" s="513">
        <v>40</v>
      </c>
      <c r="H2210" s="6">
        <f>+IFERROR(VLOOKUP(E2210,BD!$L$2:$Q$66,6,0),0)</f>
        <v>40</v>
      </c>
      <c r="I2210" s="97">
        <f>IFERROR(G2210*VLOOKUP($E2210,BD!$L$2:$Q$66,5,0),0)</f>
        <v>9.2000000000000011</v>
      </c>
      <c r="J2210" s="109">
        <f t="shared" si="147"/>
        <v>2021</v>
      </c>
    </row>
    <row r="2211" spans="1:10" s="9" customFormat="1" hidden="1" x14ac:dyDescent="0.25">
      <c r="A2211" s="491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7">
        <v>256666</v>
      </c>
      <c r="F2211" s="3" t="str">
        <f>IFERROR(VLOOKUP(E2211,BD!$L$2:$Q$66,2,0),0)</f>
        <v>COCA-COLA PET 2.25LX2 RF</v>
      </c>
      <c r="G2211" s="424">
        <v>162</v>
      </c>
      <c r="H2211" s="3">
        <f>+IFERROR(VLOOKUP(E2211,BD!$L$2:$Q$66,6,0),0)</f>
        <v>162</v>
      </c>
      <c r="I2211" s="96">
        <f>IFERROR(G2211*VLOOKUP($E2211,BD!$L$2:$Q$66,5,0),0)</f>
        <v>27.540000000000003</v>
      </c>
      <c r="J2211" s="5">
        <f t="shared" si="147"/>
        <v>2021</v>
      </c>
    </row>
    <row r="2212" spans="1:10" s="9" customFormat="1" hidden="1" x14ac:dyDescent="0.25">
      <c r="A2212" s="491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7">
        <v>256601</v>
      </c>
      <c r="F2212" s="3" t="str">
        <f>IFERROR(VLOOKUP(E2212,BD!$L$2:$Q$66,2,0),0)</f>
        <v>INCA KOLA PET 2.25LX2 RF</v>
      </c>
      <c r="G2212" s="424">
        <f>162*4</f>
        <v>648</v>
      </c>
      <c r="H2212" s="3">
        <f>+IFERROR(VLOOKUP(E2212,BD!$L$2:$Q$66,6,0),0)</f>
        <v>162</v>
      </c>
      <c r="I2212" s="96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hidden="1" thickBot="1" x14ac:dyDescent="0.3">
      <c r="A2213" s="492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9">
        <v>256675</v>
      </c>
      <c r="F2213" s="8" t="str">
        <f>IFERROR(VLOOKUP(E2213,BD!$L$2:$Q$66,2,0),0)</f>
        <v>INCA KOLA PET 1.5LX2 RF</v>
      </c>
      <c r="G2213" s="501">
        <f>216*3</f>
        <v>648</v>
      </c>
      <c r="H2213" s="8">
        <f>+IFERROR(VLOOKUP(E2213,BD!$L$2:$Q$66,6,0),0)</f>
        <v>198</v>
      </c>
      <c r="I2213" s="98">
        <f>IFERROR(G2213*VLOOKUP($E2213,BD!$L$2:$Q$66,5,0),0)</f>
        <v>110.16000000000001</v>
      </c>
      <c r="J2213" s="110">
        <f t="shared" si="147"/>
        <v>2021</v>
      </c>
    </row>
    <row r="2214" spans="1:10" s="9" customFormat="1" ht="15.75" hidden="1" thickBot="1" x14ac:dyDescent="0.3">
      <c r="A2214" s="514">
        <v>44475</v>
      </c>
      <c r="B2214" s="486" t="str">
        <f t="shared" si="144"/>
        <v>OCTUBRE</v>
      </c>
      <c r="C2214" s="486">
        <f t="shared" si="145"/>
        <v>41</v>
      </c>
      <c r="D2214" s="487" t="str">
        <f t="shared" si="146"/>
        <v>MIÉRCOLES</v>
      </c>
      <c r="E2214" s="515">
        <v>256666</v>
      </c>
      <c r="F2214" s="487" t="str">
        <f>IFERROR(VLOOKUP(E2214,BD!$L$2:$Q$66,2,0),0)</f>
        <v>COCA-COLA PET 2.25LX2 RF</v>
      </c>
      <c r="G2214" s="516">
        <f>162*3</f>
        <v>486</v>
      </c>
      <c r="H2214" s="487">
        <f>+IFERROR(VLOOKUP(E2214,BD!$L$2:$Q$66,6,0),0)</f>
        <v>162</v>
      </c>
      <c r="I2214" s="490">
        <f>IFERROR(G2214*VLOOKUP($E2214,BD!$L$2:$Q$66,5,0),0)</f>
        <v>82.62</v>
      </c>
      <c r="J2214" s="517">
        <f t="shared" si="147"/>
        <v>2021</v>
      </c>
    </row>
    <row r="2215" spans="1:10" s="9" customFormat="1" hidden="1" x14ac:dyDescent="0.25">
      <c r="A2215" s="493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63">
        <v>256488</v>
      </c>
      <c r="F2215" s="6" t="str">
        <f>IFERROR(VLOOKUP(E2215,BD!$L$2:$Q$66,2,0),0)</f>
        <v>INCA KOLA PET 3LX2 - RF</v>
      </c>
      <c r="G2215" s="513">
        <f>120*14</f>
        <v>1680</v>
      </c>
      <c r="H2215" s="6">
        <f>+IFERROR(VLOOKUP(E2215,BD!$L$2:$Q$66,6,0),0)</f>
        <v>120</v>
      </c>
      <c r="I2215" s="97">
        <f>IFERROR(G2215*VLOOKUP($E2215,BD!$L$2:$Q$66,5,0),0)</f>
        <v>285.60000000000002</v>
      </c>
      <c r="J2215" s="109">
        <f t="shared" si="147"/>
        <v>2021</v>
      </c>
    </row>
    <row r="2216" spans="1:10" s="9" customFormat="1" hidden="1" x14ac:dyDescent="0.25">
      <c r="A2216" s="491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7">
        <v>256652</v>
      </c>
      <c r="F2216" s="3" t="str">
        <f>IFERROR(VLOOKUP(E2216,BD!$L$2:$Q$66,2,0),0)</f>
        <v>TRIPACK FT NAR+FT KI+SP PET 3L</v>
      </c>
      <c r="G2216" s="424">
        <f>90*8</f>
        <v>720</v>
      </c>
      <c r="H2216" s="3">
        <f>+IFERROR(VLOOKUP(E2216,BD!$L$2:$Q$66,6,0),0)</f>
        <v>90</v>
      </c>
      <c r="I2216" s="96">
        <f>IFERROR(G2216*VLOOKUP($E2216,BD!$L$2:$Q$66,5,0),0)</f>
        <v>122.4</v>
      </c>
      <c r="J2216" s="5">
        <f t="shared" si="147"/>
        <v>2021</v>
      </c>
    </row>
    <row r="2217" spans="1:10" s="9" customFormat="1" hidden="1" x14ac:dyDescent="0.25">
      <c r="A2217" s="491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7">
        <v>256677</v>
      </c>
      <c r="F2217" s="3" t="str">
        <f>IFERROR(VLOOKUP(E2217,BD!$L$2:$Q$66,2,0),0)</f>
        <v>TWO PACK CC + IK PFM 3LX2 - RFNN</v>
      </c>
      <c r="G2217" s="424">
        <f>120*16</f>
        <v>1920</v>
      </c>
      <c r="H2217" s="3">
        <f>+IFERROR(VLOOKUP(E2217,BD!$L$2:$Q$66,6,0),0)</f>
        <v>120</v>
      </c>
      <c r="I2217" s="96">
        <f>IFERROR(G2217*VLOOKUP($E2217,BD!$L$2:$Q$66,5,0),0)</f>
        <v>326.40000000000003</v>
      </c>
      <c r="J2217" s="5">
        <f t="shared" si="147"/>
        <v>2021</v>
      </c>
    </row>
    <row r="2218" spans="1:10" s="9" customFormat="1" hidden="1" x14ac:dyDescent="0.25">
      <c r="A2218" s="491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7">
        <v>256678</v>
      </c>
      <c r="F2218" s="3" t="str">
        <f>IFERROR(VLOOKUP(E2218,BD!$L$2:$Q$66,2,0),0)</f>
        <v>TRIPACK (CC+IK)PFM+FT PET 3LX3 - RFNN</v>
      </c>
      <c r="G2218" s="424">
        <f>90*24</f>
        <v>2160</v>
      </c>
      <c r="H2218" s="3">
        <f>+IFERROR(VLOOKUP(E2218,BD!$L$2:$Q$66,6,0),0)</f>
        <v>90</v>
      </c>
      <c r="I2218" s="96">
        <f>IFERROR(G2218*VLOOKUP($E2218,BD!$L$2:$Q$66,5,0),0)</f>
        <v>367.20000000000005</v>
      </c>
      <c r="J2218" s="5">
        <f t="shared" si="147"/>
        <v>2021</v>
      </c>
    </row>
    <row r="2219" spans="1:10" s="9" customFormat="1" hidden="1" x14ac:dyDescent="0.25">
      <c r="A2219" s="491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7">
        <v>256679</v>
      </c>
      <c r="F2219" s="3" t="str">
        <f>IFERROR(VLOOKUP(E2219,BD!$L$2:$Q$66,2,0),0)</f>
        <v>TRIPACK CC+IK+IK PFM 3LX3 - RFNN</v>
      </c>
      <c r="G2219" s="424">
        <f>90*8</f>
        <v>720</v>
      </c>
      <c r="H2219" s="3">
        <f>+IFERROR(VLOOKUP(E2219,BD!$L$2:$Q$66,6,0),0)</f>
        <v>90</v>
      </c>
      <c r="I2219" s="96">
        <f>IFERROR(G2219*VLOOKUP($E2219,BD!$L$2:$Q$66,5,0),0)</f>
        <v>122.4</v>
      </c>
      <c r="J2219" s="5">
        <f t="shared" si="147"/>
        <v>2021</v>
      </c>
    </row>
    <row r="2220" spans="1:10" s="9" customFormat="1" hidden="1" x14ac:dyDescent="0.25">
      <c r="A2220" s="491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7">
        <v>251429</v>
      </c>
      <c r="F2220" s="3" t="str">
        <f>IFERROR(VLOOKUP(E2220,BD!$L$2:$Q$66,2,0),0)</f>
        <v>SAN LUIS SIN GAS PET2500X6 STICKER</v>
      </c>
      <c r="G2220" s="424">
        <f>48*14</f>
        <v>672</v>
      </c>
      <c r="H2220" s="3">
        <f>+IFERROR(VLOOKUP(E2220,BD!$L$2:$Q$66,6,0),0)</f>
        <v>48</v>
      </c>
      <c r="I2220" s="96">
        <f>IFERROR(G2220*VLOOKUP($E2220,BD!$L$2:$Q$66,5,0),0)</f>
        <v>268.8</v>
      </c>
      <c r="J2220" s="5">
        <f t="shared" si="147"/>
        <v>2021</v>
      </c>
    </row>
    <row r="2221" spans="1:10" s="9" customFormat="1" hidden="1" x14ac:dyDescent="0.25">
      <c r="A2221" s="491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7">
        <v>256379</v>
      </c>
      <c r="F2221" s="3" t="str">
        <f>IFERROR(VLOOKUP(E2221,BD!$L$2:$Q$66,2,0),0)</f>
        <v>INCA KOLA VR 625MLX12 - STICKER</v>
      </c>
      <c r="G2221" s="424">
        <f>50*2</f>
        <v>100</v>
      </c>
      <c r="H2221" s="3">
        <f>+IFERROR(VLOOKUP(E2221,BD!$L$2:$Q$66,6,0),0)</f>
        <v>50</v>
      </c>
      <c r="I2221" s="96">
        <f>IFERROR(G2221*VLOOKUP($E2221,BD!$L$2:$Q$66,5,0),0)</f>
        <v>40</v>
      </c>
      <c r="J2221" s="5">
        <f t="shared" si="147"/>
        <v>2021</v>
      </c>
    </row>
    <row r="2222" spans="1:10" s="9" customFormat="1" hidden="1" x14ac:dyDescent="0.25">
      <c r="A2222" s="491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7">
        <v>254762</v>
      </c>
      <c r="F2222" s="3" t="str">
        <f>IFERROR(VLOOKUP(E2222,BD!$L$2:$Q$66,2,0),0)</f>
        <v xml:space="preserve">SAN LUIS SPORT S/G 10 Lt x6 </v>
      </c>
      <c r="G2222" s="424">
        <f>112*2</f>
        <v>224</v>
      </c>
      <c r="H2222" s="3">
        <f>+IFERROR(VLOOKUP(E2222,BD!$L$2:$Q$66,6,0),0)</f>
        <v>240</v>
      </c>
      <c r="I2222" s="96">
        <f>IFERROR(G2222*VLOOKUP($E2222,BD!$L$2:$Q$66,5,0),0)</f>
        <v>89.600000000000009</v>
      </c>
      <c r="J2222" s="5">
        <f t="shared" si="147"/>
        <v>2021</v>
      </c>
    </row>
    <row r="2223" spans="1:10" s="9" customFormat="1" hidden="1" x14ac:dyDescent="0.25">
      <c r="A2223" s="491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7">
        <v>256381</v>
      </c>
      <c r="F2223" s="3" t="str">
        <f>IFERROR(VLOOKUP(E2223,BD!$L$2:$Q$66,2,0),0)</f>
        <v>INCA KOLA VR 1.5LX8 - STICKER</v>
      </c>
      <c r="G2223" s="424">
        <f>30*2</f>
        <v>60</v>
      </c>
      <c r="H2223" s="3">
        <f>+IFERROR(VLOOKUP(E2223,BD!$L$2:$Q$66,6,0),0)</f>
        <v>30</v>
      </c>
      <c r="I2223" s="96">
        <f>IFERROR(G2223*VLOOKUP($E2223,BD!$L$2:$Q$66,5,0),0)</f>
        <v>24</v>
      </c>
      <c r="J2223" s="5">
        <f t="shared" si="147"/>
        <v>2021</v>
      </c>
    </row>
    <row r="2224" spans="1:10" s="9" customFormat="1" hidden="1" x14ac:dyDescent="0.25">
      <c r="A2224" s="491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7">
        <v>256708</v>
      </c>
      <c r="F2224" s="3" t="str">
        <f>IFERROR(VLOOKUP(E2224,BD!$L$2:$Q$66,2,0),0)</f>
        <v>POWERADE ION4 FRUTA PET473X6 MOD (STICK)</v>
      </c>
      <c r="G2224" s="424">
        <f>225*4</f>
        <v>900</v>
      </c>
      <c r="H2224" s="3">
        <f>+IFERROR(VLOOKUP(E2224,BD!$L$2:$Q$66,6,0),0)</f>
        <v>225</v>
      </c>
      <c r="I2224" s="96">
        <f>IFERROR(G2224*VLOOKUP($E2224,BD!$L$2:$Q$66,5,0),0)</f>
        <v>360</v>
      </c>
      <c r="J2224" s="5">
        <f t="shared" si="147"/>
        <v>2021</v>
      </c>
    </row>
    <row r="2225" spans="1:11" s="9" customFormat="1" hidden="1" x14ac:dyDescent="0.25">
      <c r="A2225" s="491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7">
        <v>251406</v>
      </c>
      <c r="F2225" s="3" t="str">
        <f>IFERROR(VLOOKUP(E2225,BD!$L$2:$Q$66,2,0),0)</f>
        <v>COCA-COLA SIN AZUCAR PET 1.5LX2</v>
      </c>
      <c r="G2225" s="424">
        <f>216*14</f>
        <v>3024</v>
      </c>
      <c r="H2225" s="3">
        <f>+IFERROR(VLOOKUP(E2225,BD!$L$2:$Q$66,6,0),0)</f>
        <v>198</v>
      </c>
      <c r="I2225" s="96">
        <f>IFERROR(G2225*VLOOKUP($E2225,BD!$L$2:$Q$66,5,0),0)</f>
        <v>514.08000000000004</v>
      </c>
      <c r="J2225" s="5">
        <f t="shared" si="147"/>
        <v>2021</v>
      </c>
    </row>
    <row r="2226" spans="1:11" s="9" customFormat="1" hidden="1" x14ac:dyDescent="0.25">
      <c r="A2226" s="491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7">
        <v>256601</v>
      </c>
      <c r="F2226" s="3" t="str">
        <f>IFERROR(VLOOKUP(E2226,BD!$L$2:$Q$66,2,0),0)</f>
        <v>INCA KOLA PET 2.25LX2 RF</v>
      </c>
      <c r="G2226" s="424">
        <f>162*4</f>
        <v>648</v>
      </c>
      <c r="H2226" s="3">
        <f>+IFERROR(VLOOKUP(E2226,BD!$L$2:$Q$66,6,0),0)</f>
        <v>162</v>
      </c>
      <c r="I2226" s="96">
        <f>IFERROR(G2226*VLOOKUP($E2226,BD!$L$2:$Q$66,5,0),0)</f>
        <v>110.16000000000001</v>
      </c>
      <c r="J2226" s="5">
        <f t="shared" si="147"/>
        <v>2021</v>
      </c>
    </row>
    <row r="2227" spans="1:11" s="9" customFormat="1" hidden="1" x14ac:dyDescent="0.25">
      <c r="A2227" s="491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7">
        <v>256674</v>
      </c>
      <c r="F2227" s="3" t="str">
        <f>IFERROR(VLOOKUP(E2227,BD!$L$2:$Q$66,2,0),0)</f>
        <v>COCA-COLA PET 1.5LX2 RF</v>
      </c>
      <c r="G2227" s="424">
        <f>216*4</f>
        <v>864</v>
      </c>
      <c r="H2227" s="3">
        <f>+IFERROR(VLOOKUP(E2227,BD!$L$2:$Q$66,6,0),0)</f>
        <v>198</v>
      </c>
      <c r="I2227" s="96">
        <f>IFERROR(G2227*VLOOKUP($E2227,BD!$L$2:$Q$66,5,0),0)</f>
        <v>146.88000000000002</v>
      </c>
      <c r="J2227" s="5">
        <f t="shared" si="147"/>
        <v>2021</v>
      </c>
    </row>
    <row r="2228" spans="1:11" s="9" customFormat="1" hidden="1" x14ac:dyDescent="0.25">
      <c r="A2228" s="491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7">
        <v>256685</v>
      </c>
      <c r="F2228" s="3" t="str">
        <f>IFERROR(VLOOKUP(E2228,BD!$L$2:$Q$66,2,0),0)</f>
        <v>SL S/G TAPA PLANA 1LT</v>
      </c>
      <c r="G2228" s="424">
        <f>112*2</f>
        <v>224</v>
      </c>
      <c r="H2228" s="3">
        <f>+IFERROR(VLOOKUP(E2228,BD!$L$2:$Q$66,6,0),0)</f>
        <v>112</v>
      </c>
      <c r="I2228" s="96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hidden="1" thickBot="1" x14ac:dyDescent="0.3">
      <c r="A2229" s="492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9">
        <v>251633</v>
      </c>
      <c r="F2229" s="8" t="str">
        <f>IFERROR(VLOOKUP(E2229,BD!$L$2:$Q$66,2,0),0)</f>
        <v>SAN LUIS CON GAS PET 625MLX6</v>
      </c>
      <c r="G2229" s="501">
        <v>360</v>
      </c>
      <c r="H2229" s="8">
        <f>+IFERROR(VLOOKUP(E2229,BD!$L$2:$Q$66,6,0),0)</f>
        <v>180</v>
      </c>
      <c r="I2229" s="98">
        <f>IFERROR(G2229*VLOOKUP($E2229,BD!$L$2:$Q$66,5,0),0)</f>
        <v>151.19999999999999</v>
      </c>
      <c r="J2229" s="110">
        <f t="shared" si="147"/>
        <v>2021</v>
      </c>
    </row>
    <row r="2230" spans="1:11" s="9" customFormat="1" hidden="1" x14ac:dyDescent="0.25">
      <c r="A2230" s="493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63">
        <v>256676</v>
      </c>
      <c r="F2230" s="6" t="str">
        <f>IFERROR(VLOOKUP(E2230,BD!$L$2:$Q$66,2,0),0)</f>
        <v>TWO PACK CC PFM 3LX2 - RFCC</v>
      </c>
      <c r="G2230" s="513">
        <f>120*2</f>
        <v>240</v>
      </c>
      <c r="H2230" s="6">
        <f>+IFERROR(VLOOKUP(E2230,BD!$L$2:$Q$66,6,0),0)</f>
        <v>120</v>
      </c>
      <c r="I2230" s="97">
        <f>IFERROR(G2230*VLOOKUP($E2230,BD!$L$2:$Q$66,5,0),0)</f>
        <v>40.800000000000004</v>
      </c>
      <c r="J2230" s="109">
        <f t="shared" si="147"/>
        <v>2021</v>
      </c>
    </row>
    <row r="2231" spans="1:11" s="9" customFormat="1" hidden="1" x14ac:dyDescent="0.25">
      <c r="A2231" s="491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7">
        <v>256666</v>
      </c>
      <c r="F2231" s="3" t="str">
        <f>IFERROR(VLOOKUP(E2231,BD!$L$2:$Q$66,2,0),0)</f>
        <v>COCA-COLA PET 2.25LX2 RF</v>
      </c>
      <c r="G2231" s="424">
        <f>162*2</f>
        <v>324</v>
      </c>
      <c r="H2231" s="3">
        <f>+IFERROR(VLOOKUP(E2231,BD!$L$2:$Q$66,6,0),0)</f>
        <v>162</v>
      </c>
      <c r="I2231" s="96">
        <f>IFERROR(G2231*VLOOKUP($E2231,BD!$L$2:$Q$66,5,0),0)</f>
        <v>55.080000000000005</v>
      </c>
      <c r="J2231" s="5">
        <f t="shared" si="147"/>
        <v>2021</v>
      </c>
    </row>
    <row r="2232" spans="1:11" s="9" customFormat="1" hidden="1" x14ac:dyDescent="0.25">
      <c r="A2232" s="491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7">
        <v>254853</v>
      </c>
      <c r="F2232" s="3" t="str">
        <f>IFERROR(VLOOKUP(E2232,BD!$L$2:$Q$66,2,0),0)</f>
        <v>INCA KOLA SIN AZUCAR PET 1.5LX2</v>
      </c>
      <c r="G2232" s="424">
        <f>216*8</f>
        <v>1728</v>
      </c>
      <c r="H2232" s="3">
        <f>+IFERROR(VLOOKUP(E2232,BD!$L$2:$Q$66,6,0),0)</f>
        <v>198</v>
      </c>
      <c r="I2232" s="96">
        <f>IFERROR(G2232*VLOOKUP($E2232,BD!$L$2:$Q$66,5,0),0)</f>
        <v>293.76000000000005</v>
      </c>
      <c r="J2232" s="5">
        <f t="shared" si="147"/>
        <v>2021</v>
      </c>
    </row>
    <row r="2233" spans="1:11" s="9" customFormat="1" hidden="1" x14ac:dyDescent="0.25">
      <c r="A2233" s="491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7">
        <v>256675</v>
      </c>
      <c r="F2233" s="3" t="str">
        <f>IFERROR(VLOOKUP(E2233,BD!$L$2:$Q$66,2,0),0)</f>
        <v>INCA KOLA PET 1.5LX2 RF</v>
      </c>
      <c r="G2233" s="424">
        <f>216*8</f>
        <v>1728</v>
      </c>
      <c r="H2233" s="3">
        <f>+IFERROR(VLOOKUP(E2233,BD!$L$2:$Q$66,6,0),0)</f>
        <v>198</v>
      </c>
      <c r="I2233" s="96">
        <f>IFERROR(G2233*VLOOKUP($E2233,BD!$L$2:$Q$66,5,0),0)</f>
        <v>293.76000000000005</v>
      </c>
      <c r="J2233" s="5">
        <f t="shared" si="147"/>
        <v>2021</v>
      </c>
    </row>
    <row r="2234" spans="1:11" s="9" customFormat="1" hidden="1" x14ac:dyDescent="0.25">
      <c r="A2234" s="491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7">
        <v>256720</v>
      </c>
      <c r="F2234" s="3" t="str">
        <f>IFERROR(VLOOKUP(E2234,BD!$L$2:$Q$66,2,0),0)</f>
        <v>FANTA NARANJA PET 500MLX6 BRANDEADO MOD</v>
      </c>
      <c r="G2234" s="424">
        <v>250</v>
      </c>
      <c r="H2234" s="3">
        <f>+IFERROR(VLOOKUP(E2234,BD!$L$2:$Q$66,6,0),0)</f>
        <v>420</v>
      </c>
      <c r="I2234" s="96">
        <f>IFERROR(G2234*VLOOKUP($E2234,BD!$L$2:$Q$66,5,0),0)</f>
        <v>105</v>
      </c>
      <c r="J2234" s="5">
        <f t="shared" si="147"/>
        <v>2021</v>
      </c>
    </row>
    <row r="2235" spans="1:11" s="9" customFormat="1" hidden="1" x14ac:dyDescent="0.25">
      <c r="A2235" s="491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7">
        <v>251632</v>
      </c>
      <c r="F2235" s="3" t="str">
        <f>IFERROR(VLOOKUP(E2235,BD!$L$2:$Q$66,2,0),0)</f>
        <v>SAN LUIS SIN GAS PET 625MLX06 MOD</v>
      </c>
      <c r="G2235" s="424">
        <v>180</v>
      </c>
      <c r="H2235" s="3">
        <f>+IFERROR(VLOOKUP(E2235,BD!$L$2:$Q$66,6,0),0)</f>
        <v>180</v>
      </c>
      <c r="I2235" s="96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hidden="1" thickBot="1" x14ac:dyDescent="0.3">
      <c r="A2236" s="492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9">
        <v>256383</v>
      </c>
      <c r="F2236" s="8" t="str">
        <f>IFERROR(VLOOKUP(E2236,BD!$L$2:$Q$66,2,0),0)</f>
        <v>COCA COLA VR 1.5LX8 - STICKER</v>
      </c>
      <c r="G2236" s="501">
        <f>30*4</f>
        <v>120</v>
      </c>
      <c r="H2236" s="8">
        <f>+IFERROR(VLOOKUP(E2236,BD!$L$2:$Q$66,6,0),0)</f>
        <v>30</v>
      </c>
      <c r="I2236" s="98">
        <f>IFERROR(G2236*VLOOKUP($E2236,BD!$L$2:$Q$66,5,0),0)</f>
        <v>27.6</v>
      </c>
      <c r="J2236" s="110">
        <f t="shared" si="151"/>
        <v>2021</v>
      </c>
    </row>
    <row r="2237" spans="1:11" s="9" customFormat="1" hidden="1" x14ac:dyDescent="0.25">
      <c r="A2237" s="493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63">
        <v>251637</v>
      </c>
      <c r="F2237" s="6">
        <f>IFERROR(VLOOKUP(E2237,BD!$L$2:$Q$66,2,0),0)</f>
        <v>0</v>
      </c>
      <c r="G2237" s="513">
        <v>89</v>
      </c>
      <c r="H2237" s="6">
        <f>+IFERROR(VLOOKUP(E2237,BD!$L$2:$Q$66,6,0),0)</f>
        <v>0</v>
      </c>
      <c r="I2237" s="97">
        <f>IFERROR(G2237*VLOOKUP($E2237,BD!$L$2:$Q$66,5,0),0)</f>
        <v>0</v>
      </c>
      <c r="J2237" s="109">
        <f t="shared" si="151"/>
        <v>2021</v>
      </c>
      <c r="K2237" s="9" t="s">
        <v>238</v>
      </c>
    </row>
    <row r="2238" spans="1:11" s="9" customFormat="1" ht="15.75" hidden="1" thickBot="1" x14ac:dyDescent="0.3">
      <c r="A2238" s="492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9">
        <v>251187</v>
      </c>
      <c r="F2238" s="8">
        <f>IFERROR(VLOOKUP(E2238,BD!$L$2:$Q$66,2,0),0)</f>
        <v>0</v>
      </c>
      <c r="G2238" s="501">
        <v>45</v>
      </c>
      <c r="H2238" s="8">
        <f>+IFERROR(VLOOKUP(E2238,BD!$L$2:$Q$66,6,0),0)</f>
        <v>0</v>
      </c>
      <c r="I2238" s="98">
        <f>IFERROR(G2238*VLOOKUP($E2238,BD!$L$2:$Q$66,5,0),0)</f>
        <v>0</v>
      </c>
      <c r="J2238" s="110">
        <f t="shared" si="151"/>
        <v>2021</v>
      </c>
      <c r="K2238" s="9" t="s">
        <v>238</v>
      </c>
    </row>
    <row r="2239" spans="1:11" s="9" customFormat="1" hidden="1" x14ac:dyDescent="0.25">
      <c r="A2239" s="493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63">
        <v>254762</v>
      </c>
      <c r="F2239" s="6" t="str">
        <f>IFERROR(VLOOKUP(E2239,BD!$L$2:$Q$66,2,0),0)</f>
        <v xml:space="preserve">SAN LUIS SPORT S/G 10 Lt x6 </v>
      </c>
      <c r="G2239" s="513">
        <v>112</v>
      </c>
      <c r="H2239" s="6">
        <f>+IFERROR(VLOOKUP(E2239,BD!$L$2:$Q$66,6,0),0)</f>
        <v>240</v>
      </c>
      <c r="I2239" s="97">
        <f>IFERROR(G2239*VLOOKUP($E2239,BD!$L$2:$Q$66,5,0),0)</f>
        <v>44.800000000000004</v>
      </c>
      <c r="J2239" s="109">
        <f t="shared" si="151"/>
        <v>2021</v>
      </c>
    </row>
    <row r="2240" spans="1:11" s="9" customFormat="1" hidden="1" x14ac:dyDescent="0.25">
      <c r="A2240" s="491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7">
        <v>251633</v>
      </c>
      <c r="F2240" s="3" t="str">
        <f>IFERROR(VLOOKUP(E2240,BD!$L$2:$Q$66,2,0),0)</f>
        <v>SAN LUIS CON GAS PET 625MLX6</v>
      </c>
      <c r="G2240" s="424">
        <v>180</v>
      </c>
      <c r="H2240" s="3">
        <f>+IFERROR(VLOOKUP(E2240,BD!$L$2:$Q$66,6,0),0)</f>
        <v>180</v>
      </c>
      <c r="I2240" s="96">
        <f>IFERROR(G2240*VLOOKUP($E2240,BD!$L$2:$Q$66,5,0),0)</f>
        <v>75.599999999999994</v>
      </c>
      <c r="J2240" s="5">
        <f t="shared" si="151"/>
        <v>2021</v>
      </c>
    </row>
    <row r="2241" spans="1:10" s="9" customFormat="1" hidden="1" x14ac:dyDescent="0.25">
      <c r="A2241" s="491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7">
        <v>251429</v>
      </c>
      <c r="F2241" s="3" t="str">
        <f>IFERROR(VLOOKUP(E2241,BD!$L$2:$Q$66,2,0),0)</f>
        <v>SAN LUIS SIN GAS PET2500X6 STICKER</v>
      </c>
      <c r="G2241" s="424">
        <v>48</v>
      </c>
      <c r="H2241" s="3">
        <f>+IFERROR(VLOOKUP(E2241,BD!$L$2:$Q$66,6,0),0)</f>
        <v>48</v>
      </c>
      <c r="I2241" s="96">
        <f>IFERROR(G2241*VLOOKUP($E2241,BD!$L$2:$Q$66,5,0),0)</f>
        <v>19.200000000000003</v>
      </c>
      <c r="J2241" s="5">
        <f t="shared" si="151"/>
        <v>2021</v>
      </c>
    </row>
    <row r="2242" spans="1:10" s="9" customFormat="1" hidden="1" x14ac:dyDescent="0.25">
      <c r="A2242" s="491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7">
        <v>256383</v>
      </c>
      <c r="F2242" s="3" t="str">
        <f>IFERROR(VLOOKUP(E2242,BD!$L$2:$Q$66,2,0),0)</f>
        <v>COCA COLA VR 1.5LX8 - STICKER</v>
      </c>
      <c r="G2242" s="424">
        <v>30</v>
      </c>
      <c r="H2242" s="3">
        <f>+IFERROR(VLOOKUP(E2242,BD!$L$2:$Q$66,6,0),0)</f>
        <v>30</v>
      </c>
      <c r="I2242" s="96">
        <f>IFERROR(G2242*VLOOKUP($E2242,BD!$L$2:$Q$66,5,0),0)</f>
        <v>6.9</v>
      </c>
      <c r="J2242" s="5">
        <f t="shared" si="151"/>
        <v>2021</v>
      </c>
    </row>
    <row r="2243" spans="1:10" s="9" customFormat="1" hidden="1" x14ac:dyDescent="0.25">
      <c r="A2243" s="491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7">
        <v>256678</v>
      </c>
      <c r="F2243" s="3" t="str">
        <f>IFERROR(VLOOKUP(E2243,BD!$L$2:$Q$66,2,0),0)</f>
        <v>TRIPACK (CC+IK)PFM+FT PET 3LX3 - RFNN</v>
      </c>
      <c r="G2243" s="424">
        <f>90*10</f>
        <v>900</v>
      </c>
      <c r="H2243" s="3">
        <f>+IFERROR(VLOOKUP(E2243,BD!$L$2:$Q$66,6,0),0)</f>
        <v>90</v>
      </c>
      <c r="I2243" s="96">
        <f>IFERROR(G2243*VLOOKUP($E2243,BD!$L$2:$Q$66,5,0),0)</f>
        <v>153</v>
      </c>
      <c r="J2243" s="5">
        <f t="shared" si="151"/>
        <v>2021</v>
      </c>
    </row>
    <row r="2244" spans="1:10" s="9" customFormat="1" hidden="1" x14ac:dyDescent="0.25">
      <c r="A2244" s="491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7">
        <v>256617</v>
      </c>
      <c r="F2244" s="3" t="str">
        <f>IFERROR(VLOOKUP(E2244,BD!$L$2:$Q$66,2,0),0)</f>
        <v>TWO PACK SCHWEPPES GINGER ALE PET 1.5LX2</v>
      </c>
      <c r="G2244" s="424">
        <f>198*4</f>
        <v>792</v>
      </c>
      <c r="H2244" s="3">
        <f>+IFERROR(VLOOKUP(E2244,BD!$L$2:$Q$66,6,0),0)</f>
        <v>198</v>
      </c>
      <c r="I2244" s="96">
        <f>IFERROR(G2244*VLOOKUP($E2244,BD!$L$2:$Q$66,5,0),0)</f>
        <v>134.64000000000001</v>
      </c>
      <c r="J2244" s="5">
        <f t="shared" si="151"/>
        <v>2021</v>
      </c>
    </row>
    <row r="2245" spans="1:10" s="9" customFormat="1" hidden="1" x14ac:dyDescent="0.25">
      <c r="A2245" s="491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7">
        <v>256677</v>
      </c>
      <c r="F2245" s="3" t="str">
        <f>IFERROR(VLOOKUP(E2245,BD!$L$2:$Q$66,2,0),0)</f>
        <v>TWO PACK CC + IK PFM 3LX2 - RFNN</v>
      </c>
      <c r="G2245" s="424">
        <f>120*9</f>
        <v>1080</v>
      </c>
      <c r="H2245" s="3">
        <f>+IFERROR(VLOOKUP(E2245,BD!$L$2:$Q$66,6,0),0)</f>
        <v>120</v>
      </c>
      <c r="I2245" s="96">
        <f>IFERROR(G2245*VLOOKUP($E2245,BD!$L$2:$Q$66,5,0),0)</f>
        <v>183.60000000000002</v>
      </c>
      <c r="J2245" s="5">
        <f t="shared" si="151"/>
        <v>2021</v>
      </c>
    </row>
    <row r="2246" spans="1:10" s="9" customFormat="1" hidden="1" x14ac:dyDescent="0.25">
      <c r="A2246" s="491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7">
        <v>256675</v>
      </c>
      <c r="F2246" s="3" t="str">
        <f>IFERROR(VLOOKUP(E2246,BD!$L$2:$Q$66,2,0),0)</f>
        <v>INCA KOLA PET 1.5LX2 RF</v>
      </c>
      <c r="G2246" s="424">
        <f>216*4</f>
        <v>864</v>
      </c>
      <c r="H2246" s="3">
        <f>+IFERROR(VLOOKUP(E2246,BD!$L$2:$Q$66,6,0),0)</f>
        <v>198</v>
      </c>
      <c r="I2246" s="96">
        <f>IFERROR(G2246*VLOOKUP($E2246,BD!$L$2:$Q$66,5,0),0)</f>
        <v>146.88000000000002</v>
      </c>
      <c r="J2246" s="5">
        <f t="shared" si="151"/>
        <v>2021</v>
      </c>
    </row>
    <row r="2247" spans="1:10" s="9" customFormat="1" hidden="1" x14ac:dyDescent="0.25">
      <c r="A2247" s="491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7">
        <v>256666</v>
      </c>
      <c r="F2247" s="3" t="str">
        <f>IFERROR(VLOOKUP(E2247,BD!$L$2:$Q$66,2,0),0)</f>
        <v>COCA-COLA PET 2.25LX2 RF</v>
      </c>
      <c r="G2247" s="424">
        <f>162*3</f>
        <v>486</v>
      </c>
      <c r="H2247" s="3">
        <f>+IFERROR(VLOOKUP(E2247,BD!$L$2:$Q$66,6,0),0)</f>
        <v>162</v>
      </c>
      <c r="I2247" s="96">
        <f>IFERROR(G2247*VLOOKUP($E2247,BD!$L$2:$Q$66,5,0),0)</f>
        <v>82.62</v>
      </c>
      <c r="J2247" s="5">
        <f t="shared" si="151"/>
        <v>2021</v>
      </c>
    </row>
    <row r="2248" spans="1:10" s="9" customFormat="1" hidden="1" x14ac:dyDescent="0.25">
      <c r="A2248" s="491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7">
        <v>256652</v>
      </c>
      <c r="F2248" s="3" t="str">
        <f>IFERROR(VLOOKUP(E2248,BD!$L$2:$Q$66,2,0),0)</f>
        <v>TRIPACK FT NAR+FT KI+SP PET 3L</v>
      </c>
      <c r="G2248" s="424">
        <f>90*3</f>
        <v>270</v>
      </c>
      <c r="H2248" s="3">
        <f>+IFERROR(VLOOKUP(E2248,BD!$L$2:$Q$66,6,0),0)</f>
        <v>90</v>
      </c>
      <c r="I2248" s="96">
        <f>IFERROR(G2248*VLOOKUP($E2248,BD!$L$2:$Q$66,5,0),0)</f>
        <v>45.900000000000006</v>
      </c>
      <c r="J2248" s="5">
        <f t="shared" si="151"/>
        <v>2021</v>
      </c>
    </row>
    <row r="2249" spans="1:10" s="9" customFormat="1" hidden="1" x14ac:dyDescent="0.25">
      <c r="A2249" s="491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7">
        <v>256601</v>
      </c>
      <c r="F2249" s="3" t="str">
        <f>IFERROR(VLOOKUP(E2249,BD!$L$2:$Q$66,2,0),0)</f>
        <v>INCA KOLA PET 2.25LX2 RF</v>
      </c>
      <c r="G2249" s="424">
        <f>162*3</f>
        <v>486</v>
      </c>
      <c r="H2249" s="3">
        <f>+IFERROR(VLOOKUP(E2249,BD!$L$2:$Q$66,6,0),0)</f>
        <v>162</v>
      </c>
      <c r="I2249" s="96">
        <f>IFERROR(G2249*VLOOKUP($E2249,BD!$L$2:$Q$66,5,0),0)</f>
        <v>82.62</v>
      </c>
      <c r="J2249" s="5">
        <f t="shared" si="151"/>
        <v>2021</v>
      </c>
    </row>
    <row r="2250" spans="1:10" s="9" customFormat="1" hidden="1" x14ac:dyDescent="0.25">
      <c r="A2250" s="491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7">
        <v>256488</v>
      </c>
      <c r="F2250" s="3" t="str">
        <f>IFERROR(VLOOKUP(E2250,BD!$L$2:$Q$66,2,0),0)</f>
        <v>INCA KOLA PET 3LX2 - RF</v>
      </c>
      <c r="G2250" s="424">
        <f>120*7</f>
        <v>840</v>
      </c>
      <c r="H2250" s="3">
        <f>+IFERROR(VLOOKUP(E2250,BD!$L$2:$Q$66,6,0),0)</f>
        <v>120</v>
      </c>
      <c r="I2250" s="96">
        <f>IFERROR(G2250*VLOOKUP($E2250,BD!$L$2:$Q$66,5,0),0)</f>
        <v>142.80000000000001</v>
      </c>
      <c r="J2250" s="5">
        <f t="shared" si="151"/>
        <v>2021</v>
      </c>
    </row>
    <row r="2251" spans="1:10" s="9" customFormat="1" hidden="1" x14ac:dyDescent="0.25">
      <c r="A2251" s="491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7">
        <v>254853</v>
      </c>
      <c r="F2251" s="3" t="str">
        <f>IFERROR(VLOOKUP(E2251,BD!$L$2:$Q$66,2,0),0)</f>
        <v>INCA KOLA SIN AZUCAR PET 1.5LX2</v>
      </c>
      <c r="G2251" s="424">
        <f>216*3</f>
        <v>648</v>
      </c>
      <c r="H2251" s="3">
        <f>+IFERROR(VLOOKUP(E2251,BD!$L$2:$Q$66,6,0),0)</f>
        <v>198</v>
      </c>
      <c r="I2251" s="96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hidden="1" thickBot="1" x14ac:dyDescent="0.3">
      <c r="A2252" s="492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9">
        <v>251406</v>
      </c>
      <c r="F2252" s="8" t="str">
        <f>IFERROR(VLOOKUP(E2252,BD!$L$2:$Q$66,2,0),0)</f>
        <v>COCA-COLA SIN AZUCAR PET 1.5LX2</v>
      </c>
      <c r="G2252" s="501">
        <f>216*8</f>
        <v>1728</v>
      </c>
      <c r="H2252" s="8">
        <f>+IFERROR(VLOOKUP(E2252,BD!$L$2:$Q$66,6,0),0)</f>
        <v>198</v>
      </c>
      <c r="I2252" s="98">
        <f>IFERROR(G2252*VLOOKUP($E2252,BD!$L$2:$Q$66,5,0),0)</f>
        <v>293.76000000000005</v>
      </c>
      <c r="J2252" s="110">
        <f t="shared" si="151"/>
        <v>2021</v>
      </c>
    </row>
    <row r="2253" spans="1:10" s="9" customFormat="1" hidden="1" x14ac:dyDescent="0.25">
      <c r="A2253" s="493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63">
        <v>256549</v>
      </c>
      <c r="F2253" s="6" t="str">
        <f>IFERROR(VLOOKUP(E2253,BD!$L$2:$Q$66,2,0),0)</f>
        <v>TWO PACK IK PET 1.5LX2 - CRCG</v>
      </c>
      <c r="G2253" s="513">
        <v>216</v>
      </c>
      <c r="H2253" s="6">
        <f>+IFERROR(VLOOKUP(E2253,BD!$L$2:$Q$66,6,0),0)</f>
        <v>198</v>
      </c>
      <c r="I2253" s="97">
        <f>IFERROR(G2253*VLOOKUP($E2253,BD!$L$2:$Q$66,5,0),0)</f>
        <v>36.720000000000006</v>
      </c>
      <c r="J2253" s="109">
        <f t="shared" si="151"/>
        <v>2021</v>
      </c>
    </row>
    <row r="2254" spans="1:10" s="9" customFormat="1" hidden="1" x14ac:dyDescent="0.25">
      <c r="A2254" s="491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7">
        <v>256488</v>
      </c>
      <c r="F2254" s="3" t="str">
        <f>IFERROR(VLOOKUP(E2254,BD!$L$2:$Q$66,2,0),0)</f>
        <v>INCA KOLA PET 3LX2 - RF</v>
      </c>
      <c r="G2254" s="424">
        <f>120*12</f>
        <v>1440</v>
      </c>
      <c r="H2254" s="3">
        <f>+IFERROR(VLOOKUP(E2254,BD!$L$2:$Q$66,6,0),0)</f>
        <v>120</v>
      </c>
      <c r="I2254" s="96">
        <f>IFERROR(G2254*VLOOKUP($E2254,BD!$L$2:$Q$66,5,0),0)</f>
        <v>244.8</v>
      </c>
      <c r="J2254" s="5">
        <f t="shared" si="151"/>
        <v>2021</v>
      </c>
    </row>
    <row r="2255" spans="1:10" s="9" customFormat="1" hidden="1" x14ac:dyDescent="0.25">
      <c r="A2255" s="491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7">
        <v>256617</v>
      </c>
      <c r="F2255" s="3" t="str">
        <f>IFERROR(VLOOKUP(E2255,BD!$L$2:$Q$66,2,0),0)</f>
        <v>TWO PACK SCHWEPPES GINGER ALE PET 1.5LX2</v>
      </c>
      <c r="G2255" s="424">
        <f>198*6</f>
        <v>1188</v>
      </c>
      <c r="H2255" s="3">
        <f>+IFERROR(VLOOKUP(E2255,BD!$L$2:$Q$66,6,0),0)</f>
        <v>198</v>
      </c>
      <c r="I2255" s="96">
        <f>IFERROR(G2255*VLOOKUP($E2255,BD!$L$2:$Q$66,5,0),0)</f>
        <v>201.96</v>
      </c>
      <c r="J2255" s="5">
        <f t="shared" si="151"/>
        <v>2021</v>
      </c>
    </row>
    <row r="2256" spans="1:10" s="9" customFormat="1" hidden="1" x14ac:dyDescent="0.25">
      <c r="A2256" s="491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7">
        <v>256666</v>
      </c>
      <c r="F2256" s="3" t="str">
        <f>IFERROR(VLOOKUP(E2256,BD!$L$2:$Q$66,2,0),0)</f>
        <v>COCA-COLA PET 2.25LX2 RF</v>
      </c>
      <c r="G2256" s="424">
        <f>162*4</f>
        <v>648</v>
      </c>
      <c r="H2256" s="3">
        <f>+IFERROR(VLOOKUP(E2256,BD!$L$2:$Q$66,6,0),0)</f>
        <v>162</v>
      </c>
      <c r="I2256" s="96">
        <f>IFERROR(G2256*VLOOKUP($E2256,BD!$L$2:$Q$66,5,0),0)</f>
        <v>110.16000000000001</v>
      </c>
      <c r="J2256" s="5">
        <f t="shared" si="151"/>
        <v>2021</v>
      </c>
    </row>
    <row r="2257" spans="1:10" s="9" customFormat="1" hidden="1" x14ac:dyDescent="0.25">
      <c r="A2257" s="491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7">
        <v>256616</v>
      </c>
      <c r="F2257" s="3" t="str">
        <f>IFERROR(VLOOKUP(E2257,BD!$L$2:$Q$66,2,0),0)</f>
        <v>TWO PACK SCHWEPPES CITRUS PET 1.5LX2</v>
      </c>
      <c r="G2257" s="424">
        <f>198*6</f>
        <v>1188</v>
      </c>
      <c r="H2257" s="3">
        <f>+IFERROR(VLOOKUP(E2257,BD!$L$2:$Q$66,6,0),0)</f>
        <v>198</v>
      </c>
      <c r="I2257" s="96">
        <f>IFERROR(G2257*VLOOKUP($E2257,BD!$L$2:$Q$66,5,0),0)</f>
        <v>201.96</v>
      </c>
      <c r="J2257" s="5">
        <f t="shared" si="151"/>
        <v>2021</v>
      </c>
    </row>
    <row r="2258" spans="1:10" s="9" customFormat="1" hidden="1" x14ac:dyDescent="0.25">
      <c r="A2258" s="491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7">
        <v>256675</v>
      </c>
      <c r="F2258" s="3" t="str">
        <f>IFERROR(VLOOKUP(E2258,BD!$L$2:$Q$66,2,0),0)</f>
        <v>INCA KOLA PET 1.5LX2 RF</v>
      </c>
      <c r="G2258" s="424">
        <f>216*6</f>
        <v>1296</v>
      </c>
      <c r="H2258" s="3">
        <f>+IFERROR(VLOOKUP(E2258,BD!$L$2:$Q$66,6,0),0)</f>
        <v>198</v>
      </c>
      <c r="I2258" s="96">
        <f>IFERROR(G2258*VLOOKUP($E2258,BD!$L$2:$Q$66,5,0),0)</f>
        <v>220.32000000000002</v>
      </c>
      <c r="J2258" s="5">
        <f t="shared" si="151"/>
        <v>2021</v>
      </c>
    </row>
    <row r="2259" spans="1:10" s="9" customFormat="1" hidden="1" x14ac:dyDescent="0.25">
      <c r="A2259" s="491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7">
        <v>256678</v>
      </c>
      <c r="F2259" s="3" t="str">
        <f>IFERROR(VLOOKUP(E2259,BD!$L$2:$Q$66,2,0),0)</f>
        <v>TRIPACK (CC+IK)PFM+FT PET 3LX3 - RFNN</v>
      </c>
      <c r="G2259" s="424">
        <f>90*10</f>
        <v>900</v>
      </c>
      <c r="H2259" s="3">
        <f>+IFERROR(VLOOKUP(E2259,BD!$L$2:$Q$66,6,0),0)</f>
        <v>90</v>
      </c>
      <c r="I2259" s="96">
        <f>IFERROR(G2259*VLOOKUP($E2259,BD!$L$2:$Q$66,5,0),0)</f>
        <v>153</v>
      </c>
      <c r="J2259" s="5">
        <f t="shared" si="151"/>
        <v>2021</v>
      </c>
    </row>
    <row r="2260" spans="1:10" s="9" customFormat="1" hidden="1" x14ac:dyDescent="0.25">
      <c r="A2260" s="491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7">
        <v>256601</v>
      </c>
      <c r="F2260" s="3" t="str">
        <f>IFERROR(VLOOKUP(E2260,BD!$L$2:$Q$66,2,0),0)</f>
        <v>INCA KOLA PET 2.25LX2 RF</v>
      </c>
      <c r="G2260" s="424">
        <f>162*4</f>
        <v>648</v>
      </c>
      <c r="H2260" s="3">
        <f>+IFERROR(VLOOKUP(E2260,BD!$L$2:$Q$66,6,0),0)</f>
        <v>162</v>
      </c>
      <c r="I2260" s="96">
        <f>IFERROR(G2260*VLOOKUP($E2260,BD!$L$2:$Q$66,5,0),0)</f>
        <v>110.16000000000001</v>
      </c>
      <c r="J2260" s="5">
        <f t="shared" si="151"/>
        <v>2021</v>
      </c>
    </row>
    <row r="2261" spans="1:10" s="9" customFormat="1" hidden="1" x14ac:dyDescent="0.25">
      <c r="A2261" s="491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7">
        <v>251406</v>
      </c>
      <c r="F2261" s="3" t="str">
        <f>IFERROR(VLOOKUP(E2261,BD!$L$2:$Q$66,2,0),0)</f>
        <v>COCA-COLA SIN AZUCAR PET 1.5LX2</v>
      </c>
      <c r="G2261" s="424">
        <f>216*14</f>
        <v>3024</v>
      </c>
      <c r="H2261" s="3">
        <f>+IFERROR(VLOOKUP(E2261,BD!$L$2:$Q$66,6,0),0)</f>
        <v>198</v>
      </c>
      <c r="I2261" s="96">
        <f>IFERROR(G2261*VLOOKUP($E2261,BD!$L$2:$Q$66,5,0),0)</f>
        <v>514.08000000000004</v>
      </c>
      <c r="J2261" s="5">
        <f t="shared" si="151"/>
        <v>2021</v>
      </c>
    </row>
    <row r="2262" spans="1:10" s="9" customFormat="1" hidden="1" x14ac:dyDescent="0.25">
      <c r="A2262" s="491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7">
        <v>254853</v>
      </c>
      <c r="F2262" s="3" t="str">
        <f>IFERROR(VLOOKUP(E2262,BD!$L$2:$Q$66,2,0),0)</f>
        <v>INCA KOLA SIN AZUCAR PET 1.5LX2</v>
      </c>
      <c r="G2262" s="424">
        <f>216*4</f>
        <v>864</v>
      </c>
      <c r="H2262" s="3">
        <f>+IFERROR(VLOOKUP(E2262,BD!$L$2:$Q$66,6,0),0)</f>
        <v>198</v>
      </c>
      <c r="I2262" s="96">
        <f>IFERROR(G2262*VLOOKUP($E2262,BD!$L$2:$Q$66,5,0),0)</f>
        <v>146.88000000000002</v>
      </c>
      <c r="J2262" s="5">
        <f t="shared" si="151"/>
        <v>2021</v>
      </c>
    </row>
    <row r="2263" spans="1:10" s="9" customFormat="1" hidden="1" x14ac:dyDescent="0.25">
      <c r="A2263" s="491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7">
        <v>256652</v>
      </c>
      <c r="F2263" s="3" t="str">
        <f>IFERROR(VLOOKUP(E2263,BD!$L$2:$Q$66,2,0),0)</f>
        <v>TRIPACK FT NAR+FT KI+SP PET 3L</v>
      </c>
      <c r="G2263" s="424">
        <f>90*5</f>
        <v>450</v>
      </c>
      <c r="H2263" s="3">
        <f>+IFERROR(VLOOKUP(E2263,BD!$L$2:$Q$66,6,0),0)</f>
        <v>90</v>
      </c>
      <c r="I2263" s="96">
        <f>IFERROR(G2263*VLOOKUP($E2263,BD!$L$2:$Q$66,5,0),0)</f>
        <v>76.5</v>
      </c>
      <c r="J2263" s="5">
        <f t="shared" si="151"/>
        <v>2021</v>
      </c>
    </row>
    <row r="2264" spans="1:10" s="9" customFormat="1" hidden="1" x14ac:dyDescent="0.25">
      <c r="A2264" s="491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7">
        <v>256677</v>
      </c>
      <c r="F2264" s="3" t="str">
        <f>IFERROR(VLOOKUP(E2264,BD!$L$2:$Q$66,2,0),0)</f>
        <v>TWO PACK CC + IK PFM 3LX2 - RFNN</v>
      </c>
      <c r="G2264" s="424">
        <f>120*12</f>
        <v>1440</v>
      </c>
      <c r="H2264" s="3">
        <f>+IFERROR(VLOOKUP(E2264,BD!$L$2:$Q$66,6,0),0)</f>
        <v>120</v>
      </c>
      <c r="I2264" s="96">
        <f>IFERROR(G2264*VLOOKUP($E2264,BD!$L$2:$Q$66,5,0),0)</f>
        <v>244.8</v>
      </c>
      <c r="J2264" s="5">
        <f t="shared" si="151"/>
        <v>2021</v>
      </c>
    </row>
    <row r="2265" spans="1:10" s="9" customFormat="1" hidden="1" x14ac:dyDescent="0.25">
      <c r="A2265" s="491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7">
        <v>251632</v>
      </c>
      <c r="F2265" s="3" t="str">
        <f>IFERROR(VLOOKUP(E2265,BD!$L$2:$Q$66,2,0),0)</f>
        <v>SAN LUIS SIN GAS PET 625MLX06 MOD</v>
      </c>
      <c r="G2265" s="424">
        <f>180*7</f>
        <v>1260</v>
      </c>
      <c r="H2265" s="3">
        <f>+IFERROR(VLOOKUP(E2265,BD!$L$2:$Q$66,6,0),0)</f>
        <v>180</v>
      </c>
      <c r="I2265" s="96">
        <f>IFERROR(G2265*VLOOKUP($E2265,BD!$L$2:$Q$66,5,0),0)</f>
        <v>529.19999999999993</v>
      </c>
      <c r="J2265" s="5">
        <f t="shared" si="151"/>
        <v>2021</v>
      </c>
    </row>
    <row r="2266" spans="1:10" s="9" customFormat="1" hidden="1" x14ac:dyDescent="0.25">
      <c r="A2266" s="491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7">
        <v>251633</v>
      </c>
      <c r="F2266" s="3" t="str">
        <f>IFERROR(VLOOKUP(E2266,BD!$L$2:$Q$66,2,0),0)</f>
        <v>SAN LUIS CON GAS PET 625MLX6</v>
      </c>
      <c r="G2266" s="424">
        <v>360</v>
      </c>
      <c r="H2266" s="3">
        <f>+IFERROR(VLOOKUP(E2266,BD!$L$2:$Q$66,6,0),0)</f>
        <v>180</v>
      </c>
      <c r="I2266" s="96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hidden="1" thickBot="1" x14ac:dyDescent="0.3">
      <c r="A2267" s="492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9">
        <v>256383</v>
      </c>
      <c r="F2267" s="8" t="str">
        <f>IFERROR(VLOOKUP(E2267,BD!$L$2:$Q$66,2,0),0)</f>
        <v>COCA COLA VR 1.5LX8 - STICKER</v>
      </c>
      <c r="G2267" s="501">
        <v>90</v>
      </c>
      <c r="H2267" s="8">
        <f>+IFERROR(VLOOKUP(E2267,BD!$L$2:$Q$66,6,0),0)</f>
        <v>30</v>
      </c>
      <c r="I2267" s="98">
        <f>IFERROR(G2267*VLOOKUP($E2267,BD!$L$2:$Q$66,5,0),0)</f>
        <v>20.7</v>
      </c>
      <c r="J2267" s="110">
        <f t="shared" si="151"/>
        <v>2021</v>
      </c>
    </row>
    <row r="2268" spans="1:10" s="9" customFormat="1" ht="14.1" hidden="1" customHeight="1" x14ac:dyDescent="0.25">
      <c r="A2268" s="493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63">
        <v>256381</v>
      </c>
      <c r="F2268" s="6" t="str">
        <f>IFERROR(VLOOKUP(E2268,BD!$L$2:$Q$66,2,0),0)</f>
        <v>INCA KOLA VR 1.5LX8 - STICKER</v>
      </c>
      <c r="G2268" s="513">
        <f>30*7</f>
        <v>210</v>
      </c>
      <c r="H2268" s="6">
        <f>+IFERROR(VLOOKUP(E2268,BD!$L$2:$Q$66,6,0),0)</f>
        <v>30</v>
      </c>
      <c r="I2268" s="97">
        <f>IFERROR(G2268*VLOOKUP($E2268,BD!$L$2:$Q$66,5,0),0)</f>
        <v>84</v>
      </c>
      <c r="J2268" s="109">
        <f t="shared" si="151"/>
        <v>2021</v>
      </c>
    </row>
    <row r="2269" spans="1:10" s="9" customFormat="1" hidden="1" x14ac:dyDescent="0.25">
      <c r="A2269" s="491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7">
        <v>256721</v>
      </c>
      <c r="F2269" s="3" t="str">
        <f>IFERROR(VLOOKUP(E2269,BD!$L$2:$Q$66,2,0),0)</f>
        <v>SPRITE PET 500MLX6 BRANDEADO MOD</v>
      </c>
      <c r="G2269" s="424">
        <v>250</v>
      </c>
      <c r="H2269" s="3">
        <f>+IFERROR(VLOOKUP(E2269,BD!$L$2:$Q$66,6,0),0)</f>
        <v>420</v>
      </c>
      <c r="I2269" s="96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hidden="1" x14ac:dyDescent="0.25">
      <c r="A2270" s="491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7">
        <v>256709</v>
      </c>
      <c r="F2270" s="3" t="str">
        <f>IFERROR(VLOOKUP(E2270,BD!$L$2:$Q$66,2,0),0)</f>
        <v>POWERADE ION4 MORA AZ PET473X6 MOD(STCK)</v>
      </c>
      <c r="G2270" s="424">
        <v>765</v>
      </c>
      <c r="H2270" s="3">
        <f>+IFERROR(VLOOKUP(E2270,BD!$L$2:$Q$66,6,0),0)</f>
        <v>225</v>
      </c>
      <c r="I2270" s="96">
        <f>IFERROR(G2270*VLOOKUP($E2270,BD!$L$2:$Q$66,5,0),0)</f>
        <v>306</v>
      </c>
      <c r="J2270" s="5">
        <f t="shared" si="151"/>
        <v>2021</v>
      </c>
    </row>
    <row r="2271" spans="1:10" s="9" customFormat="1" hidden="1" x14ac:dyDescent="0.25">
      <c r="A2271" s="491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7">
        <v>251429</v>
      </c>
      <c r="F2271" s="3" t="str">
        <f>IFERROR(VLOOKUP(E2271,BD!$L$2:$Q$66,2,0),0)</f>
        <v>SAN LUIS SIN GAS PET2500X6 STICKER</v>
      </c>
      <c r="G2271" s="424">
        <v>240</v>
      </c>
      <c r="H2271" s="3">
        <f>+IFERROR(VLOOKUP(E2271,BD!$L$2:$Q$66,6,0),0)</f>
        <v>48</v>
      </c>
      <c r="I2271" s="96">
        <f>IFERROR(G2271*VLOOKUP($E2271,BD!$L$2:$Q$66,5,0),0)</f>
        <v>96</v>
      </c>
      <c r="J2271" s="5">
        <f t="shared" si="151"/>
        <v>2021</v>
      </c>
    </row>
    <row r="2272" spans="1:10" s="9" customFormat="1" hidden="1" x14ac:dyDescent="0.25">
      <c r="A2272" s="491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7">
        <v>256674</v>
      </c>
      <c r="F2272" s="3" t="str">
        <f>IFERROR(VLOOKUP(E2272,BD!$L$2:$Q$66,2,0),0)</f>
        <v>COCA-COLA PET 1.5LX2 RF</v>
      </c>
      <c r="G2272" s="424">
        <v>1296</v>
      </c>
      <c r="H2272" s="3">
        <f>+IFERROR(VLOOKUP(E2272,BD!$L$2:$Q$66,6,0),0)</f>
        <v>198</v>
      </c>
      <c r="I2272" s="96">
        <f>IFERROR(G2272*VLOOKUP($E2272,BD!$L$2:$Q$66,5,0),0)</f>
        <v>220.32000000000002</v>
      </c>
      <c r="J2272" s="5">
        <f t="shared" si="151"/>
        <v>2021</v>
      </c>
    </row>
    <row r="2273" spans="1:10" s="9" customFormat="1" hidden="1" x14ac:dyDescent="0.25">
      <c r="A2273" s="491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7">
        <v>256676</v>
      </c>
      <c r="F2273" s="3" t="str">
        <f>IFERROR(VLOOKUP(E2273,BD!$L$2:$Q$66,2,0),0)</f>
        <v>TWO PACK CC PFM 3LX2 - RFCC</v>
      </c>
      <c r="G2273" s="424">
        <v>480</v>
      </c>
      <c r="H2273" s="3">
        <f>+IFERROR(VLOOKUP(E2273,BD!$L$2:$Q$66,6,0),0)</f>
        <v>120</v>
      </c>
      <c r="I2273" s="96">
        <f>IFERROR(G2273*VLOOKUP($E2273,BD!$L$2:$Q$66,5,0),0)</f>
        <v>81.600000000000009</v>
      </c>
      <c r="J2273" s="5">
        <f t="shared" si="151"/>
        <v>2021</v>
      </c>
    </row>
    <row r="2274" spans="1:10" s="9" customFormat="1" hidden="1" x14ac:dyDescent="0.25">
      <c r="A2274" s="491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7">
        <v>256695</v>
      </c>
      <c r="F2274" s="3" t="str">
        <f>IFERROR(VLOOKUP(E2274,BD!$L$2:$Q$66,2,0),0)</f>
        <v>POWERADE 3MORA+3FRUT PET 473MLX6</v>
      </c>
      <c r="G2274" s="424">
        <v>1350</v>
      </c>
      <c r="H2274" s="3">
        <f>+IFERROR(VLOOKUP(E2274,BD!$L$2:$Q$66,6,0),0)</f>
        <v>225</v>
      </c>
      <c r="I2274" s="96">
        <f>IFERROR(G2274*VLOOKUP($E2274,BD!$L$2:$Q$66,5,0),0)</f>
        <v>567</v>
      </c>
      <c r="J2274" s="5">
        <f t="shared" si="151"/>
        <v>2021</v>
      </c>
    </row>
    <row r="2275" spans="1:10" s="9" customFormat="1" hidden="1" x14ac:dyDescent="0.25">
      <c r="A2275" s="491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7">
        <v>256685</v>
      </c>
      <c r="F2275" s="3" t="str">
        <f>IFERROR(VLOOKUP(E2275,BD!$L$2:$Q$66,2,0),0)</f>
        <v>SL S/G TAPA PLANA 1LT</v>
      </c>
      <c r="G2275" s="424">
        <f>112*2</f>
        <v>224</v>
      </c>
      <c r="H2275" s="3">
        <f>+IFERROR(VLOOKUP(E2275,BD!$L$2:$Q$66,6,0),0)</f>
        <v>112</v>
      </c>
      <c r="I2275" s="96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hidden="1" thickBot="1" x14ac:dyDescent="0.3">
      <c r="A2276" s="492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9">
        <v>252436</v>
      </c>
      <c r="F2276" s="8" t="str">
        <f>IFERROR(VLOOKUP(E2276,BD!$L$2:$Q$66,2,0),0)</f>
        <v>SAN LUIS SIN GAS PET 625MLX15 C/STICKER</v>
      </c>
      <c r="G2276" s="501">
        <f>90*2</f>
        <v>180</v>
      </c>
      <c r="H2276" s="8">
        <f>+IFERROR(VLOOKUP(E2276,BD!$L$2:$Q$66,6,0),0)</f>
        <v>90</v>
      </c>
      <c r="I2276" s="98">
        <f>IFERROR(G2276*VLOOKUP($E2276,BD!$L$2:$Q$66,5,0),0)</f>
        <v>72</v>
      </c>
      <c r="J2276" s="110">
        <f t="shared" si="151"/>
        <v>2021</v>
      </c>
    </row>
    <row r="2277" spans="1:10" s="9" customFormat="1" hidden="1" x14ac:dyDescent="0.25">
      <c r="A2277" s="493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63">
        <v>252436</v>
      </c>
      <c r="F2277" s="6" t="str">
        <f>IFERROR(VLOOKUP(E2277,BD!$L$2:$Q$66,2,0),0)</f>
        <v>SAN LUIS SIN GAS PET 625MLX15 C/STICKER</v>
      </c>
      <c r="G2277" s="513">
        <f>90*13</f>
        <v>1170</v>
      </c>
      <c r="H2277" s="6">
        <f>+IFERROR(VLOOKUP(E2277,BD!$L$2:$Q$66,6,0),0)</f>
        <v>90</v>
      </c>
      <c r="I2277" s="97">
        <f>IFERROR(G2277*VLOOKUP($E2277,BD!$L$2:$Q$66,5,0),0)</f>
        <v>468</v>
      </c>
      <c r="J2277" s="109">
        <f t="shared" si="151"/>
        <v>2021</v>
      </c>
    </row>
    <row r="2278" spans="1:10" s="9" customFormat="1" ht="15.75" hidden="1" thickBot="1" x14ac:dyDescent="0.3">
      <c r="A2278" s="492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9">
        <v>251632</v>
      </c>
      <c r="F2278" s="8" t="str">
        <f>IFERROR(VLOOKUP(E2278,BD!$L$2:$Q$66,2,0),0)</f>
        <v>SAN LUIS SIN GAS PET 625MLX06 MOD</v>
      </c>
      <c r="G2278" s="501">
        <f>180*12</f>
        <v>2160</v>
      </c>
      <c r="H2278" s="8">
        <f>+IFERROR(VLOOKUP(E2278,BD!$L$2:$Q$66,6,0),0)</f>
        <v>180</v>
      </c>
      <c r="I2278" s="98">
        <f>IFERROR(G2278*VLOOKUP($E2278,BD!$L$2:$Q$66,5,0),0)</f>
        <v>907.19999999999993</v>
      </c>
      <c r="J2278" s="110">
        <f t="shared" si="151"/>
        <v>2021</v>
      </c>
    </row>
    <row r="2279" spans="1:10" s="9" customFormat="1" hidden="1" x14ac:dyDescent="0.25">
      <c r="A2279" s="493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63">
        <v>254853</v>
      </c>
      <c r="F2279" s="6" t="str">
        <f>IFERROR(VLOOKUP(E2279,BD!$L$2:$Q$66,2,0),0)</f>
        <v>INCA KOLA SIN AZUCAR PET 1.5LX2</v>
      </c>
      <c r="G2279" s="513">
        <f>216*3</f>
        <v>648</v>
      </c>
      <c r="H2279" s="6">
        <f>+IFERROR(VLOOKUP(E2279,BD!$L$2:$Q$66,6,0),0)</f>
        <v>198</v>
      </c>
      <c r="I2279" s="97">
        <f>IFERROR(G2279*VLOOKUP($E2279,BD!$L$2:$Q$66,5,0),0)</f>
        <v>110.16000000000001</v>
      </c>
      <c r="J2279" s="109">
        <f t="shared" si="151"/>
        <v>2021</v>
      </c>
    </row>
    <row r="2280" spans="1:10" s="9" customFormat="1" hidden="1" x14ac:dyDescent="0.25">
      <c r="A2280" s="491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7">
        <v>251406</v>
      </c>
      <c r="F2280" s="3" t="str">
        <f>IFERROR(VLOOKUP(E2280,BD!$L$2:$Q$66,2,0),0)</f>
        <v>COCA-COLA SIN AZUCAR PET 1.5LX2</v>
      </c>
      <c r="G2280" s="424">
        <f>216*8</f>
        <v>1728</v>
      </c>
      <c r="H2280" s="3">
        <f>+IFERROR(VLOOKUP(E2280,BD!$L$2:$Q$66,6,0),0)</f>
        <v>198</v>
      </c>
      <c r="I2280" s="96">
        <f>IFERROR(G2280*VLOOKUP($E2280,BD!$L$2:$Q$66,5,0),0)</f>
        <v>293.76000000000005</v>
      </c>
      <c r="J2280" s="5">
        <f t="shared" si="151"/>
        <v>2021</v>
      </c>
    </row>
    <row r="2281" spans="1:10" s="9" customFormat="1" hidden="1" x14ac:dyDescent="0.25">
      <c r="A2281" s="491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7">
        <v>256488</v>
      </c>
      <c r="F2281" s="3" t="str">
        <f>IFERROR(VLOOKUP(E2281,BD!$L$2:$Q$66,2,0),0)</f>
        <v>INCA KOLA PET 3LX2 - RF</v>
      </c>
      <c r="G2281" s="424">
        <f>120*7</f>
        <v>840</v>
      </c>
      <c r="H2281" s="3">
        <f>+IFERROR(VLOOKUP(E2281,BD!$L$2:$Q$66,6,0),0)</f>
        <v>120</v>
      </c>
      <c r="I2281" s="96">
        <f>IFERROR(G2281*VLOOKUP($E2281,BD!$L$2:$Q$66,5,0),0)</f>
        <v>142.80000000000001</v>
      </c>
      <c r="J2281" s="5">
        <f t="shared" si="151"/>
        <v>2021</v>
      </c>
    </row>
    <row r="2282" spans="1:10" s="9" customFormat="1" hidden="1" x14ac:dyDescent="0.25">
      <c r="A2282" s="491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7">
        <v>256677</v>
      </c>
      <c r="F2282" s="3" t="str">
        <f>IFERROR(VLOOKUP(E2282,BD!$L$2:$Q$66,2,0),0)</f>
        <v>TWO PACK CC + IK PFM 3LX2 - RFNN</v>
      </c>
      <c r="G2282" s="424">
        <f>120*22</f>
        <v>2640</v>
      </c>
      <c r="H2282" s="3">
        <f>+IFERROR(VLOOKUP(E2282,BD!$L$2:$Q$66,6,0),0)</f>
        <v>120</v>
      </c>
      <c r="I2282" s="96">
        <f>IFERROR(G2282*VLOOKUP($E2282,BD!$L$2:$Q$66,5,0),0)</f>
        <v>448.8</v>
      </c>
      <c r="J2282" s="5">
        <f t="shared" si="151"/>
        <v>2021</v>
      </c>
    </row>
    <row r="2283" spans="1:10" s="9" customFormat="1" hidden="1" x14ac:dyDescent="0.25">
      <c r="A2283" s="491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7">
        <v>256678</v>
      </c>
      <c r="F2283" s="3" t="str">
        <f>IFERROR(VLOOKUP(E2283,BD!$L$2:$Q$66,2,0),0)</f>
        <v>TRIPACK (CC+IK)PFM+FT PET 3LX3 - RFNN</v>
      </c>
      <c r="G2283" s="424">
        <f>90*42</f>
        <v>3780</v>
      </c>
      <c r="H2283" s="3">
        <f>+IFERROR(VLOOKUP(E2283,BD!$L$2:$Q$66,6,0),0)</f>
        <v>90</v>
      </c>
      <c r="I2283" s="96">
        <f>IFERROR(G2283*VLOOKUP($E2283,BD!$L$2:$Q$66,5,0),0)</f>
        <v>642.6</v>
      </c>
      <c r="J2283" s="5">
        <f t="shared" si="151"/>
        <v>2021</v>
      </c>
    </row>
    <row r="2284" spans="1:10" s="9" customFormat="1" hidden="1" x14ac:dyDescent="0.25">
      <c r="A2284" s="491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7">
        <v>256675</v>
      </c>
      <c r="F2284" s="3" t="str">
        <f>IFERROR(VLOOKUP(E2284,BD!$L$2:$Q$66,2,0),0)</f>
        <v>INCA KOLA PET 1.5LX2 RF</v>
      </c>
      <c r="G2284" s="424">
        <f>216*4</f>
        <v>864</v>
      </c>
      <c r="H2284" s="3">
        <f>+IFERROR(VLOOKUP(E2284,BD!$L$2:$Q$66,6,0),0)</f>
        <v>198</v>
      </c>
      <c r="I2284" s="96">
        <f>IFERROR(G2284*VLOOKUP($E2284,BD!$L$2:$Q$66,5,0),0)</f>
        <v>146.88000000000002</v>
      </c>
      <c r="J2284" s="5">
        <f t="shared" si="151"/>
        <v>2021</v>
      </c>
    </row>
    <row r="2285" spans="1:10" s="9" customFormat="1" hidden="1" x14ac:dyDescent="0.25">
      <c r="A2285" s="491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7">
        <v>256601</v>
      </c>
      <c r="F2285" s="3" t="str">
        <f>IFERROR(VLOOKUP(E2285,BD!$L$2:$Q$66,2,0),0)</f>
        <v>INCA KOLA PET 2.25LX2 RF</v>
      </c>
      <c r="G2285" s="424">
        <f>162*3</f>
        <v>486</v>
      </c>
      <c r="H2285" s="3">
        <f>+IFERROR(VLOOKUP(E2285,BD!$L$2:$Q$66,6,0),0)</f>
        <v>162</v>
      </c>
      <c r="I2285" s="96">
        <f>IFERROR(G2285*VLOOKUP($E2285,BD!$L$2:$Q$66,5,0),0)</f>
        <v>82.62</v>
      </c>
      <c r="J2285" s="5">
        <f t="shared" si="151"/>
        <v>2021</v>
      </c>
    </row>
    <row r="2286" spans="1:10" s="9" customFormat="1" hidden="1" x14ac:dyDescent="0.25">
      <c r="A2286" s="491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7">
        <v>256652</v>
      </c>
      <c r="F2286" s="3" t="str">
        <f>IFERROR(VLOOKUP(E2286,BD!$L$2:$Q$66,2,0),0)</f>
        <v>TRIPACK FT NAR+FT KI+SP PET 3L</v>
      </c>
      <c r="G2286" s="424">
        <f>90*5</f>
        <v>450</v>
      </c>
      <c r="H2286" s="3">
        <f>+IFERROR(VLOOKUP(E2286,BD!$L$2:$Q$66,6,0),0)</f>
        <v>90</v>
      </c>
      <c r="I2286" s="96">
        <f>IFERROR(G2286*VLOOKUP($E2286,BD!$L$2:$Q$66,5,0),0)</f>
        <v>76.5</v>
      </c>
      <c r="J2286" s="5">
        <f t="shared" si="151"/>
        <v>2021</v>
      </c>
    </row>
    <row r="2287" spans="1:10" s="9" customFormat="1" hidden="1" x14ac:dyDescent="0.25">
      <c r="A2287" s="491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7">
        <v>256617</v>
      </c>
      <c r="F2287" s="3" t="str">
        <f>IFERROR(VLOOKUP(E2287,BD!$L$2:$Q$66,2,0),0)</f>
        <v>TWO PACK SCHWEPPES GINGER ALE PET 1.5LX2</v>
      </c>
      <c r="G2287" s="424">
        <f>198*6</f>
        <v>1188</v>
      </c>
      <c r="H2287" s="3">
        <f>+IFERROR(VLOOKUP(E2287,BD!$L$2:$Q$66,6,0),0)</f>
        <v>198</v>
      </c>
      <c r="I2287" s="96">
        <f>IFERROR(G2287*VLOOKUP($E2287,BD!$L$2:$Q$66,5,0),0)</f>
        <v>201.96</v>
      </c>
      <c r="J2287" s="5">
        <f t="shared" si="151"/>
        <v>2021</v>
      </c>
    </row>
    <row r="2288" spans="1:10" s="9" customFormat="1" hidden="1" x14ac:dyDescent="0.25">
      <c r="A2288" s="491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7">
        <v>251632</v>
      </c>
      <c r="F2288" s="3" t="str">
        <f>IFERROR(VLOOKUP(E2288,BD!$L$2:$Q$66,2,0),0)</f>
        <v>SAN LUIS SIN GAS PET 625MLX06 MOD</v>
      </c>
      <c r="G2288" s="424">
        <f>180*11</f>
        <v>1980</v>
      </c>
      <c r="H2288" s="3">
        <f>+IFERROR(VLOOKUP(E2288,BD!$L$2:$Q$66,6,0),0)</f>
        <v>180</v>
      </c>
      <c r="I2288" s="96">
        <f>IFERROR(G2288*VLOOKUP($E2288,BD!$L$2:$Q$66,5,0),0)</f>
        <v>831.6</v>
      </c>
      <c r="J2288" s="5">
        <f t="shared" si="151"/>
        <v>2021</v>
      </c>
    </row>
    <row r="2289" spans="1:10" s="9" customFormat="1" hidden="1" x14ac:dyDescent="0.25">
      <c r="A2289" s="491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7">
        <v>251429</v>
      </c>
      <c r="F2289" s="3" t="str">
        <f>IFERROR(VLOOKUP(E2289,BD!$L$2:$Q$66,2,0),0)</f>
        <v>SAN LUIS SIN GAS PET2500X6 STICKER</v>
      </c>
      <c r="G2289" s="424">
        <f>48*11</f>
        <v>528</v>
      </c>
      <c r="H2289" s="3">
        <f>+IFERROR(VLOOKUP(E2289,BD!$L$2:$Q$66,6,0),0)</f>
        <v>48</v>
      </c>
      <c r="I2289" s="96">
        <f>IFERROR(G2289*VLOOKUP($E2289,BD!$L$2:$Q$66,5,0),0)</f>
        <v>211.20000000000002</v>
      </c>
      <c r="J2289" s="5">
        <f t="shared" si="151"/>
        <v>2021</v>
      </c>
    </row>
    <row r="2290" spans="1:10" s="9" customFormat="1" hidden="1" x14ac:dyDescent="0.25">
      <c r="A2290" s="491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7">
        <v>256674</v>
      </c>
      <c r="F2290" s="3" t="str">
        <f>IFERROR(VLOOKUP(E2290,BD!$L$2:$Q$66,2,0),0)</f>
        <v>COCA-COLA PET 1.5LX2 RF</v>
      </c>
      <c r="G2290" s="424">
        <f>216*3</f>
        <v>648</v>
      </c>
      <c r="H2290" s="3">
        <f>+IFERROR(VLOOKUP(E2290,BD!$L$2:$Q$66,6,0),0)</f>
        <v>198</v>
      </c>
      <c r="I2290" s="96">
        <f>IFERROR(G2290*VLOOKUP($E2290,BD!$L$2:$Q$66,5,0),0)</f>
        <v>110.16000000000001</v>
      </c>
      <c r="J2290" s="5">
        <f t="shared" si="151"/>
        <v>2021</v>
      </c>
    </row>
    <row r="2291" spans="1:10" s="9" customFormat="1" hidden="1" x14ac:dyDescent="0.25">
      <c r="A2291" s="491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7">
        <v>256676</v>
      </c>
      <c r="F2291" s="3" t="str">
        <f>IFERROR(VLOOKUP(E2291,BD!$L$2:$Q$66,2,0),0)</f>
        <v>TWO PACK CC PFM 3LX2 - RFCC</v>
      </c>
      <c r="G2291" s="424">
        <f>120*7</f>
        <v>840</v>
      </c>
      <c r="H2291" s="3">
        <f>+IFERROR(VLOOKUP(E2291,BD!$L$2:$Q$66,6,0),0)</f>
        <v>120</v>
      </c>
      <c r="I2291" s="96">
        <f>IFERROR(G2291*VLOOKUP($E2291,BD!$L$2:$Q$66,5,0),0)</f>
        <v>142.80000000000001</v>
      </c>
      <c r="J2291" s="5">
        <f t="shared" si="151"/>
        <v>2021</v>
      </c>
    </row>
    <row r="2292" spans="1:10" s="9" customFormat="1" hidden="1" x14ac:dyDescent="0.25">
      <c r="A2292" s="491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7">
        <v>256382</v>
      </c>
      <c r="F2292" s="3" t="str">
        <f>IFERROR(VLOOKUP(E2292,BD!$L$2:$Q$66,2,0),0)</f>
        <v>COCA COLA VR 296MLX24 - STICKER</v>
      </c>
      <c r="G2292" s="424">
        <v>40</v>
      </c>
      <c r="H2292" s="3">
        <f>+IFERROR(VLOOKUP(E2292,BD!$L$2:$Q$66,6,0),0)</f>
        <v>40</v>
      </c>
      <c r="I2292" s="96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hidden="1" thickBot="1" x14ac:dyDescent="0.3">
      <c r="A2293" s="492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9">
        <v>256383</v>
      </c>
      <c r="F2293" s="8" t="str">
        <f>IFERROR(VLOOKUP(E2293,BD!$L$2:$Q$66,2,0),0)</f>
        <v>COCA COLA VR 1.5LX8 - STICKER</v>
      </c>
      <c r="G2293" s="501">
        <v>30</v>
      </c>
      <c r="H2293" s="8">
        <f>+IFERROR(VLOOKUP(E2293,BD!$L$2:$Q$66,6,0),0)</f>
        <v>30</v>
      </c>
      <c r="I2293" s="98">
        <f>IFERROR(G2293*VLOOKUP($E2293,BD!$L$2:$Q$66,5,0),0)</f>
        <v>6.9</v>
      </c>
      <c r="J2293" s="110">
        <f t="shared" si="151"/>
        <v>2021</v>
      </c>
    </row>
    <row r="2294" spans="1:10" s="9" customFormat="1" hidden="1" x14ac:dyDescent="0.25">
      <c r="A2294" s="493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63">
        <v>256708</v>
      </c>
      <c r="F2294" s="6" t="str">
        <f>IFERROR(VLOOKUP(E2294,BD!$L$2:$Q$66,2,0),0)</f>
        <v>POWERADE ION4 FRUTA PET473X6 MOD (STICK)</v>
      </c>
      <c r="G2294" s="513">
        <v>225</v>
      </c>
      <c r="H2294" s="6">
        <f>+IFERROR(VLOOKUP(E2294,BD!$L$2:$Q$66,6,0),0)</f>
        <v>225</v>
      </c>
      <c r="I2294" s="97">
        <f>IFERROR(G2294*VLOOKUP($E2294,BD!$L$2:$Q$66,5,0),0)</f>
        <v>90</v>
      </c>
      <c r="J2294" s="109">
        <f t="shared" si="151"/>
        <v>2021</v>
      </c>
    </row>
    <row r="2295" spans="1:10" s="9" customFormat="1" hidden="1" x14ac:dyDescent="0.25">
      <c r="A2295" s="491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7">
        <v>256709</v>
      </c>
      <c r="F2295" s="3" t="str">
        <f>IFERROR(VLOOKUP(E2295,BD!$L$2:$Q$66,2,0),0)</f>
        <v>POWERADE ION4 MORA AZ PET473X6 MOD(STCK)</v>
      </c>
      <c r="G2295" s="424">
        <v>225</v>
      </c>
      <c r="H2295" s="3">
        <f>+IFERROR(VLOOKUP(E2295,BD!$L$2:$Q$66,6,0),0)</f>
        <v>225</v>
      </c>
      <c r="I2295" s="96">
        <f>IFERROR(G2295*VLOOKUP($E2295,BD!$L$2:$Q$66,5,0),0)</f>
        <v>90</v>
      </c>
      <c r="J2295" s="5">
        <f t="shared" si="151"/>
        <v>2021</v>
      </c>
    </row>
    <row r="2296" spans="1:10" s="9" customFormat="1" hidden="1" x14ac:dyDescent="0.25">
      <c r="A2296" s="491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7">
        <v>256682</v>
      </c>
      <c r="F2296" s="3" t="str">
        <f>IFERROR(VLOOKUP(E2296,BD!$L$2:$Q$66,2,0),0)</f>
        <v>TRIPACK (FT NAR+SP)PET+IK RF PFM 3L</v>
      </c>
      <c r="G2296" s="424">
        <v>90</v>
      </c>
      <c r="H2296" s="3">
        <f>+IFERROR(VLOOKUP(E2296,BD!$L$2:$Q$66,6,0),0)</f>
        <v>90</v>
      </c>
      <c r="I2296" s="96">
        <f>IFERROR(G2296*VLOOKUP($E2296,BD!$L$2:$Q$66,5,0),0)</f>
        <v>15.3</v>
      </c>
      <c r="J2296" s="5">
        <f t="shared" si="151"/>
        <v>2021</v>
      </c>
    </row>
    <row r="2297" spans="1:10" s="9" customFormat="1" ht="15.75" hidden="1" thickBot="1" x14ac:dyDescent="0.3">
      <c r="A2297" s="492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9">
        <v>751315</v>
      </c>
      <c r="F2297" s="8" t="str">
        <f>IFERROR(VLOOKUP(E2297,BD!$L$2:$Q$66,2,0),0)</f>
        <v>MONSTER ENERGY 473MLX4</v>
      </c>
      <c r="G2297" s="501">
        <f>420*7</f>
        <v>2940</v>
      </c>
      <c r="H2297" s="8">
        <f>+IFERROR(VLOOKUP(E2297,BD!$L$2:$Q$66,6,0),0)</f>
        <v>420</v>
      </c>
      <c r="I2297" s="98">
        <f>IFERROR(G2297*VLOOKUP($E2297,BD!$L$2:$Q$66,5,0),0)</f>
        <v>1234.8</v>
      </c>
      <c r="J2297" s="110">
        <f t="shared" si="151"/>
        <v>2021</v>
      </c>
    </row>
    <row r="2298" spans="1:10" s="9" customFormat="1" hidden="1" x14ac:dyDescent="0.25">
      <c r="A2298" s="493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63">
        <v>256685</v>
      </c>
      <c r="F2298" s="6" t="str">
        <f>IFERROR(VLOOKUP(E2298,BD!$L$2:$Q$66,2,0),0)</f>
        <v>SL S/G TAPA PLANA 1LT</v>
      </c>
      <c r="G2298" s="513">
        <v>112</v>
      </c>
      <c r="H2298" s="6">
        <f>+IFERROR(VLOOKUP(E2298,BD!$L$2:$Q$66,6,0),0)</f>
        <v>112</v>
      </c>
      <c r="I2298" s="97">
        <f>IFERROR(G2298*VLOOKUP($E2298,BD!$L$2:$Q$66,5,0),0)</f>
        <v>44.800000000000004</v>
      </c>
      <c r="J2298" s="109">
        <f t="shared" si="151"/>
        <v>2021</v>
      </c>
    </row>
    <row r="2299" spans="1:10" s="9" customFormat="1" hidden="1" x14ac:dyDescent="0.25">
      <c r="A2299" s="491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7">
        <v>256382</v>
      </c>
      <c r="F2299" s="3" t="str">
        <f>IFERROR(VLOOKUP(E2299,BD!$L$2:$Q$66,2,0),0)</f>
        <v>COCA COLA VR 296MLX24 - STICKER</v>
      </c>
      <c r="G2299" s="424">
        <v>40</v>
      </c>
      <c r="H2299" s="3">
        <f>+IFERROR(VLOOKUP(E2299,BD!$L$2:$Q$66,6,0),0)</f>
        <v>40</v>
      </c>
      <c r="I2299" s="96">
        <f>IFERROR(G2299*VLOOKUP($E2299,BD!$L$2:$Q$66,5,0),0)</f>
        <v>9.2000000000000011</v>
      </c>
      <c r="J2299" s="5">
        <f t="shared" si="151"/>
        <v>2021</v>
      </c>
    </row>
    <row r="2300" spans="1:10" s="9" customFormat="1" hidden="1" x14ac:dyDescent="0.25">
      <c r="A2300" s="491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7">
        <v>256379</v>
      </c>
      <c r="F2300" s="3" t="str">
        <f>IFERROR(VLOOKUP(E2300,BD!$L$2:$Q$66,2,0),0)</f>
        <v>INCA KOLA VR 625MLX12 - STICKER</v>
      </c>
      <c r="G2300" s="424">
        <f>50*3</f>
        <v>150</v>
      </c>
      <c r="H2300" s="3">
        <f>+IFERROR(VLOOKUP(E2300,BD!$L$2:$Q$66,6,0),0)</f>
        <v>50</v>
      </c>
      <c r="I2300" s="96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hidden="1" x14ac:dyDescent="0.25">
      <c r="A2301" s="491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7">
        <v>251429</v>
      </c>
      <c r="F2301" s="3" t="str">
        <f>IFERROR(VLOOKUP(E2301,BD!$L$2:$Q$66,2,0),0)</f>
        <v>SAN LUIS SIN GAS PET2500X6 STICKER</v>
      </c>
      <c r="G2301" s="424">
        <f>48*14</f>
        <v>672</v>
      </c>
      <c r="H2301" s="3">
        <f>+IFERROR(VLOOKUP(E2301,BD!$L$2:$Q$66,6,0),0)</f>
        <v>48</v>
      </c>
      <c r="I2301" s="96">
        <f>IFERROR(G2301*VLOOKUP($E2301,BD!$L$2:$Q$66,5,0),0)</f>
        <v>268.8</v>
      </c>
      <c r="J2301" s="5">
        <f t="shared" si="159"/>
        <v>2021</v>
      </c>
    </row>
    <row r="2302" spans="1:10" s="9" customFormat="1" hidden="1" x14ac:dyDescent="0.25">
      <c r="A2302" s="491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7">
        <v>751315</v>
      </c>
      <c r="F2302" s="3" t="str">
        <f>IFERROR(VLOOKUP(E2302,BD!$L$2:$Q$66,2,0),0)</f>
        <v>MONSTER ENERGY 473MLX4</v>
      </c>
      <c r="G2302" s="424">
        <f>420*9</f>
        <v>3780</v>
      </c>
      <c r="H2302" s="3">
        <f>+IFERROR(VLOOKUP(E2302,BD!$L$2:$Q$66,6,0),0)</f>
        <v>420</v>
      </c>
      <c r="I2302" s="96">
        <f>IFERROR(G2302*VLOOKUP($E2302,BD!$L$2:$Q$66,5,0),0)</f>
        <v>1587.6</v>
      </c>
      <c r="J2302" s="5">
        <f t="shared" si="159"/>
        <v>2021</v>
      </c>
    </row>
    <row r="2303" spans="1:10" s="9" customFormat="1" hidden="1" x14ac:dyDescent="0.25">
      <c r="A2303" s="491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7">
        <v>256676</v>
      </c>
      <c r="F2303" s="3" t="str">
        <f>IFERROR(VLOOKUP(E2303,BD!$L$2:$Q$66,2,0),0)</f>
        <v>TWO PACK CC PFM 3LX2 - RFCC</v>
      </c>
      <c r="G2303" s="424">
        <f>120*6</f>
        <v>720</v>
      </c>
      <c r="H2303" s="3">
        <f>+IFERROR(VLOOKUP(E2303,BD!$L$2:$Q$66,6,0),0)</f>
        <v>120</v>
      </c>
      <c r="I2303" s="96">
        <f>IFERROR(G2303*VLOOKUP($E2303,BD!$L$2:$Q$66,5,0),0)</f>
        <v>122.4</v>
      </c>
      <c r="J2303" s="5">
        <f t="shared" si="159"/>
        <v>2021</v>
      </c>
    </row>
    <row r="2304" spans="1:10" s="9" customFormat="1" hidden="1" x14ac:dyDescent="0.25">
      <c r="A2304" s="491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7">
        <v>256675</v>
      </c>
      <c r="F2304" s="3" t="str">
        <f>IFERROR(VLOOKUP(E2304,BD!$L$2:$Q$66,2,0),0)</f>
        <v>INCA KOLA PET 1.5LX2 RF</v>
      </c>
      <c r="G2304" s="424">
        <f>216*2</f>
        <v>432</v>
      </c>
      <c r="H2304" s="3">
        <f>+IFERROR(VLOOKUP(E2304,BD!$L$2:$Q$66,6,0),0)</f>
        <v>198</v>
      </c>
      <c r="I2304" s="96">
        <f>IFERROR(G2304*VLOOKUP($E2304,BD!$L$2:$Q$66,5,0),0)</f>
        <v>73.440000000000012</v>
      </c>
      <c r="J2304" s="5">
        <f t="shared" si="159"/>
        <v>2021</v>
      </c>
    </row>
    <row r="2305" spans="1:11" s="9" customFormat="1" hidden="1" x14ac:dyDescent="0.25">
      <c r="A2305" s="491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7">
        <v>256674</v>
      </c>
      <c r="F2305" s="3" t="str">
        <f>IFERROR(VLOOKUP(E2305,BD!$L$2:$Q$66,2,0),0)</f>
        <v>COCA-COLA PET 1.5LX2 RF</v>
      </c>
      <c r="G2305" s="424">
        <f>216*10</f>
        <v>2160</v>
      </c>
      <c r="H2305" s="3">
        <f>+IFERROR(VLOOKUP(E2305,BD!$L$2:$Q$66,6,0),0)</f>
        <v>198</v>
      </c>
      <c r="I2305" s="96">
        <f>IFERROR(G2305*VLOOKUP($E2305,BD!$L$2:$Q$66,5,0),0)</f>
        <v>367.20000000000005</v>
      </c>
      <c r="J2305" s="5">
        <f t="shared" si="159"/>
        <v>2021</v>
      </c>
    </row>
    <row r="2306" spans="1:11" s="9" customFormat="1" hidden="1" x14ac:dyDescent="0.25">
      <c r="A2306" s="491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7">
        <v>256617</v>
      </c>
      <c r="F2306" s="3" t="str">
        <f>IFERROR(VLOOKUP(E2306,BD!$L$2:$Q$66,2,0),0)</f>
        <v>TWO PACK SCHWEPPES GINGER ALE PET 1.5LX2</v>
      </c>
      <c r="G2306" s="424">
        <f>198*2</f>
        <v>396</v>
      </c>
      <c r="H2306" s="3">
        <f>+IFERROR(VLOOKUP(E2306,BD!$L$2:$Q$66,6,0),0)</f>
        <v>198</v>
      </c>
      <c r="I2306" s="96">
        <f>IFERROR(G2306*VLOOKUP($E2306,BD!$L$2:$Q$66,5,0),0)</f>
        <v>67.320000000000007</v>
      </c>
      <c r="J2306" s="5">
        <f t="shared" si="159"/>
        <v>2021</v>
      </c>
    </row>
    <row r="2307" spans="1:11" s="9" customFormat="1" hidden="1" x14ac:dyDescent="0.25">
      <c r="A2307" s="491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7">
        <v>256616</v>
      </c>
      <c r="F2307" s="3" t="str">
        <f>IFERROR(VLOOKUP(E2307,BD!$L$2:$Q$66,2,0),0)</f>
        <v>TWO PACK SCHWEPPES CITRUS PET 1.5LX2</v>
      </c>
      <c r="G2307" s="424">
        <f>198*7</f>
        <v>1386</v>
      </c>
      <c r="H2307" s="3">
        <f>+IFERROR(VLOOKUP(E2307,BD!$L$2:$Q$66,6,0),0)</f>
        <v>198</v>
      </c>
      <c r="I2307" s="96">
        <f>IFERROR(G2307*VLOOKUP($E2307,BD!$L$2:$Q$66,5,0),0)</f>
        <v>235.62</v>
      </c>
      <c r="J2307" s="5">
        <f t="shared" si="159"/>
        <v>2021</v>
      </c>
    </row>
    <row r="2308" spans="1:11" s="9" customFormat="1" hidden="1" x14ac:dyDescent="0.25">
      <c r="A2308" s="491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7">
        <v>254853</v>
      </c>
      <c r="F2308" s="3" t="str">
        <f>IFERROR(VLOOKUP(E2308,BD!$L$2:$Q$66,2,0),0)</f>
        <v>INCA KOLA SIN AZUCAR PET 1.5LX2</v>
      </c>
      <c r="G2308" s="424">
        <f>216*7</f>
        <v>1512</v>
      </c>
      <c r="H2308" s="3">
        <f>+IFERROR(VLOOKUP(E2308,BD!$L$2:$Q$66,6,0),0)</f>
        <v>198</v>
      </c>
      <c r="I2308" s="96">
        <f>IFERROR(G2308*VLOOKUP($E2308,BD!$L$2:$Q$66,5,0),0)</f>
        <v>257.04000000000002</v>
      </c>
      <c r="J2308" s="5">
        <f t="shared" si="159"/>
        <v>2021</v>
      </c>
    </row>
    <row r="2309" spans="1:11" s="9" customFormat="1" hidden="1" x14ac:dyDescent="0.25">
      <c r="A2309" s="491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7">
        <v>256682</v>
      </c>
      <c r="F2309" s="3" t="str">
        <f>IFERROR(VLOOKUP(E2309,BD!$L$2:$Q$66,2,0),0)</f>
        <v>TRIPACK (FT NAR+SP)PET+IK RF PFM 3L</v>
      </c>
      <c r="G2309" s="424">
        <f>90*2</f>
        <v>180</v>
      </c>
      <c r="H2309" s="3">
        <f>+IFERROR(VLOOKUP(E2309,BD!$L$2:$Q$66,6,0),0)</f>
        <v>90</v>
      </c>
      <c r="I2309" s="96">
        <f>IFERROR(G2309*VLOOKUP($E2309,BD!$L$2:$Q$66,5,0),0)</f>
        <v>30.6</v>
      </c>
      <c r="J2309" s="5">
        <f t="shared" si="159"/>
        <v>2021</v>
      </c>
    </row>
    <row r="2310" spans="1:11" s="9" customFormat="1" hidden="1" x14ac:dyDescent="0.25">
      <c r="A2310" s="491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7">
        <v>251633</v>
      </c>
      <c r="F2310" s="3" t="str">
        <f>IFERROR(VLOOKUP(E2310,BD!$L$2:$Q$66,2,0),0)</f>
        <v>SAN LUIS CON GAS PET 625MLX6</v>
      </c>
      <c r="G2310" s="424">
        <f>180*2</f>
        <v>360</v>
      </c>
      <c r="H2310" s="3">
        <f>+IFERROR(VLOOKUP(E2310,BD!$L$2:$Q$66,6,0),0)</f>
        <v>180</v>
      </c>
      <c r="I2310" s="96">
        <f>IFERROR(G2310*VLOOKUP($E2310,BD!$L$2:$Q$66,5,0),0)</f>
        <v>151.19999999999999</v>
      </c>
      <c r="J2310" s="5">
        <f t="shared" si="159"/>
        <v>2021</v>
      </c>
    </row>
    <row r="2311" spans="1:11" s="9" customFormat="1" hidden="1" x14ac:dyDescent="0.25">
      <c r="A2311" s="491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7">
        <v>256695</v>
      </c>
      <c r="F2311" s="3" t="str">
        <f>IFERROR(VLOOKUP(E2311,BD!$L$2:$Q$66,2,0),0)</f>
        <v>POWERADE 3MORA+3FRUT PET 473MLX6</v>
      </c>
      <c r="G2311" s="424">
        <f>225*4</f>
        <v>900</v>
      </c>
      <c r="H2311" s="3">
        <f>+IFERROR(VLOOKUP(E2311,BD!$L$2:$Q$66,6,0),0)</f>
        <v>225</v>
      </c>
      <c r="I2311" s="96">
        <f>IFERROR(G2311*VLOOKUP($E2311,BD!$L$2:$Q$66,5,0),0)</f>
        <v>378</v>
      </c>
      <c r="J2311" s="5">
        <f t="shared" si="159"/>
        <v>2021</v>
      </c>
    </row>
    <row r="2312" spans="1:11" s="9" customFormat="1" ht="15.75" hidden="1" thickBot="1" x14ac:dyDescent="0.3">
      <c r="A2312" s="492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9">
        <v>256720</v>
      </c>
      <c r="F2312" s="8" t="str">
        <f>IFERROR(VLOOKUP(E2312,BD!$L$2:$Q$66,2,0),0)</f>
        <v>FANTA NARANJA PET 500MLX6 BRANDEADO MOD</v>
      </c>
      <c r="G2312" s="501">
        <v>250</v>
      </c>
      <c r="H2312" s="8">
        <f>+IFERROR(VLOOKUP(E2312,BD!$L$2:$Q$66,6,0),0)</f>
        <v>420</v>
      </c>
      <c r="I2312" s="98">
        <f>IFERROR(G2312*VLOOKUP($E2312,BD!$L$2:$Q$66,5,0),0)</f>
        <v>105</v>
      </c>
      <c r="J2312" s="110">
        <f t="shared" si="159"/>
        <v>2021</v>
      </c>
    </row>
    <row r="2313" spans="1:11" s="9" customFormat="1" hidden="1" x14ac:dyDescent="0.25">
      <c r="A2313" s="493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63">
        <v>256721</v>
      </c>
      <c r="F2313" s="6" t="str">
        <f>IFERROR(VLOOKUP(E2313,BD!$L$2:$Q$66,2,0),0)</f>
        <v>SPRITE PET 500MLX6 BRANDEADO MOD</v>
      </c>
      <c r="G2313" s="513">
        <v>250</v>
      </c>
      <c r="H2313" s="6">
        <f>+IFERROR(VLOOKUP(E2313,BD!$L$2:$Q$66,6,0),0)</f>
        <v>420</v>
      </c>
      <c r="I2313" s="97">
        <f>IFERROR(G2313*VLOOKUP($E2313,BD!$L$2:$Q$66,5,0),0)</f>
        <v>105</v>
      </c>
      <c r="J2313" s="109">
        <f t="shared" si="159"/>
        <v>2021</v>
      </c>
    </row>
    <row r="2314" spans="1:11" s="9" customFormat="1" hidden="1" x14ac:dyDescent="0.25">
      <c r="A2314" s="491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7">
        <v>256678</v>
      </c>
      <c r="F2314" s="3" t="str">
        <f>IFERROR(VLOOKUP(E2314,BD!$L$2:$Q$66,2,0),0)</f>
        <v>TRIPACK (CC+IK)PFM+FT PET 3LX3 - RFNN</v>
      </c>
      <c r="G2314" s="424">
        <f>90*5</f>
        <v>450</v>
      </c>
      <c r="H2314" s="3">
        <f>+IFERROR(VLOOKUP(E2314,BD!$L$2:$Q$66,6,0),0)</f>
        <v>90</v>
      </c>
      <c r="I2314" s="96">
        <f>IFERROR(G2314*VLOOKUP($E2314,BD!$L$2:$Q$66,5,0),0)</f>
        <v>76.5</v>
      </c>
      <c r="J2314" s="5">
        <f t="shared" si="159"/>
        <v>2021</v>
      </c>
    </row>
    <row r="2315" spans="1:11" s="9" customFormat="1" hidden="1" x14ac:dyDescent="0.25">
      <c r="A2315" s="491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7">
        <v>256679</v>
      </c>
      <c r="F2315" s="3" t="str">
        <f>IFERROR(VLOOKUP(E2315,BD!$L$2:$Q$66,2,0),0)</f>
        <v>TRIPACK CC+IK+IK PFM 3LX3 - RFNN</v>
      </c>
      <c r="G2315" s="424">
        <f>90*3</f>
        <v>270</v>
      </c>
      <c r="H2315" s="3">
        <f>+IFERROR(VLOOKUP(E2315,BD!$L$2:$Q$66,6,0),0)</f>
        <v>90</v>
      </c>
      <c r="I2315" s="96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hidden="1" thickBot="1" x14ac:dyDescent="0.3">
      <c r="A2316" s="492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9">
        <v>256677</v>
      </c>
      <c r="F2316" s="8" t="str">
        <f>IFERROR(VLOOKUP(E2316,BD!$L$2:$Q$66,2,0),0)</f>
        <v>TWO PACK CC + IK PFM 3LX2 - RFNN</v>
      </c>
      <c r="G2316" s="501">
        <f>120*20</f>
        <v>2400</v>
      </c>
      <c r="H2316" s="8">
        <f>+IFERROR(VLOOKUP(E2316,BD!$L$2:$Q$66,6,0),0)</f>
        <v>120</v>
      </c>
      <c r="I2316" s="98">
        <f>IFERROR(G2316*VLOOKUP($E2316,BD!$L$2:$Q$66,5,0),0)</f>
        <v>408.00000000000006</v>
      </c>
      <c r="J2316" s="110">
        <f t="shared" si="159"/>
        <v>2021</v>
      </c>
    </row>
    <row r="2317" spans="1:11" s="9" customFormat="1" ht="15.75" hidden="1" thickBot="1" x14ac:dyDescent="0.3">
      <c r="A2317" s="514">
        <v>44481</v>
      </c>
      <c r="B2317" s="486" t="str">
        <f t="shared" si="156"/>
        <v>OCTUBRE</v>
      </c>
      <c r="C2317" s="486">
        <f t="shared" si="157"/>
        <v>42</v>
      </c>
      <c r="D2317" s="487" t="str">
        <f t="shared" si="158"/>
        <v>MARTES</v>
      </c>
      <c r="E2317" s="515">
        <v>251520</v>
      </c>
      <c r="F2317" s="487">
        <f>IFERROR(VLOOKUP(E2317,BD!$L$2:$Q$66,2,0),0)</f>
        <v>0</v>
      </c>
      <c r="G2317" s="516">
        <v>11</v>
      </c>
      <c r="H2317" s="487">
        <f>+IFERROR(VLOOKUP(E2317,BD!$L$2:$Q$66,6,0),0)</f>
        <v>0</v>
      </c>
      <c r="I2317" s="490">
        <f>IFERROR(G2317*VLOOKUP($E2317,BD!$L$2:$Q$66,5,0),0)</f>
        <v>0</v>
      </c>
      <c r="J2317" s="517">
        <f t="shared" si="159"/>
        <v>2021</v>
      </c>
      <c r="K2317" s="9" t="s">
        <v>239</v>
      </c>
    </row>
    <row r="2318" spans="1:11" s="9" customFormat="1" hidden="1" x14ac:dyDescent="0.25">
      <c r="A2318" s="493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63">
        <v>256381</v>
      </c>
      <c r="F2318" s="6" t="str">
        <f>IFERROR(VLOOKUP(E2318,BD!$L$2:$Q$66,2,0),0)</f>
        <v>INCA KOLA VR 1.5LX8 - STICKER</v>
      </c>
      <c r="G2318" s="513">
        <f>30*2</f>
        <v>60</v>
      </c>
      <c r="H2318" s="6">
        <f>+IFERROR(VLOOKUP(E2318,BD!$L$2:$Q$66,6,0),0)</f>
        <v>30</v>
      </c>
      <c r="I2318" s="97">
        <f>IFERROR(G2318*VLOOKUP($E2318,BD!$L$2:$Q$66,5,0),0)</f>
        <v>24</v>
      </c>
      <c r="J2318" s="109">
        <f t="shared" si="159"/>
        <v>2021</v>
      </c>
    </row>
    <row r="2319" spans="1:11" s="9" customFormat="1" hidden="1" x14ac:dyDescent="0.25">
      <c r="A2319" s="491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7">
        <v>256488</v>
      </c>
      <c r="F2319" s="3" t="str">
        <f>IFERROR(VLOOKUP(E2319,BD!$L$2:$Q$66,2,0),0)</f>
        <v>INCA KOLA PET 3LX2 - RF</v>
      </c>
      <c r="G2319" s="424">
        <f>120*32</f>
        <v>3840</v>
      </c>
      <c r="H2319" s="3">
        <f>+IFERROR(VLOOKUP(E2319,BD!$L$2:$Q$66,6,0),0)</f>
        <v>120</v>
      </c>
      <c r="I2319" s="96">
        <f>IFERROR(G2319*VLOOKUP($E2319,BD!$L$2:$Q$66,5,0),0)</f>
        <v>652.80000000000007</v>
      </c>
      <c r="J2319" s="5">
        <f t="shared" si="159"/>
        <v>2021</v>
      </c>
    </row>
    <row r="2320" spans="1:11" s="9" customFormat="1" hidden="1" x14ac:dyDescent="0.25">
      <c r="A2320" s="491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7">
        <v>256379</v>
      </c>
      <c r="F2320" s="3" t="str">
        <f>IFERROR(VLOOKUP(E2320,BD!$L$2:$Q$66,2,0),0)</f>
        <v>INCA KOLA VR 625MLX12 - STICKER</v>
      </c>
      <c r="G2320" s="424">
        <f>50*4</f>
        <v>200</v>
      </c>
      <c r="H2320" s="3">
        <f>+IFERROR(VLOOKUP(E2320,BD!$L$2:$Q$66,6,0),0)</f>
        <v>50</v>
      </c>
      <c r="I2320" s="96">
        <f>IFERROR(G2320*VLOOKUP($E2320,BD!$L$2:$Q$66,5,0),0)</f>
        <v>80</v>
      </c>
      <c r="J2320" s="5">
        <f t="shared" si="159"/>
        <v>2021</v>
      </c>
    </row>
    <row r="2321" spans="1:10" s="9" customFormat="1" hidden="1" x14ac:dyDescent="0.25">
      <c r="A2321" s="491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7">
        <v>251429</v>
      </c>
      <c r="F2321" s="3" t="str">
        <f>IFERROR(VLOOKUP(E2321,BD!$L$2:$Q$66,2,0),0)</f>
        <v>SAN LUIS SIN GAS PET2500X6 STICKER</v>
      </c>
      <c r="G2321" s="424">
        <f>48*19</f>
        <v>912</v>
      </c>
      <c r="H2321" s="3">
        <f>+IFERROR(VLOOKUP(E2321,BD!$L$2:$Q$66,6,0),0)</f>
        <v>48</v>
      </c>
      <c r="I2321" s="96">
        <f>IFERROR(G2321*VLOOKUP($E2321,BD!$L$2:$Q$66,5,0),0)</f>
        <v>364.8</v>
      </c>
      <c r="J2321" s="5">
        <f t="shared" si="159"/>
        <v>2021</v>
      </c>
    </row>
    <row r="2322" spans="1:10" s="9" customFormat="1" hidden="1" x14ac:dyDescent="0.25">
      <c r="A2322" s="491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7">
        <v>256678</v>
      </c>
      <c r="F2322" s="3" t="str">
        <f>IFERROR(VLOOKUP(E2322,BD!$L$2:$Q$66,2,0),0)</f>
        <v>TRIPACK (CC+IK)PFM+FT PET 3LX3 - RFNN</v>
      </c>
      <c r="G2322" s="424">
        <f>90*24</f>
        <v>2160</v>
      </c>
      <c r="H2322" s="3">
        <f>+IFERROR(VLOOKUP(E2322,BD!$L$2:$Q$66,6,0),0)</f>
        <v>90</v>
      </c>
      <c r="I2322" s="96">
        <f>IFERROR(G2322*VLOOKUP($E2322,BD!$L$2:$Q$66,5,0),0)</f>
        <v>367.20000000000005</v>
      </c>
      <c r="J2322" s="5">
        <f t="shared" si="159"/>
        <v>2021</v>
      </c>
    </row>
    <row r="2323" spans="1:10" s="9" customFormat="1" hidden="1" x14ac:dyDescent="0.25">
      <c r="A2323" s="491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7">
        <v>256677</v>
      </c>
      <c r="F2323" s="3" t="str">
        <f>IFERROR(VLOOKUP(E2323,BD!$L$2:$Q$66,2,0),0)</f>
        <v>TWO PACK CC + IK PFM 3LX2 - RFNN</v>
      </c>
      <c r="G2323" s="424">
        <f>120*38</f>
        <v>4560</v>
      </c>
      <c r="H2323" s="3">
        <f>+IFERROR(VLOOKUP(E2323,BD!$L$2:$Q$66,6,0),0)</f>
        <v>120</v>
      </c>
      <c r="I2323" s="96">
        <f>IFERROR(G2323*VLOOKUP($E2323,BD!$L$2:$Q$66,5,0),0)</f>
        <v>775.2</v>
      </c>
      <c r="J2323" s="5">
        <f t="shared" si="159"/>
        <v>2021</v>
      </c>
    </row>
    <row r="2324" spans="1:10" s="9" customFormat="1" hidden="1" x14ac:dyDescent="0.25">
      <c r="A2324" s="491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7">
        <v>256676</v>
      </c>
      <c r="F2324" s="3" t="str">
        <f>IFERROR(VLOOKUP(E2324,BD!$L$2:$Q$66,2,0),0)</f>
        <v>TWO PACK CC PFM 3LX2 - RFCC</v>
      </c>
      <c r="G2324" s="424">
        <f>120*6</f>
        <v>720</v>
      </c>
      <c r="H2324" s="3">
        <f>+IFERROR(VLOOKUP(E2324,BD!$L$2:$Q$66,6,0),0)</f>
        <v>120</v>
      </c>
      <c r="I2324" s="96">
        <f>IFERROR(G2324*VLOOKUP($E2324,BD!$L$2:$Q$66,5,0),0)</f>
        <v>122.4</v>
      </c>
      <c r="J2324" s="5">
        <f t="shared" si="159"/>
        <v>2021</v>
      </c>
    </row>
    <row r="2325" spans="1:10" s="9" customFormat="1" hidden="1" x14ac:dyDescent="0.25">
      <c r="A2325" s="491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7">
        <v>256675</v>
      </c>
      <c r="F2325" s="3" t="str">
        <f>IFERROR(VLOOKUP(E2325,BD!$L$2:$Q$66,2,0),0)</f>
        <v>INCA KOLA PET 1.5LX2 RF</v>
      </c>
      <c r="G2325" s="424">
        <f>216*4</f>
        <v>864</v>
      </c>
      <c r="H2325" s="3">
        <f>+IFERROR(VLOOKUP(E2325,BD!$L$2:$Q$66,6,0),0)</f>
        <v>198</v>
      </c>
      <c r="I2325" s="96">
        <f>IFERROR(G2325*VLOOKUP($E2325,BD!$L$2:$Q$66,5,0),0)</f>
        <v>146.88000000000002</v>
      </c>
      <c r="J2325" s="5">
        <f t="shared" si="159"/>
        <v>2021</v>
      </c>
    </row>
    <row r="2326" spans="1:10" s="9" customFormat="1" hidden="1" x14ac:dyDescent="0.25">
      <c r="A2326" s="491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7">
        <v>256674</v>
      </c>
      <c r="F2326" s="3" t="str">
        <f>IFERROR(VLOOKUP(E2326,BD!$L$2:$Q$66,2,0),0)</f>
        <v>COCA-COLA PET 1.5LX2 RF</v>
      </c>
      <c r="G2326" s="424">
        <f>216*10</f>
        <v>2160</v>
      </c>
      <c r="H2326" s="3">
        <f>+IFERROR(VLOOKUP(E2326,BD!$L$2:$Q$66,6,0),0)</f>
        <v>198</v>
      </c>
      <c r="I2326" s="96">
        <f>IFERROR(G2326*VLOOKUP($E2326,BD!$L$2:$Q$66,5,0),0)</f>
        <v>367.20000000000005</v>
      </c>
      <c r="J2326" s="5">
        <f t="shared" si="159"/>
        <v>2021</v>
      </c>
    </row>
    <row r="2327" spans="1:10" s="9" customFormat="1" hidden="1" x14ac:dyDescent="0.25">
      <c r="A2327" s="491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7">
        <v>256617</v>
      </c>
      <c r="F2327" s="3" t="str">
        <f>IFERROR(VLOOKUP(E2327,BD!$L$2:$Q$66,2,0),0)</f>
        <v>TWO PACK SCHWEPPES GINGER ALE PET 1.5LX2</v>
      </c>
      <c r="G2327" s="424">
        <f>198*5</f>
        <v>990</v>
      </c>
      <c r="H2327" s="3">
        <f>+IFERROR(VLOOKUP(E2327,BD!$L$2:$Q$66,6,0),0)</f>
        <v>198</v>
      </c>
      <c r="I2327" s="96">
        <f>IFERROR(G2327*VLOOKUP($E2327,BD!$L$2:$Q$66,5,0),0)</f>
        <v>168.3</v>
      </c>
      <c r="J2327" s="5">
        <f t="shared" si="159"/>
        <v>2021</v>
      </c>
    </row>
    <row r="2328" spans="1:10" s="9" customFormat="1" hidden="1" x14ac:dyDescent="0.25">
      <c r="A2328" s="491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7">
        <v>256616</v>
      </c>
      <c r="F2328" s="3" t="str">
        <f>IFERROR(VLOOKUP(E2328,BD!$L$2:$Q$66,2,0),0)</f>
        <v>TWO PACK SCHWEPPES CITRUS PET 1.5LX2</v>
      </c>
      <c r="G2328" s="424">
        <f>198*10</f>
        <v>1980</v>
      </c>
      <c r="H2328" s="3">
        <f>+IFERROR(VLOOKUP(E2328,BD!$L$2:$Q$66,6,0),0)</f>
        <v>198</v>
      </c>
      <c r="I2328" s="96">
        <f>IFERROR(G2328*VLOOKUP($E2328,BD!$L$2:$Q$66,5,0),0)</f>
        <v>336.6</v>
      </c>
      <c r="J2328" s="5">
        <f t="shared" si="159"/>
        <v>2021</v>
      </c>
    </row>
    <row r="2329" spans="1:10" s="9" customFormat="1" hidden="1" x14ac:dyDescent="0.25">
      <c r="A2329" s="491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7">
        <v>254853</v>
      </c>
      <c r="F2329" s="3" t="str">
        <f>IFERROR(VLOOKUP(E2329,BD!$L$2:$Q$66,2,0),0)</f>
        <v>INCA KOLA SIN AZUCAR PET 1.5LX2</v>
      </c>
      <c r="G2329" s="424">
        <f>216*7</f>
        <v>1512</v>
      </c>
      <c r="H2329" s="3">
        <f>+IFERROR(VLOOKUP(E2329,BD!$L$2:$Q$66,6,0),0)</f>
        <v>198</v>
      </c>
      <c r="I2329" s="96">
        <f>IFERROR(G2329*VLOOKUP($E2329,BD!$L$2:$Q$66,5,0),0)</f>
        <v>257.04000000000002</v>
      </c>
      <c r="J2329" s="5">
        <f t="shared" si="159"/>
        <v>2021</v>
      </c>
    </row>
    <row r="2330" spans="1:10" s="9" customFormat="1" hidden="1" x14ac:dyDescent="0.25">
      <c r="A2330" s="491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7">
        <v>256695</v>
      </c>
      <c r="F2330" s="3" t="str">
        <f>IFERROR(VLOOKUP(E2330,BD!$L$2:$Q$66,2,0),0)</f>
        <v>POWERADE 3MORA+3FRUT PET 473MLX6</v>
      </c>
      <c r="G2330" s="424">
        <f>225*4</f>
        <v>900</v>
      </c>
      <c r="H2330" s="3">
        <f>+IFERROR(VLOOKUP(E2330,BD!$L$2:$Q$66,6,0),0)</f>
        <v>225</v>
      </c>
      <c r="I2330" s="96">
        <f>IFERROR(G2330*VLOOKUP($E2330,BD!$L$2:$Q$66,5,0),0)</f>
        <v>378</v>
      </c>
      <c r="J2330" s="5">
        <f t="shared" si="159"/>
        <v>2021</v>
      </c>
    </row>
    <row r="2331" spans="1:10" s="9" customFormat="1" hidden="1" x14ac:dyDescent="0.25">
      <c r="A2331" s="491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7">
        <v>256685</v>
      </c>
      <c r="F2331" s="3" t="str">
        <f>IFERROR(VLOOKUP(E2331,BD!$L$2:$Q$66,2,0),0)</f>
        <v>SL S/G TAPA PLANA 1LT</v>
      </c>
      <c r="G2331" s="424">
        <f>112*2</f>
        <v>224</v>
      </c>
      <c r="H2331" s="3">
        <f>+IFERROR(VLOOKUP(E2331,BD!$L$2:$Q$66,6,0),0)</f>
        <v>112</v>
      </c>
      <c r="I2331" s="96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hidden="1" thickBot="1" x14ac:dyDescent="0.3">
      <c r="A2332" s="492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9">
        <v>251632</v>
      </c>
      <c r="F2332" s="8" t="str">
        <f>IFERROR(VLOOKUP(E2332,BD!$L$2:$Q$66,2,0),0)</f>
        <v>SAN LUIS SIN GAS PET 625MLX06 MOD</v>
      </c>
      <c r="G2332" s="501">
        <f>180*2</f>
        <v>360</v>
      </c>
      <c r="H2332" s="8">
        <f>+IFERROR(VLOOKUP(E2332,BD!$L$2:$Q$66,6,0),0)</f>
        <v>180</v>
      </c>
      <c r="I2332" s="98">
        <f>IFERROR(G2332*VLOOKUP($E2332,BD!$L$2:$Q$66,5,0),0)</f>
        <v>151.19999999999999</v>
      </c>
      <c r="J2332" s="110">
        <f t="shared" si="159"/>
        <v>2021</v>
      </c>
    </row>
    <row r="2333" spans="1:10" s="9" customFormat="1" hidden="1" x14ac:dyDescent="0.25">
      <c r="A2333" s="493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63">
        <v>256721</v>
      </c>
      <c r="F2333" s="6" t="str">
        <f>IFERROR(VLOOKUP(E2333,BD!$L$2:$Q$66,2,0),0)</f>
        <v>SPRITE PET 500MLX6 BRANDEADO MOD</v>
      </c>
      <c r="G2333" s="513">
        <f>250*2</f>
        <v>500</v>
      </c>
      <c r="H2333" s="6">
        <f>+IFERROR(VLOOKUP(E2333,BD!$L$2:$Q$66,6,0),0)</f>
        <v>420</v>
      </c>
      <c r="I2333" s="97">
        <f>IFERROR(G2333*VLOOKUP($E2333,BD!$L$2:$Q$66,5,0),0)</f>
        <v>210</v>
      </c>
      <c r="J2333" s="109">
        <f t="shared" si="159"/>
        <v>2021</v>
      </c>
    </row>
    <row r="2334" spans="1:10" s="9" customFormat="1" hidden="1" x14ac:dyDescent="0.25">
      <c r="A2334" s="491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7">
        <v>256382</v>
      </c>
      <c r="F2334" s="3" t="str">
        <f>IFERROR(VLOOKUP(E2334,BD!$L$2:$Q$66,2,0),0)</f>
        <v>COCA COLA VR 296MLX24 - STICKER</v>
      </c>
      <c r="G2334" s="424">
        <v>40</v>
      </c>
      <c r="H2334" s="3">
        <f>+IFERROR(VLOOKUP(E2334,BD!$L$2:$Q$66,6,0),0)</f>
        <v>40</v>
      </c>
      <c r="I2334" s="96">
        <f>IFERROR(G2334*VLOOKUP($E2334,BD!$L$2:$Q$66,5,0),0)</f>
        <v>9.2000000000000011</v>
      </c>
      <c r="J2334" s="5">
        <f t="shared" si="159"/>
        <v>2021</v>
      </c>
    </row>
    <row r="2335" spans="1:10" s="9" customFormat="1" hidden="1" x14ac:dyDescent="0.25">
      <c r="A2335" s="491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7">
        <v>751315</v>
      </c>
      <c r="F2335" s="3" t="str">
        <f>IFERROR(VLOOKUP(E2335,BD!$L$2:$Q$66,2,0),0)</f>
        <v>MONSTER ENERGY 473MLX4</v>
      </c>
      <c r="G2335" s="424">
        <f>420*4</f>
        <v>1680</v>
      </c>
      <c r="H2335" s="3">
        <f>+IFERROR(VLOOKUP(E2335,BD!$L$2:$Q$66,6,0),0)</f>
        <v>420</v>
      </c>
      <c r="I2335" s="96">
        <f>IFERROR(G2335*VLOOKUP($E2335,BD!$L$2:$Q$66,5,0),0)</f>
        <v>705.6</v>
      </c>
      <c r="J2335" s="5">
        <f t="shared" si="159"/>
        <v>2021</v>
      </c>
    </row>
    <row r="2336" spans="1:10" s="9" customFormat="1" hidden="1" x14ac:dyDescent="0.25">
      <c r="A2336" s="491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7">
        <v>256679</v>
      </c>
      <c r="F2336" s="3" t="str">
        <f>IFERROR(VLOOKUP(E2336,BD!$L$2:$Q$66,2,0),0)</f>
        <v>TRIPACK CC+IK+IK PFM 3LX3 - RFNN</v>
      </c>
      <c r="G2336" s="424">
        <f>90*3</f>
        <v>270</v>
      </c>
      <c r="H2336" s="3">
        <f>+IFERROR(VLOOKUP(E2336,BD!$L$2:$Q$66,6,0),0)</f>
        <v>90</v>
      </c>
      <c r="I2336" s="96">
        <f>IFERROR(G2336*VLOOKUP($E2336,BD!$L$2:$Q$66,5,0),0)</f>
        <v>45.900000000000006</v>
      </c>
      <c r="J2336" s="5">
        <f t="shared" si="159"/>
        <v>2021</v>
      </c>
    </row>
    <row r="2337" spans="1:10" s="9" customFormat="1" hidden="1" x14ac:dyDescent="0.25">
      <c r="A2337" s="491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7">
        <v>256720</v>
      </c>
      <c r="F2337" s="3" t="str">
        <f>IFERROR(VLOOKUP(E2337,BD!$L$2:$Q$66,2,0),0)</f>
        <v>FANTA NARANJA PET 500MLX6 BRANDEADO MOD</v>
      </c>
      <c r="G2337" s="424">
        <v>250</v>
      </c>
      <c r="H2337" s="3">
        <f>+IFERROR(VLOOKUP(E2337,BD!$L$2:$Q$66,6,0),0)</f>
        <v>420</v>
      </c>
      <c r="I2337" s="96">
        <f>IFERROR(G2337*VLOOKUP($E2337,BD!$L$2:$Q$66,5,0),0)</f>
        <v>105</v>
      </c>
      <c r="J2337" s="5">
        <f t="shared" si="159"/>
        <v>2021</v>
      </c>
    </row>
    <row r="2338" spans="1:10" s="9" customFormat="1" ht="15.75" hidden="1" thickBot="1" x14ac:dyDescent="0.3">
      <c r="A2338" s="492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9">
        <v>256682</v>
      </c>
      <c r="F2338" s="8" t="str">
        <f>IFERROR(VLOOKUP(E2338,BD!$L$2:$Q$66,2,0),0)</f>
        <v>TRIPACK (FT NAR+SP)PET+IK RF PFM 3L</v>
      </c>
      <c r="G2338" s="501">
        <f>90*2</f>
        <v>180</v>
      </c>
      <c r="H2338" s="8">
        <f>+IFERROR(VLOOKUP(E2338,BD!$L$2:$Q$66,6,0),0)</f>
        <v>90</v>
      </c>
      <c r="I2338" s="98">
        <f>IFERROR(G2338*VLOOKUP($E2338,BD!$L$2:$Q$66,5,0),0)</f>
        <v>30.6</v>
      </c>
      <c r="J2338" s="110">
        <f t="shared" si="159"/>
        <v>2021</v>
      </c>
    </row>
    <row r="2339" spans="1:10" s="9" customFormat="1" hidden="1" x14ac:dyDescent="0.25">
      <c r="A2339" s="493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63">
        <v>256676</v>
      </c>
      <c r="F2339" s="6" t="str">
        <f>IFERROR(VLOOKUP(E2339,BD!$L$2:$Q$66,2,0),0)</f>
        <v>TWO PACK CC PFM 3LX2 - RFCC</v>
      </c>
      <c r="G2339" s="513">
        <f>120*12</f>
        <v>1440</v>
      </c>
      <c r="H2339" s="6">
        <f>+IFERROR(VLOOKUP(E2339,BD!$L$2:$Q$66,6,0),0)</f>
        <v>120</v>
      </c>
      <c r="I2339" s="97">
        <f>IFERROR(G2339*VLOOKUP($E2339,BD!$L$2:$Q$66,5,0),0)</f>
        <v>244.8</v>
      </c>
      <c r="J2339" s="109">
        <f t="shared" si="159"/>
        <v>2021</v>
      </c>
    </row>
    <row r="2340" spans="1:10" s="9" customFormat="1" hidden="1" x14ac:dyDescent="0.25">
      <c r="A2340" s="491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7">
        <v>256678</v>
      </c>
      <c r="F2340" s="3" t="str">
        <f>IFERROR(VLOOKUP(E2340,BD!$L$2:$Q$66,2,0),0)</f>
        <v>TRIPACK (CC+IK)PFM+FT PET 3LX3 - RFNN</v>
      </c>
      <c r="G2340" s="424">
        <f>90*32</f>
        <v>2880</v>
      </c>
      <c r="H2340" s="3">
        <f>+IFERROR(VLOOKUP(E2340,BD!$L$2:$Q$66,6,0),0)</f>
        <v>90</v>
      </c>
      <c r="I2340" s="96">
        <f>IFERROR(G2340*VLOOKUP($E2340,BD!$L$2:$Q$66,5,0),0)</f>
        <v>489.6</v>
      </c>
      <c r="J2340" s="5">
        <f t="shared" si="159"/>
        <v>2021</v>
      </c>
    </row>
    <row r="2341" spans="1:10" s="9" customFormat="1" hidden="1" x14ac:dyDescent="0.25">
      <c r="A2341" s="491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7">
        <v>256652</v>
      </c>
      <c r="F2341" s="3" t="str">
        <f>IFERROR(VLOOKUP(E2341,BD!$L$2:$Q$66,2,0),0)</f>
        <v>TRIPACK FT NAR+FT KI+SP PET 3L</v>
      </c>
      <c r="G2341" s="424">
        <f>90*8</f>
        <v>720</v>
      </c>
      <c r="H2341" s="3">
        <f>+IFERROR(VLOOKUP(E2341,BD!$L$2:$Q$66,6,0),0)</f>
        <v>90</v>
      </c>
      <c r="I2341" s="96">
        <f>IFERROR(G2341*VLOOKUP($E2341,BD!$L$2:$Q$66,5,0),0)</f>
        <v>122.4</v>
      </c>
      <c r="J2341" s="5">
        <f t="shared" si="159"/>
        <v>2021</v>
      </c>
    </row>
    <row r="2342" spans="1:10" s="9" customFormat="1" hidden="1" x14ac:dyDescent="0.25">
      <c r="A2342" s="491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7">
        <v>251406</v>
      </c>
      <c r="F2342" s="3" t="str">
        <f>IFERROR(VLOOKUP(E2342,BD!$L$2:$Q$66,2,0),0)</f>
        <v>COCA-COLA SIN AZUCAR PET 1.5LX2</v>
      </c>
      <c r="G2342" s="424">
        <f>216*6</f>
        <v>1296</v>
      </c>
      <c r="H2342" s="3">
        <f>+IFERROR(VLOOKUP(E2342,BD!$L$2:$Q$66,6,0),0)</f>
        <v>198</v>
      </c>
      <c r="I2342" s="96">
        <f>IFERROR(G2342*VLOOKUP($E2342,BD!$L$2:$Q$66,5,0),0)</f>
        <v>220.32000000000002</v>
      </c>
      <c r="J2342" s="5">
        <f t="shared" si="159"/>
        <v>2021</v>
      </c>
    </row>
    <row r="2343" spans="1:10" s="9" customFormat="1" hidden="1" x14ac:dyDescent="0.25">
      <c r="A2343" s="491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7">
        <v>256677</v>
      </c>
      <c r="F2343" s="3" t="str">
        <f>IFERROR(VLOOKUP(E2343,BD!$L$2:$Q$66,2,0),0)</f>
        <v>TWO PACK CC + IK PFM 3LX2 - RFNN</v>
      </c>
      <c r="G2343" s="424">
        <f>120*28</f>
        <v>3360</v>
      </c>
      <c r="H2343" s="3">
        <f>+IFERROR(VLOOKUP(E2343,BD!$L$2:$Q$66,6,0),0)</f>
        <v>120</v>
      </c>
      <c r="I2343" s="96">
        <f>IFERROR(G2343*VLOOKUP($E2343,BD!$L$2:$Q$66,5,0),0)</f>
        <v>571.20000000000005</v>
      </c>
      <c r="J2343" s="5">
        <f t="shared" si="159"/>
        <v>2021</v>
      </c>
    </row>
    <row r="2344" spans="1:10" s="9" customFormat="1" hidden="1" x14ac:dyDescent="0.25">
      <c r="A2344" s="491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7">
        <v>256682</v>
      </c>
      <c r="F2344" s="3" t="str">
        <f>IFERROR(VLOOKUP(E2344,BD!$L$2:$Q$66,2,0),0)</f>
        <v>TRIPACK (FT NAR+SP)PET+IK RF PFM 3L</v>
      </c>
      <c r="G2344" s="424">
        <f>90*5</f>
        <v>450</v>
      </c>
      <c r="H2344" s="3">
        <f>+IFERROR(VLOOKUP(E2344,BD!$L$2:$Q$66,6,0),0)</f>
        <v>90</v>
      </c>
      <c r="I2344" s="96">
        <f>IFERROR(G2344*VLOOKUP($E2344,BD!$L$2:$Q$66,5,0),0)</f>
        <v>76.5</v>
      </c>
      <c r="J2344" s="5">
        <f t="shared" si="159"/>
        <v>2021</v>
      </c>
    </row>
    <row r="2345" spans="1:10" s="9" customFormat="1" hidden="1" x14ac:dyDescent="0.25">
      <c r="A2345" s="491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7">
        <v>256674</v>
      </c>
      <c r="F2345" s="3" t="str">
        <f>IFERROR(VLOOKUP(E2345,BD!$L$2:$Q$66,2,0),0)</f>
        <v>COCA-COLA PET 1.5LX2 RF</v>
      </c>
      <c r="G2345" s="424">
        <f>216*6</f>
        <v>1296</v>
      </c>
      <c r="H2345" s="3">
        <f>+IFERROR(VLOOKUP(E2345,BD!$L$2:$Q$66,6,0),0)</f>
        <v>198</v>
      </c>
      <c r="I2345" s="96">
        <f>IFERROR(G2345*VLOOKUP($E2345,BD!$L$2:$Q$66,5,0),0)</f>
        <v>220.32000000000002</v>
      </c>
      <c r="J2345" s="5">
        <f t="shared" si="159"/>
        <v>2021</v>
      </c>
    </row>
    <row r="2346" spans="1:10" s="9" customFormat="1" hidden="1" x14ac:dyDescent="0.25">
      <c r="A2346" s="491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7">
        <v>254853</v>
      </c>
      <c r="F2346" s="3" t="str">
        <f>IFERROR(VLOOKUP(E2346,BD!$L$2:$Q$66,2,0),0)</f>
        <v>INCA KOLA SIN AZUCAR PET 1.5LX2</v>
      </c>
      <c r="G2346" s="424">
        <f>216*4</f>
        <v>864</v>
      </c>
      <c r="H2346" s="3">
        <f>+IFERROR(VLOOKUP(E2346,BD!$L$2:$Q$66,6,0),0)</f>
        <v>198</v>
      </c>
      <c r="I2346" s="96">
        <f>IFERROR(G2346*VLOOKUP($E2346,BD!$L$2:$Q$66,5,0),0)</f>
        <v>146.88000000000002</v>
      </c>
      <c r="J2346" s="5">
        <f t="shared" si="159"/>
        <v>2021</v>
      </c>
    </row>
    <row r="2347" spans="1:10" s="9" customFormat="1" hidden="1" x14ac:dyDescent="0.25">
      <c r="A2347" s="491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7">
        <v>251429</v>
      </c>
      <c r="F2347" s="3" t="str">
        <f>IFERROR(VLOOKUP(E2347,BD!$L$2:$Q$66,2,0),0)</f>
        <v>SAN LUIS SIN GAS PET2500X6 STICKER</v>
      </c>
      <c r="G2347" s="424">
        <f>48*8</f>
        <v>384</v>
      </c>
      <c r="H2347" s="3">
        <f>+IFERROR(VLOOKUP(E2347,BD!$L$2:$Q$66,6,0),0)</f>
        <v>48</v>
      </c>
      <c r="I2347" s="96">
        <f>IFERROR(G2347*VLOOKUP($E2347,BD!$L$2:$Q$66,5,0),0)</f>
        <v>153.60000000000002</v>
      </c>
      <c r="J2347" s="5">
        <f t="shared" si="159"/>
        <v>2021</v>
      </c>
    </row>
    <row r="2348" spans="1:10" s="9" customFormat="1" hidden="1" x14ac:dyDescent="0.25">
      <c r="A2348" s="491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7">
        <v>256488</v>
      </c>
      <c r="F2348" s="3" t="str">
        <f>IFERROR(VLOOKUP(E2348,BD!$L$2:$Q$66,2,0),0)</f>
        <v>INCA KOLA PET 3LX2 - RF</v>
      </c>
      <c r="G2348" s="424">
        <f>120*14</f>
        <v>1680</v>
      </c>
      <c r="H2348" s="3">
        <f>+IFERROR(VLOOKUP(E2348,BD!$L$2:$Q$66,6,0),0)</f>
        <v>120</v>
      </c>
      <c r="I2348" s="96">
        <f>IFERROR(G2348*VLOOKUP($E2348,BD!$L$2:$Q$66,5,0),0)</f>
        <v>285.60000000000002</v>
      </c>
      <c r="J2348" s="5">
        <f t="shared" si="159"/>
        <v>2021</v>
      </c>
    </row>
    <row r="2349" spans="1:10" s="9" customFormat="1" hidden="1" x14ac:dyDescent="0.25">
      <c r="A2349" s="491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7">
        <v>256679</v>
      </c>
      <c r="F2349" s="3" t="str">
        <f>IFERROR(VLOOKUP(E2349,BD!$L$2:$Q$66,2,0),0)</f>
        <v>TRIPACK CC+IK+IK PFM 3LX3 - RFNN</v>
      </c>
      <c r="G2349" s="424">
        <f>90*8</f>
        <v>720</v>
      </c>
      <c r="H2349" s="3">
        <f>+IFERROR(VLOOKUP(E2349,BD!$L$2:$Q$66,6,0),0)</f>
        <v>90</v>
      </c>
      <c r="I2349" s="96">
        <f>IFERROR(G2349*VLOOKUP($E2349,BD!$L$2:$Q$66,5,0),0)</f>
        <v>122.4</v>
      </c>
      <c r="J2349" s="5">
        <f t="shared" si="159"/>
        <v>2021</v>
      </c>
    </row>
    <row r="2350" spans="1:10" s="9" customFormat="1" hidden="1" x14ac:dyDescent="0.25">
      <c r="A2350" s="491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7">
        <v>751315</v>
      </c>
      <c r="F2350" s="3" t="str">
        <f>IFERROR(VLOOKUP(E2350,BD!$L$2:$Q$66,2,0),0)</f>
        <v>MONSTER ENERGY 473MLX4</v>
      </c>
      <c r="G2350" s="425">
        <f>420*2</f>
        <v>840</v>
      </c>
      <c r="H2350" s="3">
        <f>+IFERROR(VLOOKUP(E2350,BD!$L$2:$Q$66,6,0),0)</f>
        <v>420</v>
      </c>
      <c r="I2350" s="96">
        <f>IFERROR(G2350*VLOOKUP($E2350,BD!$L$2:$Q$66,5,0),0)</f>
        <v>352.8</v>
      </c>
      <c r="J2350" s="5">
        <f t="shared" si="159"/>
        <v>2021</v>
      </c>
    </row>
    <row r="2351" spans="1:10" s="9" customFormat="1" hidden="1" x14ac:dyDescent="0.25">
      <c r="A2351" s="491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7">
        <v>256381</v>
      </c>
      <c r="F2351" s="3" t="str">
        <f>IFERROR(VLOOKUP(E2351,BD!$L$2:$Q$66,2,0),0)</f>
        <v>INCA KOLA VR 1.5LX8 - STICKER</v>
      </c>
      <c r="G2351" s="424">
        <f>30*6</f>
        <v>180</v>
      </c>
      <c r="H2351" s="3">
        <f>+IFERROR(VLOOKUP(E2351,BD!$L$2:$Q$66,6,0),0)</f>
        <v>30</v>
      </c>
      <c r="I2351" s="96">
        <f>IFERROR(G2351*VLOOKUP($E2351,BD!$L$2:$Q$66,5,0),0)</f>
        <v>72</v>
      </c>
      <c r="J2351" s="5">
        <f t="shared" si="159"/>
        <v>2021</v>
      </c>
    </row>
    <row r="2352" spans="1:10" s="9" customFormat="1" hidden="1" x14ac:dyDescent="0.25">
      <c r="A2352" s="491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7">
        <v>256720</v>
      </c>
      <c r="F2352" s="3" t="str">
        <f>IFERROR(VLOOKUP(E2352,BD!$L$2:$Q$66,2,0),0)</f>
        <v>FANTA NARANJA PET 500MLX6 BRANDEADO MOD</v>
      </c>
      <c r="G2352" s="503">
        <f>250*4</f>
        <v>1000</v>
      </c>
      <c r="H2352" s="3">
        <f>+IFERROR(VLOOKUP(E2352,BD!$L$2:$Q$66,6,0),0)</f>
        <v>420</v>
      </c>
      <c r="I2352" s="96">
        <f>IFERROR(G2352*VLOOKUP($E2352,BD!$L$2:$Q$66,5,0),0)</f>
        <v>420</v>
      </c>
      <c r="J2352" s="5">
        <f t="shared" si="159"/>
        <v>2021</v>
      </c>
    </row>
    <row r="2353" spans="1:10" s="9" customFormat="1" ht="15.75" hidden="1" thickBot="1" x14ac:dyDescent="0.3">
      <c r="A2353" s="492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9">
        <v>251632</v>
      </c>
      <c r="F2353" s="8" t="str">
        <f>IFERROR(VLOOKUP(E2353,BD!$L$2:$Q$66,2,0),0)</f>
        <v>SAN LUIS SIN GAS PET 625MLX06 MOD</v>
      </c>
      <c r="G2353" s="518">
        <f>180*1</f>
        <v>180</v>
      </c>
      <c r="H2353" s="8">
        <f>+IFERROR(VLOOKUP(E2353,BD!$L$2:$Q$66,6,0),0)</f>
        <v>180</v>
      </c>
      <c r="I2353" s="98">
        <f>IFERROR(G2353*VLOOKUP($E2353,BD!$L$2:$Q$66,5,0),0)</f>
        <v>75.599999999999994</v>
      </c>
      <c r="J2353" s="110">
        <f t="shared" si="159"/>
        <v>2021</v>
      </c>
    </row>
    <row r="2354" spans="1:10" s="9" customFormat="1" hidden="1" x14ac:dyDescent="0.25">
      <c r="A2354" s="493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63">
        <v>256383</v>
      </c>
      <c r="F2354" s="6" t="str">
        <f>IFERROR(VLOOKUP(E2354,BD!$L$2:$Q$66,2,0),0)</f>
        <v>COCA COLA VR 1.5LX8 - STICKER</v>
      </c>
      <c r="G2354" s="513">
        <f>30*7</f>
        <v>210</v>
      </c>
      <c r="H2354" s="6">
        <f>+IFERROR(VLOOKUP(E2354,BD!$L$2:$Q$66,6,0),0)</f>
        <v>30</v>
      </c>
      <c r="I2354" s="97">
        <f>IFERROR(G2354*VLOOKUP($E2354,BD!$L$2:$Q$66,5,0),0)</f>
        <v>48.300000000000004</v>
      </c>
      <c r="J2354" s="109">
        <f t="shared" si="159"/>
        <v>2021</v>
      </c>
    </row>
    <row r="2355" spans="1:10" s="9" customFormat="1" ht="15.75" hidden="1" thickBot="1" x14ac:dyDescent="0.3">
      <c r="A2355" s="492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9">
        <v>256675</v>
      </c>
      <c r="F2355" s="8" t="str">
        <f>IFERROR(VLOOKUP(E2355,BD!$L$2:$Q$66,2,0),0)</f>
        <v>INCA KOLA PET 1.5LX2 RF</v>
      </c>
      <c r="G2355" s="501">
        <f>216*4</f>
        <v>864</v>
      </c>
      <c r="H2355" s="8">
        <f>+IFERROR(VLOOKUP(E2355,BD!$L$2:$Q$66,6,0),0)</f>
        <v>198</v>
      </c>
      <c r="I2355" s="98">
        <f>IFERROR(G2355*VLOOKUP($E2355,BD!$L$2:$Q$66,5,0),0)</f>
        <v>146.88000000000002</v>
      </c>
      <c r="J2355" s="110">
        <f t="shared" si="159"/>
        <v>2021</v>
      </c>
    </row>
    <row r="2356" spans="1:10" s="9" customFormat="1" hidden="1" x14ac:dyDescent="0.25">
      <c r="A2356" s="493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63">
        <v>256488</v>
      </c>
      <c r="F2356" s="6" t="str">
        <f>IFERROR(VLOOKUP(E2356,BD!$L$2:$Q$66,2,0),0)</f>
        <v>INCA KOLA PET 3LX2 - RF</v>
      </c>
      <c r="G2356" s="513">
        <f>120*8</f>
        <v>960</v>
      </c>
      <c r="H2356" s="6">
        <f>+IFERROR(VLOOKUP(E2356,BD!$L$2:$Q$66,6,0),0)</f>
        <v>120</v>
      </c>
      <c r="I2356" s="97">
        <f>IFERROR(G2356*VLOOKUP($E2356,BD!$L$2:$Q$66,5,0),0)</f>
        <v>163.20000000000002</v>
      </c>
      <c r="J2356" s="109">
        <f t="shared" si="159"/>
        <v>2021</v>
      </c>
    </row>
    <row r="2357" spans="1:10" s="9" customFormat="1" hidden="1" x14ac:dyDescent="0.25">
      <c r="A2357" s="491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7">
        <v>251406</v>
      </c>
      <c r="F2357" s="3" t="str">
        <f>IFERROR(VLOOKUP(E2357,BD!$L$2:$Q$66,2,0),0)</f>
        <v>COCA-COLA SIN AZUCAR PET 1.5LX2</v>
      </c>
      <c r="G2357" s="424">
        <f>216*6</f>
        <v>1296</v>
      </c>
      <c r="H2357" s="3">
        <f>+IFERROR(VLOOKUP(E2357,BD!$L$2:$Q$66,6,0),0)</f>
        <v>198</v>
      </c>
      <c r="I2357" s="96">
        <f>IFERROR(G2357*VLOOKUP($E2357,BD!$L$2:$Q$66,5,0),0)</f>
        <v>220.32000000000002</v>
      </c>
      <c r="J2357" s="5">
        <f t="shared" si="159"/>
        <v>2021</v>
      </c>
    </row>
    <row r="2358" spans="1:10" s="9" customFormat="1" hidden="1" x14ac:dyDescent="0.25">
      <c r="A2358" s="491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7">
        <v>256617</v>
      </c>
      <c r="F2358" s="3" t="str">
        <f>IFERROR(VLOOKUP(E2358,BD!$L$2:$Q$66,2,0),0)</f>
        <v>TWO PACK SCHWEPPES GINGER ALE PET 1.5LX2</v>
      </c>
      <c r="G2358" s="424">
        <f>198*4</f>
        <v>792</v>
      </c>
      <c r="H2358" s="3">
        <f>+IFERROR(VLOOKUP(E2358,BD!$L$2:$Q$66,6,0),0)</f>
        <v>198</v>
      </c>
      <c r="I2358" s="96">
        <f>IFERROR(G2358*VLOOKUP($E2358,BD!$L$2:$Q$66,5,0),0)</f>
        <v>134.64000000000001</v>
      </c>
      <c r="J2358" s="5">
        <f t="shared" si="159"/>
        <v>2021</v>
      </c>
    </row>
    <row r="2359" spans="1:10" s="9" customFormat="1" hidden="1" x14ac:dyDescent="0.25">
      <c r="A2359" s="491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7">
        <v>256616</v>
      </c>
      <c r="F2359" s="3" t="str">
        <f>IFERROR(VLOOKUP(E2359,BD!$L$2:$Q$66,2,0),0)</f>
        <v>TWO PACK SCHWEPPES CITRUS PET 1.5LX2</v>
      </c>
      <c r="G2359" s="424">
        <f>198*6</f>
        <v>1188</v>
      </c>
      <c r="H2359" s="3">
        <f>+IFERROR(VLOOKUP(E2359,BD!$L$2:$Q$66,6,0),0)</f>
        <v>198</v>
      </c>
      <c r="I2359" s="96">
        <f>IFERROR(G2359*VLOOKUP($E2359,BD!$L$2:$Q$66,5,0),0)</f>
        <v>201.96</v>
      </c>
      <c r="J2359" s="5">
        <f t="shared" si="159"/>
        <v>2021</v>
      </c>
    </row>
    <row r="2360" spans="1:10" s="9" customFormat="1" hidden="1" x14ac:dyDescent="0.25">
      <c r="A2360" s="491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7">
        <v>256674</v>
      </c>
      <c r="F2360" s="3" t="str">
        <f>IFERROR(VLOOKUP(E2360,BD!$L$2:$Q$66,2,0),0)</f>
        <v>COCA-COLA PET 1.5LX2 RF</v>
      </c>
      <c r="G2360" s="424">
        <f>216*12</f>
        <v>2592</v>
      </c>
      <c r="H2360" s="3">
        <f>+IFERROR(VLOOKUP(E2360,BD!$L$2:$Q$66,6,0),0)</f>
        <v>198</v>
      </c>
      <c r="I2360" s="96">
        <f>IFERROR(G2360*VLOOKUP($E2360,BD!$L$2:$Q$66,5,0),0)</f>
        <v>440.64000000000004</v>
      </c>
      <c r="J2360" s="5">
        <f t="shared" si="159"/>
        <v>2021</v>
      </c>
    </row>
    <row r="2361" spans="1:10" s="9" customFormat="1" hidden="1" x14ac:dyDescent="0.25">
      <c r="A2361" s="491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7">
        <v>256675</v>
      </c>
      <c r="F2361" s="3" t="str">
        <f>IFERROR(VLOOKUP(E2361,BD!$L$2:$Q$66,2,0),0)</f>
        <v>INCA KOLA PET 1.5LX2 RF</v>
      </c>
      <c r="G2361" s="424">
        <f>216*4</f>
        <v>864</v>
      </c>
      <c r="H2361" s="3">
        <f>+IFERROR(VLOOKUP(E2361,BD!$L$2:$Q$66,6,0),0)</f>
        <v>198</v>
      </c>
      <c r="I2361" s="96">
        <f>IFERROR(G2361*VLOOKUP($E2361,BD!$L$2:$Q$66,5,0),0)</f>
        <v>146.88000000000002</v>
      </c>
      <c r="J2361" s="5">
        <f t="shared" si="159"/>
        <v>2021</v>
      </c>
    </row>
    <row r="2362" spans="1:10" s="9" customFormat="1" hidden="1" x14ac:dyDescent="0.25">
      <c r="A2362" s="491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7">
        <v>256677</v>
      </c>
      <c r="F2362" s="3" t="str">
        <f>IFERROR(VLOOKUP(E2362,BD!$L$2:$Q$66,2,0),0)</f>
        <v>TWO PACK CC + IK PFM 3LX2 - RFNN</v>
      </c>
      <c r="G2362" s="424">
        <f>120*34</f>
        <v>4080</v>
      </c>
      <c r="H2362" s="3">
        <f>+IFERROR(VLOOKUP(E2362,BD!$L$2:$Q$66,6,0),0)</f>
        <v>120</v>
      </c>
      <c r="I2362" s="96">
        <f>IFERROR(G2362*VLOOKUP($E2362,BD!$L$2:$Q$66,5,0),0)</f>
        <v>693.6</v>
      </c>
      <c r="J2362" s="5">
        <f t="shared" si="159"/>
        <v>2021</v>
      </c>
    </row>
    <row r="2363" spans="1:10" s="9" customFormat="1" hidden="1" x14ac:dyDescent="0.25">
      <c r="A2363" s="491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7">
        <v>256676</v>
      </c>
      <c r="F2363" s="3" t="str">
        <f>IFERROR(VLOOKUP(E2363,BD!$L$2:$Q$66,2,0),0)</f>
        <v>TWO PACK CC PFM 3LX2 - RFCC</v>
      </c>
      <c r="G2363" s="424">
        <f>120*8</f>
        <v>960</v>
      </c>
      <c r="H2363" s="3">
        <f>+IFERROR(VLOOKUP(E2363,BD!$L$2:$Q$66,6,0),0)</f>
        <v>120</v>
      </c>
      <c r="I2363" s="96">
        <f>IFERROR(G2363*VLOOKUP($E2363,BD!$L$2:$Q$66,5,0),0)</f>
        <v>163.20000000000002</v>
      </c>
      <c r="J2363" s="5">
        <f t="shared" si="159"/>
        <v>2021</v>
      </c>
    </row>
    <row r="2364" spans="1:10" s="9" customFormat="1" hidden="1" x14ac:dyDescent="0.25">
      <c r="A2364" s="491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7">
        <v>251633</v>
      </c>
      <c r="F2364" s="3" t="str">
        <f>IFERROR(VLOOKUP(E2364,BD!$L$2:$Q$66,2,0),0)</f>
        <v>SAN LUIS CON GAS PET 625MLX6</v>
      </c>
      <c r="G2364" s="424">
        <f>180*2</f>
        <v>360</v>
      </c>
      <c r="H2364" s="3">
        <f>+IFERROR(VLOOKUP(E2364,BD!$L$2:$Q$66,6,0),0)</f>
        <v>180</v>
      </c>
      <c r="I2364" s="96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hidden="1" x14ac:dyDescent="0.25">
      <c r="A2365" s="491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7">
        <v>256678</v>
      </c>
      <c r="F2365" s="3" t="str">
        <f>IFERROR(VLOOKUP(E2365,BD!$L$2:$Q$66,2,0),0)</f>
        <v>TRIPACK (CC+IK)PFM+FT PET 3LX3 - RFNN</v>
      </c>
      <c r="G2365" s="424">
        <f>90*16</f>
        <v>1440</v>
      </c>
      <c r="H2365" s="3">
        <f>+IFERROR(VLOOKUP(E2365,BD!$L$2:$Q$66,6,0),0)</f>
        <v>90</v>
      </c>
      <c r="I2365" s="96">
        <f>IFERROR(G2365*VLOOKUP($E2365,BD!$L$2:$Q$66,5,0),0)</f>
        <v>244.8</v>
      </c>
      <c r="J2365" s="5">
        <f t="shared" si="163"/>
        <v>2021</v>
      </c>
    </row>
    <row r="2366" spans="1:10" s="9" customFormat="1" hidden="1" x14ac:dyDescent="0.25">
      <c r="A2366" s="491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7">
        <v>256720</v>
      </c>
      <c r="F2366" s="3" t="str">
        <f>IFERROR(VLOOKUP(E2366,BD!$L$2:$Q$66,2,0),0)</f>
        <v>FANTA NARANJA PET 500MLX6 BRANDEADO MOD</v>
      </c>
      <c r="G2366" s="424">
        <f>250*2</f>
        <v>500</v>
      </c>
      <c r="H2366" s="3">
        <f>+IFERROR(VLOOKUP(E2366,BD!$L$2:$Q$66,6,0),0)</f>
        <v>420</v>
      </c>
      <c r="I2366" s="96">
        <f>IFERROR(G2366*VLOOKUP($E2366,BD!$L$2:$Q$66,5,0),0)</f>
        <v>210</v>
      </c>
      <c r="J2366" s="5">
        <f t="shared" si="163"/>
        <v>2021</v>
      </c>
    </row>
    <row r="2367" spans="1:10" s="9" customFormat="1" hidden="1" x14ac:dyDescent="0.25">
      <c r="A2367" s="491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7">
        <v>256695</v>
      </c>
      <c r="F2367" s="3" t="str">
        <f>IFERROR(VLOOKUP(E2367,BD!$L$2:$Q$66,2,0),0)</f>
        <v>POWERADE 3MORA+3FRUT PET 473MLX6</v>
      </c>
      <c r="G2367" s="424">
        <f>225*6</f>
        <v>1350</v>
      </c>
      <c r="H2367" s="3">
        <f>+IFERROR(VLOOKUP(E2367,BD!$L$2:$Q$66,6,0),0)</f>
        <v>225</v>
      </c>
      <c r="I2367" s="96">
        <f>IFERROR(G2367*VLOOKUP($E2367,BD!$L$2:$Q$66,5,0),0)</f>
        <v>567</v>
      </c>
      <c r="J2367" s="5">
        <f t="shared" si="163"/>
        <v>2021</v>
      </c>
    </row>
    <row r="2368" spans="1:10" s="9" customFormat="1" hidden="1" x14ac:dyDescent="0.25">
      <c r="A2368" s="491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7">
        <v>256379</v>
      </c>
      <c r="F2368" s="3" t="str">
        <f>IFERROR(VLOOKUP(E2368,BD!$L$2:$Q$66,2,0),0)</f>
        <v>INCA KOLA VR 625MLX12 - STICKER</v>
      </c>
      <c r="G2368" s="424">
        <f>50*4</f>
        <v>200</v>
      </c>
      <c r="H2368" s="3">
        <f>+IFERROR(VLOOKUP(E2368,BD!$L$2:$Q$66,6,0),0)</f>
        <v>50</v>
      </c>
      <c r="I2368" s="96">
        <f>IFERROR(G2368*VLOOKUP($E2368,BD!$L$2:$Q$66,5,0),0)</f>
        <v>80</v>
      </c>
      <c r="J2368" s="5">
        <f t="shared" si="163"/>
        <v>2021</v>
      </c>
    </row>
    <row r="2369" spans="1:10" s="9" customFormat="1" hidden="1" x14ac:dyDescent="0.25">
      <c r="A2369" s="491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7">
        <v>256721</v>
      </c>
      <c r="F2369" s="3" t="str">
        <f>IFERROR(VLOOKUP(E2369,BD!$L$2:$Q$66,2,0),0)</f>
        <v>SPRITE PET 500MLX6 BRANDEADO MOD</v>
      </c>
      <c r="G2369" s="424">
        <f>250*2</f>
        <v>500</v>
      </c>
      <c r="H2369" s="3">
        <f>+IFERROR(VLOOKUP(E2369,BD!$L$2:$Q$66,6,0),0)</f>
        <v>420</v>
      </c>
      <c r="I2369" s="96">
        <f>IFERROR(G2369*VLOOKUP($E2369,BD!$L$2:$Q$66,5,0),0)</f>
        <v>210</v>
      </c>
      <c r="J2369" s="5">
        <f t="shared" si="163"/>
        <v>2021</v>
      </c>
    </row>
    <row r="2370" spans="1:10" s="9" customFormat="1" ht="15.75" hidden="1" thickBot="1" x14ac:dyDescent="0.3">
      <c r="A2370" s="492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9">
        <v>251429</v>
      </c>
      <c r="F2370" s="8" t="str">
        <f>IFERROR(VLOOKUP(E2370,BD!$L$2:$Q$66,2,0),0)</f>
        <v>SAN LUIS SIN GAS PET2500X6 STICKER</v>
      </c>
      <c r="G2370" s="501">
        <v>576</v>
      </c>
      <c r="H2370" s="8">
        <f>+IFERROR(VLOOKUP(E2370,BD!$L$2:$Q$66,6,0),0)</f>
        <v>48</v>
      </c>
      <c r="I2370" s="98">
        <f>IFERROR(G2370*VLOOKUP($E2370,BD!$L$2:$Q$66,5,0),0)</f>
        <v>230.4</v>
      </c>
      <c r="J2370" s="110">
        <f t="shared" si="163"/>
        <v>2021</v>
      </c>
    </row>
    <row r="2371" spans="1:10" s="9" customFormat="1" hidden="1" x14ac:dyDescent="0.25">
      <c r="A2371" s="493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63">
        <v>251633</v>
      </c>
      <c r="F2371" s="6" t="str">
        <f>IFERROR(VLOOKUP(E2371,BD!$L$2:$Q$66,2,0),0)</f>
        <v>SAN LUIS CON GAS PET 625MLX6</v>
      </c>
      <c r="G2371" s="513">
        <f>180*2</f>
        <v>360</v>
      </c>
      <c r="H2371" s="6">
        <f>+IFERROR(VLOOKUP(E2371,BD!$L$2:$Q$66,6,0),0)</f>
        <v>180</v>
      </c>
      <c r="I2371" s="97">
        <f>IFERROR(G2371*VLOOKUP($E2371,BD!$L$2:$Q$66,5,0),0)</f>
        <v>151.19999999999999</v>
      </c>
      <c r="J2371" s="109">
        <f t="shared" si="163"/>
        <v>2021</v>
      </c>
    </row>
    <row r="2372" spans="1:10" s="9" customFormat="1" hidden="1" x14ac:dyDescent="0.25">
      <c r="A2372" s="491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7">
        <v>251632</v>
      </c>
      <c r="F2372" s="3" t="str">
        <f>IFERROR(VLOOKUP(E2372,BD!$L$2:$Q$66,2,0),0)</f>
        <v>SAN LUIS SIN GAS PET 625MLX06 MOD</v>
      </c>
      <c r="G2372" s="424">
        <f>180*3</f>
        <v>540</v>
      </c>
      <c r="H2372" s="3">
        <f>+IFERROR(VLOOKUP(E2372,BD!$L$2:$Q$66,6,0),0)</f>
        <v>180</v>
      </c>
      <c r="I2372" s="96">
        <f>IFERROR(G2372*VLOOKUP($E2372,BD!$L$2:$Q$66,5,0),0)</f>
        <v>226.79999999999998</v>
      </c>
      <c r="J2372" s="5">
        <f t="shared" si="163"/>
        <v>2021</v>
      </c>
    </row>
    <row r="2373" spans="1:10" s="9" customFormat="1" hidden="1" x14ac:dyDescent="0.25">
      <c r="A2373" s="491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7">
        <v>256548</v>
      </c>
      <c r="F2373" s="3" t="str">
        <f>IFERROR(VLOOKUP(E2373,BD!$L$2:$Q$66,2,0),0)</f>
        <v>TWO PACK CC PET 1.5LX2 - CRC</v>
      </c>
      <c r="G2373" s="424">
        <f>216*3</f>
        <v>648</v>
      </c>
      <c r="H2373" s="3">
        <f>+IFERROR(VLOOKUP(E2373,BD!$L$2:$Q$66,6,0),0)</f>
        <v>198</v>
      </c>
      <c r="I2373" s="96">
        <f>IFERROR(G2373*VLOOKUP($E2373,BD!$L$2:$Q$66,5,0),0)</f>
        <v>110.16000000000001</v>
      </c>
      <c r="J2373" s="5">
        <f t="shared" si="163"/>
        <v>2021</v>
      </c>
    </row>
    <row r="2374" spans="1:10" s="9" customFormat="1" hidden="1" x14ac:dyDescent="0.25">
      <c r="A2374" s="491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7">
        <v>256380</v>
      </c>
      <c r="F2374" s="3" t="str">
        <f>IFERROR(VLOOKUP(E2374,BD!$L$2:$Q$66,2,0),0)</f>
        <v>INCA KOLA VR 296MLX24 - STICKER</v>
      </c>
      <c r="G2374" s="424">
        <f>40*3</f>
        <v>120</v>
      </c>
      <c r="H2374" s="3">
        <f>+IFERROR(VLOOKUP(E2374,BD!$L$2:$Q$66,6,0),0)</f>
        <v>40</v>
      </c>
      <c r="I2374" s="96">
        <f>IFERROR(G2374*VLOOKUP($E2374,BD!$L$2:$Q$66,5,0),0)</f>
        <v>27.6</v>
      </c>
      <c r="J2374" s="5">
        <f t="shared" si="163"/>
        <v>2021</v>
      </c>
    </row>
    <row r="2375" spans="1:10" s="9" customFormat="1" hidden="1" x14ac:dyDescent="0.25">
      <c r="A2375" s="491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7">
        <v>256682</v>
      </c>
      <c r="F2375" s="3" t="str">
        <f>IFERROR(VLOOKUP(E2375,BD!$L$2:$Q$66,2,0),0)</f>
        <v>TRIPACK (FT NAR+SP)PET+IK RF PFM 3L</v>
      </c>
      <c r="G2375" s="424">
        <f>90*3</f>
        <v>270</v>
      </c>
      <c r="H2375" s="3">
        <f>+IFERROR(VLOOKUP(E2375,BD!$L$2:$Q$66,6,0),0)</f>
        <v>90</v>
      </c>
      <c r="I2375" s="96">
        <f>IFERROR(G2375*VLOOKUP($E2375,BD!$L$2:$Q$66,5,0),0)</f>
        <v>45.900000000000006</v>
      </c>
      <c r="J2375" s="5">
        <f t="shared" si="163"/>
        <v>2021</v>
      </c>
    </row>
    <row r="2376" spans="1:10" s="9" customFormat="1" hidden="1" x14ac:dyDescent="0.25">
      <c r="A2376" s="491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7">
        <v>256652</v>
      </c>
      <c r="F2376" s="3" t="str">
        <f>IFERROR(VLOOKUP(E2376,BD!$L$2:$Q$66,2,0),0)</f>
        <v>TRIPACK FT NAR+FT KI+SP PET 3L</v>
      </c>
      <c r="G2376" s="424">
        <f>90*5</f>
        <v>450</v>
      </c>
      <c r="H2376" s="3">
        <f>+IFERROR(VLOOKUP(E2376,BD!$L$2:$Q$66,6,0),0)</f>
        <v>90</v>
      </c>
      <c r="I2376" s="96">
        <f>IFERROR(G2376*VLOOKUP($E2376,BD!$L$2:$Q$66,5,0),0)</f>
        <v>76.5</v>
      </c>
      <c r="J2376" s="5">
        <f t="shared" si="163"/>
        <v>2021</v>
      </c>
    </row>
    <row r="2377" spans="1:10" s="9" customFormat="1" hidden="1" x14ac:dyDescent="0.25">
      <c r="A2377" s="491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7">
        <v>254853</v>
      </c>
      <c r="F2377" s="3" t="str">
        <f>IFERROR(VLOOKUP(E2377,BD!$L$2:$Q$66,2,0),0)</f>
        <v>INCA KOLA SIN AZUCAR PET 1.5LX2</v>
      </c>
      <c r="G2377" s="424">
        <f>216*5</f>
        <v>1080</v>
      </c>
      <c r="H2377" s="3">
        <f>+IFERROR(VLOOKUP(E2377,BD!$L$2:$Q$66,6,0),0)</f>
        <v>198</v>
      </c>
      <c r="I2377" s="96">
        <f>IFERROR(G2377*VLOOKUP($E2377,BD!$L$2:$Q$66,5,0),0)</f>
        <v>183.60000000000002</v>
      </c>
      <c r="J2377" s="5">
        <f t="shared" si="163"/>
        <v>2021</v>
      </c>
    </row>
    <row r="2378" spans="1:10" s="9" customFormat="1" hidden="1" x14ac:dyDescent="0.25">
      <c r="A2378" s="491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7">
        <v>256708</v>
      </c>
      <c r="F2378" s="3" t="str">
        <f>IFERROR(VLOOKUP(E2378,BD!$L$2:$Q$66,2,0),0)</f>
        <v>POWERADE ION4 FRUTA PET473X6 MOD (STICK)</v>
      </c>
      <c r="G2378" s="424">
        <f>225*2</f>
        <v>450</v>
      </c>
      <c r="H2378" s="3">
        <f>+IFERROR(VLOOKUP(E2378,BD!$L$2:$Q$66,6,0),0)</f>
        <v>225</v>
      </c>
      <c r="I2378" s="96">
        <f>IFERROR(G2378*VLOOKUP($E2378,BD!$L$2:$Q$66,5,0),0)</f>
        <v>180</v>
      </c>
      <c r="J2378" s="5">
        <f t="shared" si="163"/>
        <v>2021</v>
      </c>
    </row>
    <row r="2379" spans="1:10" s="9" customFormat="1" hidden="1" x14ac:dyDescent="0.25">
      <c r="A2379" s="491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7">
        <v>256666</v>
      </c>
      <c r="F2379" s="3" t="str">
        <f>IFERROR(VLOOKUP(E2379,BD!$L$2:$Q$66,2,0),0)</f>
        <v>COCA-COLA PET 2.25LX2 RF</v>
      </c>
      <c r="G2379" s="424">
        <f>162*2</f>
        <v>324</v>
      </c>
      <c r="H2379" s="3">
        <f>+IFERROR(VLOOKUP(E2379,BD!$L$2:$Q$66,6,0),0)</f>
        <v>162</v>
      </c>
      <c r="I2379" s="96">
        <f>IFERROR(G2379*VLOOKUP($E2379,BD!$L$2:$Q$66,5,0),0)</f>
        <v>55.080000000000005</v>
      </c>
      <c r="J2379" s="5">
        <f t="shared" si="163"/>
        <v>2021</v>
      </c>
    </row>
    <row r="2380" spans="1:10" s="9" customFormat="1" hidden="1" x14ac:dyDescent="0.25">
      <c r="A2380" s="491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7">
        <v>256383</v>
      </c>
      <c r="F2380" s="3" t="str">
        <f>IFERROR(VLOOKUP(E2380,BD!$L$2:$Q$66,2,0),0)</f>
        <v>COCA COLA VR 1.5LX8 - STICKER</v>
      </c>
      <c r="G2380" s="424">
        <f>30*2</f>
        <v>60</v>
      </c>
      <c r="H2380" s="3">
        <f>+IFERROR(VLOOKUP(E2380,BD!$L$2:$Q$66,6,0),0)</f>
        <v>30</v>
      </c>
      <c r="I2380" s="96">
        <f>IFERROR(G2380*VLOOKUP($E2380,BD!$L$2:$Q$66,5,0),0)</f>
        <v>13.8</v>
      </c>
      <c r="J2380" s="5">
        <f t="shared" si="163"/>
        <v>2021</v>
      </c>
    </row>
    <row r="2381" spans="1:10" s="9" customFormat="1" hidden="1" x14ac:dyDescent="0.25">
      <c r="A2381" s="491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7">
        <v>256381</v>
      </c>
      <c r="F2381" s="3" t="str">
        <f>IFERROR(VLOOKUP(E2381,BD!$L$2:$Q$66,2,0),0)</f>
        <v>INCA KOLA VR 1.5LX8 - STICKER</v>
      </c>
      <c r="G2381" s="424">
        <v>30</v>
      </c>
      <c r="H2381" s="3">
        <f>+IFERROR(VLOOKUP(E2381,BD!$L$2:$Q$66,6,0),0)</f>
        <v>30</v>
      </c>
      <c r="I2381" s="96">
        <f>IFERROR(G2381*VLOOKUP($E2381,BD!$L$2:$Q$66,5,0),0)</f>
        <v>12</v>
      </c>
      <c r="J2381" s="5">
        <f t="shared" si="163"/>
        <v>2021</v>
      </c>
    </row>
    <row r="2382" spans="1:10" s="9" customFormat="1" hidden="1" x14ac:dyDescent="0.25">
      <c r="A2382" s="491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7">
        <v>751315</v>
      </c>
      <c r="F2382" s="3" t="str">
        <f>IFERROR(VLOOKUP(E2382,BD!$L$2:$Q$66,2,0),0)</f>
        <v>MONSTER ENERGY 473MLX4</v>
      </c>
      <c r="G2382" s="424">
        <f>420*7</f>
        <v>2940</v>
      </c>
      <c r="H2382" s="3">
        <f>+IFERROR(VLOOKUP(E2382,BD!$L$2:$Q$66,6,0),0)</f>
        <v>420</v>
      </c>
      <c r="I2382" s="96">
        <f>IFERROR(G2382*VLOOKUP($E2382,BD!$L$2:$Q$66,5,0),0)</f>
        <v>1234.8</v>
      </c>
      <c r="J2382" s="5">
        <f t="shared" si="163"/>
        <v>2021</v>
      </c>
    </row>
    <row r="2383" spans="1:10" s="9" customFormat="1" ht="15.75" hidden="1" thickBot="1" x14ac:dyDescent="0.3">
      <c r="A2383" s="492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9">
        <v>256685</v>
      </c>
      <c r="F2383" s="8" t="str">
        <f>IFERROR(VLOOKUP(E2383,BD!$L$2:$Q$66,2,0),0)</f>
        <v>SL S/G TAPA PLANA 1LT</v>
      </c>
      <c r="G2383" s="501">
        <f>112*1</f>
        <v>112</v>
      </c>
      <c r="H2383" s="8">
        <f>+IFERROR(VLOOKUP(E2383,BD!$L$2:$Q$66,6,0),0)</f>
        <v>112</v>
      </c>
      <c r="I2383" s="98">
        <f>IFERROR(G2383*VLOOKUP($E2383,BD!$L$2:$Q$66,5,0),0)</f>
        <v>44.800000000000004</v>
      </c>
      <c r="J2383" s="110">
        <f t="shared" si="163"/>
        <v>2021</v>
      </c>
    </row>
    <row r="2384" spans="1:10" s="9" customFormat="1" hidden="1" x14ac:dyDescent="0.25">
      <c r="A2384" s="493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63">
        <v>251406</v>
      </c>
      <c r="F2384" s="6" t="str">
        <f>IFERROR(VLOOKUP(E2384,BD!$L$2:$Q$66,2,0),0)</f>
        <v>COCA-COLA SIN AZUCAR PET 1.5LX2</v>
      </c>
      <c r="G2384" s="513">
        <v>2160</v>
      </c>
      <c r="H2384" s="6">
        <f>+IFERROR(VLOOKUP(E2384,BD!$L$2:$Q$66,6,0),0)</f>
        <v>198</v>
      </c>
      <c r="I2384" s="97">
        <f>IFERROR(G2384*VLOOKUP($E2384,BD!$L$2:$Q$66,5,0),0)</f>
        <v>367.20000000000005</v>
      </c>
      <c r="J2384" s="109">
        <f t="shared" si="163"/>
        <v>2021</v>
      </c>
    </row>
    <row r="2385" spans="1:10" s="9" customFormat="1" hidden="1" x14ac:dyDescent="0.25">
      <c r="A2385" s="491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7">
        <v>256488</v>
      </c>
      <c r="F2385" s="3" t="str">
        <f>IFERROR(VLOOKUP(E2385,BD!$L$2:$Q$66,2,0),0)</f>
        <v>INCA KOLA PET 3LX2 - RF</v>
      </c>
      <c r="G2385" s="424">
        <v>720</v>
      </c>
      <c r="H2385" s="3">
        <f>+IFERROR(VLOOKUP(E2385,BD!$L$2:$Q$66,6,0),0)</f>
        <v>120</v>
      </c>
      <c r="I2385" s="96">
        <f>IFERROR(G2385*VLOOKUP($E2385,BD!$L$2:$Q$66,5,0),0)</f>
        <v>122.4</v>
      </c>
      <c r="J2385" s="5">
        <f t="shared" si="163"/>
        <v>2021</v>
      </c>
    </row>
    <row r="2386" spans="1:10" s="9" customFormat="1" hidden="1" x14ac:dyDescent="0.25">
      <c r="A2386" s="491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7">
        <v>256616</v>
      </c>
      <c r="F2386" s="3" t="str">
        <f>IFERROR(VLOOKUP(E2386,BD!$L$2:$Q$66,2,0),0)</f>
        <v>TWO PACK SCHWEPPES CITRUS PET 1.5LX2</v>
      </c>
      <c r="G2386" s="424">
        <v>792</v>
      </c>
      <c r="H2386" s="3">
        <f>+IFERROR(VLOOKUP(E2386,BD!$L$2:$Q$66,6,0),0)</f>
        <v>198</v>
      </c>
      <c r="I2386" s="96">
        <f>IFERROR(G2386*VLOOKUP($E2386,BD!$L$2:$Q$66,5,0),0)</f>
        <v>134.64000000000001</v>
      </c>
      <c r="J2386" s="5">
        <f t="shared" si="163"/>
        <v>2021</v>
      </c>
    </row>
    <row r="2387" spans="1:10" s="9" customFormat="1" hidden="1" x14ac:dyDescent="0.25">
      <c r="A2387" s="491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7">
        <v>256617</v>
      </c>
      <c r="F2387" s="3" t="str">
        <f>IFERROR(VLOOKUP(E2387,BD!$L$2:$Q$66,2,0),0)</f>
        <v>TWO PACK SCHWEPPES GINGER ALE PET 1.5LX2</v>
      </c>
      <c r="G2387" s="424">
        <v>792</v>
      </c>
      <c r="H2387" s="3">
        <f>+IFERROR(VLOOKUP(E2387,BD!$L$2:$Q$66,6,0),0)</f>
        <v>198</v>
      </c>
      <c r="I2387" s="96">
        <f>IFERROR(G2387*VLOOKUP($E2387,BD!$L$2:$Q$66,5,0),0)</f>
        <v>134.64000000000001</v>
      </c>
      <c r="J2387" s="5">
        <f t="shared" si="163"/>
        <v>2021</v>
      </c>
    </row>
    <row r="2388" spans="1:10" s="9" customFormat="1" hidden="1" x14ac:dyDescent="0.25">
      <c r="A2388" s="491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7">
        <v>256674</v>
      </c>
      <c r="F2388" s="3" t="str">
        <f>IFERROR(VLOOKUP(E2388,BD!$L$2:$Q$66,2,0),0)</f>
        <v>COCA-COLA PET 1.5LX2 RF</v>
      </c>
      <c r="G2388" s="424">
        <v>1728</v>
      </c>
      <c r="H2388" s="3">
        <f>+IFERROR(VLOOKUP(E2388,BD!$L$2:$Q$66,6,0),0)</f>
        <v>198</v>
      </c>
      <c r="I2388" s="96">
        <f>IFERROR(G2388*VLOOKUP($E2388,BD!$L$2:$Q$66,5,0),0)</f>
        <v>293.76000000000005</v>
      </c>
      <c r="J2388" s="5">
        <f t="shared" si="163"/>
        <v>2021</v>
      </c>
    </row>
    <row r="2389" spans="1:10" s="9" customFormat="1" hidden="1" x14ac:dyDescent="0.25">
      <c r="A2389" s="491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7">
        <v>256675</v>
      </c>
      <c r="F2389" s="3" t="str">
        <f>IFERROR(VLOOKUP(E2389,BD!$L$2:$Q$66,2,0),0)</f>
        <v>INCA KOLA PET 1.5LX2 RF</v>
      </c>
      <c r="G2389" s="424">
        <v>1296</v>
      </c>
      <c r="H2389" s="3">
        <f>+IFERROR(VLOOKUP(E2389,BD!$L$2:$Q$66,6,0),0)</f>
        <v>198</v>
      </c>
      <c r="I2389" s="96">
        <f>IFERROR(G2389*VLOOKUP($E2389,BD!$L$2:$Q$66,5,0),0)</f>
        <v>220.32000000000002</v>
      </c>
      <c r="J2389" s="5">
        <f t="shared" si="163"/>
        <v>2021</v>
      </c>
    </row>
    <row r="2390" spans="1:10" s="9" customFormat="1" hidden="1" x14ac:dyDescent="0.25">
      <c r="A2390" s="491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7">
        <v>256676</v>
      </c>
      <c r="F2390" s="3" t="str">
        <f>IFERROR(VLOOKUP(E2390,BD!$L$2:$Q$66,2,0),0)</f>
        <v>TWO PACK CC PFM 3LX2 - RFCC</v>
      </c>
      <c r="G2390" s="424">
        <v>720</v>
      </c>
      <c r="H2390" s="3">
        <f>+IFERROR(VLOOKUP(E2390,BD!$L$2:$Q$66,6,0),0)</f>
        <v>120</v>
      </c>
      <c r="I2390" s="96">
        <f>IFERROR(G2390*VLOOKUP($E2390,BD!$L$2:$Q$66,5,0),0)</f>
        <v>122.4</v>
      </c>
      <c r="J2390" s="5">
        <f t="shared" si="163"/>
        <v>2021</v>
      </c>
    </row>
    <row r="2391" spans="1:10" s="9" customFormat="1" hidden="1" x14ac:dyDescent="0.25">
      <c r="A2391" s="491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7">
        <v>256677</v>
      </c>
      <c r="F2391" s="3" t="str">
        <f>IFERROR(VLOOKUP(E2391,BD!$L$2:$Q$66,2,0),0)</f>
        <v>TWO PACK CC + IK PFM 3LX2 - RFNN</v>
      </c>
      <c r="G2391" s="424">
        <v>3120</v>
      </c>
      <c r="H2391" s="3">
        <f>+IFERROR(VLOOKUP(E2391,BD!$L$2:$Q$66,6,0),0)</f>
        <v>120</v>
      </c>
      <c r="I2391" s="96">
        <f>IFERROR(G2391*VLOOKUP($E2391,BD!$L$2:$Q$66,5,0),0)</f>
        <v>530.40000000000009</v>
      </c>
      <c r="J2391" s="5">
        <f t="shared" si="163"/>
        <v>2021</v>
      </c>
    </row>
    <row r="2392" spans="1:10" s="9" customFormat="1" hidden="1" x14ac:dyDescent="0.25">
      <c r="A2392" s="491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7">
        <v>256678</v>
      </c>
      <c r="F2392" s="3" t="str">
        <f>IFERROR(VLOOKUP(E2392,BD!$L$2:$Q$66,2,0),0)</f>
        <v>TRIPACK (CC+IK)PFM+FT PET 3LX3 - RFNN</v>
      </c>
      <c r="G2392" s="424">
        <v>2160</v>
      </c>
      <c r="H2392" s="3">
        <f>+IFERROR(VLOOKUP(E2392,BD!$L$2:$Q$66,6,0),0)</f>
        <v>90</v>
      </c>
      <c r="I2392" s="96">
        <f>IFERROR(G2392*VLOOKUP($E2392,BD!$L$2:$Q$66,5,0),0)</f>
        <v>367.20000000000005</v>
      </c>
      <c r="J2392" s="5">
        <f t="shared" si="163"/>
        <v>2021</v>
      </c>
    </row>
    <row r="2393" spans="1:10" s="9" customFormat="1" hidden="1" x14ac:dyDescent="0.25">
      <c r="A2393" s="491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7">
        <v>251633</v>
      </c>
      <c r="F2393" s="3" t="str">
        <f>IFERROR(VLOOKUP(E2393,BD!$L$2:$Q$66,2,0),0)</f>
        <v>SAN LUIS CON GAS PET 625MLX6</v>
      </c>
      <c r="G2393" s="424">
        <v>360</v>
      </c>
      <c r="H2393" s="3">
        <f>+IFERROR(VLOOKUP(E2393,BD!$L$2:$Q$66,6,0),0)</f>
        <v>180</v>
      </c>
      <c r="I2393" s="96">
        <f>IFERROR(G2393*VLOOKUP($E2393,BD!$L$2:$Q$66,5,0),0)</f>
        <v>151.19999999999999</v>
      </c>
      <c r="J2393" s="5">
        <f t="shared" si="163"/>
        <v>2021</v>
      </c>
    </row>
    <row r="2394" spans="1:10" s="9" customFormat="1" hidden="1" x14ac:dyDescent="0.25">
      <c r="A2394" s="491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7">
        <v>256720</v>
      </c>
      <c r="F2394" s="3" t="str">
        <f>IFERROR(VLOOKUP(E2394,BD!$L$2:$Q$66,2,0),0)</f>
        <v>FANTA NARANJA PET 500MLX6 BRANDEADO MOD</v>
      </c>
      <c r="G2394" s="424">
        <v>500</v>
      </c>
      <c r="H2394" s="3">
        <f>+IFERROR(VLOOKUP(E2394,BD!$L$2:$Q$66,6,0),0)</f>
        <v>420</v>
      </c>
      <c r="I2394" s="96">
        <f>IFERROR(G2394*VLOOKUP($E2394,BD!$L$2:$Q$66,5,0),0)</f>
        <v>210</v>
      </c>
      <c r="J2394" s="5">
        <f t="shared" si="163"/>
        <v>2021</v>
      </c>
    </row>
    <row r="2395" spans="1:10" s="9" customFormat="1" hidden="1" x14ac:dyDescent="0.25">
      <c r="A2395" s="491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7">
        <v>256721</v>
      </c>
      <c r="F2395" s="3" t="str">
        <f>IFERROR(VLOOKUP(E2395,BD!$L$2:$Q$66,2,0),0)</f>
        <v>SPRITE PET 500MLX6 BRANDEADO MOD</v>
      </c>
      <c r="G2395" s="424">
        <v>500</v>
      </c>
      <c r="H2395" s="3">
        <f>+IFERROR(VLOOKUP(E2395,BD!$L$2:$Q$66,6,0),0)</f>
        <v>420</v>
      </c>
      <c r="I2395" s="96">
        <f>IFERROR(G2395*VLOOKUP($E2395,BD!$L$2:$Q$66,5,0),0)</f>
        <v>210</v>
      </c>
      <c r="J2395" s="5">
        <f t="shared" si="163"/>
        <v>2021</v>
      </c>
    </row>
    <row r="2396" spans="1:10" s="9" customFormat="1" hidden="1" x14ac:dyDescent="0.25">
      <c r="A2396" s="491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7">
        <v>256695</v>
      </c>
      <c r="F2396" s="3" t="str">
        <f>IFERROR(VLOOKUP(E2396,BD!$L$2:$Q$66,2,0),0)</f>
        <v>POWERADE 3MORA+3FRUT PET 473MLX6</v>
      </c>
      <c r="G2396" s="424">
        <v>450</v>
      </c>
      <c r="H2396" s="3">
        <f>+IFERROR(VLOOKUP(E2396,BD!$L$2:$Q$66,6,0),0)</f>
        <v>225</v>
      </c>
      <c r="I2396" s="96">
        <f>IFERROR(G2396*VLOOKUP($E2396,BD!$L$2:$Q$66,5,0),0)</f>
        <v>189</v>
      </c>
      <c r="J2396" s="5">
        <f t="shared" si="163"/>
        <v>2021</v>
      </c>
    </row>
    <row r="2397" spans="1:10" s="9" customFormat="1" hidden="1" x14ac:dyDescent="0.25">
      <c r="A2397" s="491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7">
        <v>256379</v>
      </c>
      <c r="F2397" s="3" t="str">
        <f>IFERROR(VLOOKUP(E2397,BD!$L$2:$Q$66,2,0),0)</f>
        <v>INCA KOLA VR 625MLX12 - STICKER</v>
      </c>
      <c r="G2397" s="424">
        <v>200</v>
      </c>
      <c r="H2397" s="3">
        <f>+IFERROR(VLOOKUP(E2397,BD!$L$2:$Q$66,6,0),0)</f>
        <v>50</v>
      </c>
      <c r="I2397" s="96">
        <f>IFERROR(G2397*VLOOKUP($E2397,BD!$L$2:$Q$66,5,0),0)</f>
        <v>80</v>
      </c>
      <c r="J2397" s="5">
        <f t="shared" si="163"/>
        <v>2021</v>
      </c>
    </row>
    <row r="2398" spans="1:10" s="9" customFormat="1" hidden="1" x14ac:dyDescent="0.25">
      <c r="A2398" s="491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7">
        <v>251429</v>
      </c>
      <c r="F2398" s="3" t="str">
        <f>IFERROR(VLOOKUP(E2398,BD!$L$2:$Q$66,2,0),0)</f>
        <v>SAN LUIS SIN GAS PET2500X6 STICKER</v>
      </c>
      <c r="G2398" s="424">
        <v>384</v>
      </c>
      <c r="H2398" s="3">
        <f>+IFERROR(VLOOKUP(E2398,BD!$L$2:$Q$66,6,0),0)</f>
        <v>48</v>
      </c>
      <c r="I2398" s="96">
        <f>IFERROR(G2398*VLOOKUP($E2398,BD!$L$2:$Q$66,5,0),0)</f>
        <v>153.60000000000002</v>
      </c>
      <c r="J2398" s="5">
        <f t="shared" si="163"/>
        <v>2021</v>
      </c>
    </row>
    <row r="2399" spans="1:10" s="9" customFormat="1" hidden="1" x14ac:dyDescent="0.25">
      <c r="A2399" s="491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7">
        <v>254853</v>
      </c>
      <c r="F2399" s="3" t="str">
        <f>IFERROR(VLOOKUP(E2399,BD!$L$2:$Q$66,2,0),0)</f>
        <v>INCA KOLA SIN AZUCAR PET 1.5LX2</v>
      </c>
      <c r="G2399" s="424">
        <v>1728</v>
      </c>
      <c r="H2399" s="3">
        <f>+IFERROR(VLOOKUP(E2399,BD!$L$2:$Q$66,6,0),0)</f>
        <v>198</v>
      </c>
      <c r="I2399" s="96">
        <f>IFERROR(G2399*VLOOKUP($E2399,BD!$L$2:$Q$66,5,0),0)</f>
        <v>293.76000000000005</v>
      </c>
      <c r="J2399" s="5">
        <f t="shared" si="163"/>
        <v>2021</v>
      </c>
    </row>
    <row r="2400" spans="1:10" s="9" customFormat="1" hidden="1" x14ac:dyDescent="0.25">
      <c r="A2400" s="491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7">
        <v>256652</v>
      </c>
      <c r="F2400" s="3" t="str">
        <f>IFERROR(VLOOKUP(E2400,BD!$L$2:$Q$66,2,0),0)</f>
        <v>TRIPACK FT NAR+FT KI+SP PET 3L</v>
      </c>
      <c r="G2400" s="424">
        <v>720</v>
      </c>
      <c r="H2400" s="3">
        <f>+IFERROR(VLOOKUP(E2400,BD!$L$2:$Q$66,6,0),0)</f>
        <v>90</v>
      </c>
      <c r="I2400" s="96">
        <f>IFERROR(G2400*VLOOKUP($E2400,BD!$L$2:$Q$66,5,0),0)</f>
        <v>122.4</v>
      </c>
      <c r="J2400" s="5">
        <f t="shared" si="163"/>
        <v>2021</v>
      </c>
    </row>
    <row r="2401" spans="1:10" s="9" customFormat="1" hidden="1" x14ac:dyDescent="0.25">
      <c r="A2401" s="491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7">
        <v>256682</v>
      </c>
      <c r="F2401" s="3" t="str">
        <f>IFERROR(VLOOKUP(E2401,BD!$L$2:$Q$66,2,0),0)</f>
        <v>TRIPACK (FT NAR+SP)PET+IK RF PFM 3L</v>
      </c>
      <c r="G2401" s="424">
        <v>720</v>
      </c>
      <c r="H2401" s="3">
        <f>+IFERROR(VLOOKUP(E2401,BD!$L$2:$Q$66,6,0),0)</f>
        <v>90</v>
      </c>
      <c r="I2401" s="96">
        <f>IFERROR(G2401*VLOOKUP($E2401,BD!$L$2:$Q$66,5,0),0)</f>
        <v>122.4</v>
      </c>
      <c r="J2401" s="5">
        <f t="shared" si="163"/>
        <v>2021</v>
      </c>
    </row>
    <row r="2402" spans="1:10" s="9" customFormat="1" hidden="1" x14ac:dyDescent="0.25">
      <c r="A2402" s="491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7">
        <v>256381</v>
      </c>
      <c r="F2402" s="3" t="str">
        <f>IFERROR(VLOOKUP(E2402,BD!$L$2:$Q$66,2,0),0)</f>
        <v>INCA KOLA VR 1.5LX8 - STICKER</v>
      </c>
      <c r="G2402" s="424">
        <v>210</v>
      </c>
      <c r="H2402" s="3">
        <f>+IFERROR(VLOOKUP(E2402,BD!$L$2:$Q$66,6,0),0)</f>
        <v>30</v>
      </c>
      <c r="I2402" s="96">
        <f>IFERROR(G2402*VLOOKUP($E2402,BD!$L$2:$Q$66,5,0),0)</f>
        <v>84</v>
      </c>
      <c r="J2402" s="5">
        <f t="shared" si="163"/>
        <v>2021</v>
      </c>
    </row>
    <row r="2403" spans="1:10" s="9" customFormat="1" hidden="1" x14ac:dyDescent="0.25">
      <c r="A2403" s="491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7">
        <v>256383</v>
      </c>
      <c r="F2403" s="3" t="str">
        <f>IFERROR(VLOOKUP(E2403,BD!$L$2:$Q$66,2,0),0)</f>
        <v>COCA COLA VR 1.5LX8 - STICKER</v>
      </c>
      <c r="G2403" s="424">
        <v>150</v>
      </c>
      <c r="H2403" s="3">
        <f>+IFERROR(VLOOKUP(E2403,BD!$L$2:$Q$66,6,0),0)</f>
        <v>30</v>
      </c>
      <c r="I2403" s="96">
        <f>IFERROR(G2403*VLOOKUP($E2403,BD!$L$2:$Q$66,5,0),0)</f>
        <v>34.5</v>
      </c>
      <c r="J2403" s="5">
        <f t="shared" si="163"/>
        <v>2021</v>
      </c>
    </row>
    <row r="2404" spans="1:10" s="9" customFormat="1" hidden="1" x14ac:dyDescent="0.25">
      <c r="A2404" s="491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7">
        <v>256380</v>
      </c>
      <c r="F2404" s="3" t="str">
        <f>IFERROR(VLOOKUP(E2404,BD!$L$2:$Q$66,2,0),0)</f>
        <v>INCA KOLA VR 296MLX24 - STICKER</v>
      </c>
      <c r="G2404" s="424">
        <v>160</v>
      </c>
      <c r="H2404" s="3">
        <f>+IFERROR(VLOOKUP(E2404,BD!$L$2:$Q$66,6,0),0)</f>
        <v>40</v>
      </c>
      <c r="I2404" s="96">
        <f>IFERROR(G2404*VLOOKUP($E2404,BD!$L$2:$Q$66,5,0),0)</f>
        <v>36.800000000000004</v>
      </c>
      <c r="J2404" s="5">
        <f t="shared" si="163"/>
        <v>2021</v>
      </c>
    </row>
    <row r="2405" spans="1:10" s="9" customFormat="1" hidden="1" x14ac:dyDescent="0.25">
      <c r="A2405" s="491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7">
        <v>251632</v>
      </c>
      <c r="F2405" s="3" t="str">
        <f>IFERROR(VLOOKUP(E2405,BD!$L$2:$Q$66,2,0),0)</f>
        <v>SAN LUIS SIN GAS PET 625MLX06 MOD</v>
      </c>
      <c r="G2405" s="424">
        <v>180</v>
      </c>
      <c r="H2405" s="3">
        <f>+IFERROR(VLOOKUP(E2405,BD!$L$2:$Q$66,6,0),0)</f>
        <v>180</v>
      </c>
      <c r="I2405" s="96">
        <f>IFERROR(G2405*VLOOKUP($E2405,BD!$L$2:$Q$66,5,0),0)</f>
        <v>75.599999999999994</v>
      </c>
      <c r="J2405" s="5">
        <f t="shared" si="163"/>
        <v>2021</v>
      </c>
    </row>
    <row r="2406" spans="1:10" s="9" customFormat="1" hidden="1" x14ac:dyDescent="0.25">
      <c r="A2406" s="491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7">
        <v>751315</v>
      </c>
      <c r="F2406" s="3" t="str">
        <f>IFERROR(VLOOKUP(E2406,BD!$L$2:$Q$66,2,0),0)</f>
        <v>MONSTER ENERGY 473MLX4</v>
      </c>
      <c r="G2406" s="424">
        <v>2100</v>
      </c>
      <c r="H2406" s="3">
        <f>+IFERROR(VLOOKUP(E2406,BD!$L$2:$Q$66,6,0),0)</f>
        <v>420</v>
      </c>
      <c r="I2406" s="96">
        <f>IFERROR(G2406*VLOOKUP($E2406,BD!$L$2:$Q$66,5,0),0)</f>
        <v>882</v>
      </c>
      <c r="J2406" s="5">
        <f t="shared" si="163"/>
        <v>2021</v>
      </c>
    </row>
    <row r="2407" spans="1:10" s="9" customFormat="1" ht="15.75" hidden="1" thickBot="1" x14ac:dyDescent="0.3">
      <c r="A2407" s="492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9">
        <v>256695</v>
      </c>
      <c r="F2407" s="8" t="str">
        <f>IFERROR(VLOOKUP(E2407,BD!$L$2:$Q$66,2,0),0)</f>
        <v>POWERADE 3MORA+3FRUT PET 473MLX6</v>
      </c>
      <c r="G2407" s="501">
        <v>450</v>
      </c>
      <c r="H2407" s="8">
        <f>+IFERROR(VLOOKUP(E2407,BD!$L$2:$Q$66,6,0),0)</f>
        <v>225</v>
      </c>
      <c r="I2407" s="98">
        <f>IFERROR(G2407*VLOOKUP($E2407,BD!$L$2:$Q$66,5,0),0)</f>
        <v>189</v>
      </c>
      <c r="J2407" s="110">
        <f t="shared" si="163"/>
        <v>2021</v>
      </c>
    </row>
    <row r="2408" spans="1:10" s="9" customFormat="1" hidden="1" x14ac:dyDescent="0.25">
      <c r="A2408" s="493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63">
        <v>256617</v>
      </c>
      <c r="F2408" s="6" t="str">
        <f>IFERROR(VLOOKUP(E2408,BD!$L$2:$Q$66,2,0),0)</f>
        <v>TWO PACK SCHWEPPES GINGER ALE PET 1.5LX2</v>
      </c>
      <c r="G2408" s="513">
        <v>792</v>
      </c>
      <c r="H2408" s="6">
        <f>+IFERROR(VLOOKUP(E2408,BD!$L$2:$Q$66,6,0),0)</f>
        <v>198</v>
      </c>
      <c r="I2408" s="97">
        <f>IFERROR(G2408*VLOOKUP($E2408,BD!$L$2:$Q$66,5,0),0)</f>
        <v>134.64000000000001</v>
      </c>
      <c r="J2408" s="109">
        <f t="shared" si="163"/>
        <v>2021</v>
      </c>
    </row>
    <row r="2409" spans="1:10" s="9" customFormat="1" hidden="1" x14ac:dyDescent="0.25">
      <c r="A2409" s="491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7">
        <v>256488</v>
      </c>
      <c r="F2409" s="3" t="str">
        <f>IFERROR(VLOOKUP(E2409,BD!$L$2:$Q$66,2,0),0)</f>
        <v>INCA KOLA PET 3LX2 - RF</v>
      </c>
      <c r="G2409" s="424">
        <v>960</v>
      </c>
      <c r="H2409" s="3">
        <f>+IFERROR(VLOOKUP(E2409,BD!$L$2:$Q$66,6,0),0)</f>
        <v>120</v>
      </c>
      <c r="I2409" s="96">
        <f>IFERROR(G2409*VLOOKUP($E2409,BD!$L$2:$Q$66,5,0),0)</f>
        <v>163.20000000000002</v>
      </c>
      <c r="J2409" s="5">
        <f t="shared" si="163"/>
        <v>2021</v>
      </c>
    </row>
    <row r="2410" spans="1:10" s="9" customFormat="1" hidden="1" x14ac:dyDescent="0.25">
      <c r="A2410" s="491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7">
        <v>256676</v>
      </c>
      <c r="F2410" s="3" t="str">
        <f>IFERROR(VLOOKUP(E2410,BD!$L$2:$Q$66,2,0),0)</f>
        <v>TWO PACK CC PFM 3LX2 - RFCC</v>
      </c>
      <c r="G2410" s="424">
        <v>960</v>
      </c>
      <c r="H2410" s="3">
        <f>+IFERROR(VLOOKUP(E2410,BD!$L$2:$Q$66,6,0),0)</f>
        <v>120</v>
      </c>
      <c r="I2410" s="96">
        <f>IFERROR(G2410*VLOOKUP($E2410,BD!$L$2:$Q$66,5,0),0)</f>
        <v>163.20000000000002</v>
      </c>
      <c r="J2410" s="5">
        <f t="shared" si="163"/>
        <v>2021</v>
      </c>
    </row>
    <row r="2411" spans="1:10" s="9" customFormat="1" hidden="1" x14ac:dyDescent="0.25">
      <c r="A2411" s="491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7">
        <v>256675</v>
      </c>
      <c r="F2411" s="3" t="str">
        <f>IFERROR(VLOOKUP(E2411,BD!$L$2:$Q$66,2,0),0)</f>
        <v>INCA KOLA PET 1.5LX2 RF</v>
      </c>
      <c r="G2411" s="424">
        <v>864</v>
      </c>
      <c r="H2411" s="3">
        <f>+IFERROR(VLOOKUP(E2411,BD!$L$2:$Q$66,6,0),0)</f>
        <v>198</v>
      </c>
      <c r="I2411" s="96">
        <f>IFERROR(G2411*VLOOKUP($E2411,BD!$L$2:$Q$66,5,0),0)</f>
        <v>146.88000000000002</v>
      </c>
      <c r="J2411" s="5">
        <f t="shared" si="163"/>
        <v>2021</v>
      </c>
    </row>
    <row r="2412" spans="1:10" s="9" customFormat="1" hidden="1" x14ac:dyDescent="0.25">
      <c r="A2412" s="491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7">
        <v>256677</v>
      </c>
      <c r="F2412" s="3" t="str">
        <f>IFERROR(VLOOKUP(E2412,BD!$L$2:$Q$66,2,0),0)</f>
        <v>TWO PACK CC + IK PFM 3LX2 - RFNN</v>
      </c>
      <c r="G2412" s="424">
        <v>1920</v>
      </c>
      <c r="H2412" s="3">
        <f>+IFERROR(VLOOKUP(E2412,BD!$L$2:$Q$66,6,0),0)</f>
        <v>120</v>
      </c>
      <c r="I2412" s="96">
        <f>IFERROR(G2412*VLOOKUP($E2412,BD!$L$2:$Q$66,5,0),0)</f>
        <v>326.40000000000003</v>
      </c>
      <c r="J2412" s="5">
        <f t="shared" si="163"/>
        <v>2021</v>
      </c>
    </row>
    <row r="2413" spans="1:10" s="9" customFormat="1" hidden="1" x14ac:dyDescent="0.25">
      <c r="A2413" s="491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7">
        <v>256674</v>
      </c>
      <c r="F2413" s="3" t="str">
        <f>IFERROR(VLOOKUP(E2413,BD!$L$2:$Q$66,2,0),0)</f>
        <v>COCA-COLA PET 1.5LX2 RF</v>
      </c>
      <c r="G2413" s="424">
        <v>2592</v>
      </c>
      <c r="H2413" s="3">
        <f>+IFERROR(VLOOKUP(E2413,BD!$L$2:$Q$66,6,0),0)</f>
        <v>198</v>
      </c>
      <c r="I2413" s="96">
        <f>IFERROR(G2413*VLOOKUP($E2413,BD!$L$2:$Q$66,5,0),0)</f>
        <v>440.64000000000004</v>
      </c>
      <c r="J2413" s="5">
        <f t="shared" si="163"/>
        <v>2021</v>
      </c>
    </row>
    <row r="2414" spans="1:10" s="9" customFormat="1" hidden="1" x14ac:dyDescent="0.25">
      <c r="A2414" s="491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7">
        <v>251406</v>
      </c>
      <c r="F2414" s="3" t="str">
        <f>IFERROR(VLOOKUP(E2414,BD!$L$2:$Q$66,2,0),0)</f>
        <v>COCA-COLA SIN AZUCAR PET 1.5LX2</v>
      </c>
      <c r="G2414" s="424">
        <v>2808</v>
      </c>
      <c r="H2414" s="3">
        <f>+IFERROR(VLOOKUP(E2414,BD!$L$2:$Q$66,6,0),0)</f>
        <v>198</v>
      </c>
      <c r="I2414" s="96">
        <f>IFERROR(G2414*VLOOKUP($E2414,BD!$L$2:$Q$66,5,0),0)</f>
        <v>477.36</v>
      </c>
      <c r="J2414" s="5">
        <f t="shared" si="163"/>
        <v>2021</v>
      </c>
    </row>
    <row r="2415" spans="1:10" s="9" customFormat="1" hidden="1" x14ac:dyDescent="0.25">
      <c r="A2415" s="491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7">
        <v>256678</v>
      </c>
      <c r="F2415" s="3" t="str">
        <f>IFERROR(VLOOKUP(E2415,BD!$L$2:$Q$66,2,0),0)</f>
        <v>TRIPACK (CC+IK)PFM+FT PET 3LX3 - RFNN</v>
      </c>
      <c r="G2415" s="424">
        <v>1440</v>
      </c>
      <c r="H2415" s="3">
        <f>+IFERROR(VLOOKUP(E2415,BD!$L$2:$Q$66,6,0),0)</f>
        <v>90</v>
      </c>
      <c r="I2415" s="96">
        <f>IFERROR(G2415*VLOOKUP($E2415,BD!$L$2:$Q$66,5,0),0)</f>
        <v>244.8</v>
      </c>
      <c r="J2415" s="5">
        <f t="shared" si="163"/>
        <v>2021</v>
      </c>
    </row>
    <row r="2416" spans="1:10" s="9" customFormat="1" hidden="1" x14ac:dyDescent="0.25">
      <c r="A2416" s="491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7">
        <v>251633</v>
      </c>
      <c r="F2416" s="3" t="str">
        <f>IFERROR(VLOOKUP(E2416,BD!$L$2:$Q$66,2,0),0)</f>
        <v>SAN LUIS CON GAS PET 625MLX6</v>
      </c>
      <c r="G2416" s="424">
        <v>720</v>
      </c>
      <c r="H2416" s="3">
        <f>+IFERROR(VLOOKUP(E2416,BD!$L$2:$Q$66,6,0),0)</f>
        <v>180</v>
      </c>
      <c r="I2416" s="96">
        <f>IFERROR(G2416*VLOOKUP($E2416,BD!$L$2:$Q$66,5,0),0)</f>
        <v>302.39999999999998</v>
      </c>
      <c r="J2416" s="5">
        <f t="shared" si="163"/>
        <v>2021</v>
      </c>
    </row>
    <row r="2417" spans="1:10" s="9" customFormat="1" hidden="1" x14ac:dyDescent="0.25">
      <c r="A2417" s="491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7">
        <v>251429</v>
      </c>
      <c r="F2417" s="3" t="str">
        <f>IFERROR(VLOOKUP(E2417,BD!$L$2:$Q$66,2,0),0)</f>
        <v>SAN LUIS SIN GAS PET2500X6 STICKER</v>
      </c>
      <c r="G2417" s="425">
        <v>576</v>
      </c>
      <c r="H2417" s="3">
        <f>+IFERROR(VLOOKUP(E2417,BD!$L$2:$Q$66,6,0),0)</f>
        <v>48</v>
      </c>
      <c r="I2417" s="96">
        <f>IFERROR(G2417*VLOOKUP($E2417,BD!$L$2:$Q$66,5,0),0)</f>
        <v>230.4</v>
      </c>
      <c r="J2417" s="5">
        <f t="shared" si="163"/>
        <v>2021</v>
      </c>
    </row>
    <row r="2418" spans="1:10" s="9" customFormat="1" hidden="1" x14ac:dyDescent="0.25">
      <c r="A2418" s="491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7">
        <v>256379</v>
      </c>
      <c r="F2418" s="3" t="str">
        <f>IFERROR(VLOOKUP(E2418,BD!$L$2:$Q$66,2,0),0)</f>
        <v>INCA KOLA VR 625MLX12 - STICKER</v>
      </c>
      <c r="G2418" s="424">
        <v>720</v>
      </c>
      <c r="H2418" s="3">
        <f>+IFERROR(VLOOKUP(E2418,BD!$L$2:$Q$66,6,0),0)</f>
        <v>50</v>
      </c>
      <c r="I2418" s="96">
        <f>IFERROR(G2418*VLOOKUP($E2418,BD!$L$2:$Q$66,5,0),0)</f>
        <v>288</v>
      </c>
      <c r="J2418" s="5">
        <f t="shared" si="163"/>
        <v>2021</v>
      </c>
    </row>
    <row r="2419" spans="1:10" s="9" customFormat="1" hidden="1" x14ac:dyDescent="0.25">
      <c r="A2419" s="491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7">
        <v>256383</v>
      </c>
      <c r="F2419" s="3" t="str">
        <f>IFERROR(VLOOKUP(E2419,BD!$L$2:$Q$66,2,0),0)</f>
        <v>COCA COLA VR 1.5LX8 - STICKER</v>
      </c>
      <c r="G2419" s="424">
        <v>270</v>
      </c>
      <c r="H2419" s="3">
        <f>+IFERROR(VLOOKUP(E2419,BD!$L$2:$Q$66,6,0),0)</f>
        <v>30</v>
      </c>
      <c r="I2419" s="96">
        <f>IFERROR(G2419*VLOOKUP($E2419,BD!$L$2:$Q$66,5,0),0)</f>
        <v>62.1</v>
      </c>
      <c r="J2419" s="5">
        <f t="shared" si="163"/>
        <v>2021</v>
      </c>
    </row>
    <row r="2420" spans="1:10" s="9" customFormat="1" hidden="1" x14ac:dyDescent="0.25">
      <c r="A2420" s="491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7">
        <v>256382</v>
      </c>
      <c r="F2420" s="3" t="str">
        <f>IFERROR(VLOOKUP(E2420,BD!$L$2:$Q$66,2,0),0)</f>
        <v>COCA COLA VR 296MLX24 - STICKER</v>
      </c>
      <c r="G2420" s="424">
        <v>80</v>
      </c>
      <c r="H2420" s="3">
        <f>+IFERROR(VLOOKUP(E2420,BD!$L$2:$Q$66,6,0),0)</f>
        <v>40</v>
      </c>
      <c r="I2420" s="96">
        <f>IFERROR(G2420*VLOOKUP($E2420,BD!$L$2:$Q$66,5,0),0)</f>
        <v>18.400000000000002</v>
      </c>
      <c r="J2420" s="5">
        <f t="shared" si="163"/>
        <v>2021</v>
      </c>
    </row>
    <row r="2421" spans="1:10" s="9" customFormat="1" hidden="1" x14ac:dyDescent="0.25">
      <c r="A2421" s="491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7">
        <v>256685</v>
      </c>
      <c r="F2421" s="3" t="str">
        <f>IFERROR(VLOOKUP(E2421,BD!$L$2:$Q$66,2,0),0)</f>
        <v>SL S/G TAPA PLANA 1LT</v>
      </c>
      <c r="G2421" s="424">
        <v>448</v>
      </c>
      <c r="H2421" s="3">
        <f>+IFERROR(VLOOKUP(E2421,BD!$L$2:$Q$66,6,0),0)</f>
        <v>112</v>
      </c>
      <c r="I2421" s="96">
        <f>IFERROR(G2421*VLOOKUP($E2421,BD!$L$2:$Q$66,5,0),0)</f>
        <v>179.20000000000002</v>
      </c>
      <c r="J2421" s="5">
        <f t="shared" si="163"/>
        <v>2021</v>
      </c>
    </row>
    <row r="2422" spans="1:10" s="9" customFormat="1" hidden="1" x14ac:dyDescent="0.25">
      <c r="A2422" s="491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7">
        <v>256381</v>
      </c>
      <c r="F2422" s="3" t="str">
        <f>IFERROR(VLOOKUP(E2422,BD!$L$2:$Q$66,2,0),0)</f>
        <v>INCA KOLA VR 1.5LX8 - STICKER</v>
      </c>
      <c r="G2422" s="424">
        <v>700</v>
      </c>
      <c r="H2422" s="3">
        <f>+IFERROR(VLOOKUP(E2422,BD!$L$2:$Q$66,6,0),0)</f>
        <v>30</v>
      </c>
      <c r="I2422" s="96">
        <f>IFERROR(G2422*VLOOKUP($E2422,BD!$L$2:$Q$66,5,0),0)</f>
        <v>280</v>
      </c>
      <c r="J2422" s="5">
        <f t="shared" si="163"/>
        <v>2021</v>
      </c>
    </row>
    <row r="2423" spans="1:10" s="9" customFormat="1" hidden="1" x14ac:dyDescent="0.25">
      <c r="A2423" s="491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7">
        <v>751315</v>
      </c>
      <c r="F2423" s="3" t="str">
        <f>IFERROR(VLOOKUP(E2423,BD!$L$2:$Q$66,2,0),0)</f>
        <v>MONSTER ENERGY 473MLX4</v>
      </c>
      <c r="G2423" s="424">
        <v>840</v>
      </c>
      <c r="H2423" s="3">
        <f>+IFERROR(VLOOKUP(E2423,BD!$L$2:$Q$66,6,0),0)</f>
        <v>420</v>
      </c>
      <c r="I2423" s="96">
        <f>IFERROR(G2423*VLOOKUP($E2423,BD!$L$2:$Q$66,5,0),0)</f>
        <v>352.8</v>
      </c>
      <c r="J2423" s="5">
        <f t="shared" si="163"/>
        <v>2021</v>
      </c>
    </row>
    <row r="2424" spans="1:10" s="9" customFormat="1" hidden="1" x14ac:dyDescent="0.25">
      <c r="A2424" s="491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7">
        <v>256666</v>
      </c>
      <c r="F2424" s="3" t="str">
        <f>IFERROR(VLOOKUP(E2424,BD!$L$2:$Q$66,2,0),0)</f>
        <v>COCA-COLA PET 2.25LX2 RF</v>
      </c>
      <c r="G2424" s="424">
        <v>972</v>
      </c>
      <c r="H2424" s="3">
        <f>+IFERROR(VLOOKUP(E2424,BD!$L$2:$Q$66,6,0),0)</f>
        <v>162</v>
      </c>
      <c r="I2424" s="96">
        <f>IFERROR(G2424*VLOOKUP($E2424,BD!$L$2:$Q$66,5,0),0)</f>
        <v>165.24</v>
      </c>
      <c r="J2424" s="5">
        <f t="shared" si="163"/>
        <v>2021</v>
      </c>
    </row>
    <row r="2425" spans="1:10" s="9" customFormat="1" hidden="1" x14ac:dyDescent="0.25">
      <c r="A2425" s="491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7">
        <v>256601</v>
      </c>
      <c r="F2425" s="3" t="str">
        <f>IFERROR(VLOOKUP(E2425,BD!$L$2:$Q$66,2,0),0)</f>
        <v>INCA KOLA PET 2.25LX2 RF</v>
      </c>
      <c r="G2425" s="424">
        <v>162</v>
      </c>
      <c r="H2425" s="3">
        <f>+IFERROR(VLOOKUP(E2425,BD!$L$2:$Q$66,6,0),0)</f>
        <v>162</v>
      </c>
      <c r="I2425" s="96">
        <f>IFERROR(G2425*VLOOKUP($E2425,BD!$L$2:$Q$66,5,0),0)</f>
        <v>27.540000000000003</v>
      </c>
      <c r="J2425" s="5">
        <f t="shared" si="163"/>
        <v>2021</v>
      </c>
    </row>
    <row r="2426" spans="1:10" s="9" customFormat="1" hidden="1" x14ac:dyDescent="0.25">
      <c r="A2426" s="491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7">
        <v>256708</v>
      </c>
      <c r="F2426" s="3" t="str">
        <f>IFERROR(VLOOKUP(E2426,BD!$L$2:$Q$66,2,0),0)</f>
        <v>POWERADE ION4 FRUTA PET473X6 MOD (STICK)</v>
      </c>
      <c r="G2426" s="424">
        <v>225</v>
      </c>
      <c r="H2426" s="3">
        <f>+IFERROR(VLOOKUP(E2426,BD!$L$2:$Q$66,6,0),0)</f>
        <v>225</v>
      </c>
      <c r="I2426" s="96">
        <f>IFERROR(G2426*VLOOKUP($E2426,BD!$L$2:$Q$66,5,0),0)</f>
        <v>90</v>
      </c>
      <c r="J2426" s="5">
        <f t="shared" si="163"/>
        <v>2021</v>
      </c>
    </row>
    <row r="2427" spans="1:10" s="9" customFormat="1" hidden="1" x14ac:dyDescent="0.25">
      <c r="A2427" s="491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7">
        <v>256709</v>
      </c>
      <c r="F2427" s="3" t="str">
        <f>IFERROR(VLOOKUP(E2427,BD!$L$2:$Q$66,2,0),0)</f>
        <v>POWERADE ION4 MORA AZ PET473X6 MOD(STCK)</v>
      </c>
      <c r="G2427" s="424">
        <v>900</v>
      </c>
      <c r="H2427" s="3">
        <f>+IFERROR(VLOOKUP(E2427,BD!$L$2:$Q$66,6,0),0)</f>
        <v>225</v>
      </c>
      <c r="I2427" s="96">
        <f>IFERROR(G2427*VLOOKUP($E2427,BD!$L$2:$Q$66,5,0),0)</f>
        <v>360</v>
      </c>
      <c r="J2427" s="5">
        <f t="shared" si="163"/>
        <v>2021</v>
      </c>
    </row>
    <row r="2428" spans="1:10" s="9" customFormat="1" hidden="1" x14ac:dyDescent="0.25">
      <c r="A2428" s="491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7">
        <v>254853</v>
      </c>
      <c r="F2428" s="3" t="str">
        <f>IFERROR(VLOOKUP(E2428,BD!$L$2:$Q$66,2,0),0)</f>
        <v>INCA KOLA SIN AZUCAR PET 1.5LX2</v>
      </c>
      <c r="G2428" s="424">
        <v>2592</v>
      </c>
      <c r="H2428" s="3">
        <f>+IFERROR(VLOOKUP(E2428,BD!$L$2:$Q$66,6,0),0)</f>
        <v>198</v>
      </c>
      <c r="I2428" s="96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hidden="1" x14ac:dyDescent="0.25">
      <c r="A2429" s="491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7">
        <v>256380</v>
      </c>
      <c r="F2429" s="3" t="str">
        <f>IFERROR(VLOOKUP(E2429,BD!$L$2:$Q$66,2,0),0)</f>
        <v>INCA KOLA VR 296MLX24 - STICKER</v>
      </c>
      <c r="G2429" s="424">
        <v>120</v>
      </c>
      <c r="H2429" s="3">
        <f>+IFERROR(VLOOKUP(E2429,BD!$L$2:$Q$66,6,0),0)</f>
        <v>40</v>
      </c>
      <c r="I2429" s="96">
        <f>IFERROR(G2429*VLOOKUP($E2429,BD!$L$2:$Q$66,5,0),0)</f>
        <v>27.6</v>
      </c>
      <c r="J2429" s="5">
        <f t="shared" si="167"/>
        <v>2021</v>
      </c>
    </row>
    <row r="2430" spans="1:10" s="9" customFormat="1" ht="15.75" hidden="1" thickBot="1" x14ac:dyDescent="0.3">
      <c r="A2430" s="492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9">
        <v>256652</v>
      </c>
      <c r="F2430" s="8" t="str">
        <f>IFERROR(VLOOKUP(E2430,BD!$L$2:$Q$66,2,0),0)</f>
        <v>TRIPACK FT NAR+FT KI+SP PET 3L</v>
      </c>
      <c r="G2430" s="501">
        <v>720</v>
      </c>
      <c r="H2430" s="8">
        <f>+IFERROR(VLOOKUP(E2430,BD!$L$2:$Q$66,6,0),0)</f>
        <v>90</v>
      </c>
      <c r="I2430" s="98">
        <f>IFERROR(G2430*VLOOKUP($E2430,BD!$L$2:$Q$66,5,0),0)</f>
        <v>122.4</v>
      </c>
      <c r="J2430" s="110">
        <f t="shared" si="167"/>
        <v>2021</v>
      </c>
    </row>
    <row r="2431" spans="1:10" s="9" customFormat="1" hidden="1" x14ac:dyDescent="0.25">
      <c r="A2431" s="493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63">
        <v>254853</v>
      </c>
      <c r="F2431" s="6" t="str">
        <f>IFERROR(VLOOKUP(E2431,BD!$L$2:$Q$66,2,0),0)</f>
        <v>INCA KOLA SIN AZUCAR PET 1.5LX2</v>
      </c>
      <c r="G2431" s="513">
        <v>3888</v>
      </c>
      <c r="H2431" s="6">
        <f>+IFERROR(VLOOKUP(E2431,BD!$L$2:$Q$66,6,0),0)</f>
        <v>198</v>
      </c>
      <c r="I2431" s="97">
        <f>IFERROR(G2431*VLOOKUP($E2431,BD!$L$2:$Q$66,5,0),0)</f>
        <v>660.96</v>
      </c>
      <c r="J2431" s="109">
        <f t="shared" si="167"/>
        <v>2021</v>
      </c>
    </row>
    <row r="2432" spans="1:10" s="9" customFormat="1" hidden="1" x14ac:dyDescent="0.25">
      <c r="A2432" s="491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7">
        <v>256678</v>
      </c>
      <c r="F2432" s="3" t="str">
        <f>IFERROR(VLOOKUP(E2432,BD!$L$2:$Q$66,2,0),0)</f>
        <v>TRIPACK (CC+IK)PFM+FT PET 3LX3 - RFNN</v>
      </c>
      <c r="G2432" s="424">
        <v>2340</v>
      </c>
      <c r="H2432" s="3">
        <f>+IFERROR(VLOOKUP(E2432,BD!$L$2:$Q$66,6,0),0)</f>
        <v>90</v>
      </c>
      <c r="I2432" s="96">
        <f>IFERROR(G2432*VLOOKUP($E2432,BD!$L$2:$Q$66,5,0),0)</f>
        <v>397.8</v>
      </c>
      <c r="J2432" s="5">
        <f t="shared" si="167"/>
        <v>2021</v>
      </c>
    </row>
    <row r="2433" spans="1:10" s="9" customFormat="1" hidden="1" x14ac:dyDescent="0.25">
      <c r="A2433" s="491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7">
        <v>256617</v>
      </c>
      <c r="F2433" s="3" t="str">
        <f>IFERROR(VLOOKUP(E2433,BD!$L$2:$Q$66,2,0),0)</f>
        <v>TWO PACK SCHWEPPES GINGER ALE PET 1.5LX2</v>
      </c>
      <c r="G2433" s="424">
        <v>792</v>
      </c>
      <c r="H2433" s="3">
        <f>+IFERROR(VLOOKUP(E2433,BD!$L$2:$Q$66,6,0),0)</f>
        <v>198</v>
      </c>
      <c r="I2433" s="96">
        <f>IFERROR(G2433*VLOOKUP($E2433,BD!$L$2:$Q$66,5,0),0)</f>
        <v>134.64000000000001</v>
      </c>
      <c r="J2433" s="5">
        <f t="shared" si="167"/>
        <v>2021</v>
      </c>
    </row>
    <row r="2434" spans="1:10" s="9" customFormat="1" hidden="1" x14ac:dyDescent="0.25">
      <c r="A2434" s="491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7">
        <v>251406</v>
      </c>
      <c r="F2434" s="3" t="str">
        <f>IFERROR(VLOOKUP(E2434,BD!$L$2:$Q$66,2,0),0)</f>
        <v>COCA-COLA SIN AZUCAR PET 1.5LX2</v>
      </c>
      <c r="G2434" s="424">
        <v>4104</v>
      </c>
      <c r="H2434" s="3">
        <f>+IFERROR(VLOOKUP(E2434,BD!$L$2:$Q$66,6,0),0)</f>
        <v>198</v>
      </c>
      <c r="I2434" s="96">
        <f>IFERROR(G2434*VLOOKUP($E2434,BD!$L$2:$Q$66,5,0),0)</f>
        <v>697.68000000000006</v>
      </c>
      <c r="J2434" s="5">
        <f t="shared" si="167"/>
        <v>2021</v>
      </c>
    </row>
    <row r="2435" spans="1:10" s="9" customFormat="1" hidden="1" x14ac:dyDescent="0.25">
      <c r="A2435" s="491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7">
        <v>256675</v>
      </c>
      <c r="F2435" s="3" t="str">
        <f>IFERROR(VLOOKUP(E2435,BD!$L$2:$Q$66,2,0),0)</f>
        <v>INCA KOLA PET 1.5LX2 RF</v>
      </c>
      <c r="G2435" s="424">
        <v>1728</v>
      </c>
      <c r="H2435" s="3">
        <f>+IFERROR(VLOOKUP(E2435,BD!$L$2:$Q$66,6,0),0)</f>
        <v>198</v>
      </c>
      <c r="I2435" s="96">
        <f>IFERROR(G2435*VLOOKUP($E2435,BD!$L$2:$Q$66,5,0),0)</f>
        <v>293.76000000000005</v>
      </c>
      <c r="J2435" s="5">
        <f t="shared" si="167"/>
        <v>2021</v>
      </c>
    </row>
    <row r="2436" spans="1:10" s="9" customFormat="1" hidden="1" x14ac:dyDescent="0.25">
      <c r="A2436" s="491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7">
        <v>256488</v>
      </c>
      <c r="F2436" s="3" t="str">
        <f>IFERROR(VLOOKUP(E2436,BD!$L$2:$Q$66,2,0),0)</f>
        <v>INCA KOLA PET 3LX2 - RF</v>
      </c>
      <c r="G2436" s="424">
        <v>2040</v>
      </c>
      <c r="H2436" s="3">
        <f>+IFERROR(VLOOKUP(E2436,BD!$L$2:$Q$66,6,0),0)</f>
        <v>120</v>
      </c>
      <c r="I2436" s="96">
        <f>IFERROR(G2436*VLOOKUP($E2436,BD!$L$2:$Q$66,5,0),0)</f>
        <v>346.8</v>
      </c>
      <c r="J2436" s="5">
        <f t="shared" si="167"/>
        <v>2021</v>
      </c>
    </row>
    <row r="2437" spans="1:10" s="9" customFormat="1" hidden="1" x14ac:dyDescent="0.25">
      <c r="A2437" s="491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7">
        <v>251429</v>
      </c>
      <c r="F2437" s="3" t="str">
        <f>IFERROR(VLOOKUP(E2437,BD!$L$2:$Q$66,2,0),0)</f>
        <v>SAN LUIS SIN GAS PET2500X6 STICKER</v>
      </c>
      <c r="G2437" s="424">
        <v>912</v>
      </c>
      <c r="H2437" s="3">
        <f>+IFERROR(VLOOKUP(E2437,BD!$L$2:$Q$66,6,0),0)</f>
        <v>48</v>
      </c>
      <c r="I2437" s="96">
        <f>IFERROR(G2437*VLOOKUP($E2437,BD!$L$2:$Q$66,5,0),0)</f>
        <v>364.8</v>
      </c>
      <c r="J2437" s="5">
        <f t="shared" si="167"/>
        <v>2021</v>
      </c>
    </row>
    <row r="2438" spans="1:10" s="9" customFormat="1" hidden="1" x14ac:dyDescent="0.25">
      <c r="A2438" s="491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7">
        <v>256383</v>
      </c>
      <c r="F2438" s="3" t="str">
        <f>IFERROR(VLOOKUP(E2438,BD!$L$2:$Q$66,2,0),0)</f>
        <v>COCA COLA VR 1.5LX8 - STICKER</v>
      </c>
      <c r="G2438" s="424">
        <v>180</v>
      </c>
      <c r="H2438" s="3">
        <f>+IFERROR(VLOOKUP(E2438,BD!$L$2:$Q$66,6,0),0)</f>
        <v>30</v>
      </c>
      <c r="I2438" s="96">
        <f>IFERROR(G2438*VLOOKUP($E2438,BD!$L$2:$Q$66,5,0),0)</f>
        <v>41.4</v>
      </c>
      <c r="J2438" s="5">
        <f t="shared" si="167"/>
        <v>2021</v>
      </c>
    </row>
    <row r="2439" spans="1:10" s="9" customFormat="1" hidden="1" x14ac:dyDescent="0.25">
      <c r="A2439" s="491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7">
        <v>256379</v>
      </c>
      <c r="F2439" s="3" t="str">
        <f>IFERROR(VLOOKUP(E2439,BD!$L$2:$Q$66,2,0),0)</f>
        <v>INCA KOLA VR 625MLX12 - STICKER</v>
      </c>
      <c r="G2439" s="424">
        <v>400</v>
      </c>
      <c r="H2439" s="3">
        <f>+IFERROR(VLOOKUP(E2439,BD!$L$2:$Q$66,6,0),0)</f>
        <v>50</v>
      </c>
      <c r="I2439" s="96">
        <f>IFERROR(G2439*VLOOKUP($E2439,BD!$L$2:$Q$66,5,0),0)</f>
        <v>160</v>
      </c>
      <c r="J2439" s="5">
        <f t="shared" si="167"/>
        <v>2021</v>
      </c>
    </row>
    <row r="2440" spans="1:10" s="9" customFormat="1" hidden="1" x14ac:dyDescent="0.25">
      <c r="A2440" s="491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7">
        <v>751315</v>
      </c>
      <c r="F2440" s="3" t="str">
        <f>IFERROR(VLOOKUP(E2440,BD!$L$2:$Q$66,2,0),0)</f>
        <v>MONSTER ENERGY 473MLX4</v>
      </c>
      <c r="G2440" s="424">
        <v>1680</v>
      </c>
      <c r="H2440" s="3">
        <f>+IFERROR(VLOOKUP(E2440,BD!$L$2:$Q$66,6,0),0)</f>
        <v>420</v>
      </c>
      <c r="I2440" s="96">
        <f>IFERROR(G2440*VLOOKUP($E2440,BD!$L$2:$Q$66,5,0),0)</f>
        <v>705.6</v>
      </c>
      <c r="J2440" s="5">
        <f t="shared" si="167"/>
        <v>2021</v>
      </c>
    </row>
    <row r="2441" spans="1:10" s="9" customFormat="1" hidden="1" x14ac:dyDescent="0.25">
      <c r="A2441" s="491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7">
        <v>256695</v>
      </c>
      <c r="F2441" s="3" t="str">
        <f>IFERROR(VLOOKUP(E2441,BD!$L$2:$Q$66,2,0),0)</f>
        <v>POWERADE 3MORA+3FRUT PET 473MLX6</v>
      </c>
      <c r="G2441" s="424">
        <v>2250</v>
      </c>
      <c r="H2441" s="3">
        <f>+IFERROR(VLOOKUP(E2441,BD!$L$2:$Q$66,6,0),0)</f>
        <v>225</v>
      </c>
      <c r="I2441" s="96">
        <f>IFERROR(G2441*VLOOKUP($E2441,BD!$L$2:$Q$66,5,0),0)</f>
        <v>945</v>
      </c>
      <c r="J2441" s="5">
        <f t="shared" si="167"/>
        <v>2021</v>
      </c>
    </row>
    <row r="2442" spans="1:10" s="9" customFormat="1" hidden="1" x14ac:dyDescent="0.25">
      <c r="A2442" s="491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7">
        <v>256685</v>
      </c>
      <c r="F2442" s="3" t="str">
        <f>IFERROR(VLOOKUP(E2442,BD!$L$2:$Q$66,2,0),0)</f>
        <v>SL S/G TAPA PLANA 1LT</v>
      </c>
      <c r="G2442" s="424">
        <v>896</v>
      </c>
      <c r="H2442" s="3">
        <f>+IFERROR(VLOOKUP(E2442,BD!$L$2:$Q$66,6,0),0)</f>
        <v>112</v>
      </c>
      <c r="I2442" s="96">
        <f>IFERROR(G2442*VLOOKUP($E2442,BD!$L$2:$Q$66,5,0),0)</f>
        <v>358.40000000000003</v>
      </c>
      <c r="J2442" s="5">
        <f t="shared" si="167"/>
        <v>2021</v>
      </c>
    </row>
    <row r="2443" spans="1:10" s="9" customFormat="1" hidden="1" x14ac:dyDescent="0.25">
      <c r="A2443" s="491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7">
        <v>256380</v>
      </c>
      <c r="F2443" s="3" t="str">
        <f>IFERROR(VLOOKUP(E2443,BD!$L$2:$Q$66,2,0),0)</f>
        <v>INCA KOLA VR 296MLX24 - STICKER</v>
      </c>
      <c r="G2443" s="424">
        <v>160</v>
      </c>
      <c r="H2443" s="3">
        <f>+IFERROR(VLOOKUP(E2443,BD!$L$2:$Q$66,6,0),0)</f>
        <v>40</v>
      </c>
      <c r="I2443" s="96">
        <f>IFERROR(G2443*VLOOKUP($E2443,BD!$L$2:$Q$66,5,0),0)</f>
        <v>36.800000000000004</v>
      </c>
      <c r="J2443" s="5">
        <f t="shared" si="167"/>
        <v>2021</v>
      </c>
    </row>
    <row r="2444" spans="1:10" s="9" customFormat="1" hidden="1" x14ac:dyDescent="0.25">
      <c r="A2444" s="491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7">
        <v>256679</v>
      </c>
      <c r="F2444" s="3" t="str">
        <f>IFERROR(VLOOKUP(E2444,BD!$L$2:$Q$66,2,0),0)</f>
        <v>TRIPACK CC+IK+IK PFM 3LX3 - RFNN</v>
      </c>
      <c r="G2444" s="424">
        <v>360</v>
      </c>
      <c r="H2444" s="3">
        <f>+IFERROR(VLOOKUP(E2444,BD!$L$2:$Q$66,6,0),0)</f>
        <v>90</v>
      </c>
      <c r="I2444" s="96">
        <f>IFERROR(G2444*VLOOKUP($E2444,BD!$L$2:$Q$66,5,0),0)</f>
        <v>61.2</v>
      </c>
      <c r="J2444" s="5">
        <f t="shared" si="167"/>
        <v>2021</v>
      </c>
    </row>
    <row r="2445" spans="1:10" s="9" customFormat="1" hidden="1" x14ac:dyDescent="0.25">
      <c r="A2445" s="491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7">
        <v>256382</v>
      </c>
      <c r="F2445" s="3" t="str">
        <f>IFERROR(VLOOKUP(E2445,BD!$L$2:$Q$66,2,0),0)</f>
        <v>COCA COLA VR 296MLX24 - STICKER</v>
      </c>
      <c r="G2445" s="424">
        <v>200</v>
      </c>
      <c r="H2445" s="3">
        <f>+IFERROR(VLOOKUP(E2445,BD!$L$2:$Q$66,6,0),0)</f>
        <v>40</v>
      </c>
      <c r="I2445" s="96">
        <f>IFERROR(G2445*VLOOKUP($E2445,BD!$L$2:$Q$66,5,0),0)</f>
        <v>46</v>
      </c>
      <c r="J2445" s="5">
        <f t="shared" si="167"/>
        <v>2021</v>
      </c>
    </row>
    <row r="2446" spans="1:10" s="9" customFormat="1" hidden="1" x14ac:dyDescent="0.25">
      <c r="A2446" s="491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7">
        <v>256381</v>
      </c>
      <c r="F2446" s="3" t="str">
        <f>IFERROR(VLOOKUP(E2446,BD!$L$2:$Q$66,2,0),0)</f>
        <v>INCA KOLA VR 1.5LX8 - STICKER</v>
      </c>
      <c r="G2446" s="424">
        <v>350</v>
      </c>
      <c r="H2446" s="3">
        <f>+IFERROR(VLOOKUP(E2446,BD!$L$2:$Q$66,6,0),0)</f>
        <v>30</v>
      </c>
      <c r="I2446" s="96">
        <f>IFERROR(G2446*VLOOKUP($E2446,BD!$L$2:$Q$66,5,0),0)</f>
        <v>140</v>
      </c>
      <c r="J2446" s="5">
        <f t="shared" si="167"/>
        <v>2021</v>
      </c>
    </row>
    <row r="2447" spans="1:10" s="9" customFormat="1" hidden="1" x14ac:dyDescent="0.25">
      <c r="A2447" s="491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7">
        <v>254762</v>
      </c>
      <c r="F2447" s="3" t="str">
        <f>IFERROR(VLOOKUP(E2447,BD!$L$2:$Q$66,2,0),0)</f>
        <v xml:space="preserve">SAN LUIS SPORT S/G 10 Lt x6 </v>
      </c>
      <c r="G2447" s="424">
        <v>112</v>
      </c>
      <c r="H2447" s="3">
        <f>+IFERROR(VLOOKUP(E2447,BD!$L$2:$Q$66,6,0),0)</f>
        <v>240</v>
      </c>
      <c r="I2447" s="96">
        <f>IFERROR(G2447*VLOOKUP($E2447,BD!$L$2:$Q$66,5,0),0)</f>
        <v>44.800000000000004</v>
      </c>
      <c r="J2447" s="5">
        <f t="shared" si="167"/>
        <v>2021</v>
      </c>
    </row>
    <row r="2448" spans="1:10" s="9" customFormat="1" hidden="1" x14ac:dyDescent="0.25">
      <c r="A2448" s="491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7">
        <v>251633</v>
      </c>
      <c r="F2448" s="3" t="str">
        <f>IFERROR(VLOOKUP(E2448,BD!$L$2:$Q$66,2,0),0)</f>
        <v>SAN LUIS CON GAS PET 625MLX6</v>
      </c>
      <c r="G2448" s="424">
        <v>180</v>
      </c>
      <c r="H2448" s="3">
        <f>+IFERROR(VLOOKUP(E2448,BD!$L$2:$Q$66,6,0),0)</f>
        <v>180</v>
      </c>
      <c r="I2448" s="96">
        <f>IFERROR(G2448*VLOOKUP($E2448,BD!$L$2:$Q$66,5,0),0)</f>
        <v>75.599999999999994</v>
      </c>
      <c r="J2448" s="5">
        <f t="shared" si="167"/>
        <v>2021</v>
      </c>
    </row>
    <row r="2449" spans="1:10" s="9" customFormat="1" hidden="1" x14ac:dyDescent="0.25">
      <c r="A2449" s="491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7">
        <v>256666</v>
      </c>
      <c r="F2449" s="3" t="str">
        <f>IFERROR(VLOOKUP(E2449,BD!$L$2:$Q$66,2,0),0)</f>
        <v>COCA-COLA PET 2.25LX2 RF</v>
      </c>
      <c r="G2449" s="424">
        <v>1458</v>
      </c>
      <c r="H2449" s="3">
        <f>+IFERROR(VLOOKUP(E2449,BD!$L$2:$Q$66,6,0),0)</f>
        <v>162</v>
      </c>
      <c r="I2449" s="96">
        <f>IFERROR(G2449*VLOOKUP($E2449,BD!$L$2:$Q$66,5,0),0)</f>
        <v>247.86</v>
      </c>
      <c r="J2449" s="5">
        <f t="shared" si="167"/>
        <v>2021</v>
      </c>
    </row>
    <row r="2450" spans="1:10" s="9" customFormat="1" hidden="1" x14ac:dyDescent="0.25">
      <c r="A2450" s="491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7">
        <v>256601</v>
      </c>
      <c r="F2450" s="3" t="str">
        <f>IFERROR(VLOOKUP(E2450,BD!$L$2:$Q$66,2,0),0)</f>
        <v>INCA KOLA PET 2.25LX2 RF</v>
      </c>
      <c r="G2450" s="424">
        <v>162</v>
      </c>
      <c r="H2450" s="3">
        <f>+IFERROR(VLOOKUP(E2450,BD!$L$2:$Q$66,6,0),0)</f>
        <v>162</v>
      </c>
      <c r="I2450" s="96">
        <f>IFERROR(G2450*VLOOKUP($E2450,BD!$L$2:$Q$66,5,0),0)</f>
        <v>27.540000000000003</v>
      </c>
      <c r="J2450" s="5">
        <f t="shared" si="167"/>
        <v>2021</v>
      </c>
    </row>
    <row r="2451" spans="1:10" s="9" customFormat="1" hidden="1" x14ac:dyDescent="0.25">
      <c r="A2451" s="491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7">
        <v>256676</v>
      </c>
      <c r="F2451" s="3" t="str">
        <f>IFERROR(VLOOKUP(E2451,BD!$L$2:$Q$66,2,0),0)</f>
        <v>TWO PACK CC PFM 3LX2 - RFCC</v>
      </c>
      <c r="G2451" s="424">
        <v>240</v>
      </c>
      <c r="H2451" s="3">
        <f>+IFERROR(VLOOKUP(E2451,BD!$L$2:$Q$66,6,0),0)</f>
        <v>120</v>
      </c>
      <c r="I2451" s="96">
        <f>IFERROR(G2451*VLOOKUP($E2451,BD!$L$2:$Q$66,5,0),0)</f>
        <v>40.800000000000004</v>
      </c>
      <c r="J2451" s="5">
        <f t="shared" si="167"/>
        <v>2021</v>
      </c>
    </row>
    <row r="2452" spans="1:10" s="9" customFormat="1" hidden="1" x14ac:dyDescent="0.25">
      <c r="A2452" s="491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7">
        <v>256674</v>
      </c>
      <c r="F2452" s="3" t="str">
        <f>IFERROR(VLOOKUP(E2452,BD!$L$2:$Q$66,2,0),0)</f>
        <v>COCA-COLA PET 1.5LX2 RF</v>
      </c>
      <c r="G2452" s="424">
        <v>1296</v>
      </c>
      <c r="H2452" s="3">
        <f>+IFERROR(VLOOKUP(E2452,BD!$L$2:$Q$66,6,0),0)</f>
        <v>198</v>
      </c>
      <c r="I2452" s="96">
        <f>IFERROR(G2452*VLOOKUP($E2452,BD!$L$2:$Q$66,5,0),0)</f>
        <v>220.32000000000002</v>
      </c>
      <c r="J2452" s="5">
        <f t="shared" si="167"/>
        <v>2021</v>
      </c>
    </row>
    <row r="2453" spans="1:10" s="9" customFormat="1" hidden="1" x14ac:dyDescent="0.25">
      <c r="A2453" s="491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7">
        <v>256652</v>
      </c>
      <c r="F2453" s="3" t="str">
        <f>IFERROR(VLOOKUP(E2453,BD!$L$2:$Q$66,2,0),0)</f>
        <v>TRIPACK FT NAR+FT KI+SP PET 3L</v>
      </c>
      <c r="G2453" s="424">
        <v>360</v>
      </c>
      <c r="H2453" s="3">
        <f>+IFERROR(VLOOKUP(E2453,BD!$L$2:$Q$66,6,0),0)</f>
        <v>90</v>
      </c>
      <c r="I2453" s="96">
        <f>IFERROR(G2453*VLOOKUP($E2453,BD!$L$2:$Q$66,5,0),0)</f>
        <v>61.2</v>
      </c>
      <c r="J2453" s="5">
        <f t="shared" si="167"/>
        <v>2021</v>
      </c>
    </row>
    <row r="2454" spans="1:10" s="9" customFormat="1" hidden="1" x14ac:dyDescent="0.25">
      <c r="A2454" s="491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7">
        <v>256677</v>
      </c>
      <c r="F2454" s="3" t="str">
        <f>IFERROR(VLOOKUP(E2454,BD!$L$2:$Q$66,2,0),0)</f>
        <v>TWO PACK CC + IK PFM 3LX2 - RFNN</v>
      </c>
      <c r="G2454" s="424">
        <v>4560</v>
      </c>
      <c r="H2454" s="3">
        <f>+IFERROR(VLOOKUP(E2454,BD!$L$2:$Q$66,6,0),0)</f>
        <v>120</v>
      </c>
      <c r="I2454" s="96">
        <f>IFERROR(G2454*VLOOKUP($E2454,BD!$L$2:$Q$66,5,0),0)</f>
        <v>775.2</v>
      </c>
      <c r="J2454" s="5">
        <f t="shared" si="167"/>
        <v>2021</v>
      </c>
    </row>
    <row r="2455" spans="1:10" s="9" customFormat="1" hidden="1" x14ac:dyDescent="0.25">
      <c r="A2455" s="491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7">
        <v>256682</v>
      </c>
      <c r="F2455" s="3" t="str">
        <f>IFERROR(VLOOKUP(E2455,BD!$L$2:$Q$66,2,0),0)</f>
        <v>TRIPACK (FT NAR+SP)PET+IK RF PFM 3L</v>
      </c>
      <c r="G2455" s="424">
        <v>180</v>
      </c>
      <c r="H2455" s="3">
        <f>+IFERROR(VLOOKUP(E2455,BD!$L$2:$Q$66,6,0),0)</f>
        <v>90</v>
      </c>
      <c r="I2455" s="96">
        <f>IFERROR(G2455*VLOOKUP($E2455,BD!$L$2:$Q$66,5,0),0)</f>
        <v>30.6</v>
      </c>
      <c r="J2455" s="5">
        <f t="shared" si="167"/>
        <v>2021</v>
      </c>
    </row>
    <row r="2456" spans="1:10" s="9" customFormat="1" hidden="1" x14ac:dyDescent="0.25">
      <c r="A2456" s="491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7">
        <v>256708</v>
      </c>
      <c r="F2456" s="3" t="str">
        <f>IFERROR(VLOOKUP(E2456,BD!$L$2:$Q$66,2,0),0)</f>
        <v>POWERADE ION4 FRUTA PET473X6 MOD (STICK)</v>
      </c>
      <c r="G2456" s="424">
        <v>900</v>
      </c>
      <c r="H2456" s="3">
        <f>+IFERROR(VLOOKUP(E2456,BD!$L$2:$Q$66,6,0),0)</f>
        <v>225</v>
      </c>
      <c r="I2456" s="96">
        <f>IFERROR(G2456*VLOOKUP($E2456,BD!$L$2:$Q$66,5,0),0)</f>
        <v>360</v>
      </c>
      <c r="J2456" s="5">
        <f t="shared" si="167"/>
        <v>2021</v>
      </c>
    </row>
    <row r="2457" spans="1:10" s="9" customFormat="1" ht="15.75" hidden="1" thickBot="1" x14ac:dyDescent="0.3">
      <c r="A2457" s="492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9">
        <v>256709</v>
      </c>
      <c r="F2457" s="8" t="str">
        <f>IFERROR(VLOOKUP(E2457,BD!$L$2:$Q$66,2,0),0)</f>
        <v>POWERADE ION4 MORA AZ PET473X6 MOD(STCK)</v>
      </c>
      <c r="G2457" s="501">
        <v>900</v>
      </c>
      <c r="H2457" s="8">
        <f>+IFERROR(VLOOKUP(E2457,BD!$L$2:$Q$66,6,0),0)</f>
        <v>225</v>
      </c>
      <c r="I2457" s="98">
        <f>IFERROR(G2457*VLOOKUP($E2457,BD!$L$2:$Q$66,5,0),0)</f>
        <v>360</v>
      </c>
      <c r="J2457" s="110">
        <f t="shared" si="167"/>
        <v>2021</v>
      </c>
    </row>
    <row r="2458" spans="1:10" s="9" customFormat="1" hidden="1" x14ac:dyDescent="0.25">
      <c r="A2458" s="493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63">
        <v>251429</v>
      </c>
      <c r="F2458" s="6" t="str">
        <f>IFERROR(VLOOKUP(E2458,BD!$L$2:$Q$66,2,0),0)</f>
        <v>SAN LUIS SIN GAS PET2500X6 STICKER</v>
      </c>
      <c r="G2458" s="513">
        <v>336</v>
      </c>
      <c r="H2458" s="6">
        <f>+IFERROR(VLOOKUP(E2458,BD!$L$2:$Q$66,6,0),0)</f>
        <v>48</v>
      </c>
      <c r="I2458" s="97">
        <f>IFERROR(G2458*VLOOKUP($E2458,BD!$L$2:$Q$66,5,0),0)</f>
        <v>134.4</v>
      </c>
      <c r="J2458" s="109">
        <f t="shared" si="167"/>
        <v>2021</v>
      </c>
    </row>
    <row r="2459" spans="1:10" s="9" customFormat="1" hidden="1" x14ac:dyDescent="0.25">
      <c r="A2459" s="491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7">
        <v>256695</v>
      </c>
      <c r="F2459" s="3" t="str">
        <f>IFERROR(VLOOKUP(E2459,BD!$L$2:$Q$66,2,0),0)</f>
        <v>POWERADE 3MORA+3FRUT PET 473MLX6</v>
      </c>
      <c r="G2459" s="424">
        <v>450</v>
      </c>
      <c r="H2459" s="3">
        <f>+IFERROR(VLOOKUP(E2459,BD!$L$2:$Q$66,6,0),0)</f>
        <v>225</v>
      </c>
      <c r="I2459" s="96">
        <f>IFERROR(G2459*VLOOKUP($E2459,BD!$L$2:$Q$66,5,0),0)</f>
        <v>189</v>
      </c>
      <c r="J2459" s="5">
        <f t="shared" si="167"/>
        <v>2021</v>
      </c>
    </row>
    <row r="2460" spans="1:10" s="9" customFormat="1" hidden="1" x14ac:dyDescent="0.25">
      <c r="A2460" s="491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7">
        <v>256679</v>
      </c>
      <c r="F2460" s="3" t="str">
        <f>IFERROR(VLOOKUP(E2460,BD!$L$2:$Q$66,2,0),0)</f>
        <v>TRIPACK CC+IK+IK PFM 3LX3 - RFNN</v>
      </c>
      <c r="G2460" s="424">
        <v>900</v>
      </c>
      <c r="H2460" s="3">
        <f>+IFERROR(VLOOKUP(E2460,BD!$L$2:$Q$66,6,0),0)</f>
        <v>90</v>
      </c>
      <c r="I2460" s="96">
        <f>IFERROR(G2460*VLOOKUP($E2460,BD!$L$2:$Q$66,5,0),0)</f>
        <v>153</v>
      </c>
      <c r="J2460" s="5">
        <f t="shared" si="167"/>
        <v>2021</v>
      </c>
    </row>
    <row r="2461" spans="1:10" s="9" customFormat="1" hidden="1" x14ac:dyDescent="0.25">
      <c r="A2461" s="491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7">
        <v>256678</v>
      </c>
      <c r="F2461" s="3" t="str">
        <f>IFERROR(VLOOKUP(E2461,BD!$L$2:$Q$66,2,0),0)</f>
        <v>TRIPACK (CC+IK)PFM+FT PET 3LX3 - RFNN</v>
      </c>
      <c r="G2461" s="424">
        <v>720</v>
      </c>
      <c r="H2461" s="3">
        <f>+IFERROR(VLOOKUP(E2461,BD!$L$2:$Q$66,6,0),0)</f>
        <v>90</v>
      </c>
      <c r="I2461" s="96">
        <f>IFERROR(G2461*VLOOKUP($E2461,BD!$L$2:$Q$66,5,0),0)</f>
        <v>122.4</v>
      </c>
      <c r="J2461" s="5">
        <f t="shared" si="167"/>
        <v>2021</v>
      </c>
    </row>
    <row r="2462" spans="1:10" s="9" customFormat="1" hidden="1" x14ac:dyDescent="0.25">
      <c r="A2462" s="491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7">
        <v>256676</v>
      </c>
      <c r="F2462" s="3" t="str">
        <f>IFERROR(VLOOKUP(E2462,BD!$L$2:$Q$66,2,0),0)</f>
        <v>TWO PACK CC PFM 3LX2 - RFCC</v>
      </c>
      <c r="G2462" s="424">
        <v>600</v>
      </c>
      <c r="H2462" s="3">
        <f>+IFERROR(VLOOKUP(E2462,BD!$L$2:$Q$66,6,0),0)</f>
        <v>120</v>
      </c>
      <c r="I2462" s="96">
        <f>IFERROR(G2462*VLOOKUP($E2462,BD!$L$2:$Q$66,5,0),0)</f>
        <v>102.00000000000001</v>
      </c>
      <c r="J2462" s="5">
        <f t="shared" si="167"/>
        <v>2021</v>
      </c>
    </row>
    <row r="2463" spans="1:10" s="9" customFormat="1" hidden="1" x14ac:dyDescent="0.25">
      <c r="A2463" s="491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7">
        <v>256675</v>
      </c>
      <c r="F2463" s="3" t="str">
        <f>IFERROR(VLOOKUP(E2463,BD!$L$2:$Q$66,2,0),0)</f>
        <v>INCA KOLA PET 1.5LX2 RF</v>
      </c>
      <c r="G2463" s="424">
        <v>864</v>
      </c>
      <c r="H2463" s="3">
        <f>+IFERROR(VLOOKUP(E2463,BD!$L$2:$Q$66,6,0),0)</f>
        <v>198</v>
      </c>
      <c r="I2463" s="96">
        <f>IFERROR(G2463*VLOOKUP($E2463,BD!$L$2:$Q$66,5,0),0)</f>
        <v>146.88000000000002</v>
      </c>
      <c r="J2463" s="5">
        <f t="shared" si="167"/>
        <v>2021</v>
      </c>
    </row>
    <row r="2464" spans="1:10" s="9" customFormat="1" hidden="1" x14ac:dyDescent="0.25">
      <c r="A2464" s="491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7">
        <v>256677</v>
      </c>
      <c r="F2464" s="3" t="str">
        <f>IFERROR(VLOOKUP(E2464,BD!$L$2:$Q$66,2,0),0)</f>
        <v>TWO PACK CC + IK PFM 3LX2 - RFNN</v>
      </c>
      <c r="G2464" s="424">
        <v>1200</v>
      </c>
      <c r="H2464" s="3">
        <f>+IFERROR(VLOOKUP(E2464,BD!$L$2:$Q$66,6,0),0)</f>
        <v>120</v>
      </c>
      <c r="I2464" s="96">
        <f>IFERROR(G2464*VLOOKUP($E2464,BD!$L$2:$Q$66,5,0),0)</f>
        <v>204.00000000000003</v>
      </c>
      <c r="J2464" s="5">
        <f t="shared" si="167"/>
        <v>2021</v>
      </c>
    </row>
    <row r="2465" spans="1:10" s="9" customFormat="1" hidden="1" x14ac:dyDescent="0.25">
      <c r="A2465" s="491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7">
        <v>256617</v>
      </c>
      <c r="F2465" s="3" t="str">
        <f>IFERROR(VLOOKUP(E2465,BD!$L$2:$Q$66,2,0),0)</f>
        <v>TWO PACK SCHWEPPES GINGER ALE PET 1.5LX2</v>
      </c>
      <c r="G2465" s="424">
        <v>792</v>
      </c>
      <c r="H2465" s="3">
        <f>+IFERROR(VLOOKUP(E2465,BD!$L$2:$Q$66,6,0),0)</f>
        <v>198</v>
      </c>
      <c r="I2465" s="96">
        <f>IFERROR(G2465*VLOOKUP($E2465,BD!$L$2:$Q$66,5,0),0)</f>
        <v>134.64000000000001</v>
      </c>
      <c r="J2465" s="5">
        <f t="shared" si="167"/>
        <v>2021</v>
      </c>
    </row>
    <row r="2466" spans="1:10" s="9" customFormat="1" hidden="1" x14ac:dyDescent="0.25">
      <c r="A2466" s="491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7">
        <v>256488</v>
      </c>
      <c r="F2466" s="3" t="str">
        <f>IFERROR(VLOOKUP(E2466,BD!$L$2:$Q$66,2,0),0)</f>
        <v>INCA KOLA PET 3LX2 - RF</v>
      </c>
      <c r="G2466" s="424">
        <v>600</v>
      </c>
      <c r="H2466" s="3">
        <f>+IFERROR(VLOOKUP(E2466,BD!$L$2:$Q$66,6,0),0)</f>
        <v>120</v>
      </c>
      <c r="I2466" s="96">
        <f>IFERROR(G2466*VLOOKUP($E2466,BD!$L$2:$Q$66,5,0),0)</f>
        <v>102.00000000000001</v>
      </c>
      <c r="J2466" s="5">
        <f t="shared" si="167"/>
        <v>2021</v>
      </c>
    </row>
    <row r="2467" spans="1:10" s="9" customFormat="1" hidden="1" x14ac:dyDescent="0.25">
      <c r="A2467" s="491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7">
        <v>256616</v>
      </c>
      <c r="F2467" s="3" t="str">
        <f>IFERROR(VLOOKUP(E2467,BD!$L$2:$Q$66,2,0),0)</f>
        <v>TWO PACK SCHWEPPES CITRUS PET 1.5LX2</v>
      </c>
      <c r="G2467" s="424">
        <v>792</v>
      </c>
      <c r="H2467" s="3">
        <f>+IFERROR(VLOOKUP(E2467,BD!$L$2:$Q$66,6,0),0)</f>
        <v>198</v>
      </c>
      <c r="I2467" s="96">
        <f>IFERROR(G2467*VLOOKUP($E2467,BD!$L$2:$Q$66,5,0),0)</f>
        <v>134.64000000000001</v>
      </c>
      <c r="J2467" s="5">
        <f t="shared" si="167"/>
        <v>2021</v>
      </c>
    </row>
    <row r="2468" spans="1:10" s="9" customFormat="1" hidden="1" x14ac:dyDescent="0.25">
      <c r="A2468" s="491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7">
        <v>251406</v>
      </c>
      <c r="F2468" s="3" t="str">
        <f>IFERROR(VLOOKUP(E2468,BD!$L$2:$Q$66,2,0),0)</f>
        <v>COCA-COLA SIN AZUCAR PET 1.5LX2</v>
      </c>
      <c r="G2468" s="424">
        <v>864</v>
      </c>
      <c r="H2468" s="3">
        <f>+IFERROR(VLOOKUP(E2468,BD!$L$2:$Q$66,6,0),0)</f>
        <v>198</v>
      </c>
      <c r="I2468" s="96">
        <f>IFERROR(G2468*VLOOKUP($E2468,BD!$L$2:$Q$66,5,0),0)</f>
        <v>146.88000000000002</v>
      </c>
      <c r="J2468" s="5">
        <f t="shared" si="167"/>
        <v>2021</v>
      </c>
    </row>
    <row r="2469" spans="1:10" s="9" customFormat="1" hidden="1" x14ac:dyDescent="0.25">
      <c r="A2469" s="491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7">
        <v>256674</v>
      </c>
      <c r="F2469" s="3" t="str">
        <f>IFERROR(VLOOKUP(E2469,BD!$L$2:$Q$66,2,0),0)</f>
        <v>COCA-COLA PET 1.5LX2 RF</v>
      </c>
      <c r="G2469" s="424">
        <v>1728</v>
      </c>
      <c r="H2469" s="3">
        <f>+IFERROR(VLOOKUP(E2469,BD!$L$2:$Q$66,6,0),0)</f>
        <v>198</v>
      </c>
      <c r="I2469" s="96">
        <f>IFERROR(G2469*VLOOKUP($E2469,BD!$L$2:$Q$66,5,0),0)</f>
        <v>293.76000000000005</v>
      </c>
      <c r="J2469" s="5">
        <f t="shared" si="167"/>
        <v>2021</v>
      </c>
    </row>
    <row r="2470" spans="1:10" s="9" customFormat="1" hidden="1" x14ac:dyDescent="0.25">
      <c r="A2470" s="491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7">
        <v>256383</v>
      </c>
      <c r="F2470" s="3" t="str">
        <f>IFERROR(VLOOKUP(E2470,BD!$L$2:$Q$66,2,0),0)</f>
        <v>COCA COLA VR 1.5LX8 - STICKER</v>
      </c>
      <c r="G2470" s="424">
        <v>270</v>
      </c>
      <c r="H2470" s="3">
        <f>+IFERROR(VLOOKUP(E2470,BD!$L$2:$Q$66,6,0),0)</f>
        <v>30</v>
      </c>
      <c r="I2470" s="96">
        <f>IFERROR(G2470*VLOOKUP($E2470,BD!$L$2:$Q$66,5,0),0)</f>
        <v>62.1</v>
      </c>
      <c r="J2470" s="5">
        <f t="shared" si="167"/>
        <v>2021</v>
      </c>
    </row>
    <row r="2471" spans="1:10" s="9" customFormat="1" hidden="1" x14ac:dyDescent="0.25">
      <c r="A2471" s="491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7">
        <v>256382</v>
      </c>
      <c r="F2471" s="3" t="str">
        <f>IFERROR(VLOOKUP(E2471,BD!$L$2:$Q$66,2,0),0)</f>
        <v>COCA COLA VR 296MLX24 - STICKER</v>
      </c>
      <c r="G2471" s="424">
        <v>240</v>
      </c>
      <c r="H2471" s="3">
        <f>+IFERROR(VLOOKUP(E2471,BD!$L$2:$Q$66,6,0),0)</f>
        <v>40</v>
      </c>
      <c r="I2471" s="96">
        <f>IFERROR(G2471*VLOOKUP($E2471,BD!$L$2:$Q$66,5,0),0)</f>
        <v>55.2</v>
      </c>
      <c r="J2471" s="5">
        <f t="shared" si="167"/>
        <v>2021</v>
      </c>
    </row>
    <row r="2472" spans="1:10" s="9" customFormat="1" hidden="1" x14ac:dyDescent="0.25">
      <c r="A2472" s="491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7">
        <v>256381</v>
      </c>
      <c r="F2472" s="3" t="str">
        <f>IFERROR(VLOOKUP(E2472,BD!$L$2:$Q$66,2,0),0)</f>
        <v>INCA KOLA VR 1.5LX8 - STICKER</v>
      </c>
      <c r="G2472" s="424">
        <v>180</v>
      </c>
      <c r="H2472" s="3">
        <f>+IFERROR(VLOOKUP(E2472,BD!$L$2:$Q$66,6,0),0)</f>
        <v>30</v>
      </c>
      <c r="I2472" s="96">
        <f>IFERROR(G2472*VLOOKUP($E2472,BD!$L$2:$Q$66,5,0),0)</f>
        <v>72</v>
      </c>
      <c r="J2472" s="5">
        <f t="shared" si="167"/>
        <v>2021</v>
      </c>
    </row>
    <row r="2473" spans="1:10" s="9" customFormat="1" hidden="1" x14ac:dyDescent="0.25">
      <c r="A2473" s="491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7">
        <v>256380</v>
      </c>
      <c r="F2473" s="3" t="str">
        <f>IFERROR(VLOOKUP(E2473,BD!$L$2:$Q$66,2,0),0)</f>
        <v>INCA KOLA VR 296MLX24 - STICKER</v>
      </c>
      <c r="G2473" s="424">
        <v>160</v>
      </c>
      <c r="H2473" s="3">
        <f>+IFERROR(VLOOKUP(E2473,BD!$L$2:$Q$66,6,0),0)</f>
        <v>40</v>
      </c>
      <c r="I2473" s="96">
        <f>IFERROR(G2473*VLOOKUP($E2473,BD!$L$2:$Q$66,5,0),0)</f>
        <v>36.800000000000004</v>
      </c>
      <c r="J2473" s="5">
        <f t="shared" si="167"/>
        <v>2021</v>
      </c>
    </row>
    <row r="2474" spans="1:10" s="9" customFormat="1" hidden="1" x14ac:dyDescent="0.25">
      <c r="A2474" s="491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7">
        <v>256685</v>
      </c>
      <c r="F2474" s="3" t="str">
        <f>IFERROR(VLOOKUP(E2474,BD!$L$2:$Q$66,2,0),0)</f>
        <v>SL S/G TAPA PLANA 1LT</v>
      </c>
      <c r="G2474" s="424">
        <v>448</v>
      </c>
      <c r="H2474" s="3">
        <f>+IFERROR(VLOOKUP(E2474,BD!$L$2:$Q$66,6,0),0)</f>
        <v>112</v>
      </c>
      <c r="I2474" s="96">
        <f>IFERROR(G2474*VLOOKUP($E2474,BD!$L$2:$Q$66,5,0),0)</f>
        <v>179.20000000000002</v>
      </c>
      <c r="J2474" s="5">
        <f t="shared" si="167"/>
        <v>2021</v>
      </c>
    </row>
    <row r="2475" spans="1:10" s="9" customFormat="1" hidden="1" x14ac:dyDescent="0.25">
      <c r="A2475" s="491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7">
        <v>751315</v>
      </c>
      <c r="F2475" s="3" t="str">
        <f>IFERROR(VLOOKUP(E2475,BD!$L$2:$Q$66,2,0),0)</f>
        <v>MONSTER ENERGY 473MLX4</v>
      </c>
      <c r="G2475" s="424">
        <v>2520</v>
      </c>
      <c r="H2475" s="3">
        <f>+IFERROR(VLOOKUP(E2475,BD!$L$2:$Q$66,6,0),0)</f>
        <v>420</v>
      </c>
      <c r="I2475" s="96">
        <f>IFERROR(G2475*VLOOKUP($E2475,BD!$L$2:$Q$66,5,0),0)</f>
        <v>1058.3999999999999</v>
      </c>
      <c r="J2475" s="5">
        <f t="shared" si="167"/>
        <v>2021</v>
      </c>
    </row>
    <row r="2476" spans="1:10" s="9" customFormat="1" hidden="1" x14ac:dyDescent="0.25">
      <c r="A2476" s="491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7">
        <v>254853</v>
      </c>
      <c r="F2476" s="3" t="str">
        <f>IFERROR(VLOOKUP(E2476,BD!$L$2:$Q$66,2,0),0)</f>
        <v>INCA KOLA SIN AZUCAR PET 1.5LX2</v>
      </c>
      <c r="G2476" s="424">
        <v>1080</v>
      </c>
      <c r="H2476" s="3">
        <f>+IFERROR(VLOOKUP(E2476,BD!$L$2:$Q$66,6,0),0)</f>
        <v>198</v>
      </c>
      <c r="I2476" s="96">
        <f>IFERROR(G2476*VLOOKUP($E2476,BD!$L$2:$Q$66,5,0),0)</f>
        <v>183.60000000000002</v>
      </c>
      <c r="J2476" s="5">
        <f t="shared" si="167"/>
        <v>2021</v>
      </c>
    </row>
    <row r="2477" spans="1:10" s="9" customFormat="1" hidden="1" x14ac:dyDescent="0.25">
      <c r="A2477" s="491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7">
        <v>256666</v>
      </c>
      <c r="F2477" s="3" t="str">
        <f>IFERROR(VLOOKUP(E2477,BD!$L$2:$Q$66,2,0),0)</f>
        <v>COCA-COLA PET 2.25LX2 RF</v>
      </c>
      <c r="G2477" s="424">
        <v>486</v>
      </c>
      <c r="H2477" s="3">
        <f>+IFERROR(VLOOKUP(E2477,BD!$L$2:$Q$66,6,0),0)</f>
        <v>162</v>
      </c>
      <c r="I2477" s="96">
        <f>IFERROR(G2477*VLOOKUP($E2477,BD!$L$2:$Q$66,5,0),0)</f>
        <v>82.62</v>
      </c>
      <c r="J2477" s="5">
        <f t="shared" si="167"/>
        <v>2021</v>
      </c>
    </row>
    <row r="2478" spans="1:10" s="9" customFormat="1" hidden="1" x14ac:dyDescent="0.25">
      <c r="A2478" s="491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7">
        <v>256708</v>
      </c>
      <c r="F2478" s="3" t="str">
        <f>IFERROR(VLOOKUP(E2478,BD!$L$2:$Q$66,2,0),0)</f>
        <v>POWERADE ION4 FRUTA PET473X6 MOD (STICK)</v>
      </c>
      <c r="G2478" s="424">
        <v>450</v>
      </c>
      <c r="H2478" s="3">
        <f>+IFERROR(VLOOKUP(E2478,BD!$L$2:$Q$66,6,0),0)</f>
        <v>225</v>
      </c>
      <c r="I2478" s="96">
        <f>IFERROR(G2478*VLOOKUP($E2478,BD!$L$2:$Q$66,5,0),0)</f>
        <v>180</v>
      </c>
      <c r="J2478" s="5">
        <f t="shared" si="167"/>
        <v>2021</v>
      </c>
    </row>
    <row r="2479" spans="1:10" s="9" customFormat="1" hidden="1" x14ac:dyDescent="0.25">
      <c r="A2479" s="491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7">
        <v>251632</v>
      </c>
      <c r="F2479" s="3" t="str">
        <f>IFERROR(VLOOKUP(E2479,BD!$L$2:$Q$66,2,0),0)</f>
        <v>SAN LUIS SIN GAS PET 625MLX06 MOD</v>
      </c>
      <c r="G2479" s="424">
        <v>540</v>
      </c>
      <c r="H2479" s="3">
        <f>+IFERROR(VLOOKUP(E2479,BD!$L$2:$Q$66,6,0),0)</f>
        <v>180</v>
      </c>
      <c r="I2479" s="96">
        <f>IFERROR(G2479*VLOOKUP($E2479,BD!$L$2:$Q$66,5,0),0)</f>
        <v>226.79999999999998</v>
      </c>
      <c r="J2479" s="5">
        <f t="shared" si="167"/>
        <v>2021</v>
      </c>
    </row>
    <row r="2480" spans="1:10" s="9" customFormat="1" hidden="1" x14ac:dyDescent="0.25">
      <c r="A2480" s="491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7">
        <v>256709</v>
      </c>
      <c r="F2480" s="3" t="str">
        <f>IFERROR(VLOOKUP(E2480,BD!$L$2:$Q$66,2,0),0)</f>
        <v>POWERADE ION4 MORA AZ PET473X6 MOD(STCK)</v>
      </c>
      <c r="G2480" s="424">
        <v>900</v>
      </c>
      <c r="H2480" s="3">
        <f>+IFERROR(VLOOKUP(E2480,BD!$L$2:$Q$66,6,0),0)</f>
        <v>225</v>
      </c>
      <c r="I2480" s="96">
        <f>IFERROR(G2480*VLOOKUP($E2480,BD!$L$2:$Q$66,5,0),0)</f>
        <v>360</v>
      </c>
      <c r="J2480" s="5">
        <f t="shared" si="167"/>
        <v>2021</v>
      </c>
    </row>
    <row r="2481" spans="1:10" s="9" customFormat="1" hidden="1" x14ac:dyDescent="0.25">
      <c r="A2481" s="491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7">
        <v>256680</v>
      </c>
      <c r="F2481" s="3" t="str">
        <f>IFERROR(VLOOKUP(E2481,BD!$L$2:$Q$66,2,0),0)</f>
        <v>TRIPACK CC+CC+IK PFM 3LX3 - RFNN</v>
      </c>
      <c r="G2481" s="424">
        <v>900</v>
      </c>
      <c r="H2481" s="3">
        <f>+IFERROR(VLOOKUP(E2481,BD!$L$2:$Q$66,6,0),0)</f>
        <v>90</v>
      </c>
      <c r="I2481" s="96">
        <f>IFERROR(G2481*VLOOKUP($E2481,BD!$L$2:$Q$66,5,0),0)</f>
        <v>153</v>
      </c>
      <c r="J2481" s="5">
        <f t="shared" si="167"/>
        <v>2021</v>
      </c>
    </row>
    <row r="2482" spans="1:10" s="9" customFormat="1" hidden="1" x14ac:dyDescent="0.25">
      <c r="A2482" s="491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7">
        <v>256379</v>
      </c>
      <c r="F2482" s="3" t="str">
        <f>IFERROR(VLOOKUP(E2482,BD!$L$2:$Q$66,2,0),0)</f>
        <v>INCA KOLA VR 625MLX12 - STICKER</v>
      </c>
      <c r="G2482" s="424">
        <v>400</v>
      </c>
      <c r="H2482" s="3">
        <f>+IFERROR(VLOOKUP(E2482,BD!$L$2:$Q$66,6,0),0)</f>
        <v>50</v>
      </c>
      <c r="I2482" s="96">
        <f>IFERROR(G2482*VLOOKUP($E2482,BD!$L$2:$Q$66,5,0),0)</f>
        <v>160</v>
      </c>
      <c r="J2482" s="5">
        <f t="shared" si="167"/>
        <v>2021</v>
      </c>
    </row>
    <row r="2483" spans="1:10" s="9" customFormat="1" ht="15.75" hidden="1" thickBot="1" x14ac:dyDescent="0.3">
      <c r="A2483" s="492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9">
        <v>254762</v>
      </c>
      <c r="F2483" s="8" t="str">
        <f>IFERROR(VLOOKUP(E2483,BD!$L$2:$Q$66,2,0),0)</f>
        <v xml:space="preserve">SAN LUIS SPORT S/G 10 Lt x6 </v>
      </c>
      <c r="G2483" s="501">
        <v>224</v>
      </c>
      <c r="H2483" s="8">
        <f>+IFERROR(VLOOKUP(E2483,BD!$L$2:$Q$66,6,0),0)</f>
        <v>240</v>
      </c>
      <c r="I2483" s="98">
        <f>IFERROR(G2483*VLOOKUP($E2483,BD!$L$2:$Q$66,5,0),0)</f>
        <v>89.600000000000009</v>
      </c>
      <c r="J2483" s="110">
        <f t="shared" si="167"/>
        <v>2021</v>
      </c>
    </row>
    <row r="2484" spans="1:10" s="9" customFormat="1" hidden="1" x14ac:dyDescent="0.25">
      <c r="A2484" s="493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63">
        <v>256679</v>
      </c>
      <c r="F2484" s="6" t="str">
        <f>IFERROR(VLOOKUP(E2484,BD!$L$2:$Q$66,2,0),0)</f>
        <v>TRIPACK CC+IK+IK PFM 3LX3 - RFNN</v>
      </c>
      <c r="G2484" s="513">
        <v>1440</v>
      </c>
      <c r="H2484" s="6">
        <f>+IFERROR(VLOOKUP(E2484,BD!$L$2:$Q$66,6,0),0)</f>
        <v>90</v>
      </c>
      <c r="I2484" s="97">
        <f>IFERROR(G2484*VLOOKUP($E2484,BD!$L$2:$Q$66,5,0),0)</f>
        <v>244.8</v>
      </c>
      <c r="J2484" s="109">
        <f t="shared" si="167"/>
        <v>2021</v>
      </c>
    </row>
    <row r="2485" spans="1:10" s="9" customFormat="1" hidden="1" x14ac:dyDescent="0.25">
      <c r="A2485" s="491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7">
        <v>256708</v>
      </c>
      <c r="F2485" s="3" t="str">
        <f>IFERROR(VLOOKUP(E2485,BD!$L$2:$Q$66,2,0),0)</f>
        <v>POWERADE ION4 FRUTA PET473X6 MOD (STICK)</v>
      </c>
      <c r="G2485" s="424">
        <v>900</v>
      </c>
      <c r="H2485" s="3">
        <f>+IFERROR(VLOOKUP(E2485,BD!$L$2:$Q$66,6,0),0)</f>
        <v>225</v>
      </c>
      <c r="I2485" s="96">
        <f>IFERROR(G2485*VLOOKUP($E2485,BD!$L$2:$Q$66,5,0),0)</f>
        <v>360</v>
      </c>
      <c r="J2485" s="5">
        <f t="shared" si="167"/>
        <v>2021</v>
      </c>
    </row>
    <row r="2486" spans="1:10" s="9" customFormat="1" hidden="1" x14ac:dyDescent="0.25">
      <c r="A2486" s="491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7">
        <v>256709</v>
      </c>
      <c r="F2486" s="3" t="str">
        <f>IFERROR(VLOOKUP(E2486,BD!$L$2:$Q$66,2,0),0)</f>
        <v>POWERADE ION4 MORA AZ PET473X6 MOD(STCK)</v>
      </c>
      <c r="G2486" s="424">
        <v>675</v>
      </c>
      <c r="H2486" s="3">
        <f>+IFERROR(VLOOKUP(E2486,BD!$L$2:$Q$66,6,0),0)</f>
        <v>225</v>
      </c>
      <c r="I2486" s="96">
        <f>IFERROR(G2486*VLOOKUP($E2486,BD!$L$2:$Q$66,5,0),0)</f>
        <v>270</v>
      </c>
      <c r="J2486" s="5">
        <f t="shared" si="167"/>
        <v>2021</v>
      </c>
    </row>
    <row r="2487" spans="1:10" s="9" customFormat="1" hidden="1" x14ac:dyDescent="0.25">
      <c r="A2487" s="491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7">
        <v>256685</v>
      </c>
      <c r="F2487" s="3" t="str">
        <f>IFERROR(VLOOKUP(E2487,BD!$L$2:$Q$66,2,0),0)</f>
        <v>SL S/G TAPA PLANA 1LT</v>
      </c>
      <c r="G2487" s="424">
        <v>112</v>
      </c>
      <c r="H2487" s="3">
        <f>+IFERROR(VLOOKUP(E2487,BD!$L$2:$Q$66,6,0),0)</f>
        <v>112</v>
      </c>
      <c r="I2487" s="96">
        <f>IFERROR(G2487*VLOOKUP($E2487,BD!$L$2:$Q$66,5,0),0)</f>
        <v>44.800000000000004</v>
      </c>
      <c r="J2487" s="5">
        <f t="shared" si="167"/>
        <v>2021</v>
      </c>
    </row>
    <row r="2488" spans="1:10" s="9" customFormat="1" hidden="1" x14ac:dyDescent="0.25">
      <c r="A2488" s="491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7">
        <v>251632</v>
      </c>
      <c r="F2488" s="3" t="str">
        <f>IFERROR(VLOOKUP(E2488,BD!$L$2:$Q$66,2,0),0)</f>
        <v>SAN LUIS SIN GAS PET 625MLX06 MOD</v>
      </c>
      <c r="G2488" s="424">
        <v>180</v>
      </c>
      <c r="H2488" s="3">
        <f>+IFERROR(VLOOKUP(E2488,BD!$L$2:$Q$66,6,0),0)</f>
        <v>180</v>
      </c>
      <c r="I2488" s="96">
        <f>IFERROR(G2488*VLOOKUP($E2488,BD!$L$2:$Q$66,5,0),0)</f>
        <v>75.599999999999994</v>
      </c>
      <c r="J2488" s="5">
        <f t="shared" si="167"/>
        <v>2021</v>
      </c>
    </row>
    <row r="2489" spans="1:10" s="9" customFormat="1" hidden="1" x14ac:dyDescent="0.25">
      <c r="A2489" s="491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7">
        <v>256695</v>
      </c>
      <c r="F2489" s="3" t="str">
        <f>IFERROR(VLOOKUP(E2489,BD!$L$2:$Q$66,2,0),0)</f>
        <v>POWERADE 3MORA+3FRUT PET 473MLX6</v>
      </c>
      <c r="G2489" s="424">
        <v>1800</v>
      </c>
      <c r="H2489" s="3">
        <f>+IFERROR(VLOOKUP(E2489,BD!$L$2:$Q$66,6,0),0)</f>
        <v>225</v>
      </c>
      <c r="I2489" s="96">
        <f>IFERROR(G2489*VLOOKUP($E2489,BD!$L$2:$Q$66,5,0),0)</f>
        <v>756</v>
      </c>
      <c r="J2489" s="5">
        <f t="shared" si="167"/>
        <v>2021</v>
      </c>
    </row>
    <row r="2490" spans="1:10" s="9" customFormat="1" hidden="1" x14ac:dyDescent="0.25">
      <c r="A2490" s="491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7">
        <v>256382</v>
      </c>
      <c r="F2490" s="3" t="str">
        <f>IFERROR(VLOOKUP(E2490,BD!$L$2:$Q$66,2,0),0)</f>
        <v>COCA COLA VR 296MLX24 - STICKER</v>
      </c>
      <c r="G2490" s="424">
        <v>40</v>
      </c>
      <c r="H2490" s="3">
        <f>+IFERROR(VLOOKUP(E2490,BD!$L$2:$Q$66,6,0),0)</f>
        <v>40</v>
      </c>
      <c r="I2490" s="96">
        <f>IFERROR(G2490*VLOOKUP($E2490,BD!$L$2:$Q$66,5,0),0)</f>
        <v>9.2000000000000011</v>
      </c>
      <c r="J2490" s="5">
        <f t="shared" si="167"/>
        <v>2021</v>
      </c>
    </row>
    <row r="2491" spans="1:10" s="9" customFormat="1" hidden="1" x14ac:dyDescent="0.25">
      <c r="A2491" s="491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7">
        <v>256676</v>
      </c>
      <c r="F2491" s="3" t="str">
        <f>IFERROR(VLOOKUP(E2491,BD!$L$2:$Q$66,2,0),0)</f>
        <v>TWO PACK CC PFM 3LX2 - RFCC</v>
      </c>
      <c r="G2491" s="424">
        <v>200</v>
      </c>
      <c r="H2491" s="3">
        <f>+IFERROR(VLOOKUP(E2491,BD!$L$2:$Q$66,6,0),0)</f>
        <v>120</v>
      </c>
      <c r="I2491" s="96">
        <f>IFERROR(G2491*VLOOKUP($E2491,BD!$L$2:$Q$66,5,0),0)</f>
        <v>34</v>
      </c>
      <c r="J2491" s="5">
        <f t="shared" si="167"/>
        <v>2021</v>
      </c>
    </row>
    <row r="2492" spans="1:10" s="9" customFormat="1" hidden="1" x14ac:dyDescent="0.25">
      <c r="A2492" s="491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7">
        <v>256488</v>
      </c>
      <c r="F2492" s="3" t="str">
        <f>IFERROR(VLOOKUP(E2492,BD!$L$2:$Q$66,2,0),0)</f>
        <v>INCA KOLA PET 3LX2 - RF</v>
      </c>
      <c r="G2492" s="424">
        <v>600</v>
      </c>
      <c r="H2492" s="3">
        <f>+IFERROR(VLOOKUP(E2492,BD!$L$2:$Q$66,6,0),0)</f>
        <v>120</v>
      </c>
      <c r="I2492" s="96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hidden="1" x14ac:dyDescent="0.25">
      <c r="A2493" s="491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7">
        <v>256616</v>
      </c>
      <c r="F2493" s="3" t="str">
        <f>IFERROR(VLOOKUP(E2493,BD!$L$2:$Q$66,2,0),0)</f>
        <v>TWO PACK SCHWEPPES CITRUS PET 1.5LX2</v>
      </c>
      <c r="G2493" s="424">
        <v>792</v>
      </c>
      <c r="H2493" s="3">
        <f>+IFERROR(VLOOKUP(E2493,BD!$L$2:$Q$66,6,0),0)</f>
        <v>198</v>
      </c>
      <c r="I2493" s="96">
        <f>IFERROR(G2493*VLOOKUP($E2493,BD!$L$2:$Q$66,5,0),0)</f>
        <v>134.64000000000001</v>
      </c>
      <c r="J2493" s="5">
        <f t="shared" si="171"/>
        <v>2021</v>
      </c>
    </row>
    <row r="2494" spans="1:10" s="9" customFormat="1" hidden="1" x14ac:dyDescent="0.25">
      <c r="A2494" s="491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7">
        <v>256617</v>
      </c>
      <c r="F2494" s="3" t="str">
        <f>IFERROR(VLOOKUP(E2494,BD!$L$2:$Q$66,2,0),0)</f>
        <v>TWO PACK SCHWEPPES GINGER ALE PET 1.5LX2</v>
      </c>
      <c r="G2494" s="424">
        <v>792</v>
      </c>
      <c r="H2494" s="3">
        <f>+IFERROR(VLOOKUP(E2494,BD!$L$2:$Q$66,6,0),0)</f>
        <v>198</v>
      </c>
      <c r="I2494" s="96">
        <f>IFERROR(G2494*VLOOKUP($E2494,BD!$L$2:$Q$66,5,0),0)</f>
        <v>134.64000000000001</v>
      </c>
      <c r="J2494" s="5">
        <f t="shared" si="171"/>
        <v>2021</v>
      </c>
    </row>
    <row r="2495" spans="1:10" s="9" customFormat="1" hidden="1" x14ac:dyDescent="0.25">
      <c r="A2495" s="491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7">
        <v>256674</v>
      </c>
      <c r="F2495" s="3" t="str">
        <f>IFERROR(VLOOKUP(E2495,BD!$L$2:$Q$66,2,0),0)</f>
        <v>COCA-COLA PET 1.5LX2 RF</v>
      </c>
      <c r="G2495" s="424">
        <v>1512</v>
      </c>
      <c r="H2495" s="3">
        <f>+IFERROR(VLOOKUP(E2495,BD!$L$2:$Q$66,6,0),0)</f>
        <v>198</v>
      </c>
      <c r="I2495" s="96">
        <f>IFERROR(G2495*VLOOKUP($E2495,BD!$L$2:$Q$66,5,0),0)</f>
        <v>257.04000000000002</v>
      </c>
      <c r="J2495" s="5">
        <f t="shared" si="171"/>
        <v>2021</v>
      </c>
    </row>
    <row r="2496" spans="1:10" s="9" customFormat="1" hidden="1" x14ac:dyDescent="0.25">
      <c r="A2496" s="491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7">
        <v>251406</v>
      </c>
      <c r="F2496" s="3" t="str">
        <f>IFERROR(VLOOKUP(E2496,BD!$L$2:$Q$66,2,0),0)</f>
        <v>COCA-COLA SIN AZUCAR PET 1.5LX2</v>
      </c>
      <c r="G2496" s="424">
        <v>864</v>
      </c>
      <c r="H2496" s="3">
        <f>+IFERROR(VLOOKUP(E2496,BD!$L$2:$Q$66,6,0),0)</f>
        <v>198</v>
      </c>
      <c r="I2496" s="96">
        <f>IFERROR(G2496*VLOOKUP($E2496,BD!$L$2:$Q$66,5,0),0)</f>
        <v>146.88000000000002</v>
      </c>
      <c r="J2496" s="5">
        <f t="shared" si="171"/>
        <v>2021</v>
      </c>
    </row>
    <row r="2497" spans="1:10" s="9" customFormat="1" hidden="1" x14ac:dyDescent="0.25">
      <c r="A2497" s="491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7">
        <v>256677</v>
      </c>
      <c r="F2497" s="3" t="str">
        <f>IFERROR(VLOOKUP(E2497,BD!$L$2:$Q$66,2,0),0)</f>
        <v>TWO PACK CC + IK PFM 3LX2 - RFNN</v>
      </c>
      <c r="G2497" s="424">
        <v>4320</v>
      </c>
      <c r="H2497" s="3">
        <f>+IFERROR(VLOOKUP(E2497,BD!$L$2:$Q$66,6,0),0)</f>
        <v>120</v>
      </c>
      <c r="I2497" s="96">
        <f>IFERROR(G2497*VLOOKUP($E2497,BD!$L$2:$Q$66,5,0),0)</f>
        <v>734.40000000000009</v>
      </c>
      <c r="J2497" s="5">
        <f t="shared" si="171"/>
        <v>2021</v>
      </c>
    </row>
    <row r="2498" spans="1:10" s="9" customFormat="1" hidden="1" x14ac:dyDescent="0.25">
      <c r="A2498" s="491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7">
        <v>256675</v>
      </c>
      <c r="F2498" s="3" t="str">
        <f>IFERROR(VLOOKUP(E2498,BD!$L$2:$Q$66,2,0),0)</f>
        <v>INCA KOLA PET 1.5LX2 RF</v>
      </c>
      <c r="G2498" s="424">
        <v>864</v>
      </c>
      <c r="H2498" s="3">
        <f>+IFERROR(VLOOKUP(E2498,BD!$L$2:$Q$66,6,0),0)</f>
        <v>198</v>
      </c>
      <c r="I2498" s="96">
        <f>IFERROR(G2498*VLOOKUP($E2498,BD!$L$2:$Q$66,5,0),0)</f>
        <v>146.88000000000002</v>
      </c>
      <c r="J2498" s="5">
        <f t="shared" si="171"/>
        <v>2021</v>
      </c>
    </row>
    <row r="2499" spans="1:10" s="9" customFormat="1" hidden="1" x14ac:dyDescent="0.25">
      <c r="A2499" s="491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7">
        <v>256678</v>
      </c>
      <c r="F2499" s="3" t="str">
        <f>IFERROR(VLOOKUP(E2499,BD!$L$2:$Q$66,2,0),0)</f>
        <v>TRIPACK (CC+IK)PFM+FT PET 3LX3 - RFNN</v>
      </c>
      <c r="G2499" s="425">
        <v>1170</v>
      </c>
      <c r="H2499" s="3">
        <f>+IFERROR(VLOOKUP(E2499,BD!$L$2:$Q$66,6,0),0)</f>
        <v>90</v>
      </c>
      <c r="I2499" s="96">
        <f>IFERROR(G2499*VLOOKUP($E2499,BD!$L$2:$Q$66,5,0),0)</f>
        <v>198.9</v>
      </c>
      <c r="J2499" s="5">
        <f t="shared" si="171"/>
        <v>2021</v>
      </c>
    </row>
    <row r="2500" spans="1:10" s="9" customFormat="1" hidden="1" x14ac:dyDescent="0.25">
      <c r="A2500" s="491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7">
        <v>256379</v>
      </c>
      <c r="F2500" s="3" t="str">
        <f>IFERROR(VLOOKUP(E2500,BD!$L$2:$Q$66,2,0),0)</f>
        <v>INCA KOLA VR 625MLX12 - STICKER</v>
      </c>
      <c r="G2500" s="424">
        <v>150</v>
      </c>
      <c r="H2500" s="3">
        <f>+IFERROR(VLOOKUP(E2500,BD!$L$2:$Q$66,6,0),0)</f>
        <v>50</v>
      </c>
      <c r="I2500" s="96">
        <f>IFERROR(G2500*VLOOKUP($E2500,BD!$L$2:$Q$66,5,0),0)</f>
        <v>60</v>
      </c>
      <c r="J2500" s="5">
        <f t="shared" si="171"/>
        <v>2021</v>
      </c>
    </row>
    <row r="2501" spans="1:10" s="9" customFormat="1" hidden="1" x14ac:dyDescent="0.25">
      <c r="A2501" s="491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7">
        <v>251429</v>
      </c>
      <c r="F2501" s="3" t="str">
        <f>IFERROR(VLOOKUP(E2501,BD!$L$2:$Q$66,2,0),0)</f>
        <v>SAN LUIS SIN GAS PET2500X6 STICKER</v>
      </c>
      <c r="G2501" s="424">
        <v>336</v>
      </c>
      <c r="H2501" s="3">
        <f>+IFERROR(VLOOKUP(E2501,BD!$L$2:$Q$66,6,0),0)</f>
        <v>48</v>
      </c>
      <c r="I2501" s="96">
        <f>IFERROR(G2501*VLOOKUP($E2501,BD!$L$2:$Q$66,5,0),0)</f>
        <v>134.4</v>
      </c>
      <c r="J2501" s="5">
        <f t="shared" si="171"/>
        <v>2021</v>
      </c>
    </row>
    <row r="2502" spans="1:10" s="9" customFormat="1" hidden="1" x14ac:dyDescent="0.25">
      <c r="A2502" s="491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7">
        <v>256680</v>
      </c>
      <c r="F2502" s="3" t="str">
        <f>IFERROR(VLOOKUP(E2502,BD!$L$2:$Q$66,2,0),0)</f>
        <v>TRIPACK CC+CC+IK PFM 3LX3 - RFNN</v>
      </c>
      <c r="G2502" s="424">
        <v>1440</v>
      </c>
      <c r="H2502" s="3">
        <f>+IFERROR(VLOOKUP(E2502,BD!$L$2:$Q$66,6,0),0)</f>
        <v>90</v>
      </c>
      <c r="I2502" s="96">
        <f>IFERROR(G2502*VLOOKUP($E2502,BD!$L$2:$Q$66,5,0),0)</f>
        <v>244.8</v>
      </c>
      <c r="J2502" s="5">
        <f t="shared" si="171"/>
        <v>2021</v>
      </c>
    </row>
    <row r="2503" spans="1:10" s="9" customFormat="1" hidden="1" x14ac:dyDescent="0.25">
      <c r="A2503" s="491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7">
        <v>256652</v>
      </c>
      <c r="F2503" s="3" t="str">
        <f>IFERROR(VLOOKUP(E2503,BD!$L$2:$Q$66,2,0),0)</f>
        <v>TRIPACK FT NAR+FT KI+SP PET 3L</v>
      </c>
      <c r="G2503" s="424">
        <v>720</v>
      </c>
      <c r="H2503" s="3">
        <f>+IFERROR(VLOOKUP(E2503,BD!$L$2:$Q$66,6,0),0)</f>
        <v>90</v>
      </c>
      <c r="I2503" s="96">
        <f>IFERROR(G2503*VLOOKUP($E2503,BD!$L$2:$Q$66,5,0),0)</f>
        <v>122.4</v>
      </c>
      <c r="J2503" s="5">
        <f t="shared" si="171"/>
        <v>2021</v>
      </c>
    </row>
    <row r="2504" spans="1:10" s="9" customFormat="1" hidden="1" x14ac:dyDescent="0.25">
      <c r="A2504" s="491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7">
        <v>256601</v>
      </c>
      <c r="F2504" s="3" t="str">
        <f>IFERROR(VLOOKUP(E2504,BD!$L$2:$Q$66,2,0),0)</f>
        <v>INCA KOLA PET 2.25LX2 RF</v>
      </c>
      <c r="G2504" s="424">
        <v>486</v>
      </c>
      <c r="H2504" s="3">
        <f>+IFERROR(VLOOKUP(E2504,BD!$L$2:$Q$66,6,0),0)</f>
        <v>162</v>
      </c>
      <c r="I2504" s="96">
        <f>IFERROR(G2504*VLOOKUP($E2504,BD!$L$2:$Q$66,5,0),0)</f>
        <v>82.62</v>
      </c>
      <c r="J2504" s="5">
        <f t="shared" si="171"/>
        <v>2021</v>
      </c>
    </row>
    <row r="2505" spans="1:10" s="9" customFormat="1" hidden="1" x14ac:dyDescent="0.25">
      <c r="A2505" s="491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7">
        <v>256652</v>
      </c>
      <c r="F2505" s="3" t="str">
        <f>IFERROR(VLOOKUP(E2505,BD!$L$2:$Q$66,2,0),0)</f>
        <v>TRIPACK FT NAR+FT KI+SP PET 3L</v>
      </c>
      <c r="G2505" s="424">
        <v>1170</v>
      </c>
      <c r="H2505" s="3">
        <f>+IFERROR(VLOOKUP(E2505,BD!$L$2:$Q$66,6,0),0)</f>
        <v>90</v>
      </c>
      <c r="I2505" s="96">
        <f>IFERROR(G2505*VLOOKUP($E2505,BD!$L$2:$Q$66,5,0),0)</f>
        <v>198.9</v>
      </c>
      <c r="J2505" s="5">
        <f t="shared" si="171"/>
        <v>2021</v>
      </c>
    </row>
    <row r="2506" spans="1:10" s="9" customFormat="1" hidden="1" x14ac:dyDescent="0.25">
      <c r="A2506" s="491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7">
        <v>256682</v>
      </c>
      <c r="F2506" s="3" t="str">
        <f>IFERROR(VLOOKUP(E2506,BD!$L$2:$Q$66,2,0),0)</f>
        <v>TRIPACK (FT NAR+SP)PET+IK RF PFM 3L</v>
      </c>
      <c r="G2506" s="424">
        <v>270</v>
      </c>
      <c r="H2506" s="3">
        <f>+IFERROR(VLOOKUP(E2506,BD!$L$2:$Q$66,6,0),0)</f>
        <v>90</v>
      </c>
      <c r="I2506" s="96">
        <f>IFERROR(G2506*VLOOKUP($E2506,BD!$L$2:$Q$66,5,0),0)</f>
        <v>45.900000000000006</v>
      </c>
      <c r="J2506" s="5">
        <f t="shared" si="171"/>
        <v>2021</v>
      </c>
    </row>
    <row r="2507" spans="1:10" s="9" customFormat="1" hidden="1" x14ac:dyDescent="0.25">
      <c r="A2507" s="491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7">
        <v>251633</v>
      </c>
      <c r="F2507" s="3" t="str">
        <f>IFERROR(VLOOKUP(E2507,BD!$L$2:$Q$66,2,0),0)</f>
        <v>SAN LUIS CON GAS PET 625MLX6</v>
      </c>
      <c r="G2507" s="424">
        <v>360</v>
      </c>
      <c r="H2507" s="3">
        <f>+IFERROR(VLOOKUP(E2507,BD!$L$2:$Q$66,6,0),0)</f>
        <v>180</v>
      </c>
      <c r="I2507" s="96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hidden="1" thickBot="1" x14ac:dyDescent="0.3">
      <c r="A2508" s="492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9">
        <v>256548</v>
      </c>
      <c r="F2508" s="8" t="str">
        <f>IFERROR(VLOOKUP(E2508,BD!$L$2:$Q$66,2,0),0)</f>
        <v>TWO PACK CC PET 1.5LX2 - CRC</v>
      </c>
      <c r="G2508" s="501">
        <v>216</v>
      </c>
      <c r="H2508" s="8">
        <f>+IFERROR(VLOOKUP(E2508,BD!$L$2:$Q$66,6,0),0)</f>
        <v>198</v>
      </c>
      <c r="I2508" s="98">
        <f>IFERROR(G2508*VLOOKUP($E2508,BD!$L$2:$Q$66,5,0),0)</f>
        <v>36.720000000000006</v>
      </c>
      <c r="J2508" s="110">
        <f t="shared" si="171"/>
        <v>2021</v>
      </c>
    </row>
    <row r="2509" spans="1:10" s="9" customFormat="1" hidden="1" x14ac:dyDescent="0.25">
      <c r="A2509" s="493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63">
        <v>256695</v>
      </c>
      <c r="F2509" s="6" t="str">
        <f>IFERROR(VLOOKUP(E2509,BD!$L$2:$Q$66,2,0),0)</f>
        <v>POWERADE 3MORA+3FRUT PET 473MLX6</v>
      </c>
      <c r="G2509" s="519">
        <v>900</v>
      </c>
      <c r="H2509" s="6">
        <f>+IFERROR(VLOOKUP(E2509,BD!$L$2:$Q$66,6,0),0)</f>
        <v>225</v>
      </c>
      <c r="I2509" s="97">
        <f>IFERROR(G2509*VLOOKUP($E2509,BD!$L$2:$Q$66,5,0),0)</f>
        <v>378</v>
      </c>
      <c r="J2509" s="109">
        <f t="shared" si="171"/>
        <v>2021</v>
      </c>
    </row>
    <row r="2510" spans="1:10" s="9" customFormat="1" hidden="1" x14ac:dyDescent="0.25">
      <c r="A2510" s="491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7">
        <v>256383</v>
      </c>
      <c r="F2510" s="3" t="str">
        <f>IFERROR(VLOOKUP(E2510,BD!$L$2:$Q$66,2,0),0)</f>
        <v>COCA COLA VR 1.5LX8 - STICKER</v>
      </c>
      <c r="G2510" s="424">
        <v>90</v>
      </c>
      <c r="H2510" s="3">
        <f>+IFERROR(VLOOKUP(E2510,BD!$L$2:$Q$66,6,0),0)</f>
        <v>30</v>
      </c>
      <c r="I2510" s="96">
        <f>IFERROR(G2510*VLOOKUP($E2510,BD!$L$2:$Q$66,5,0),0)</f>
        <v>20.7</v>
      </c>
      <c r="J2510" s="5">
        <f t="shared" si="171"/>
        <v>2021</v>
      </c>
    </row>
    <row r="2511" spans="1:10" s="9" customFormat="1" hidden="1" x14ac:dyDescent="0.25">
      <c r="A2511" s="491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7">
        <v>256666</v>
      </c>
      <c r="F2511" s="3" t="str">
        <f>IFERROR(VLOOKUP(E2511,BD!$L$2:$Q$66,2,0),0)</f>
        <v>COCA-COLA PET 2.25LX2 RF</v>
      </c>
      <c r="G2511" s="424">
        <v>648</v>
      </c>
      <c r="H2511" s="3">
        <f>+IFERROR(VLOOKUP(E2511,BD!$L$2:$Q$66,6,0),0)</f>
        <v>162</v>
      </c>
      <c r="I2511" s="96">
        <f>IFERROR(G2511*VLOOKUP($E2511,BD!$L$2:$Q$66,5,0),0)</f>
        <v>110.16000000000001</v>
      </c>
      <c r="J2511" s="5">
        <f t="shared" si="171"/>
        <v>2021</v>
      </c>
    </row>
    <row r="2512" spans="1:10" s="9" customFormat="1" hidden="1" x14ac:dyDescent="0.25">
      <c r="A2512" s="491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7">
        <v>256680</v>
      </c>
      <c r="F2512" s="3" t="str">
        <f>IFERROR(VLOOKUP(E2512,BD!$L$2:$Q$66,2,0),0)</f>
        <v>TRIPACK CC+CC+IK PFM 3LX3 - RFNN</v>
      </c>
      <c r="G2512" s="424">
        <v>2160</v>
      </c>
      <c r="H2512" s="3">
        <f>+IFERROR(VLOOKUP(E2512,BD!$L$2:$Q$66,6,0),0)</f>
        <v>90</v>
      </c>
      <c r="I2512" s="96">
        <f>IFERROR(G2512*VLOOKUP($E2512,BD!$L$2:$Q$66,5,0),0)</f>
        <v>367.20000000000005</v>
      </c>
      <c r="J2512" s="5">
        <f t="shared" si="171"/>
        <v>2021</v>
      </c>
    </row>
    <row r="2513" spans="1:10" s="9" customFormat="1" hidden="1" x14ac:dyDescent="0.25">
      <c r="A2513" s="491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7">
        <v>256601</v>
      </c>
      <c r="F2513" s="3" t="str">
        <f>IFERROR(VLOOKUP(E2513,BD!$L$2:$Q$66,2,0),0)</f>
        <v>INCA KOLA PET 2.25LX2 RF</v>
      </c>
      <c r="G2513" s="424">
        <v>972</v>
      </c>
      <c r="H2513" s="3">
        <f>+IFERROR(VLOOKUP(E2513,BD!$L$2:$Q$66,6,0),0)</f>
        <v>162</v>
      </c>
      <c r="I2513" s="96">
        <f>IFERROR(G2513*VLOOKUP($E2513,BD!$L$2:$Q$66,5,0),0)</f>
        <v>165.24</v>
      </c>
      <c r="J2513" s="5">
        <f t="shared" si="171"/>
        <v>2021</v>
      </c>
    </row>
    <row r="2514" spans="1:10" s="9" customFormat="1" hidden="1" x14ac:dyDescent="0.25">
      <c r="A2514" s="491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7">
        <v>256652</v>
      </c>
      <c r="F2514" s="3" t="str">
        <f>IFERROR(VLOOKUP(E2514,BD!$L$2:$Q$66,2,0),0)</f>
        <v>TRIPACK FT NAR+FT KI+SP PET 3L</v>
      </c>
      <c r="G2514" s="424">
        <v>900</v>
      </c>
      <c r="H2514" s="3">
        <f>+IFERROR(VLOOKUP(E2514,BD!$L$2:$Q$66,6,0),0)</f>
        <v>90</v>
      </c>
      <c r="I2514" s="96">
        <f>IFERROR(G2514*VLOOKUP($E2514,BD!$L$2:$Q$66,5,0),0)</f>
        <v>153</v>
      </c>
      <c r="J2514" s="5">
        <f t="shared" si="171"/>
        <v>2021</v>
      </c>
    </row>
    <row r="2515" spans="1:10" s="9" customFormat="1" hidden="1" x14ac:dyDescent="0.25">
      <c r="A2515" s="491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7">
        <v>256675</v>
      </c>
      <c r="F2515" s="3" t="str">
        <f>IFERROR(VLOOKUP(E2515,BD!$L$2:$Q$66,2,0),0)</f>
        <v>INCA KOLA PET 1.5LX2 RF</v>
      </c>
      <c r="G2515" s="424">
        <v>864</v>
      </c>
      <c r="H2515" s="3">
        <f>+IFERROR(VLOOKUP(E2515,BD!$L$2:$Q$66,6,0),0)</f>
        <v>198</v>
      </c>
      <c r="I2515" s="96">
        <f>IFERROR(G2515*VLOOKUP($E2515,BD!$L$2:$Q$66,5,0),0)</f>
        <v>146.88000000000002</v>
      </c>
      <c r="J2515" s="5">
        <f t="shared" si="171"/>
        <v>2021</v>
      </c>
    </row>
    <row r="2516" spans="1:10" s="9" customFormat="1" hidden="1" x14ac:dyDescent="0.25">
      <c r="A2516" s="491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7">
        <v>256488</v>
      </c>
      <c r="F2516" s="3" t="str">
        <f>IFERROR(VLOOKUP(E2516,BD!$L$2:$Q$66,2,0),0)</f>
        <v>INCA KOLA PET 3LX2 - RF</v>
      </c>
      <c r="G2516" s="424">
        <v>480</v>
      </c>
      <c r="H2516" s="3">
        <f>+IFERROR(VLOOKUP(E2516,BD!$L$2:$Q$66,6,0),0)</f>
        <v>120</v>
      </c>
      <c r="I2516" s="96">
        <f>IFERROR(G2516*VLOOKUP($E2516,BD!$L$2:$Q$66,5,0),0)</f>
        <v>81.600000000000009</v>
      </c>
      <c r="J2516" s="5">
        <f t="shared" si="171"/>
        <v>2021</v>
      </c>
    </row>
    <row r="2517" spans="1:10" s="9" customFormat="1" hidden="1" x14ac:dyDescent="0.25">
      <c r="A2517" s="491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7">
        <v>256679</v>
      </c>
      <c r="F2517" s="3" t="str">
        <f>IFERROR(VLOOKUP(E2517,BD!$L$2:$Q$66,2,0),0)</f>
        <v>TRIPACK CC+IK+IK PFM 3LX3 - RFNN</v>
      </c>
      <c r="G2517" s="424">
        <v>720</v>
      </c>
      <c r="H2517" s="3">
        <f>+IFERROR(VLOOKUP(E2517,BD!$L$2:$Q$66,6,0),0)</f>
        <v>90</v>
      </c>
      <c r="I2517" s="96">
        <f>IFERROR(G2517*VLOOKUP($E2517,BD!$L$2:$Q$66,5,0),0)</f>
        <v>122.4</v>
      </c>
      <c r="J2517" s="5">
        <f t="shared" si="171"/>
        <v>2021</v>
      </c>
    </row>
    <row r="2518" spans="1:10" s="9" customFormat="1" hidden="1" x14ac:dyDescent="0.25">
      <c r="A2518" s="491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7">
        <v>254853</v>
      </c>
      <c r="F2518" s="3" t="str">
        <f>IFERROR(VLOOKUP(E2518,BD!$L$2:$Q$66,2,0),0)</f>
        <v>INCA KOLA SIN AZUCAR PET 1.5LX2</v>
      </c>
      <c r="G2518" s="424">
        <v>1296</v>
      </c>
      <c r="H2518" s="3">
        <f>+IFERROR(VLOOKUP(E2518,BD!$L$2:$Q$66,6,0),0)</f>
        <v>198</v>
      </c>
      <c r="I2518" s="96">
        <f>IFERROR(G2518*VLOOKUP($E2518,BD!$L$2:$Q$66,5,0),0)</f>
        <v>220.32000000000002</v>
      </c>
      <c r="J2518" s="5">
        <f t="shared" si="171"/>
        <v>2021</v>
      </c>
    </row>
    <row r="2519" spans="1:10" s="9" customFormat="1" hidden="1" x14ac:dyDescent="0.25">
      <c r="A2519" s="491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7">
        <v>256678</v>
      </c>
      <c r="F2519" s="3" t="str">
        <f>IFERROR(VLOOKUP(E2519,BD!$L$2:$Q$66,2,0),0)</f>
        <v>TRIPACK (CC+IK)PFM+FT PET 3LX3 - RFNN</v>
      </c>
      <c r="G2519" s="424">
        <v>1440</v>
      </c>
      <c r="H2519" s="3">
        <f>+IFERROR(VLOOKUP(E2519,BD!$L$2:$Q$66,6,0),0)</f>
        <v>90</v>
      </c>
      <c r="I2519" s="96">
        <f>IFERROR(G2519*VLOOKUP($E2519,BD!$L$2:$Q$66,5,0),0)</f>
        <v>244.8</v>
      </c>
      <c r="J2519" s="5">
        <f t="shared" si="171"/>
        <v>2021</v>
      </c>
    </row>
    <row r="2520" spans="1:10" s="9" customFormat="1" hidden="1" x14ac:dyDescent="0.25">
      <c r="A2520" s="491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7">
        <v>251406</v>
      </c>
      <c r="F2520" s="3" t="str">
        <f>IFERROR(VLOOKUP(E2520,BD!$L$2:$Q$66,2,0),0)</f>
        <v>COCA-COLA SIN AZUCAR PET 1.5LX2</v>
      </c>
      <c r="G2520" s="424">
        <v>1296</v>
      </c>
      <c r="H2520" s="3">
        <f>+IFERROR(VLOOKUP(E2520,BD!$L$2:$Q$66,6,0),0)</f>
        <v>198</v>
      </c>
      <c r="I2520" s="96">
        <f>IFERROR(G2520*VLOOKUP($E2520,BD!$L$2:$Q$66,5,0),0)</f>
        <v>220.32000000000002</v>
      </c>
      <c r="J2520" s="5">
        <f t="shared" si="171"/>
        <v>2021</v>
      </c>
    </row>
    <row r="2521" spans="1:10" s="9" customFormat="1" hidden="1" x14ac:dyDescent="0.25">
      <c r="A2521" s="491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7">
        <v>251633</v>
      </c>
      <c r="F2521" s="3" t="str">
        <f>IFERROR(VLOOKUP(E2521,BD!$L$2:$Q$66,2,0),0)</f>
        <v>SAN LUIS CON GAS PET 625MLX6</v>
      </c>
      <c r="G2521" s="424">
        <v>720</v>
      </c>
      <c r="H2521" s="3">
        <f>+IFERROR(VLOOKUP(E2521,BD!$L$2:$Q$66,6,0),0)</f>
        <v>180</v>
      </c>
      <c r="I2521" s="96">
        <f>IFERROR(G2521*VLOOKUP($E2521,BD!$L$2:$Q$66,5,0),0)</f>
        <v>302.39999999999998</v>
      </c>
      <c r="J2521" s="5">
        <f t="shared" si="171"/>
        <v>2021</v>
      </c>
    </row>
    <row r="2522" spans="1:10" s="9" customFormat="1" hidden="1" x14ac:dyDescent="0.25">
      <c r="A2522" s="491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7">
        <v>256682</v>
      </c>
      <c r="F2522" s="3" t="str">
        <f>IFERROR(VLOOKUP(E2522,BD!$L$2:$Q$66,2,0),0)</f>
        <v>TRIPACK (FT NAR+SP)PET+IK RF PFM 3L</v>
      </c>
      <c r="G2522" s="424">
        <v>540</v>
      </c>
      <c r="H2522" s="3">
        <f>+IFERROR(VLOOKUP(E2522,BD!$L$2:$Q$66,6,0),0)</f>
        <v>90</v>
      </c>
      <c r="I2522" s="96">
        <f>IFERROR(G2522*VLOOKUP($E2522,BD!$L$2:$Q$66,5,0),0)</f>
        <v>91.800000000000011</v>
      </c>
      <c r="J2522" s="5">
        <f t="shared" si="171"/>
        <v>2021</v>
      </c>
    </row>
    <row r="2523" spans="1:10" s="9" customFormat="1" hidden="1" x14ac:dyDescent="0.25">
      <c r="A2523" s="491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7">
        <v>256720</v>
      </c>
      <c r="F2523" s="3" t="str">
        <f>IFERROR(VLOOKUP(E2523,BD!$L$2:$Q$66,2,0),0)</f>
        <v>FANTA NARANJA PET 500MLX6 BRANDEADO MOD</v>
      </c>
      <c r="G2523" s="424">
        <v>2000</v>
      </c>
      <c r="H2523" s="3">
        <f>+IFERROR(VLOOKUP(E2523,BD!$L$2:$Q$66,6,0),0)</f>
        <v>420</v>
      </c>
      <c r="I2523" s="96">
        <f>IFERROR(G2523*VLOOKUP($E2523,BD!$L$2:$Q$66,5,0),0)</f>
        <v>840</v>
      </c>
      <c r="J2523" s="5">
        <f t="shared" si="171"/>
        <v>2021</v>
      </c>
    </row>
    <row r="2524" spans="1:10" s="9" customFormat="1" hidden="1" x14ac:dyDescent="0.25">
      <c r="A2524" s="491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7">
        <v>254762</v>
      </c>
      <c r="F2524" s="3" t="str">
        <f>IFERROR(VLOOKUP(E2524,BD!$L$2:$Q$66,2,0),0)</f>
        <v xml:space="preserve">SAN LUIS SPORT S/G 10 Lt x6 </v>
      </c>
      <c r="G2524" s="424">
        <v>112</v>
      </c>
      <c r="H2524" s="3">
        <f>+IFERROR(VLOOKUP(E2524,BD!$L$2:$Q$66,6,0),0)</f>
        <v>240</v>
      </c>
      <c r="I2524" s="96">
        <f>IFERROR(G2524*VLOOKUP($E2524,BD!$L$2:$Q$66,5,0),0)</f>
        <v>44.800000000000004</v>
      </c>
      <c r="J2524" s="5">
        <f t="shared" si="171"/>
        <v>2021</v>
      </c>
    </row>
    <row r="2525" spans="1:10" s="9" customFormat="1" hidden="1" x14ac:dyDescent="0.25">
      <c r="A2525" s="491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7">
        <v>256677</v>
      </c>
      <c r="F2525" s="3" t="str">
        <f>IFERROR(VLOOKUP(E2525,BD!$L$2:$Q$66,2,0),0)</f>
        <v>TWO PACK CC + IK PFM 3LX2 - RFNN</v>
      </c>
      <c r="G2525" s="424">
        <v>4320</v>
      </c>
      <c r="H2525" s="3">
        <f>+IFERROR(VLOOKUP(E2525,BD!$L$2:$Q$66,6,0),0)</f>
        <v>120</v>
      </c>
      <c r="I2525" s="96">
        <f>IFERROR(G2525*VLOOKUP($E2525,BD!$L$2:$Q$66,5,0),0)</f>
        <v>734.40000000000009</v>
      </c>
      <c r="J2525" s="5">
        <f t="shared" si="171"/>
        <v>2021</v>
      </c>
    </row>
    <row r="2526" spans="1:10" s="9" customFormat="1" hidden="1" x14ac:dyDescent="0.25">
      <c r="A2526" s="491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7">
        <v>256709</v>
      </c>
      <c r="F2526" s="3" t="str">
        <f>IFERROR(VLOOKUP(E2526,BD!$L$2:$Q$66,2,0),0)</f>
        <v>POWERADE ION4 MORA AZ PET473X6 MOD(STCK)</v>
      </c>
      <c r="G2526" s="424">
        <v>225</v>
      </c>
      <c r="H2526" s="3">
        <f>+IFERROR(VLOOKUP(E2526,BD!$L$2:$Q$66,6,0),0)</f>
        <v>225</v>
      </c>
      <c r="I2526" s="96">
        <f>IFERROR(G2526*VLOOKUP($E2526,BD!$L$2:$Q$66,5,0),0)</f>
        <v>90</v>
      </c>
      <c r="J2526" s="5">
        <f t="shared" si="171"/>
        <v>2021</v>
      </c>
    </row>
    <row r="2527" spans="1:10" s="9" customFormat="1" hidden="1" x14ac:dyDescent="0.25">
      <c r="A2527" s="491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7">
        <v>256708</v>
      </c>
      <c r="F2527" s="3" t="str">
        <f>IFERROR(VLOOKUP(E2527,BD!$L$2:$Q$66,2,0),0)</f>
        <v>POWERADE ION4 FRUTA PET473X6 MOD (STICK)</v>
      </c>
      <c r="G2527" s="424">
        <v>225</v>
      </c>
      <c r="H2527" s="3">
        <f>+IFERROR(VLOOKUP(E2527,BD!$L$2:$Q$66,6,0),0)</f>
        <v>225</v>
      </c>
      <c r="I2527" s="96">
        <f>IFERROR(G2527*VLOOKUP($E2527,BD!$L$2:$Q$66,5,0),0)</f>
        <v>90</v>
      </c>
      <c r="J2527" s="5">
        <f t="shared" si="171"/>
        <v>2021</v>
      </c>
    </row>
    <row r="2528" spans="1:10" s="9" customFormat="1" ht="15.75" hidden="1" thickBot="1" x14ac:dyDescent="0.3">
      <c r="A2528" s="492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9">
        <v>251632</v>
      </c>
      <c r="F2528" s="8" t="str">
        <f>IFERROR(VLOOKUP(E2528,BD!$L$2:$Q$66,2,0),0)</f>
        <v>SAN LUIS SIN GAS PET 625MLX06 MOD</v>
      </c>
      <c r="G2528" s="501">
        <v>180</v>
      </c>
      <c r="H2528" s="8">
        <f>+IFERROR(VLOOKUP(E2528,BD!$L$2:$Q$66,6,0),0)</f>
        <v>180</v>
      </c>
      <c r="I2528" s="98">
        <f>IFERROR(G2528*VLOOKUP($E2528,BD!$L$2:$Q$66,5,0),0)</f>
        <v>75.599999999999994</v>
      </c>
      <c r="J2528" s="110">
        <f t="shared" si="171"/>
        <v>2021</v>
      </c>
    </row>
    <row r="2529" spans="1:10" s="9" customFormat="1" hidden="1" x14ac:dyDescent="0.25">
      <c r="A2529" s="493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63">
        <v>251429</v>
      </c>
      <c r="F2529" s="6" t="str">
        <f>IFERROR(VLOOKUP(E2529,BD!$L$2:$Q$66,2,0),0)</f>
        <v>SAN LUIS SIN GAS PET2500X6 STICKER</v>
      </c>
      <c r="G2529" s="513">
        <v>96</v>
      </c>
      <c r="H2529" s="6">
        <f>+IFERROR(VLOOKUP(E2529,BD!$L$2:$Q$66,6,0),0)</f>
        <v>48</v>
      </c>
      <c r="I2529" s="97">
        <f>IFERROR(G2529*VLOOKUP($E2529,BD!$L$2:$Q$66,5,0),0)</f>
        <v>38.400000000000006</v>
      </c>
      <c r="J2529" s="109">
        <f t="shared" si="171"/>
        <v>2021</v>
      </c>
    </row>
    <row r="2530" spans="1:10" s="9" customFormat="1" hidden="1" x14ac:dyDescent="0.25">
      <c r="A2530" s="491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7">
        <v>256601</v>
      </c>
      <c r="F2530" s="3" t="str">
        <f>IFERROR(VLOOKUP(E2530,BD!$L$2:$Q$66,2,0),0)</f>
        <v>INCA KOLA PET 2.25LX2 RF</v>
      </c>
      <c r="G2530" s="424">
        <v>162</v>
      </c>
      <c r="H2530" s="3">
        <f>+IFERROR(VLOOKUP(E2530,BD!$L$2:$Q$66,6,0),0)</f>
        <v>162</v>
      </c>
      <c r="I2530" s="96">
        <f>IFERROR(G2530*VLOOKUP($E2530,BD!$L$2:$Q$66,5,0),0)</f>
        <v>27.540000000000003</v>
      </c>
      <c r="J2530" s="5">
        <f t="shared" si="171"/>
        <v>2021</v>
      </c>
    </row>
    <row r="2531" spans="1:10" s="9" customFormat="1" hidden="1" x14ac:dyDescent="0.25">
      <c r="A2531" s="491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7">
        <v>256652</v>
      </c>
      <c r="F2531" s="3" t="str">
        <f>IFERROR(VLOOKUP(E2531,BD!$L$2:$Q$66,2,0),0)</f>
        <v>TRIPACK FT NAR+FT KI+SP PET 3L</v>
      </c>
      <c r="G2531" s="424">
        <v>180</v>
      </c>
      <c r="H2531" s="3">
        <f>+IFERROR(VLOOKUP(E2531,BD!$L$2:$Q$66,6,0),0)</f>
        <v>90</v>
      </c>
      <c r="I2531" s="96">
        <f>IFERROR(G2531*VLOOKUP($E2531,BD!$L$2:$Q$66,5,0),0)</f>
        <v>30.6</v>
      </c>
      <c r="J2531" s="5">
        <f t="shared" si="171"/>
        <v>2021</v>
      </c>
    </row>
    <row r="2532" spans="1:10" s="9" customFormat="1" hidden="1" x14ac:dyDescent="0.25">
      <c r="A2532" s="491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7">
        <v>256709</v>
      </c>
      <c r="F2532" s="3" t="str">
        <f>IFERROR(VLOOKUP(E2532,BD!$L$2:$Q$66,2,0),0)</f>
        <v>POWERADE ION4 MORA AZ PET473X6 MOD(STCK)</v>
      </c>
      <c r="G2532" s="424">
        <v>450</v>
      </c>
      <c r="H2532" s="3">
        <f>+IFERROR(VLOOKUP(E2532,BD!$L$2:$Q$66,6,0),0)</f>
        <v>225</v>
      </c>
      <c r="I2532" s="96">
        <f>IFERROR(G2532*VLOOKUP($E2532,BD!$L$2:$Q$66,5,0),0)</f>
        <v>180</v>
      </c>
      <c r="J2532" s="5">
        <f t="shared" si="171"/>
        <v>2021</v>
      </c>
    </row>
    <row r="2533" spans="1:10" s="9" customFormat="1" hidden="1" x14ac:dyDescent="0.25">
      <c r="A2533" s="491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7">
        <v>256708</v>
      </c>
      <c r="F2533" s="3" t="str">
        <f>IFERROR(VLOOKUP(E2533,BD!$L$2:$Q$66,2,0),0)</f>
        <v>POWERADE ION4 FRUTA PET473X6 MOD (STICK)</v>
      </c>
      <c r="G2533" s="424">
        <v>225</v>
      </c>
      <c r="H2533" s="3">
        <f>+IFERROR(VLOOKUP(E2533,BD!$L$2:$Q$66,6,0),0)</f>
        <v>225</v>
      </c>
      <c r="I2533" s="96">
        <f>IFERROR(G2533*VLOOKUP($E2533,BD!$L$2:$Q$66,5,0),0)</f>
        <v>90</v>
      </c>
      <c r="J2533" s="5">
        <f t="shared" si="171"/>
        <v>2021</v>
      </c>
    </row>
    <row r="2534" spans="1:10" s="9" customFormat="1" hidden="1" x14ac:dyDescent="0.25">
      <c r="A2534" s="491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7">
        <v>256721</v>
      </c>
      <c r="F2534" s="3" t="str">
        <f>IFERROR(VLOOKUP(E2534,BD!$L$2:$Q$66,2,0),0)</f>
        <v>SPRITE PET 500MLX6 BRANDEADO MOD</v>
      </c>
      <c r="G2534" s="424">
        <v>500</v>
      </c>
      <c r="H2534" s="3">
        <f>+IFERROR(VLOOKUP(E2534,BD!$L$2:$Q$66,6,0),0)</f>
        <v>420</v>
      </c>
      <c r="I2534" s="96">
        <f>IFERROR(G2534*VLOOKUP($E2534,BD!$L$2:$Q$66,5,0),0)</f>
        <v>210</v>
      </c>
      <c r="J2534" s="5">
        <f t="shared" si="171"/>
        <v>2021</v>
      </c>
    </row>
    <row r="2535" spans="1:10" s="9" customFormat="1" hidden="1" x14ac:dyDescent="0.25">
      <c r="A2535" s="491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7">
        <v>256682</v>
      </c>
      <c r="F2535" s="3" t="str">
        <f>IFERROR(VLOOKUP(E2535,BD!$L$2:$Q$66,2,0),0)</f>
        <v>TRIPACK (FT NAR+SP)PET+IK RF PFM 3L</v>
      </c>
      <c r="G2535" s="424">
        <v>180</v>
      </c>
      <c r="H2535" s="3">
        <f>+IFERROR(VLOOKUP(E2535,BD!$L$2:$Q$66,6,0),0)</f>
        <v>90</v>
      </c>
      <c r="I2535" s="96">
        <f>IFERROR(G2535*VLOOKUP($E2535,BD!$L$2:$Q$66,5,0),0)</f>
        <v>30.6</v>
      </c>
      <c r="J2535" s="5">
        <f t="shared" si="171"/>
        <v>2021</v>
      </c>
    </row>
    <row r="2536" spans="1:10" s="9" customFormat="1" hidden="1" x14ac:dyDescent="0.25">
      <c r="A2536" s="491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7">
        <v>251632</v>
      </c>
      <c r="F2536" s="3" t="str">
        <f>IFERROR(VLOOKUP(E2536,BD!$L$2:$Q$66,2,0),0)</f>
        <v>SAN LUIS SIN GAS PET 625MLX06 MOD</v>
      </c>
      <c r="G2536" s="424">
        <v>180</v>
      </c>
      <c r="H2536" s="3">
        <f>+IFERROR(VLOOKUP(E2536,BD!$L$2:$Q$66,6,0),0)</f>
        <v>180</v>
      </c>
      <c r="I2536" s="96">
        <f>IFERROR(G2536*VLOOKUP($E2536,BD!$L$2:$Q$66,5,0),0)</f>
        <v>75.599999999999994</v>
      </c>
      <c r="J2536" s="5">
        <f t="shared" si="171"/>
        <v>2021</v>
      </c>
    </row>
    <row r="2537" spans="1:10" s="9" customFormat="1" hidden="1" x14ac:dyDescent="0.25">
      <c r="A2537" s="491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7">
        <v>252436</v>
      </c>
      <c r="F2537" s="3" t="str">
        <f>IFERROR(VLOOKUP(E2537,BD!$L$2:$Q$66,2,0),0)</f>
        <v>SAN LUIS SIN GAS PET 625MLX15 C/STICKER</v>
      </c>
      <c r="G2537" s="424">
        <v>90</v>
      </c>
      <c r="H2537" s="3">
        <f>+IFERROR(VLOOKUP(E2537,BD!$L$2:$Q$66,6,0),0)</f>
        <v>90</v>
      </c>
      <c r="I2537" s="96">
        <f>IFERROR(G2537*VLOOKUP($E2537,BD!$L$2:$Q$66,5,0),0)</f>
        <v>36</v>
      </c>
      <c r="J2537" s="5">
        <f t="shared" si="171"/>
        <v>2021</v>
      </c>
    </row>
    <row r="2538" spans="1:10" s="9" customFormat="1" hidden="1" x14ac:dyDescent="0.25">
      <c r="A2538" s="491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7">
        <v>256695</v>
      </c>
      <c r="F2538" s="3" t="str">
        <f>IFERROR(VLOOKUP(E2538,BD!$L$2:$Q$66,2,0),0)</f>
        <v>POWERADE 3MORA+3FRUT PET 473MLX6</v>
      </c>
      <c r="G2538" s="424">
        <v>900</v>
      </c>
      <c r="H2538" s="3">
        <f>+IFERROR(VLOOKUP(E2538,BD!$L$2:$Q$66,6,0),0)</f>
        <v>225</v>
      </c>
      <c r="I2538" s="96">
        <f>IFERROR(G2538*VLOOKUP($E2538,BD!$L$2:$Q$66,5,0),0)</f>
        <v>378</v>
      </c>
      <c r="J2538" s="5">
        <f t="shared" si="171"/>
        <v>2021</v>
      </c>
    </row>
    <row r="2539" spans="1:10" s="9" customFormat="1" hidden="1" x14ac:dyDescent="0.25">
      <c r="A2539" s="491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7">
        <v>256677</v>
      </c>
      <c r="F2539" s="3" t="str">
        <f>IFERROR(VLOOKUP(E2539,BD!$L$2:$Q$66,2,0),0)</f>
        <v>TWO PACK CC + IK PFM 3LX2 - RFNN</v>
      </c>
      <c r="G2539" s="424">
        <v>4320</v>
      </c>
      <c r="H2539" s="3">
        <f>+IFERROR(VLOOKUP(E2539,BD!$L$2:$Q$66,6,0),0)</f>
        <v>120</v>
      </c>
      <c r="I2539" s="96">
        <f>IFERROR(G2539*VLOOKUP($E2539,BD!$L$2:$Q$66,5,0),0)</f>
        <v>734.40000000000009</v>
      </c>
      <c r="J2539" s="5">
        <f t="shared" si="171"/>
        <v>2021</v>
      </c>
    </row>
    <row r="2540" spans="1:10" s="9" customFormat="1" hidden="1" x14ac:dyDescent="0.25">
      <c r="A2540" s="491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7">
        <v>251406</v>
      </c>
      <c r="F2540" s="3" t="str">
        <f>IFERROR(VLOOKUP(E2540,BD!$L$2:$Q$66,2,0),0)</f>
        <v>COCA-COLA SIN AZUCAR PET 1.5LX2</v>
      </c>
      <c r="G2540" s="424">
        <v>1296</v>
      </c>
      <c r="H2540" s="3">
        <f>+IFERROR(VLOOKUP(E2540,BD!$L$2:$Q$66,6,0),0)</f>
        <v>198</v>
      </c>
      <c r="I2540" s="96">
        <f>IFERROR(G2540*VLOOKUP($E2540,BD!$L$2:$Q$66,5,0),0)</f>
        <v>220.32000000000002</v>
      </c>
      <c r="J2540" s="5">
        <f t="shared" si="171"/>
        <v>2021</v>
      </c>
    </row>
    <row r="2541" spans="1:10" s="9" customFormat="1" hidden="1" x14ac:dyDescent="0.25">
      <c r="A2541" s="491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7">
        <v>254853</v>
      </c>
      <c r="F2541" s="3" t="str">
        <f>IFERROR(VLOOKUP(E2541,BD!$L$2:$Q$66,2,0),0)</f>
        <v>INCA KOLA SIN AZUCAR PET 1.5LX2</v>
      </c>
      <c r="G2541" s="424">
        <v>1296</v>
      </c>
      <c r="H2541" s="3">
        <f>+IFERROR(VLOOKUP(E2541,BD!$L$2:$Q$66,6,0),0)</f>
        <v>198</v>
      </c>
      <c r="I2541" s="96">
        <f>IFERROR(G2541*VLOOKUP($E2541,BD!$L$2:$Q$66,5,0),0)</f>
        <v>220.32000000000002</v>
      </c>
      <c r="J2541" s="5">
        <f t="shared" si="171"/>
        <v>2021</v>
      </c>
    </row>
    <row r="2542" spans="1:10" s="9" customFormat="1" hidden="1" x14ac:dyDescent="0.25">
      <c r="A2542" s="491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7">
        <v>256680</v>
      </c>
      <c r="F2542" s="3" t="str">
        <f>IFERROR(VLOOKUP(E2542,BD!$L$2:$Q$66,2,0),0)</f>
        <v>TRIPACK CC+CC+IK PFM 3LX3 - RFNN</v>
      </c>
      <c r="G2542" s="424">
        <v>900</v>
      </c>
      <c r="H2542" s="3">
        <f>+IFERROR(VLOOKUP(E2542,BD!$L$2:$Q$66,6,0),0)</f>
        <v>90</v>
      </c>
      <c r="I2542" s="96">
        <f>IFERROR(G2542*VLOOKUP($E2542,BD!$L$2:$Q$66,5,0),0)</f>
        <v>153</v>
      </c>
      <c r="J2542" s="5">
        <f t="shared" si="171"/>
        <v>2021</v>
      </c>
    </row>
    <row r="2543" spans="1:10" s="9" customFormat="1" hidden="1" x14ac:dyDescent="0.25">
      <c r="A2543" s="491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7">
        <v>256674</v>
      </c>
      <c r="F2543" s="3" t="str">
        <f>IFERROR(VLOOKUP(E2543,BD!$L$2:$Q$66,2,0),0)</f>
        <v>COCA-COLA PET 1.5LX2 RF</v>
      </c>
      <c r="G2543" s="424">
        <v>1260</v>
      </c>
      <c r="H2543" s="3">
        <f>+IFERROR(VLOOKUP(E2543,BD!$L$2:$Q$66,6,0),0)</f>
        <v>198</v>
      </c>
      <c r="I2543" s="96">
        <f>IFERROR(G2543*VLOOKUP($E2543,BD!$L$2:$Q$66,5,0),0)</f>
        <v>214.20000000000002</v>
      </c>
      <c r="J2543" s="5">
        <f t="shared" si="171"/>
        <v>2021</v>
      </c>
    </row>
    <row r="2544" spans="1:10" s="9" customFormat="1" hidden="1" x14ac:dyDescent="0.25">
      <c r="A2544" s="491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7">
        <v>256678</v>
      </c>
      <c r="F2544" s="3" t="str">
        <f>IFERROR(VLOOKUP(E2544,BD!$L$2:$Q$66,2,0),0)</f>
        <v>TRIPACK (CC+IK)PFM+FT PET 3LX3 - RFNN</v>
      </c>
      <c r="G2544" s="424">
        <v>1620</v>
      </c>
      <c r="H2544" s="3">
        <f>+IFERROR(VLOOKUP(E2544,BD!$L$2:$Q$66,6,0),0)</f>
        <v>90</v>
      </c>
      <c r="I2544" s="96">
        <f>IFERROR(G2544*VLOOKUP($E2544,BD!$L$2:$Q$66,5,0),0)</f>
        <v>275.40000000000003</v>
      </c>
      <c r="J2544" s="5">
        <f t="shared" si="171"/>
        <v>2021</v>
      </c>
    </row>
    <row r="2545" spans="1:10" s="9" customFormat="1" hidden="1" x14ac:dyDescent="0.25">
      <c r="A2545" s="491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7">
        <v>256380</v>
      </c>
      <c r="F2545" s="3" t="str">
        <f>IFERROR(VLOOKUP(E2545,BD!$L$2:$Q$66,2,0),0)</f>
        <v>INCA KOLA VR 296MLX24 - STICKER</v>
      </c>
      <c r="G2545" s="424">
        <v>160</v>
      </c>
      <c r="H2545" s="3">
        <f>+IFERROR(VLOOKUP(E2545,BD!$L$2:$Q$66,6,0),0)</f>
        <v>40</v>
      </c>
      <c r="I2545" s="96">
        <f>IFERROR(G2545*VLOOKUP($E2545,BD!$L$2:$Q$66,5,0),0)</f>
        <v>36.800000000000004</v>
      </c>
      <c r="J2545" s="5">
        <f t="shared" si="171"/>
        <v>2021</v>
      </c>
    </row>
    <row r="2546" spans="1:10" s="9" customFormat="1" hidden="1" x14ac:dyDescent="0.25">
      <c r="A2546" s="491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7">
        <v>256381</v>
      </c>
      <c r="F2546" s="3" t="str">
        <f>IFERROR(VLOOKUP(E2546,BD!$L$2:$Q$66,2,0),0)</f>
        <v>INCA KOLA VR 1.5LX8 - STICKER</v>
      </c>
      <c r="G2546" s="424">
        <v>240</v>
      </c>
      <c r="H2546" s="3">
        <f>+IFERROR(VLOOKUP(E2546,BD!$L$2:$Q$66,6,0),0)</f>
        <v>30</v>
      </c>
      <c r="I2546" s="96">
        <f>IFERROR(G2546*VLOOKUP($E2546,BD!$L$2:$Q$66,5,0),0)</f>
        <v>96</v>
      </c>
      <c r="J2546" s="5">
        <f t="shared" si="171"/>
        <v>2021</v>
      </c>
    </row>
    <row r="2547" spans="1:10" s="9" customFormat="1" hidden="1" x14ac:dyDescent="0.25">
      <c r="A2547" s="491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7">
        <v>256383</v>
      </c>
      <c r="F2547" s="3" t="str">
        <f>IFERROR(VLOOKUP(E2547,BD!$L$2:$Q$66,2,0),0)</f>
        <v>COCA COLA VR 1.5LX8 - STICKER</v>
      </c>
      <c r="G2547" s="425">
        <v>120</v>
      </c>
      <c r="H2547" s="3">
        <f>+IFERROR(VLOOKUP(E2547,BD!$L$2:$Q$66,6,0),0)</f>
        <v>30</v>
      </c>
      <c r="I2547" s="96">
        <f>IFERROR(G2547*VLOOKUP($E2547,BD!$L$2:$Q$66,5,0),0)</f>
        <v>27.6</v>
      </c>
      <c r="J2547" s="5">
        <f t="shared" si="171"/>
        <v>2021</v>
      </c>
    </row>
    <row r="2548" spans="1:10" s="9" customFormat="1" hidden="1" x14ac:dyDescent="0.25">
      <c r="A2548" s="491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7">
        <v>256379</v>
      </c>
      <c r="F2548" s="3" t="str">
        <f>IFERROR(VLOOKUP(E2548,BD!$L$2:$Q$66,2,0),0)</f>
        <v>INCA KOLA VR 625MLX12 - STICKER</v>
      </c>
      <c r="G2548" s="425">
        <v>200</v>
      </c>
      <c r="H2548" s="3">
        <f>+IFERROR(VLOOKUP(E2548,BD!$L$2:$Q$66,6,0),0)</f>
        <v>50</v>
      </c>
      <c r="I2548" s="96">
        <f>IFERROR(G2548*VLOOKUP($E2548,BD!$L$2:$Q$66,5,0),0)</f>
        <v>80</v>
      </c>
      <c r="J2548" s="5">
        <f t="shared" si="171"/>
        <v>2021</v>
      </c>
    </row>
    <row r="2549" spans="1:10" s="9" customFormat="1" hidden="1" x14ac:dyDescent="0.25">
      <c r="A2549" s="491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7">
        <v>256675</v>
      </c>
      <c r="F2549" s="3" t="str">
        <f>IFERROR(VLOOKUP(E2549,BD!$L$2:$Q$66,2,0),0)</f>
        <v>INCA KOLA PET 1.5LX2 RF</v>
      </c>
      <c r="G2549" s="424">
        <v>864</v>
      </c>
      <c r="H2549" s="3">
        <f>+IFERROR(VLOOKUP(E2549,BD!$L$2:$Q$66,6,0),0)</f>
        <v>198</v>
      </c>
      <c r="I2549" s="96">
        <f>IFERROR(G2549*VLOOKUP($E2549,BD!$L$2:$Q$66,5,0),0)</f>
        <v>146.88000000000002</v>
      </c>
      <c r="J2549" s="5">
        <f t="shared" si="171"/>
        <v>2021</v>
      </c>
    </row>
    <row r="2550" spans="1:10" s="9" customFormat="1" hidden="1" x14ac:dyDescent="0.25">
      <c r="A2550" s="491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7">
        <v>256488</v>
      </c>
      <c r="F2550" s="3" t="str">
        <f>IFERROR(VLOOKUP(E2550,BD!$L$2:$Q$66,2,0),0)</f>
        <v>INCA KOLA PET 3LX2 - RF</v>
      </c>
      <c r="G2550" s="424">
        <v>480</v>
      </c>
      <c r="H2550" s="3">
        <f>+IFERROR(VLOOKUP(E2550,BD!$L$2:$Q$66,6,0),0)</f>
        <v>120</v>
      </c>
      <c r="I2550" s="96">
        <f>IFERROR(G2550*VLOOKUP($E2550,BD!$L$2:$Q$66,5,0),0)</f>
        <v>81.600000000000009</v>
      </c>
      <c r="J2550" s="5">
        <f t="shared" si="171"/>
        <v>2021</v>
      </c>
    </row>
    <row r="2551" spans="1:10" s="9" customFormat="1" hidden="1" x14ac:dyDescent="0.25">
      <c r="A2551" s="491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7">
        <v>256666</v>
      </c>
      <c r="F2551" s="3" t="str">
        <f>IFERROR(VLOOKUP(E2551,BD!$L$2:$Q$66,2,0),0)</f>
        <v>COCA-COLA PET 2.25LX2 RF</v>
      </c>
      <c r="G2551" s="424">
        <v>324</v>
      </c>
      <c r="H2551" s="3">
        <f>+IFERROR(VLOOKUP(E2551,BD!$L$2:$Q$66,6,0),0)</f>
        <v>162</v>
      </c>
      <c r="I2551" s="96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hidden="1" thickBot="1" x14ac:dyDescent="0.3">
      <c r="A2552" s="492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9">
        <v>256685</v>
      </c>
      <c r="F2552" s="8" t="str">
        <f>IFERROR(VLOOKUP(E2552,BD!$L$2:$Q$66,2,0),0)</f>
        <v>SL S/G TAPA PLANA 1LT</v>
      </c>
      <c r="G2552" s="501">
        <v>224</v>
      </c>
      <c r="H2552" s="8">
        <f>+IFERROR(VLOOKUP(E2552,BD!$L$2:$Q$66,6,0),0)</f>
        <v>112</v>
      </c>
      <c r="I2552" s="98">
        <f>IFERROR(G2552*VLOOKUP($E2552,BD!$L$2:$Q$66,5,0),0)</f>
        <v>89.600000000000009</v>
      </c>
      <c r="J2552" s="110">
        <f t="shared" si="171"/>
        <v>2021</v>
      </c>
    </row>
    <row r="2553" spans="1:10" s="9" customFormat="1" hidden="1" x14ac:dyDescent="0.25">
      <c r="A2553" s="493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63">
        <v>256679</v>
      </c>
      <c r="F2553" s="6" t="str">
        <f>IFERROR(VLOOKUP(E2553,BD!$L$2:$Q$66,2,0),0)</f>
        <v>TRIPACK CC+IK+IK PFM 3LX3 - RFNN</v>
      </c>
      <c r="G2553" s="513">
        <v>900</v>
      </c>
      <c r="H2553" s="6">
        <f>+IFERROR(VLOOKUP(E2553,BD!$L$2:$Q$66,6,0),0)</f>
        <v>90</v>
      </c>
      <c r="I2553" s="97">
        <f>IFERROR(G2553*VLOOKUP($E2553,BD!$L$2:$Q$66,5,0),0)</f>
        <v>153</v>
      </c>
      <c r="J2553" s="109">
        <f t="shared" si="171"/>
        <v>2021</v>
      </c>
    </row>
    <row r="2554" spans="1:10" s="9" customFormat="1" hidden="1" x14ac:dyDescent="0.25">
      <c r="A2554" s="491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7">
        <v>256676</v>
      </c>
      <c r="F2554" s="3" t="str">
        <f>IFERROR(VLOOKUP(E2554,BD!$L$2:$Q$66,2,0),0)</f>
        <v>TWO PACK CC PFM 3LX2 - RFCC</v>
      </c>
      <c r="G2554" s="424">
        <v>720</v>
      </c>
      <c r="H2554" s="3">
        <f>+IFERROR(VLOOKUP(E2554,BD!$L$2:$Q$66,6,0),0)</f>
        <v>120</v>
      </c>
      <c r="I2554" s="96">
        <f>IFERROR(G2554*VLOOKUP($E2554,BD!$L$2:$Q$66,5,0),0)</f>
        <v>122.4</v>
      </c>
      <c r="J2554" s="5">
        <f t="shared" si="171"/>
        <v>2021</v>
      </c>
    </row>
    <row r="2555" spans="1:10" s="9" customFormat="1" hidden="1" x14ac:dyDescent="0.25">
      <c r="A2555" s="491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7">
        <v>251633</v>
      </c>
      <c r="F2555" s="3" t="str">
        <f>IFERROR(VLOOKUP(E2555,BD!$L$2:$Q$66,2,0),0)</f>
        <v>SAN LUIS CON GAS PET 625MLX6</v>
      </c>
      <c r="G2555" s="424">
        <v>720</v>
      </c>
      <c r="H2555" s="3">
        <f>+IFERROR(VLOOKUP(E2555,BD!$L$2:$Q$66,6,0),0)</f>
        <v>180</v>
      </c>
      <c r="I2555" s="96">
        <f>IFERROR(G2555*VLOOKUP($E2555,BD!$L$2:$Q$66,5,0),0)</f>
        <v>302.39999999999998</v>
      </c>
      <c r="J2555" s="5">
        <f t="shared" si="171"/>
        <v>2021</v>
      </c>
    </row>
    <row r="2556" spans="1:10" s="9" customFormat="1" hidden="1" x14ac:dyDescent="0.25">
      <c r="A2556" s="491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7">
        <v>256680</v>
      </c>
      <c r="F2556" s="3" t="str">
        <f>IFERROR(VLOOKUP(E2556,BD!$L$2:$Q$66,2,0),0)</f>
        <v>TRIPACK CC+CC+IK PFM 3LX3 - RFNN</v>
      </c>
      <c r="G2556" s="424">
        <v>180</v>
      </c>
      <c r="H2556" s="3">
        <f>+IFERROR(VLOOKUP(E2556,BD!$L$2:$Q$66,6,0),0)</f>
        <v>90</v>
      </c>
      <c r="I2556" s="96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hidden="1" x14ac:dyDescent="0.25">
      <c r="A2557" s="491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7">
        <v>251406</v>
      </c>
      <c r="F2557" s="3" t="str">
        <f>IFERROR(VLOOKUP(E2557,BD!$L$2:$Q$66,2,0),0)</f>
        <v>COCA-COLA SIN AZUCAR PET 1.5LX2</v>
      </c>
      <c r="G2557" s="424">
        <v>1296</v>
      </c>
      <c r="H2557" s="3">
        <f>+IFERROR(VLOOKUP(E2557,BD!$L$2:$Q$66,6,0),0)</f>
        <v>198</v>
      </c>
      <c r="I2557" s="96">
        <f>IFERROR(G2557*VLOOKUP($E2557,BD!$L$2:$Q$66,5,0),0)</f>
        <v>220.32000000000002</v>
      </c>
      <c r="J2557" s="5">
        <f t="shared" si="175"/>
        <v>2021</v>
      </c>
    </row>
    <row r="2558" spans="1:10" s="9" customFormat="1" hidden="1" x14ac:dyDescent="0.25">
      <c r="A2558" s="491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7">
        <v>256488</v>
      </c>
      <c r="F2558" s="3" t="str">
        <f>IFERROR(VLOOKUP(E2558,BD!$L$2:$Q$66,2,0),0)</f>
        <v>INCA KOLA PET 3LX2 - RF</v>
      </c>
      <c r="G2558" s="424">
        <v>720</v>
      </c>
      <c r="H2558" s="3">
        <f>+IFERROR(VLOOKUP(E2558,BD!$L$2:$Q$66,6,0),0)</f>
        <v>120</v>
      </c>
      <c r="I2558" s="96">
        <f>IFERROR(G2558*VLOOKUP($E2558,BD!$L$2:$Q$66,5,0),0)</f>
        <v>122.4</v>
      </c>
      <c r="J2558" s="5">
        <f t="shared" si="175"/>
        <v>2021</v>
      </c>
    </row>
    <row r="2559" spans="1:10" s="9" customFormat="1" hidden="1" x14ac:dyDescent="0.25">
      <c r="A2559" s="491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7">
        <v>256677</v>
      </c>
      <c r="F2559" s="3" t="str">
        <f>IFERROR(VLOOKUP(E2559,BD!$L$2:$Q$66,2,0),0)</f>
        <v>TWO PACK CC + IK PFM 3LX2 - RFNN</v>
      </c>
      <c r="G2559" s="424">
        <v>4320</v>
      </c>
      <c r="H2559" s="3">
        <f>+IFERROR(VLOOKUP(E2559,BD!$L$2:$Q$66,6,0),0)</f>
        <v>120</v>
      </c>
      <c r="I2559" s="96">
        <f>IFERROR(G2559*VLOOKUP($E2559,BD!$L$2:$Q$66,5,0),0)</f>
        <v>734.40000000000009</v>
      </c>
      <c r="J2559" s="5">
        <f t="shared" si="175"/>
        <v>2021</v>
      </c>
    </row>
    <row r="2560" spans="1:10" s="9" customFormat="1" hidden="1" x14ac:dyDescent="0.25">
      <c r="A2560" s="491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7">
        <v>254853</v>
      </c>
      <c r="F2560" s="3" t="str">
        <f>IFERROR(VLOOKUP(E2560,BD!$L$2:$Q$66,2,0),0)</f>
        <v>INCA KOLA SIN AZUCAR PET 1.5LX2</v>
      </c>
      <c r="G2560" s="424">
        <v>1296</v>
      </c>
      <c r="H2560" s="3">
        <f>+IFERROR(VLOOKUP(E2560,BD!$L$2:$Q$66,6,0),0)</f>
        <v>198</v>
      </c>
      <c r="I2560" s="96">
        <f>IFERROR(G2560*VLOOKUP($E2560,BD!$L$2:$Q$66,5,0),0)</f>
        <v>220.32000000000002</v>
      </c>
      <c r="J2560" s="5">
        <f t="shared" si="175"/>
        <v>2021</v>
      </c>
    </row>
    <row r="2561" spans="1:10" s="9" customFormat="1" hidden="1" x14ac:dyDescent="0.25">
      <c r="A2561" s="491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7">
        <v>256679</v>
      </c>
      <c r="F2561" s="3" t="str">
        <f>IFERROR(VLOOKUP(E2561,BD!$L$2:$Q$66,2,0),0)</f>
        <v>TRIPACK CC+IK+IK PFM 3LX3 - RFNN</v>
      </c>
      <c r="G2561" s="424">
        <v>720</v>
      </c>
      <c r="H2561" s="3">
        <f>+IFERROR(VLOOKUP(E2561,BD!$L$2:$Q$66,6,0),0)</f>
        <v>90</v>
      </c>
      <c r="I2561" s="96">
        <f>IFERROR(G2561*VLOOKUP($E2561,BD!$L$2:$Q$66,5,0),0)</f>
        <v>122.4</v>
      </c>
      <c r="J2561" s="5">
        <f t="shared" si="175"/>
        <v>2021</v>
      </c>
    </row>
    <row r="2562" spans="1:10" s="9" customFormat="1" hidden="1" x14ac:dyDescent="0.25">
      <c r="A2562" s="491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7">
        <v>256680</v>
      </c>
      <c r="F2562" s="3" t="str">
        <f>IFERROR(VLOOKUP(E2562,BD!$L$2:$Q$66,2,0),0)</f>
        <v>TRIPACK CC+CC+IK PFM 3LX3 - RFNN</v>
      </c>
      <c r="G2562" s="424">
        <v>1170</v>
      </c>
      <c r="H2562" s="3">
        <f>+IFERROR(VLOOKUP(E2562,BD!$L$2:$Q$66,6,0),0)</f>
        <v>90</v>
      </c>
      <c r="I2562" s="96">
        <f>IFERROR(G2562*VLOOKUP($E2562,BD!$L$2:$Q$66,5,0),0)</f>
        <v>198.9</v>
      </c>
      <c r="J2562" s="5">
        <f t="shared" si="175"/>
        <v>2021</v>
      </c>
    </row>
    <row r="2563" spans="1:10" s="9" customFormat="1" hidden="1" x14ac:dyDescent="0.25">
      <c r="A2563" s="491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7">
        <v>256678</v>
      </c>
      <c r="F2563" s="3" t="str">
        <f>IFERROR(VLOOKUP(E2563,BD!$L$2:$Q$66,2,0),0)</f>
        <v>TRIPACK (CC+IK)PFM+FT PET 3LX3 - RFNN</v>
      </c>
      <c r="G2563" s="424">
        <v>1620</v>
      </c>
      <c r="H2563" s="3">
        <f>+IFERROR(VLOOKUP(E2563,BD!$L$2:$Q$66,6,0),0)</f>
        <v>90</v>
      </c>
      <c r="I2563" s="96">
        <f>IFERROR(G2563*VLOOKUP($E2563,BD!$L$2:$Q$66,5,0),0)</f>
        <v>275.40000000000003</v>
      </c>
      <c r="J2563" s="5">
        <f t="shared" si="175"/>
        <v>2021</v>
      </c>
    </row>
    <row r="2564" spans="1:10" s="9" customFormat="1" hidden="1" x14ac:dyDescent="0.25">
      <c r="A2564" s="491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7">
        <v>256675</v>
      </c>
      <c r="F2564" s="3" t="str">
        <f>IFERROR(VLOOKUP(E2564,BD!$L$2:$Q$66,2,0),0)</f>
        <v>INCA KOLA PET 1.5LX2 RF</v>
      </c>
      <c r="G2564" s="424">
        <v>864</v>
      </c>
      <c r="H2564" s="3">
        <f>+IFERROR(VLOOKUP(E2564,BD!$L$2:$Q$66,6,0),0)</f>
        <v>198</v>
      </c>
      <c r="I2564" s="96">
        <f>IFERROR(G2564*VLOOKUP($E2564,BD!$L$2:$Q$66,5,0),0)</f>
        <v>146.88000000000002</v>
      </c>
      <c r="J2564" s="5">
        <f t="shared" si="175"/>
        <v>2021</v>
      </c>
    </row>
    <row r="2565" spans="1:10" s="9" customFormat="1" hidden="1" x14ac:dyDescent="0.25">
      <c r="A2565" s="491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7">
        <v>256652</v>
      </c>
      <c r="F2565" s="3" t="str">
        <f>IFERROR(VLOOKUP(E2565,BD!$L$2:$Q$66,2,0),0)</f>
        <v>TRIPACK FT NAR+FT KI+SP PET 3L</v>
      </c>
      <c r="G2565" s="424">
        <v>720</v>
      </c>
      <c r="H2565" s="3">
        <f>+IFERROR(VLOOKUP(E2565,BD!$L$2:$Q$66,6,0),0)</f>
        <v>90</v>
      </c>
      <c r="I2565" s="96">
        <f>IFERROR(G2565*VLOOKUP($E2565,BD!$L$2:$Q$66,5,0),0)</f>
        <v>122.4</v>
      </c>
      <c r="J2565" s="5">
        <f t="shared" si="175"/>
        <v>2021</v>
      </c>
    </row>
    <row r="2566" spans="1:10" s="9" customFormat="1" hidden="1" x14ac:dyDescent="0.25">
      <c r="A2566" s="491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7">
        <v>251429</v>
      </c>
      <c r="F2566" s="3" t="str">
        <f>IFERROR(VLOOKUP(E2566,BD!$L$2:$Q$66,2,0),0)</f>
        <v>SAN LUIS SIN GAS PET2500X6 STICKER</v>
      </c>
      <c r="G2566" s="424">
        <v>384</v>
      </c>
      <c r="H2566" s="3">
        <f>+IFERROR(VLOOKUP(E2566,BD!$L$2:$Q$66,6,0),0)</f>
        <v>48</v>
      </c>
      <c r="I2566" s="96">
        <f>IFERROR(G2566*VLOOKUP($E2566,BD!$L$2:$Q$66,5,0),0)</f>
        <v>153.60000000000002</v>
      </c>
      <c r="J2566" s="5">
        <f t="shared" si="175"/>
        <v>2021</v>
      </c>
    </row>
    <row r="2567" spans="1:10" s="9" customFormat="1" hidden="1" x14ac:dyDescent="0.25">
      <c r="A2567" s="491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7">
        <v>256708</v>
      </c>
      <c r="F2567" s="3" t="str">
        <f>IFERROR(VLOOKUP(E2567,BD!$L$2:$Q$66,2,0),0)</f>
        <v>POWERADE ION4 FRUTA PET473X6 MOD (STICK)</v>
      </c>
      <c r="G2567" s="424">
        <v>225</v>
      </c>
      <c r="H2567" s="3">
        <f>+IFERROR(VLOOKUP(E2567,BD!$L$2:$Q$66,6,0),0)</f>
        <v>225</v>
      </c>
      <c r="I2567" s="96">
        <f>IFERROR(G2567*VLOOKUP($E2567,BD!$L$2:$Q$66,5,0),0)</f>
        <v>90</v>
      </c>
      <c r="J2567" s="5">
        <f t="shared" si="175"/>
        <v>2021</v>
      </c>
    </row>
    <row r="2568" spans="1:10" s="9" customFormat="1" hidden="1" x14ac:dyDescent="0.25">
      <c r="A2568" s="491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7">
        <v>256709</v>
      </c>
      <c r="F2568" s="3" t="str">
        <f>IFERROR(VLOOKUP(E2568,BD!$L$2:$Q$66,2,0),0)</f>
        <v>POWERADE ION4 MORA AZ PET473X6 MOD(STCK)</v>
      </c>
      <c r="G2568" s="424">
        <v>450</v>
      </c>
      <c r="H2568" s="3">
        <f>+IFERROR(VLOOKUP(E2568,BD!$L$2:$Q$66,6,0),0)</f>
        <v>225</v>
      </c>
      <c r="I2568" s="96">
        <f>IFERROR(G2568*VLOOKUP($E2568,BD!$L$2:$Q$66,5,0),0)</f>
        <v>180</v>
      </c>
      <c r="J2568" s="5">
        <f t="shared" si="175"/>
        <v>2021</v>
      </c>
    </row>
    <row r="2569" spans="1:10" s="9" customFormat="1" hidden="1" x14ac:dyDescent="0.25">
      <c r="A2569" s="491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7">
        <v>256720</v>
      </c>
      <c r="F2569" s="3" t="str">
        <f>IFERROR(VLOOKUP(E2569,BD!$L$2:$Q$66,2,0),0)</f>
        <v>FANTA NARANJA PET 500MLX6 BRANDEADO MOD</v>
      </c>
      <c r="G2569" s="424">
        <v>500</v>
      </c>
      <c r="H2569" s="3">
        <f>+IFERROR(VLOOKUP(E2569,BD!$L$2:$Q$66,6,0),0)</f>
        <v>420</v>
      </c>
      <c r="I2569" s="96">
        <f>IFERROR(G2569*VLOOKUP($E2569,BD!$L$2:$Q$66,5,0),0)</f>
        <v>210</v>
      </c>
      <c r="J2569" s="5">
        <f t="shared" si="175"/>
        <v>2021</v>
      </c>
    </row>
    <row r="2570" spans="1:10" s="9" customFormat="1" hidden="1" x14ac:dyDescent="0.25">
      <c r="A2570" s="491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7">
        <v>256601</v>
      </c>
      <c r="F2570" s="3" t="str">
        <f>IFERROR(VLOOKUP(E2570,BD!$L$2:$Q$66,2,0),0)</f>
        <v>INCA KOLA PET 2.25LX2 RF</v>
      </c>
      <c r="G2570" s="424">
        <v>324</v>
      </c>
      <c r="H2570" s="3">
        <f>+IFERROR(VLOOKUP(E2570,BD!$L$2:$Q$66,6,0),0)</f>
        <v>162</v>
      </c>
      <c r="I2570" s="96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hidden="1" thickBot="1" x14ac:dyDescent="0.3">
      <c r="A2571" s="492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9">
        <v>251632</v>
      </c>
      <c r="F2571" s="8" t="str">
        <f>IFERROR(VLOOKUP(E2571,BD!$L$2:$Q$66,2,0),0)</f>
        <v>SAN LUIS SIN GAS PET 625MLX06 MOD</v>
      </c>
      <c r="G2571" s="501">
        <v>1800</v>
      </c>
      <c r="H2571" s="8">
        <f>+IFERROR(VLOOKUP(E2571,BD!$L$2:$Q$66,6,0),0)</f>
        <v>180</v>
      </c>
      <c r="I2571" s="98">
        <f>IFERROR(G2571*VLOOKUP($E2571,BD!$L$2:$Q$66,5,0),0)</f>
        <v>756</v>
      </c>
      <c r="J2571" s="110">
        <f t="shared" si="175"/>
        <v>2021</v>
      </c>
    </row>
    <row r="2572" spans="1:10" s="9" customFormat="1" hidden="1" x14ac:dyDescent="0.25">
      <c r="A2572" s="493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63">
        <v>256679</v>
      </c>
      <c r="F2572" s="6" t="str">
        <f>IFERROR(VLOOKUP(E2572,BD!$L$2:$Q$66,2,0),0)</f>
        <v>TRIPACK CC+IK+IK PFM 3LX3 - RFNN</v>
      </c>
      <c r="G2572" s="513">
        <v>720</v>
      </c>
      <c r="H2572" s="6">
        <f>+IFERROR(VLOOKUP(E2572,BD!$L$2:$Q$66,6,0),0)</f>
        <v>90</v>
      </c>
      <c r="I2572" s="97">
        <f>IFERROR(G2572*VLOOKUP($E2572,BD!$L$2:$Q$66,5,0),0)</f>
        <v>122.4</v>
      </c>
      <c r="J2572" s="109">
        <f t="shared" si="175"/>
        <v>2021</v>
      </c>
    </row>
    <row r="2573" spans="1:10" s="9" customFormat="1" hidden="1" x14ac:dyDescent="0.25">
      <c r="A2573" s="491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7">
        <v>256677</v>
      </c>
      <c r="F2573" s="3" t="str">
        <f>IFERROR(VLOOKUP(E2573,BD!$L$2:$Q$66,2,0),0)</f>
        <v>TWO PACK CC + IK PFM 3LX2 - RFNN</v>
      </c>
      <c r="G2573" s="424">
        <v>2400</v>
      </c>
      <c r="H2573" s="3">
        <f>+IFERROR(VLOOKUP(E2573,BD!$L$2:$Q$66,6,0),0)</f>
        <v>120</v>
      </c>
      <c r="I2573" s="96">
        <f>IFERROR(G2573*VLOOKUP($E2573,BD!$L$2:$Q$66,5,0),0)</f>
        <v>408.00000000000006</v>
      </c>
      <c r="J2573" s="5">
        <f t="shared" si="175"/>
        <v>2021</v>
      </c>
    </row>
    <row r="2574" spans="1:10" s="9" customFormat="1" hidden="1" x14ac:dyDescent="0.25">
      <c r="A2574" s="491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7">
        <v>256652</v>
      </c>
      <c r="F2574" s="3" t="str">
        <f>IFERROR(VLOOKUP(E2574,BD!$L$2:$Q$66,2,0),0)</f>
        <v>TRIPACK FT NAR+FT KI+SP PET 3L</v>
      </c>
      <c r="G2574" s="424">
        <v>720</v>
      </c>
      <c r="H2574" s="3">
        <f>+IFERROR(VLOOKUP(E2574,BD!$L$2:$Q$66,6,0),0)</f>
        <v>90</v>
      </c>
      <c r="I2574" s="96">
        <f>IFERROR(G2574*VLOOKUP($E2574,BD!$L$2:$Q$66,5,0),0)</f>
        <v>122.4</v>
      </c>
      <c r="J2574" s="5">
        <f t="shared" si="175"/>
        <v>2021</v>
      </c>
    </row>
    <row r="2575" spans="1:10" s="9" customFormat="1" hidden="1" x14ac:dyDescent="0.25">
      <c r="A2575" s="491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7">
        <v>254853</v>
      </c>
      <c r="F2575" s="3" t="str">
        <f>IFERROR(VLOOKUP(E2575,BD!$L$2:$Q$66,2,0),0)</f>
        <v>INCA KOLA SIN AZUCAR PET 1.5LX2</v>
      </c>
      <c r="G2575" s="424">
        <v>864</v>
      </c>
      <c r="H2575" s="3">
        <f>+IFERROR(VLOOKUP(E2575,BD!$L$2:$Q$66,6,0),0)</f>
        <v>198</v>
      </c>
      <c r="I2575" s="96">
        <f>IFERROR(G2575*VLOOKUP($E2575,BD!$L$2:$Q$66,5,0),0)</f>
        <v>146.88000000000002</v>
      </c>
      <c r="J2575" s="5">
        <f t="shared" si="175"/>
        <v>2021</v>
      </c>
    </row>
    <row r="2576" spans="1:10" s="9" customFormat="1" hidden="1" x14ac:dyDescent="0.25">
      <c r="A2576" s="491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7">
        <v>256675</v>
      </c>
      <c r="F2576" s="3" t="str">
        <f>IFERROR(VLOOKUP(E2576,BD!$L$2:$Q$66,2,0),0)</f>
        <v>INCA KOLA PET 1.5LX2 RF</v>
      </c>
      <c r="G2576" s="424">
        <v>648</v>
      </c>
      <c r="H2576" s="3">
        <f>+IFERROR(VLOOKUP(E2576,BD!$L$2:$Q$66,6,0),0)</f>
        <v>198</v>
      </c>
      <c r="I2576" s="96">
        <f>IFERROR(G2576*VLOOKUP($E2576,BD!$L$2:$Q$66,5,0),0)</f>
        <v>110.16000000000001</v>
      </c>
      <c r="J2576" s="5">
        <f t="shared" si="175"/>
        <v>2021</v>
      </c>
    </row>
    <row r="2577" spans="1:10" s="9" customFormat="1" hidden="1" x14ac:dyDescent="0.25">
      <c r="A2577" s="491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7">
        <v>256678</v>
      </c>
      <c r="F2577" s="3" t="str">
        <f>IFERROR(VLOOKUP(E2577,BD!$L$2:$Q$66,2,0),0)</f>
        <v>TRIPACK (CC+IK)PFM+FT PET 3LX3 - RFNN</v>
      </c>
      <c r="G2577" s="424">
        <v>3960</v>
      </c>
      <c r="H2577" s="3">
        <f>+IFERROR(VLOOKUP(E2577,BD!$L$2:$Q$66,6,0),0)</f>
        <v>90</v>
      </c>
      <c r="I2577" s="96">
        <f>IFERROR(G2577*VLOOKUP($E2577,BD!$L$2:$Q$66,5,0),0)</f>
        <v>673.2</v>
      </c>
      <c r="J2577" s="5">
        <f t="shared" si="175"/>
        <v>2021</v>
      </c>
    </row>
    <row r="2578" spans="1:10" s="9" customFormat="1" hidden="1" x14ac:dyDescent="0.25">
      <c r="A2578" s="491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7">
        <v>256680</v>
      </c>
      <c r="F2578" s="3" t="str">
        <f>IFERROR(VLOOKUP(E2578,BD!$L$2:$Q$66,2,0),0)</f>
        <v>TRIPACK CC+CC+IK PFM 3LX3 - RFNN</v>
      </c>
      <c r="G2578" s="424">
        <v>720</v>
      </c>
      <c r="H2578" s="3">
        <f>+IFERROR(VLOOKUP(E2578,BD!$L$2:$Q$66,6,0),0)</f>
        <v>90</v>
      </c>
      <c r="I2578" s="96">
        <f>IFERROR(G2578*VLOOKUP($E2578,BD!$L$2:$Q$66,5,0),0)</f>
        <v>122.4</v>
      </c>
      <c r="J2578" s="5">
        <f t="shared" si="175"/>
        <v>2021</v>
      </c>
    </row>
    <row r="2579" spans="1:10" s="9" customFormat="1" hidden="1" x14ac:dyDescent="0.25">
      <c r="A2579" s="491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7">
        <v>251406</v>
      </c>
      <c r="F2579" s="3" t="str">
        <f>IFERROR(VLOOKUP(E2579,BD!$L$2:$Q$66,2,0),0)</f>
        <v>COCA-COLA SIN AZUCAR PET 1.5LX2</v>
      </c>
      <c r="G2579" s="424">
        <v>864</v>
      </c>
      <c r="H2579" s="3">
        <f>+IFERROR(VLOOKUP(E2579,BD!$L$2:$Q$66,6,0),0)</f>
        <v>198</v>
      </c>
      <c r="I2579" s="96">
        <f>IFERROR(G2579*VLOOKUP($E2579,BD!$L$2:$Q$66,5,0),0)</f>
        <v>146.88000000000002</v>
      </c>
      <c r="J2579" s="5">
        <f t="shared" si="175"/>
        <v>2021</v>
      </c>
    </row>
    <row r="2580" spans="1:10" s="9" customFormat="1" hidden="1" x14ac:dyDescent="0.25">
      <c r="A2580" s="491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7">
        <v>251633</v>
      </c>
      <c r="F2580" s="3" t="str">
        <f>IFERROR(VLOOKUP(E2580,BD!$L$2:$Q$66,2,0),0)</f>
        <v>SAN LUIS CON GAS PET 625MLX6</v>
      </c>
      <c r="G2580" s="424">
        <v>900</v>
      </c>
      <c r="H2580" s="3">
        <f>+IFERROR(VLOOKUP(E2580,BD!$L$2:$Q$66,6,0),0)</f>
        <v>180</v>
      </c>
      <c r="I2580" s="96">
        <f>IFERROR(G2580*VLOOKUP($E2580,BD!$L$2:$Q$66,5,0),0)</f>
        <v>378</v>
      </c>
      <c r="J2580" s="5">
        <f t="shared" si="175"/>
        <v>2021</v>
      </c>
    </row>
    <row r="2581" spans="1:10" s="9" customFormat="1" hidden="1" x14ac:dyDescent="0.25">
      <c r="A2581" s="491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7">
        <v>256488</v>
      </c>
      <c r="F2581" s="3" t="str">
        <f>IFERROR(VLOOKUP(E2581,BD!$L$2:$Q$66,2,0),0)</f>
        <v>INCA KOLA PET 3LX2 - RF</v>
      </c>
      <c r="G2581" s="424">
        <v>1800</v>
      </c>
      <c r="H2581" s="3">
        <f>+IFERROR(VLOOKUP(E2581,BD!$L$2:$Q$66,6,0),0)</f>
        <v>120</v>
      </c>
      <c r="I2581" s="96">
        <f>IFERROR(G2581*VLOOKUP($E2581,BD!$L$2:$Q$66,5,0),0)</f>
        <v>306</v>
      </c>
      <c r="J2581" s="5">
        <f t="shared" si="175"/>
        <v>2021</v>
      </c>
    </row>
    <row r="2582" spans="1:10" s="9" customFormat="1" hidden="1" x14ac:dyDescent="0.25">
      <c r="A2582" s="491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7">
        <v>251632</v>
      </c>
      <c r="F2582" s="3" t="str">
        <f>IFERROR(VLOOKUP(E2582,BD!$L$2:$Q$66,2,0),0)</f>
        <v>SAN LUIS SIN GAS PET 625MLX06 MOD</v>
      </c>
      <c r="G2582" s="424">
        <v>900</v>
      </c>
      <c r="H2582" s="3">
        <f>+IFERROR(VLOOKUP(E2582,BD!$L$2:$Q$66,6,0),0)</f>
        <v>180</v>
      </c>
      <c r="I2582" s="96">
        <f>IFERROR(G2582*VLOOKUP($E2582,BD!$L$2:$Q$66,5,0),0)</f>
        <v>378</v>
      </c>
      <c r="J2582" s="5">
        <f t="shared" si="175"/>
        <v>2021</v>
      </c>
    </row>
    <row r="2583" spans="1:10" s="9" customFormat="1" hidden="1" x14ac:dyDescent="0.25">
      <c r="A2583" s="491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7">
        <v>251429</v>
      </c>
      <c r="F2583" s="3" t="str">
        <f>IFERROR(VLOOKUP(E2583,BD!$L$2:$Q$66,2,0),0)</f>
        <v>SAN LUIS SIN GAS PET2500X6 STICKER</v>
      </c>
      <c r="G2583" s="424">
        <v>192</v>
      </c>
      <c r="H2583" s="3">
        <f>+IFERROR(VLOOKUP(E2583,BD!$L$2:$Q$66,6,0),0)</f>
        <v>48</v>
      </c>
      <c r="I2583" s="96">
        <f>IFERROR(G2583*VLOOKUP($E2583,BD!$L$2:$Q$66,5,0),0)</f>
        <v>76.800000000000011</v>
      </c>
      <c r="J2583" s="5">
        <f t="shared" si="175"/>
        <v>2021</v>
      </c>
    </row>
    <row r="2584" spans="1:10" s="9" customFormat="1" hidden="1" x14ac:dyDescent="0.25">
      <c r="A2584" s="491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7">
        <v>751315</v>
      </c>
      <c r="F2584" s="3" t="str">
        <f>IFERROR(VLOOKUP(E2584,BD!$L$2:$Q$66,2,0),0)</f>
        <v>MONSTER ENERGY 473MLX4</v>
      </c>
      <c r="G2584" s="424">
        <v>840</v>
      </c>
      <c r="H2584" s="3">
        <f>+IFERROR(VLOOKUP(E2584,BD!$L$2:$Q$66,6,0),0)</f>
        <v>420</v>
      </c>
      <c r="I2584" s="96">
        <f>IFERROR(G2584*VLOOKUP($E2584,BD!$L$2:$Q$66,5,0),0)</f>
        <v>352.8</v>
      </c>
      <c r="J2584" s="5">
        <f t="shared" si="175"/>
        <v>2021</v>
      </c>
    </row>
    <row r="2585" spans="1:10" s="9" customFormat="1" hidden="1" x14ac:dyDescent="0.25">
      <c r="A2585" s="491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7">
        <v>256676</v>
      </c>
      <c r="F2585" s="3" t="str">
        <f>IFERROR(VLOOKUP(E2585,BD!$L$2:$Q$66,2,0),0)</f>
        <v>TWO PACK CC PFM 3LX2 - RFCC</v>
      </c>
      <c r="G2585" s="424">
        <v>960</v>
      </c>
      <c r="H2585" s="3">
        <f>+IFERROR(VLOOKUP(E2585,BD!$L$2:$Q$66,6,0),0)</f>
        <v>120</v>
      </c>
      <c r="I2585" s="96">
        <f>IFERROR(G2585*VLOOKUP($E2585,BD!$L$2:$Q$66,5,0),0)</f>
        <v>163.20000000000002</v>
      </c>
      <c r="J2585" s="5">
        <f t="shared" si="175"/>
        <v>2021</v>
      </c>
    </row>
    <row r="2586" spans="1:10" s="9" customFormat="1" hidden="1" x14ac:dyDescent="0.25">
      <c r="A2586" s="491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7">
        <v>256682</v>
      </c>
      <c r="F2586" s="3" t="str">
        <f>IFERROR(VLOOKUP(E2586,BD!$L$2:$Q$66,2,0),0)</f>
        <v>TRIPACK (FT NAR+SP)PET+IK RF PFM 3L</v>
      </c>
      <c r="G2586" s="424">
        <v>180</v>
      </c>
      <c r="H2586" s="3">
        <f>+IFERROR(VLOOKUP(E2586,BD!$L$2:$Q$66,6,0),0)</f>
        <v>90</v>
      </c>
      <c r="I2586" s="96">
        <f>IFERROR(G2586*VLOOKUP($E2586,BD!$L$2:$Q$66,5,0),0)</f>
        <v>30.6</v>
      </c>
      <c r="J2586" s="5">
        <f t="shared" si="175"/>
        <v>2021</v>
      </c>
    </row>
    <row r="2587" spans="1:10" s="9" customFormat="1" hidden="1" x14ac:dyDescent="0.25">
      <c r="A2587" s="491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7">
        <v>256720</v>
      </c>
      <c r="F2587" s="3" t="str">
        <f>IFERROR(VLOOKUP(E2587,BD!$L$2:$Q$66,2,0),0)</f>
        <v>FANTA NARANJA PET 500MLX6 BRANDEADO MOD</v>
      </c>
      <c r="G2587" s="424">
        <v>250</v>
      </c>
      <c r="H2587" s="3">
        <f>+IFERROR(VLOOKUP(E2587,BD!$L$2:$Q$66,6,0),0)</f>
        <v>420</v>
      </c>
      <c r="I2587" s="96">
        <f>IFERROR(G2587*VLOOKUP($E2587,BD!$L$2:$Q$66,5,0),0)</f>
        <v>105</v>
      </c>
      <c r="J2587" s="5">
        <f t="shared" si="175"/>
        <v>2021</v>
      </c>
    </row>
    <row r="2588" spans="1:10" s="9" customFormat="1" hidden="1" x14ac:dyDescent="0.25">
      <c r="A2588" s="491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7">
        <v>256674</v>
      </c>
      <c r="F2588" s="3" t="str">
        <f>IFERROR(VLOOKUP(E2588,BD!$L$2:$Q$66,2,0),0)</f>
        <v>COCA-COLA PET 1.5LX2 RF</v>
      </c>
      <c r="G2588" s="424">
        <v>216</v>
      </c>
      <c r="H2588" s="3">
        <f>+IFERROR(VLOOKUP(E2588,BD!$L$2:$Q$66,6,0),0)</f>
        <v>198</v>
      </c>
      <c r="I2588" s="96">
        <f>IFERROR(G2588*VLOOKUP($E2588,BD!$L$2:$Q$66,5,0),0)</f>
        <v>36.720000000000006</v>
      </c>
      <c r="J2588" s="5">
        <f t="shared" si="175"/>
        <v>2021</v>
      </c>
    </row>
    <row r="2589" spans="1:10" s="9" customFormat="1" hidden="1" x14ac:dyDescent="0.25">
      <c r="A2589" s="491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7">
        <v>256721</v>
      </c>
      <c r="F2589" s="3" t="str">
        <f>IFERROR(VLOOKUP(E2589,BD!$L$2:$Q$66,2,0),0)</f>
        <v>SPRITE PET 500MLX6 BRANDEADO MOD</v>
      </c>
      <c r="G2589" s="424">
        <v>1000</v>
      </c>
      <c r="H2589" s="3">
        <f>+IFERROR(VLOOKUP(E2589,BD!$L$2:$Q$66,6,0),0)</f>
        <v>420</v>
      </c>
      <c r="I2589" s="96">
        <f>IFERROR(G2589*VLOOKUP($E2589,BD!$L$2:$Q$66,5,0),0)</f>
        <v>420</v>
      </c>
      <c r="J2589" s="5">
        <f t="shared" si="175"/>
        <v>2021</v>
      </c>
    </row>
    <row r="2590" spans="1:10" s="9" customFormat="1" ht="15.75" hidden="1" thickBot="1" x14ac:dyDescent="0.3">
      <c r="A2590" s="492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9">
        <v>251632</v>
      </c>
      <c r="F2590" s="8" t="str">
        <f>IFERROR(VLOOKUP(E2590,BD!$L$2:$Q$66,2,0),0)</f>
        <v>SAN LUIS SIN GAS PET 625MLX06 MOD</v>
      </c>
      <c r="G2590" s="501">
        <v>540</v>
      </c>
      <c r="H2590" s="8">
        <f>+IFERROR(VLOOKUP(E2590,BD!$L$2:$Q$66,6,0),0)</f>
        <v>180</v>
      </c>
      <c r="I2590" s="98">
        <f>IFERROR(G2590*VLOOKUP($E2590,BD!$L$2:$Q$66,5,0),0)</f>
        <v>226.79999999999998</v>
      </c>
      <c r="J2590" s="110">
        <f t="shared" si="175"/>
        <v>2021</v>
      </c>
    </row>
    <row r="2591" spans="1:10" s="9" customFormat="1" hidden="1" x14ac:dyDescent="0.25">
      <c r="A2591" s="493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63">
        <v>256678</v>
      </c>
      <c r="F2591" s="6" t="str">
        <f>IFERROR(VLOOKUP(E2591,BD!$L$2:$Q$66,2,0),0)</f>
        <v>TRIPACK (CC+IK)PFM+FT PET 3LX3 - RFNN</v>
      </c>
      <c r="G2591" s="513">
        <v>1440</v>
      </c>
      <c r="H2591" s="6">
        <f>+IFERROR(VLOOKUP(E2591,BD!$L$2:$Q$66,6,0),0)</f>
        <v>90</v>
      </c>
      <c r="I2591" s="97">
        <f>IFERROR(G2591*VLOOKUP($E2591,BD!$L$2:$Q$66,5,0),0)</f>
        <v>244.8</v>
      </c>
      <c r="J2591" s="109">
        <f t="shared" si="175"/>
        <v>1900</v>
      </c>
    </row>
    <row r="2592" spans="1:10" s="9" customFormat="1" hidden="1" x14ac:dyDescent="0.25">
      <c r="A2592" s="491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7">
        <v>251406</v>
      </c>
      <c r="F2592" s="3" t="str">
        <f>IFERROR(VLOOKUP(E2592,BD!$L$2:$Q$66,2,0),0)</f>
        <v>COCA-COLA SIN AZUCAR PET 1.5LX2</v>
      </c>
      <c r="G2592" s="424">
        <v>1296</v>
      </c>
      <c r="H2592" s="3">
        <f>+IFERROR(VLOOKUP(E2592,BD!$L$2:$Q$66,6,0),0)</f>
        <v>198</v>
      </c>
      <c r="I2592" s="96">
        <f>IFERROR(G2592*VLOOKUP($E2592,BD!$L$2:$Q$66,5,0),0)</f>
        <v>220.32000000000002</v>
      </c>
      <c r="J2592" s="5">
        <f t="shared" si="175"/>
        <v>2021</v>
      </c>
    </row>
    <row r="2593" spans="1:10" s="9" customFormat="1" hidden="1" x14ac:dyDescent="0.25">
      <c r="A2593" s="491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7">
        <v>256674</v>
      </c>
      <c r="F2593" s="3" t="str">
        <f>IFERROR(VLOOKUP(E2593,BD!$L$2:$Q$66,2,0),0)</f>
        <v>COCA-COLA PET 1.5LX2 RF</v>
      </c>
      <c r="G2593" s="424">
        <v>2592</v>
      </c>
      <c r="H2593" s="3">
        <f>+IFERROR(VLOOKUP(E2593,BD!$L$2:$Q$66,6,0),0)</f>
        <v>198</v>
      </c>
      <c r="I2593" s="96">
        <f>IFERROR(G2593*VLOOKUP($E2593,BD!$L$2:$Q$66,5,0),0)</f>
        <v>440.64000000000004</v>
      </c>
      <c r="J2593" s="5">
        <f t="shared" si="175"/>
        <v>2021</v>
      </c>
    </row>
    <row r="2594" spans="1:10" s="9" customFormat="1" hidden="1" x14ac:dyDescent="0.25">
      <c r="A2594" s="491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7">
        <v>256676</v>
      </c>
      <c r="F2594" s="3" t="str">
        <f>IFERROR(VLOOKUP(E2594,BD!$L$2:$Q$66,2,0),0)</f>
        <v>TWO PACK CC PFM 3LX2 - RFCC</v>
      </c>
      <c r="G2594" s="424">
        <v>1080</v>
      </c>
      <c r="H2594" s="3">
        <f>+IFERROR(VLOOKUP(E2594,BD!$L$2:$Q$66,6,0),0)</f>
        <v>120</v>
      </c>
      <c r="I2594" s="96">
        <f>IFERROR(G2594*VLOOKUP($E2594,BD!$L$2:$Q$66,5,0),0)</f>
        <v>183.60000000000002</v>
      </c>
      <c r="J2594" s="5">
        <f t="shared" si="175"/>
        <v>2021</v>
      </c>
    </row>
    <row r="2595" spans="1:10" s="9" customFormat="1" hidden="1" x14ac:dyDescent="0.25">
      <c r="A2595" s="491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7">
        <v>256677</v>
      </c>
      <c r="F2595" s="3" t="str">
        <f>IFERROR(VLOOKUP(E2595,BD!$L$2:$Q$66,2,0),0)</f>
        <v>TWO PACK CC + IK PFM 3LX2 - RFNN</v>
      </c>
      <c r="G2595" s="424">
        <v>1920</v>
      </c>
      <c r="H2595" s="3">
        <f>+IFERROR(VLOOKUP(E2595,BD!$L$2:$Q$66,6,0),0)</f>
        <v>120</v>
      </c>
      <c r="I2595" s="96">
        <f>IFERROR(G2595*VLOOKUP($E2595,BD!$L$2:$Q$66,5,0),0)</f>
        <v>326.40000000000003</v>
      </c>
      <c r="J2595" s="5">
        <f t="shared" si="175"/>
        <v>2021</v>
      </c>
    </row>
    <row r="2596" spans="1:10" s="9" customFormat="1" hidden="1" x14ac:dyDescent="0.25">
      <c r="A2596" s="491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7">
        <v>256488</v>
      </c>
      <c r="F2596" s="3" t="str">
        <f>IFERROR(VLOOKUP(E2596,BD!$L$2:$Q$66,2,0),0)</f>
        <v>INCA KOLA PET 3LX2 - RF</v>
      </c>
      <c r="G2596" s="424">
        <v>1560</v>
      </c>
      <c r="H2596" s="3">
        <f>+IFERROR(VLOOKUP(E2596,BD!$L$2:$Q$66,6,0),0)</f>
        <v>120</v>
      </c>
      <c r="I2596" s="96">
        <f>IFERROR(G2596*VLOOKUP($E2596,BD!$L$2:$Q$66,5,0),0)</f>
        <v>265.20000000000005</v>
      </c>
      <c r="J2596" s="5">
        <f t="shared" si="175"/>
        <v>2021</v>
      </c>
    </row>
    <row r="2597" spans="1:10" s="9" customFormat="1" hidden="1" x14ac:dyDescent="0.25">
      <c r="A2597" s="491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7">
        <v>256617</v>
      </c>
      <c r="F2597" s="3" t="str">
        <f>IFERROR(VLOOKUP(E2597,BD!$L$2:$Q$66,2,0),0)</f>
        <v>TWO PACK SCHWEPPES GINGER ALE PET 1.5LX2</v>
      </c>
      <c r="G2597" s="424">
        <v>1782</v>
      </c>
      <c r="H2597" s="3">
        <f>+IFERROR(VLOOKUP(E2597,BD!$L$2:$Q$66,6,0),0)</f>
        <v>198</v>
      </c>
      <c r="I2597" s="96">
        <f>IFERROR(G2597*VLOOKUP($E2597,BD!$L$2:$Q$66,5,0),0)</f>
        <v>302.94</v>
      </c>
      <c r="J2597" s="5">
        <f t="shared" si="175"/>
        <v>2021</v>
      </c>
    </row>
    <row r="2598" spans="1:10" s="9" customFormat="1" hidden="1" x14ac:dyDescent="0.25">
      <c r="A2598" s="491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7">
        <v>256675</v>
      </c>
      <c r="F2598" s="3" t="str">
        <f>IFERROR(VLOOKUP(E2598,BD!$L$2:$Q$66,2,0),0)</f>
        <v>INCA KOLA PET 1.5LX2 RF</v>
      </c>
      <c r="G2598" s="424">
        <v>864</v>
      </c>
      <c r="H2598" s="3">
        <f>+IFERROR(VLOOKUP(E2598,BD!$L$2:$Q$66,6,0),0)</f>
        <v>198</v>
      </c>
      <c r="I2598" s="96">
        <f>IFERROR(G2598*VLOOKUP($E2598,BD!$L$2:$Q$66,5,0),0)</f>
        <v>146.88000000000002</v>
      </c>
      <c r="J2598" s="5">
        <f t="shared" si="175"/>
        <v>2021</v>
      </c>
    </row>
    <row r="2599" spans="1:10" s="9" customFormat="1" hidden="1" x14ac:dyDescent="0.25">
      <c r="A2599" s="491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7">
        <v>251632</v>
      </c>
      <c r="F2599" s="3" t="str">
        <f>IFERROR(VLOOKUP(E2599,BD!$L$2:$Q$66,2,0),0)</f>
        <v>SAN LUIS SIN GAS PET 625MLX06 MOD</v>
      </c>
      <c r="G2599" s="424">
        <v>360</v>
      </c>
      <c r="H2599" s="3">
        <f>+IFERROR(VLOOKUP(E2599,BD!$L$2:$Q$66,6,0),0)</f>
        <v>180</v>
      </c>
      <c r="I2599" s="96">
        <f>IFERROR(G2599*VLOOKUP($E2599,BD!$L$2:$Q$66,5,0),0)</f>
        <v>151.19999999999999</v>
      </c>
      <c r="J2599" s="5">
        <f t="shared" si="175"/>
        <v>2021</v>
      </c>
    </row>
    <row r="2600" spans="1:10" s="9" customFormat="1" hidden="1" x14ac:dyDescent="0.25">
      <c r="A2600" s="491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7">
        <v>256548</v>
      </c>
      <c r="F2600" s="3" t="str">
        <f>IFERROR(VLOOKUP(E2600,BD!$L$2:$Q$66,2,0),0)</f>
        <v>TWO PACK CC PET 1.5LX2 - CRC</v>
      </c>
      <c r="G2600" s="424">
        <v>648</v>
      </c>
      <c r="H2600" s="3">
        <f>+IFERROR(VLOOKUP(E2600,BD!$L$2:$Q$66,6,0),0)</f>
        <v>198</v>
      </c>
      <c r="I2600" s="96">
        <f>IFERROR(G2600*VLOOKUP($E2600,BD!$L$2:$Q$66,5,0),0)</f>
        <v>110.16000000000001</v>
      </c>
      <c r="J2600" s="5">
        <f t="shared" si="175"/>
        <v>2021</v>
      </c>
    </row>
    <row r="2601" spans="1:10" s="9" customFormat="1" hidden="1" x14ac:dyDescent="0.25">
      <c r="A2601" s="491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7">
        <v>256601</v>
      </c>
      <c r="F2601" s="3" t="str">
        <f>IFERROR(VLOOKUP(E2601,BD!$L$2:$Q$66,2,0),0)</f>
        <v>INCA KOLA PET 2.25LX2 RF</v>
      </c>
      <c r="G2601" s="424">
        <v>324</v>
      </c>
      <c r="H2601" s="3">
        <f>+IFERROR(VLOOKUP(E2601,BD!$L$2:$Q$66,6,0),0)</f>
        <v>162</v>
      </c>
      <c r="I2601" s="96">
        <f>IFERROR(G2601*VLOOKUP($E2601,BD!$L$2:$Q$66,5,0),0)</f>
        <v>55.080000000000005</v>
      </c>
      <c r="J2601" s="5">
        <f t="shared" si="175"/>
        <v>2021</v>
      </c>
    </row>
    <row r="2602" spans="1:10" s="9" customFormat="1" hidden="1" x14ac:dyDescent="0.25">
      <c r="A2602" s="491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7">
        <v>256652</v>
      </c>
      <c r="F2602" s="3" t="str">
        <f>IFERROR(VLOOKUP(E2602,BD!$L$2:$Q$66,2,0),0)</f>
        <v>TRIPACK FT NAR+FT KI+SP PET 3L</v>
      </c>
      <c r="G2602" s="424">
        <v>900</v>
      </c>
      <c r="H2602" s="3">
        <f>+IFERROR(VLOOKUP(E2602,BD!$L$2:$Q$66,6,0),0)</f>
        <v>90</v>
      </c>
      <c r="I2602" s="96">
        <f>IFERROR(G2602*VLOOKUP($E2602,BD!$L$2:$Q$66,5,0),0)</f>
        <v>153</v>
      </c>
      <c r="J2602" s="5">
        <f t="shared" si="175"/>
        <v>2021</v>
      </c>
    </row>
    <row r="2603" spans="1:10" s="9" customFormat="1" hidden="1" x14ac:dyDescent="0.25">
      <c r="A2603" s="491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7">
        <v>256695</v>
      </c>
      <c r="F2603" s="3" t="str">
        <f>IFERROR(VLOOKUP(E2603,BD!$L$2:$Q$66,2,0),0)</f>
        <v>POWERADE 3MORA+3FRUT PET 473MLX6</v>
      </c>
      <c r="G2603" s="425">
        <v>2250</v>
      </c>
      <c r="H2603" s="3">
        <f>+IFERROR(VLOOKUP(E2603,BD!$L$2:$Q$66,6,0),0)</f>
        <v>225</v>
      </c>
      <c r="I2603" s="96">
        <f>IFERROR(G2603*VLOOKUP($E2603,BD!$L$2:$Q$66,5,0),0)</f>
        <v>945</v>
      </c>
      <c r="J2603" s="5">
        <f t="shared" si="175"/>
        <v>2021</v>
      </c>
    </row>
    <row r="2604" spans="1:10" s="9" customFormat="1" hidden="1" x14ac:dyDescent="0.25">
      <c r="A2604" s="491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7">
        <v>256708</v>
      </c>
      <c r="F2604" s="3" t="str">
        <f>IFERROR(VLOOKUP(E2604,BD!$L$2:$Q$66,2,0),0)</f>
        <v>POWERADE ION4 FRUTA PET473X6 MOD (STICK)</v>
      </c>
      <c r="G2604" s="425">
        <v>225</v>
      </c>
      <c r="H2604" s="3">
        <f>+IFERROR(VLOOKUP(E2604,BD!$L$2:$Q$66,6,0),0)</f>
        <v>225</v>
      </c>
      <c r="I2604" s="96">
        <f>IFERROR(G2604*VLOOKUP($E2604,BD!$L$2:$Q$66,5,0),0)</f>
        <v>90</v>
      </c>
      <c r="J2604" s="5">
        <f t="shared" si="175"/>
        <v>2021</v>
      </c>
    </row>
    <row r="2605" spans="1:10" s="9" customFormat="1" hidden="1" x14ac:dyDescent="0.25">
      <c r="A2605" s="491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7">
        <v>256709</v>
      </c>
      <c r="F2605" s="3" t="str">
        <f>IFERROR(VLOOKUP(E2605,BD!$L$2:$Q$66,2,0),0)</f>
        <v>POWERADE ION4 MORA AZ PET473X6 MOD(STCK)</v>
      </c>
      <c r="G2605" s="424">
        <v>225</v>
      </c>
      <c r="H2605" s="3">
        <f>+IFERROR(VLOOKUP(E2605,BD!$L$2:$Q$66,6,0),0)</f>
        <v>225</v>
      </c>
      <c r="I2605" s="96">
        <f>IFERROR(G2605*VLOOKUP($E2605,BD!$L$2:$Q$66,5,0),0)</f>
        <v>90</v>
      </c>
      <c r="J2605" s="5">
        <f t="shared" si="175"/>
        <v>2021</v>
      </c>
    </row>
    <row r="2606" spans="1:10" s="9" customFormat="1" hidden="1" x14ac:dyDescent="0.25">
      <c r="A2606" s="491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7">
        <v>256720</v>
      </c>
      <c r="F2606" s="3" t="str">
        <f>IFERROR(VLOOKUP(E2606,BD!$L$2:$Q$66,2,0),0)</f>
        <v>FANTA NARANJA PET 500MLX6 BRANDEADO MOD</v>
      </c>
      <c r="G2606" s="424">
        <v>1000</v>
      </c>
      <c r="H2606" s="3">
        <f>+IFERROR(VLOOKUP(E2606,BD!$L$2:$Q$66,6,0),0)</f>
        <v>420</v>
      </c>
      <c r="I2606" s="96">
        <f>IFERROR(G2606*VLOOKUP($E2606,BD!$L$2:$Q$66,5,0),0)</f>
        <v>420</v>
      </c>
      <c r="J2606" s="5">
        <f t="shared" si="175"/>
        <v>2021</v>
      </c>
    </row>
    <row r="2607" spans="1:10" s="9" customFormat="1" hidden="1" x14ac:dyDescent="0.25">
      <c r="A2607" s="491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7">
        <v>256721</v>
      </c>
      <c r="F2607" s="3" t="str">
        <f>IFERROR(VLOOKUP(E2607,BD!$L$2:$Q$66,2,0),0)</f>
        <v>SPRITE PET 500MLX6 BRANDEADO MOD</v>
      </c>
      <c r="G2607" s="424">
        <v>1000</v>
      </c>
      <c r="H2607" s="3">
        <f>+IFERROR(VLOOKUP(E2607,BD!$L$2:$Q$66,6,0),0)</f>
        <v>420</v>
      </c>
      <c r="I2607" s="96">
        <f>IFERROR(G2607*VLOOKUP($E2607,BD!$L$2:$Q$66,5,0),0)</f>
        <v>420</v>
      </c>
      <c r="J2607" s="5">
        <f t="shared" si="175"/>
        <v>2021</v>
      </c>
    </row>
    <row r="2608" spans="1:10" s="9" customFormat="1" hidden="1" x14ac:dyDescent="0.25">
      <c r="A2608" s="491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7">
        <v>254762</v>
      </c>
      <c r="F2608" s="3" t="str">
        <f>IFERROR(VLOOKUP(E2608,BD!$L$2:$Q$66,2,0),0)</f>
        <v xml:space="preserve">SAN LUIS SPORT S/G 10 Lt x6 </v>
      </c>
      <c r="G2608" s="425">
        <v>112</v>
      </c>
      <c r="H2608" s="3">
        <f>+IFERROR(VLOOKUP(E2608,BD!$L$2:$Q$66,6,0),0)</f>
        <v>240</v>
      </c>
      <c r="I2608" s="96">
        <f>IFERROR(G2608*VLOOKUP($E2608,BD!$L$2:$Q$66,5,0),0)</f>
        <v>44.800000000000004</v>
      </c>
      <c r="J2608" s="5">
        <f t="shared" si="175"/>
        <v>2021</v>
      </c>
    </row>
    <row r="2609" spans="1:10" s="9" customFormat="1" hidden="1" x14ac:dyDescent="0.25">
      <c r="A2609" s="491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7">
        <v>251429</v>
      </c>
      <c r="F2609" s="3" t="str">
        <f>IFERROR(VLOOKUP(E2609,BD!$L$2:$Q$66,2,0),0)</f>
        <v>SAN LUIS SIN GAS PET2500X6 STICKER</v>
      </c>
      <c r="G2609" s="424">
        <v>816</v>
      </c>
      <c r="H2609" s="3">
        <f>+IFERROR(VLOOKUP(E2609,BD!$L$2:$Q$66,6,0),0)</f>
        <v>48</v>
      </c>
      <c r="I2609" s="96">
        <f>IFERROR(G2609*VLOOKUP($E2609,BD!$L$2:$Q$66,5,0),0)</f>
        <v>326.40000000000003</v>
      </c>
      <c r="J2609" s="5">
        <f t="shared" si="175"/>
        <v>2021</v>
      </c>
    </row>
    <row r="2610" spans="1:10" s="9" customFormat="1" hidden="1" x14ac:dyDescent="0.25">
      <c r="A2610" s="491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7">
        <v>251633</v>
      </c>
      <c r="F2610" s="3" t="str">
        <f>IFERROR(VLOOKUP(E2610,BD!$L$2:$Q$66,2,0),0)</f>
        <v>SAN LUIS CON GAS PET 625MLX6</v>
      </c>
      <c r="G2610" s="424">
        <v>1080</v>
      </c>
      <c r="H2610" s="3">
        <f>+IFERROR(VLOOKUP(E2610,BD!$L$2:$Q$66,6,0),0)</f>
        <v>180</v>
      </c>
      <c r="I2610" s="96">
        <f>IFERROR(G2610*VLOOKUP($E2610,BD!$L$2:$Q$66,5,0),0)</f>
        <v>453.59999999999997</v>
      </c>
      <c r="J2610" s="5">
        <f t="shared" si="175"/>
        <v>2021</v>
      </c>
    </row>
    <row r="2611" spans="1:10" s="9" customFormat="1" hidden="1" x14ac:dyDescent="0.25">
      <c r="A2611" s="491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7">
        <v>254853</v>
      </c>
      <c r="F2611" s="3" t="str">
        <f>IFERROR(VLOOKUP(E2611,BD!$L$2:$Q$66,2,0),0)</f>
        <v>INCA KOLA SIN AZUCAR PET 1.5LX2</v>
      </c>
      <c r="G2611" s="424">
        <v>864</v>
      </c>
      <c r="H2611" s="3">
        <f>+IFERROR(VLOOKUP(E2611,BD!$L$2:$Q$66,6,0),0)</f>
        <v>198</v>
      </c>
      <c r="I2611" s="96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hidden="1" thickBot="1" x14ac:dyDescent="0.3">
      <c r="A2612" s="492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9">
        <v>256685</v>
      </c>
      <c r="F2612" s="8" t="str">
        <f>IFERROR(VLOOKUP(E2612,BD!$L$2:$Q$66,2,0),0)</f>
        <v>SL S/G TAPA PLANA 1LT</v>
      </c>
      <c r="G2612" s="501">
        <v>112</v>
      </c>
      <c r="H2612" s="8">
        <f>+IFERROR(VLOOKUP(E2612,BD!$L$2:$Q$66,6,0),0)</f>
        <v>112</v>
      </c>
      <c r="I2612" s="98">
        <f>IFERROR(G2612*VLOOKUP($E2612,BD!$L$2:$Q$66,5,0),0)</f>
        <v>44.800000000000004</v>
      </c>
      <c r="J2612" s="110">
        <f t="shared" si="175"/>
        <v>2021</v>
      </c>
    </row>
    <row r="2613" spans="1:10" s="9" customFormat="1" hidden="1" x14ac:dyDescent="0.25">
      <c r="A2613" s="493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63">
        <v>256685</v>
      </c>
      <c r="F2613" s="6" t="str">
        <f>IFERROR(VLOOKUP(E2613,BD!$L$2:$Q$66,2,0),0)</f>
        <v>SL S/G TAPA PLANA 1LT</v>
      </c>
      <c r="G2613" s="513">
        <v>224</v>
      </c>
      <c r="H2613" s="6">
        <f>+IFERROR(VLOOKUP(E2613,BD!$L$2:$Q$66,6,0),0)</f>
        <v>112</v>
      </c>
      <c r="I2613" s="97">
        <f>IFERROR(G2613*VLOOKUP($E2613,BD!$L$2:$Q$66,5,0),0)</f>
        <v>89.600000000000009</v>
      </c>
      <c r="J2613" s="109">
        <f t="shared" si="175"/>
        <v>2021</v>
      </c>
    </row>
    <row r="2614" spans="1:10" s="9" customFormat="1" hidden="1" x14ac:dyDescent="0.25">
      <c r="A2614" s="491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7">
        <v>251429</v>
      </c>
      <c r="F2614" s="3" t="str">
        <f>IFERROR(VLOOKUP(E2614,BD!$L$2:$Q$66,2,0),0)</f>
        <v>SAN LUIS SIN GAS PET2500X6 STICKER</v>
      </c>
      <c r="G2614" s="424">
        <v>912</v>
      </c>
      <c r="H2614" s="3">
        <f>+IFERROR(VLOOKUP(E2614,BD!$L$2:$Q$66,6,0),0)</f>
        <v>48</v>
      </c>
      <c r="I2614" s="96">
        <f>IFERROR(G2614*VLOOKUP($E2614,BD!$L$2:$Q$66,5,0),0)</f>
        <v>364.8</v>
      </c>
      <c r="J2614" s="5">
        <f t="shared" si="175"/>
        <v>2021</v>
      </c>
    </row>
    <row r="2615" spans="1:10" s="9" customFormat="1" hidden="1" x14ac:dyDescent="0.25">
      <c r="A2615" s="491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7">
        <v>251406</v>
      </c>
      <c r="F2615" s="3" t="str">
        <f>IFERROR(VLOOKUP(E2615,BD!$L$2:$Q$66,2,0),0)</f>
        <v>COCA-COLA SIN AZUCAR PET 1.5LX2</v>
      </c>
      <c r="G2615" s="424">
        <v>1944</v>
      </c>
      <c r="H2615" s="3">
        <f>+IFERROR(VLOOKUP(E2615,BD!$L$2:$Q$66,6,0),0)</f>
        <v>198</v>
      </c>
      <c r="I2615" s="96">
        <f>IFERROR(G2615*VLOOKUP($E2615,BD!$L$2:$Q$66,5,0),0)</f>
        <v>330.48</v>
      </c>
      <c r="J2615" s="5">
        <f t="shared" si="175"/>
        <v>2021</v>
      </c>
    </row>
    <row r="2616" spans="1:10" s="9" customFormat="1" hidden="1" x14ac:dyDescent="0.25">
      <c r="A2616" s="491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7">
        <v>254853</v>
      </c>
      <c r="F2616" s="3" t="str">
        <f>IFERROR(VLOOKUP(E2616,BD!$L$2:$Q$66,2,0),0)</f>
        <v>INCA KOLA SIN AZUCAR PET 1.5LX2</v>
      </c>
      <c r="G2616" s="424">
        <v>2592</v>
      </c>
      <c r="H2616" s="3">
        <f>+IFERROR(VLOOKUP(E2616,BD!$L$2:$Q$66,6,0),0)</f>
        <v>198</v>
      </c>
      <c r="I2616" s="96">
        <f>IFERROR(G2616*VLOOKUP($E2616,BD!$L$2:$Q$66,5,0),0)</f>
        <v>440.64000000000004</v>
      </c>
      <c r="J2616" s="5">
        <f t="shared" si="175"/>
        <v>2021</v>
      </c>
    </row>
    <row r="2617" spans="1:10" s="9" customFormat="1" hidden="1" x14ac:dyDescent="0.25">
      <c r="A2617" s="491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7">
        <v>256616</v>
      </c>
      <c r="F2617" s="3" t="str">
        <f>IFERROR(VLOOKUP(E2617,BD!$L$2:$Q$66,2,0),0)</f>
        <v>TWO PACK SCHWEPPES CITRUS PET 1.5LX2</v>
      </c>
      <c r="G2617" s="424">
        <v>396</v>
      </c>
      <c r="H2617" s="3">
        <f>+IFERROR(VLOOKUP(E2617,BD!$L$2:$Q$66,6,0),0)</f>
        <v>198</v>
      </c>
      <c r="I2617" s="96">
        <f>IFERROR(G2617*VLOOKUP($E2617,BD!$L$2:$Q$66,5,0),0)</f>
        <v>67.320000000000007</v>
      </c>
      <c r="J2617" s="5">
        <f t="shared" si="175"/>
        <v>2021</v>
      </c>
    </row>
    <row r="2618" spans="1:10" s="9" customFormat="1" hidden="1" x14ac:dyDescent="0.25">
      <c r="A2618" s="491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7">
        <v>256617</v>
      </c>
      <c r="F2618" s="3" t="str">
        <f>IFERROR(VLOOKUP(E2618,BD!$L$2:$Q$66,2,0),0)</f>
        <v>TWO PACK SCHWEPPES GINGER ALE PET 1.5LX2</v>
      </c>
      <c r="G2618" s="424">
        <v>990</v>
      </c>
      <c r="H2618" s="3">
        <f>+IFERROR(VLOOKUP(E2618,BD!$L$2:$Q$66,6,0),0)</f>
        <v>198</v>
      </c>
      <c r="I2618" s="96">
        <f>IFERROR(G2618*VLOOKUP($E2618,BD!$L$2:$Q$66,5,0),0)</f>
        <v>168.3</v>
      </c>
      <c r="J2618" s="5">
        <f t="shared" si="175"/>
        <v>2021</v>
      </c>
    </row>
    <row r="2619" spans="1:10" s="9" customFormat="1" hidden="1" x14ac:dyDescent="0.25">
      <c r="A2619" s="491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7">
        <v>256666</v>
      </c>
      <c r="F2619" s="3" t="str">
        <f>IFERROR(VLOOKUP(E2619,BD!$L$2:$Q$66,2,0),0)</f>
        <v>COCA-COLA PET 2.25LX2 RF</v>
      </c>
      <c r="G2619" s="424">
        <v>648</v>
      </c>
      <c r="H2619" s="3">
        <f>+IFERROR(VLOOKUP(E2619,BD!$L$2:$Q$66,6,0),0)</f>
        <v>162</v>
      </c>
      <c r="I2619" s="96">
        <f>IFERROR(G2619*VLOOKUP($E2619,BD!$L$2:$Q$66,5,0),0)</f>
        <v>110.16000000000001</v>
      </c>
      <c r="J2619" s="5">
        <f t="shared" si="175"/>
        <v>2021</v>
      </c>
    </row>
    <row r="2620" spans="1:10" s="9" customFormat="1" hidden="1" x14ac:dyDescent="0.25">
      <c r="A2620" s="491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7">
        <v>256601</v>
      </c>
      <c r="F2620" s="3" t="str">
        <f>IFERROR(VLOOKUP(E2620,BD!$L$2:$Q$66,2,0),0)</f>
        <v>INCA KOLA PET 2.25LX2 RF</v>
      </c>
      <c r="G2620" s="424">
        <v>972</v>
      </c>
      <c r="H2620" s="3">
        <f>+IFERROR(VLOOKUP(E2620,BD!$L$2:$Q$66,6,0),0)</f>
        <v>162</v>
      </c>
      <c r="I2620" s="96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hidden="1" x14ac:dyDescent="0.25">
      <c r="A2621" s="491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7">
        <v>256488</v>
      </c>
      <c r="F2621" s="3" t="str">
        <f>IFERROR(VLOOKUP(E2621,BD!$L$2:$Q$66,2,0),0)</f>
        <v>INCA KOLA PET 3LX2 - RF</v>
      </c>
      <c r="G2621" s="424">
        <v>1560</v>
      </c>
      <c r="H2621" s="3">
        <f>+IFERROR(VLOOKUP(E2621,BD!$L$2:$Q$66,6,0),0)</f>
        <v>120</v>
      </c>
      <c r="I2621" s="96">
        <f>IFERROR(G2621*VLOOKUP($E2621,BD!$L$2:$Q$66,5,0),0)</f>
        <v>265.20000000000005</v>
      </c>
      <c r="J2621" s="5">
        <f t="shared" si="179"/>
        <v>2021</v>
      </c>
    </row>
    <row r="2622" spans="1:10" s="9" customFormat="1" hidden="1" x14ac:dyDescent="0.25">
      <c r="A2622" s="491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7">
        <v>256676</v>
      </c>
      <c r="F2622" s="3" t="str">
        <f>IFERROR(VLOOKUP(E2622,BD!$L$2:$Q$66,2,0),0)</f>
        <v>TWO PACK CC PFM 3LX2 - RFCC</v>
      </c>
      <c r="G2622" s="424">
        <v>360</v>
      </c>
      <c r="H2622" s="3">
        <f>+IFERROR(VLOOKUP(E2622,BD!$L$2:$Q$66,6,0),0)</f>
        <v>120</v>
      </c>
      <c r="I2622" s="96">
        <f>IFERROR(G2622*VLOOKUP($E2622,BD!$L$2:$Q$66,5,0),0)</f>
        <v>61.2</v>
      </c>
      <c r="J2622" s="5">
        <f t="shared" si="179"/>
        <v>2021</v>
      </c>
    </row>
    <row r="2623" spans="1:10" s="9" customFormat="1" hidden="1" x14ac:dyDescent="0.25">
      <c r="A2623" s="491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7">
        <v>256674</v>
      </c>
      <c r="F2623" s="3" t="str">
        <f>IFERROR(VLOOKUP(E2623,BD!$L$2:$Q$66,2,0),0)</f>
        <v>COCA-COLA PET 1.5LX2 RF</v>
      </c>
      <c r="G2623" s="424">
        <v>864</v>
      </c>
      <c r="H2623" s="3">
        <f>+IFERROR(VLOOKUP(E2623,BD!$L$2:$Q$66,6,0),0)</f>
        <v>198</v>
      </c>
      <c r="I2623" s="96">
        <f>IFERROR(G2623*VLOOKUP($E2623,BD!$L$2:$Q$66,5,0),0)</f>
        <v>146.88000000000002</v>
      </c>
      <c r="J2623" s="5">
        <f t="shared" si="179"/>
        <v>2021</v>
      </c>
    </row>
    <row r="2624" spans="1:10" s="9" customFormat="1" hidden="1" x14ac:dyDescent="0.25">
      <c r="A2624" s="491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7">
        <v>256675</v>
      </c>
      <c r="F2624" s="3" t="str">
        <f>IFERROR(VLOOKUP(E2624,BD!$L$2:$Q$66,2,0),0)</f>
        <v>INCA KOLA PET 1.5LX2 RF</v>
      </c>
      <c r="G2624" s="424">
        <v>1728</v>
      </c>
      <c r="H2624" s="3">
        <f>+IFERROR(VLOOKUP(E2624,BD!$L$2:$Q$66,6,0),0)</f>
        <v>198</v>
      </c>
      <c r="I2624" s="96">
        <f>IFERROR(G2624*VLOOKUP($E2624,BD!$L$2:$Q$66,5,0),0)</f>
        <v>293.76000000000005</v>
      </c>
      <c r="J2624" s="5">
        <f t="shared" si="179"/>
        <v>2021</v>
      </c>
    </row>
    <row r="2625" spans="1:10" s="9" customFormat="1" hidden="1" x14ac:dyDescent="0.25">
      <c r="A2625" s="491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7">
        <v>256652</v>
      </c>
      <c r="F2625" s="3" t="str">
        <f>IFERROR(VLOOKUP(E2625,BD!$L$2:$Q$66,2,0),0)</f>
        <v>TRIPACK FT NAR+FT KI+SP PET 3L</v>
      </c>
      <c r="G2625" s="424">
        <v>720</v>
      </c>
      <c r="H2625" s="3">
        <f>+IFERROR(VLOOKUP(E2625,BD!$L$2:$Q$66,6,0),0)</f>
        <v>90</v>
      </c>
      <c r="I2625" s="96">
        <f>IFERROR(G2625*VLOOKUP($E2625,BD!$L$2:$Q$66,5,0),0)</f>
        <v>122.4</v>
      </c>
      <c r="J2625" s="5">
        <f t="shared" si="179"/>
        <v>2021</v>
      </c>
    </row>
    <row r="2626" spans="1:10" s="9" customFormat="1" hidden="1" x14ac:dyDescent="0.25">
      <c r="A2626" s="491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7">
        <v>256677</v>
      </c>
      <c r="F2626" s="3" t="str">
        <f>IFERROR(VLOOKUP(E2626,BD!$L$2:$Q$66,2,0),0)</f>
        <v>TWO PACK CC + IK PFM 3LX2 - RFNN</v>
      </c>
      <c r="G2626" s="424">
        <v>720</v>
      </c>
      <c r="H2626" s="3">
        <f>+IFERROR(VLOOKUP(E2626,BD!$L$2:$Q$66,6,0),0)</f>
        <v>120</v>
      </c>
      <c r="I2626" s="96">
        <f>IFERROR(G2626*VLOOKUP($E2626,BD!$L$2:$Q$66,5,0),0)</f>
        <v>122.4</v>
      </c>
      <c r="J2626" s="5">
        <f t="shared" si="179"/>
        <v>2021</v>
      </c>
    </row>
    <row r="2627" spans="1:10" s="9" customFormat="1" hidden="1" x14ac:dyDescent="0.25">
      <c r="A2627" s="491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7">
        <v>256682</v>
      </c>
      <c r="F2627" s="3" t="str">
        <f>IFERROR(VLOOKUP(E2627,BD!$L$2:$Q$66,2,0),0)</f>
        <v>TRIPACK (FT NAR+SP)PET+IK RF PFM 3L</v>
      </c>
      <c r="G2627" s="424">
        <v>450</v>
      </c>
      <c r="H2627" s="3">
        <f>+IFERROR(VLOOKUP(E2627,BD!$L$2:$Q$66,6,0),0)</f>
        <v>90</v>
      </c>
      <c r="I2627" s="96">
        <f>IFERROR(G2627*VLOOKUP($E2627,BD!$L$2:$Q$66,5,0),0)</f>
        <v>76.5</v>
      </c>
      <c r="J2627" s="5">
        <f t="shared" si="179"/>
        <v>2021</v>
      </c>
    </row>
    <row r="2628" spans="1:10" s="9" customFormat="1" hidden="1" x14ac:dyDescent="0.25">
      <c r="A2628" s="491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7">
        <v>256709</v>
      </c>
      <c r="F2628" s="3" t="str">
        <f>IFERROR(VLOOKUP(E2628,BD!$L$2:$Q$66,2,0),0)</f>
        <v>POWERADE ION4 MORA AZ PET473X6 MOD(STCK)</v>
      </c>
      <c r="G2628" s="425">
        <v>675</v>
      </c>
      <c r="H2628" s="3">
        <f>+IFERROR(VLOOKUP(E2628,BD!$L$2:$Q$66,6,0),0)</f>
        <v>225</v>
      </c>
      <c r="I2628" s="96">
        <f>IFERROR(G2628*VLOOKUP($E2628,BD!$L$2:$Q$66,5,0),0)</f>
        <v>270</v>
      </c>
      <c r="J2628" s="5">
        <f t="shared" si="179"/>
        <v>2021</v>
      </c>
    </row>
    <row r="2629" spans="1:10" s="9" customFormat="1" hidden="1" x14ac:dyDescent="0.25">
      <c r="A2629" s="491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7">
        <v>256708</v>
      </c>
      <c r="F2629" s="3" t="str">
        <f>IFERROR(VLOOKUP(E2629,BD!$L$2:$Q$66,2,0),0)</f>
        <v>POWERADE ION4 FRUTA PET473X6 MOD (STICK)</v>
      </c>
      <c r="G2629" s="424">
        <v>450</v>
      </c>
      <c r="H2629" s="3">
        <f>+IFERROR(VLOOKUP(E2629,BD!$L$2:$Q$66,6,0),0)</f>
        <v>225</v>
      </c>
      <c r="I2629" s="96">
        <f>IFERROR(G2629*VLOOKUP($E2629,BD!$L$2:$Q$66,5,0),0)</f>
        <v>180</v>
      </c>
      <c r="J2629" s="5">
        <f t="shared" si="179"/>
        <v>2021</v>
      </c>
    </row>
    <row r="2630" spans="1:10" s="9" customFormat="1" hidden="1" x14ac:dyDescent="0.25">
      <c r="A2630" s="491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7">
        <v>256695</v>
      </c>
      <c r="F2630" s="3" t="str">
        <f>IFERROR(VLOOKUP(E2630,BD!$L$2:$Q$66,2,0),0)</f>
        <v>POWERADE 3MORA+3FRUT PET 473MLX6</v>
      </c>
      <c r="G2630" s="424">
        <v>900</v>
      </c>
      <c r="H2630" s="3">
        <f>+IFERROR(VLOOKUP(E2630,BD!$L$2:$Q$66,6,0),0)</f>
        <v>225</v>
      </c>
      <c r="I2630" s="96">
        <f>IFERROR(G2630*VLOOKUP($E2630,BD!$L$2:$Q$66,5,0),0)</f>
        <v>378</v>
      </c>
      <c r="J2630" s="5">
        <f t="shared" si="179"/>
        <v>2021</v>
      </c>
    </row>
    <row r="2631" spans="1:10" s="9" customFormat="1" hidden="1" x14ac:dyDescent="0.25">
      <c r="A2631" s="491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7">
        <v>251406</v>
      </c>
      <c r="F2631" s="3" t="str">
        <f>IFERROR(VLOOKUP(E2631,BD!$L$2:$Q$66,2,0),0)</f>
        <v>COCA-COLA SIN AZUCAR PET 1.5LX2</v>
      </c>
      <c r="G2631" s="424">
        <v>1728</v>
      </c>
      <c r="H2631" s="3">
        <f>+IFERROR(VLOOKUP(E2631,BD!$L$2:$Q$66,6,0),0)</f>
        <v>198</v>
      </c>
      <c r="I2631" s="96">
        <f>IFERROR(G2631*VLOOKUP($E2631,BD!$L$2:$Q$66,5,0),0)</f>
        <v>293.76000000000005</v>
      </c>
      <c r="J2631" s="5">
        <f t="shared" si="179"/>
        <v>2021</v>
      </c>
    </row>
    <row r="2632" spans="1:10" s="9" customFormat="1" hidden="1" x14ac:dyDescent="0.25">
      <c r="A2632" s="491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7">
        <v>256674</v>
      </c>
      <c r="F2632" s="3" t="str">
        <f>IFERROR(VLOOKUP(E2632,BD!$L$2:$Q$66,2,0),0)</f>
        <v>COCA-COLA PET 1.5LX2 RF</v>
      </c>
      <c r="G2632" s="424">
        <v>864</v>
      </c>
      <c r="H2632" s="3">
        <f>+IFERROR(VLOOKUP(E2632,BD!$L$2:$Q$66,6,0),0)</f>
        <v>198</v>
      </c>
      <c r="I2632" s="96">
        <f>IFERROR(G2632*VLOOKUP($E2632,BD!$L$2:$Q$66,5,0),0)</f>
        <v>146.88000000000002</v>
      </c>
      <c r="J2632" s="5">
        <f t="shared" si="179"/>
        <v>2021</v>
      </c>
    </row>
    <row r="2633" spans="1:10" s="9" customFormat="1" hidden="1" x14ac:dyDescent="0.25">
      <c r="A2633" s="491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7">
        <v>256616</v>
      </c>
      <c r="F2633" s="3" t="str">
        <f>IFERROR(VLOOKUP(E2633,BD!$L$2:$Q$66,2,0),0)</f>
        <v>TWO PACK SCHWEPPES CITRUS PET 1.5LX2</v>
      </c>
      <c r="G2633" s="424">
        <v>792</v>
      </c>
      <c r="H2633" s="3">
        <f>+IFERROR(VLOOKUP(E2633,BD!$L$2:$Q$66,6,0),0)</f>
        <v>198</v>
      </c>
      <c r="I2633" s="96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hidden="1" thickBot="1" x14ac:dyDescent="0.3">
      <c r="A2634" s="492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9">
        <v>256676</v>
      </c>
      <c r="F2634" s="8" t="str">
        <f>IFERROR(VLOOKUP(E2634,BD!$L$2:$Q$66,2,0),0)</f>
        <v>TWO PACK CC PFM 3LX2 - RFCC</v>
      </c>
      <c r="G2634" s="501">
        <v>600</v>
      </c>
      <c r="H2634" s="8">
        <f>+IFERROR(VLOOKUP(E2634,BD!$L$2:$Q$66,6,0),0)</f>
        <v>120</v>
      </c>
      <c r="I2634" s="98">
        <f>IFERROR(G2634*VLOOKUP($E2634,BD!$L$2:$Q$66,5,0),0)</f>
        <v>102.00000000000001</v>
      </c>
      <c r="J2634" s="110">
        <f t="shared" si="179"/>
        <v>2021</v>
      </c>
    </row>
    <row r="2635" spans="1:10" s="9" customFormat="1" hidden="1" x14ac:dyDescent="0.25">
      <c r="A2635" s="493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63">
        <v>256674</v>
      </c>
      <c r="F2635" s="6" t="str">
        <f>IFERROR(VLOOKUP(E2635,BD!$L$2:$Q$66,2,0),0)</f>
        <v>COCA-COLA PET 1.5LX2 RF</v>
      </c>
      <c r="G2635" s="513">
        <v>1296</v>
      </c>
      <c r="H2635" s="6">
        <f>+IFERROR(VLOOKUP(E2635,BD!$L$2:$Q$66,6,0),0)</f>
        <v>198</v>
      </c>
      <c r="I2635" s="97">
        <f>IFERROR(G2635*VLOOKUP($E2635,BD!$L$2:$Q$66,5,0),0)</f>
        <v>220.32000000000002</v>
      </c>
      <c r="J2635" s="109">
        <f t="shared" si="179"/>
        <v>2021</v>
      </c>
    </row>
    <row r="2636" spans="1:10" s="9" customFormat="1" hidden="1" x14ac:dyDescent="0.25">
      <c r="A2636" s="491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7">
        <v>256675</v>
      </c>
      <c r="F2636" s="3" t="str">
        <f>IFERROR(VLOOKUP(E2636,BD!$L$2:$Q$66,2,0),0)</f>
        <v>INCA KOLA PET 1.5LX2 RF</v>
      </c>
      <c r="G2636" s="424">
        <v>432</v>
      </c>
      <c r="H2636" s="3">
        <f>+IFERROR(VLOOKUP(E2636,BD!$L$2:$Q$66,6,0),0)</f>
        <v>198</v>
      </c>
      <c r="I2636" s="96">
        <f>IFERROR(G2636*VLOOKUP($E2636,BD!$L$2:$Q$66,5,0),0)</f>
        <v>73.440000000000012</v>
      </c>
      <c r="J2636" s="5">
        <f t="shared" si="179"/>
        <v>2021</v>
      </c>
    </row>
    <row r="2637" spans="1:10" s="9" customFormat="1" hidden="1" x14ac:dyDescent="0.25">
      <c r="A2637" s="491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7">
        <v>256677</v>
      </c>
      <c r="F2637" s="3" t="str">
        <f>IFERROR(VLOOKUP(E2637,BD!$L$2:$Q$66,2,0),0)</f>
        <v>TWO PACK CC + IK PFM 3LX2 - RFNN</v>
      </c>
      <c r="G2637" s="424">
        <v>1680</v>
      </c>
      <c r="H2637" s="3">
        <f>+IFERROR(VLOOKUP(E2637,BD!$L$2:$Q$66,6,0),0)</f>
        <v>120</v>
      </c>
      <c r="I2637" s="96">
        <f>IFERROR(G2637*VLOOKUP($E2637,BD!$L$2:$Q$66,5,0),0)</f>
        <v>285.60000000000002</v>
      </c>
      <c r="J2637" s="5">
        <f t="shared" si="179"/>
        <v>2021</v>
      </c>
    </row>
    <row r="2638" spans="1:10" s="9" customFormat="1" hidden="1" x14ac:dyDescent="0.25">
      <c r="A2638" s="491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7">
        <v>256682</v>
      </c>
      <c r="F2638" s="3" t="str">
        <f>IFERROR(VLOOKUP(E2638,BD!$L$2:$Q$66,2,0),0)</f>
        <v>TRIPACK (FT NAR+SP)PET+IK RF PFM 3L</v>
      </c>
      <c r="G2638" s="424">
        <v>450</v>
      </c>
      <c r="H2638" s="3">
        <f>+IFERROR(VLOOKUP(E2638,BD!$L$2:$Q$66,6,0),0)</f>
        <v>90</v>
      </c>
      <c r="I2638" s="96">
        <f>IFERROR(G2638*VLOOKUP($E2638,BD!$L$2:$Q$66,5,0),0)</f>
        <v>76.5</v>
      </c>
      <c r="J2638" s="5">
        <f t="shared" si="179"/>
        <v>2021</v>
      </c>
    </row>
    <row r="2639" spans="1:10" s="9" customFormat="1" hidden="1" x14ac:dyDescent="0.25">
      <c r="A2639" s="491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7">
        <v>256695</v>
      </c>
      <c r="F2639" s="3" t="str">
        <f>IFERROR(VLOOKUP(E2639,BD!$L$2:$Q$66,2,0),0)</f>
        <v>POWERADE 3MORA+3FRUT PET 473MLX6</v>
      </c>
      <c r="G2639" s="424">
        <v>450</v>
      </c>
      <c r="H2639" s="3">
        <f>+IFERROR(VLOOKUP(E2639,BD!$L$2:$Q$66,6,0),0)</f>
        <v>225</v>
      </c>
      <c r="I2639" s="96">
        <f>IFERROR(G2639*VLOOKUP($E2639,BD!$L$2:$Q$66,5,0),0)</f>
        <v>189</v>
      </c>
      <c r="J2639" s="5">
        <f t="shared" si="179"/>
        <v>2021</v>
      </c>
    </row>
    <row r="2640" spans="1:10" s="9" customFormat="1" hidden="1" x14ac:dyDescent="0.25">
      <c r="A2640" s="491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7">
        <v>256708</v>
      </c>
      <c r="F2640" s="3" t="str">
        <f>IFERROR(VLOOKUP(E2640,BD!$L$2:$Q$66,2,0),0)</f>
        <v>POWERADE ION4 FRUTA PET473X6 MOD (STICK)</v>
      </c>
      <c r="G2640" s="424">
        <v>900</v>
      </c>
      <c r="H2640" s="3">
        <f>+IFERROR(VLOOKUP(E2640,BD!$L$2:$Q$66,6,0),0)</f>
        <v>225</v>
      </c>
      <c r="I2640" s="96">
        <f>IFERROR(G2640*VLOOKUP($E2640,BD!$L$2:$Q$66,5,0),0)</f>
        <v>360</v>
      </c>
      <c r="J2640" s="5">
        <f t="shared" si="179"/>
        <v>2021</v>
      </c>
    </row>
    <row r="2641" spans="1:10" s="9" customFormat="1" hidden="1" x14ac:dyDescent="0.25">
      <c r="A2641" s="491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7">
        <v>256709</v>
      </c>
      <c r="F2641" s="3" t="str">
        <f>IFERROR(VLOOKUP(E2641,BD!$L$2:$Q$66,2,0),0)</f>
        <v>POWERADE ION4 MORA AZ PET473X6 MOD(STCK)</v>
      </c>
      <c r="G2641" s="424">
        <v>675</v>
      </c>
      <c r="H2641" s="3">
        <f>+IFERROR(VLOOKUP(E2641,BD!$L$2:$Q$66,6,0),0)</f>
        <v>225</v>
      </c>
      <c r="I2641" s="96">
        <f>IFERROR(G2641*VLOOKUP($E2641,BD!$L$2:$Q$66,5,0),0)</f>
        <v>270</v>
      </c>
      <c r="J2641" s="5">
        <f t="shared" si="179"/>
        <v>2021</v>
      </c>
    </row>
    <row r="2642" spans="1:10" s="9" customFormat="1" hidden="1" x14ac:dyDescent="0.25">
      <c r="A2642" s="491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7">
        <v>256383</v>
      </c>
      <c r="F2642" s="3" t="str">
        <f>IFERROR(VLOOKUP(E2642,BD!$L$2:$Q$66,2,0),0)</f>
        <v>COCA COLA VR 1.5LX8 - STICKER</v>
      </c>
      <c r="G2642" s="425">
        <v>60</v>
      </c>
      <c r="H2642" s="3">
        <f>+IFERROR(VLOOKUP(E2642,BD!$L$2:$Q$66,6,0),0)</f>
        <v>30</v>
      </c>
      <c r="I2642" s="96">
        <f>IFERROR(G2642*VLOOKUP($E2642,BD!$L$2:$Q$66,5,0),0)</f>
        <v>13.8</v>
      </c>
      <c r="J2642" s="5">
        <f t="shared" si="179"/>
        <v>2021</v>
      </c>
    </row>
    <row r="2643" spans="1:10" s="9" customFormat="1" hidden="1" x14ac:dyDescent="0.25">
      <c r="A2643" s="491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7">
        <v>256382</v>
      </c>
      <c r="F2643" s="3" t="str">
        <f>IFERROR(VLOOKUP(E2643,BD!$L$2:$Q$66,2,0),0)</f>
        <v>COCA COLA VR 296MLX24 - STICKER</v>
      </c>
      <c r="G2643" s="424">
        <v>80</v>
      </c>
      <c r="H2643" s="3">
        <f>+IFERROR(VLOOKUP(E2643,BD!$L$2:$Q$66,6,0),0)</f>
        <v>40</v>
      </c>
      <c r="I2643" s="96">
        <f>IFERROR(G2643*VLOOKUP($E2643,BD!$L$2:$Q$66,5,0),0)</f>
        <v>18.400000000000002</v>
      </c>
      <c r="J2643" s="5">
        <f t="shared" si="179"/>
        <v>2021</v>
      </c>
    </row>
    <row r="2644" spans="1:10" s="9" customFormat="1" hidden="1" x14ac:dyDescent="0.25">
      <c r="A2644" s="491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7">
        <v>256381</v>
      </c>
      <c r="F2644" s="3" t="str">
        <f>IFERROR(VLOOKUP(E2644,BD!$L$2:$Q$66,2,0),0)</f>
        <v>INCA KOLA VR 1.5LX8 - STICKER</v>
      </c>
      <c r="G2644" s="424">
        <v>270</v>
      </c>
      <c r="H2644" s="3">
        <f>+IFERROR(VLOOKUP(E2644,BD!$L$2:$Q$66,6,0),0)</f>
        <v>30</v>
      </c>
      <c r="I2644" s="96">
        <f>IFERROR(G2644*VLOOKUP($E2644,BD!$L$2:$Q$66,5,0),0)</f>
        <v>108</v>
      </c>
      <c r="J2644" s="5">
        <f t="shared" si="179"/>
        <v>2021</v>
      </c>
    </row>
    <row r="2645" spans="1:10" s="9" customFormat="1" hidden="1" x14ac:dyDescent="0.25">
      <c r="A2645" s="491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7">
        <v>256379</v>
      </c>
      <c r="F2645" s="3" t="str">
        <f>IFERROR(VLOOKUP(E2645,BD!$L$2:$Q$66,2,0),0)</f>
        <v>INCA KOLA VR 625MLX12 - STICKER</v>
      </c>
      <c r="G2645" s="424">
        <v>500</v>
      </c>
      <c r="H2645" s="3">
        <f>+IFERROR(VLOOKUP(E2645,BD!$L$2:$Q$66,6,0),0)</f>
        <v>50</v>
      </c>
      <c r="I2645" s="96">
        <f>IFERROR(G2645*VLOOKUP($E2645,BD!$L$2:$Q$66,5,0),0)</f>
        <v>200</v>
      </c>
      <c r="J2645" s="5">
        <f t="shared" si="179"/>
        <v>2021</v>
      </c>
    </row>
    <row r="2646" spans="1:10" s="9" customFormat="1" hidden="1" x14ac:dyDescent="0.25">
      <c r="A2646" s="491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7">
        <v>256685</v>
      </c>
      <c r="F2646" s="3" t="str">
        <f>IFERROR(VLOOKUP(E2646,BD!$L$2:$Q$66,2,0),0)</f>
        <v>SL S/G TAPA PLANA 1LT</v>
      </c>
      <c r="G2646" s="424">
        <v>112</v>
      </c>
      <c r="H2646" s="3">
        <f>+IFERROR(VLOOKUP(E2646,BD!$L$2:$Q$66,6,0),0)</f>
        <v>112</v>
      </c>
      <c r="I2646" s="96">
        <f>IFERROR(G2646*VLOOKUP($E2646,BD!$L$2:$Q$66,5,0),0)</f>
        <v>44.800000000000004</v>
      </c>
      <c r="J2646" s="5">
        <f t="shared" si="179"/>
        <v>2021</v>
      </c>
    </row>
    <row r="2647" spans="1:10" s="9" customFormat="1" hidden="1" x14ac:dyDescent="0.25">
      <c r="A2647" s="491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7">
        <v>251429</v>
      </c>
      <c r="F2647" s="3" t="str">
        <f>IFERROR(VLOOKUP(E2647,BD!$L$2:$Q$66,2,0),0)</f>
        <v>SAN LUIS SIN GAS PET2500X6 STICKER</v>
      </c>
      <c r="G2647" s="424">
        <v>288</v>
      </c>
      <c r="H2647" s="3">
        <f>+IFERROR(VLOOKUP(E2647,BD!$L$2:$Q$66,6,0),0)</f>
        <v>48</v>
      </c>
      <c r="I2647" s="96">
        <f>IFERROR(G2647*VLOOKUP($E2647,BD!$L$2:$Q$66,5,0),0)</f>
        <v>115.2</v>
      </c>
      <c r="J2647" s="5">
        <f t="shared" si="179"/>
        <v>2021</v>
      </c>
    </row>
    <row r="2648" spans="1:10" s="9" customFormat="1" hidden="1" x14ac:dyDescent="0.25">
      <c r="A2648" s="491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7">
        <v>751315</v>
      </c>
      <c r="F2648" s="3" t="str">
        <f>IFERROR(VLOOKUP(E2648,BD!$L$2:$Q$66,2,0),0)</f>
        <v>MONSTER ENERGY 473MLX4</v>
      </c>
      <c r="G2648" s="424">
        <v>3360</v>
      </c>
      <c r="H2648" s="3">
        <f>+IFERROR(VLOOKUP(E2648,BD!$L$2:$Q$66,6,0),0)</f>
        <v>420</v>
      </c>
      <c r="I2648" s="96">
        <f>IFERROR(G2648*VLOOKUP($E2648,BD!$L$2:$Q$66,5,0),0)</f>
        <v>1411.2</v>
      </c>
      <c r="J2648" s="5">
        <f t="shared" si="179"/>
        <v>2021</v>
      </c>
    </row>
    <row r="2649" spans="1:10" s="9" customFormat="1" hidden="1" x14ac:dyDescent="0.25">
      <c r="A2649" s="491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7">
        <v>251406</v>
      </c>
      <c r="F2649" s="3" t="str">
        <f>IFERROR(VLOOKUP(E2649,BD!$L$2:$Q$66,2,0),0)</f>
        <v>COCA-COLA SIN AZUCAR PET 1.5LX2</v>
      </c>
      <c r="G2649" s="424">
        <v>1512</v>
      </c>
      <c r="H2649" s="3">
        <f>+IFERROR(VLOOKUP(E2649,BD!$L$2:$Q$66,6,0),0)</f>
        <v>198</v>
      </c>
      <c r="I2649" s="96">
        <f>IFERROR(G2649*VLOOKUP($E2649,BD!$L$2:$Q$66,5,0),0)</f>
        <v>257.04000000000002</v>
      </c>
      <c r="J2649" s="5">
        <f t="shared" si="179"/>
        <v>2021</v>
      </c>
    </row>
    <row r="2650" spans="1:10" s="9" customFormat="1" hidden="1" x14ac:dyDescent="0.25">
      <c r="A2650" s="491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7">
        <v>254853</v>
      </c>
      <c r="F2650" s="3" t="str">
        <f>IFERROR(VLOOKUP(E2650,BD!$L$2:$Q$66,2,0),0)</f>
        <v>INCA KOLA SIN AZUCAR PET 1.5LX2</v>
      </c>
      <c r="G2650" s="424">
        <v>1728</v>
      </c>
      <c r="H2650" s="3">
        <f>+IFERROR(VLOOKUP(E2650,BD!$L$2:$Q$66,6,0),0)</f>
        <v>198</v>
      </c>
      <c r="I2650" s="96">
        <f>IFERROR(G2650*VLOOKUP($E2650,BD!$L$2:$Q$66,5,0),0)</f>
        <v>293.76000000000005</v>
      </c>
      <c r="J2650" s="5">
        <f t="shared" si="179"/>
        <v>2021</v>
      </c>
    </row>
    <row r="2651" spans="1:10" s="9" customFormat="1" hidden="1" x14ac:dyDescent="0.25">
      <c r="A2651" s="491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7">
        <v>256616</v>
      </c>
      <c r="F2651" s="3" t="str">
        <f>IFERROR(VLOOKUP(E2651,BD!$L$2:$Q$66,2,0),0)</f>
        <v>TWO PACK SCHWEPPES CITRUS PET 1.5LX2</v>
      </c>
      <c r="G2651" s="424">
        <v>594</v>
      </c>
      <c r="H2651" s="3">
        <f>+IFERROR(VLOOKUP(E2651,BD!$L$2:$Q$66,6,0),0)</f>
        <v>198</v>
      </c>
      <c r="I2651" s="96">
        <f>IFERROR(G2651*VLOOKUP($E2651,BD!$L$2:$Q$66,5,0),0)</f>
        <v>100.98</v>
      </c>
      <c r="J2651" s="5">
        <f t="shared" si="179"/>
        <v>2021</v>
      </c>
    </row>
    <row r="2652" spans="1:10" s="9" customFormat="1" hidden="1" x14ac:dyDescent="0.25">
      <c r="A2652" s="491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7">
        <v>256617</v>
      </c>
      <c r="F2652" s="3" t="str">
        <f>IFERROR(VLOOKUP(E2652,BD!$L$2:$Q$66,2,0),0)</f>
        <v>TWO PACK SCHWEPPES GINGER ALE PET 1.5LX2</v>
      </c>
      <c r="G2652" s="424">
        <v>198</v>
      </c>
      <c r="H2652" s="3">
        <f>+IFERROR(VLOOKUP(E2652,BD!$L$2:$Q$66,6,0),0)</f>
        <v>198</v>
      </c>
      <c r="I2652" s="96">
        <f>IFERROR(G2652*VLOOKUP($E2652,BD!$L$2:$Q$66,5,0),0)</f>
        <v>33.660000000000004</v>
      </c>
      <c r="J2652" s="5">
        <f t="shared" si="179"/>
        <v>2021</v>
      </c>
    </row>
    <row r="2653" spans="1:10" s="9" customFormat="1" hidden="1" x14ac:dyDescent="0.25">
      <c r="A2653" s="491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7">
        <v>256666</v>
      </c>
      <c r="F2653" s="3" t="str">
        <f>IFERROR(VLOOKUP(E2653,BD!$L$2:$Q$66,2,0),0)</f>
        <v>COCA-COLA PET 2.25LX2 RF</v>
      </c>
      <c r="G2653" s="424">
        <v>324</v>
      </c>
      <c r="H2653" s="3">
        <f>+IFERROR(VLOOKUP(E2653,BD!$L$2:$Q$66,6,0),0)</f>
        <v>162</v>
      </c>
      <c r="I2653" s="96">
        <f>IFERROR(G2653*VLOOKUP($E2653,BD!$L$2:$Q$66,5,0),0)</f>
        <v>55.080000000000005</v>
      </c>
      <c r="J2653" s="5">
        <f t="shared" si="179"/>
        <v>2021</v>
      </c>
    </row>
    <row r="2654" spans="1:10" s="9" customFormat="1" hidden="1" x14ac:dyDescent="0.25">
      <c r="A2654" s="491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7">
        <v>256601</v>
      </c>
      <c r="F2654" s="3" t="str">
        <f>IFERROR(VLOOKUP(E2654,BD!$L$2:$Q$66,2,0),0)</f>
        <v>INCA KOLA PET 2.25LX2 RF</v>
      </c>
      <c r="G2654" s="424">
        <v>162</v>
      </c>
      <c r="H2654" s="3">
        <f>+IFERROR(VLOOKUP(E2654,BD!$L$2:$Q$66,6,0),0)</f>
        <v>162</v>
      </c>
      <c r="I2654" s="96">
        <f>IFERROR(G2654*VLOOKUP($E2654,BD!$L$2:$Q$66,5,0),0)</f>
        <v>27.540000000000003</v>
      </c>
      <c r="J2654" s="5">
        <f t="shared" si="179"/>
        <v>2021</v>
      </c>
    </row>
    <row r="2655" spans="1:10" s="9" customFormat="1" hidden="1" x14ac:dyDescent="0.25">
      <c r="A2655" s="491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7">
        <v>256488</v>
      </c>
      <c r="F2655" s="3" t="str">
        <f>IFERROR(VLOOKUP(E2655,BD!$L$2:$Q$66,2,0),0)</f>
        <v>INCA KOLA PET 3LX2 - RF</v>
      </c>
      <c r="G2655" s="424">
        <v>3480</v>
      </c>
      <c r="H2655" s="3">
        <f>+IFERROR(VLOOKUP(E2655,BD!$L$2:$Q$66,6,0),0)</f>
        <v>120</v>
      </c>
      <c r="I2655" s="96">
        <f>IFERROR(G2655*VLOOKUP($E2655,BD!$L$2:$Q$66,5,0),0)</f>
        <v>591.6</v>
      </c>
      <c r="J2655" s="5">
        <f t="shared" si="179"/>
        <v>2021</v>
      </c>
    </row>
    <row r="2656" spans="1:10" s="9" customFormat="1" ht="15.75" hidden="1" thickBot="1" x14ac:dyDescent="0.3">
      <c r="A2656" s="492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9">
        <v>256676</v>
      </c>
      <c r="F2656" s="8" t="str">
        <f>IFERROR(VLOOKUP(E2656,BD!$L$2:$Q$66,2,0),0)</f>
        <v>TWO PACK CC PFM 3LX2 - RFCC</v>
      </c>
      <c r="G2656" s="501">
        <v>720</v>
      </c>
      <c r="H2656" s="8">
        <f>+IFERROR(VLOOKUP(E2656,BD!$L$2:$Q$66,6,0),0)</f>
        <v>120</v>
      </c>
      <c r="I2656" s="98">
        <f>IFERROR(G2656*VLOOKUP($E2656,BD!$L$2:$Q$66,5,0),0)</f>
        <v>122.4</v>
      </c>
      <c r="J2656" s="110">
        <f t="shared" si="179"/>
        <v>2021</v>
      </c>
    </row>
    <row r="2657" spans="1:10" s="9" customFormat="1" hidden="1" x14ac:dyDescent="0.25">
      <c r="A2657" s="493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63">
        <v>256677</v>
      </c>
      <c r="F2657" s="6" t="str">
        <f>IFERROR(VLOOKUP(E2657,BD!$L$2:$Q$66,2,0),0)</f>
        <v>TWO PACK CC + IK PFM 3LX2 - RFNN</v>
      </c>
      <c r="G2657" s="513">
        <v>2880</v>
      </c>
      <c r="H2657" s="6">
        <f>+IFERROR(VLOOKUP(E2657,BD!$L$2:$Q$66,6,0),0)</f>
        <v>120</v>
      </c>
      <c r="I2657" s="97">
        <f>IFERROR(G2657*VLOOKUP($E2657,BD!$L$2:$Q$66,5,0),0)</f>
        <v>489.6</v>
      </c>
      <c r="J2657" s="109">
        <f t="shared" si="179"/>
        <v>2021</v>
      </c>
    </row>
    <row r="2658" spans="1:10" s="9" customFormat="1" hidden="1" x14ac:dyDescent="0.25">
      <c r="A2658" s="491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7">
        <v>256676</v>
      </c>
      <c r="F2658" s="3" t="str">
        <f>IFERROR(VLOOKUP(E2658,BD!$L$2:$Q$66,2,0),0)</f>
        <v>TWO PACK CC PFM 3LX2 - RFCC</v>
      </c>
      <c r="G2658" s="424">
        <v>1560</v>
      </c>
      <c r="H2658" s="3">
        <f>+IFERROR(VLOOKUP(E2658,BD!$L$2:$Q$66,6,0),0)</f>
        <v>120</v>
      </c>
      <c r="I2658" s="96">
        <f>IFERROR(G2658*VLOOKUP($E2658,BD!$L$2:$Q$66,5,0),0)</f>
        <v>265.20000000000005</v>
      </c>
      <c r="J2658" s="5">
        <f t="shared" si="179"/>
        <v>2021</v>
      </c>
    </row>
    <row r="2659" spans="1:10" s="9" customFormat="1" hidden="1" x14ac:dyDescent="0.25">
      <c r="A2659" s="491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7">
        <v>256488</v>
      </c>
      <c r="F2659" s="3" t="str">
        <f>IFERROR(VLOOKUP(E2659,BD!$L$2:$Q$66,2,0),0)</f>
        <v>INCA KOLA PET 3LX2 - RF</v>
      </c>
      <c r="G2659" s="424">
        <v>1440</v>
      </c>
      <c r="H2659" s="3">
        <f>+IFERROR(VLOOKUP(E2659,BD!$L$2:$Q$66,6,0),0)</f>
        <v>120</v>
      </c>
      <c r="I2659" s="96">
        <f>IFERROR(G2659*VLOOKUP($E2659,BD!$L$2:$Q$66,5,0),0)</f>
        <v>244.8</v>
      </c>
      <c r="J2659" s="5">
        <f t="shared" si="179"/>
        <v>2021</v>
      </c>
    </row>
    <row r="2660" spans="1:10" s="9" customFormat="1" hidden="1" x14ac:dyDescent="0.25">
      <c r="A2660" s="491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7">
        <v>256601</v>
      </c>
      <c r="F2660" s="3" t="str">
        <f>IFERROR(VLOOKUP(E2660,BD!$L$2:$Q$66,2,0),0)</f>
        <v>INCA KOLA PET 2.25LX2 RF</v>
      </c>
      <c r="G2660" s="424">
        <v>648</v>
      </c>
      <c r="H2660" s="3">
        <f>+IFERROR(VLOOKUP(E2660,BD!$L$2:$Q$66,6,0),0)</f>
        <v>162</v>
      </c>
      <c r="I2660" s="96">
        <f>IFERROR(G2660*VLOOKUP($E2660,BD!$L$2:$Q$66,5,0),0)</f>
        <v>110.16000000000001</v>
      </c>
      <c r="J2660" s="5">
        <f t="shared" si="179"/>
        <v>2021</v>
      </c>
    </row>
    <row r="2661" spans="1:10" s="9" customFormat="1" hidden="1" x14ac:dyDescent="0.25">
      <c r="A2661" s="491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7">
        <v>256617</v>
      </c>
      <c r="F2661" s="3" t="str">
        <f>IFERROR(VLOOKUP(E2661,BD!$L$2:$Q$66,2,0),0)</f>
        <v>TWO PACK SCHWEPPES GINGER ALE PET 1.5LX2</v>
      </c>
      <c r="G2661" s="424">
        <v>1188</v>
      </c>
      <c r="H2661" s="3">
        <f>+IFERROR(VLOOKUP(E2661,BD!$L$2:$Q$66,6,0),0)</f>
        <v>198</v>
      </c>
      <c r="I2661" s="96">
        <f>IFERROR(G2661*VLOOKUP($E2661,BD!$L$2:$Q$66,5,0),0)</f>
        <v>201.96</v>
      </c>
      <c r="J2661" s="5">
        <f t="shared" si="179"/>
        <v>2021</v>
      </c>
    </row>
    <row r="2662" spans="1:10" s="9" customFormat="1" hidden="1" x14ac:dyDescent="0.25">
      <c r="A2662" s="491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7">
        <v>256616</v>
      </c>
      <c r="F2662" s="3" t="str">
        <f>IFERROR(VLOOKUP(E2662,BD!$L$2:$Q$66,2,0),0)</f>
        <v>TWO PACK SCHWEPPES CITRUS PET 1.5LX2</v>
      </c>
      <c r="G2662" s="424">
        <v>1188</v>
      </c>
      <c r="H2662" s="3">
        <f>+IFERROR(VLOOKUP(E2662,BD!$L$2:$Q$66,6,0),0)</f>
        <v>198</v>
      </c>
      <c r="I2662" s="96">
        <f>IFERROR(G2662*VLOOKUP($E2662,BD!$L$2:$Q$66,5,0),0)</f>
        <v>201.96</v>
      </c>
      <c r="J2662" s="5">
        <f t="shared" si="179"/>
        <v>2021</v>
      </c>
    </row>
    <row r="2663" spans="1:10" s="9" customFormat="1" hidden="1" x14ac:dyDescent="0.25">
      <c r="A2663" s="491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7">
        <v>256678</v>
      </c>
      <c r="F2663" s="3" t="str">
        <f>IFERROR(VLOOKUP(E2663,BD!$L$2:$Q$66,2,0),0)</f>
        <v>TRIPACK (CC+IK)PFM+FT PET 3LX3 - RFNN</v>
      </c>
      <c r="G2663" s="424">
        <v>3240</v>
      </c>
      <c r="H2663" s="3">
        <f>+IFERROR(VLOOKUP(E2663,BD!$L$2:$Q$66,6,0),0)</f>
        <v>90</v>
      </c>
      <c r="I2663" s="96">
        <f>IFERROR(G2663*VLOOKUP($E2663,BD!$L$2:$Q$66,5,0),0)</f>
        <v>550.80000000000007</v>
      </c>
      <c r="J2663" s="5">
        <f t="shared" si="179"/>
        <v>2021</v>
      </c>
    </row>
    <row r="2664" spans="1:10" s="9" customFormat="1" hidden="1" x14ac:dyDescent="0.25">
      <c r="A2664" s="491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7">
        <v>256675</v>
      </c>
      <c r="F2664" s="3" t="str">
        <f>IFERROR(VLOOKUP(E2664,BD!$L$2:$Q$66,2,0),0)</f>
        <v>INCA KOLA PET 1.5LX2 RF</v>
      </c>
      <c r="G2664" s="424">
        <v>1944</v>
      </c>
      <c r="H2664" s="3">
        <f>+IFERROR(VLOOKUP(E2664,BD!$L$2:$Q$66,6,0),0)</f>
        <v>198</v>
      </c>
      <c r="I2664" s="96">
        <f>IFERROR(G2664*VLOOKUP($E2664,BD!$L$2:$Q$66,5,0),0)</f>
        <v>330.48</v>
      </c>
      <c r="J2664" s="5">
        <f t="shared" si="179"/>
        <v>2021</v>
      </c>
    </row>
    <row r="2665" spans="1:10" s="9" customFormat="1" hidden="1" x14ac:dyDescent="0.25">
      <c r="A2665" s="491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7">
        <v>256652</v>
      </c>
      <c r="F2665" s="3" t="str">
        <f>IFERROR(VLOOKUP(E2665,BD!$L$2:$Q$66,2,0),0)</f>
        <v>TRIPACK FT NAR+FT KI+SP PET 3L</v>
      </c>
      <c r="G2665" s="424">
        <v>1080</v>
      </c>
      <c r="H2665" s="3">
        <f>+IFERROR(VLOOKUP(E2665,BD!$L$2:$Q$66,6,0),0)</f>
        <v>90</v>
      </c>
      <c r="I2665" s="96">
        <f>IFERROR(G2665*VLOOKUP($E2665,BD!$L$2:$Q$66,5,0),0)</f>
        <v>183.60000000000002</v>
      </c>
      <c r="J2665" s="5">
        <f t="shared" si="179"/>
        <v>2021</v>
      </c>
    </row>
    <row r="2666" spans="1:10" s="9" customFormat="1" hidden="1" x14ac:dyDescent="0.25">
      <c r="A2666" s="491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7">
        <v>256674</v>
      </c>
      <c r="F2666" s="3" t="str">
        <f>IFERROR(VLOOKUP(E2666,BD!$L$2:$Q$66,2,0),0)</f>
        <v>COCA-COLA PET 1.5LX2 RF</v>
      </c>
      <c r="G2666" s="424">
        <v>2160</v>
      </c>
      <c r="H2666" s="3">
        <f>+IFERROR(VLOOKUP(E2666,BD!$L$2:$Q$66,6,0),0)</f>
        <v>198</v>
      </c>
      <c r="I2666" s="96">
        <f>IFERROR(G2666*VLOOKUP($E2666,BD!$L$2:$Q$66,5,0),0)</f>
        <v>367.20000000000005</v>
      </c>
      <c r="J2666" s="5">
        <f t="shared" si="179"/>
        <v>2021</v>
      </c>
    </row>
    <row r="2667" spans="1:10" s="9" customFormat="1" hidden="1" x14ac:dyDescent="0.25">
      <c r="A2667" s="491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7">
        <v>251429</v>
      </c>
      <c r="F2667" s="3" t="str">
        <f>IFERROR(VLOOKUP(E2667,BD!$L$2:$Q$66,2,0),0)</f>
        <v>SAN LUIS SIN GAS PET2500X6 STICKER</v>
      </c>
      <c r="G2667" s="424">
        <v>720</v>
      </c>
      <c r="H2667" s="3">
        <f>+IFERROR(VLOOKUP(E2667,BD!$L$2:$Q$66,6,0),0)</f>
        <v>48</v>
      </c>
      <c r="I2667" s="96">
        <f>IFERROR(G2667*VLOOKUP($E2667,BD!$L$2:$Q$66,5,0),0)</f>
        <v>288</v>
      </c>
      <c r="J2667" s="5">
        <f t="shared" si="179"/>
        <v>2021</v>
      </c>
    </row>
    <row r="2668" spans="1:10" s="9" customFormat="1" hidden="1" x14ac:dyDescent="0.25">
      <c r="A2668" s="491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7">
        <v>256379</v>
      </c>
      <c r="F2668" s="3" t="str">
        <f>IFERROR(VLOOKUP(E2668,BD!$L$2:$Q$66,2,0),0)</f>
        <v>INCA KOLA VR 625MLX12 - STICKER</v>
      </c>
      <c r="G2668" s="424">
        <v>200</v>
      </c>
      <c r="H2668" s="3">
        <f>+IFERROR(VLOOKUP(E2668,BD!$L$2:$Q$66,6,0),0)</f>
        <v>50</v>
      </c>
      <c r="I2668" s="96">
        <f>IFERROR(G2668*VLOOKUP($E2668,BD!$L$2:$Q$66,5,0),0)</f>
        <v>80</v>
      </c>
      <c r="J2668" s="5">
        <f t="shared" si="179"/>
        <v>2021</v>
      </c>
    </row>
    <row r="2669" spans="1:10" s="9" customFormat="1" hidden="1" x14ac:dyDescent="0.25">
      <c r="A2669" s="491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7">
        <v>256382</v>
      </c>
      <c r="F2669" s="3" t="str">
        <f>IFERROR(VLOOKUP(E2669,BD!$L$2:$Q$66,2,0),0)</f>
        <v>COCA COLA VR 296MLX24 - STICKER</v>
      </c>
      <c r="G2669" s="424">
        <v>160</v>
      </c>
      <c r="H2669" s="3">
        <f>+IFERROR(VLOOKUP(E2669,BD!$L$2:$Q$66,6,0),0)</f>
        <v>40</v>
      </c>
      <c r="I2669" s="96">
        <f>IFERROR(G2669*VLOOKUP($E2669,BD!$L$2:$Q$66,5,0),0)</f>
        <v>36.800000000000004</v>
      </c>
      <c r="J2669" s="5">
        <f t="shared" si="179"/>
        <v>2021</v>
      </c>
    </row>
    <row r="2670" spans="1:10" s="9" customFormat="1" hidden="1" x14ac:dyDescent="0.25">
      <c r="A2670" s="491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7">
        <v>256682</v>
      </c>
      <c r="F2670" s="3" t="str">
        <f>IFERROR(VLOOKUP(E2670,BD!$L$2:$Q$66,2,0),0)</f>
        <v>TRIPACK (FT NAR+SP)PET+IK RF PFM 3L</v>
      </c>
      <c r="G2670" s="424">
        <v>720</v>
      </c>
      <c r="H2670" s="3">
        <f>+IFERROR(VLOOKUP(E2670,BD!$L$2:$Q$66,6,0),0)</f>
        <v>90</v>
      </c>
      <c r="I2670" s="96">
        <f>IFERROR(G2670*VLOOKUP($E2670,BD!$L$2:$Q$66,5,0),0)</f>
        <v>122.4</v>
      </c>
      <c r="J2670" s="5">
        <f t="shared" si="179"/>
        <v>2021</v>
      </c>
    </row>
    <row r="2671" spans="1:10" s="9" customFormat="1" hidden="1" x14ac:dyDescent="0.25">
      <c r="A2671" s="491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7">
        <v>256381</v>
      </c>
      <c r="F2671" s="3" t="str">
        <f>IFERROR(VLOOKUP(E2671,BD!$L$2:$Q$66,2,0),0)</f>
        <v>INCA KOLA VR 1.5LX8 - STICKER</v>
      </c>
      <c r="G2671" s="424">
        <v>150</v>
      </c>
      <c r="H2671" s="3">
        <f>+IFERROR(VLOOKUP(E2671,BD!$L$2:$Q$66,6,0),0)</f>
        <v>30</v>
      </c>
      <c r="I2671" s="96">
        <f>IFERROR(G2671*VLOOKUP($E2671,BD!$L$2:$Q$66,5,0),0)</f>
        <v>60</v>
      </c>
      <c r="J2671" s="5">
        <f t="shared" si="179"/>
        <v>2021</v>
      </c>
    </row>
    <row r="2672" spans="1:10" s="9" customFormat="1" hidden="1" x14ac:dyDescent="0.25">
      <c r="A2672" s="491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7">
        <v>256685</v>
      </c>
      <c r="F2672" s="3" t="str">
        <f>IFERROR(VLOOKUP(E2672,BD!$L$2:$Q$66,2,0),0)</f>
        <v>SL S/G TAPA PLANA 1LT</v>
      </c>
      <c r="G2672" s="424">
        <v>336</v>
      </c>
      <c r="H2672" s="3">
        <f>+IFERROR(VLOOKUP(E2672,BD!$L$2:$Q$66,6,0),0)</f>
        <v>112</v>
      </c>
      <c r="I2672" s="96">
        <f>IFERROR(G2672*VLOOKUP($E2672,BD!$L$2:$Q$66,5,0),0)</f>
        <v>134.4</v>
      </c>
      <c r="J2672" s="5">
        <f t="shared" si="179"/>
        <v>2021</v>
      </c>
    </row>
    <row r="2673" spans="1:10" s="9" customFormat="1" hidden="1" x14ac:dyDescent="0.25">
      <c r="A2673" s="491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7">
        <v>251406</v>
      </c>
      <c r="F2673" s="3" t="str">
        <f>IFERROR(VLOOKUP(E2673,BD!$L$2:$Q$66,2,0),0)</f>
        <v>COCA-COLA SIN AZUCAR PET 1.5LX2</v>
      </c>
      <c r="G2673" s="424">
        <v>1080</v>
      </c>
      <c r="H2673" s="3">
        <f>+IFERROR(VLOOKUP(E2673,BD!$L$2:$Q$66,6,0),0)</f>
        <v>198</v>
      </c>
      <c r="I2673" s="96">
        <f>IFERROR(G2673*VLOOKUP($E2673,BD!$L$2:$Q$66,5,0),0)</f>
        <v>183.60000000000002</v>
      </c>
      <c r="J2673" s="5">
        <f t="shared" si="179"/>
        <v>2021</v>
      </c>
    </row>
    <row r="2674" spans="1:10" s="9" customFormat="1" hidden="1" x14ac:dyDescent="0.25">
      <c r="A2674" s="491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7">
        <v>254853</v>
      </c>
      <c r="F2674" s="3" t="str">
        <f>IFERROR(VLOOKUP(E2674,BD!$L$2:$Q$66,2,0),0)</f>
        <v>INCA KOLA SIN AZUCAR PET 1.5LX2</v>
      </c>
      <c r="G2674" s="425">
        <v>1728</v>
      </c>
      <c r="H2674" s="3">
        <f>+IFERROR(VLOOKUP(E2674,BD!$L$2:$Q$66,6,0),0)</f>
        <v>198</v>
      </c>
      <c r="I2674" s="96">
        <f>IFERROR(G2674*VLOOKUP($E2674,BD!$L$2:$Q$66,5,0),0)</f>
        <v>293.76000000000005</v>
      </c>
      <c r="J2674" s="5">
        <f t="shared" si="179"/>
        <v>2021</v>
      </c>
    </row>
    <row r="2675" spans="1:10" s="9" customFormat="1" hidden="1" x14ac:dyDescent="0.25">
      <c r="A2675" s="491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7">
        <v>256666</v>
      </c>
      <c r="F2675" s="3" t="str">
        <f>IFERROR(VLOOKUP(E2675,BD!$L$2:$Q$66,2,0),0)</f>
        <v>COCA-COLA PET 2.25LX2 RF</v>
      </c>
      <c r="G2675" s="424">
        <v>810</v>
      </c>
      <c r="H2675" s="3">
        <f>+IFERROR(VLOOKUP(E2675,BD!$L$2:$Q$66,6,0),0)</f>
        <v>162</v>
      </c>
      <c r="I2675" s="96">
        <f>IFERROR(G2675*VLOOKUP($E2675,BD!$L$2:$Q$66,5,0),0)</f>
        <v>137.70000000000002</v>
      </c>
      <c r="J2675" s="5">
        <f t="shared" si="179"/>
        <v>2021</v>
      </c>
    </row>
    <row r="2676" spans="1:10" s="9" customFormat="1" hidden="1" x14ac:dyDescent="0.25">
      <c r="A2676" s="491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7">
        <v>256695</v>
      </c>
      <c r="F2676" s="3" t="str">
        <f>IFERROR(VLOOKUP(E2676,BD!$L$2:$Q$66,2,0),0)</f>
        <v>POWERADE 3MORA+3FRUT PET 473MLX6</v>
      </c>
      <c r="G2676" s="424">
        <v>900</v>
      </c>
      <c r="H2676" s="3">
        <f>+IFERROR(VLOOKUP(E2676,BD!$L$2:$Q$66,6,0),0)</f>
        <v>225</v>
      </c>
      <c r="I2676" s="96">
        <f>IFERROR(G2676*VLOOKUP($E2676,BD!$L$2:$Q$66,5,0),0)</f>
        <v>378</v>
      </c>
      <c r="J2676" s="5">
        <f t="shared" si="179"/>
        <v>2021</v>
      </c>
    </row>
    <row r="2677" spans="1:10" s="9" customFormat="1" hidden="1" x14ac:dyDescent="0.25">
      <c r="A2677" s="491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7">
        <v>256708</v>
      </c>
      <c r="F2677" s="3" t="str">
        <f>IFERROR(VLOOKUP(E2677,BD!$L$2:$Q$66,2,0),0)</f>
        <v>POWERADE ION4 FRUTA PET473X6 MOD (STICK)</v>
      </c>
      <c r="G2677" s="424">
        <v>225</v>
      </c>
      <c r="H2677" s="3">
        <f>+IFERROR(VLOOKUP(E2677,BD!$L$2:$Q$66,6,0),0)</f>
        <v>225</v>
      </c>
      <c r="I2677" s="96">
        <f>IFERROR(G2677*VLOOKUP($E2677,BD!$L$2:$Q$66,5,0),0)</f>
        <v>90</v>
      </c>
      <c r="J2677" s="5">
        <f t="shared" si="179"/>
        <v>2021</v>
      </c>
    </row>
    <row r="2678" spans="1:10" s="9" customFormat="1" hidden="1" x14ac:dyDescent="0.25">
      <c r="A2678" s="491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7">
        <v>256709</v>
      </c>
      <c r="F2678" s="3" t="str">
        <f>IFERROR(VLOOKUP(E2678,BD!$L$2:$Q$66,2,0),0)</f>
        <v>POWERADE ION4 MORA AZ PET473X6 MOD(STCK)</v>
      </c>
      <c r="G2678" s="424">
        <v>225</v>
      </c>
      <c r="H2678" s="3">
        <f>+IFERROR(VLOOKUP(E2678,BD!$L$2:$Q$66,6,0),0)</f>
        <v>225</v>
      </c>
      <c r="I2678" s="96">
        <f>IFERROR(G2678*VLOOKUP($E2678,BD!$L$2:$Q$66,5,0),0)</f>
        <v>90</v>
      </c>
      <c r="J2678" s="5">
        <f t="shared" si="179"/>
        <v>2021</v>
      </c>
    </row>
    <row r="2679" spans="1:10" s="9" customFormat="1" hidden="1" x14ac:dyDescent="0.25">
      <c r="A2679" s="491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7">
        <v>251632</v>
      </c>
      <c r="F2679" s="3" t="str">
        <f>IFERROR(VLOOKUP(E2679,BD!$L$2:$Q$66,2,0),0)</f>
        <v>SAN LUIS SIN GAS PET 625MLX06 MOD</v>
      </c>
      <c r="G2679" s="424">
        <v>180</v>
      </c>
      <c r="H2679" s="3">
        <f>+IFERROR(VLOOKUP(E2679,BD!$L$2:$Q$66,6,0),0)</f>
        <v>180</v>
      </c>
      <c r="I2679" s="96">
        <f>IFERROR(G2679*VLOOKUP($E2679,BD!$L$2:$Q$66,5,0),0)</f>
        <v>75.599999999999994</v>
      </c>
      <c r="J2679" s="5">
        <f t="shared" si="179"/>
        <v>2021</v>
      </c>
    </row>
    <row r="2680" spans="1:10" s="9" customFormat="1" hidden="1" x14ac:dyDescent="0.25">
      <c r="A2680" s="491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7">
        <v>256720</v>
      </c>
      <c r="F2680" s="3" t="str">
        <f>IFERROR(VLOOKUP(E2680,BD!$L$2:$Q$66,2,0),0)</f>
        <v>FANTA NARANJA PET 500MLX6 BRANDEADO MOD</v>
      </c>
      <c r="G2680" s="424">
        <v>500</v>
      </c>
      <c r="H2680" s="3">
        <f>+IFERROR(VLOOKUP(E2680,BD!$L$2:$Q$66,6,0),0)</f>
        <v>420</v>
      </c>
      <c r="I2680" s="96">
        <f>IFERROR(G2680*VLOOKUP($E2680,BD!$L$2:$Q$66,5,0),0)</f>
        <v>210</v>
      </c>
      <c r="J2680" s="5">
        <f t="shared" si="179"/>
        <v>2021</v>
      </c>
    </row>
    <row r="2681" spans="1:10" s="9" customFormat="1" ht="15.75" hidden="1" thickBot="1" x14ac:dyDescent="0.3">
      <c r="A2681" s="492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9">
        <v>254762</v>
      </c>
      <c r="F2681" s="8" t="str">
        <f>IFERROR(VLOOKUP(E2681,BD!$L$2:$Q$66,2,0),0)</f>
        <v xml:space="preserve">SAN LUIS SPORT S/G 10 Lt x6 </v>
      </c>
      <c r="G2681" s="501">
        <v>112</v>
      </c>
      <c r="H2681" s="8">
        <f>+IFERROR(VLOOKUP(E2681,BD!$L$2:$Q$66,6,0),0)</f>
        <v>240</v>
      </c>
      <c r="I2681" s="98">
        <f>IFERROR(G2681*VLOOKUP($E2681,BD!$L$2:$Q$66,5,0),0)</f>
        <v>44.800000000000004</v>
      </c>
      <c r="J2681" s="110">
        <f t="shared" si="179"/>
        <v>2021</v>
      </c>
    </row>
    <row r="2682" spans="1:10" s="9" customFormat="1" hidden="1" x14ac:dyDescent="0.25">
      <c r="A2682" s="493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63">
        <v>256680</v>
      </c>
      <c r="F2682" s="6" t="str">
        <f>IFERROR(VLOOKUP(E2682,BD!$L$2:$Q$66,2,0),0)</f>
        <v>TRIPACK CC+CC+IK PFM 3LX3 - RFNN</v>
      </c>
      <c r="G2682" s="513">
        <v>3060</v>
      </c>
      <c r="H2682" s="6">
        <f>+IFERROR(VLOOKUP(E2682,BD!$L$2:$Q$66,6,0),0)</f>
        <v>90</v>
      </c>
      <c r="I2682" s="97">
        <f>IFERROR(G2682*VLOOKUP($E2682,BD!$L$2:$Q$66,5,0),0)</f>
        <v>520.20000000000005</v>
      </c>
      <c r="J2682" s="109">
        <f t="shared" si="179"/>
        <v>2021</v>
      </c>
    </row>
    <row r="2683" spans="1:10" s="9" customFormat="1" hidden="1" x14ac:dyDescent="0.25">
      <c r="A2683" s="491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7">
        <v>256616</v>
      </c>
      <c r="F2683" s="3" t="str">
        <f>IFERROR(VLOOKUP(E2683,BD!$L$2:$Q$66,2,0),0)</f>
        <v>TWO PACK SCHWEPPES CITRUS PET 1.5LX2</v>
      </c>
      <c r="G2683" s="425">
        <v>792</v>
      </c>
      <c r="H2683" s="3">
        <f>+IFERROR(VLOOKUP(E2683,BD!$L$2:$Q$66,6,0),0)</f>
        <v>198</v>
      </c>
      <c r="I2683" s="96">
        <f>IFERROR(G2683*VLOOKUP($E2683,BD!$L$2:$Q$66,5,0),0)</f>
        <v>134.64000000000001</v>
      </c>
      <c r="J2683" s="5">
        <f t="shared" si="179"/>
        <v>2021</v>
      </c>
    </row>
    <row r="2684" spans="1:10" s="9" customFormat="1" hidden="1" x14ac:dyDescent="0.25">
      <c r="A2684" s="491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7">
        <v>256617</v>
      </c>
      <c r="F2684" s="3" t="str">
        <f>IFERROR(VLOOKUP(E2684,BD!$L$2:$Q$66,2,0),0)</f>
        <v>TWO PACK SCHWEPPES GINGER ALE PET 1.5LX2</v>
      </c>
      <c r="G2684" s="425">
        <v>792</v>
      </c>
      <c r="H2684" s="3">
        <f>+IFERROR(VLOOKUP(E2684,BD!$L$2:$Q$66,6,0),0)</f>
        <v>198</v>
      </c>
      <c r="I2684" s="96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hidden="1" x14ac:dyDescent="0.25">
      <c r="A2685" s="491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7">
        <v>256379</v>
      </c>
      <c r="F2685" s="3" t="str">
        <f>IFERROR(VLOOKUP(E2685,BD!$L$2:$Q$66,2,0),0)</f>
        <v>INCA KOLA VR 625MLX12 - STICKER</v>
      </c>
      <c r="G2685" s="424">
        <v>350</v>
      </c>
      <c r="H2685" s="3">
        <f>+IFERROR(VLOOKUP(E2685,BD!$L$2:$Q$66,6,0),0)</f>
        <v>50</v>
      </c>
      <c r="I2685" s="96">
        <f>IFERROR(G2685*VLOOKUP($E2685,BD!$L$2:$Q$66,5,0),0)</f>
        <v>140</v>
      </c>
      <c r="J2685" s="5">
        <f t="shared" si="183"/>
        <v>2021</v>
      </c>
    </row>
    <row r="2686" spans="1:10" s="9" customFormat="1" hidden="1" x14ac:dyDescent="0.25">
      <c r="A2686" s="491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7">
        <v>256488</v>
      </c>
      <c r="F2686" s="3" t="str">
        <f>IFERROR(VLOOKUP(E2686,BD!$L$2:$Q$66,2,0),0)</f>
        <v>INCA KOLA PET 3LX2 - RF</v>
      </c>
      <c r="G2686" s="424">
        <v>1200</v>
      </c>
      <c r="H2686" s="3">
        <f>+IFERROR(VLOOKUP(E2686,BD!$L$2:$Q$66,6,0),0)</f>
        <v>120</v>
      </c>
      <c r="I2686" s="96">
        <f>IFERROR(G2686*VLOOKUP($E2686,BD!$L$2:$Q$66,5,0),0)</f>
        <v>204.00000000000003</v>
      </c>
      <c r="J2686" s="5">
        <f t="shared" si="183"/>
        <v>2021</v>
      </c>
    </row>
    <row r="2687" spans="1:10" s="9" customFormat="1" hidden="1" x14ac:dyDescent="0.25">
      <c r="A2687" s="491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7">
        <v>251406</v>
      </c>
      <c r="F2687" s="3" t="str">
        <f>IFERROR(VLOOKUP(E2687,BD!$L$2:$Q$66,2,0),0)</f>
        <v>COCA-COLA SIN AZUCAR PET 1.5LX2</v>
      </c>
      <c r="G2687" s="424">
        <v>216</v>
      </c>
      <c r="H2687" s="3">
        <f>+IFERROR(VLOOKUP(E2687,BD!$L$2:$Q$66,6,0),0)</f>
        <v>198</v>
      </c>
      <c r="I2687" s="96">
        <f>IFERROR(G2687*VLOOKUP($E2687,BD!$L$2:$Q$66,5,0),0)</f>
        <v>36.720000000000006</v>
      </c>
      <c r="J2687" s="5">
        <f t="shared" si="183"/>
        <v>2021</v>
      </c>
    </row>
    <row r="2688" spans="1:10" s="9" customFormat="1" hidden="1" x14ac:dyDescent="0.25">
      <c r="A2688" s="491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7">
        <v>256674</v>
      </c>
      <c r="F2688" s="3" t="str">
        <f>IFERROR(VLOOKUP(E2688,BD!$L$2:$Q$66,2,0),0)</f>
        <v>COCA-COLA PET 1.5LX2 RF</v>
      </c>
      <c r="G2688" s="424">
        <v>1296</v>
      </c>
      <c r="H2688" s="3">
        <f>+IFERROR(VLOOKUP(E2688,BD!$L$2:$Q$66,6,0),0)</f>
        <v>198</v>
      </c>
      <c r="I2688" s="96">
        <f>IFERROR(G2688*VLOOKUP($E2688,BD!$L$2:$Q$66,5,0),0)</f>
        <v>220.32000000000002</v>
      </c>
      <c r="J2688" s="5">
        <f t="shared" si="183"/>
        <v>2021</v>
      </c>
    </row>
    <row r="2689" spans="1:10" s="9" customFormat="1" hidden="1" x14ac:dyDescent="0.25">
      <c r="A2689" s="491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7">
        <v>256666</v>
      </c>
      <c r="F2689" s="3" t="str">
        <f>IFERROR(VLOOKUP(E2689,BD!$L$2:$Q$66,2,0),0)</f>
        <v>COCA-COLA PET 2.25LX2 RF</v>
      </c>
      <c r="G2689" s="424">
        <v>1134</v>
      </c>
      <c r="H2689" s="3">
        <f>+IFERROR(VLOOKUP(E2689,BD!$L$2:$Q$66,6,0),0)</f>
        <v>162</v>
      </c>
      <c r="I2689" s="96">
        <f>IFERROR(G2689*VLOOKUP($E2689,BD!$L$2:$Q$66,5,0),0)</f>
        <v>192.78</v>
      </c>
      <c r="J2689" s="5">
        <f t="shared" si="183"/>
        <v>2021</v>
      </c>
    </row>
    <row r="2690" spans="1:10" s="9" customFormat="1" hidden="1" x14ac:dyDescent="0.25">
      <c r="A2690" s="491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7">
        <v>256679</v>
      </c>
      <c r="F2690" s="3" t="str">
        <f>IFERROR(VLOOKUP(E2690,BD!$L$2:$Q$66,2,0),0)</f>
        <v>TRIPACK CC+IK+IK PFM 3LX3 - RFNN</v>
      </c>
      <c r="G2690" s="424">
        <v>180</v>
      </c>
      <c r="H2690" s="3">
        <f>+IFERROR(VLOOKUP(E2690,BD!$L$2:$Q$66,6,0),0)</f>
        <v>90</v>
      </c>
      <c r="I2690" s="96">
        <f>IFERROR(G2690*VLOOKUP($E2690,BD!$L$2:$Q$66,5,0),0)</f>
        <v>30.6</v>
      </c>
      <c r="J2690" s="5">
        <f t="shared" si="183"/>
        <v>2021</v>
      </c>
    </row>
    <row r="2691" spans="1:10" s="9" customFormat="1" hidden="1" x14ac:dyDescent="0.25">
      <c r="A2691" s="491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7">
        <v>256720</v>
      </c>
      <c r="F2691" s="3" t="str">
        <f>IFERROR(VLOOKUP(E2691,BD!$L$2:$Q$66,2,0),0)</f>
        <v>FANTA NARANJA PET 500MLX6 BRANDEADO MOD</v>
      </c>
      <c r="G2691" s="424">
        <v>1500</v>
      </c>
      <c r="H2691" s="3">
        <f>+IFERROR(VLOOKUP(E2691,BD!$L$2:$Q$66,6,0),0)</f>
        <v>420</v>
      </c>
      <c r="I2691" s="96">
        <f>IFERROR(G2691*VLOOKUP($E2691,BD!$L$2:$Q$66,5,0),0)</f>
        <v>630</v>
      </c>
      <c r="J2691" s="5">
        <f t="shared" si="183"/>
        <v>2021</v>
      </c>
    </row>
    <row r="2692" spans="1:10" s="9" customFormat="1" hidden="1" x14ac:dyDescent="0.25">
      <c r="A2692" s="491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7">
        <v>256677</v>
      </c>
      <c r="F2692" s="3" t="str">
        <f>IFERROR(VLOOKUP(E2692,BD!$L$2:$Q$66,2,0),0)</f>
        <v>TWO PACK CC + IK PFM 3LX2 - RFNN</v>
      </c>
      <c r="G2692" s="424">
        <v>3180</v>
      </c>
      <c r="H2692" s="3">
        <f>+IFERROR(VLOOKUP(E2692,BD!$L$2:$Q$66,6,0),0)</f>
        <v>120</v>
      </c>
      <c r="I2692" s="96">
        <f>IFERROR(G2692*VLOOKUP($E2692,BD!$L$2:$Q$66,5,0),0)</f>
        <v>540.6</v>
      </c>
      <c r="J2692" s="5">
        <f t="shared" si="183"/>
        <v>2021</v>
      </c>
    </row>
    <row r="2693" spans="1:10" s="9" customFormat="1" hidden="1" x14ac:dyDescent="0.25">
      <c r="A2693" s="491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7">
        <v>256676</v>
      </c>
      <c r="F2693" s="3" t="str">
        <f>IFERROR(VLOOKUP(E2693,BD!$L$2:$Q$66,2,0),0)</f>
        <v>TWO PACK CC PFM 3LX2 - RFCC</v>
      </c>
      <c r="G2693" s="424">
        <v>2160</v>
      </c>
      <c r="H2693" s="3">
        <f>+IFERROR(VLOOKUP(E2693,BD!$L$2:$Q$66,6,0),0)</f>
        <v>120</v>
      </c>
      <c r="I2693" s="96">
        <f>IFERROR(G2693*VLOOKUP($E2693,BD!$L$2:$Q$66,5,0),0)</f>
        <v>367.20000000000005</v>
      </c>
      <c r="J2693" s="5">
        <f t="shared" si="183"/>
        <v>2021</v>
      </c>
    </row>
    <row r="2694" spans="1:10" s="9" customFormat="1" hidden="1" x14ac:dyDescent="0.25">
      <c r="A2694" s="491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7">
        <v>256652</v>
      </c>
      <c r="F2694" s="3" t="str">
        <f>IFERROR(VLOOKUP(E2694,BD!$L$2:$Q$66,2,0),0)</f>
        <v>TRIPACK FT NAR+FT KI+SP PET 3L</v>
      </c>
      <c r="G2694" s="425">
        <v>1440</v>
      </c>
      <c r="H2694" s="3">
        <f>+IFERROR(VLOOKUP(E2694,BD!$L$2:$Q$66,6,0),0)</f>
        <v>90</v>
      </c>
      <c r="I2694" s="96">
        <f>IFERROR(G2694*VLOOKUP($E2694,BD!$L$2:$Q$66,5,0),0)</f>
        <v>244.8</v>
      </c>
      <c r="J2694" s="5">
        <f t="shared" si="183"/>
        <v>2021</v>
      </c>
    </row>
    <row r="2695" spans="1:10" s="9" customFormat="1" hidden="1" x14ac:dyDescent="0.25">
      <c r="A2695" s="491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7">
        <v>256682</v>
      </c>
      <c r="F2695" s="3" t="str">
        <f>IFERROR(VLOOKUP(E2695,BD!$L$2:$Q$66,2,0),0)</f>
        <v>TRIPACK (FT NAR+SP)PET+IK RF PFM 3L</v>
      </c>
      <c r="G2695" s="424">
        <v>180</v>
      </c>
      <c r="H2695" s="3">
        <f>+IFERROR(VLOOKUP(E2695,BD!$L$2:$Q$66,6,0),0)</f>
        <v>90</v>
      </c>
      <c r="I2695" s="96">
        <f>IFERROR(G2695*VLOOKUP($E2695,BD!$L$2:$Q$66,5,0),0)</f>
        <v>30.6</v>
      </c>
      <c r="J2695" s="5">
        <f t="shared" si="183"/>
        <v>2021</v>
      </c>
    </row>
    <row r="2696" spans="1:10" s="9" customFormat="1" hidden="1" x14ac:dyDescent="0.25">
      <c r="A2696" s="491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7">
        <v>256548</v>
      </c>
      <c r="F2696" s="3" t="str">
        <f>IFERROR(VLOOKUP(E2696,BD!$L$2:$Q$66,2,0),0)</f>
        <v>TWO PACK CC PET 1.5LX2 - CRC</v>
      </c>
      <c r="G2696" s="424">
        <v>216</v>
      </c>
      <c r="H2696" s="3">
        <f>+IFERROR(VLOOKUP(E2696,BD!$L$2:$Q$66,6,0),0)</f>
        <v>198</v>
      </c>
      <c r="I2696" s="96">
        <f>IFERROR(G2696*VLOOKUP($E2696,BD!$L$2:$Q$66,5,0),0)</f>
        <v>36.720000000000006</v>
      </c>
      <c r="J2696" s="5">
        <f t="shared" si="183"/>
        <v>2021</v>
      </c>
    </row>
    <row r="2697" spans="1:10" s="9" customFormat="1" hidden="1" x14ac:dyDescent="0.25">
      <c r="A2697" s="491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7">
        <v>256675</v>
      </c>
      <c r="F2697" s="3" t="str">
        <f>IFERROR(VLOOKUP(E2697,BD!$L$2:$Q$66,2,0),0)</f>
        <v>INCA KOLA PET 1.5LX2 RF</v>
      </c>
      <c r="G2697" s="424">
        <v>648</v>
      </c>
      <c r="H2697" s="3">
        <f>+IFERROR(VLOOKUP(E2697,BD!$L$2:$Q$66,6,0),0)</f>
        <v>198</v>
      </c>
      <c r="I2697" s="96">
        <f>IFERROR(G2697*VLOOKUP($E2697,BD!$L$2:$Q$66,5,0),0)</f>
        <v>110.16000000000001</v>
      </c>
      <c r="J2697" s="5">
        <f t="shared" si="183"/>
        <v>2021</v>
      </c>
    </row>
    <row r="2698" spans="1:10" s="9" customFormat="1" hidden="1" x14ac:dyDescent="0.25">
      <c r="A2698" s="491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7">
        <v>256678</v>
      </c>
      <c r="F2698" s="3" t="str">
        <f>IFERROR(VLOOKUP(E2698,BD!$L$2:$Q$66,2,0),0)</f>
        <v>TRIPACK (CC+IK)PFM+FT PET 3LX3 - RFNN</v>
      </c>
      <c r="G2698" s="424">
        <v>540</v>
      </c>
      <c r="H2698" s="3">
        <f>+IFERROR(VLOOKUP(E2698,BD!$L$2:$Q$66,6,0),0)</f>
        <v>90</v>
      </c>
      <c r="I2698" s="96">
        <f>IFERROR(G2698*VLOOKUP($E2698,BD!$L$2:$Q$66,5,0),0)</f>
        <v>91.800000000000011</v>
      </c>
      <c r="J2698" s="5">
        <f t="shared" si="183"/>
        <v>2021</v>
      </c>
    </row>
    <row r="2699" spans="1:10" s="9" customFormat="1" hidden="1" x14ac:dyDescent="0.25">
      <c r="A2699" s="491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7">
        <v>256708</v>
      </c>
      <c r="F2699" s="3" t="str">
        <f>IFERROR(VLOOKUP(E2699,BD!$L$2:$Q$66,2,0),0)</f>
        <v>POWERADE ION4 FRUTA PET473X6 MOD (STICK)</v>
      </c>
      <c r="G2699" s="425">
        <v>675</v>
      </c>
      <c r="H2699" s="3">
        <f>+IFERROR(VLOOKUP(E2699,BD!$L$2:$Q$66,6,0),0)</f>
        <v>225</v>
      </c>
      <c r="I2699" s="96">
        <f>IFERROR(G2699*VLOOKUP($E2699,BD!$L$2:$Q$66,5,0),0)</f>
        <v>270</v>
      </c>
      <c r="J2699" s="5">
        <f t="shared" si="183"/>
        <v>2021</v>
      </c>
    </row>
    <row r="2700" spans="1:10" s="9" customFormat="1" hidden="1" x14ac:dyDescent="0.25">
      <c r="A2700" s="491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7">
        <v>256721</v>
      </c>
      <c r="F2700" s="3" t="str">
        <f>IFERROR(VLOOKUP(E2700,BD!$L$2:$Q$66,2,0),0)</f>
        <v>SPRITE PET 500MLX6 BRANDEADO MOD</v>
      </c>
      <c r="G2700" s="424">
        <v>1500</v>
      </c>
      <c r="H2700" s="3">
        <f>+IFERROR(VLOOKUP(E2700,BD!$L$2:$Q$66,6,0),0)</f>
        <v>420</v>
      </c>
      <c r="I2700" s="96">
        <f>IFERROR(G2700*VLOOKUP($E2700,BD!$L$2:$Q$66,5,0),0)</f>
        <v>630</v>
      </c>
      <c r="J2700" s="5">
        <f t="shared" si="183"/>
        <v>2021</v>
      </c>
    </row>
    <row r="2701" spans="1:10" s="9" customFormat="1" hidden="1" x14ac:dyDescent="0.25">
      <c r="A2701" s="491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7">
        <v>256685</v>
      </c>
      <c r="F2701" s="3" t="str">
        <f>IFERROR(VLOOKUP(E2701,BD!$L$2:$Q$66,2,0),0)</f>
        <v>SL S/G TAPA PLANA 1LT</v>
      </c>
      <c r="G2701" s="424">
        <v>224</v>
      </c>
      <c r="H2701" s="3">
        <f>+IFERROR(VLOOKUP(E2701,BD!$L$2:$Q$66,6,0),0)</f>
        <v>112</v>
      </c>
      <c r="I2701" s="96">
        <f>IFERROR(G2701*VLOOKUP($E2701,BD!$L$2:$Q$66,5,0),0)</f>
        <v>89.600000000000009</v>
      </c>
      <c r="J2701" s="5">
        <f t="shared" si="183"/>
        <v>2021</v>
      </c>
    </row>
    <row r="2702" spans="1:10" s="9" customFormat="1" hidden="1" x14ac:dyDescent="0.25">
      <c r="A2702" s="491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7">
        <v>751315</v>
      </c>
      <c r="F2702" s="3" t="str">
        <f>IFERROR(VLOOKUP(E2702,BD!$L$2:$Q$66,2,0),0)</f>
        <v>MONSTER ENERGY 473MLX4</v>
      </c>
      <c r="G2702" s="424">
        <v>420</v>
      </c>
      <c r="H2702" s="3">
        <f>+IFERROR(VLOOKUP(E2702,BD!$L$2:$Q$66,6,0),0)</f>
        <v>420</v>
      </c>
      <c r="I2702" s="96">
        <f>IFERROR(G2702*VLOOKUP($E2702,BD!$L$2:$Q$66,5,0),0)</f>
        <v>176.4</v>
      </c>
      <c r="J2702" s="5">
        <f t="shared" si="183"/>
        <v>2021</v>
      </c>
    </row>
    <row r="2703" spans="1:10" s="9" customFormat="1" hidden="1" x14ac:dyDescent="0.25">
      <c r="A2703" s="491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7">
        <v>251633</v>
      </c>
      <c r="F2703" s="3" t="str">
        <f>IFERROR(VLOOKUP(E2703,BD!$L$2:$Q$66,2,0),0)</f>
        <v>SAN LUIS CON GAS PET 625MLX6</v>
      </c>
      <c r="G2703" s="424">
        <v>180</v>
      </c>
      <c r="H2703" s="3">
        <f>+IFERROR(VLOOKUP(E2703,BD!$L$2:$Q$66,6,0),0)</f>
        <v>180</v>
      </c>
      <c r="I2703" s="96">
        <f>IFERROR(G2703*VLOOKUP($E2703,BD!$L$2:$Q$66,5,0),0)</f>
        <v>75.599999999999994</v>
      </c>
      <c r="J2703" s="5">
        <f t="shared" si="183"/>
        <v>2021</v>
      </c>
    </row>
    <row r="2704" spans="1:10" s="9" customFormat="1" hidden="1" x14ac:dyDescent="0.25">
      <c r="A2704" s="52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70">
        <v>256682</v>
      </c>
      <c r="F2704" s="33" t="str">
        <f>IFERROR(VLOOKUP(E2704,BD!$L$2:$Q$66,2,0),0)</f>
        <v>TRIPACK (FT NAR+SP)PET+IK RF PFM 3L</v>
      </c>
      <c r="G2704" s="512">
        <v>180</v>
      </c>
      <c r="H2704" s="33">
        <f>+IFERROR(VLOOKUP(E2704,BD!$L$2:$Q$66,6,0),0)</f>
        <v>90</v>
      </c>
      <c r="I2704" s="499">
        <f>IFERROR(G2704*VLOOKUP($E2704,BD!$L$2:$Q$66,5,0),0)</f>
        <v>30.6</v>
      </c>
      <c r="J2704" s="386">
        <f t="shared" si="183"/>
        <v>2021</v>
      </c>
    </row>
    <row r="2705" spans="1:10" s="9" customFormat="1" hidden="1" x14ac:dyDescent="0.25">
      <c r="A2705" s="493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63">
        <v>256680</v>
      </c>
      <c r="F2705" s="6" t="str">
        <f>IFERROR(VLOOKUP(E2705,BD!$L$2:$Q$66,2,0),0)</f>
        <v>TRIPACK CC+CC+IK PFM 3LX3 - RFNN</v>
      </c>
      <c r="G2705" s="519">
        <v>540</v>
      </c>
      <c r="H2705" s="6">
        <f>+IFERROR(VLOOKUP(E2705,BD!$L$2:$Q$66,6,0),0)</f>
        <v>90</v>
      </c>
      <c r="I2705" s="97">
        <f>IFERROR(G2705*VLOOKUP($E2705,BD!$L$2:$Q$66,5,0),0)</f>
        <v>91.800000000000011</v>
      </c>
      <c r="J2705" s="109">
        <f t="shared" si="183"/>
        <v>2021</v>
      </c>
    </row>
    <row r="2706" spans="1:10" s="9" customFormat="1" hidden="1" x14ac:dyDescent="0.25">
      <c r="A2706" s="491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7">
        <v>256678</v>
      </c>
      <c r="F2706" s="3" t="str">
        <f>IFERROR(VLOOKUP(E2706,BD!$L$2:$Q$66,2,0),0)</f>
        <v>TRIPACK (CC+IK)PFM+FT PET 3LX3 - RFNN</v>
      </c>
      <c r="G2706" s="425">
        <v>450</v>
      </c>
      <c r="H2706" s="3">
        <f>+IFERROR(VLOOKUP(E2706,BD!$L$2:$Q$66,6,0),0)</f>
        <v>90</v>
      </c>
      <c r="I2706" s="96">
        <f>IFERROR(G2706*VLOOKUP($E2706,BD!$L$2:$Q$66,5,0),0)</f>
        <v>76.5</v>
      </c>
      <c r="J2706" s="5">
        <f t="shared" si="183"/>
        <v>2021</v>
      </c>
    </row>
    <row r="2707" spans="1:10" s="9" customFormat="1" hidden="1" x14ac:dyDescent="0.25">
      <c r="A2707" s="491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7">
        <v>256677</v>
      </c>
      <c r="F2707" s="3" t="str">
        <f>IFERROR(VLOOKUP(E2707,BD!$L$2:$Q$66,2,0),0)</f>
        <v>TWO PACK CC + IK PFM 3LX2 - RFNN</v>
      </c>
      <c r="G2707" s="424">
        <v>240</v>
      </c>
      <c r="H2707" s="3">
        <f>+IFERROR(VLOOKUP(E2707,BD!$L$2:$Q$66,6,0),0)</f>
        <v>120</v>
      </c>
      <c r="I2707" s="96">
        <f>IFERROR(G2707*VLOOKUP($E2707,BD!$L$2:$Q$66,5,0),0)</f>
        <v>40.800000000000004</v>
      </c>
      <c r="J2707" s="5">
        <f t="shared" si="183"/>
        <v>2021</v>
      </c>
    </row>
    <row r="2708" spans="1:10" s="9" customFormat="1" hidden="1" x14ac:dyDescent="0.25">
      <c r="A2708" s="491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7">
        <v>256695</v>
      </c>
      <c r="F2708" s="3" t="str">
        <f>IFERROR(VLOOKUP(E2708,BD!$L$2:$Q$66,2,0),0)</f>
        <v>POWERADE 3MORA+3FRUT PET 473MLX6</v>
      </c>
      <c r="G2708" s="424">
        <v>1125</v>
      </c>
      <c r="H2708" s="3">
        <f>+IFERROR(VLOOKUP(E2708,BD!$L$2:$Q$66,6,0),0)</f>
        <v>225</v>
      </c>
      <c r="I2708" s="96">
        <f>IFERROR(G2708*VLOOKUP($E2708,BD!$L$2:$Q$66,5,0),0)</f>
        <v>472.5</v>
      </c>
      <c r="J2708" s="5">
        <f t="shared" si="183"/>
        <v>2021</v>
      </c>
    </row>
    <row r="2709" spans="1:10" s="9" customFormat="1" hidden="1" x14ac:dyDescent="0.25">
      <c r="A2709" s="491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7">
        <v>256709</v>
      </c>
      <c r="F2709" s="3" t="str">
        <f>IFERROR(VLOOKUP(E2709,BD!$L$2:$Q$66,2,0),0)</f>
        <v>POWERADE ION4 MORA AZ PET473X6 MOD(STCK)</v>
      </c>
      <c r="G2709" s="424">
        <v>900</v>
      </c>
      <c r="H2709" s="3">
        <f>+IFERROR(VLOOKUP(E2709,BD!$L$2:$Q$66,6,0),0)</f>
        <v>225</v>
      </c>
      <c r="I2709" s="96">
        <f>IFERROR(G2709*VLOOKUP($E2709,BD!$L$2:$Q$66,5,0),0)</f>
        <v>360</v>
      </c>
      <c r="J2709" s="5">
        <f t="shared" si="183"/>
        <v>2021</v>
      </c>
    </row>
    <row r="2710" spans="1:10" s="9" customFormat="1" hidden="1" x14ac:dyDescent="0.25">
      <c r="A2710" s="491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7">
        <v>251429</v>
      </c>
      <c r="F2710" s="3" t="str">
        <f>IFERROR(VLOOKUP(E2710,BD!$L$2:$Q$66,2,0),0)</f>
        <v>SAN LUIS SIN GAS PET2500X6 STICKER</v>
      </c>
      <c r="G2710" s="424">
        <v>288</v>
      </c>
      <c r="H2710" s="3">
        <f>+IFERROR(VLOOKUP(E2710,BD!$L$2:$Q$66,6,0),0)</f>
        <v>48</v>
      </c>
      <c r="I2710" s="96">
        <f>IFERROR(G2710*VLOOKUP($E2710,BD!$L$2:$Q$66,5,0),0)</f>
        <v>115.2</v>
      </c>
      <c r="J2710" s="5">
        <f t="shared" si="183"/>
        <v>2021</v>
      </c>
    </row>
    <row r="2711" spans="1:10" s="9" customFormat="1" hidden="1" x14ac:dyDescent="0.25">
      <c r="A2711" s="491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7">
        <v>256383</v>
      </c>
      <c r="F2711" s="3" t="str">
        <f>IFERROR(VLOOKUP(E2711,BD!$L$2:$Q$66,2,0),0)</f>
        <v>COCA COLA VR 1.5LX8 - STICKER</v>
      </c>
      <c r="G2711" s="424">
        <v>120</v>
      </c>
      <c r="H2711" s="3">
        <f>+IFERROR(VLOOKUP(E2711,BD!$L$2:$Q$66,6,0),0)</f>
        <v>30</v>
      </c>
      <c r="I2711" s="96">
        <f>IFERROR(G2711*VLOOKUP($E2711,BD!$L$2:$Q$66,5,0),0)</f>
        <v>27.6</v>
      </c>
      <c r="J2711" s="5">
        <f t="shared" si="183"/>
        <v>2021</v>
      </c>
    </row>
    <row r="2712" spans="1:10" s="9" customFormat="1" hidden="1" x14ac:dyDescent="0.25">
      <c r="A2712" s="491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7">
        <v>256380</v>
      </c>
      <c r="F2712" s="3" t="str">
        <f>IFERROR(VLOOKUP(E2712,BD!$L$2:$Q$66,2,0),0)</f>
        <v>INCA KOLA VR 296MLX24 - STICKER</v>
      </c>
      <c r="G2712" s="424">
        <v>200</v>
      </c>
      <c r="H2712" s="3">
        <f>+IFERROR(VLOOKUP(E2712,BD!$L$2:$Q$66,6,0),0)</f>
        <v>40</v>
      </c>
      <c r="I2712" s="96">
        <f>IFERROR(G2712*VLOOKUP($E2712,BD!$L$2:$Q$66,5,0),0)</f>
        <v>46</v>
      </c>
      <c r="J2712" s="5">
        <f t="shared" si="183"/>
        <v>2021</v>
      </c>
    </row>
    <row r="2713" spans="1:10" s="9" customFormat="1" hidden="1" x14ac:dyDescent="0.25">
      <c r="A2713" s="491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7">
        <v>256382</v>
      </c>
      <c r="F2713" s="3" t="str">
        <f>IFERROR(VLOOKUP(E2713,BD!$L$2:$Q$66,2,0),0)</f>
        <v>COCA COLA VR 296MLX24 - STICKER</v>
      </c>
      <c r="G2713" s="424">
        <v>80</v>
      </c>
      <c r="H2713" s="3">
        <f>+IFERROR(VLOOKUP(E2713,BD!$L$2:$Q$66,6,0),0)</f>
        <v>40</v>
      </c>
      <c r="I2713" s="96">
        <f>IFERROR(G2713*VLOOKUP($E2713,BD!$L$2:$Q$66,5,0),0)</f>
        <v>18.400000000000002</v>
      </c>
      <c r="J2713" s="5">
        <f t="shared" si="183"/>
        <v>2021</v>
      </c>
    </row>
    <row r="2714" spans="1:10" s="9" customFormat="1" hidden="1" x14ac:dyDescent="0.25">
      <c r="A2714" s="491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7">
        <v>256383</v>
      </c>
      <c r="F2714" s="3" t="str">
        <f>IFERROR(VLOOKUP(E2714,BD!$L$2:$Q$66,2,0),0)</f>
        <v>COCA COLA VR 1.5LX8 - STICKER</v>
      </c>
      <c r="G2714" s="425">
        <v>90</v>
      </c>
      <c r="H2714" s="3">
        <f>+IFERROR(VLOOKUP(E2714,BD!$L$2:$Q$66,6,0),0)</f>
        <v>30</v>
      </c>
      <c r="I2714" s="96">
        <f>IFERROR(G2714*VLOOKUP($E2714,BD!$L$2:$Q$66,5,0),0)</f>
        <v>20.7</v>
      </c>
      <c r="J2714" s="5">
        <f t="shared" si="183"/>
        <v>2021</v>
      </c>
    </row>
    <row r="2715" spans="1:10" s="9" customFormat="1" hidden="1" x14ac:dyDescent="0.25">
      <c r="A2715" s="491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7">
        <v>256382</v>
      </c>
      <c r="F2715" s="3" t="str">
        <f>IFERROR(VLOOKUP(E2715,BD!$L$2:$Q$66,2,0),0)</f>
        <v>COCA COLA VR 296MLX24 - STICKER</v>
      </c>
      <c r="G2715" s="424">
        <v>200</v>
      </c>
      <c r="H2715" s="3">
        <f>+IFERROR(VLOOKUP(E2715,BD!$L$2:$Q$66,6,0),0)</f>
        <v>40</v>
      </c>
      <c r="I2715" s="96">
        <f>IFERROR(G2715*VLOOKUP($E2715,BD!$L$2:$Q$66,5,0),0)</f>
        <v>46</v>
      </c>
      <c r="J2715" s="5">
        <f t="shared" si="183"/>
        <v>2021</v>
      </c>
    </row>
    <row r="2716" spans="1:10" s="9" customFormat="1" hidden="1" x14ac:dyDescent="0.25">
      <c r="A2716" s="491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7">
        <v>256380</v>
      </c>
      <c r="F2716" s="3" t="str">
        <f>IFERROR(VLOOKUP(E2716,BD!$L$2:$Q$66,2,0),0)</f>
        <v>INCA KOLA VR 296MLX24 - STICKER</v>
      </c>
      <c r="G2716" s="424">
        <v>240</v>
      </c>
      <c r="H2716" s="3">
        <f>+IFERROR(VLOOKUP(E2716,BD!$L$2:$Q$66,6,0),0)</f>
        <v>40</v>
      </c>
      <c r="I2716" s="96">
        <f>IFERROR(G2716*VLOOKUP($E2716,BD!$L$2:$Q$66,5,0),0)</f>
        <v>55.2</v>
      </c>
      <c r="J2716" s="5">
        <f t="shared" si="183"/>
        <v>2021</v>
      </c>
    </row>
    <row r="2717" spans="1:10" s="9" customFormat="1" hidden="1" x14ac:dyDescent="0.25">
      <c r="A2717" s="491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7">
        <v>256379</v>
      </c>
      <c r="F2717" s="3" t="str">
        <f>IFERROR(VLOOKUP(E2717,BD!$L$2:$Q$66,2,0),0)</f>
        <v>INCA KOLA VR 625MLX12 - STICKER</v>
      </c>
      <c r="G2717" s="424">
        <v>100</v>
      </c>
      <c r="H2717" s="3">
        <f>+IFERROR(VLOOKUP(E2717,BD!$L$2:$Q$66,6,0),0)</f>
        <v>50</v>
      </c>
      <c r="I2717" s="96">
        <f>IFERROR(G2717*VLOOKUP($E2717,BD!$L$2:$Q$66,5,0),0)</f>
        <v>40</v>
      </c>
      <c r="J2717" s="5">
        <f t="shared" si="183"/>
        <v>2021</v>
      </c>
    </row>
    <row r="2718" spans="1:10" s="9" customFormat="1" hidden="1" x14ac:dyDescent="0.25">
      <c r="A2718" s="491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7">
        <v>256685</v>
      </c>
      <c r="F2718" s="3" t="str">
        <f>IFERROR(VLOOKUP(E2718,BD!$L$2:$Q$66,2,0),0)</f>
        <v>SL S/G TAPA PLANA 1LT</v>
      </c>
      <c r="G2718" s="424">
        <v>112</v>
      </c>
      <c r="H2718" s="3">
        <f>+IFERROR(VLOOKUP(E2718,BD!$L$2:$Q$66,6,0),0)</f>
        <v>112</v>
      </c>
      <c r="I2718" s="96">
        <f>IFERROR(G2718*VLOOKUP($E2718,BD!$L$2:$Q$66,5,0),0)</f>
        <v>44.800000000000004</v>
      </c>
      <c r="J2718" s="5">
        <f t="shared" si="183"/>
        <v>2021</v>
      </c>
    </row>
    <row r="2719" spans="1:10" s="9" customFormat="1" hidden="1" x14ac:dyDescent="0.25">
      <c r="A2719" s="491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7">
        <v>251429</v>
      </c>
      <c r="F2719" s="3" t="str">
        <f>IFERROR(VLOOKUP(E2719,BD!$L$2:$Q$66,2,0),0)</f>
        <v>SAN LUIS SIN GAS PET2500X6 STICKER</v>
      </c>
      <c r="G2719" s="424">
        <v>384</v>
      </c>
      <c r="H2719" s="3">
        <f>+IFERROR(VLOOKUP(E2719,BD!$L$2:$Q$66,6,0),0)</f>
        <v>48</v>
      </c>
      <c r="I2719" s="96">
        <f>IFERROR(G2719*VLOOKUP($E2719,BD!$L$2:$Q$66,5,0),0)</f>
        <v>153.60000000000002</v>
      </c>
      <c r="J2719" s="5">
        <f t="shared" si="183"/>
        <v>2021</v>
      </c>
    </row>
    <row r="2720" spans="1:10" s="9" customFormat="1" hidden="1" x14ac:dyDescent="0.25">
      <c r="A2720" s="491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7">
        <v>251633</v>
      </c>
      <c r="F2720" s="3" t="str">
        <f>IFERROR(VLOOKUP(E2720,BD!$L$2:$Q$66,2,0),0)</f>
        <v>SAN LUIS CON GAS PET 625MLX6</v>
      </c>
      <c r="G2720" s="424">
        <v>720</v>
      </c>
      <c r="H2720" s="3">
        <f>+IFERROR(VLOOKUP(E2720,BD!$L$2:$Q$66,6,0),0)</f>
        <v>180</v>
      </c>
      <c r="I2720" s="96">
        <f>IFERROR(G2720*VLOOKUP($E2720,BD!$L$2:$Q$66,5,0),0)</f>
        <v>302.39999999999998</v>
      </c>
      <c r="J2720" s="5">
        <f t="shared" si="183"/>
        <v>2021</v>
      </c>
    </row>
    <row r="2721" spans="1:10" s="9" customFormat="1" hidden="1" x14ac:dyDescent="0.25">
      <c r="A2721" s="491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7">
        <v>251406</v>
      </c>
      <c r="F2721" s="3" t="str">
        <f>IFERROR(VLOOKUP(E2721,BD!$L$2:$Q$66,2,0),0)</f>
        <v>COCA-COLA SIN AZUCAR PET 1.5LX2</v>
      </c>
      <c r="G2721" s="424">
        <v>1512</v>
      </c>
      <c r="H2721" s="3">
        <f>+IFERROR(VLOOKUP(E2721,BD!$L$2:$Q$66,6,0),0)</f>
        <v>198</v>
      </c>
      <c r="I2721" s="96">
        <f>IFERROR(G2721*VLOOKUP($E2721,BD!$L$2:$Q$66,5,0),0)</f>
        <v>257.04000000000002</v>
      </c>
      <c r="J2721" s="5">
        <f t="shared" si="183"/>
        <v>2021</v>
      </c>
    </row>
    <row r="2722" spans="1:10" s="9" customFormat="1" hidden="1" x14ac:dyDescent="0.25">
      <c r="A2722" s="491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7">
        <v>256548</v>
      </c>
      <c r="F2722" s="3" t="str">
        <f>IFERROR(VLOOKUP(E2722,BD!$L$2:$Q$66,2,0),0)</f>
        <v>TWO PACK CC PET 1.5LX2 - CRC</v>
      </c>
      <c r="G2722" s="424">
        <v>216</v>
      </c>
      <c r="H2722" s="3">
        <f>+IFERROR(VLOOKUP(E2722,BD!$L$2:$Q$66,6,0),0)</f>
        <v>198</v>
      </c>
      <c r="I2722" s="96">
        <f>IFERROR(G2722*VLOOKUP($E2722,BD!$L$2:$Q$66,5,0),0)</f>
        <v>36.720000000000006</v>
      </c>
      <c r="J2722" s="5">
        <f t="shared" si="183"/>
        <v>2021</v>
      </c>
    </row>
    <row r="2723" spans="1:10" s="9" customFormat="1" hidden="1" x14ac:dyDescent="0.25">
      <c r="A2723" s="491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7">
        <v>256616</v>
      </c>
      <c r="F2723" s="3" t="str">
        <f>IFERROR(VLOOKUP(E2723,BD!$L$2:$Q$66,2,0),0)</f>
        <v>TWO PACK SCHWEPPES CITRUS PET 1.5LX2</v>
      </c>
      <c r="G2723" s="424">
        <v>1386</v>
      </c>
      <c r="H2723" s="3">
        <f>+IFERROR(VLOOKUP(E2723,BD!$L$2:$Q$66,6,0),0)</f>
        <v>198</v>
      </c>
      <c r="I2723" s="96">
        <f>IFERROR(G2723*VLOOKUP($E2723,BD!$L$2:$Q$66,5,0),0)</f>
        <v>235.62</v>
      </c>
      <c r="J2723" s="5">
        <f t="shared" si="183"/>
        <v>2021</v>
      </c>
    </row>
    <row r="2724" spans="1:10" s="9" customFormat="1" hidden="1" x14ac:dyDescent="0.25">
      <c r="A2724" s="491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7">
        <v>256617</v>
      </c>
      <c r="F2724" s="3" t="str">
        <f>IFERROR(VLOOKUP(E2724,BD!$L$2:$Q$66,2,0),0)</f>
        <v>TWO PACK SCHWEPPES GINGER ALE PET 1.5LX2</v>
      </c>
      <c r="G2724" s="424">
        <v>990</v>
      </c>
      <c r="H2724" s="3">
        <f>+IFERROR(VLOOKUP(E2724,BD!$L$2:$Q$66,6,0),0)</f>
        <v>198</v>
      </c>
      <c r="I2724" s="96">
        <f>IFERROR(G2724*VLOOKUP($E2724,BD!$L$2:$Q$66,5,0),0)</f>
        <v>168.3</v>
      </c>
      <c r="J2724" s="5">
        <f t="shared" si="183"/>
        <v>2021</v>
      </c>
    </row>
    <row r="2725" spans="1:10" s="9" customFormat="1" hidden="1" x14ac:dyDescent="0.25">
      <c r="A2725" s="491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7">
        <v>256666</v>
      </c>
      <c r="F2725" s="3" t="str">
        <f>IFERROR(VLOOKUP(E2725,BD!$L$2:$Q$66,2,0),0)</f>
        <v>COCA-COLA PET 2.25LX2 RF</v>
      </c>
      <c r="G2725" s="425">
        <v>324</v>
      </c>
      <c r="H2725" s="3">
        <f>+IFERROR(VLOOKUP(E2725,BD!$L$2:$Q$66,6,0),0)</f>
        <v>162</v>
      </c>
      <c r="I2725" s="96">
        <f>IFERROR(G2725*VLOOKUP($E2725,BD!$L$2:$Q$66,5,0),0)</f>
        <v>55.080000000000005</v>
      </c>
      <c r="J2725" s="5">
        <f t="shared" si="183"/>
        <v>2021</v>
      </c>
    </row>
    <row r="2726" spans="1:10" s="9" customFormat="1" hidden="1" x14ac:dyDescent="0.25">
      <c r="A2726" s="491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7">
        <v>256488</v>
      </c>
      <c r="F2726" s="3" t="str">
        <f>IFERROR(VLOOKUP(E2726,BD!$L$2:$Q$66,2,0),0)</f>
        <v>INCA KOLA PET 3LX2 - RF</v>
      </c>
      <c r="G2726" s="425">
        <v>3600</v>
      </c>
      <c r="H2726" s="3">
        <f>+IFERROR(VLOOKUP(E2726,BD!$L$2:$Q$66,6,0),0)</f>
        <v>120</v>
      </c>
      <c r="I2726" s="96">
        <f>IFERROR(G2726*VLOOKUP($E2726,BD!$L$2:$Q$66,5,0),0)</f>
        <v>612</v>
      </c>
      <c r="J2726" s="5">
        <f t="shared" si="183"/>
        <v>2021</v>
      </c>
    </row>
    <row r="2727" spans="1:10" s="9" customFormat="1" hidden="1" x14ac:dyDescent="0.25">
      <c r="A2727" s="491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7">
        <v>256674</v>
      </c>
      <c r="F2727" s="3" t="str">
        <f>IFERROR(VLOOKUP(E2727,BD!$L$2:$Q$66,2,0),0)</f>
        <v>COCA-COLA PET 1.5LX2 RF</v>
      </c>
      <c r="G2727" s="424">
        <v>1512</v>
      </c>
      <c r="H2727" s="3">
        <f>+IFERROR(VLOOKUP(E2727,BD!$L$2:$Q$66,6,0),0)</f>
        <v>198</v>
      </c>
      <c r="I2727" s="96">
        <f>IFERROR(G2727*VLOOKUP($E2727,BD!$L$2:$Q$66,5,0),0)</f>
        <v>257.04000000000002</v>
      </c>
      <c r="J2727" s="5">
        <f t="shared" si="183"/>
        <v>2021</v>
      </c>
    </row>
    <row r="2728" spans="1:10" s="9" customFormat="1" hidden="1" x14ac:dyDescent="0.25">
      <c r="A2728" s="491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7">
        <v>256675</v>
      </c>
      <c r="F2728" s="3" t="str">
        <f>IFERROR(VLOOKUP(E2728,BD!$L$2:$Q$66,2,0),0)</f>
        <v>INCA KOLA PET 1.5LX2 RF</v>
      </c>
      <c r="G2728" s="424">
        <v>648</v>
      </c>
      <c r="H2728" s="3">
        <f>+IFERROR(VLOOKUP(E2728,BD!$L$2:$Q$66,6,0),0)</f>
        <v>198</v>
      </c>
      <c r="I2728" s="96">
        <f>IFERROR(G2728*VLOOKUP($E2728,BD!$L$2:$Q$66,5,0),0)</f>
        <v>110.16000000000001</v>
      </c>
      <c r="J2728" s="5">
        <f t="shared" si="183"/>
        <v>2021</v>
      </c>
    </row>
    <row r="2729" spans="1:10" s="9" customFormat="1" hidden="1" x14ac:dyDescent="0.25">
      <c r="A2729" s="491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7">
        <v>256652</v>
      </c>
      <c r="F2729" s="3" t="str">
        <f>IFERROR(VLOOKUP(E2729,BD!$L$2:$Q$66,2,0),0)</f>
        <v>TRIPACK FT NAR+FT KI+SP PET 3L</v>
      </c>
      <c r="G2729" s="424">
        <v>1440</v>
      </c>
      <c r="H2729" s="3">
        <f>+IFERROR(VLOOKUP(E2729,BD!$L$2:$Q$66,6,0),0)</f>
        <v>90</v>
      </c>
      <c r="I2729" s="96">
        <f>IFERROR(G2729*VLOOKUP($E2729,BD!$L$2:$Q$66,5,0),0)</f>
        <v>244.8</v>
      </c>
      <c r="J2729" s="5">
        <f t="shared" si="183"/>
        <v>2021</v>
      </c>
    </row>
    <row r="2730" spans="1:10" s="9" customFormat="1" hidden="1" x14ac:dyDescent="0.25">
      <c r="A2730" s="491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7">
        <v>256677</v>
      </c>
      <c r="F2730" s="3" t="str">
        <f>IFERROR(VLOOKUP(E2730,BD!$L$2:$Q$66,2,0),0)</f>
        <v>TWO PACK CC + IK PFM 3LX2 - RFNN</v>
      </c>
      <c r="G2730" s="424">
        <v>720</v>
      </c>
      <c r="H2730" s="3">
        <f>+IFERROR(VLOOKUP(E2730,BD!$L$2:$Q$66,6,0),0)</f>
        <v>120</v>
      </c>
      <c r="I2730" s="96">
        <f>IFERROR(G2730*VLOOKUP($E2730,BD!$L$2:$Q$66,5,0),0)</f>
        <v>122.4</v>
      </c>
      <c r="J2730" s="5">
        <f t="shared" si="183"/>
        <v>2021</v>
      </c>
    </row>
    <row r="2731" spans="1:10" s="9" customFormat="1" hidden="1" x14ac:dyDescent="0.25">
      <c r="A2731" s="491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7">
        <v>256678</v>
      </c>
      <c r="F2731" s="3" t="str">
        <f>IFERROR(VLOOKUP(E2731,BD!$L$2:$Q$66,2,0),0)</f>
        <v>TRIPACK (CC+IK)PFM+FT PET 3LX3 - RFNN</v>
      </c>
      <c r="G2731" s="424">
        <v>1440</v>
      </c>
      <c r="H2731" s="3">
        <f>+IFERROR(VLOOKUP(E2731,BD!$L$2:$Q$66,6,0),0)</f>
        <v>90</v>
      </c>
      <c r="I2731" s="96">
        <f>IFERROR(G2731*VLOOKUP($E2731,BD!$L$2:$Q$66,5,0),0)</f>
        <v>244.8</v>
      </c>
      <c r="J2731" s="5">
        <f t="shared" si="183"/>
        <v>2021</v>
      </c>
    </row>
    <row r="2732" spans="1:10" s="9" customFormat="1" hidden="1" x14ac:dyDescent="0.25">
      <c r="A2732" s="491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7">
        <v>256695</v>
      </c>
      <c r="F2732" s="3" t="str">
        <f>IFERROR(VLOOKUP(E2732,BD!$L$2:$Q$66,2,0),0)</f>
        <v>POWERADE 3MORA+3FRUT PET 473MLX6</v>
      </c>
      <c r="G2732" s="424">
        <v>2925</v>
      </c>
      <c r="H2732" s="3">
        <f>+IFERROR(VLOOKUP(E2732,BD!$L$2:$Q$66,6,0),0)</f>
        <v>225</v>
      </c>
      <c r="I2732" s="96">
        <f>IFERROR(G2732*VLOOKUP($E2732,BD!$L$2:$Q$66,5,0),0)</f>
        <v>1228.5</v>
      </c>
      <c r="J2732" s="5">
        <f t="shared" si="183"/>
        <v>2021</v>
      </c>
    </row>
    <row r="2733" spans="1:10" s="9" customFormat="1" hidden="1" x14ac:dyDescent="0.25">
      <c r="A2733" s="491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7">
        <v>256708</v>
      </c>
      <c r="F2733" s="3" t="str">
        <f>IFERROR(VLOOKUP(E2733,BD!$L$2:$Q$66,2,0),0)</f>
        <v>POWERADE ION4 FRUTA PET473X6 MOD (STICK)</v>
      </c>
      <c r="G2733" s="424">
        <v>1125</v>
      </c>
      <c r="H2733" s="3">
        <f>+IFERROR(VLOOKUP(E2733,BD!$L$2:$Q$66,6,0),0)</f>
        <v>225</v>
      </c>
      <c r="I2733" s="96">
        <f>IFERROR(G2733*VLOOKUP($E2733,BD!$L$2:$Q$66,5,0),0)</f>
        <v>450</v>
      </c>
      <c r="J2733" s="5">
        <f t="shared" si="183"/>
        <v>2021</v>
      </c>
    </row>
    <row r="2734" spans="1:10" s="9" customFormat="1" hidden="1" x14ac:dyDescent="0.25">
      <c r="A2734" s="491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7">
        <v>256709</v>
      </c>
      <c r="F2734" s="3" t="str">
        <f>IFERROR(VLOOKUP(E2734,BD!$L$2:$Q$66,2,0),0)</f>
        <v>POWERADE ION4 MORA AZ PET473X6 MOD(STCK)</v>
      </c>
      <c r="G2734" s="424">
        <v>1350</v>
      </c>
      <c r="H2734" s="3">
        <f>+IFERROR(VLOOKUP(E2734,BD!$L$2:$Q$66,6,0),0)</f>
        <v>225</v>
      </c>
      <c r="I2734" s="96">
        <f>IFERROR(G2734*VLOOKUP($E2734,BD!$L$2:$Q$66,5,0),0)</f>
        <v>540</v>
      </c>
      <c r="J2734" s="5">
        <f t="shared" si="183"/>
        <v>2021</v>
      </c>
    </row>
    <row r="2735" spans="1:10" s="9" customFormat="1" hidden="1" x14ac:dyDescent="0.25">
      <c r="A2735" s="491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7">
        <v>256720</v>
      </c>
      <c r="F2735" s="3" t="str">
        <f>IFERROR(VLOOKUP(E2735,BD!$L$2:$Q$66,2,0),0)</f>
        <v>FANTA NARANJA PET 500MLX6 BRANDEADO MOD</v>
      </c>
      <c r="G2735" s="424">
        <v>1250</v>
      </c>
      <c r="H2735" s="3">
        <f>+IFERROR(VLOOKUP(E2735,BD!$L$2:$Q$66,6,0),0)</f>
        <v>420</v>
      </c>
      <c r="I2735" s="96">
        <f>IFERROR(G2735*VLOOKUP($E2735,BD!$L$2:$Q$66,5,0),0)</f>
        <v>525</v>
      </c>
      <c r="J2735" s="5">
        <f t="shared" si="183"/>
        <v>2021</v>
      </c>
    </row>
    <row r="2736" spans="1:10" s="9" customFormat="1" hidden="1" x14ac:dyDescent="0.25">
      <c r="A2736" s="491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7">
        <v>256721</v>
      </c>
      <c r="F2736" s="3" t="str">
        <f>IFERROR(VLOOKUP(E2736,BD!$L$2:$Q$66,2,0),0)</f>
        <v>SPRITE PET 500MLX6 BRANDEADO MOD</v>
      </c>
      <c r="G2736" s="424">
        <v>1250</v>
      </c>
      <c r="H2736" s="3">
        <f>+IFERROR(VLOOKUP(E2736,BD!$L$2:$Q$66,6,0),0)</f>
        <v>420</v>
      </c>
      <c r="I2736" s="96">
        <f>IFERROR(G2736*VLOOKUP($E2736,BD!$L$2:$Q$66,5,0),0)</f>
        <v>525</v>
      </c>
      <c r="J2736" s="5">
        <f t="shared" si="183"/>
        <v>2021</v>
      </c>
    </row>
    <row r="2737" spans="1:10" s="9" customFormat="1" ht="15.75" hidden="1" thickBot="1" x14ac:dyDescent="0.3">
      <c r="A2737" s="492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9">
        <v>254762</v>
      </c>
      <c r="F2737" s="8" t="str">
        <f>IFERROR(VLOOKUP(E2737,BD!$L$2:$Q$66,2,0),0)</f>
        <v xml:space="preserve">SAN LUIS SPORT S/G 10 Lt x6 </v>
      </c>
      <c r="G2737" s="501">
        <v>448</v>
      </c>
      <c r="H2737" s="8">
        <f>+IFERROR(VLOOKUP(E2737,BD!$L$2:$Q$66,6,0),0)</f>
        <v>240</v>
      </c>
      <c r="I2737" s="98">
        <f>IFERROR(G2737*VLOOKUP($E2737,BD!$L$2:$Q$66,5,0),0)</f>
        <v>179.20000000000002</v>
      </c>
      <c r="J2737" s="110">
        <f t="shared" si="183"/>
        <v>2021</v>
      </c>
    </row>
    <row r="2738" spans="1:10" s="9" customFormat="1" hidden="1" x14ac:dyDescent="0.25">
      <c r="A2738" s="493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63">
        <v>256601</v>
      </c>
      <c r="F2738" s="6" t="str">
        <f>IFERROR(VLOOKUP(E2738,BD!$L$2:$Q$66,2,0),0)</f>
        <v>INCA KOLA PET 2.25LX2 RF</v>
      </c>
      <c r="G2738" s="519">
        <v>486</v>
      </c>
      <c r="H2738" s="6">
        <f>+IFERROR(VLOOKUP(E2738,BD!$L$2:$Q$66,6,0),0)</f>
        <v>162</v>
      </c>
      <c r="I2738" s="97">
        <f>IFERROR(G2738*VLOOKUP($E2738,BD!$L$2:$Q$66,5,0),0)</f>
        <v>82.62</v>
      </c>
      <c r="J2738" s="109">
        <f t="shared" si="183"/>
        <v>2021</v>
      </c>
    </row>
    <row r="2739" spans="1:10" s="9" customFormat="1" hidden="1" x14ac:dyDescent="0.25">
      <c r="A2739" s="491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7">
        <v>256695</v>
      </c>
      <c r="F2739" s="3" t="str">
        <f>IFERROR(VLOOKUP(E2739,BD!$L$2:$Q$66,2,0),0)</f>
        <v>POWERADE 3MORA+3FRUT PET 473MLX6</v>
      </c>
      <c r="G2739" s="424">
        <v>1575</v>
      </c>
      <c r="H2739" s="3">
        <f>+IFERROR(VLOOKUP(E2739,BD!$L$2:$Q$66,6,0),0)</f>
        <v>225</v>
      </c>
      <c r="I2739" s="96">
        <f>IFERROR(G2739*VLOOKUP($E2739,BD!$L$2:$Q$66,5,0),0)</f>
        <v>661.5</v>
      </c>
      <c r="J2739" s="5">
        <f t="shared" si="183"/>
        <v>2021</v>
      </c>
    </row>
    <row r="2740" spans="1:10" s="9" customFormat="1" hidden="1" x14ac:dyDescent="0.25">
      <c r="A2740" s="491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7">
        <v>251632</v>
      </c>
      <c r="F2740" s="3" t="str">
        <f>IFERROR(VLOOKUP(E2740,BD!$L$2:$Q$66,2,0),0)</f>
        <v>SAN LUIS SIN GAS PET 625MLX06 MOD</v>
      </c>
      <c r="G2740" s="424">
        <v>540</v>
      </c>
      <c r="H2740" s="3">
        <f>+IFERROR(VLOOKUP(E2740,BD!$L$2:$Q$66,6,0),0)</f>
        <v>180</v>
      </c>
      <c r="I2740" s="96">
        <f>IFERROR(G2740*VLOOKUP($E2740,BD!$L$2:$Q$66,5,0),0)</f>
        <v>226.79999999999998</v>
      </c>
      <c r="J2740" s="5">
        <f t="shared" si="183"/>
        <v>2021</v>
      </c>
    </row>
    <row r="2741" spans="1:10" s="9" customFormat="1" hidden="1" x14ac:dyDescent="0.25">
      <c r="A2741" s="491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7">
        <v>256616</v>
      </c>
      <c r="F2741" s="3" t="str">
        <f>IFERROR(VLOOKUP(E2741,BD!$L$2:$Q$66,2,0),0)</f>
        <v>TWO PACK SCHWEPPES CITRUS PET 1.5LX2</v>
      </c>
      <c r="G2741" s="424">
        <v>1386</v>
      </c>
      <c r="H2741" s="3">
        <f>+IFERROR(VLOOKUP(E2741,BD!$L$2:$Q$66,6,0),0)</f>
        <v>198</v>
      </c>
      <c r="I2741" s="96">
        <f>IFERROR(G2741*VLOOKUP($E2741,BD!$L$2:$Q$66,5,0),0)</f>
        <v>235.62</v>
      </c>
      <c r="J2741" s="5">
        <f t="shared" si="183"/>
        <v>2021</v>
      </c>
    </row>
    <row r="2742" spans="1:10" s="9" customFormat="1" hidden="1" x14ac:dyDescent="0.25">
      <c r="A2742" s="491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7">
        <v>256617</v>
      </c>
      <c r="F2742" s="3" t="str">
        <f>IFERROR(VLOOKUP(E2742,BD!$L$2:$Q$66,2,0),0)</f>
        <v>TWO PACK SCHWEPPES GINGER ALE PET 1.5LX2</v>
      </c>
      <c r="G2742" s="424">
        <v>990</v>
      </c>
      <c r="H2742" s="3">
        <f>+IFERROR(VLOOKUP(E2742,BD!$L$2:$Q$66,6,0),0)</f>
        <v>198</v>
      </c>
      <c r="I2742" s="96">
        <f>IFERROR(G2742*VLOOKUP($E2742,BD!$L$2:$Q$66,5,0),0)</f>
        <v>168.3</v>
      </c>
      <c r="J2742" s="5">
        <f t="shared" si="183"/>
        <v>2021</v>
      </c>
    </row>
    <row r="2743" spans="1:10" s="9" customFormat="1" hidden="1" x14ac:dyDescent="0.25">
      <c r="A2743" s="491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7">
        <v>256677</v>
      </c>
      <c r="F2743" s="3" t="str">
        <f>IFERROR(VLOOKUP(E2743,BD!$L$2:$Q$66,2,0),0)</f>
        <v>TWO PACK CC + IK PFM 3LX2 - RFNN</v>
      </c>
      <c r="G2743" s="424">
        <v>3360</v>
      </c>
      <c r="H2743" s="3">
        <f>+IFERROR(VLOOKUP(E2743,BD!$L$2:$Q$66,6,0),0)</f>
        <v>120</v>
      </c>
      <c r="I2743" s="96">
        <f>IFERROR(G2743*VLOOKUP($E2743,BD!$L$2:$Q$66,5,0),0)</f>
        <v>571.20000000000005</v>
      </c>
      <c r="J2743" s="5">
        <f t="shared" si="183"/>
        <v>2021</v>
      </c>
    </row>
    <row r="2744" spans="1:10" s="9" customFormat="1" hidden="1" x14ac:dyDescent="0.25">
      <c r="A2744" s="491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7">
        <v>256678</v>
      </c>
      <c r="F2744" s="3" t="str">
        <f>IFERROR(VLOOKUP(E2744,BD!$L$2:$Q$66,2,0),0)</f>
        <v>TRIPACK (CC+IK)PFM+FT PET 3LX3 - RFNN</v>
      </c>
      <c r="G2744" s="424">
        <v>2250</v>
      </c>
      <c r="H2744" s="3">
        <f>+IFERROR(VLOOKUP(E2744,BD!$L$2:$Q$66,6,0),0)</f>
        <v>90</v>
      </c>
      <c r="I2744" s="96">
        <f>IFERROR(G2744*VLOOKUP($E2744,BD!$L$2:$Q$66,5,0),0)</f>
        <v>382.5</v>
      </c>
      <c r="J2744" s="5">
        <f t="shared" si="183"/>
        <v>2021</v>
      </c>
    </row>
    <row r="2745" spans="1:10" s="9" customFormat="1" hidden="1" x14ac:dyDescent="0.25">
      <c r="A2745" s="491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7">
        <v>256383</v>
      </c>
      <c r="F2745" s="3" t="str">
        <f>IFERROR(VLOOKUP(E2745,BD!$L$2:$Q$66,2,0),0)</f>
        <v>COCA COLA VR 1.5LX8 - STICKER</v>
      </c>
      <c r="G2745" s="424">
        <v>90</v>
      </c>
      <c r="H2745" s="3">
        <f>+IFERROR(VLOOKUP(E2745,BD!$L$2:$Q$66,6,0),0)</f>
        <v>30</v>
      </c>
      <c r="I2745" s="96">
        <f>IFERROR(G2745*VLOOKUP($E2745,BD!$L$2:$Q$66,5,0),0)</f>
        <v>20.7</v>
      </c>
      <c r="J2745" s="5">
        <f t="shared" si="183"/>
        <v>2021</v>
      </c>
    </row>
    <row r="2746" spans="1:10" s="9" customFormat="1" hidden="1" x14ac:dyDescent="0.25">
      <c r="A2746" s="491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7">
        <v>256382</v>
      </c>
      <c r="F2746" s="3" t="str">
        <f>IFERROR(VLOOKUP(E2746,BD!$L$2:$Q$66,2,0),0)</f>
        <v>COCA COLA VR 296MLX24 - STICKER</v>
      </c>
      <c r="G2746" s="424">
        <v>200</v>
      </c>
      <c r="H2746" s="3">
        <f>+IFERROR(VLOOKUP(E2746,BD!$L$2:$Q$66,6,0),0)</f>
        <v>40</v>
      </c>
      <c r="I2746" s="96">
        <f>IFERROR(G2746*VLOOKUP($E2746,BD!$L$2:$Q$66,5,0),0)</f>
        <v>46</v>
      </c>
      <c r="J2746" s="5">
        <f t="shared" si="183"/>
        <v>2021</v>
      </c>
    </row>
    <row r="2747" spans="1:10" s="9" customFormat="1" hidden="1" x14ac:dyDescent="0.25">
      <c r="A2747" s="491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7">
        <v>256380</v>
      </c>
      <c r="F2747" s="3" t="str">
        <f>IFERROR(VLOOKUP(E2747,BD!$L$2:$Q$66,2,0),0)</f>
        <v>INCA KOLA VR 296MLX24 - STICKER</v>
      </c>
      <c r="G2747" s="424">
        <v>240</v>
      </c>
      <c r="H2747" s="3">
        <f>+IFERROR(VLOOKUP(E2747,BD!$L$2:$Q$66,6,0),0)</f>
        <v>40</v>
      </c>
      <c r="I2747" s="96">
        <f>IFERROR(G2747*VLOOKUP($E2747,BD!$L$2:$Q$66,5,0),0)</f>
        <v>55.2</v>
      </c>
      <c r="J2747" s="5">
        <f t="shared" si="183"/>
        <v>2021</v>
      </c>
    </row>
    <row r="2748" spans="1:10" s="9" customFormat="1" hidden="1" x14ac:dyDescent="0.25">
      <c r="A2748" s="491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7">
        <v>256379</v>
      </c>
      <c r="F2748" s="3" t="str">
        <f>IFERROR(VLOOKUP(E2748,BD!$L$2:$Q$66,2,0),0)</f>
        <v>INCA KOLA VR 625MLX12 - STICKER</v>
      </c>
      <c r="G2748" s="424">
        <v>100</v>
      </c>
      <c r="H2748" s="3">
        <f>+IFERROR(VLOOKUP(E2748,BD!$L$2:$Q$66,6,0),0)</f>
        <v>50</v>
      </c>
      <c r="I2748" s="96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hidden="1" x14ac:dyDescent="0.25">
      <c r="A2749" s="491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7">
        <v>256685</v>
      </c>
      <c r="F2749" s="3" t="str">
        <f>IFERROR(VLOOKUP(E2749,BD!$L$2:$Q$66,2,0),0)</f>
        <v>SL S/G TAPA PLANA 1LT</v>
      </c>
      <c r="G2749" s="424">
        <v>112</v>
      </c>
      <c r="H2749" s="3">
        <f>+IFERROR(VLOOKUP(E2749,BD!$L$2:$Q$66,6,0),0)</f>
        <v>112</v>
      </c>
      <c r="I2749" s="96">
        <f>IFERROR(G2749*VLOOKUP($E2749,BD!$L$2:$Q$66,5,0),0)</f>
        <v>44.800000000000004</v>
      </c>
      <c r="J2749" s="5">
        <f t="shared" si="187"/>
        <v>2021</v>
      </c>
    </row>
    <row r="2750" spans="1:10" s="9" customFormat="1" hidden="1" x14ac:dyDescent="0.25">
      <c r="A2750" s="491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7">
        <v>251429</v>
      </c>
      <c r="F2750" s="3" t="str">
        <f>IFERROR(VLOOKUP(E2750,BD!$L$2:$Q$66,2,0),0)</f>
        <v>SAN LUIS SIN GAS PET2500X6 STICKER</v>
      </c>
      <c r="G2750" s="424">
        <v>384</v>
      </c>
      <c r="H2750" s="3">
        <f>+IFERROR(VLOOKUP(E2750,BD!$L$2:$Q$66,6,0),0)</f>
        <v>48</v>
      </c>
      <c r="I2750" s="96">
        <f>IFERROR(G2750*VLOOKUP($E2750,BD!$L$2:$Q$66,5,0),0)</f>
        <v>153.60000000000002</v>
      </c>
      <c r="J2750" s="5">
        <f t="shared" si="187"/>
        <v>2021</v>
      </c>
    </row>
    <row r="2751" spans="1:10" s="9" customFormat="1" hidden="1" x14ac:dyDescent="0.25">
      <c r="A2751" s="491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7">
        <v>251633</v>
      </c>
      <c r="F2751" s="3" t="str">
        <f>IFERROR(VLOOKUP(E2751,BD!$L$2:$Q$66,2,0),0)</f>
        <v>SAN LUIS CON GAS PET 625MLX6</v>
      </c>
      <c r="G2751" s="424">
        <v>360</v>
      </c>
      <c r="H2751" s="3">
        <f>+IFERROR(VLOOKUP(E2751,BD!$L$2:$Q$66,6,0),0)</f>
        <v>180</v>
      </c>
      <c r="I2751" s="96">
        <f>IFERROR(G2751*VLOOKUP($E2751,BD!$L$2:$Q$66,5,0),0)</f>
        <v>151.19999999999999</v>
      </c>
      <c r="J2751" s="5">
        <f t="shared" si="187"/>
        <v>2021</v>
      </c>
    </row>
    <row r="2752" spans="1:10" s="9" customFormat="1" hidden="1" x14ac:dyDescent="0.25">
      <c r="A2752" s="491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7">
        <v>251406</v>
      </c>
      <c r="F2752" s="3" t="str">
        <f>IFERROR(VLOOKUP(E2752,BD!$L$2:$Q$66,2,0),0)</f>
        <v>COCA-COLA SIN AZUCAR PET 1.5LX2</v>
      </c>
      <c r="G2752" s="424">
        <v>1512</v>
      </c>
      <c r="H2752" s="3">
        <f>+IFERROR(VLOOKUP(E2752,BD!$L$2:$Q$66,6,0),0)</f>
        <v>198</v>
      </c>
      <c r="I2752" s="96">
        <f>IFERROR(G2752*VLOOKUP($E2752,BD!$L$2:$Q$66,5,0),0)</f>
        <v>257.04000000000002</v>
      </c>
      <c r="J2752" s="5">
        <f t="shared" si="187"/>
        <v>2021</v>
      </c>
    </row>
    <row r="2753" spans="1:10" s="9" customFormat="1" hidden="1" x14ac:dyDescent="0.25">
      <c r="A2753" s="491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7">
        <v>256666</v>
      </c>
      <c r="F2753" s="3" t="str">
        <f>IFERROR(VLOOKUP(E2753,BD!$L$2:$Q$66,2,0),0)</f>
        <v>COCA-COLA PET 2.25LX2 RF</v>
      </c>
      <c r="G2753" s="424">
        <v>324</v>
      </c>
      <c r="H2753" s="3">
        <f>+IFERROR(VLOOKUP(E2753,BD!$L$2:$Q$66,6,0),0)</f>
        <v>162</v>
      </c>
      <c r="I2753" s="96">
        <f>IFERROR(G2753*VLOOKUP($E2753,BD!$L$2:$Q$66,5,0),0)</f>
        <v>55.080000000000005</v>
      </c>
      <c r="J2753" s="5">
        <f t="shared" si="187"/>
        <v>2021</v>
      </c>
    </row>
    <row r="2754" spans="1:10" s="9" customFormat="1" hidden="1" x14ac:dyDescent="0.25">
      <c r="A2754" s="491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7">
        <v>256601</v>
      </c>
      <c r="F2754" s="3" t="str">
        <f>IFERROR(VLOOKUP(E2754,BD!$L$2:$Q$66,2,0),0)</f>
        <v>INCA KOLA PET 2.25LX2 RF</v>
      </c>
      <c r="G2754" s="424">
        <v>486</v>
      </c>
      <c r="H2754" s="3">
        <f>+IFERROR(VLOOKUP(E2754,BD!$L$2:$Q$66,6,0),0)</f>
        <v>162</v>
      </c>
      <c r="I2754" s="96">
        <f>IFERROR(G2754*VLOOKUP($E2754,BD!$L$2:$Q$66,5,0),0)</f>
        <v>82.62</v>
      </c>
      <c r="J2754" s="5">
        <f t="shared" si="187"/>
        <v>2021</v>
      </c>
    </row>
    <row r="2755" spans="1:10" s="9" customFormat="1" hidden="1" x14ac:dyDescent="0.25">
      <c r="A2755" s="491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7">
        <v>256488</v>
      </c>
      <c r="F2755" s="3" t="str">
        <f>IFERROR(VLOOKUP(E2755,BD!$L$2:$Q$66,2,0),0)</f>
        <v>INCA KOLA PET 3LX2 - RF</v>
      </c>
      <c r="G2755" s="424">
        <v>600</v>
      </c>
      <c r="H2755" s="3">
        <f>+IFERROR(VLOOKUP(E2755,BD!$L$2:$Q$66,6,0),0)</f>
        <v>120</v>
      </c>
      <c r="I2755" s="96">
        <f>IFERROR(G2755*VLOOKUP($E2755,BD!$L$2:$Q$66,5,0),0)</f>
        <v>102.00000000000001</v>
      </c>
      <c r="J2755" s="5">
        <f t="shared" si="187"/>
        <v>2021</v>
      </c>
    </row>
    <row r="2756" spans="1:10" s="9" customFormat="1" hidden="1" x14ac:dyDescent="0.25">
      <c r="A2756" s="491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7">
        <v>256674</v>
      </c>
      <c r="F2756" s="3" t="str">
        <f>IFERROR(VLOOKUP(E2756,BD!$L$2:$Q$66,2,0),0)</f>
        <v>COCA-COLA PET 1.5LX2 RF</v>
      </c>
      <c r="G2756" s="424">
        <v>1512</v>
      </c>
      <c r="H2756" s="3">
        <f>+IFERROR(VLOOKUP(E2756,BD!$L$2:$Q$66,6,0),0)</f>
        <v>198</v>
      </c>
      <c r="I2756" s="96">
        <f>IFERROR(G2756*VLOOKUP($E2756,BD!$L$2:$Q$66,5,0),0)</f>
        <v>257.04000000000002</v>
      </c>
      <c r="J2756" s="5">
        <f t="shared" si="187"/>
        <v>2021</v>
      </c>
    </row>
    <row r="2757" spans="1:10" s="9" customFormat="1" hidden="1" x14ac:dyDescent="0.25">
      <c r="A2757" s="491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7">
        <v>256675</v>
      </c>
      <c r="F2757" s="3" t="str">
        <f>IFERROR(VLOOKUP(E2757,BD!$L$2:$Q$66,2,0),0)</f>
        <v>INCA KOLA PET 1.5LX2 RF</v>
      </c>
      <c r="G2757" s="424">
        <v>648</v>
      </c>
      <c r="H2757" s="3">
        <f>+IFERROR(VLOOKUP(E2757,BD!$L$2:$Q$66,6,0),0)</f>
        <v>198</v>
      </c>
      <c r="I2757" s="96">
        <f>IFERROR(G2757*VLOOKUP($E2757,BD!$L$2:$Q$66,5,0),0)</f>
        <v>110.16000000000001</v>
      </c>
      <c r="J2757" s="5">
        <f t="shared" si="187"/>
        <v>2021</v>
      </c>
    </row>
    <row r="2758" spans="1:10" s="9" customFormat="1" hidden="1" x14ac:dyDescent="0.25">
      <c r="A2758" s="491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7">
        <v>256652</v>
      </c>
      <c r="F2758" s="3" t="str">
        <f>IFERROR(VLOOKUP(E2758,BD!$L$2:$Q$66,2,0),0)</f>
        <v>TRIPACK FT NAR+FT KI+SP PET 3L</v>
      </c>
      <c r="G2758" s="424">
        <v>1170</v>
      </c>
      <c r="H2758" s="3">
        <f>+IFERROR(VLOOKUP(E2758,BD!$L$2:$Q$66,6,0),0)</f>
        <v>90</v>
      </c>
      <c r="I2758" s="96">
        <f>IFERROR(G2758*VLOOKUP($E2758,BD!$L$2:$Q$66,5,0),0)</f>
        <v>198.9</v>
      </c>
      <c r="J2758" s="5">
        <f t="shared" si="187"/>
        <v>2021</v>
      </c>
    </row>
    <row r="2759" spans="1:10" s="9" customFormat="1" hidden="1" x14ac:dyDescent="0.25">
      <c r="A2759" s="491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7">
        <v>256680</v>
      </c>
      <c r="F2759" s="3" t="str">
        <f>IFERROR(VLOOKUP(E2759,BD!$L$2:$Q$66,2,0),0)</f>
        <v>TRIPACK CC+CC+IK PFM 3LX3 - RFNN</v>
      </c>
      <c r="G2759" s="424">
        <v>1440</v>
      </c>
      <c r="H2759" s="3">
        <f>+IFERROR(VLOOKUP(E2759,BD!$L$2:$Q$66,6,0),0)</f>
        <v>90</v>
      </c>
      <c r="I2759" s="96">
        <f>IFERROR(G2759*VLOOKUP($E2759,BD!$L$2:$Q$66,5,0),0)</f>
        <v>244.8</v>
      </c>
      <c r="J2759" s="5">
        <f t="shared" si="187"/>
        <v>2021</v>
      </c>
    </row>
    <row r="2760" spans="1:10" s="9" customFormat="1" hidden="1" x14ac:dyDescent="0.25">
      <c r="A2760" s="491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7">
        <v>256679</v>
      </c>
      <c r="F2760" s="3" t="str">
        <f>IFERROR(VLOOKUP(E2760,BD!$L$2:$Q$66,2,0),0)</f>
        <v>TRIPACK CC+IK+IK PFM 3LX3 - RFNN</v>
      </c>
      <c r="G2760" s="424">
        <v>900</v>
      </c>
      <c r="H2760" s="3">
        <f>+IFERROR(VLOOKUP(E2760,BD!$L$2:$Q$66,6,0),0)</f>
        <v>90</v>
      </c>
      <c r="I2760" s="96">
        <f>IFERROR(G2760*VLOOKUP($E2760,BD!$L$2:$Q$66,5,0),0)</f>
        <v>153</v>
      </c>
      <c r="J2760" s="5">
        <f t="shared" si="187"/>
        <v>2021</v>
      </c>
    </row>
    <row r="2761" spans="1:10" s="9" customFormat="1" hidden="1" x14ac:dyDescent="0.25">
      <c r="A2761" s="491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7">
        <v>256682</v>
      </c>
      <c r="F2761" s="3" t="str">
        <f>IFERROR(VLOOKUP(E2761,BD!$L$2:$Q$66,2,0),0)</f>
        <v>TRIPACK (FT NAR+SP)PET+IK RF PFM 3L</v>
      </c>
      <c r="G2761" s="424">
        <v>450</v>
      </c>
      <c r="H2761" s="3">
        <f>+IFERROR(VLOOKUP(E2761,BD!$L$2:$Q$66,6,0),0)</f>
        <v>90</v>
      </c>
      <c r="I2761" s="96">
        <f>IFERROR(G2761*VLOOKUP($E2761,BD!$L$2:$Q$66,5,0),0)</f>
        <v>76.5</v>
      </c>
      <c r="J2761" s="5">
        <f t="shared" si="187"/>
        <v>2021</v>
      </c>
    </row>
    <row r="2762" spans="1:10" s="9" customFormat="1" hidden="1" x14ac:dyDescent="0.25">
      <c r="A2762" s="491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7">
        <v>251632</v>
      </c>
      <c r="F2762" s="3" t="str">
        <f>IFERROR(VLOOKUP(E2762,BD!$L$2:$Q$66,2,0),0)</f>
        <v>SAN LUIS SIN GAS PET 625MLX06 MOD</v>
      </c>
      <c r="G2762" s="424">
        <v>540</v>
      </c>
      <c r="H2762" s="3">
        <f>+IFERROR(VLOOKUP(E2762,BD!$L$2:$Q$66,6,0),0)</f>
        <v>180</v>
      </c>
      <c r="I2762" s="96">
        <f>IFERROR(G2762*VLOOKUP($E2762,BD!$L$2:$Q$66,5,0),0)</f>
        <v>226.79999999999998</v>
      </c>
      <c r="J2762" s="5">
        <f t="shared" si="187"/>
        <v>2021</v>
      </c>
    </row>
    <row r="2763" spans="1:10" s="9" customFormat="1" hidden="1" x14ac:dyDescent="0.25">
      <c r="A2763" s="491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7">
        <v>256720</v>
      </c>
      <c r="F2763" s="3" t="str">
        <f>IFERROR(VLOOKUP(E2763,BD!$L$2:$Q$66,2,0),0)</f>
        <v>FANTA NARANJA PET 500MLX6 BRANDEADO MOD</v>
      </c>
      <c r="G2763" s="424">
        <v>1250</v>
      </c>
      <c r="H2763" s="3">
        <f>+IFERROR(VLOOKUP(E2763,BD!$L$2:$Q$66,6,0),0)</f>
        <v>420</v>
      </c>
      <c r="I2763" s="96">
        <f>IFERROR(G2763*VLOOKUP($E2763,BD!$L$2:$Q$66,5,0),0)</f>
        <v>525</v>
      </c>
      <c r="J2763" s="5">
        <f t="shared" si="187"/>
        <v>2021</v>
      </c>
    </row>
    <row r="2764" spans="1:10" s="9" customFormat="1" hidden="1" x14ac:dyDescent="0.25">
      <c r="A2764" s="491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7">
        <v>256721</v>
      </c>
      <c r="F2764" s="3" t="str">
        <f>IFERROR(VLOOKUP(E2764,BD!$L$2:$Q$66,2,0),0)</f>
        <v>SPRITE PET 500MLX6 BRANDEADO MOD</v>
      </c>
      <c r="G2764" s="424">
        <v>1250</v>
      </c>
      <c r="H2764" s="3">
        <f>+IFERROR(VLOOKUP(E2764,BD!$L$2:$Q$66,6,0),0)</f>
        <v>420</v>
      </c>
      <c r="I2764" s="96">
        <f>IFERROR(G2764*VLOOKUP($E2764,BD!$L$2:$Q$66,5,0),0)</f>
        <v>525</v>
      </c>
      <c r="J2764" s="5">
        <f t="shared" si="187"/>
        <v>2021</v>
      </c>
    </row>
    <row r="2765" spans="1:10" s="9" customFormat="1" hidden="1" x14ac:dyDescent="0.25">
      <c r="A2765" s="491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7">
        <v>256548</v>
      </c>
      <c r="F2765" s="3" t="str">
        <f>IFERROR(VLOOKUP(E2765,BD!$L$2:$Q$66,2,0),0)</f>
        <v>TWO PACK CC PET 1.5LX2 - CRC</v>
      </c>
      <c r="G2765" s="424">
        <v>216</v>
      </c>
      <c r="H2765" s="3">
        <f>+IFERROR(VLOOKUP(E2765,BD!$L$2:$Q$66,6,0),0)</f>
        <v>198</v>
      </c>
      <c r="I2765" s="96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hidden="1" thickBot="1" x14ac:dyDescent="0.3">
      <c r="A2766" s="492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9">
        <v>252436</v>
      </c>
      <c r="F2766" s="8" t="str">
        <f>IFERROR(VLOOKUP(E2766,BD!$L$2:$Q$66,2,0),0)</f>
        <v>SAN LUIS SIN GAS PET 625MLX15 C/STICKER</v>
      </c>
      <c r="G2766" s="501">
        <v>180</v>
      </c>
      <c r="H2766" s="8">
        <f>+IFERROR(VLOOKUP(E2766,BD!$L$2:$Q$66,6,0),0)</f>
        <v>90</v>
      </c>
      <c r="I2766" s="98">
        <f>IFERROR(G2766*VLOOKUP($E2766,BD!$L$2:$Q$66,5,0),0)</f>
        <v>72</v>
      </c>
      <c r="J2766" s="110">
        <f t="shared" si="187"/>
        <v>2021</v>
      </c>
    </row>
    <row r="2767" spans="1:10" s="9" customFormat="1" hidden="1" x14ac:dyDescent="0.25">
      <c r="A2767" s="493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63">
        <v>251406</v>
      </c>
      <c r="F2767" s="6" t="str">
        <f>IFERROR(VLOOKUP(E2767,BD!$L$2:$Q$66,2,0),0)</f>
        <v>COCA-COLA SIN AZUCAR PET 1.5LX2</v>
      </c>
      <c r="G2767" s="513">
        <v>3240</v>
      </c>
      <c r="H2767" s="6">
        <f>+IFERROR(VLOOKUP(E2767,BD!$L$2:$Q$66,6,0),0)</f>
        <v>198</v>
      </c>
      <c r="I2767" s="97">
        <f>IFERROR(G2767*VLOOKUP($E2767,BD!$L$2:$Q$66,5,0),0)</f>
        <v>550.80000000000007</v>
      </c>
      <c r="J2767" s="109">
        <f t="shared" si="187"/>
        <v>2021</v>
      </c>
    </row>
    <row r="2768" spans="1:10" s="9" customFormat="1" hidden="1" x14ac:dyDescent="0.25">
      <c r="A2768" s="491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7">
        <v>254853</v>
      </c>
      <c r="F2768" s="3" t="str">
        <f>IFERROR(VLOOKUP(E2768,BD!$L$2:$Q$66,2,0),0)</f>
        <v>INCA KOLA SIN AZUCAR PET 1.5LX2</v>
      </c>
      <c r="G2768" s="424">
        <v>2592</v>
      </c>
      <c r="H2768" s="3">
        <f>+IFERROR(VLOOKUP(E2768,BD!$L$2:$Q$66,6,0),0)</f>
        <v>198</v>
      </c>
      <c r="I2768" s="96">
        <f>IFERROR(G2768*VLOOKUP($E2768,BD!$L$2:$Q$66,5,0),0)</f>
        <v>440.64000000000004</v>
      </c>
      <c r="J2768" s="5">
        <f t="shared" si="187"/>
        <v>2021</v>
      </c>
    </row>
    <row r="2769" spans="1:10" s="9" customFormat="1" hidden="1" x14ac:dyDescent="0.25">
      <c r="A2769" s="491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7">
        <v>256678</v>
      </c>
      <c r="F2769" s="3" t="str">
        <f>IFERROR(VLOOKUP(E2769,BD!$L$2:$Q$66,2,0),0)</f>
        <v>TRIPACK (CC+IK)PFM+FT PET 3LX3 - RFNN</v>
      </c>
      <c r="G2769" s="424">
        <v>2880</v>
      </c>
      <c r="H2769" s="3">
        <f>+IFERROR(VLOOKUP(E2769,BD!$L$2:$Q$66,6,0),0)</f>
        <v>90</v>
      </c>
      <c r="I2769" s="96">
        <f>IFERROR(G2769*VLOOKUP($E2769,BD!$L$2:$Q$66,5,0),0)</f>
        <v>489.6</v>
      </c>
      <c r="J2769" s="5">
        <f t="shared" si="187"/>
        <v>2021</v>
      </c>
    </row>
    <row r="2770" spans="1:10" s="9" customFormat="1" hidden="1" x14ac:dyDescent="0.25">
      <c r="A2770" s="491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7">
        <v>256679</v>
      </c>
      <c r="F2770" s="3" t="str">
        <f>IFERROR(VLOOKUP(E2770,BD!$L$2:$Q$66,2,0),0)</f>
        <v>TRIPACK CC+IK+IK PFM 3LX3 - RFNN</v>
      </c>
      <c r="G2770" s="424">
        <v>900</v>
      </c>
      <c r="H2770" s="3">
        <f>+IFERROR(VLOOKUP(E2770,BD!$L$2:$Q$66,6,0),0)</f>
        <v>90</v>
      </c>
      <c r="I2770" s="96">
        <f>IFERROR(G2770*VLOOKUP($E2770,BD!$L$2:$Q$66,5,0),0)</f>
        <v>153</v>
      </c>
      <c r="J2770" s="5">
        <f t="shared" si="187"/>
        <v>2021</v>
      </c>
    </row>
    <row r="2771" spans="1:10" s="9" customFormat="1" hidden="1" x14ac:dyDescent="0.25">
      <c r="A2771" s="491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7">
        <v>256652</v>
      </c>
      <c r="F2771" s="3" t="str">
        <f>IFERROR(VLOOKUP(E2771,BD!$L$2:$Q$66,2,0),0)</f>
        <v>TRIPACK FT NAR+FT KI+SP PET 3L</v>
      </c>
      <c r="G2771" s="424">
        <v>900</v>
      </c>
      <c r="H2771" s="3">
        <f>+IFERROR(VLOOKUP(E2771,BD!$L$2:$Q$66,6,0),0)</f>
        <v>90</v>
      </c>
      <c r="I2771" s="96">
        <f>IFERROR(G2771*VLOOKUP($E2771,BD!$L$2:$Q$66,5,0),0)</f>
        <v>153</v>
      </c>
      <c r="J2771" s="5">
        <f t="shared" si="187"/>
        <v>2021</v>
      </c>
    </row>
    <row r="2772" spans="1:10" s="9" customFormat="1" hidden="1" x14ac:dyDescent="0.25">
      <c r="A2772" s="491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7">
        <v>256682</v>
      </c>
      <c r="F2772" s="3" t="str">
        <f>IFERROR(VLOOKUP(E2772,BD!$L$2:$Q$66,2,0),0)</f>
        <v>TRIPACK (FT NAR+SP)PET+IK RF PFM 3L</v>
      </c>
      <c r="G2772" s="424">
        <v>450</v>
      </c>
      <c r="H2772" s="3">
        <f>+IFERROR(VLOOKUP(E2772,BD!$L$2:$Q$66,6,0),0)</f>
        <v>90</v>
      </c>
      <c r="I2772" s="96">
        <f>IFERROR(G2772*VLOOKUP($E2772,BD!$L$2:$Q$66,5,0),0)</f>
        <v>76.5</v>
      </c>
      <c r="J2772" s="5">
        <f t="shared" si="187"/>
        <v>2021</v>
      </c>
    </row>
    <row r="2773" spans="1:10" s="9" customFormat="1" hidden="1" x14ac:dyDescent="0.25">
      <c r="A2773" s="491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7">
        <v>256488</v>
      </c>
      <c r="F2773" s="3" t="str">
        <f>IFERROR(VLOOKUP(E2773,BD!$L$2:$Q$66,2,0),0)</f>
        <v>INCA KOLA PET 3LX2 - RF</v>
      </c>
      <c r="G2773" s="424">
        <v>1920</v>
      </c>
      <c r="H2773" s="3">
        <f>+IFERROR(VLOOKUP(E2773,BD!$L$2:$Q$66,6,0),0)</f>
        <v>120</v>
      </c>
      <c r="I2773" s="96">
        <f>IFERROR(G2773*VLOOKUP($E2773,BD!$L$2:$Q$66,5,0),0)</f>
        <v>326.40000000000003</v>
      </c>
      <c r="J2773" s="5">
        <f t="shared" si="187"/>
        <v>2021</v>
      </c>
    </row>
    <row r="2774" spans="1:10" s="9" customFormat="1" hidden="1" x14ac:dyDescent="0.25">
      <c r="A2774" s="491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7">
        <v>256666</v>
      </c>
      <c r="F2774" s="3" t="str">
        <f>IFERROR(VLOOKUP(E2774,BD!$L$2:$Q$66,2,0),0)</f>
        <v>COCA-COLA PET 2.25LX2 RF</v>
      </c>
      <c r="G2774" s="424">
        <v>810</v>
      </c>
      <c r="H2774" s="3">
        <f>+IFERROR(VLOOKUP(E2774,BD!$L$2:$Q$66,6,0),0)</f>
        <v>162</v>
      </c>
      <c r="I2774" s="96">
        <f>IFERROR(G2774*VLOOKUP($E2774,BD!$L$2:$Q$66,5,0),0)</f>
        <v>137.70000000000002</v>
      </c>
      <c r="J2774" s="5">
        <f t="shared" si="187"/>
        <v>2021</v>
      </c>
    </row>
    <row r="2775" spans="1:10" s="9" customFormat="1" hidden="1" x14ac:dyDescent="0.25">
      <c r="A2775" s="491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7">
        <v>256617</v>
      </c>
      <c r="F2775" s="3" t="str">
        <f>IFERROR(VLOOKUP(E2775,BD!$L$2:$Q$66,2,0),0)</f>
        <v>TWO PACK SCHWEPPES GINGER ALE PET 1.5LX2</v>
      </c>
      <c r="G2775" s="424">
        <v>594</v>
      </c>
      <c r="H2775" s="3">
        <f>+IFERROR(VLOOKUP(E2775,BD!$L$2:$Q$66,6,0),0)</f>
        <v>198</v>
      </c>
      <c r="I2775" s="96">
        <f>IFERROR(G2775*VLOOKUP($E2775,BD!$L$2:$Q$66,5,0),0)</f>
        <v>100.98</v>
      </c>
      <c r="J2775" s="5">
        <f t="shared" si="187"/>
        <v>2021</v>
      </c>
    </row>
    <row r="2776" spans="1:10" s="9" customFormat="1" hidden="1" x14ac:dyDescent="0.25">
      <c r="A2776" s="491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7">
        <v>256675</v>
      </c>
      <c r="F2776" s="3" t="str">
        <f>IFERROR(VLOOKUP(E2776,BD!$L$2:$Q$66,2,0),0)</f>
        <v>INCA KOLA PET 1.5LX2 RF</v>
      </c>
      <c r="G2776" s="424">
        <v>1080</v>
      </c>
      <c r="H2776" s="3">
        <f>+IFERROR(VLOOKUP(E2776,BD!$L$2:$Q$66,6,0),0)</f>
        <v>198</v>
      </c>
      <c r="I2776" s="96">
        <f>IFERROR(G2776*VLOOKUP($E2776,BD!$L$2:$Q$66,5,0),0)</f>
        <v>183.60000000000002</v>
      </c>
      <c r="J2776" s="5">
        <f t="shared" si="187"/>
        <v>2021</v>
      </c>
    </row>
    <row r="2777" spans="1:10" s="9" customFormat="1" hidden="1" x14ac:dyDescent="0.25">
      <c r="A2777" s="491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7">
        <v>256548</v>
      </c>
      <c r="F2777" s="3" t="str">
        <f>IFERROR(VLOOKUP(E2777,BD!$L$2:$Q$66,2,0),0)</f>
        <v>TWO PACK CC PET 1.5LX2 - CRC</v>
      </c>
      <c r="G2777" s="424">
        <v>1080</v>
      </c>
      <c r="H2777" s="3">
        <f>+IFERROR(VLOOKUP(E2777,BD!$L$2:$Q$66,6,0),0)</f>
        <v>198</v>
      </c>
      <c r="I2777" s="96">
        <f>IFERROR(G2777*VLOOKUP($E2777,BD!$L$2:$Q$66,5,0),0)</f>
        <v>183.60000000000002</v>
      </c>
      <c r="J2777" s="5">
        <f t="shared" si="187"/>
        <v>2021</v>
      </c>
    </row>
    <row r="2778" spans="1:10" s="9" customFormat="1" hidden="1" x14ac:dyDescent="0.25">
      <c r="A2778" s="491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7">
        <v>251429</v>
      </c>
      <c r="F2778" s="3" t="str">
        <f>IFERROR(VLOOKUP(E2778,BD!$L$2:$Q$66,2,0),0)</f>
        <v>SAN LUIS SIN GAS PET2500X6 STICKER</v>
      </c>
      <c r="G2778" s="424">
        <v>240</v>
      </c>
      <c r="H2778" s="3">
        <f>+IFERROR(VLOOKUP(E2778,BD!$L$2:$Q$66,6,0),0)</f>
        <v>48</v>
      </c>
      <c r="I2778" s="96">
        <f>IFERROR(G2778*VLOOKUP($E2778,BD!$L$2:$Q$66,5,0),0)</f>
        <v>96</v>
      </c>
      <c r="J2778" s="5">
        <f t="shared" si="187"/>
        <v>2021</v>
      </c>
    </row>
    <row r="2779" spans="1:10" s="9" customFormat="1" hidden="1" x14ac:dyDescent="0.25">
      <c r="A2779" s="491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7">
        <v>256383</v>
      </c>
      <c r="F2779" s="3" t="str">
        <f>IFERROR(VLOOKUP(E2779,BD!$L$2:$Q$66,2,0),0)</f>
        <v>COCA COLA VR 1.5LX8 - STICKER</v>
      </c>
      <c r="G2779" s="424">
        <v>150</v>
      </c>
      <c r="H2779" s="3">
        <f>+IFERROR(VLOOKUP(E2779,BD!$L$2:$Q$66,6,0),0)</f>
        <v>30</v>
      </c>
      <c r="I2779" s="96">
        <f>IFERROR(G2779*VLOOKUP($E2779,BD!$L$2:$Q$66,5,0),0)</f>
        <v>34.5</v>
      </c>
      <c r="J2779" s="5">
        <f t="shared" si="187"/>
        <v>2021</v>
      </c>
    </row>
    <row r="2780" spans="1:10" s="9" customFormat="1" hidden="1" x14ac:dyDescent="0.25">
      <c r="A2780" s="491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7">
        <v>256382</v>
      </c>
      <c r="F2780" s="3" t="str">
        <f>IFERROR(VLOOKUP(E2780,BD!$L$2:$Q$66,2,0),0)</f>
        <v>COCA COLA VR 296MLX24 - STICKER</v>
      </c>
      <c r="G2780" s="424">
        <v>200</v>
      </c>
      <c r="H2780" s="3">
        <f>+IFERROR(VLOOKUP(E2780,BD!$L$2:$Q$66,6,0),0)</f>
        <v>40</v>
      </c>
      <c r="I2780" s="96">
        <f>IFERROR(G2780*VLOOKUP($E2780,BD!$L$2:$Q$66,5,0),0)</f>
        <v>46</v>
      </c>
      <c r="J2780" s="5">
        <f t="shared" si="187"/>
        <v>2021</v>
      </c>
    </row>
    <row r="2781" spans="1:10" s="9" customFormat="1" hidden="1" x14ac:dyDescent="0.25">
      <c r="A2781" s="491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7">
        <v>256601</v>
      </c>
      <c r="F2781" s="3" t="str">
        <f>IFERROR(VLOOKUP(E2781,BD!$L$2:$Q$66,2,0),0)</f>
        <v>INCA KOLA PET 2.25LX2 RF</v>
      </c>
      <c r="G2781" s="424">
        <v>972</v>
      </c>
      <c r="H2781" s="3">
        <f>+IFERROR(VLOOKUP(E2781,BD!$L$2:$Q$66,6,0),0)</f>
        <v>162</v>
      </c>
      <c r="I2781" s="96">
        <f>IFERROR(G2781*VLOOKUP($E2781,BD!$L$2:$Q$66,5,0),0)</f>
        <v>165.24</v>
      </c>
      <c r="J2781" s="5">
        <f t="shared" si="187"/>
        <v>2021</v>
      </c>
    </row>
    <row r="2782" spans="1:10" s="9" customFormat="1" hidden="1" x14ac:dyDescent="0.25">
      <c r="A2782" s="491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7">
        <v>256685</v>
      </c>
      <c r="F2782" s="3" t="str">
        <f>IFERROR(VLOOKUP(E2782,BD!$L$2:$Q$66,2,0),0)</f>
        <v>SL S/G TAPA PLANA 1LT</v>
      </c>
      <c r="G2782" s="424">
        <v>336</v>
      </c>
      <c r="H2782" s="3">
        <f>+IFERROR(VLOOKUP(E2782,BD!$L$2:$Q$66,6,0),0)</f>
        <v>112</v>
      </c>
      <c r="I2782" s="96">
        <f>IFERROR(G2782*VLOOKUP($E2782,BD!$L$2:$Q$66,5,0),0)</f>
        <v>134.4</v>
      </c>
      <c r="J2782" s="5">
        <f t="shared" si="187"/>
        <v>2021</v>
      </c>
    </row>
    <row r="2783" spans="1:10" s="9" customFormat="1" hidden="1" x14ac:dyDescent="0.25">
      <c r="A2783" s="491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7">
        <v>256695</v>
      </c>
      <c r="F2783" s="3" t="str">
        <f>IFERROR(VLOOKUP(E2783,BD!$L$2:$Q$66,2,0),0)</f>
        <v>POWERADE 3MORA+3FRUT PET 473MLX6</v>
      </c>
      <c r="G2783" s="424">
        <v>1350</v>
      </c>
      <c r="H2783" s="3">
        <f>+IFERROR(VLOOKUP(E2783,BD!$L$2:$Q$66,6,0),0)</f>
        <v>225</v>
      </c>
      <c r="I2783" s="96">
        <f>IFERROR(G2783*VLOOKUP($E2783,BD!$L$2:$Q$66,5,0),0)</f>
        <v>567</v>
      </c>
      <c r="J2783" s="5">
        <f t="shared" si="187"/>
        <v>2021</v>
      </c>
    </row>
    <row r="2784" spans="1:10" s="9" customFormat="1" hidden="1" x14ac:dyDescent="0.25">
      <c r="A2784" s="491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7">
        <v>256549</v>
      </c>
      <c r="F2784" s="3" t="str">
        <f>IFERROR(VLOOKUP(E2784,BD!$L$2:$Q$66,2,0),0)</f>
        <v>TWO PACK IK PET 1.5LX2 - CRCG</v>
      </c>
      <c r="G2784" s="424">
        <v>1080</v>
      </c>
      <c r="H2784" s="3">
        <f>+IFERROR(VLOOKUP(E2784,BD!$L$2:$Q$66,6,0),0)</f>
        <v>198</v>
      </c>
      <c r="I2784" s="96">
        <f>IFERROR(G2784*VLOOKUP($E2784,BD!$L$2:$Q$66,5,0),0)</f>
        <v>183.60000000000002</v>
      </c>
      <c r="J2784" s="5">
        <f t="shared" si="187"/>
        <v>2021</v>
      </c>
    </row>
    <row r="2785" spans="1:10" s="9" customFormat="1" hidden="1" x14ac:dyDescent="0.25">
      <c r="A2785" s="491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7">
        <v>254762</v>
      </c>
      <c r="F2785" s="3" t="str">
        <f>IFERROR(VLOOKUP(E2785,BD!$L$2:$Q$66,2,0),0)</f>
        <v xml:space="preserve">SAN LUIS SPORT S/G 10 Lt x6 </v>
      </c>
      <c r="G2785" s="424">
        <v>560</v>
      </c>
      <c r="H2785" s="3">
        <f>+IFERROR(VLOOKUP(E2785,BD!$L$2:$Q$66,6,0),0)</f>
        <v>240</v>
      </c>
      <c r="I2785" s="96">
        <f>IFERROR(G2785*VLOOKUP($E2785,BD!$L$2:$Q$66,5,0),0)</f>
        <v>224</v>
      </c>
      <c r="J2785" s="5">
        <f t="shared" si="187"/>
        <v>2021</v>
      </c>
    </row>
    <row r="2786" spans="1:10" s="9" customFormat="1" hidden="1" x14ac:dyDescent="0.25">
      <c r="A2786" s="491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7">
        <v>252436</v>
      </c>
      <c r="F2786" s="3" t="str">
        <f>IFERROR(VLOOKUP(E2786,BD!$L$2:$Q$66,2,0),0)</f>
        <v>SAN LUIS SIN GAS PET 625MLX15 C/STICKER</v>
      </c>
      <c r="G2786" s="424">
        <v>540</v>
      </c>
      <c r="H2786" s="3">
        <f>+IFERROR(VLOOKUP(E2786,BD!$L$2:$Q$66,6,0),0)</f>
        <v>90</v>
      </c>
      <c r="I2786" s="96">
        <f>IFERROR(G2786*VLOOKUP($E2786,BD!$L$2:$Q$66,5,0),0)</f>
        <v>216</v>
      </c>
      <c r="J2786" s="5">
        <f t="shared" si="187"/>
        <v>2021</v>
      </c>
    </row>
    <row r="2787" spans="1:10" s="9" customFormat="1" hidden="1" x14ac:dyDescent="0.25">
      <c r="A2787" s="491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7">
        <v>251633</v>
      </c>
      <c r="F2787" s="3" t="str">
        <f>IFERROR(VLOOKUP(E2787,BD!$L$2:$Q$66,2,0),0)</f>
        <v>SAN LUIS CON GAS PET 625MLX6</v>
      </c>
      <c r="G2787" s="424">
        <v>1080</v>
      </c>
      <c r="H2787" s="3">
        <f>+IFERROR(VLOOKUP(E2787,BD!$L$2:$Q$66,6,0),0)</f>
        <v>180</v>
      </c>
      <c r="I2787" s="96">
        <f>IFERROR(G2787*VLOOKUP($E2787,BD!$L$2:$Q$66,5,0),0)</f>
        <v>453.59999999999997</v>
      </c>
      <c r="J2787" s="5">
        <f t="shared" si="187"/>
        <v>2021</v>
      </c>
    </row>
    <row r="2788" spans="1:10" s="9" customFormat="1" hidden="1" x14ac:dyDescent="0.25">
      <c r="A2788" s="491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7">
        <v>256685</v>
      </c>
      <c r="F2788" s="3" t="str">
        <f>IFERROR(VLOOKUP(E2788,BD!$L$2:$Q$66,2,0),0)</f>
        <v>SL S/G TAPA PLANA 1LT</v>
      </c>
      <c r="G2788" s="424">
        <v>112</v>
      </c>
      <c r="H2788" s="3">
        <f>+IFERROR(VLOOKUP(E2788,BD!$L$2:$Q$66,6,0),0)</f>
        <v>112</v>
      </c>
      <c r="I2788" s="96">
        <f>IFERROR(G2788*VLOOKUP($E2788,BD!$L$2:$Q$66,5,0),0)</f>
        <v>44.800000000000004</v>
      </c>
      <c r="J2788" s="5">
        <f t="shared" si="187"/>
        <v>2021</v>
      </c>
    </row>
    <row r="2789" spans="1:10" s="9" customFormat="1" hidden="1" x14ac:dyDescent="0.25">
      <c r="A2789" s="491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7">
        <v>251632</v>
      </c>
      <c r="F2789" s="3" t="str">
        <f>IFERROR(VLOOKUP(E2789,BD!$L$2:$Q$66,2,0),0)</f>
        <v>SAN LUIS SIN GAS PET 625MLX06 MOD</v>
      </c>
      <c r="G2789" s="424">
        <v>1080</v>
      </c>
      <c r="H2789" s="3">
        <f>+IFERROR(VLOOKUP(E2789,BD!$L$2:$Q$66,6,0),0)</f>
        <v>180</v>
      </c>
      <c r="I2789" s="96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hidden="1" thickBot="1" x14ac:dyDescent="0.3">
      <c r="A2790" s="492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9">
        <v>256695</v>
      </c>
      <c r="F2790" s="8" t="str">
        <f>IFERROR(VLOOKUP(E2790,BD!$L$2:$Q$66,2,0),0)</f>
        <v>POWERADE 3MORA+3FRUT PET 473MLX6</v>
      </c>
      <c r="G2790" s="501">
        <v>2250</v>
      </c>
      <c r="H2790" s="8">
        <f>+IFERROR(VLOOKUP(E2790,BD!$L$2:$Q$66,6,0),0)</f>
        <v>225</v>
      </c>
      <c r="I2790" s="98">
        <f>IFERROR(G2790*VLOOKUP($E2790,BD!$L$2:$Q$66,5,0),0)</f>
        <v>945</v>
      </c>
      <c r="J2790" s="110">
        <f t="shared" si="187"/>
        <v>2021</v>
      </c>
    </row>
    <row r="2791" spans="1:10" s="9" customFormat="1" hidden="1" x14ac:dyDescent="0.25">
      <c r="A2791" s="493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63">
        <v>251429</v>
      </c>
      <c r="F2791" s="6" t="str">
        <f>IFERROR(VLOOKUP(E2791,BD!$L$2:$Q$66,2,0),0)</f>
        <v>SAN LUIS SIN GAS PET2500X6 STICKER</v>
      </c>
      <c r="G2791" s="519">
        <v>480</v>
      </c>
      <c r="H2791" s="6">
        <f>+IFERROR(VLOOKUP(E2791,BD!$L$2:$Q$66,6,0),0)</f>
        <v>48</v>
      </c>
      <c r="I2791" s="97">
        <f>IFERROR(G2791*VLOOKUP($E2791,BD!$L$2:$Q$66,5,0),0)</f>
        <v>192</v>
      </c>
      <c r="J2791" s="109">
        <f t="shared" si="187"/>
        <v>2021</v>
      </c>
    </row>
    <row r="2792" spans="1:10" s="9" customFormat="1" hidden="1" x14ac:dyDescent="0.25">
      <c r="A2792" s="491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7">
        <v>256381</v>
      </c>
      <c r="F2792" s="3" t="str">
        <f>IFERROR(VLOOKUP(E2792,BD!$L$2:$Q$66,2,0),0)</f>
        <v>INCA KOLA VR 1.5LX8 - STICKER</v>
      </c>
      <c r="G2792" s="424">
        <v>180</v>
      </c>
      <c r="H2792" s="3">
        <f>+IFERROR(VLOOKUP(E2792,BD!$L$2:$Q$66,6,0),0)</f>
        <v>30</v>
      </c>
      <c r="I2792" s="96">
        <f>IFERROR(G2792*VLOOKUP($E2792,BD!$L$2:$Q$66,5,0),0)</f>
        <v>72</v>
      </c>
      <c r="J2792" s="5">
        <f t="shared" si="187"/>
        <v>2021</v>
      </c>
    </row>
    <row r="2793" spans="1:10" s="9" customFormat="1" hidden="1" x14ac:dyDescent="0.25">
      <c r="A2793" s="491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7">
        <v>256383</v>
      </c>
      <c r="F2793" s="3" t="str">
        <f>IFERROR(VLOOKUP(E2793,BD!$L$2:$Q$66,2,0),0)</f>
        <v>COCA COLA VR 1.5LX8 - STICKER</v>
      </c>
      <c r="G2793" s="424">
        <v>210</v>
      </c>
      <c r="H2793" s="3">
        <f>+IFERROR(VLOOKUP(E2793,BD!$L$2:$Q$66,6,0),0)</f>
        <v>30</v>
      </c>
      <c r="I2793" s="96">
        <f>IFERROR(G2793*VLOOKUP($E2793,BD!$L$2:$Q$66,5,0),0)</f>
        <v>48.300000000000004</v>
      </c>
      <c r="J2793" s="5">
        <f t="shared" si="187"/>
        <v>2021</v>
      </c>
    </row>
    <row r="2794" spans="1:10" s="9" customFormat="1" hidden="1" x14ac:dyDescent="0.25">
      <c r="A2794" s="491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7">
        <v>256380</v>
      </c>
      <c r="F2794" s="3" t="str">
        <f>IFERROR(VLOOKUP(E2794,BD!$L$2:$Q$66,2,0),0)</f>
        <v>INCA KOLA VR 296MLX24 - STICKER</v>
      </c>
      <c r="G2794" s="424">
        <v>200</v>
      </c>
      <c r="H2794" s="3">
        <f>+IFERROR(VLOOKUP(E2794,BD!$L$2:$Q$66,6,0),0)</f>
        <v>40</v>
      </c>
      <c r="I2794" s="96">
        <f>IFERROR(G2794*VLOOKUP($E2794,BD!$L$2:$Q$66,5,0),0)</f>
        <v>46</v>
      </c>
      <c r="J2794" s="5">
        <f t="shared" si="187"/>
        <v>2021</v>
      </c>
    </row>
    <row r="2795" spans="1:10" s="9" customFormat="1" hidden="1" x14ac:dyDescent="0.25">
      <c r="A2795" s="491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7">
        <v>256379</v>
      </c>
      <c r="F2795" s="3" t="str">
        <f>IFERROR(VLOOKUP(E2795,BD!$L$2:$Q$66,2,0),0)</f>
        <v>INCA KOLA VR 625MLX12 - STICKER</v>
      </c>
      <c r="G2795" s="424">
        <v>200</v>
      </c>
      <c r="H2795" s="3">
        <f>+IFERROR(VLOOKUP(E2795,BD!$L$2:$Q$66,6,0),0)</f>
        <v>50</v>
      </c>
      <c r="I2795" s="96">
        <f>IFERROR(G2795*VLOOKUP($E2795,BD!$L$2:$Q$66,5,0),0)</f>
        <v>80</v>
      </c>
      <c r="J2795" s="5">
        <f t="shared" si="187"/>
        <v>2021</v>
      </c>
    </row>
    <row r="2796" spans="1:10" s="9" customFormat="1" hidden="1" x14ac:dyDescent="0.25">
      <c r="A2796" s="491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7">
        <v>256709</v>
      </c>
      <c r="F2796" s="3" t="str">
        <f>IFERROR(VLOOKUP(E2796,BD!$L$2:$Q$66,2,0),0)</f>
        <v>POWERADE ION4 MORA AZ PET473X6 MOD(STCK)</v>
      </c>
      <c r="G2796" s="424">
        <v>1125</v>
      </c>
      <c r="H2796" s="3">
        <f>+IFERROR(VLOOKUP(E2796,BD!$L$2:$Q$66,6,0),0)</f>
        <v>225</v>
      </c>
      <c r="I2796" s="96">
        <f>IFERROR(G2796*VLOOKUP($E2796,BD!$L$2:$Q$66,5,0),0)</f>
        <v>450</v>
      </c>
      <c r="J2796" s="5">
        <f t="shared" si="187"/>
        <v>2021</v>
      </c>
    </row>
    <row r="2797" spans="1:10" s="9" customFormat="1" hidden="1" x14ac:dyDescent="0.25">
      <c r="A2797" s="491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7">
        <v>256708</v>
      </c>
      <c r="F2797" s="3" t="str">
        <f>IFERROR(VLOOKUP(E2797,BD!$L$2:$Q$66,2,0),0)</f>
        <v>POWERADE ION4 FRUTA PET473X6 MOD (STICK)</v>
      </c>
      <c r="G2797" s="424">
        <v>1125</v>
      </c>
      <c r="H2797" s="3">
        <f>+IFERROR(VLOOKUP(E2797,BD!$L$2:$Q$66,6,0),0)</f>
        <v>225</v>
      </c>
      <c r="I2797" s="96">
        <f>IFERROR(G2797*VLOOKUP($E2797,BD!$L$2:$Q$66,5,0),0)</f>
        <v>450</v>
      </c>
      <c r="J2797" s="5">
        <f t="shared" si="187"/>
        <v>2021</v>
      </c>
    </row>
    <row r="2798" spans="1:10" s="9" customFormat="1" hidden="1" x14ac:dyDescent="0.25">
      <c r="A2798" s="491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7">
        <v>256601</v>
      </c>
      <c r="F2798" s="3" t="str">
        <f>IFERROR(VLOOKUP(E2798,BD!$L$2:$Q$66,2,0),0)</f>
        <v>INCA KOLA PET 2.25LX2 RF</v>
      </c>
      <c r="G2798" s="424">
        <v>810</v>
      </c>
      <c r="H2798" s="3">
        <f>+IFERROR(VLOOKUP(E2798,BD!$L$2:$Q$66,6,0),0)</f>
        <v>162</v>
      </c>
      <c r="I2798" s="96">
        <f>IFERROR(G2798*VLOOKUP($E2798,BD!$L$2:$Q$66,5,0),0)</f>
        <v>137.70000000000002</v>
      </c>
      <c r="J2798" s="5">
        <f t="shared" si="187"/>
        <v>2021</v>
      </c>
    </row>
    <row r="2799" spans="1:10" s="9" customFormat="1" hidden="1" x14ac:dyDescent="0.25">
      <c r="A2799" s="491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7">
        <v>256677</v>
      </c>
      <c r="F2799" s="3" t="str">
        <f>IFERROR(VLOOKUP(E2799,BD!$L$2:$Q$66,2,0),0)</f>
        <v>TWO PACK CC + IK PFM 3LX2 - RFNN</v>
      </c>
      <c r="G2799" s="424">
        <v>3120</v>
      </c>
      <c r="H2799" s="3">
        <f>+IFERROR(VLOOKUP(E2799,BD!$L$2:$Q$66,6,0),0)</f>
        <v>120</v>
      </c>
      <c r="I2799" s="96">
        <f>IFERROR(G2799*VLOOKUP($E2799,BD!$L$2:$Q$66,5,0),0)</f>
        <v>530.40000000000009</v>
      </c>
      <c r="J2799" s="5">
        <f t="shared" si="187"/>
        <v>2021</v>
      </c>
    </row>
    <row r="2800" spans="1:10" s="9" customFormat="1" hidden="1" x14ac:dyDescent="0.25">
      <c r="A2800" s="491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7">
        <v>256676</v>
      </c>
      <c r="F2800" s="3" t="str">
        <f>IFERROR(VLOOKUP(E2800,BD!$L$2:$Q$66,2,0),0)</f>
        <v>TWO PACK CC PFM 3LX2 - RFCC</v>
      </c>
      <c r="G2800" s="424">
        <v>1320</v>
      </c>
      <c r="H2800" s="3">
        <f>+IFERROR(VLOOKUP(E2800,BD!$L$2:$Q$66,6,0),0)</f>
        <v>120</v>
      </c>
      <c r="I2800" s="96">
        <f>IFERROR(G2800*VLOOKUP($E2800,BD!$L$2:$Q$66,5,0),0)</f>
        <v>224.4</v>
      </c>
      <c r="J2800" s="5">
        <f t="shared" si="187"/>
        <v>2021</v>
      </c>
    </row>
    <row r="2801" spans="1:10" s="9" customFormat="1" hidden="1" x14ac:dyDescent="0.25">
      <c r="A2801" s="491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7">
        <v>256488</v>
      </c>
      <c r="F2801" s="3" t="str">
        <f>IFERROR(VLOOKUP(E2801,BD!$L$2:$Q$66,2,0),0)</f>
        <v>INCA KOLA PET 3LX2 - RF</v>
      </c>
      <c r="G2801" s="424">
        <v>360</v>
      </c>
      <c r="H2801" s="3">
        <f>+IFERROR(VLOOKUP(E2801,BD!$L$2:$Q$66,6,0),0)</f>
        <v>120</v>
      </c>
      <c r="I2801" s="96">
        <f>IFERROR(G2801*VLOOKUP($E2801,BD!$L$2:$Q$66,5,0),0)</f>
        <v>61.2</v>
      </c>
      <c r="J2801" s="5">
        <f t="shared" si="187"/>
        <v>2021</v>
      </c>
    </row>
    <row r="2802" spans="1:10" s="9" customFormat="1" hidden="1" x14ac:dyDescent="0.25">
      <c r="A2802" s="491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7">
        <v>256682</v>
      </c>
      <c r="F2802" s="3" t="str">
        <f>IFERROR(VLOOKUP(E2802,BD!$L$2:$Q$66,2,0),0)</f>
        <v>TRIPACK (FT NAR+SP)PET+IK RF PFM 3L</v>
      </c>
      <c r="G2802" s="424">
        <v>270</v>
      </c>
      <c r="H2802" s="3">
        <f>+IFERROR(VLOOKUP(E2802,BD!$L$2:$Q$66,6,0),0)</f>
        <v>90</v>
      </c>
      <c r="I2802" s="96">
        <f>IFERROR(G2802*VLOOKUP($E2802,BD!$L$2:$Q$66,5,0),0)</f>
        <v>45.900000000000006</v>
      </c>
      <c r="J2802" s="5">
        <f t="shared" si="187"/>
        <v>2021</v>
      </c>
    </row>
    <row r="2803" spans="1:10" s="9" customFormat="1" hidden="1" x14ac:dyDescent="0.25">
      <c r="A2803" s="491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7">
        <v>256680</v>
      </c>
      <c r="F2803" s="3" t="str">
        <f>IFERROR(VLOOKUP(E2803,BD!$L$2:$Q$66,2,0),0)</f>
        <v>TRIPACK CC+CC+IK PFM 3LX3 - RFNN</v>
      </c>
      <c r="G2803" s="424">
        <v>1170</v>
      </c>
      <c r="H2803" s="3">
        <f>+IFERROR(VLOOKUP(E2803,BD!$L$2:$Q$66,6,0),0)</f>
        <v>90</v>
      </c>
      <c r="I2803" s="96">
        <f>IFERROR(G2803*VLOOKUP($E2803,BD!$L$2:$Q$66,5,0),0)</f>
        <v>198.9</v>
      </c>
      <c r="J2803" s="5">
        <f t="shared" si="187"/>
        <v>2021</v>
      </c>
    </row>
    <row r="2804" spans="1:10" s="9" customFormat="1" hidden="1" x14ac:dyDescent="0.25">
      <c r="A2804" s="491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7">
        <v>256652</v>
      </c>
      <c r="F2804" s="3" t="str">
        <f>IFERROR(VLOOKUP(E2804,BD!$L$2:$Q$66,2,0),0)</f>
        <v>TRIPACK FT NAR+FT KI+SP PET 3L</v>
      </c>
      <c r="G2804" s="424">
        <v>900</v>
      </c>
      <c r="H2804" s="3">
        <f>+IFERROR(VLOOKUP(E2804,BD!$L$2:$Q$66,6,0),0)</f>
        <v>90</v>
      </c>
      <c r="I2804" s="96">
        <f>IFERROR(G2804*VLOOKUP($E2804,BD!$L$2:$Q$66,5,0),0)</f>
        <v>153</v>
      </c>
      <c r="J2804" s="5">
        <f t="shared" si="187"/>
        <v>2021</v>
      </c>
    </row>
    <row r="2805" spans="1:10" s="9" customFormat="1" hidden="1" x14ac:dyDescent="0.25">
      <c r="A2805" s="491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7">
        <v>256678</v>
      </c>
      <c r="F2805" s="3" t="str">
        <f>IFERROR(VLOOKUP(E2805,BD!$L$2:$Q$66,2,0),0)</f>
        <v>TRIPACK (CC+IK)PFM+FT PET 3LX3 - RFNN</v>
      </c>
      <c r="G2805" s="424">
        <v>1800</v>
      </c>
      <c r="H2805" s="3">
        <f>+IFERROR(VLOOKUP(E2805,BD!$L$2:$Q$66,6,0),0)</f>
        <v>90</v>
      </c>
      <c r="I2805" s="96">
        <f>IFERROR(G2805*VLOOKUP($E2805,BD!$L$2:$Q$66,5,0),0)</f>
        <v>306</v>
      </c>
      <c r="J2805" s="5">
        <f t="shared" si="187"/>
        <v>2021</v>
      </c>
    </row>
    <row r="2806" spans="1:10" s="9" customFormat="1" hidden="1" x14ac:dyDescent="0.25">
      <c r="A2806" s="491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7">
        <v>256666</v>
      </c>
      <c r="F2806" s="3" t="str">
        <f>IFERROR(VLOOKUP(E2806,BD!$L$2:$Q$66,2,0),0)</f>
        <v>COCA-COLA PET 2.25LX2 RF</v>
      </c>
      <c r="G2806" s="424">
        <v>972</v>
      </c>
      <c r="H2806" s="3">
        <f>+IFERROR(VLOOKUP(E2806,BD!$L$2:$Q$66,6,0),0)</f>
        <v>162</v>
      </c>
      <c r="I2806" s="96">
        <f>IFERROR(G2806*VLOOKUP($E2806,BD!$L$2:$Q$66,5,0),0)</f>
        <v>165.24</v>
      </c>
      <c r="J2806" s="5">
        <f t="shared" si="187"/>
        <v>2021</v>
      </c>
    </row>
    <row r="2807" spans="1:10" s="9" customFormat="1" hidden="1" x14ac:dyDescent="0.25">
      <c r="A2807" s="491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7">
        <v>256674</v>
      </c>
      <c r="F2807" s="3" t="str">
        <f>IFERROR(VLOOKUP(E2807,BD!$L$2:$Q$66,2,0),0)</f>
        <v>COCA-COLA PET 1.5LX2 RF</v>
      </c>
      <c r="G2807" s="424">
        <v>216</v>
      </c>
      <c r="H2807" s="3">
        <f>+IFERROR(VLOOKUP(E2807,BD!$L$2:$Q$66,6,0),0)</f>
        <v>198</v>
      </c>
      <c r="I2807" s="96">
        <f>IFERROR(G2807*VLOOKUP($E2807,BD!$L$2:$Q$66,5,0),0)</f>
        <v>36.720000000000006</v>
      </c>
      <c r="J2807" s="5">
        <f t="shared" si="187"/>
        <v>2021</v>
      </c>
    </row>
    <row r="2808" spans="1:10" s="9" customFormat="1" hidden="1" x14ac:dyDescent="0.25">
      <c r="A2808" s="491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7">
        <v>256616</v>
      </c>
      <c r="F2808" s="3" t="str">
        <f>IFERROR(VLOOKUP(E2808,BD!$L$2:$Q$66,2,0),0)</f>
        <v>TWO PACK SCHWEPPES CITRUS PET 1.5LX2</v>
      </c>
      <c r="G2808" s="424">
        <v>990</v>
      </c>
      <c r="H2808" s="3">
        <f>+IFERROR(VLOOKUP(E2808,BD!$L$2:$Q$66,6,0),0)</f>
        <v>198</v>
      </c>
      <c r="I2808" s="96">
        <f>IFERROR(G2808*VLOOKUP($E2808,BD!$L$2:$Q$66,5,0),0)</f>
        <v>168.3</v>
      </c>
      <c r="J2808" s="5">
        <f t="shared" si="187"/>
        <v>2021</v>
      </c>
    </row>
    <row r="2809" spans="1:10" s="9" customFormat="1" hidden="1" x14ac:dyDescent="0.25">
      <c r="A2809" s="491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7">
        <v>251633</v>
      </c>
      <c r="F2809" s="3" t="str">
        <f>IFERROR(VLOOKUP(E2809,BD!$L$2:$Q$66,2,0),0)</f>
        <v>SAN LUIS CON GAS PET 625MLX6</v>
      </c>
      <c r="G2809" s="424">
        <v>900</v>
      </c>
      <c r="H2809" s="3">
        <f>+IFERROR(VLOOKUP(E2809,BD!$L$2:$Q$66,6,0),0)</f>
        <v>180</v>
      </c>
      <c r="I2809" s="96">
        <f>IFERROR(G2809*VLOOKUP($E2809,BD!$L$2:$Q$66,5,0),0)</f>
        <v>378</v>
      </c>
      <c r="J2809" s="5">
        <f t="shared" si="187"/>
        <v>2021</v>
      </c>
    </row>
    <row r="2810" spans="1:10" s="9" customFormat="1" hidden="1" x14ac:dyDescent="0.25">
      <c r="A2810" s="491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7">
        <v>252436</v>
      </c>
      <c r="F2810" s="3" t="str">
        <f>IFERROR(VLOOKUP(E2810,BD!$L$2:$Q$66,2,0),0)</f>
        <v>SAN LUIS SIN GAS PET 625MLX15 C/STICKER</v>
      </c>
      <c r="G2810" s="424">
        <v>360</v>
      </c>
      <c r="H2810" s="3">
        <f>+IFERROR(VLOOKUP(E2810,BD!$L$2:$Q$66,6,0),0)</f>
        <v>90</v>
      </c>
      <c r="I2810" s="96">
        <f>IFERROR(G2810*VLOOKUP($E2810,BD!$L$2:$Q$66,5,0),0)</f>
        <v>144</v>
      </c>
      <c r="J2810" s="5">
        <f t="shared" si="187"/>
        <v>2021</v>
      </c>
    </row>
    <row r="2811" spans="1:10" s="9" customFormat="1" hidden="1" x14ac:dyDescent="0.25">
      <c r="A2811" s="491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7">
        <v>251632</v>
      </c>
      <c r="F2811" s="3" t="str">
        <f>IFERROR(VLOOKUP(E2811,BD!$L$2:$Q$66,2,0),0)</f>
        <v>SAN LUIS SIN GAS PET 625MLX06 MOD</v>
      </c>
      <c r="G2811" s="424">
        <v>900</v>
      </c>
      <c r="H2811" s="3">
        <f>+IFERROR(VLOOKUP(E2811,BD!$L$2:$Q$66,6,0),0)</f>
        <v>180</v>
      </c>
      <c r="I2811" s="96">
        <f>IFERROR(G2811*VLOOKUP($E2811,BD!$L$2:$Q$66,5,0),0)</f>
        <v>378</v>
      </c>
      <c r="J2811" s="5">
        <f t="shared" si="187"/>
        <v>2021</v>
      </c>
    </row>
    <row r="2812" spans="1:10" s="9" customFormat="1" hidden="1" x14ac:dyDescent="0.25">
      <c r="A2812" s="491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7">
        <v>256695</v>
      </c>
      <c r="F2812" s="3" t="str">
        <f>IFERROR(VLOOKUP(E2812,BD!$L$2:$Q$66,2,0),0)</f>
        <v>POWERADE 3MORA+3FRUT PET 473MLX6</v>
      </c>
      <c r="G2812" s="424">
        <v>1350</v>
      </c>
      <c r="H2812" s="3">
        <f>+IFERROR(VLOOKUP(E2812,BD!$L$2:$Q$66,6,0),0)</f>
        <v>225</v>
      </c>
      <c r="I2812" s="96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hidden="1" x14ac:dyDescent="0.25">
      <c r="A2813" s="491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7">
        <v>256617</v>
      </c>
      <c r="F2813" s="3" t="str">
        <f>IFERROR(VLOOKUP(E2813,BD!$L$2:$Q$66,2,0),0)</f>
        <v>TWO PACK SCHWEPPES GINGER ALE PET 1.5LX2</v>
      </c>
      <c r="G2813" s="424">
        <v>792</v>
      </c>
      <c r="H2813" s="3">
        <f>+IFERROR(VLOOKUP(E2813,BD!$L$2:$Q$66,6,0),0)</f>
        <v>198</v>
      </c>
      <c r="I2813" s="96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hidden="1" thickBot="1" x14ac:dyDescent="0.3">
      <c r="A2814" s="492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9">
        <v>256617</v>
      </c>
      <c r="F2814" s="8" t="str">
        <f>IFERROR(VLOOKUP(E2814,BD!$L$2:$Q$66,2,0),0)</f>
        <v>TWO PACK SCHWEPPES GINGER ALE PET 1.5LX2</v>
      </c>
      <c r="G2814" s="501">
        <v>990</v>
      </c>
      <c r="H2814" s="8">
        <f>+IFERROR(VLOOKUP(E2814,BD!$L$2:$Q$66,6,0),0)</f>
        <v>198</v>
      </c>
      <c r="I2814" s="98">
        <f>IFERROR(G2814*VLOOKUP($E2814,BD!$L$2:$Q$66,5,0),0)</f>
        <v>168.3</v>
      </c>
      <c r="J2814" s="110">
        <f t="shared" si="191"/>
        <v>2021</v>
      </c>
    </row>
    <row r="2815" spans="1:10" s="9" customFormat="1" hidden="1" x14ac:dyDescent="0.25">
      <c r="A2815" s="493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63">
        <v>256379</v>
      </c>
      <c r="F2815" s="6" t="str">
        <f>IFERROR(VLOOKUP(E2815,BD!$L$2:$Q$66,2,0),0)</f>
        <v>INCA KOLA VR 625MLX12 - STICKER</v>
      </c>
      <c r="G2815" s="513">
        <v>350</v>
      </c>
      <c r="H2815" s="6">
        <f>+IFERROR(VLOOKUP(E2815,BD!$L$2:$Q$66,6,0),0)</f>
        <v>50</v>
      </c>
      <c r="I2815" s="97">
        <f>IFERROR(G2815*VLOOKUP($E2815,BD!$L$2:$Q$66,5,0),0)</f>
        <v>140</v>
      </c>
      <c r="J2815" s="109">
        <f t="shared" si="191"/>
        <v>2021</v>
      </c>
    </row>
    <row r="2816" spans="1:10" s="9" customFormat="1" hidden="1" x14ac:dyDescent="0.25">
      <c r="A2816" s="491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7">
        <v>256383</v>
      </c>
      <c r="F2816" s="3" t="str">
        <f>IFERROR(VLOOKUP(E2816,BD!$L$2:$Q$66,2,0),0)</f>
        <v>COCA COLA VR 1.5LX8 - STICKER</v>
      </c>
      <c r="G2816" s="424">
        <v>120</v>
      </c>
      <c r="H2816" s="3">
        <f>+IFERROR(VLOOKUP(E2816,BD!$L$2:$Q$66,6,0),0)</f>
        <v>30</v>
      </c>
      <c r="I2816" s="96">
        <f>IFERROR(G2816*VLOOKUP($E2816,BD!$L$2:$Q$66,5,0),0)</f>
        <v>27.6</v>
      </c>
      <c r="J2816" s="5">
        <f t="shared" si="191"/>
        <v>2021</v>
      </c>
    </row>
    <row r="2817" spans="1:10" s="9" customFormat="1" hidden="1" x14ac:dyDescent="0.25">
      <c r="A2817" s="491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7">
        <v>256382</v>
      </c>
      <c r="F2817" s="3" t="str">
        <f>IFERROR(VLOOKUP(E2817,BD!$L$2:$Q$66,2,0),0)</f>
        <v>COCA COLA VR 296MLX24 - STICKER</v>
      </c>
      <c r="G2817" s="424">
        <v>280</v>
      </c>
      <c r="H2817" s="3">
        <f>+IFERROR(VLOOKUP(E2817,BD!$L$2:$Q$66,6,0),0)</f>
        <v>40</v>
      </c>
      <c r="I2817" s="96">
        <f>IFERROR(G2817*VLOOKUP($E2817,BD!$L$2:$Q$66,5,0),0)</f>
        <v>64.400000000000006</v>
      </c>
      <c r="J2817" s="5">
        <f t="shared" si="191"/>
        <v>2021</v>
      </c>
    </row>
    <row r="2818" spans="1:10" s="9" customFormat="1" hidden="1" x14ac:dyDescent="0.25">
      <c r="A2818" s="491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7">
        <v>256676</v>
      </c>
      <c r="F2818" s="3" t="str">
        <f>IFERROR(VLOOKUP(E2818,BD!$L$2:$Q$66,2,0),0)</f>
        <v>TWO PACK CC PFM 3LX2 - RFCC</v>
      </c>
      <c r="G2818" s="424">
        <v>1080</v>
      </c>
      <c r="H2818" s="3">
        <f>+IFERROR(VLOOKUP(E2818,BD!$L$2:$Q$66,6,0),0)</f>
        <v>120</v>
      </c>
      <c r="I2818" s="96">
        <f>IFERROR(G2818*VLOOKUP($E2818,BD!$L$2:$Q$66,5,0),0)</f>
        <v>183.60000000000002</v>
      </c>
      <c r="J2818" s="5">
        <f t="shared" si="191"/>
        <v>2021</v>
      </c>
    </row>
    <row r="2819" spans="1:10" s="9" customFormat="1" hidden="1" x14ac:dyDescent="0.25">
      <c r="A2819" s="491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7">
        <v>256678</v>
      </c>
      <c r="F2819" s="3" t="str">
        <f>IFERROR(VLOOKUP(E2819,BD!$L$2:$Q$66,2,0),0)</f>
        <v>TRIPACK (CC+IK)PFM+FT PET 3LX3 - RFNN</v>
      </c>
      <c r="G2819" s="424">
        <v>1440</v>
      </c>
      <c r="H2819" s="3">
        <f>+IFERROR(VLOOKUP(E2819,BD!$L$2:$Q$66,6,0),0)</f>
        <v>90</v>
      </c>
      <c r="I2819" s="96">
        <f>IFERROR(G2819*VLOOKUP($E2819,BD!$L$2:$Q$66,5,0),0)</f>
        <v>244.8</v>
      </c>
      <c r="J2819" s="5">
        <f t="shared" si="191"/>
        <v>2021</v>
      </c>
    </row>
    <row r="2820" spans="1:10" s="9" customFormat="1" hidden="1" x14ac:dyDescent="0.25">
      <c r="A2820" s="491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7">
        <v>256666</v>
      </c>
      <c r="F2820" s="3" t="str">
        <f>IFERROR(VLOOKUP(E2820,BD!$L$2:$Q$66,2,0),0)</f>
        <v>COCA-COLA PET 2.25LX2 RF</v>
      </c>
      <c r="G2820" s="424">
        <v>324</v>
      </c>
      <c r="H2820" s="3">
        <f>+IFERROR(VLOOKUP(E2820,BD!$L$2:$Q$66,6,0),0)</f>
        <v>162</v>
      </c>
      <c r="I2820" s="96">
        <f>IFERROR(G2820*VLOOKUP($E2820,BD!$L$2:$Q$66,5,0),0)</f>
        <v>55.080000000000005</v>
      </c>
      <c r="J2820" s="5">
        <f t="shared" si="191"/>
        <v>2021</v>
      </c>
    </row>
    <row r="2821" spans="1:10" s="9" customFormat="1" hidden="1" x14ac:dyDescent="0.25">
      <c r="A2821" s="491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7">
        <v>256488</v>
      </c>
      <c r="F2821" s="3" t="str">
        <f>IFERROR(VLOOKUP(E2821,BD!$L$2:$Q$66,2,0),0)</f>
        <v>INCA KOLA PET 3LX2 - RF</v>
      </c>
      <c r="G2821" s="424">
        <v>1800</v>
      </c>
      <c r="H2821" s="3">
        <f>+IFERROR(VLOOKUP(E2821,BD!$L$2:$Q$66,6,0),0)</f>
        <v>120</v>
      </c>
      <c r="I2821" s="96">
        <f>IFERROR(G2821*VLOOKUP($E2821,BD!$L$2:$Q$66,5,0),0)</f>
        <v>306</v>
      </c>
      <c r="J2821" s="5">
        <f t="shared" si="191"/>
        <v>2021</v>
      </c>
    </row>
    <row r="2822" spans="1:10" s="9" customFormat="1" hidden="1" x14ac:dyDescent="0.25">
      <c r="A2822" s="491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7">
        <v>256652</v>
      </c>
      <c r="F2822" s="3" t="str">
        <f>IFERROR(VLOOKUP(E2822,BD!$L$2:$Q$66,2,0),0)</f>
        <v>TRIPACK FT NAR+FT KI+SP PET 3L</v>
      </c>
      <c r="G2822" s="424">
        <v>1440</v>
      </c>
      <c r="H2822" s="3">
        <f>+IFERROR(VLOOKUP(E2822,BD!$L$2:$Q$66,6,0),0)</f>
        <v>90</v>
      </c>
      <c r="I2822" s="96">
        <f>IFERROR(G2822*VLOOKUP($E2822,BD!$L$2:$Q$66,5,0),0)</f>
        <v>244.8</v>
      </c>
      <c r="J2822" s="5">
        <f t="shared" si="191"/>
        <v>2021</v>
      </c>
    </row>
    <row r="2823" spans="1:10" s="9" customFormat="1" hidden="1" x14ac:dyDescent="0.25">
      <c r="A2823" s="491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7">
        <v>256677</v>
      </c>
      <c r="F2823" s="3" t="str">
        <f>IFERROR(VLOOKUP(E2823,BD!$L$2:$Q$66,2,0),0)</f>
        <v>TWO PACK CC + IK PFM 3LX2 - RFNN</v>
      </c>
      <c r="G2823" s="424">
        <v>1920</v>
      </c>
      <c r="H2823" s="3">
        <f>+IFERROR(VLOOKUP(E2823,BD!$L$2:$Q$66,6,0),0)</f>
        <v>120</v>
      </c>
      <c r="I2823" s="96">
        <f>IFERROR(G2823*VLOOKUP($E2823,BD!$L$2:$Q$66,5,0),0)</f>
        <v>326.40000000000003</v>
      </c>
      <c r="J2823" s="5">
        <f t="shared" si="191"/>
        <v>2021</v>
      </c>
    </row>
    <row r="2824" spans="1:10" s="9" customFormat="1" hidden="1" x14ac:dyDescent="0.25">
      <c r="A2824" s="491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7">
        <v>256679</v>
      </c>
      <c r="F2824" s="3" t="str">
        <f>IFERROR(VLOOKUP(E2824,BD!$L$2:$Q$66,2,0),0)</f>
        <v>TRIPACK CC+IK+IK PFM 3LX3 - RFNN</v>
      </c>
      <c r="G2824" s="424">
        <v>720</v>
      </c>
      <c r="H2824" s="3">
        <f>+IFERROR(VLOOKUP(E2824,BD!$L$2:$Q$66,6,0),0)</f>
        <v>90</v>
      </c>
      <c r="I2824" s="96">
        <f>IFERROR(G2824*VLOOKUP($E2824,BD!$L$2:$Q$66,5,0),0)</f>
        <v>122.4</v>
      </c>
      <c r="J2824" s="5">
        <f t="shared" si="191"/>
        <v>2021</v>
      </c>
    </row>
    <row r="2825" spans="1:10" s="9" customFormat="1" hidden="1" x14ac:dyDescent="0.25">
      <c r="A2825" s="491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7">
        <v>251633</v>
      </c>
      <c r="F2825" s="3" t="str">
        <f>IFERROR(VLOOKUP(E2825,BD!$L$2:$Q$66,2,0),0)</f>
        <v>SAN LUIS CON GAS PET 625MLX6</v>
      </c>
      <c r="G2825" s="424">
        <v>1620</v>
      </c>
      <c r="H2825" s="3">
        <f>+IFERROR(VLOOKUP(E2825,BD!$L$2:$Q$66,6,0),0)</f>
        <v>180</v>
      </c>
      <c r="I2825" s="96">
        <f>IFERROR(G2825*VLOOKUP($E2825,BD!$L$2:$Q$66,5,0),0)</f>
        <v>680.4</v>
      </c>
      <c r="J2825" s="5">
        <f t="shared" si="191"/>
        <v>2021</v>
      </c>
    </row>
    <row r="2826" spans="1:10" s="9" customFormat="1" hidden="1" x14ac:dyDescent="0.25">
      <c r="A2826" s="491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7">
        <v>256708</v>
      </c>
      <c r="F2826" s="3" t="str">
        <f>IFERROR(VLOOKUP(E2826,BD!$L$2:$Q$66,2,0),0)</f>
        <v>POWERADE ION4 FRUTA PET473X6 MOD (STICK)</v>
      </c>
      <c r="G2826" s="424">
        <v>450</v>
      </c>
      <c r="H2826" s="3">
        <f>+IFERROR(VLOOKUP(E2826,BD!$L$2:$Q$66,6,0),0)</f>
        <v>225</v>
      </c>
      <c r="I2826" s="96">
        <f>IFERROR(G2826*VLOOKUP($E2826,BD!$L$2:$Q$66,5,0),0)</f>
        <v>180</v>
      </c>
      <c r="J2826" s="5">
        <f t="shared" si="191"/>
        <v>2021</v>
      </c>
    </row>
    <row r="2827" spans="1:10" s="9" customFormat="1" hidden="1" x14ac:dyDescent="0.25">
      <c r="A2827" s="491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7">
        <v>252436</v>
      </c>
      <c r="F2827" s="3" t="str">
        <f>IFERROR(VLOOKUP(E2827,BD!$L$2:$Q$66,2,0),0)</f>
        <v>SAN LUIS SIN GAS PET 625MLX15 C/STICKER</v>
      </c>
      <c r="G2827" s="424">
        <v>270</v>
      </c>
      <c r="H2827" s="3">
        <f>+IFERROR(VLOOKUP(E2827,BD!$L$2:$Q$66,6,0),0)</f>
        <v>90</v>
      </c>
      <c r="I2827" s="96">
        <f>IFERROR(G2827*VLOOKUP($E2827,BD!$L$2:$Q$66,5,0),0)</f>
        <v>108</v>
      </c>
      <c r="J2827" s="5">
        <f t="shared" si="191"/>
        <v>2021</v>
      </c>
    </row>
    <row r="2828" spans="1:10" s="9" customFormat="1" hidden="1" x14ac:dyDescent="0.25">
      <c r="A2828" s="491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7">
        <v>251632</v>
      </c>
      <c r="F2828" s="3" t="str">
        <f>IFERROR(VLOOKUP(E2828,BD!$L$2:$Q$66,2,0),0)</f>
        <v>SAN LUIS SIN GAS PET 625MLX06 MOD</v>
      </c>
      <c r="G2828" s="424">
        <v>900</v>
      </c>
      <c r="H2828" s="3">
        <f>+IFERROR(VLOOKUP(E2828,BD!$L$2:$Q$66,6,0),0)</f>
        <v>180</v>
      </c>
      <c r="I2828" s="96">
        <f>IFERROR(G2828*VLOOKUP($E2828,BD!$L$2:$Q$66,5,0),0)</f>
        <v>378</v>
      </c>
      <c r="J2828" s="5">
        <f t="shared" si="191"/>
        <v>2021</v>
      </c>
    </row>
    <row r="2829" spans="1:10" s="9" customFormat="1" hidden="1" x14ac:dyDescent="0.25">
      <c r="A2829" s="491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7">
        <v>251406</v>
      </c>
      <c r="F2829" s="3" t="str">
        <f>IFERROR(VLOOKUP(E2829,BD!$L$2:$Q$66,2,0),0)</f>
        <v>COCA-COLA SIN AZUCAR PET 1.5LX2</v>
      </c>
      <c r="G2829" s="424">
        <v>2160</v>
      </c>
      <c r="H2829" s="3">
        <f>+IFERROR(VLOOKUP(E2829,BD!$L$2:$Q$66,6,0),0)</f>
        <v>198</v>
      </c>
      <c r="I2829" s="96">
        <f>IFERROR(G2829*VLOOKUP($E2829,BD!$L$2:$Q$66,5,0),0)</f>
        <v>367.20000000000005</v>
      </c>
      <c r="J2829" s="5">
        <f t="shared" si="191"/>
        <v>2021</v>
      </c>
    </row>
    <row r="2830" spans="1:10" s="9" customFormat="1" hidden="1" x14ac:dyDescent="0.25">
      <c r="A2830" s="491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7">
        <v>254853</v>
      </c>
      <c r="F2830" s="3" t="str">
        <f>IFERROR(VLOOKUP(E2830,BD!$L$2:$Q$66,2,0),0)</f>
        <v>INCA KOLA SIN AZUCAR PET 1.5LX2</v>
      </c>
      <c r="G2830" s="424">
        <v>1944</v>
      </c>
      <c r="H2830" s="3">
        <f>+IFERROR(VLOOKUP(E2830,BD!$L$2:$Q$66,6,0),0)</f>
        <v>198</v>
      </c>
      <c r="I2830" s="96">
        <f>IFERROR(G2830*VLOOKUP($E2830,BD!$L$2:$Q$66,5,0),0)</f>
        <v>330.48</v>
      </c>
      <c r="J2830" s="5">
        <f t="shared" si="191"/>
        <v>2021</v>
      </c>
    </row>
    <row r="2831" spans="1:10" s="9" customFormat="1" hidden="1" x14ac:dyDescent="0.25">
      <c r="A2831" s="491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7">
        <v>256674</v>
      </c>
      <c r="F2831" s="3" t="str">
        <f>IFERROR(VLOOKUP(E2831,BD!$L$2:$Q$66,2,0),0)</f>
        <v>COCA-COLA PET 1.5LX2 RF</v>
      </c>
      <c r="G2831" s="424">
        <v>1512</v>
      </c>
      <c r="H2831" s="3">
        <f>+IFERROR(VLOOKUP(E2831,BD!$L$2:$Q$66,6,0),0)</f>
        <v>198</v>
      </c>
      <c r="I2831" s="96">
        <f>IFERROR(G2831*VLOOKUP($E2831,BD!$L$2:$Q$66,5,0),0)</f>
        <v>257.04000000000002</v>
      </c>
      <c r="J2831" s="5">
        <f t="shared" si="191"/>
        <v>2021</v>
      </c>
    </row>
    <row r="2832" spans="1:10" s="9" customFormat="1" hidden="1" x14ac:dyDescent="0.25">
      <c r="A2832" s="491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7">
        <v>256675</v>
      </c>
      <c r="F2832" s="3" t="str">
        <f>IFERROR(VLOOKUP(E2832,BD!$L$2:$Q$66,2,0),0)</f>
        <v>INCA KOLA PET 1.5LX2 RF</v>
      </c>
      <c r="G2832" s="424">
        <v>1080</v>
      </c>
      <c r="H2832" s="3">
        <f>+IFERROR(VLOOKUP(E2832,BD!$L$2:$Q$66,6,0),0)</f>
        <v>198</v>
      </c>
      <c r="I2832" s="96">
        <f>IFERROR(G2832*VLOOKUP($E2832,BD!$L$2:$Q$66,5,0),0)</f>
        <v>183.60000000000002</v>
      </c>
      <c r="J2832" s="5">
        <f t="shared" si="191"/>
        <v>2021</v>
      </c>
    </row>
    <row r="2833" spans="1:10" s="9" customFormat="1" hidden="1" x14ac:dyDescent="0.25">
      <c r="A2833" s="491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7">
        <v>251429</v>
      </c>
      <c r="F2833" s="3" t="str">
        <f>IFERROR(VLOOKUP(E2833,BD!$L$2:$Q$66,2,0),0)</f>
        <v>SAN LUIS SIN GAS PET2500X6 STICKER</v>
      </c>
      <c r="G2833" s="424">
        <v>1200</v>
      </c>
      <c r="H2833" s="3">
        <f>+IFERROR(VLOOKUP(E2833,BD!$L$2:$Q$66,6,0),0)</f>
        <v>48</v>
      </c>
      <c r="I2833" s="96">
        <f>IFERROR(G2833*VLOOKUP($E2833,BD!$L$2:$Q$66,5,0),0)</f>
        <v>480</v>
      </c>
      <c r="J2833" s="5">
        <f t="shared" si="191"/>
        <v>2021</v>
      </c>
    </row>
    <row r="2834" spans="1:10" s="9" customFormat="1" hidden="1" x14ac:dyDescent="0.25">
      <c r="A2834" s="491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7">
        <v>256721</v>
      </c>
      <c r="F2834" s="3" t="str">
        <f>IFERROR(VLOOKUP(E2834,BD!$L$2:$Q$66,2,0),0)</f>
        <v>SPRITE PET 500MLX6 BRANDEADO MOD</v>
      </c>
      <c r="G2834" s="424">
        <v>250</v>
      </c>
      <c r="H2834" s="3">
        <f>+IFERROR(VLOOKUP(E2834,BD!$L$2:$Q$66,6,0),0)</f>
        <v>420</v>
      </c>
      <c r="I2834" s="96">
        <f>IFERROR(G2834*VLOOKUP($E2834,BD!$L$2:$Q$66,5,0),0)</f>
        <v>105</v>
      </c>
      <c r="J2834" s="5">
        <f t="shared" si="191"/>
        <v>2021</v>
      </c>
    </row>
    <row r="2835" spans="1:10" s="9" customFormat="1" hidden="1" x14ac:dyDescent="0.25">
      <c r="A2835" s="491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7">
        <v>256720</v>
      </c>
      <c r="F2835" s="3" t="str">
        <f>IFERROR(VLOOKUP(E2835,BD!$L$2:$Q$66,2,0),0)</f>
        <v>FANTA NARANJA PET 500MLX6 BRANDEADO MOD</v>
      </c>
      <c r="G2835" s="424">
        <v>250</v>
      </c>
      <c r="H2835" s="3">
        <f>+IFERROR(VLOOKUP(E2835,BD!$L$2:$Q$66,6,0),0)</f>
        <v>420</v>
      </c>
      <c r="I2835" s="96">
        <f>IFERROR(G2835*VLOOKUP($E2835,BD!$L$2:$Q$66,5,0),0)</f>
        <v>105</v>
      </c>
      <c r="J2835" s="5">
        <f t="shared" si="191"/>
        <v>2021</v>
      </c>
    </row>
    <row r="2836" spans="1:10" s="9" customFormat="1" hidden="1" x14ac:dyDescent="0.25">
      <c r="A2836" s="491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7">
        <v>254762</v>
      </c>
      <c r="F2836" s="3" t="str">
        <f>IFERROR(VLOOKUP(E2836,BD!$L$2:$Q$66,2,0),0)</f>
        <v xml:space="preserve">SAN LUIS SPORT S/G 10 Lt x6 </v>
      </c>
      <c r="G2836" s="424">
        <v>896</v>
      </c>
      <c r="H2836" s="3">
        <f>+IFERROR(VLOOKUP(E2836,BD!$L$2:$Q$66,6,0),0)</f>
        <v>240</v>
      </c>
      <c r="I2836" s="96">
        <f>IFERROR(G2836*VLOOKUP($E2836,BD!$L$2:$Q$66,5,0),0)</f>
        <v>358.40000000000003</v>
      </c>
      <c r="J2836" s="5">
        <f t="shared" si="191"/>
        <v>2021</v>
      </c>
    </row>
    <row r="2837" spans="1:10" s="9" customFormat="1" hidden="1" x14ac:dyDescent="0.25">
      <c r="A2837" s="491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7">
        <v>256674</v>
      </c>
      <c r="F2837" s="3" t="str">
        <f>IFERROR(VLOOKUP(E2837,BD!$L$2:$Q$66,2,0),0)</f>
        <v>COCA-COLA PET 1.5LX2 RF</v>
      </c>
      <c r="G2837" s="424">
        <v>2160</v>
      </c>
      <c r="H2837" s="3">
        <f>+IFERROR(VLOOKUP(E2837,BD!$L$2:$Q$66,6,0),0)</f>
        <v>198</v>
      </c>
      <c r="I2837" s="96">
        <f>IFERROR(G2837*VLOOKUP($E2837,BD!$L$2:$Q$66,5,0),0)</f>
        <v>367.20000000000005</v>
      </c>
      <c r="J2837" s="5">
        <f t="shared" si="191"/>
        <v>2021</v>
      </c>
    </row>
    <row r="2838" spans="1:10" s="9" customFormat="1" hidden="1" x14ac:dyDescent="0.25">
      <c r="A2838" s="491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7">
        <v>256675</v>
      </c>
      <c r="F2838" s="3" t="str">
        <f>IFERROR(VLOOKUP(E2838,BD!$L$2:$Q$66,2,0),0)</f>
        <v>INCA KOLA PET 1.5LX2 RF</v>
      </c>
      <c r="G2838" s="424">
        <v>648</v>
      </c>
      <c r="H2838" s="3">
        <f>+IFERROR(VLOOKUP(E2838,BD!$L$2:$Q$66,6,0),0)</f>
        <v>198</v>
      </c>
      <c r="I2838" s="96">
        <f>IFERROR(G2838*VLOOKUP($E2838,BD!$L$2:$Q$66,5,0),0)</f>
        <v>110.16000000000001</v>
      </c>
      <c r="J2838" s="5">
        <f t="shared" si="191"/>
        <v>2021</v>
      </c>
    </row>
    <row r="2839" spans="1:10" s="9" customFormat="1" hidden="1" x14ac:dyDescent="0.25">
      <c r="A2839" s="491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7">
        <v>256601</v>
      </c>
      <c r="F2839" s="3" t="str">
        <f>IFERROR(VLOOKUP(E2839,BD!$L$2:$Q$66,2,0),0)</f>
        <v>INCA KOLA PET 2.25LX2 RF</v>
      </c>
      <c r="G2839" s="424">
        <v>810</v>
      </c>
      <c r="H2839" s="3">
        <f>+IFERROR(VLOOKUP(E2839,BD!$L$2:$Q$66,6,0),0)</f>
        <v>162</v>
      </c>
      <c r="I2839" s="96">
        <f>IFERROR(G2839*VLOOKUP($E2839,BD!$L$2:$Q$66,5,0),0)</f>
        <v>137.70000000000002</v>
      </c>
      <c r="J2839" s="5">
        <f t="shared" si="191"/>
        <v>2021</v>
      </c>
    </row>
    <row r="2840" spans="1:10" s="9" customFormat="1" hidden="1" x14ac:dyDescent="0.25">
      <c r="A2840" s="491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7">
        <v>256720</v>
      </c>
      <c r="F2840" s="3" t="str">
        <f>IFERROR(VLOOKUP(E2840,BD!$L$2:$Q$66,2,0),0)</f>
        <v>FANTA NARANJA PET 500MLX6 BRANDEADO MOD</v>
      </c>
      <c r="G2840" s="424">
        <v>250</v>
      </c>
      <c r="H2840" s="3">
        <f>+IFERROR(VLOOKUP(E2840,BD!$L$2:$Q$66,6,0),0)</f>
        <v>420</v>
      </c>
      <c r="I2840" s="96">
        <f>IFERROR(G2840*VLOOKUP($E2840,BD!$L$2:$Q$66,5,0),0)</f>
        <v>105</v>
      </c>
      <c r="J2840" s="5">
        <f t="shared" si="191"/>
        <v>2021</v>
      </c>
    </row>
    <row r="2841" spans="1:10" s="9" customFormat="1" ht="15.75" hidden="1" thickBot="1" x14ac:dyDescent="0.3">
      <c r="A2841" s="492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9">
        <v>256721</v>
      </c>
      <c r="F2841" s="8" t="str">
        <f>IFERROR(VLOOKUP(E2841,BD!$L$2:$Q$66,2,0),0)</f>
        <v>SPRITE PET 500MLX6 BRANDEADO MOD</v>
      </c>
      <c r="G2841" s="501">
        <v>250</v>
      </c>
      <c r="H2841" s="8">
        <f>+IFERROR(VLOOKUP(E2841,BD!$L$2:$Q$66,6,0),0)</f>
        <v>420</v>
      </c>
      <c r="I2841" s="98">
        <f>IFERROR(G2841*VLOOKUP($E2841,BD!$L$2:$Q$66,5,0),0)</f>
        <v>105</v>
      </c>
      <c r="J2841" s="110">
        <f t="shared" si="191"/>
        <v>2021</v>
      </c>
    </row>
    <row r="2842" spans="1:10" s="9" customFormat="1" hidden="1" x14ac:dyDescent="0.25">
      <c r="A2842" s="493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63">
        <v>256488</v>
      </c>
      <c r="F2842" s="6" t="str">
        <f>IFERROR(VLOOKUP(E2842,BD!$L$2:$Q$66,2,0),0)</f>
        <v>INCA KOLA PET 3LX2 - RF</v>
      </c>
      <c r="G2842" s="513">
        <v>1800</v>
      </c>
      <c r="H2842" s="6">
        <f>+IFERROR(VLOOKUP(E2842,BD!$L$2:$Q$66,6,0),0)</f>
        <v>120</v>
      </c>
      <c r="I2842" s="97">
        <f>IFERROR(G2842*VLOOKUP($E2842,BD!$L$2:$Q$66,5,0),0)</f>
        <v>306</v>
      </c>
      <c r="J2842" s="109">
        <f t="shared" si="191"/>
        <v>2021</v>
      </c>
    </row>
    <row r="2843" spans="1:10" s="9" customFormat="1" hidden="1" x14ac:dyDescent="0.25">
      <c r="A2843" s="491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7">
        <v>256675</v>
      </c>
      <c r="F2843" s="3" t="str">
        <f>IFERROR(VLOOKUP(E2843,BD!$L$2:$Q$66,2,0),0)</f>
        <v>INCA KOLA PET 1.5LX2 RF</v>
      </c>
      <c r="G2843" s="424">
        <v>1080</v>
      </c>
      <c r="H2843" s="3">
        <f>+IFERROR(VLOOKUP(E2843,BD!$L$2:$Q$66,6,0),0)</f>
        <v>198</v>
      </c>
      <c r="I2843" s="96">
        <f>IFERROR(G2843*VLOOKUP($E2843,BD!$L$2:$Q$66,5,0),0)</f>
        <v>183.60000000000002</v>
      </c>
      <c r="J2843" s="5">
        <f t="shared" si="191"/>
        <v>2021</v>
      </c>
    </row>
    <row r="2844" spans="1:10" s="9" customFormat="1" hidden="1" x14ac:dyDescent="0.25">
      <c r="A2844" s="491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7">
        <v>256617</v>
      </c>
      <c r="F2844" s="3" t="str">
        <f>IFERROR(VLOOKUP(E2844,BD!$L$2:$Q$66,2,0),0)</f>
        <v>TWO PACK SCHWEPPES GINGER ALE PET 1.5LX2</v>
      </c>
      <c r="G2844" s="424">
        <v>792</v>
      </c>
      <c r="H2844" s="3">
        <f>+IFERROR(VLOOKUP(E2844,BD!$L$2:$Q$66,6,0),0)</f>
        <v>198</v>
      </c>
      <c r="I2844" s="96">
        <f>IFERROR(G2844*VLOOKUP($E2844,BD!$L$2:$Q$66,5,0),0)</f>
        <v>134.64000000000001</v>
      </c>
      <c r="J2844" s="5">
        <f t="shared" si="191"/>
        <v>2021</v>
      </c>
    </row>
    <row r="2845" spans="1:10" s="9" customFormat="1" hidden="1" x14ac:dyDescent="0.25">
      <c r="A2845" s="491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7">
        <v>254853</v>
      </c>
      <c r="F2845" s="3" t="str">
        <f>IFERROR(VLOOKUP(E2845,BD!$L$2:$Q$66,2,0),0)</f>
        <v>INCA KOLA SIN AZUCAR PET 1.5LX2</v>
      </c>
      <c r="G2845" s="424">
        <v>1512</v>
      </c>
      <c r="H2845" s="3">
        <f>+IFERROR(VLOOKUP(E2845,BD!$L$2:$Q$66,6,0),0)</f>
        <v>198</v>
      </c>
      <c r="I2845" s="96">
        <f>IFERROR(G2845*VLOOKUP($E2845,BD!$L$2:$Q$66,5,0),0)</f>
        <v>257.04000000000002</v>
      </c>
      <c r="J2845" s="5">
        <f t="shared" si="191"/>
        <v>2021</v>
      </c>
    </row>
    <row r="2846" spans="1:10" s="9" customFormat="1" hidden="1" x14ac:dyDescent="0.25">
      <c r="A2846" s="491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7">
        <v>251406</v>
      </c>
      <c r="F2846" s="3" t="str">
        <f>IFERROR(VLOOKUP(E2846,BD!$L$2:$Q$66,2,0),0)</f>
        <v>COCA-COLA SIN AZUCAR PET 1.5LX2</v>
      </c>
      <c r="G2846" s="424">
        <v>2160</v>
      </c>
      <c r="H2846" s="3">
        <f>+IFERROR(VLOOKUP(E2846,BD!$L$2:$Q$66,6,0),0)</f>
        <v>198</v>
      </c>
      <c r="I2846" s="96">
        <f>IFERROR(G2846*VLOOKUP($E2846,BD!$L$2:$Q$66,5,0),0)</f>
        <v>367.20000000000005</v>
      </c>
      <c r="J2846" s="5">
        <f t="shared" si="191"/>
        <v>2021</v>
      </c>
    </row>
    <row r="2847" spans="1:10" s="9" customFormat="1" hidden="1" x14ac:dyDescent="0.25">
      <c r="A2847" s="491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7">
        <v>256685</v>
      </c>
      <c r="F2847" s="3" t="str">
        <f>IFERROR(VLOOKUP(E2847,BD!$L$2:$Q$66,2,0),0)</f>
        <v>SL S/G TAPA PLANA 1LT</v>
      </c>
      <c r="G2847" s="424">
        <v>896</v>
      </c>
      <c r="H2847" s="3">
        <f>+IFERROR(VLOOKUP(E2847,BD!$L$2:$Q$66,6,0),0)</f>
        <v>112</v>
      </c>
      <c r="I2847" s="96">
        <f>IFERROR(G2847*VLOOKUP($E2847,BD!$L$2:$Q$66,5,0),0)</f>
        <v>358.40000000000003</v>
      </c>
      <c r="J2847" s="5">
        <f t="shared" si="191"/>
        <v>2021</v>
      </c>
    </row>
    <row r="2848" spans="1:10" s="9" customFormat="1" hidden="1" x14ac:dyDescent="0.25">
      <c r="A2848" s="491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7">
        <v>256721</v>
      </c>
      <c r="F2848" s="3" t="str">
        <f>IFERROR(VLOOKUP(E2848,BD!$L$2:$Q$66,2,0),0)</f>
        <v>SPRITE PET 500MLX6 BRANDEADO MOD</v>
      </c>
      <c r="G2848" s="424">
        <v>1000</v>
      </c>
      <c r="H2848" s="3">
        <f>+IFERROR(VLOOKUP(E2848,BD!$L$2:$Q$66,6,0),0)</f>
        <v>420</v>
      </c>
      <c r="I2848" s="96">
        <f>IFERROR(G2848*VLOOKUP($E2848,BD!$L$2:$Q$66,5,0),0)</f>
        <v>420</v>
      </c>
      <c r="J2848" s="5">
        <f t="shared" si="191"/>
        <v>2021</v>
      </c>
    </row>
    <row r="2849" spans="1:10" s="9" customFormat="1" hidden="1" x14ac:dyDescent="0.25">
      <c r="A2849" s="491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7">
        <v>251429</v>
      </c>
      <c r="F2849" s="3" t="str">
        <f>IFERROR(VLOOKUP(E2849,BD!$L$2:$Q$66,2,0),0)</f>
        <v>SAN LUIS SIN GAS PET2500X6 STICKER</v>
      </c>
      <c r="G2849" s="424">
        <v>2400</v>
      </c>
      <c r="H2849" s="3">
        <f>+IFERROR(VLOOKUP(E2849,BD!$L$2:$Q$66,6,0),0)</f>
        <v>48</v>
      </c>
      <c r="I2849" s="96">
        <f>IFERROR(G2849*VLOOKUP($E2849,BD!$L$2:$Q$66,5,0),0)</f>
        <v>960</v>
      </c>
      <c r="J2849" s="5">
        <f t="shared" si="191"/>
        <v>2021</v>
      </c>
    </row>
    <row r="2850" spans="1:10" s="9" customFormat="1" hidden="1" x14ac:dyDescent="0.25">
      <c r="A2850" s="491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7">
        <v>256678</v>
      </c>
      <c r="F2850" s="3" t="str">
        <f>IFERROR(VLOOKUP(E2850,BD!$L$2:$Q$66,2,0),0)</f>
        <v>TRIPACK (CC+IK)PFM+FT PET 3LX3 - RFNN</v>
      </c>
      <c r="G2850" s="424">
        <v>2880</v>
      </c>
      <c r="H2850" s="3">
        <f>+IFERROR(VLOOKUP(E2850,BD!$L$2:$Q$66,6,0),0)</f>
        <v>90</v>
      </c>
      <c r="I2850" s="96">
        <f>IFERROR(G2850*VLOOKUP($E2850,BD!$L$2:$Q$66,5,0),0)</f>
        <v>489.6</v>
      </c>
      <c r="J2850" s="5">
        <f t="shared" si="191"/>
        <v>2021</v>
      </c>
    </row>
    <row r="2851" spans="1:10" s="9" customFormat="1" hidden="1" x14ac:dyDescent="0.25">
      <c r="A2851" s="491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7">
        <v>256652</v>
      </c>
      <c r="F2851" s="3" t="str">
        <f>IFERROR(VLOOKUP(E2851,BD!$L$2:$Q$66,2,0),0)</f>
        <v>TRIPACK FT NAR+FT KI+SP PET 3L</v>
      </c>
      <c r="G2851" s="424">
        <v>1710</v>
      </c>
      <c r="H2851" s="3">
        <f>+IFERROR(VLOOKUP(E2851,BD!$L$2:$Q$66,6,0),0)</f>
        <v>90</v>
      </c>
      <c r="I2851" s="96">
        <f>IFERROR(G2851*VLOOKUP($E2851,BD!$L$2:$Q$66,5,0),0)</f>
        <v>290.70000000000005</v>
      </c>
      <c r="J2851" s="5">
        <f t="shared" si="191"/>
        <v>2021</v>
      </c>
    </row>
    <row r="2852" spans="1:10" s="9" customFormat="1" hidden="1" x14ac:dyDescent="0.25">
      <c r="A2852" s="491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7">
        <v>251632</v>
      </c>
      <c r="F2852" s="3" t="str">
        <f>IFERROR(VLOOKUP(E2852,BD!$L$2:$Q$66,2,0),0)</f>
        <v>SAN LUIS SIN GAS PET 625MLX06 MOD</v>
      </c>
      <c r="G2852" s="424">
        <v>900</v>
      </c>
      <c r="H2852" s="3">
        <f>+IFERROR(VLOOKUP(E2852,BD!$L$2:$Q$66,6,0),0)</f>
        <v>180</v>
      </c>
      <c r="I2852" s="96">
        <f>IFERROR(G2852*VLOOKUP($E2852,BD!$L$2:$Q$66,5,0),0)</f>
        <v>378</v>
      </c>
      <c r="J2852" s="5">
        <f t="shared" si="191"/>
        <v>2021</v>
      </c>
    </row>
    <row r="2853" spans="1:10" s="9" customFormat="1" hidden="1" x14ac:dyDescent="0.25">
      <c r="A2853" s="491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7">
        <v>256383</v>
      </c>
      <c r="F2853" s="3" t="str">
        <f>IFERROR(VLOOKUP(E2853,BD!$L$2:$Q$66,2,0),0)</f>
        <v>COCA COLA VR 1.5LX8 - STICKER</v>
      </c>
      <c r="G2853" s="424">
        <v>150</v>
      </c>
      <c r="H2853" s="3">
        <f>+IFERROR(VLOOKUP(E2853,BD!$L$2:$Q$66,6,0),0)</f>
        <v>30</v>
      </c>
      <c r="I2853" s="96">
        <f>IFERROR(G2853*VLOOKUP($E2853,BD!$L$2:$Q$66,5,0),0)</f>
        <v>34.5</v>
      </c>
      <c r="J2853" s="5">
        <f t="shared" si="191"/>
        <v>2021</v>
      </c>
    </row>
    <row r="2854" spans="1:10" s="9" customFormat="1" hidden="1" x14ac:dyDescent="0.25">
      <c r="A2854" s="491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7">
        <v>256381</v>
      </c>
      <c r="F2854" s="3" t="str">
        <f>IFERROR(VLOOKUP(E2854,BD!$L$2:$Q$66,2,0),0)</f>
        <v>INCA KOLA VR 1.5LX8 - STICKER</v>
      </c>
      <c r="G2854" s="424">
        <v>90</v>
      </c>
      <c r="H2854" s="3">
        <f>+IFERROR(VLOOKUP(E2854,BD!$L$2:$Q$66,6,0),0)</f>
        <v>30</v>
      </c>
      <c r="I2854" s="96">
        <f>IFERROR(G2854*VLOOKUP($E2854,BD!$L$2:$Q$66,5,0),0)</f>
        <v>36</v>
      </c>
      <c r="J2854" s="5">
        <f t="shared" si="191"/>
        <v>2021</v>
      </c>
    </row>
    <row r="2855" spans="1:10" s="9" customFormat="1" hidden="1" x14ac:dyDescent="0.25">
      <c r="A2855" s="491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7">
        <v>256616</v>
      </c>
      <c r="F2855" s="3" t="str">
        <f>IFERROR(VLOOKUP(E2855,BD!$L$2:$Q$66,2,0),0)</f>
        <v>TWO PACK SCHWEPPES CITRUS PET 1.5LX2</v>
      </c>
      <c r="G2855" s="424">
        <v>792</v>
      </c>
      <c r="H2855" s="3">
        <f>+IFERROR(VLOOKUP(E2855,BD!$L$2:$Q$66,6,0),0)</f>
        <v>198</v>
      </c>
      <c r="I2855" s="96">
        <f>IFERROR(G2855*VLOOKUP($E2855,BD!$L$2:$Q$66,5,0),0)</f>
        <v>134.64000000000001</v>
      </c>
      <c r="J2855" s="5">
        <f t="shared" si="191"/>
        <v>2021</v>
      </c>
    </row>
    <row r="2856" spans="1:10" s="9" customFormat="1" hidden="1" x14ac:dyDescent="0.25">
      <c r="A2856" s="491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7">
        <v>256676</v>
      </c>
      <c r="F2856" s="3" t="str">
        <f>IFERROR(VLOOKUP(E2856,BD!$L$2:$Q$66,2,0),0)</f>
        <v>TWO PACK CC PFM 3LX2 - RFCC</v>
      </c>
      <c r="G2856" s="424">
        <v>1920</v>
      </c>
      <c r="H2856" s="3">
        <f>+IFERROR(VLOOKUP(E2856,BD!$L$2:$Q$66,6,0),0)</f>
        <v>120</v>
      </c>
      <c r="I2856" s="96">
        <f>IFERROR(G2856*VLOOKUP($E2856,BD!$L$2:$Q$66,5,0),0)</f>
        <v>326.40000000000003</v>
      </c>
      <c r="J2856" s="5">
        <f t="shared" si="191"/>
        <v>2021</v>
      </c>
    </row>
    <row r="2857" spans="1:10" s="9" customFormat="1" hidden="1" x14ac:dyDescent="0.25">
      <c r="A2857" s="491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7">
        <v>256674</v>
      </c>
      <c r="F2857" s="3" t="str">
        <f>IFERROR(VLOOKUP(E2857,BD!$L$2:$Q$66,2,0),0)</f>
        <v>COCA-COLA PET 1.5LX2 RF</v>
      </c>
      <c r="G2857" s="424">
        <v>648</v>
      </c>
      <c r="H2857" s="3">
        <f>+IFERROR(VLOOKUP(E2857,BD!$L$2:$Q$66,6,0),0)</f>
        <v>198</v>
      </c>
      <c r="I2857" s="96">
        <f>IFERROR(G2857*VLOOKUP($E2857,BD!$L$2:$Q$66,5,0),0)</f>
        <v>110.16000000000001</v>
      </c>
      <c r="J2857" s="5">
        <f t="shared" si="191"/>
        <v>2021</v>
      </c>
    </row>
    <row r="2858" spans="1:10" s="9" customFormat="1" hidden="1" x14ac:dyDescent="0.25">
      <c r="A2858" s="491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7">
        <v>256677</v>
      </c>
      <c r="F2858" s="3" t="str">
        <f>IFERROR(VLOOKUP(E2858,BD!$L$2:$Q$66,2,0),0)</f>
        <v>TWO PACK CC + IK PFM 3LX2 - RFNN</v>
      </c>
      <c r="G2858" s="424">
        <v>1920</v>
      </c>
      <c r="H2858" s="3">
        <f>+IFERROR(VLOOKUP(E2858,BD!$L$2:$Q$66,6,0),0)</f>
        <v>120</v>
      </c>
      <c r="I2858" s="96">
        <f>IFERROR(G2858*VLOOKUP($E2858,BD!$L$2:$Q$66,5,0),0)</f>
        <v>326.40000000000003</v>
      </c>
      <c r="J2858" s="5">
        <f t="shared" si="191"/>
        <v>2021</v>
      </c>
    </row>
    <row r="2859" spans="1:10" s="9" customFormat="1" hidden="1" x14ac:dyDescent="0.25">
      <c r="A2859" s="491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7">
        <v>256695</v>
      </c>
      <c r="F2859" s="3" t="str">
        <f>IFERROR(VLOOKUP(E2859,BD!$L$2:$Q$66,2,0),0)</f>
        <v>POWERADE 3MORA+3FRUT PET 473MLX6</v>
      </c>
      <c r="G2859" s="424">
        <v>1800</v>
      </c>
      <c r="H2859" s="3">
        <f>+IFERROR(VLOOKUP(E2859,BD!$L$2:$Q$66,6,0),0)</f>
        <v>225</v>
      </c>
      <c r="I2859" s="96">
        <f>IFERROR(G2859*VLOOKUP($E2859,BD!$L$2:$Q$66,5,0),0)</f>
        <v>756</v>
      </c>
      <c r="J2859" s="5">
        <f t="shared" si="191"/>
        <v>2021</v>
      </c>
    </row>
    <row r="2860" spans="1:10" s="9" customFormat="1" ht="15.75" hidden="1" thickBot="1" x14ac:dyDescent="0.3">
      <c r="A2860" s="492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9">
        <v>256708</v>
      </c>
      <c r="F2860" s="8" t="str">
        <f>IFERROR(VLOOKUP(E2860,BD!$L$2:$Q$66,2,0),0)</f>
        <v>POWERADE ION4 FRUTA PET473X6 MOD (STICK)</v>
      </c>
      <c r="G2860" s="501">
        <v>450</v>
      </c>
      <c r="H2860" s="8">
        <f>+IFERROR(VLOOKUP(E2860,BD!$L$2:$Q$66,6,0),0)</f>
        <v>225</v>
      </c>
      <c r="I2860" s="98">
        <f>IFERROR(G2860*VLOOKUP($E2860,BD!$L$2:$Q$66,5,0),0)</f>
        <v>180</v>
      </c>
      <c r="J2860" s="110">
        <f t="shared" si="191"/>
        <v>2021</v>
      </c>
    </row>
    <row r="2861" spans="1:10" s="9" customFormat="1" hidden="1" x14ac:dyDescent="0.25">
      <c r="A2861" s="493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63">
        <v>251406</v>
      </c>
      <c r="F2861" s="6" t="str">
        <f>IFERROR(VLOOKUP(E2861,BD!$L$2:$Q$66,2,0),0)</f>
        <v>COCA-COLA SIN AZUCAR PET 1.5LX2</v>
      </c>
      <c r="G2861" s="513">
        <v>2160</v>
      </c>
      <c r="H2861" s="6">
        <f>+IFERROR(VLOOKUP(E2861,BD!$L$2:$Q$66,6,0),0)</f>
        <v>198</v>
      </c>
      <c r="I2861" s="97">
        <f>IFERROR(G2861*VLOOKUP($E2861,BD!$L$2:$Q$66,5,0),0)</f>
        <v>367.20000000000005</v>
      </c>
      <c r="J2861" s="109">
        <f t="shared" si="191"/>
        <v>2021</v>
      </c>
    </row>
    <row r="2862" spans="1:10" s="9" customFormat="1" hidden="1" x14ac:dyDescent="0.25">
      <c r="A2862" s="491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7">
        <v>254853</v>
      </c>
      <c r="F2862" s="3" t="str">
        <f>IFERROR(VLOOKUP(E2862,BD!$L$2:$Q$66,2,0),0)</f>
        <v>INCA KOLA SIN AZUCAR PET 1.5LX2</v>
      </c>
      <c r="G2862" s="424">
        <v>2592</v>
      </c>
      <c r="H2862" s="3">
        <f>+IFERROR(VLOOKUP(E2862,BD!$L$2:$Q$66,6,0),0)</f>
        <v>198</v>
      </c>
      <c r="I2862" s="96">
        <f>IFERROR(G2862*VLOOKUP($E2862,BD!$L$2:$Q$66,5,0),0)</f>
        <v>440.64000000000004</v>
      </c>
      <c r="J2862" s="5">
        <f t="shared" si="191"/>
        <v>2021</v>
      </c>
    </row>
    <row r="2863" spans="1:10" s="9" customFormat="1" hidden="1" x14ac:dyDescent="0.25">
      <c r="A2863" s="491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7">
        <v>256674</v>
      </c>
      <c r="F2863" s="3" t="str">
        <f>IFERROR(VLOOKUP(E2863,BD!$L$2:$Q$66,2,0),0)</f>
        <v>COCA-COLA PET 1.5LX2 RF</v>
      </c>
      <c r="G2863" s="424">
        <v>2160</v>
      </c>
      <c r="H2863" s="3">
        <f>+IFERROR(VLOOKUP(E2863,BD!$L$2:$Q$66,6,0),0)</f>
        <v>198</v>
      </c>
      <c r="I2863" s="96">
        <f>IFERROR(G2863*VLOOKUP($E2863,BD!$L$2:$Q$66,5,0),0)</f>
        <v>367.20000000000005</v>
      </c>
      <c r="J2863" s="5">
        <f t="shared" si="191"/>
        <v>2021</v>
      </c>
    </row>
    <row r="2864" spans="1:10" s="9" customFormat="1" hidden="1" x14ac:dyDescent="0.25">
      <c r="A2864" s="491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7">
        <v>256678</v>
      </c>
      <c r="F2864" s="3" t="str">
        <f>IFERROR(VLOOKUP(E2864,BD!$L$2:$Q$66,2,0),0)</f>
        <v>TRIPACK (CC+IK)PFM+FT PET 3LX3 - RFNN</v>
      </c>
      <c r="G2864" s="424">
        <v>4410</v>
      </c>
      <c r="H2864" s="3">
        <f>+IFERROR(VLOOKUP(E2864,BD!$L$2:$Q$66,6,0),0)</f>
        <v>90</v>
      </c>
      <c r="I2864" s="96">
        <f>IFERROR(G2864*VLOOKUP($E2864,BD!$L$2:$Q$66,5,0),0)</f>
        <v>749.7</v>
      </c>
      <c r="J2864" s="5">
        <f t="shared" si="191"/>
        <v>2021</v>
      </c>
    </row>
    <row r="2865" spans="1:10" s="9" customFormat="1" hidden="1" x14ac:dyDescent="0.25">
      <c r="A2865" s="491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7">
        <v>256685</v>
      </c>
      <c r="F2865" s="3" t="str">
        <f>IFERROR(VLOOKUP(E2865,BD!$L$2:$Q$66,2,0),0)</f>
        <v>SL S/G TAPA PLANA 1LT</v>
      </c>
      <c r="G2865" s="424">
        <v>336</v>
      </c>
      <c r="H2865" s="3">
        <f>+IFERROR(VLOOKUP(E2865,BD!$L$2:$Q$66,6,0),0)</f>
        <v>112</v>
      </c>
      <c r="I2865" s="96">
        <f>IFERROR(G2865*VLOOKUP($E2865,BD!$L$2:$Q$66,5,0),0)</f>
        <v>134.4</v>
      </c>
      <c r="J2865" s="5">
        <f t="shared" si="191"/>
        <v>2021</v>
      </c>
    </row>
    <row r="2866" spans="1:10" s="9" customFormat="1" hidden="1" x14ac:dyDescent="0.25">
      <c r="A2866" s="491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7">
        <v>251429</v>
      </c>
      <c r="F2866" s="3" t="str">
        <f>IFERROR(VLOOKUP(E2866,BD!$L$2:$Q$66,2,0),0)</f>
        <v>SAN LUIS SIN GAS PET2500X6 STICKER</v>
      </c>
      <c r="G2866" s="424">
        <v>768</v>
      </c>
      <c r="H2866" s="3">
        <f>+IFERROR(VLOOKUP(E2866,BD!$L$2:$Q$66,6,0),0)</f>
        <v>48</v>
      </c>
      <c r="I2866" s="96">
        <f>IFERROR(G2866*VLOOKUP($E2866,BD!$L$2:$Q$66,5,0),0)</f>
        <v>307.20000000000005</v>
      </c>
      <c r="J2866" s="5">
        <f t="shared" si="191"/>
        <v>2021</v>
      </c>
    </row>
    <row r="2867" spans="1:10" s="9" customFormat="1" hidden="1" x14ac:dyDescent="0.25">
      <c r="A2867" s="491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7">
        <v>256708</v>
      </c>
      <c r="F2867" s="3" t="str">
        <f>IFERROR(VLOOKUP(E2867,BD!$L$2:$Q$66,2,0),0)</f>
        <v>POWERADE ION4 FRUTA PET473X6 MOD (STICK)</v>
      </c>
      <c r="G2867" s="424">
        <v>900</v>
      </c>
      <c r="H2867" s="3">
        <f>+IFERROR(VLOOKUP(E2867,BD!$L$2:$Q$66,6,0),0)</f>
        <v>225</v>
      </c>
      <c r="I2867" s="96">
        <f>IFERROR(G2867*VLOOKUP($E2867,BD!$L$2:$Q$66,5,0),0)</f>
        <v>360</v>
      </c>
      <c r="J2867" s="5">
        <f t="shared" si="191"/>
        <v>2021</v>
      </c>
    </row>
    <row r="2868" spans="1:10" s="9" customFormat="1" hidden="1" x14ac:dyDescent="0.25">
      <c r="A2868" s="491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7">
        <v>256381</v>
      </c>
      <c r="F2868" s="3" t="str">
        <f>IFERROR(VLOOKUP(E2868,BD!$L$2:$Q$66,2,0),0)</f>
        <v>INCA KOLA VR 1.5LX8 - STICKER</v>
      </c>
      <c r="G2868" s="424">
        <v>210</v>
      </c>
      <c r="H2868" s="3">
        <f>+IFERROR(VLOOKUP(E2868,BD!$L$2:$Q$66,6,0),0)</f>
        <v>30</v>
      </c>
      <c r="I2868" s="96">
        <f>IFERROR(G2868*VLOOKUP($E2868,BD!$L$2:$Q$66,5,0),0)</f>
        <v>84</v>
      </c>
      <c r="J2868" s="5">
        <f t="shared" si="191"/>
        <v>2021</v>
      </c>
    </row>
    <row r="2869" spans="1:10" s="9" customFormat="1" hidden="1" x14ac:dyDescent="0.25">
      <c r="A2869" s="491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7">
        <v>256383</v>
      </c>
      <c r="F2869" s="3" t="str">
        <f>IFERROR(VLOOKUP(E2869,BD!$L$2:$Q$66,2,0),0)</f>
        <v>COCA COLA VR 1.5LX8 - STICKER</v>
      </c>
      <c r="G2869" s="424">
        <v>300</v>
      </c>
      <c r="H2869" s="3">
        <f>+IFERROR(VLOOKUP(E2869,BD!$L$2:$Q$66,6,0),0)</f>
        <v>30</v>
      </c>
      <c r="I2869" s="96">
        <f>IFERROR(G2869*VLOOKUP($E2869,BD!$L$2:$Q$66,5,0),0)</f>
        <v>69</v>
      </c>
      <c r="J2869" s="5">
        <f t="shared" si="191"/>
        <v>2021</v>
      </c>
    </row>
    <row r="2870" spans="1:10" s="9" customFormat="1" hidden="1" x14ac:dyDescent="0.25">
      <c r="A2870" s="491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7">
        <v>251633</v>
      </c>
      <c r="F2870" s="3" t="str">
        <f>IFERROR(VLOOKUP(E2870,BD!$L$2:$Q$66,2,0),0)</f>
        <v>SAN LUIS CON GAS PET 625MLX6</v>
      </c>
      <c r="G2870" s="424">
        <v>1080</v>
      </c>
      <c r="H2870" s="3">
        <f>+IFERROR(VLOOKUP(E2870,BD!$L$2:$Q$66,6,0),0)</f>
        <v>180</v>
      </c>
      <c r="I2870" s="96">
        <f>IFERROR(G2870*VLOOKUP($E2870,BD!$L$2:$Q$66,5,0),0)</f>
        <v>453.59999999999997</v>
      </c>
      <c r="J2870" s="5">
        <f t="shared" si="191"/>
        <v>2021</v>
      </c>
    </row>
    <row r="2871" spans="1:10" s="9" customFormat="1" hidden="1" x14ac:dyDescent="0.25">
      <c r="A2871" s="491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7">
        <v>256666</v>
      </c>
      <c r="F2871" s="3" t="str">
        <f>IFERROR(VLOOKUP(E2871,BD!$L$2:$Q$66,2,0),0)</f>
        <v>COCA-COLA PET 2.25LX2 RF</v>
      </c>
      <c r="G2871" s="424">
        <v>324</v>
      </c>
      <c r="H2871" s="3">
        <f>+IFERROR(VLOOKUP(E2871,BD!$L$2:$Q$66,6,0),0)</f>
        <v>162</v>
      </c>
      <c r="I2871" s="96">
        <f>IFERROR(G2871*VLOOKUP($E2871,BD!$L$2:$Q$66,5,0),0)</f>
        <v>55.080000000000005</v>
      </c>
      <c r="J2871" s="5">
        <f t="shared" si="191"/>
        <v>2021</v>
      </c>
    </row>
    <row r="2872" spans="1:10" s="9" customFormat="1" hidden="1" x14ac:dyDescent="0.25">
      <c r="A2872" s="491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7">
        <v>256617</v>
      </c>
      <c r="F2872" s="3" t="str">
        <f>IFERROR(VLOOKUP(E2872,BD!$L$2:$Q$66,2,0),0)</f>
        <v>TWO PACK SCHWEPPES GINGER ALE PET 1.5LX2</v>
      </c>
      <c r="G2872" s="424">
        <v>792</v>
      </c>
      <c r="H2872" s="3">
        <f>+IFERROR(VLOOKUP(E2872,BD!$L$2:$Q$66,6,0),0)</f>
        <v>198</v>
      </c>
      <c r="I2872" s="96">
        <f>IFERROR(G2872*VLOOKUP($E2872,BD!$L$2:$Q$66,5,0),0)</f>
        <v>134.64000000000001</v>
      </c>
      <c r="J2872" s="5">
        <f t="shared" si="191"/>
        <v>2021</v>
      </c>
    </row>
    <row r="2873" spans="1:10" s="9" customFormat="1" hidden="1" x14ac:dyDescent="0.25">
      <c r="A2873" s="491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7">
        <v>256616</v>
      </c>
      <c r="F2873" s="3" t="str">
        <f>IFERROR(VLOOKUP(E2873,BD!$L$2:$Q$66,2,0),0)</f>
        <v>TWO PACK SCHWEPPES CITRUS PET 1.5LX2</v>
      </c>
      <c r="G2873" s="424">
        <v>594</v>
      </c>
      <c r="H2873" s="3">
        <f>+IFERROR(VLOOKUP(E2873,BD!$L$2:$Q$66,6,0),0)</f>
        <v>198</v>
      </c>
      <c r="I2873" s="96">
        <f>IFERROR(G2873*VLOOKUP($E2873,BD!$L$2:$Q$66,5,0),0)</f>
        <v>100.98</v>
      </c>
      <c r="J2873" s="5">
        <f t="shared" si="191"/>
        <v>2021</v>
      </c>
    </row>
    <row r="2874" spans="1:10" s="9" customFormat="1" hidden="1" x14ac:dyDescent="0.25">
      <c r="A2874" s="491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7">
        <v>256675</v>
      </c>
      <c r="F2874" s="3" t="str">
        <f>IFERROR(VLOOKUP(E2874,BD!$L$2:$Q$66,2,0),0)</f>
        <v>INCA KOLA PET 1.5LX2 RF</v>
      </c>
      <c r="G2874" s="424">
        <v>1512</v>
      </c>
      <c r="H2874" s="3">
        <f>+IFERROR(VLOOKUP(E2874,BD!$L$2:$Q$66,6,0),0)</f>
        <v>198</v>
      </c>
      <c r="I2874" s="96">
        <f>IFERROR(G2874*VLOOKUP($E2874,BD!$L$2:$Q$66,5,0),0)</f>
        <v>257.04000000000002</v>
      </c>
      <c r="J2874" s="5">
        <f t="shared" si="191"/>
        <v>2021</v>
      </c>
    </row>
    <row r="2875" spans="1:10" s="9" customFormat="1" hidden="1" x14ac:dyDescent="0.25">
      <c r="A2875" s="491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7">
        <v>256379</v>
      </c>
      <c r="F2875" s="3" t="str">
        <f>IFERROR(VLOOKUP(E2875,BD!$L$2:$Q$66,2,0),0)</f>
        <v>INCA KOLA VR 625MLX12 - STICKER</v>
      </c>
      <c r="G2875" s="424">
        <v>400</v>
      </c>
      <c r="H2875" s="3">
        <f>+IFERROR(VLOOKUP(E2875,BD!$L$2:$Q$66,6,0),0)</f>
        <v>50</v>
      </c>
      <c r="I2875" s="96">
        <f>IFERROR(G2875*VLOOKUP($E2875,BD!$L$2:$Q$66,5,0),0)</f>
        <v>160</v>
      </c>
      <c r="J2875" s="5">
        <f t="shared" si="191"/>
        <v>2021</v>
      </c>
    </row>
    <row r="2876" spans="1:10" s="9" customFormat="1" hidden="1" x14ac:dyDescent="0.25">
      <c r="A2876" s="491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7">
        <v>256488</v>
      </c>
      <c r="F2876" s="3" t="str">
        <f>IFERROR(VLOOKUP(E2876,BD!$L$2:$Q$66,2,0),0)</f>
        <v>INCA KOLA PET 3LX2 - RF</v>
      </c>
      <c r="G2876" s="424">
        <v>840</v>
      </c>
      <c r="H2876" s="3">
        <f>+IFERROR(VLOOKUP(E2876,BD!$L$2:$Q$66,6,0),0)</f>
        <v>120</v>
      </c>
      <c r="I2876" s="96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hidden="1" x14ac:dyDescent="0.25">
      <c r="A2877" s="491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7">
        <v>256676</v>
      </c>
      <c r="F2877" s="3" t="str">
        <f>IFERROR(VLOOKUP(E2877,BD!$L$2:$Q$66,2,0),0)</f>
        <v>TWO PACK CC PFM 3LX2 - RFCC</v>
      </c>
      <c r="G2877" s="424">
        <v>120</v>
      </c>
      <c r="H2877" s="3">
        <f>+IFERROR(VLOOKUP(E2877,BD!$L$2:$Q$66,6,0),0)</f>
        <v>120</v>
      </c>
      <c r="I2877" s="96">
        <f>IFERROR(G2877*VLOOKUP($E2877,BD!$L$2:$Q$66,5,0),0)</f>
        <v>20.400000000000002</v>
      </c>
      <c r="J2877" s="5">
        <f t="shared" si="195"/>
        <v>2021</v>
      </c>
    </row>
    <row r="2878" spans="1:10" s="9" customFormat="1" hidden="1" x14ac:dyDescent="0.25">
      <c r="A2878" s="491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7">
        <v>256677</v>
      </c>
      <c r="F2878" s="3" t="str">
        <f>IFERROR(VLOOKUP(E2878,BD!$L$2:$Q$66,2,0),0)</f>
        <v>TWO PACK CC + IK PFM 3LX2 - RFNN</v>
      </c>
      <c r="G2878" s="424">
        <v>1920</v>
      </c>
      <c r="H2878" s="3">
        <f>+IFERROR(VLOOKUP(E2878,BD!$L$2:$Q$66,6,0),0)</f>
        <v>120</v>
      </c>
      <c r="I2878" s="96">
        <f>IFERROR(G2878*VLOOKUP($E2878,BD!$L$2:$Q$66,5,0),0)</f>
        <v>326.40000000000003</v>
      </c>
      <c r="J2878" s="5">
        <f t="shared" si="195"/>
        <v>2021</v>
      </c>
    </row>
    <row r="2879" spans="1:10" s="9" customFormat="1" hidden="1" x14ac:dyDescent="0.25">
      <c r="A2879" s="52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70">
        <v>256695</v>
      </c>
      <c r="F2879" s="33" t="str">
        <f>IFERROR(VLOOKUP(E2879,BD!$L$2:$Q$66,2,0),0)</f>
        <v>POWERADE 3MORA+3FRUT PET 473MLX6</v>
      </c>
      <c r="G2879" s="512">
        <v>2250</v>
      </c>
      <c r="H2879" s="33">
        <f>+IFERROR(VLOOKUP(E2879,BD!$L$2:$Q$66,6,0),0)</f>
        <v>225</v>
      </c>
      <c r="I2879" s="499">
        <f>IFERROR(G2879*VLOOKUP($E2879,BD!$L$2:$Q$66,5,0),0)</f>
        <v>945</v>
      </c>
      <c r="J2879" s="386">
        <f t="shared" si="195"/>
        <v>2021</v>
      </c>
    </row>
    <row r="2880" spans="1:10" s="528" customFormat="1" hidden="1" x14ac:dyDescent="0.25">
      <c r="A2880" s="447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7">
        <v>251632</v>
      </c>
      <c r="F2880" s="3" t="str">
        <f>IFERROR(VLOOKUP(E2880,BD!$L$2:$Q$66,2,0),0)</f>
        <v>SAN LUIS SIN GAS PET 625MLX06 MOD</v>
      </c>
      <c r="G2880" s="424">
        <v>900</v>
      </c>
      <c r="H2880" s="3">
        <f>+IFERROR(VLOOKUP(E2880,BD!$L$2:$Q$66,6,0),0)</f>
        <v>180</v>
      </c>
      <c r="I2880" s="96">
        <f>IFERROR(G2880*VLOOKUP($E2880,BD!$L$2:$Q$66,5,0),0)</f>
        <v>378</v>
      </c>
      <c r="J2880" s="5">
        <f t="shared" si="195"/>
        <v>2021</v>
      </c>
    </row>
    <row r="2881" spans="1:10" s="9" customFormat="1" ht="15.75" hidden="1" thickBot="1" x14ac:dyDescent="0.3">
      <c r="A2881" s="527">
        <v>44510</v>
      </c>
      <c r="B2881" s="522" t="str">
        <f t="shared" si="192"/>
        <v>NOVIEMBRE</v>
      </c>
      <c r="C2881" s="522">
        <f t="shared" si="193"/>
        <v>46</v>
      </c>
      <c r="D2881" s="218" t="str">
        <f t="shared" si="194"/>
        <v>MIÉRCOLES</v>
      </c>
      <c r="E2881" s="523">
        <v>256695</v>
      </c>
      <c r="F2881" s="218" t="str">
        <f>IFERROR(VLOOKUP(E2881,BD!$L$2:$Q$66,2,0),0)</f>
        <v>POWERADE 3MORA+3FRUT PET 473MLX6</v>
      </c>
      <c r="G2881" s="524">
        <v>225</v>
      </c>
      <c r="H2881" s="218">
        <f>+IFERROR(VLOOKUP(E2881,BD!$L$2:$Q$66,6,0),0)</f>
        <v>225</v>
      </c>
      <c r="I2881" s="525">
        <f>IFERROR(G2881*VLOOKUP($E2881,BD!$L$2:$Q$66,5,0),0)</f>
        <v>94.5</v>
      </c>
      <c r="J2881" s="526">
        <f t="shared" si="195"/>
        <v>2021</v>
      </c>
    </row>
    <row r="2882" spans="1:10" s="9" customFormat="1" hidden="1" x14ac:dyDescent="0.25">
      <c r="A2882" s="493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63">
        <v>256381</v>
      </c>
      <c r="F2882" s="6" t="str">
        <f>IFERROR(VLOOKUP(E2882,BD!$L$2:$Q$66,2,0),0)</f>
        <v>INCA KOLA VR 1.5LX8 - STICKER</v>
      </c>
      <c r="G2882" s="513">
        <v>90</v>
      </c>
      <c r="H2882" s="6">
        <f>+IFERROR(VLOOKUP(E2882,BD!$L$2:$Q$66,6,0),0)</f>
        <v>30</v>
      </c>
      <c r="I2882" s="97">
        <f>IFERROR(G2882*VLOOKUP($E2882,BD!$L$2:$Q$66,5,0),0)</f>
        <v>36</v>
      </c>
      <c r="J2882" s="109">
        <f t="shared" si="195"/>
        <v>2021</v>
      </c>
    </row>
    <row r="2883" spans="1:10" s="9" customFormat="1" hidden="1" x14ac:dyDescent="0.25">
      <c r="A2883" s="491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7">
        <v>256379</v>
      </c>
      <c r="F2883" s="3" t="str">
        <f>IFERROR(VLOOKUP(E2883,BD!$L$2:$Q$66,2,0),0)</f>
        <v>INCA KOLA VR 625MLX12 - STICKER</v>
      </c>
      <c r="G2883" s="424">
        <v>50</v>
      </c>
      <c r="H2883" s="3">
        <f>+IFERROR(VLOOKUP(E2883,BD!$L$2:$Q$66,6,0),0)</f>
        <v>50</v>
      </c>
      <c r="I2883" s="96">
        <f>IFERROR(G2883*VLOOKUP($E2883,BD!$L$2:$Q$66,5,0),0)</f>
        <v>20</v>
      </c>
      <c r="J2883" s="5">
        <f t="shared" si="195"/>
        <v>2021</v>
      </c>
    </row>
    <row r="2884" spans="1:10" s="9" customFormat="1" hidden="1" x14ac:dyDescent="0.25">
      <c r="A2884" s="491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7">
        <v>251429</v>
      </c>
      <c r="F2884" s="3" t="str">
        <f>IFERROR(VLOOKUP(E2884,BD!$L$2:$Q$66,2,0),0)</f>
        <v>SAN LUIS SIN GAS PET2500X6 STICKER</v>
      </c>
      <c r="G2884" s="424">
        <v>576</v>
      </c>
      <c r="H2884" s="3">
        <f>+IFERROR(VLOOKUP(E2884,BD!$L$2:$Q$66,6,0),0)</f>
        <v>48</v>
      </c>
      <c r="I2884" s="96">
        <f>IFERROR(G2884*VLOOKUP($E2884,BD!$L$2:$Q$66,5,0),0)</f>
        <v>230.4</v>
      </c>
      <c r="J2884" s="5">
        <f t="shared" si="195"/>
        <v>2021</v>
      </c>
    </row>
    <row r="2885" spans="1:10" s="9" customFormat="1" hidden="1" x14ac:dyDescent="0.25">
      <c r="A2885" s="491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7">
        <v>251406</v>
      </c>
      <c r="F2885" s="3" t="str">
        <f>IFERROR(VLOOKUP(E2885,BD!$L$2:$Q$66,2,0),0)</f>
        <v>COCA-COLA SIN AZUCAR PET 1.5LX2</v>
      </c>
      <c r="G2885" s="424">
        <v>3024</v>
      </c>
      <c r="H2885" s="3">
        <f>+IFERROR(VLOOKUP(E2885,BD!$L$2:$Q$66,6,0),0)</f>
        <v>198</v>
      </c>
      <c r="I2885" s="96">
        <f>IFERROR(G2885*VLOOKUP($E2885,BD!$L$2:$Q$66,5,0),0)</f>
        <v>514.08000000000004</v>
      </c>
      <c r="J2885" s="5">
        <f t="shared" si="195"/>
        <v>2021</v>
      </c>
    </row>
    <row r="2886" spans="1:10" s="9" customFormat="1" hidden="1" x14ac:dyDescent="0.25">
      <c r="A2886" s="491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7">
        <v>256674</v>
      </c>
      <c r="F2886" s="3" t="str">
        <f>IFERROR(VLOOKUP(E2886,BD!$L$2:$Q$66,2,0),0)</f>
        <v>COCA-COLA PET 1.5LX2 RF</v>
      </c>
      <c r="G2886" s="424">
        <v>864</v>
      </c>
      <c r="H2886" s="3">
        <f>+IFERROR(VLOOKUP(E2886,BD!$L$2:$Q$66,6,0),0)</f>
        <v>198</v>
      </c>
      <c r="I2886" s="96">
        <f>IFERROR(G2886*VLOOKUP($E2886,BD!$L$2:$Q$66,5,0),0)</f>
        <v>146.88000000000002</v>
      </c>
      <c r="J2886" s="5">
        <f t="shared" si="195"/>
        <v>2021</v>
      </c>
    </row>
    <row r="2887" spans="1:10" s="9" customFormat="1" hidden="1" x14ac:dyDescent="0.25">
      <c r="A2887" s="491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7">
        <v>256675</v>
      </c>
      <c r="F2887" s="3" t="str">
        <f>IFERROR(VLOOKUP(E2887,BD!$L$2:$Q$66,2,0),0)</f>
        <v>INCA KOLA PET 1.5LX2 RF</v>
      </c>
      <c r="G2887" s="424">
        <v>1296</v>
      </c>
      <c r="H2887" s="3">
        <f>+IFERROR(VLOOKUP(E2887,BD!$L$2:$Q$66,6,0),0)</f>
        <v>198</v>
      </c>
      <c r="I2887" s="96">
        <f>IFERROR(G2887*VLOOKUP($E2887,BD!$L$2:$Q$66,5,0),0)</f>
        <v>220.32000000000002</v>
      </c>
      <c r="J2887" s="5">
        <f t="shared" si="195"/>
        <v>2021</v>
      </c>
    </row>
    <row r="2888" spans="1:10" s="9" customFormat="1" hidden="1" x14ac:dyDescent="0.25">
      <c r="A2888" s="491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7">
        <v>256652</v>
      </c>
      <c r="F2888" s="3" t="str">
        <f>IFERROR(VLOOKUP(E2888,BD!$L$2:$Q$66,2,0),0)</f>
        <v>TRIPACK FT NAR+FT KI+SP PET 3L</v>
      </c>
      <c r="G2888" s="424">
        <v>1140</v>
      </c>
      <c r="H2888" s="3">
        <f>+IFERROR(VLOOKUP(E2888,BD!$L$2:$Q$66,6,0),0)</f>
        <v>90</v>
      </c>
      <c r="I2888" s="96">
        <f>IFERROR(G2888*VLOOKUP($E2888,BD!$L$2:$Q$66,5,0),0)</f>
        <v>193.8</v>
      </c>
      <c r="J2888" s="5">
        <f t="shared" si="195"/>
        <v>2021</v>
      </c>
    </row>
    <row r="2889" spans="1:10" s="9" customFormat="1" hidden="1" x14ac:dyDescent="0.25">
      <c r="A2889" s="491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7">
        <v>256677</v>
      </c>
      <c r="F2889" s="3" t="str">
        <f>IFERROR(VLOOKUP(E2889,BD!$L$2:$Q$66,2,0),0)</f>
        <v>TWO PACK CC + IK PFM 3LX2 - RFNN</v>
      </c>
      <c r="G2889" s="424">
        <v>3120</v>
      </c>
      <c r="H2889" s="3">
        <f>+IFERROR(VLOOKUP(E2889,BD!$L$2:$Q$66,6,0),0)</f>
        <v>120</v>
      </c>
      <c r="I2889" s="96">
        <f>IFERROR(G2889*VLOOKUP($E2889,BD!$L$2:$Q$66,5,0),0)</f>
        <v>530.40000000000009</v>
      </c>
      <c r="J2889" s="5">
        <f t="shared" si="195"/>
        <v>2021</v>
      </c>
    </row>
    <row r="2890" spans="1:10" s="9" customFormat="1" hidden="1" x14ac:dyDescent="0.25">
      <c r="A2890" s="491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7">
        <v>256678</v>
      </c>
      <c r="F2890" s="3" t="str">
        <f>IFERROR(VLOOKUP(E2890,BD!$L$2:$Q$66,2,0),0)</f>
        <v>TRIPACK (CC+IK)PFM+FT PET 3LX3 - RFNN</v>
      </c>
      <c r="G2890" s="424">
        <v>3060</v>
      </c>
      <c r="H2890" s="3">
        <f>+IFERROR(VLOOKUP(E2890,BD!$L$2:$Q$66,6,0),0)</f>
        <v>90</v>
      </c>
      <c r="I2890" s="96">
        <f>IFERROR(G2890*VLOOKUP($E2890,BD!$L$2:$Q$66,5,0),0)</f>
        <v>520.20000000000005</v>
      </c>
      <c r="J2890" s="5">
        <f t="shared" si="195"/>
        <v>2021</v>
      </c>
    </row>
    <row r="2891" spans="1:10" s="9" customFormat="1" hidden="1" x14ac:dyDescent="0.25">
      <c r="A2891" s="491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7">
        <v>256695</v>
      </c>
      <c r="F2891" s="3" t="str">
        <f>IFERROR(VLOOKUP(E2891,BD!$L$2:$Q$66,2,0),0)</f>
        <v>POWERADE 3MORA+3FRUT PET 473MLX6</v>
      </c>
      <c r="G2891" s="424">
        <v>2700</v>
      </c>
      <c r="H2891" s="3">
        <f>+IFERROR(VLOOKUP(E2891,BD!$L$2:$Q$66,6,0),0)</f>
        <v>225</v>
      </c>
      <c r="I2891" s="96">
        <f>IFERROR(G2891*VLOOKUP($E2891,BD!$L$2:$Q$66,5,0),0)</f>
        <v>1134</v>
      </c>
      <c r="J2891" s="5">
        <f t="shared" si="195"/>
        <v>2021</v>
      </c>
    </row>
    <row r="2892" spans="1:10" s="9" customFormat="1" hidden="1" x14ac:dyDescent="0.25">
      <c r="A2892" s="491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7">
        <v>251632</v>
      </c>
      <c r="F2892" s="3" t="str">
        <f>IFERROR(VLOOKUP(E2892,BD!$L$2:$Q$66,2,0),0)</f>
        <v>SAN LUIS SIN GAS PET 625MLX06 MOD</v>
      </c>
      <c r="G2892" s="424">
        <v>540</v>
      </c>
      <c r="H2892" s="3">
        <f>+IFERROR(VLOOKUP(E2892,BD!$L$2:$Q$66,6,0),0)</f>
        <v>180</v>
      </c>
      <c r="I2892" s="96">
        <f>IFERROR(G2892*VLOOKUP($E2892,BD!$L$2:$Q$66,5,0),0)</f>
        <v>226.79999999999998</v>
      </c>
      <c r="J2892" s="5">
        <f t="shared" si="195"/>
        <v>2021</v>
      </c>
    </row>
    <row r="2893" spans="1:10" s="9" customFormat="1" hidden="1" x14ac:dyDescent="0.25">
      <c r="A2893" s="491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7">
        <v>256355</v>
      </c>
      <c r="F2893" s="3" t="str">
        <f>IFERROR(VLOOKUP(E2893,BD!$L$2:$Q$66,2,0),0)</f>
        <v>INCA KOLA SIN AZUCAR PET300MLX6-C/STICK</v>
      </c>
      <c r="G2893" s="424">
        <v>4900</v>
      </c>
      <c r="H2893" s="3">
        <f>+IFERROR(VLOOKUP(E2893,BD!$L$2:$Q$66,6,0),0)</f>
        <v>350</v>
      </c>
      <c r="I2893" s="96">
        <f>IFERROR(G2893*VLOOKUP($E2893,BD!$L$2:$Q$66,5,0),0)</f>
        <v>1127</v>
      </c>
      <c r="J2893" s="5">
        <f t="shared" si="195"/>
        <v>2021</v>
      </c>
    </row>
    <row r="2894" spans="1:10" s="9" customFormat="1" ht="15.75" hidden="1" thickBot="1" x14ac:dyDescent="0.3">
      <c r="A2894" s="492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9">
        <v>251429</v>
      </c>
      <c r="F2894" s="8" t="str">
        <f>IFERROR(VLOOKUP(E2894,BD!$L$2:$Q$66,2,0),0)</f>
        <v>SAN LUIS SIN GAS PET2500X6 STICKER</v>
      </c>
      <c r="G2894" s="501">
        <v>960</v>
      </c>
      <c r="H2894" s="8">
        <f>+IFERROR(VLOOKUP(E2894,BD!$L$2:$Q$66,6,0),0)</f>
        <v>48</v>
      </c>
      <c r="I2894" s="98">
        <f>IFERROR(G2894*VLOOKUP($E2894,BD!$L$2:$Q$66,5,0),0)</f>
        <v>384</v>
      </c>
      <c r="J2894" s="110">
        <f t="shared" si="195"/>
        <v>2021</v>
      </c>
    </row>
    <row r="2895" spans="1:10" s="9" customFormat="1" hidden="1" x14ac:dyDescent="0.25">
      <c r="A2895" s="493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63">
        <v>256488</v>
      </c>
      <c r="F2895" s="6" t="str">
        <f>IFERROR(VLOOKUP(E2895,BD!$L$2:$Q$66,2,0),0)</f>
        <v>INCA KOLA PET 3LX2 - RF</v>
      </c>
      <c r="G2895" s="513">
        <v>840</v>
      </c>
      <c r="H2895" s="6">
        <f>+IFERROR(VLOOKUP(E2895,BD!$L$2:$Q$66,6,0),0)</f>
        <v>120</v>
      </c>
      <c r="I2895" s="97">
        <f>IFERROR(G2895*VLOOKUP($E2895,BD!$L$2:$Q$66,5,0),0)</f>
        <v>142.80000000000001</v>
      </c>
      <c r="J2895" s="109">
        <f t="shared" si="195"/>
        <v>2021</v>
      </c>
    </row>
    <row r="2896" spans="1:10" s="9" customFormat="1" hidden="1" x14ac:dyDescent="0.25">
      <c r="A2896" s="491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7">
        <v>256677</v>
      </c>
      <c r="F2896" s="3" t="str">
        <f>IFERROR(VLOOKUP(E2896,BD!$L$2:$Q$66,2,0),0)</f>
        <v>TWO PACK CC + IK PFM 3LX2 - RFNN</v>
      </c>
      <c r="G2896" s="424">
        <v>2400</v>
      </c>
      <c r="H2896" s="3">
        <f>+IFERROR(VLOOKUP(E2896,BD!$L$2:$Q$66,6,0),0)</f>
        <v>120</v>
      </c>
      <c r="I2896" s="96">
        <f>IFERROR(G2896*VLOOKUP($E2896,BD!$L$2:$Q$66,5,0),0)</f>
        <v>408.00000000000006</v>
      </c>
      <c r="J2896" s="5">
        <f t="shared" si="195"/>
        <v>2021</v>
      </c>
    </row>
    <row r="2897" spans="1:11" s="9" customFormat="1" hidden="1" x14ac:dyDescent="0.25">
      <c r="A2897" s="52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70">
        <v>256676</v>
      </c>
      <c r="F2897" s="33" t="str">
        <f>IFERROR(VLOOKUP(E2897,BD!$L$2:$Q$66,2,0),0)</f>
        <v>TWO PACK CC PFM 3LX2 - RFCC</v>
      </c>
      <c r="G2897" s="512">
        <v>600</v>
      </c>
      <c r="H2897" s="33">
        <f>+IFERROR(VLOOKUP(E2897,BD!$L$2:$Q$66,6,0),0)</f>
        <v>120</v>
      </c>
      <c r="I2897" s="499">
        <f>IFERROR(G2897*VLOOKUP($E2897,BD!$L$2:$Q$66,5,0),0)</f>
        <v>102.00000000000001</v>
      </c>
      <c r="J2897" s="386">
        <f t="shared" si="195"/>
        <v>2021</v>
      </c>
    </row>
    <row r="2898" spans="1:11" s="3" customFormat="1" hidden="1" x14ac:dyDescent="0.25">
      <c r="A2898" s="491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7">
        <v>256383</v>
      </c>
      <c r="F2898" s="3" t="str">
        <f>IFERROR(VLOOKUP(E2898,BD!$L$2:$Q$66,2,0),0)</f>
        <v>COCA COLA VR 1.5LX8 - STICKER</v>
      </c>
      <c r="G2898" s="424">
        <v>240</v>
      </c>
      <c r="H2898" s="3">
        <f>+IFERROR(VLOOKUP(E2898,BD!$L$2:$Q$66,6,0),0)</f>
        <v>30</v>
      </c>
      <c r="I2898" s="96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hidden="1" x14ac:dyDescent="0.25">
      <c r="A2899" s="53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8">
        <v>256381</v>
      </c>
      <c r="F2899" s="21" t="str">
        <f>IFERROR(VLOOKUP(E2899,BD!$L$2:$Q$66,2,0),0)</f>
        <v>INCA KOLA VR 1.5LX8 - STICKER</v>
      </c>
      <c r="G2899" s="521">
        <v>240</v>
      </c>
      <c r="H2899" s="21">
        <f>+IFERROR(VLOOKUP(E2899,BD!$L$2:$Q$66,6,0),0)</f>
        <v>30</v>
      </c>
      <c r="I2899" s="467">
        <f>IFERROR(G2899*VLOOKUP($E2899,BD!$L$2:$Q$66,5,0),0)</f>
        <v>96</v>
      </c>
      <c r="J2899" s="41">
        <f t="shared" si="195"/>
        <v>2021</v>
      </c>
    </row>
    <row r="2900" spans="1:11" s="9" customFormat="1" hidden="1" x14ac:dyDescent="0.25">
      <c r="A2900" s="491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7">
        <v>256379</v>
      </c>
      <c r="F2900" s="3" t="str">
        <f>IFERROR(VLOOKUP(E2900,BD!$L$2:$Q$66,2,0),0)</f>
        <v>INCA KOLA VR 625MLX12 - STICKER</v>
      </c>
      <c r="G2900" s="424">
        <v>100</v>
      </c>
      <c r="H2900" s="3">
        <f>+IFERROR(VLOOKUP(E2900,BD!$L$2:$Q$66,6,0),0)</f>
        <v>50</v>
      </c>
      <c r="I2900" s="96">
        <f>IFERROR(G2900*VLOOKUP($E2900,BD!$L$2:$Q$66,5,0),0)</f>
        <v>40</v>
      </c>
      <c r="J2900" s="5">
        <f t="shared" si="195"/>
        <v>2021</v>
      </c>
    </row>
    <row r="2901" spans="1:11" s="9" customFormat="1" hidden="1" x14ac:dyDescent="0.25">
      <c r="A2901" s="491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7">
        <v>252436</v>
      </c>
      <c r="F2901" s="3" t="str">
        <f>IFERROR(VLOOKUP(E2901,BD!$L$2:$Q$66,2,0),0)</f>
        <v>SAN LUIS SIN GAS PET 625MLX15 C/STICKER</v>
      </c>
      <c r="G2901" s="424">
        <v>360</v>
      </c>
      <c r="H2901" s="3">
        <f>+IFERROR(VLOOKUP(E2901,BD!$L$2:$Q$66,6,0),0)</f>
        <v>90</v>
      </c>
      <c r="I2901" s="96">
        <f>IFERROR(G2901*VLOOKUP($E2901,BD!$L$2:$Q$66,5,0),0)</f>
        <v>144</v>
      </c>
      <c r="J2901" s="5">
        <f t="shared" si="195"/>
        <v>2021</v>
      </c>
    </row>
    <row r="2902" spans="1:11" s="9" customFormat="1" hidden="1" x14ac:dyDescent="0.25">
      <c r="A2902" s="491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7">
        <v>251429</v>
      </c>
      <c r="F2902" s="3" t="str">
        <f>IFERROR(VLOOKUP(E2902,BD!$L$2:$Q$66,2,0),0)</f>
        <v>SAN LUIS SIN GAS PET2500X6 STICKER</v>
      </c>
      <c r="G2902" s="424">
        <v>1056</v>
      </c>
      <c r="H2902" s="3">
        <f>+IFERROR(VLOOKUP(E2902,BD!$L$2:$Q$66,6,0),0)</f>
        <v>48</v>
      </c>
      <c r="I2902" s="96">
        <f>IFERROR(G2902*VLOOKUP($E2902,BD!$L$2:$Q$66,5,0),0)</f>
        <v>422.40000000000003</v>
      </c>
      <c r="J2902" s="5">
        <f t="shared" si="195"/>
        <v>2021</v>
      </c>
    </row>
    <row r="2903" spans="1:11" s="9" customFormat="1" hidden="1" x14ac:dyDescent="0.25">
      <c r="A2903" s="491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7">
        <v>251633</v>
      </c>
      <c r="F2903" s="3" t="str">
        <f>IFERROR(VLOOKUP(E2903,BD!$L$2:$Q$66,2,0),0)</f>
        <v>SAN LUIS CON GAS PET 625MLX6</v>
      </c>
      <c r="G2903" s="424">
        <v>360</v>
      </c>
      <c r="H2903" s="3">
        <f>+IFERROR(VLOOKUP(E2903,BD!$L$2:$Q$66,6,0),0)</f>
        <v>180</v>
      </c>
      <c r="I2903" s="96">
        <f>IFERROR(G2903*VLOOKUP($E2903,BD!$L$2:$Q$66,5,0),0)</f>
        <v>151.19999999999999</v>
      </c>
      <c r="J2903" s="5">
        <f t="shared" si="195"/>
        <v>2021</v>
      </c>
    </row>
    <row r="2904" spans="1:11" s="9" customFormat="1" hidden="1" x14ac:dyDescent="0.25">
      <c r="A2904" s="491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7">
        <v>251406</v>
      </c>
      <c r="F2904" s="3" t="str">
        <f>IFERROR(VLOOKUP(E2904,BD!$L$2:$Q$66,2,0),0)</f>
        <v>COCA-COLA SIN AZUCAR PET 1.5LX2</v>
      </c>
      <c r="G2904" s="424">
        <v>432</v>
      </c>
      <c r="H2904" s="3">
        <f>+IFERROR(VLOOKUP(E2904,BD!$L$2:$Q$66,6,0),0)</f>
        <v>198</v>
      </c>
      <c r="I2904" s="96">
        <f>IFERROR(G2904*VLOOKUP($E2904,BD!$L$2:$Q$66,5,0),0)</f>
        <v>73.440000000000012</v>
      </c>
      <c r="J2904" s="5">
        <f t="shared" si="195"/>
        <v>2021</v>
      </c>
    </row>
    <row r="2905" spans="1:11" s="9" customFormat="1" hidden="1" x14ac:dyDescent="0.25">
      <c r="A2905" s="491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7">
        <v>254853</v>
      </c>
      <c r="F2905" s="3" t="str">
        <f>IFERROR(VLOOKUP(E2905,BD!$L$2:$Q$66,2,0),0)</f>
        <v>INCA KOLA SIN AZUCAR PET 1.5LX2</v>
      </c>
      <c r="G2905" s="424">
        <v>1512</v>
      </c>
      <c r="H2905" s="3">
        <f>+IFERROR(VLOOKUP(E2905,BD!$L$2:$Q$66,6,0),0)</f>
        <v>198</v>
      </c>
      <c r="I2905" s="96">
        <f>IFERROR(G2905*VLOOKUP($E2905,BD!$L$2:$Q$66,5,0),0)</f>
        <v>257.04000000000002</v>
      </c>
      <c r="J2905" s="5">
        <f t="shared" si="195"/>
        <v>2021</v>
      </c>
    </row>
    <row r="2906" spans="1:11" s="9" customFormat="1" hidden="1" x14ac:dyDescent="0.25">
      <c r="A2906" s="491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7">
        <v>256674</v>
      </c>
      <c r="F2906" s="3" t="str">
        <f>IFERROR(VLOOKUP(E2906,BD!$L$2:$Q$66,2,0),0)</f>
        <v>COCA-COLA PET 1.5LX2 RF</v>
      </c>
      <c r="G2906" s="424">
        <v>1512</v>
      </c>
      <c r="H2906" s="3">
        <f>+IFERROR(VLOOKUP(E2906,BD!$L$2:$Q$66,6,0),0)</f>
        <v>198</v>
      </c>
      <c r="I2906" s="96">
        <f>IFERROR(G2906*VLOOKUP($E2906,BD!$L$2:$Q$66,5,0),0)</f>
        <v>257.04000000000002</v>
      </c>
      <c r="J2906" s="5">
        <f t="shared" si="195"/>
        <v>2021</v>
      </c>
    </row>
    <row r="2907" spans="1:11" s="9" customFormat="1" hidden="1" x14ac:dyDescent="0.25">
      <c r="A2907" s="491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7">
        <v>256675</v>
      </c>
      <c r="F2907" s="3" t="str">
        <f>IFERROR(VLOOKUP(E2907,BD!$L$2:$Q$66,2,0),0)</f>
        <v>INCA KOLA PET 1.5LX2 RF</v>
      </c>
      <c r="G2907" s="424">
        <v>1080</v>
      </c>
      <c r="H2907" s="3">
        <f>+IFERROR(VLOOKUP(E2907,BD!$L$2:$Q$66,6,0),0)</f>
        <v>198</v>
      </c>
      <c r="I2907" s="96">
        <f>IFERROR(G2907*VLOOKUP($E2907,BD!$L$2:$Q$66,5,0),0)</f>
        <v>183.60000000000002</v>
      </c>
      <c r="J2907" s="5">
        <f t="shared" si="195"/>
        <v>2021</v>
      </c>
    </row>
    <row r="2908" spans="1:11" s="9" customFormat="1" hidden="1" x14ac:dyDescent="0.25">
      <c r="A2908" s="491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7">
        <v>256678</v>
      </c>
      <c r="F2908" s="3" t="str">
        <f>IFERROR(VLOOKUP(E2908,BD!$L$2:$Q$66,2,0),0)</f>
        <v>TRIPACK (CC+IK)PFM+FT PET 3LX3 - RFNN</v>
      </c>
      <c r="G2908" s="424">
        <v>1440</v>
      </c>
      <c r="H2908" s="3">
        <f>+IFERROR(VLOOKUP(E2908,BD!$L$2:$Q$66,6,0),0)</f>
        <v>90</v>
      </c>
      <c r="I2908" s="96">
        <f>IFERROR(G2908*VLOOKUP($E2908,BD!$L$2:$Q$66,5,0),0)</f>
        <v>244.8</v>
      </c>
      <c r="J2908" s="5">
        <f t="shared" si="195"/>
        <v>2021</v>
      </c>
    </row>
    <row r="2909" spans="1:11" s="9" customFormat="1" hidden="1" x14ac:dyDescent="0.25">
      <c r="A2909" s="491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7">
        <v>256682</v>
      </c>
      <c r="F2909" s="3" t="str">
        <f>IFERROR(VLOOKUP(E2909,BD!$L$2:$Q$66,2,0),0)</f>
        <v>TRIPACK (FT NAR+SP)PET+IK RF PFM 3L</v>
      </c>
      <c r="G2909" s="424">
        <v>720</v>
      </c>
      <c r="H2909" s="3">
        <f>+IFERROR(VLOOKUP(E2909,BD!$L$2:$Q$66,6,0),0)</f>
        <v>90</v>
      </c>
      <c r="I2909" s="96">
        <f>IFERROR(G2909*VLOOKUP($E2909,BD!$L$2:$Q$66,5,0),0)</f>
        <v>122.4</v>
      </c>
      <c r="J2909" s="5">
        <f t="shared" si="195"/>
        <v>2021</v>
      </c>
    </row>
    <row r="2910" spans="1:11" s="9" customFormat="1" hidden="1" x14ac:dyDescent="0.25">
      <c r="A2910" s="491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7">
        <v>251632</v>
      </c>
      <c r="F2910" s="3" t="str">
        <f>IFERROR(VLOOKUP(E2910,BD!$L$2:$Q$66,2,0),0)</f>
        <v>SAN LUIS SIN GAS PET 625MLX06 MOD</v>
      </c>
      <c r="G2910" s="424">
        <v>540</v>
      </c>
      <c r="H2910" s="3">
        <f>+IFERROR(VLOOKUP(E2910,BD!$L$2:$Q$66,6,0),0)</f>
        <v>180</v>
      </c>
      <c r="I2910" s="96">
        <f>IFERROR(G2910*VLOOKUP($E2910,BD!$L$2:$Q$66,5,0),0)</f>
        <v>226.79999999999998</v>
      </c>
      <c r="J2910" s="5">
        <f t="shared" si="195"/>
        <v>2021</v>
      </c>
    </row>
    <row r="2911" spans="1:11" s="9" customFormat="1" hidden="1" x14ac:dyDescent="0.25">
      <c r="A2911" s="491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7">
        <v>256720</v>
      </c>
      <c r="F2911" s="3" t="str">
        <f>IFERROR(VLOOKUP(E2911,BD!$L$2:$Q$66,2,0),0)</f>
        <v>FANTA NARANJA PET 500MLX6 BRANDEADO MOD</v>
      </c>
      <c r="G2911" s="424">
        <v>750</v>
      </c>
      <c r="H2911" s="3">
        <f>+IFERROR(VLOOKUP(E2911,BD!$L$2:$Q$66,6,0),0)</f>
        <v>420</v>
      </c>
      <c r="I2911" s="96">
        <f>IFERROR(G2911*VLOOKUP($E2911,BD!$L$2:$Q$66,5,0),0)</f>
        <v>315</v>
      </c>
      <c r="J2911" s="5">
        <f t="shared" si="195"/>
        <v>2021</v>
      </c>
    </row>
    <row r="2912" spans="1:11" s="9" customFormat="1" ht="15.75" hidden="1" thickBot="1" x14ac:dyDescent="0.3">
      <c r="A2912" s="492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9">
        <v>256355</v>
      </c>
      <c r="F2912" s="8" t="str">
        <f>IFERROR(VLOOKUP(E2912,BD!$L$2:$Q$66,2,0),0)</f>
        <v>INCA KOLA SIN AZUCAR PET300MLX6-C/STICK</v>
      </c>
      <c r="G2912" s="501">
        <v>3500</v>
      </c>
      <c r="H2912" s="8">
        <f>+IFERROR(VLOOKUP(E2912,BD!$L$2:$Q$66,6,0),0)</f>
        <v>350</v>
      </c>
      <c r="I2912" s="98">
        <f>IFERROR(G2912*VLOOKUP($E2912,BD!$L$2:$Q$66,5,0),0)</f>
        <v>805</v>
      </c>
      <c r="J2912" s="110">
        <f t="shared" si="195"/>
        <v>2021</v>
      </c>
    </row>
    <row r="2913" spans="1:10" s="9" customFormat="1" hidden="1" x14ac:dyDescent="0.25">
      <c r="A2913" s="493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63">
        <v>256355</v>
      </c>
      <c r="F2913" s="6" t="str">
        <f>IFERROR(VLOOKUP(E2913,BD!$L$2:$Q$66,2,0),0)</f>
        <v>INCA KOLA SIN AZUCAR PET300MLX6-C/STICK</v>
      </c>
      <c r="G2913" s="513">
        <v>3500</v>
      </c>
      <c r="H2913" s="6">
        <f>+IFERROR(VLOOKUP(E2913,BD!$L$2:$Q$66,6,0),0)</f>
        <v>350</v>
      </c>
      <c r="I2913" s="97">
        <f>IFERROR(G2913*VLOOKUP($E2913,BD!$L$2:$Q$66,5,0),0)</f>
        <v>805</v>
      </c>
      <c r="J2913" s="109">
        <f t="shared" si="195"/>
        <v>2021</v>
      </c>
    </row>
    <row r="2914" spans="1:10" s="9" customFormat="1" hidden="1" x14ac:dyDescent="0.25">
      <c r="A2914" s="491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7">
        <v>256381</v>
      </c>
      <c r="F2914" s="3" t="str">
        <f>IFERROR(VLOOKUP(E2914,BD!$L$2:$Q$66,2,0),0)</f>
        <v>INCA KOLA VR 1.5LX8 - STICKER</v>
      </c>
      <c r="G2914" s="424">
        <v>90</v>
      </c>
      <c r="H2914" s="3">
        <f>+IFERROR(VLOOKUP(E2914,BD!$L$2:$Q$66,6,0),0)</f>
        <v>30</v>
      </c>
      <c r="I2914" s="96">
        <f>IFERROR(G2914*VLOOKUP($E2914,BD!$L$2:$Q$66,5,0),0)</f>
        <v>36</v>
      </c>
      <c r="J2914" s="5">
        <f t="shared" si="195"/>
        <v>2021</v>
      </c>
    </row>
    <row r="2915" spans="1:10" s="9" customFormat="1" hidden="1" x14ac:dyDescent="0.25">
      <c r="A2915" s="491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7">
        <v>256379</v>
      </c>
      <c r="F2915" s="3" t="str">
        <f>IFERROR(VLOOKUP(E2915,BD!$L$2:$Q$66,2,0),0)</f>
        <v>INCA KOLA VR 625MLX12 - STICKER</v>
      </c>
      <c r="G2915" s="424">
        <v>150</v>
      </c>
      <c r="H2915" s="3">
        <f>+IFERROR(VLOOKUP(E2915,BD!$L$2:$Q$66,6,0),0)</f>
        <v>50</v>
      </c>
      <c r="I2915" s="96">
        <f>IFERROR(G2915*VLOOKUP($E2915,BD!$L$2:$Q$66,5,0),0)</f>
        <v>60</v>
      </c>
      <c r="J2915" s="5">
        <f t="shared" si="195"/>
        <v>2021</v>
      </c>
    </row>
    <row r="2916" spans="1:10" s="9" customFormat="1" hidden="1" x14ac:dyDescent="0.25">
      <c r="A2916" s="491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7">
        <v>251429</v>
      </c>
      <c r="F2916" s="3" t="str">
        <f>IFERROR(VLOOKUP(E2916,BD!$L$2:$Q$66,2,0),0)</f>
        <v>SAN LUIS SIN GAS PET2500X6 STICKER</v>
      </c>
      <c r="G2916" s="424">
        <v>1440</v>
      </c>
      <c r="H2916" s="3">
        <f>+IFERROR(VLOOKUP(E2916,BD!$L$2:$Q$66,6,0),0)</f>
        <v>48</v>
      </c>
      <c r="I2916" s="96">
        <f>IFERROR(G2916*VLOOKUP($E2916,BD!$L$2:$Q$66,5,0),0)</f>
        <v>576</v>
      </c>
      <c r="J2916" s="5">
        <f t="shared" si="195"/>
        <v>2021</v>
      </c>
    </row>
    <row r="2917" spans="1:10" s="9" customFormat="1" hidden="1" x14ac:dyDescent="0.25">
      <c r="A2917" s="491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7">
        <v>251633</v>
      </c>
      <c r="F2917" s="3" t="str">
        <f>IFERROR(VLOOKUP(E2917,BD!$L$2:$Q$66,2,0),0)</f>
        <v>SAN LUIS CON GAS PET 625MLX6</v>
      </c>
      <c r="G2917" s="424">
        <v>1080</v>
      </c>
      <c r="H2917" s="3">
        <f>+IFERROR(VLOOKUP(E2917,BD!$L$2:$Q$66,6,0),0)</f>
        <v>180</v>
      </c>
      <c r="I2917" s="96">
        <f>IFERROR(G2917*VLOOKUP($E2917,BD!$L$2:$Q$66,5,0),0)</f>
        <v>453.59999999999997</v>
      </c>
      <c r="J2917" s="5">
        <f t="shared" si="195"/>
        <v>2021</v>
      </c>
    </row>
    <row r="2918" spans="1:10" s="9" customFormat="1" hidden="1" x14ac:dyDescent="0.25">
      <c r="A2918" s="491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7">
        <v>251632</v>
      </c>
      <c r="F2918" s="3" t="str">
        <f>IFERROR(VLOOKUP(E2918,BD!$L$2:$Q$66,2,0),0)</f>
        <v>SAN LUIS SIN GAS PET 625MLX06 MOD</v>
      </c>
      <c r="G2918" s="424">
        <v>360</v>
      </c>
      <c r="H2918" s="3">
        <f>+IFERROR(VLOOKUP(E2918,BD!$L$2:$Q$66,6,0),0)</f>
        <v>180</v>
      </c>
      <c r="I2918" s="96">
        <f>IFERROR(G2918*VLOOKUP($E2918,BD!$L$2:$Q$66,5,0),0)</f>
        <v>151.19999999999999</v>
      </c>
      <c r="J2918" s="5">
        <f t="shared" si="195"/>
        <v>2021</v>
      </c>
    </row>
    <row r="2919" spans="1:10" s="9" customFormat="1" hidden="1" x14ac:dyDescent="0.25">
      <c r="A2919" s="491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7">
        <v>256678</v>
      </c>
      <c r="F2919" s="3" t="str">
        <f>IFERROR(VLOOKUP(E2919,BD!$L$2:$Q$66,2,0),0)</f>
        <v>TRIPACK (CC+IK)PFM+FT PET 3LX3 - RFNN</v>
      </c>
      <c r="G2919" s="424">
        <v>2160</v>
      </c>
      <c r="H2919" s="3">
        <f>+IFERROR(VLOOKUP(E2919,BD!$L$2:$Q$66,6,0),0)</f>
        <v>90</v>
      </c>
      <c r="I2919" s="96">
        <f>IFERROR(G2919*VLOOKUP($E2919,BD!$L$2:$Q$66,5,0),0)</f>
        <v>367.20000000000005</v>
      </c>
      <c r="J2919" s="5">
        <f t="shared" si="195"/>
        <v>2021</v>
      </c>
    </row>
    <row r="2920" spans="1:10" s="9" customFormat="1" hidden="1" x14ac:dyDescent="0.25">
      <c r="A2920" s="491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7">
        <v>256677</v>
      </c>
      <c r="F2920" s="3" t="str">
        <f>IFERROR(VLOOKUP(E2920,BD!$L$2:$Q$66,2,0),0)</f>
        <v>TWO PACK CC + IK PFM 3LX2 - RFNN</v>
      </c>
      <c r="G2920" s="424">
        <v>2160</v>
      </c>
      <c r="H2920" s="3">
        <f>+IFERROR(VLOOKUP(E2920,BD!$L$2:$Q$66,6,0),0)</f>
        <v>120</v>
      </c>
      <c r="I2920" s="96">
        <f>IFERROR(G2920*VLOOKUP($E2920,BD!$L$2:$Q$66,5,0),0)</f>
        <v>367.20000000000005</v>
      </c>
      <c r="J2920" s="5">
        <f t="shared" si="195"/>
        <v>2021</v>
      </c>
    </row>
    <row r="2921" spans="1:10" s="9" customFormat="1" hidden="1" x14ac:dyDescent="0.25">
      <c r="A2921" s="491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7">
        <v>256675</v>
      </c>
      <c r="F2921" s="3" t="str">
        <f>IFERROR(VLOOKUP(E2921,BD!$L$2:$Q$66,2,0),0)</f>
        <v>INCA KOLA PET 1.5LX2 RF</v>
      </c>
      <c r="G2921" s="424">
        <v>1296</v>
      </c>
      <c r="H2921" s="3">
        <f>+IFERROR(VLOOKUP(E2921,BD!$L$2:$Q$66,6,0),0)</f>
        <v>198</v>
      </c>
      <c r="I2921" s="96">
        <f>IFERROR(G2921*VLOOKUP($E2921,BD!$L$2:$Q$66,5,0),0)</f>
        <v>220.32000000000002</v>
      </c>
      <c r="J2921" s="5">
        <f t="shared" si="195"/>
        <v>2021</v>
      </c>
    </row>
    <row r="2922" spans="1:10" s="9" customFormat="1" hidden="1" x14ac:dyDescent="0.25">
      <c r="A2922" s="491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7">
        <v>256674</v>
      </c>
      <c r="F2922" s="3" t="str">
        <f>IFERROR(VLOOKUP(E2922,BD!$L$2:$Q$66,2,0),0)</f>
        <v>COCA-COLA PET 1.5LX2 RF</v>
      </c>
      <c r="G2922" s="424">
        <v>1296</v>
      </c>
      <c r="H2922" s="3">
        <f>+IFERROR(VLOOKUP(E2922,BD!$L$2:$Q$66,6,0),0)</f>
        <v>198</v>
      </c>
      <c r="I2922" s="96">
        <f>IFERROR(G2922*VLOOKUP($E2922,BD!$L$2:$Q$66,5,0),0)</f>
        <v>220.32000000000002</v>
      </c>
      <c r="J2922" s="5">
        <f t="shared" si="195"/>
        <v>2021</v>
      </c>
    </row>
    <row r="2923" spans="1:10" s="9" customFormat="1" hidden="1" x14ac:dyDescent="0.25">
      <c r="A2923" s="491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7">
        <v>256488</v>
      </c>
      <c r="F2923" s="3" t="str">
        <f>IFERROR(VLOOKUP(E2923,BD!$L$2:$Q$66,2,0),0)</f>
        <v>INCA KOLA PET 3LX2 - RF</v>
      </c>
      <c r="G2923" s="424">
        <v>1200</v>
      </c>
      <c r="H2923" s="3">
        <f>+IFERROR(VLOOKUP(E2923,BD!$L$2:$Q$66,6,0),0)</f>
        <v>120</v>
      </c>
      <c r="I2923" s="96">
        <f>IFERROR(G2923*VLOOKUP($E2923,BD!$L$2:$Q$66,5,0),0)</f>
        <v>204.00000000000003</v>
      </c>
      <c r="J2923" s="5">
        <f t="shared" si="195"/>
        <v>2021</v>
      </c>
    </row>
    <row r="2924" spans="1:10" s="9" customFormat="1" hidden="1" x14ac:dyDescent="0.25">
      <c r="A2924" s="491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7">
        <v>251406</v>
      </c>
      <c r="F2924" s="3" t="str">
        <f>IFERROR(VLOOKUP(E2924,BD!$L$2:$Q$66,2,0),0)</f>
        <v>COCA-COLA SIN AZUCAR PET 1.5LX2</v>
      </c>
      <c r="G2924" s="424">
        <v>728</v>
      </c>
      <c r="H2924" s="3">
        <f>+IFERROR(VLOOKUP(E2924,BD!$L$2:$Q$66,6,0),0)</f>
        <v>198</v>
      </c>
      <c r="I2924" s="96">
        <f>IFERROR(G2924*VLOOKUP($E2924,BD!$L$2:$Q$66,5,0),0)</f>
        <v>123.76</v>
      </c>
      <c r="J2924" s="5">
        <f t="shared" si="195"/>
        <v>2021</v>
      </c>
    </row>
    <row r="2925" spans="1:10" s="9" customFormat="1" hidden="1" x14ac:dyDescent="0.25">
      <c r="A2925" s="52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70">
        <v>256695</v>
      </c>
      <c r="F2925" s="33" t="str">
        <f>IFERROR(VLOOKUP(E2925,BD!$L$2:$Q$66,2,0),0)</f>
        <v>POWERADE 3MORA+3FRUT PET 473MLX6</v>
      </c>
      <c r="G2925" s="512">
        <v>2700</v>
      </c>
      <c r="H2925" s="33">
        <f>+IFERROR(VLOOKUP(E2925,BD!$L$2:$Q$66,6,0),0)</f>
        <v>225</v>
      </c>
      <c r="I2925" s="499">
        <f>IFERROR(G2925*VLOOKUP($E2925,BD!$L$2:$Q$66,5,0),0)</f>
        <v>1134</v>
      </c>
      <c r="J2925" s="386">
        <f t="shared" si="195"/>
        <v>2021</v>
      </c>
    </row>
    <row r="2926" spans="1:10" s="9" customFormat="1" hidden="1" x14ac:dyDescent="0.25">
      <c r="A2926" s="493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63">
        <v>256720</v>
      </c>
      <c r="F2926" s="6" t="str">
        <f>IFERROR(VLOOKUP(E2926,BD!$L$2:$Q$66,2,0),0)</f>
        <v>FANTA NARANJA PET 500MLX6 BRANDEADO MOD</v>
      </c>
      <c r="G2926" s="513">
        <v>500</v>
      </c>
      <c r="H2926" s="6">
        <f>+IFERROR(VLOOKUP(E2926,BD!$L$2:$Q$66,6,0),0)</f>
        <v>420</v>
      </c>
      <c r="I2926" s="97">
        <f>IFERROR(G2926*VLOOKUP($E2926,BD!$L$2:$Q$66,5,0),0)</f>
        <v>210</v>
      </c>
      <c r="J2926" s="109">
        <f t="shared" si="195"/>
        <v>2021</v>
      </c>
    </row>
    <row r="2927" spans="1:10" s="9" customFormat="1" ht="15.75" hidden="1" thickBot="1" x14ac:dyDescent="0.3">
      <c r="A2927" s="492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9">
        <v>256721</v>
      </c>
      <c r="F2927" s="8" t="str">
        <f>IFERROR(VLOOKUP(E2927,BD!$L$2:$Q$66,2,0),0)</f>
        <v>SPRITE PET 500MLX6 BRANDEADO MOD</v>
      </c>
      <c r="G2927" s="501">
        <v>750</v>
      </c>
      <c r="H2927" s="8">
        <f>+IFERROR(VLOOKUP(E2927,BD!$L$2:$Q$66,6,0),0)</f>
        <v>420</v>
      </c>
      <c r="I2927" s="98">
        <f>IFERROR(G2927*VLOOKUP($E2927,BD!$L$2:$Q$66,5,0),0)</f>
        <v>315</v>
      </c>
      <c r="J2927" s="110">
        <f t="shared" si="195"/>
        <v>2021</v>
      </c>
    </row>
    <row r="2928" spans="1:10" s="9" customFormat="1" hidden="1" x14ac:dyDescent="0.25">
      <c r="A2928" s="493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63">
        <v>254853</v>
      </c>
      <c r="F2928" s="6" t="str">
        <f>IFERROR(VLOOKUP(E2928,BD!$L$2:$Q$66,2,0),0)</f>
        <v>INCA KOLA SIN AZUCAR PET 1.5LX2</v>
      </c>
      <c r="G2928" s="513">
        <v>1296</v>
      </c>
      <c r="H2928" s="6">
        <f>+IFERROR(VLOOKUP(E2928,BD!$L$2:$Q$66,6,0),0)</f>
        <v>198</v>
      </c>
      <c r="I2928" s="97">
        <f>IFERROR(G2928*VLOOKUP($E2928,BD!$L$2:$Q$66,5,0),0)</f>
        <v>220.32000000000002</v>
      </c>
      <c r="J2928" s="109">
        <f t="shared" si="195"/>
        <v>2021</v>
      </c>
    </row>
    <row r="2929" spans="1:10" s="9" customFormat="1" hidden="1" x14ac:dyDescent="0.25">
      <c r="A2929" s="491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7">
        <v>256652</v>
      </c>
      <c r="F2929" s="3" t="str">
        <f>IFERROR(VLOOKUP(E2929,BD!$L$2:$Q$66,2,0),0)</f>
        <v>TRIPACK FT NAR+FT KI+SP PET 3L</v>
      </c>
      <c r="G2929" s="424">
        <v>1440</v>
      </c>
      <c r="H2929" s="3">
        <f>+IFERROR(VLOOKUP(E2929,BD!$L$2:$Q$66,6,0),0)</f>
        <v>90</v>
      </c>
      <c r="I2929" s="96">
        <f>IFERROR(G2929*VLOOKUP($E2929,BD!$L$2:$Q$66,5,0),0)</f>
        <v>244.8</v>
      </c>
      <c r="J2929" s="5">
        <f t="shared" si="195"/>
        <v>2021</v>
      </c>
    </row>
    <row r="2930" spans="1:10" s="9" customFormat="1" hidden="1" x14ac:dyDescent="0.25">
      <c r="A2930" s="491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7">
        <v>256488</v>
      </c>
      <c r="F2930" s="3" t="str">
        <f>IFERROR(VLOOKUP(E2930,BD!$L$2:$Q$66,2,0),0)</f>
        <v>INCA KOLA PET 3LX2 - RF</v>
      </c>
      <c r="G2930" s="424">
        <v>1440</v>
      </c>
      <c r="H2930" s="3">
        <f>+IFERROR(VLOOKUP(E2930,BD!$L$2:$Q$66,6,0),0)</f>
        <v>120</v>
      </c>
      <c r="I2930" s="96">
        <f>IFERROR(G2930*VLOOKUP($E2930,BD!$L$2:$Q$66,5,0),0)</f>
        <v>244.8</v>
      </c>
      <c r="J2930" s="5">
        <f t="shared" si="195"/>
        <v>2021</v>
      </c>
    </row>
    <row r="2931" spans="1:10" s="9" customFormat="1" hidden="1" x14ac:dyDescent="0.25">
      <c r="A2931" s="491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7">
        <v>256676</v>
      </c>
      <c r="F2931" s="3" t="str">
        <f>IFERROR(VLOOKUP(E2931,BD!$L$2:$Q$66,2,0),0)</f>
        <v>TWO PACK CC PFM 3LX2 - RFCC</v>
      </c>
      <c r="G2931" s="424">
        <v>720</v>
      </c>
      <c r="H2931" s="3">
        <f>+IFERROR(VLOOKUP(E2931,BD!$L$2:$Q$66,6,0),0)</f>
        <v>120</v>
      </c>
      <c r="I2931" s="96">
        <f>IFERROR(G2931*VLOOKUP($E2931,BD!$L$2:$Q$66,5,0),0)</f>
        <v>122.4</v>
      </c>
      <c r="J2931" s="5">
        <f t="shared" si="195"/>
        <v>2021</v>
      </c>
    </row>
    <row r="2932" spans="1:10" s="9" customFormat="1" hidden="1" x14ac:dyDescent="0.25">
      <c r="A2932" s="491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7">
        <v>256677</v>
      </c>
      <c r="F2932" s="3" t="str">
        <f>IFERROR(VLOOKUP(E2932,BD!$L$2:$Q$66,2,0),0)</f>
        <v>TWO PACK CC + IK PFM 3LX2 - RFNN</v>
      </c>
      <c r="G2932" s="424">
        <v>4800</v>
      </c>
      <c r="H2932" s="3">
        <f>+IFERROR(VLOOKUP(E2932,BD!$L$2:$Q$66,6,0),0)</f>
        <v>120</v>
      </c>
      <c r="I2932" s="96">
        <f>IFERROR(G2932*VLOOKUP($E2932,BD!$L$2:$Q$66,5,0),0)</f>
        <v>816.00000000000011</v>
      </c>
      <c r="J2932" s="5">
        <f t="shared" si="195"/>
        <v>2021</v>
      </c>
    </row>
    <row r="2933" spans="1:10" s="9" customFormat="1" hidden="1" x14ac:dyDescent="0.25">
      <c r="A2933" s="491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7">
        <v>256678</v>
      </c>
      <c r="F2933" s="3" t="str">
        <f>IFERROR(VLOOKUP(E2933,BD!$L$2:$Q$66,2,0),0)</f>
        <v>TRIPACK (CC+IK)PFM+FT PET 3LX3 - RFNN</v>
      </c>
      <c r="G2933" s="424">
        <v>2880</v>
      </c>
      <c r="H2933" s="3">
        <f>+IFERROR(VLOOKUP(E2933,BD!$L$2:$Q$66,6,0),0)</f>
        <v>90</v>
      </c>
      <c r="I2933" s="96">
        <f>IFERROR(G2933*VLOOKUP($E2933,BD!$L$2:$Q$66,5,0),0)</f>
        <v>489.6</v>
      </c>
      <c r="J2933" s="5">
        <f t="shared" si="195"/>
        <v>2021</v>
      </c>
    </row>
    <row r="2934" spans="1:10" s="9" customFormat="1" hidden="1" x14ac:dyDescent="0.25">
      <c r="A2934" s="491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7">
        <v>251429</v>
      </c>
      <c r="F2934" s="3" t="str">
        <f>IFERROR(VLOOKUP(E2934,BD!$L$2:$Q$66,2,0),0)</f>
        <v>SAN LUIS SIN GAS PET2500X6 STICKER</v>
      </c>
      <c r="G2934" s="424">
        <v>2160</v>
      </c>
      <c r="H2934" s="3">
        <f>+IFERROR(VLOOKUP(E2934,BD!$L$2:$Q$66,6,0),0)</f>
        <v>48</v>
      </c>
      <c r="I2934" s="96">
        <f>IFERROR(G2934*VLOOKUP($E2934,BD!$L$2:$Q$66,5,0),0)</f>
        <v>864</v>
      </c>
      <c r="J2934" s="5">
        <f t="shared" si="195"/>
        <v>2021</v>
      </c>
    </row>
    <row r="2935" spans="1:10" s="9" customFormat="1" hidden="1" x14ac:dyDescent="0.25">
      <c r="A2935" s="491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7">
        <v>252436</v>
      </c>
      <c r="F2935" s="3" t="str">
        <f>IFERROR(VLOOKUP(E2935,BD!$L$2:$Q$66,2,0),0)</f>
        <v>SAN LUIS SIN GAS PET 625MLX15 C/STICKER</v>
      </c>
      <c r="G2935" s="424">
        <v>720</v>
      </c>
      <c r="H2935" s="3">
        <f>+IFERROR(VLOOKUP(E2935,BD!$L$2:$Q$66,6,0),0)</f>
        <v>90</v>
      </c>
      <c r="I2935" s="96">
        <f>IFERROR(G2935*VLOOKUP($E2935,BD!$L$2:$Q$66,5,0),0)</f>
        <v>288</v>
      </c>
      <c r="J2935" s="5">
        <f t="shared" si="195"/>
        <v>2021</v>
      </c>
    </row>
    <row r="2936" spans="1:10" s="9" customFormat="1" hidden="1" x14ac:dyDescent="0.25">
      <c r="A2936" s="52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70">
        <v>256674</v>
      </c>
      <c r="F2936" s="33" t="str">
        <f>IFERROR(VLOOKUP(E2936,BD!$L$2:$Q$66,2,0),0)</f>
        <v>COCA-COLA PET 1.5LX2 RF</v>
      </c>
      <c r="G2936" s="512">
        <v>1296</v>
      </c>
      <c r="H2936" s="33">
        <f>+IFERROR(VLOOKUP(E2936,BD!$L$2:$Q$66,6,0),0)</f>
        <v>198</v>
      </c>
      <c r="I2936" s="499">
        <f>IFERROR(G2936*VLOOKUP($E2936,BD!$L$2:$Q$66,5,0),0)</f>
        <v>220.32000000000002</v>
      </c>
      <c r="J2936" s="386">
        <f t="shared" si="195"/>
        <v>2021</v>
      </c>
    </row>
    <row r="2937" spans="1:10" s="13" customFormat="1" hidden="1" x14ac:dyDescent="0.25">
      <c r="A2937" s="491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7">
        <v>251632</v>
      </c>
      <c r="F2937" s="3" t="str">
        <f>IFERROR(VLOOKUP(E2937,BD!$L$2:$Q$66,2,0),0)</f>
        <v>SAN LUIS SIN GAS PET 625MLX06 MOD</v>
      </c>
      <c r="G2937" s="424">
        <v>360</v>
      </c>
      <c r="H2937" s="3">
        <f>+IFERROR(VLOOKUP(E2937,BD!$L$2:$Q$66,6,0),0)</f>
        <v>180</v>
      </c>
      <c r="I2937" s="96">
        <f>IFERROR(G2937*VLOOKUP($E2937,BD!$L$2:$Q$66,5,0),0)</f>
        <v>151.19999999999999</v>
      </c>
      <c r="J2937" s="5">
        <f t="shared" si="195"/>
        <v>2021</v>
      </c>
    </row>
    <row r="2938" spans="1:10" s="13" customFormat="1" hidden="1" x14ac:dyDescent="0.25">
      <c r="A2938" s="491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7">
        <v>256685</v>
      </c>
      <c r="F2938" s="3" t="str">
        <f>IFERROR(VLOOKUP(E2938,BD!$L$2:$Q$66,2,0),0)</f>
        <v>SL S/G TAPA PLANA 1LT</v>
      </c>
      <c r="G2938" s="424">
        <v>896</v>
      </c>
      <c r="H2938" s="3">
        <f>+IFERROR(VLOOKUP(E2938,BD!$L$2:$Q$66,6,0),0)</f>
        <v>112</v>
      </c>
      <c r="I2938" s="96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hidden="1" thickBot="1" x14ac:dyDescent="0.3">
      <c r="A2939" s="492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9">
        <v>256379</v>
      </c>
      <c r="F2939" s="8" t="str">
        <f>IFERROR(VLOOKUP(E2939,BD!$L$2:$Q$66,2,0),0)</f>
        <v>INCA KOLA VR 625MLX12 - STICKER</v>
      </c>
      <c r="G2939" s="501">
        <v>600</v>
      </c>
      <c r="H2939" s="8">
        <f>+IFERROR(VLOOKUP(E2939,BD!$L$2:$Q$66,6,0),0)</f>
        <v>50</v>
      </c>
      <c r="I2939" s="98">
        <f>IFERROR(G2939*VLOOKUP($E2939,BD!$L$2:$Q$66,5,0),0)</f>
        <v>240</v>
      </c>
      <c r="J2939" s="110">
        <f t="shared" si="195"/>
        <v>2021</v>
      </c>
    </row>
    <row r="2940" spans="1:10" s="9" customFormat="1" hidden="1" x14ac:dyDescent="0.25">
      <c r="A2940" s="493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63">
        <v>256675</v>
      </c>
      <c r="F2940" s="6" t="str">
        <f>IFERROR(VLOOKUP(E2940,BD!$L$2:$Q$66,2,0),0)</f>
        <v>INCA KOLA PET 1.5LX2 RF</v>
      </c>
      <c r="G2940" s="513">
        <v>1296</v>
      </c>
      <c r="H2940" s="6">
        <f>+IFERROR(VLOOKUP(E2940,BD!$L$2:$Q$66,6,0),0)</f>
        <v>198</v>
      </c>
      <c r="I2940" s="97">
        <f>IFERROR(G2940*VLOOKUP($E2940,BD!$L$2:$Q$66,5,0),0)</f>
        <v>220.32000000000002</v>
      </c>
      <c r="J2940" s="109">
        <f t="shared" ref="J2940:J3003" si="199">+YEAR(A2940)</f>
        <v>2021</v>
      </c>
    </row>
    <row r="2941" spans="1:10" s="9" customFormat="1" hidden="1" x14ac:dyDescent="0.25">
      <c r="A2941" s="491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7">
        <v>256617</v>
      </c>
      <c r="F2941" s="3" t="str">
        <f>IFERROR(VLOOKUP(E2941,BD!$L$2:$Q$66,2,0),0)</f>
        <v>TWO PACK SCHWEPPES GINGER ALE PET 1.5LX2</v>
      </c>
      <c r="G2941" s="424">
        <v>1980</v>
      </c>
      <c r="H2941" s="3">
        <f>+IFERROR(VLOOKUP(E2941,BD!$L$2:$Q$66,6,0),0)</f>
        <v>198</v>
      </c>
      <c r="I2941" s="96">
        <f>IFERROR(G2941*VLOOKUP($E2941,BD!$L$2:$Q$66,5,0),0)</f>
        <v>336.6</v>
      </c>
      <c r="J2941" s="5">
        <f t="shared" si="199"/>
        <v>2021</v>
      </c>
    </row>
    <row r="2942" spans="1:10" s="9" customFormat="1" hidden="1" x14ac:dyDescent="0.25">
      <c r="A2942" s="491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7">
        <v>256616</v>
      </c>
      <c r="F2942" s="3" t="str">
        <f>IFERROR(VLOOKUP(E2942,BD!$L$2:$Q$66,2,0),0)</f>
        <v>TWO PACK SCHWEPPES CITRUS PET 1.5LX2</v>
      </c>
      <c r="G2942" s="424">
        <v>792</v>
      </c>
      <c r="H2942" s="3">
        <f>+IFERROR(VLOOKUP(E2942,BD!$L$2:$Q$66,6,0),0)</f>
        <v>198</v>
      </c>
      <c r="I2942" s="96">
        <f>IFERROR(G2942*VLOOKUP($E2942,BD!$L$2:$Q$66,5,0),0)</f>
        <v>134.64000000000001</v>
      </c>
      <c r="J2942" s="5">
        <f t="shared" si="199"/>
        <v>2021</v>
      </c>
    </row>
    <row r="2943" spans="1:10" s="9" customFormat="1" hidden="1" x14ac:dyDescent="0.25">
      <c r="A2943" s="491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7">
        <v>256488</v>
      </c>
      <c r="F2943" s="3" t="str">
        <f>IFERROR(VLOOKUP(E2943,BD!$L$2:$Q$66,2,0),0)</f>
        <v>INCA KOLA PET 3LX2 - RF</v>
      </c>
      <c r="G2943" s="424">
        <v>600</v>
      </c>
      <c r="H2943" s="3">
        <f>+IFERROR(VLOOKUP(E2943,BD!$L$2:$Q$66,6,0),0)</f>
        <v>120</v>
      </c>
      <c r="I2943" s="96">
        <f>IFERROR(G2943*VLOOKUP($E2943,BD!$L$2:$Q$66,5,0),0)</f>
        <v>102.00000000000001</v>
      </c>
      <c r="J2943" s="5">
        <f t="shared" si="199"/>
        <v>2021</v>
      </c>
    </row>
    <row r="2944" spans="1:10" s="9" customFormat="1" hidden="1" x14ac:dyDescent="0.25">
      <c r="A2944" s="491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7">
        <v>256677</v>
      </c>
      <c r="F2944" s="3" t="str">
        <f>IFERROR(VLOOKUP(E2944,BD!$L$2:$Q$66,2,0),0)</f>
        <v>TWO PACK CC + IK PFM 3LX2 - RFNN</v>
      </c>
      <c r="G2944" s="424">
        <v>1920</v>
      </c>
      <c r="H2944" s="3">
        <f>+IFERROR(VLOOKUP(E2944,BD!$L$2:$Q$66,6,0),0)</f>
        <v>120</v>
      </c>
      <c r="I2944" s="96">
        <f>IFERROR(G2944*VLOOKUP($E2944,BD!$L$2:$Q$66,5,0),0)</f>
        <v>326.40000000000003</v>
      </c>
      <c r="J2944" s="5">
        <f t="shared" si="199"/>
        <v>2021</v>
      </c>
    </row>
    <row r="2945" spans="1:10" s="9" customFormat="1" hidden="1" x14ac:dyDescent="0.25">
      <c r="A2945" s="491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7">
        <v>256678</v>
      </c>
      <c r="F2945" s="3" t="str">
        <f>IFERROR(VLOOKUP(E2945,BD!$L$2:$Q$66,2,0),0)</f>
        <v>TRIPACK (CC+IK)PFM+FT PET 3LX3 - RFNN</v>
      </c>
      <c r="G2945" s="424">
        <v>2160</v>
      </c>
      <c r="H2945" s="3">
        <f>+IFERROR(VLOOKUP(E2945,BD!$L$2:$Q$66,6,0),0)</f>
        <v>90</v>
      </c>
      <c r="I2945" s="96">
        <f>IFERROR(G2945*VLOOKUP($E2945,BD!$L$2:$Q$66,5,0),0)</f>
        <v>367.20000000000005</v>
      </c>
      <c r="J2945" s="5">
        <f t="shared" si="199"/>
        <v>2021</v>
      </c>
    </row>
    <row r="2946" spans="1:10" s="9" customFormat="1" hidden="1" x14ac:dyDescent="0.25">
      <c r="A2946" s="491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7">
        <v>256679</v>
      </c>
      <c r="F2946" s="3" t="str">
        <f>IFERROR(VLOOKUP(E2946,BD!$L$2:$Q$66,2,0),0)</f>
        <v>TRIPACK CC+IK+IK PFM 3LX3 - RFNN</v>
      </c>
      <c r="G2946" s="424">
        <v>1440</v>
      </c>
      <c r="H2946" s="3">
        <f>+IFERROR(VLOOKUP(E2946,BD!$L$2:$Q$66,6,0),0)</f>
        <v>90</v>
      </c>
      <c r="I2946" s="96">
        <f>IFERROR(G2946*VLOOKUP($E2946,BD!$L$2:$Q$66,5,0),0)</f>
        <v>244.8</v>
      </c>
      <c r="J2946" s="5">
        <f t="shared" si="199"/>
        <v>2021</v>
      </c>
    </row>
    <row r="2947" spans="1:10" s="9" customFormat="1" hidden="1" x14ac:dyDescent="0.25">
      <c r="A2947" s="491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7">
        <v>251429</v>
      </c>
      <c r="F2947" s="3" t="str">
        <f>IFERROR(VLOOKUP(E2947,BD!$L$2:$Q$66,2,0),0)</f>
        <v>SAN LUIS SIN GAS PET2500X6 STICKER</v>
      </c>
      <c r="G2947" s="424">
        <v>576</v>
      </c>
      <c r="H2947" s="3">
        <f>+IFERROR(VLOOKUP(E2947,BD!$L$2:$Q$66,6,0),0)</f>
        <v>48</v>
      </c>
      <c r="I2947" s="96">
        <f>IFERROR(G2947*VLOOKUP($E2947,BD!$L$2:$Q$66,5,0),0)</f>
        <v>230.4</v>
      </c>
      <c r="J2947" s="5">
        <f t="shared" si="199"/>
        <v>2021</v>
      </c>
    </row>
    <row r="2948" spans="1:10" s="9" customFormat="1" hidden="1" x14ac:dyDescent="0.25">
      <c r="A2948" s="491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7">
        <v>256685</v>
      </c>
      <c r="F2948" s="3" t="str">
        <f>IFERROR(VLOOKUP(E2948,BD!$L$2:$Q$66,2,0),0)</f>
        <v>SL S/G TAPA PLANA 1LT</v>
      </c>
      <c r="G2948" s="424">
        <v>224</v>
      </c>
      <c r="H2948" s="3">
        <f>+IFERROR(VLOOKUP(E2948,BD!$L$2:$Q$66,6,0),0)</f>
        <v>112</v>
      </c>
      <c r="I2948" s="96">
        <f>IFERROR(G2948*VLOOKUP($E2948,BD!$L$2:$Q$66,5,0),0)</f>
        <v>89.600000000000009</v>
      </c>
      <c r="J2948" s="5">
        <f t="shared" si="199"/>
        <v>2021</v>
      </c>
    </row>
    <row r="2949" spans="1:10" s="9" customFormat="1" hidden="1" x14ac:dyDescent="0.25">
      <c r="A2949" s="491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7">
        <v>251633</v>
      </c>
      <c r="F2949" s="3" t="str">
        <f>IFERROR(VLOOKUP(E2949,BD!$L$2:$Q$66,2,0),0)</f>
        <v>SAN LUIS CON GAS PET 625MLX6</v>
      </c>
      <c r="G2949" s="424">
        <v>900</v>
      </c>
      <c r="H2949" s="3">
        <f>+IFERROR(VLOOKUP(E2949,BD!$L$2:$Q$66,6,0),0)</f>
        <v>180</v>
      </c>
      <c r="I2949" s="96">
        <f>IFERROR(G2949*VLOOKUP($E2949,BD!$L$2:$Q$66,5,0),0)</f>
        <v>378</v>
      </c>
      <c r="J2949" s="5">
        <f t="shared" si="199"/>
        <v>2021</v>
      </c>
    </row>
    <row r="2950" spans="1:10" s="9" customFormat="1" hidden="1" x14ac:dyDescent="0.25">
      <c r="A2950" s="491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7">
        <v>256674</v>
      </c>
      <c r="F2950" s="3" t="str">
        <f>IFERROR(VLOOKUP(E2950,BD!$L$2:$Q$66,2,0),0)</f>
        <v>COCA-COLA PET 1.5LX2 RF</v>
      </c>
      <c r="G2950" s="424">
        <v>4320</v>
      </c>
      <c r="H2950" s="3">
        <f>+IFERROR(VLOOKUP(E2950,BD!$L$2:$Q$66,6,0),0)</f>
        <v>198</v>
      </c>
      <c r="I2950" s="96">
        <f>IFERROR(G2950*VLOOKUP($E2950,BD!$L$2:$Q$66,5,0),0)</f>
        <v>734.40000000000009</v>
      </c>
      <c r="J2950" s="5">
        <f t="shared" si="199"/>
        <v>2021</v>
      </c>
    </row>
    <row r="2951" spans="1:10" s="9" customFormat="1" hidden="1" x14ac:dyDescent="0.25">
      <c r="A2951" s="491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7">
        <v>256695</v>
      </c>
      <c r="F2951" s="3" t="str">
        <f>IFERROR(VLOOKUP(E2951,BD!$L$2:$Q$66,2,0),0)</f>
        <v>POWERADE 3MORA+3FRUT PET 473MLX6</v>
      </c>
      <c r="G2951" s="424">
        <v>1800</v>
      </c>
      <c r="H2951" s="3">
        <f>+IFERROR(VLOOKUP(E2951,BD!$L$2:$Q$66,6,0),0)</f>
        <v>225</v>
      </c>
      <c r="I2951" s="96">
        <f>IFERROR(G2951*VLOOKUP($E2951,BD!$L$2:$Q$66,5,0),0)</f>
        <v>756</v>
      </c>
      <c r="J2951" s="5">
        <f t="shared" si="199"/>
        <v>2021</v>
      </c>
    </row>
    <row r="2952" spans="1:10" s="9" customFormat="1" hidden="1" x14ac:dyDescent="0.25">
      <c r="A2952" s="491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7">
        <v>256708</v>
      </c>
      <c r="F2952" s="3" t="str">
        <f>IFERROR(VLOOKUP(E2952,BD!$L$2:$Q$66,2,0),0)</f>
        <v>POWERADE ION4 FRUTA PET473X6 MOD (STICK)</v>
      </c>
      <c r="G2952" s="424">
        <v>450</v>
      </c>
      <c r="H2952" s="3">
        <f>+IFERROR(VLOOKUP(E2952,BD!$L$2:$Q$66,6,0),0)</f>
        <v>225</v>
      </c>
      <c r="I2952" s="96">
        <f>IFERROR(G2952*VLOOKUP($E2952,BD!$L$2:$Q$66,5,0),0)</f>
        <v>180</v>
      </c>
      <c r="J2952" s="5">
        <f t="shared" si="199"/>
        <v>2021</v>
      </c>
    </row>
    <row r="2953" spans="1:10" s="9" customFormat="1" hidden="1" x14ac:dyDescent="0.25">
      <c r="A2953" s="491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7">
        <v>251632</v>
      </c>
      <c r="F2953" s="3" t="str">
        <f>IFERROR(VLOOKUP(E2953,BD!$L$2:$Q$66,2,0),0)</f>
        <v>SAN LUIS SIN GAS PET 625MLX06 MOD</v>
      </c>
      <c r="G2953" s="424">
        <v>900</v>
      </c>
      <c r="H2953" s="3">
        <f>+IFERROR(VLOOKUP(E2953,BD!$L$2:$Q$66,6,0),0)</f>
        <v>180</v>
      </c>
      <c r="I2953" s="96">
        <f>IFERROR(G2953*VLOOKUP($E2953,BD!$L$2:$Q$66,5,0),0)</f>
        <v>378</v>
      </c>
      <c r="J2953" s="5">
        <f t="shared" si="199"/>
        <v>2021</v>
      </c>
    </row>
    <row r="2954" spans="1:10" s="9" customFormat="1" ht="15.75" hidden="1" thickBot="1" x14ac:dyDescent="0.3">
      <c r="A2954" s="492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9">
        <v>251632</v>
      </c>
      <c r="F2954" s="8" t="str">
        <f>IFERROR(VLOOKUP(E2954,BD!$L$2:$Q$66,2,0),0)</f>
        <v>SAN LUIS SIN GAS PET 625MLX06 MOD</v>
      </c>
      <c r="G2954" s="501">
        <v>360</v>
      </c>
      <c r="H2954" s="8">
        <f>+IFERROR(VLOOKUP(E2954,BD!$L$2:$Q$66,6,0),0)</f>
        <v>180</v>
      </c>
      <c r="I2954" s="98">
        <f>IFERROR(G2954*VLOOKUP($E2954,BD!$L$2:$Q$66,5,0),0)</f>
        <v>151.19999999999999</v>
      </c>
      <c r="J2954" s="110">
        <f t="shared" si="199"/>
        <v>2021</v>
      </c>
    </row>
    <row r="2955" spans="1:10" s="9" customFormat="1" hidden="1" x14ac:dyDescent="0.25">
      <c r="A2955" s="493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63">
        <v>255430</v>
      </c>
      <c r="F2955" s="6" t="str">
        <f>IFERROR(VLOOKUP(E2955,BD!$L$2:$Q$66,2,0),0)</f>
        <v>INCA KOLA SA PET 500MLX6 - C/STICKER</v>
      </c>
      <c r="G2955" s="513">
        <v>3500</v>
      </c>
      <c r="H2955" s="6">
        <f>+IFERROR(VLOOKUP(E2955,BD!$L$2:$Q$66,6,0),0)</f>
        <v>250</v>
      </c>
      <c r="I2955" s="97">
        <f>IFERROR(G2955*VLOOKUP($E2955,BD!$L$2:$Q$66,5,0),0)</f>
        <v>805</v>
      </c>
      <c r="J2955" s="109">
        <f t="shared" si="199"/>
        <v>2021</v>
      </c>
    </row>
    <row r="2956" spans="1:10" s="9" customFormat="1" hidden="1" x14ac:dyDescent="0.25">
      <c r="A2956" s="491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7">
        <v>251406</v>
      </c>
      <c r="F2956" s="3" t="str">
        <f>IFERROR(VLOOKUP(E2956,BD!$L$2:$Q$66,2,0),0)</f>
        <v>COCA-COLA SIN AZUCAR PET 1.5LX2</v>
      </c>
      <c r="G2956" s="424">
        <v>1728</v>
      </c>
      <c r="H2956" s="3">
        <f>+IFERROR(VLOOKUP(E2956,BD!$L$2:$Q$66,6,0),0)</f>
        <v>198</v>
      </c>
      <c r="I2956" s="96">
        <f>IFERROR(G2956*VLOOKUP($E2956,BD!$L$2:$Q$66,5,0),0)</f>
        <v>293.76000000000005</v>
      </c>
      <c r="J2956" s="5">
        <f t="shared" si="199"/>
        <v>2021</v>
      </c>
    </row>
    <row r="2957" spans="1:10" s="9" customFormat="1" hidden="1" x14ac:dyDescent="0.25">
      <c r="A2957" s="491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7">
        <v>254853</v>
      </c>
      <c r="F2957" s="3" t="str">
        <f>IFERROR(VLOOKUP(E2957,BD!$L$2:$Q$66,2,0),0)</f>
        <v>INCA KOLA SIN AZUCAR PET 1.5LX2</v>
      </c>
      <c r="G2957" s="424">
        <v>1296</v>
      </c>
      <c r="H2957" s="3">
        <f>+IFERROR(VLOOKUP(E2957,BD!$L$2:$Q$66,6,0),0)</f>
        <v>198</v>
      </c>
      <c r="I2957" s="96">
        <f>IFERROR(G2957*VLOOKUP($E2957,BD!$L$2:$Q$66,5,0),0)</f>
        <v>220.32000000000002</v>
      </c>
      <c r="J2957" s="5">
        <f t="shared" si="199"/>
        <v>2021</v>
      </c>
    </row>
    <row r="2958" spans="1:10" s="9" customFormat="1" hidden="1" x14ac:dyDescent="0.25">
      <c r="A2958" s="491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7">
        <v>256488</v>
      </c>
      <c r="F2958" s="3" t="str">
        <f>IFERROR(VLOOKUP(E2958,BD!$L$2:$Q$66,2,0),0)</f>
        <v>INCA KOLA PET 3LX2 - RF</v>
      </c>
      <c r="G2958" s="424">
        <v>1440</v>
      </c>
      <c r="H2958" s="3">
        <f>+IFERROR(VLOOKUP(E2958,BD!$L$2:$Q$66,6,0),0)</f>
        <v>120</v>
      </c>
      <c r="I2958" s="96">
        <f>IFERROR(G2958*VLOOKUP($E2958,BD!$L$2:$Q$66,5,0),0)</f>
        <v>244.8</v>
      </c>
      <c r="J2958" s="5">
        <f t="shared" si="199"/>
        <v>2021</v>
      </c>
    </row>
    <row r="2959" spans="1:10" s="9" customFormat="1" hidden="1" x14ac:dyDescent="0.25">
      <c r="A2959" s="491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7">
        <v>256601</v>
      </c>
      <c r="F2959" s="3" t="str">
        <f>IFERROR(VLOOKUP(E2959,BD!$L$2:$Q$66,2,0),0)</f>
        <v>INCA KOLA PET 2.25LX2 RF</v>
      </c>
      <c r="G2959" s="424">
        <v>486</v>
      </c>
      <c r="H2959" s="3">
        <f>+IFERROR(VLOOKUP(E2959,BD!$L$2:$Q$66,6,0),0)</f>
        <v>162</v>
      </c>
      <c r="I2959" s="96">
        <f>IFERROR(G2959*VLOOKUP($E2959,BD!$L$2:$Q$66,5,0),0)</f>
        <v>82.62</v>
      </c>
      <c r="J2959" s="5">
        <f t="shared" si="199"/>
        <v>2021</v>
      </c>
    </row>
    <row r="2960" spans="1:10" s="9" customFormat="1" hidden="1" x14ac:dyDescent="0.25">
      <c r="A2960" s="491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7">
        <v>256616</v>
      </c>
      <c r="F2960" s="3" t="str">
        <f>IFERROR(VLOOKUP(E2960,BD!$L$2:$Q$66,2,0),0)</f>
        <v>TWO PACK SCHWEPPES CITRUS PET 1.5LX2</v>
      </c>
      <c r="G2960" s="424">
        <v>792</v>
      </c>
      <c r="H2960" s="3">
        <f>+IFERROR(VLOOKUP(E2960,BD!$L$2:$Q$66,6,0),0)</f>
        <v>198</v>
      </c>
      <c r="I2960" s="96">
        <f>IFERROR(G2960*VLOOKUP($E2960,BD!$L$2:$Q$66,5,0),0)</f>
        <v>134.64000000000001</v>
      </c>
      <c r="J2960" s="5">
        <f t="shared" si="199"/>
        <v>2021</v>
      </c>
    </row>
    <row r="2961" spans="1:10" s="9" customFormat="1" hidden="1" x14ac:dyDescent="0.25">
      <c r="A2961" s="491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7">
        <v>256617</v>
      </c>
      <c r="F2961" s="3" t="str">
        <f>IFERROR(VLOOKUP(E2961,BD!$L$2:$Q$66,2,0),0)</f>
        <v>TWO PACK SCHWEPPES GINGER ALE PET 1.5LX2</v>
      </c>
      <c r="G2961" s="424">
        <v>1188</v>
      </c>
      <c r="H2961" s="3">
        <f>+IFERROR(VLOOKUP(E2961,BD!$L$2:$Q$66,6,0),0)</f>
        <v>198</v>
      </c>
      <c r="I2961" s="96">
        <f>IFERROR(G2961*VLOOKUP($E2961,BD!$L$2:$Q$66,5,0),0)</f>
        <v>201.96</v>
      </c>
      <c r="J2961" s="5">
        <f t="shared" si="199"/>
        <v>2021</v>
      </c>
    </row>
    <row r="2962" spans="1:10" s="9" customFormat="1" hidden="1" x14ac:dyDescent="0.25">
      <c r="A2962" s="491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7">
        <v>256666</v>
      </c>
      <c r="F2962" s="3" t="str">
        <f>IFERROR(VLOOKUP(E2962,BD!$L$2:$Q$66,2,0),0)</f>
        <v>COCA-COLA PET 2.25LX2 RF</v>
      </c>
      <c r="G2962" s="424">
        <v>486</v>
      </c>
      <c r="H2962" s="3">
        <f>+IFERROR(VLOOKUP(E2962,BD!$L$2:$Q$66,6,0),0)</f>
        <v>162</v>
      </c>
      <c r="I2962" s="96">
        <f>IFERROR(G2962*VLOOKUP($E2962,BD!$L$2:$Q$66,5,0),0)</f>
        <v>82.62</v>
      </c>
      <c r="J2962" s="5">
        <f t="shared" si="199"/>
        <v>2021</v>
      </c>
    </row>
    <row r="2963" spans="1:10" s="9" customFormat="1" hidden="1" x14ac:dyDescent="0.25">
      <c r="A2963" s="491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7">
        <v>256674</v>
      </c>
      <c r="F2963" s="3" t="str">
        <f>IFERROR(VLOOKUP(E2963,BD!$L$2:$Q$66,2,0),0)</f>
        <v>COCA-COLA PET 1.5LX2 RF</v>
      </c>
      <c r="G2963" s="424">
        <v>2160</v>
      </c>
      <c r="H2963" s="3">
        <f>+IFERROR(VLOOKUP(E2963,BD!$L$2:$Q$66,6,0),0)</f>
        <v>198</v>
      </c>
      <c r="I2963" s="96">
        <f>IFERROR(G2963*VLOOKUP($E2963,BD!$L$2:$Q$66,5,0),0)</f>
        <v>367.20000000000005</v>
      </c>
      <c r="J2963" s="5">
        <f t="shared" si="199"/>
        <v>2021</v>
      </c>
    </row>
    <row r="2964" spans="1:10" s="9" customFormat="1" hidden="1" x14ac:dyDescent="0.25">
      <c r="A2964" s="491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7">
        <v>256676</v>
      </c>
      <c r="F2964" s="3" t="str">
        <f>IFERROR(VLOOKUP(E2964,BD!$L$2:$Q$66,2,0),0)</f>
        <v>TWO PACK CC PFM 3LX2 - RFCC</v>
      </c>
      <c r="G2964" s="424">
        <v>1440</v>
      </c>
      <c r="H2964" s="3">
        <f>+IFERROR(VLOOKUP(E2964,BD!$L$2:$Q$66,6,0),0)</f>
        <v>120</v>
      </c>
      <c r="I2964" s="96">
        <f>IFERROR(G2964*VLOOKUP($E2964,BD!$L$2:$Q$66,5,0),0)</f>
        <v>244.8</v>
      </c>
      <c r="J2964" s="5">
        <f t="shared" si="199"/>
        <v>2021</v>
      </c>
    </row>
    <row r="2965" spans="1:10" s="9" customFormat="1" hidden="1" x14ac:dyDescent="0.25">
      <c r="A2965" s="491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7">
        <v>256677</v>
      </c>
      <c r="F2965" s="3" t="str">
        <f>IFERROR(VLOOKUP(E2965,BD!$L$2:$Q$66,2,0),0)</f>
        <v>TWO PACK CC + IK PFM 3LX2 - RFNN</v>
      </c>
      <c r="G2965" s="424">
        <v>1920</v>
      </c>
      <c r="H2965" s="3">
        <f>+IFERROR(VLOOKUP(E2965,BD!$L$2:$Q$66,6,0),0)</f>
        <v>120</v>
      </c>
      <c r="I2965" s="96">
        <f>IFERROR(G2965*VLOOKUP($E2965,BD!$L$2:$Q$66,5,0),0)</f>
        <v>326.40000000000003</v>
      </c>
      <c r="J2965" s="5">
        <f t="shared" si="199"/>
        <v>2021</v>
      </c>
    </row>
    <row r="2966" spans="1:10" s="9" customFormat="1" hidden="1" x14ac:dyDescent="0.25">
      <c r="A2966" s="491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7">
        <v>256682</v>
      </c>
      <c r="F2966" s="3" t="str">
        <f>IFERROR(VLOOKUP(E2966,BD!$L$2:$Q$66,2,0),0)</f>
        <v>TRIPACK (FT NAR+SP)PET+IK RF PFM 3L</v>
      </c>
      <c r="G2966" s="424">
        <v>180</v>
      </c>
      <c r="H2966" s="3">
        <f>+IFERROR(VLOOKUP(E2966,BD!$L$2:$Q$66,6,0),0)</f>
        <v>90</v>
      </c>
      <c r="I2966" s="96">
        <f>IFERROR(G2966*VLOOKUP($E2966,BD!$L$2:$Q$66,5,0),0)</f>
        <v>30.6</v>
      </c>
      <c r="J2966" s="5">
        <f t="shared" si="199"/>
        <v>2021</v>
      </c>
    </row>
    <row r="2967" spans="1:10" s="9" customFormat="1" hidden="1" x14ac:dyDescent="0.25">
      <c r="A2967" s="491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7">
        <v>251633</v>
      </c>
      <c r="F2967" s="3" t="str">
        <f>IFERROR(VLOOKUP(E2967,BD!$L$2:$Q$66,2,0),0)</f>
        <v>SAN LUIS CON GAS PET 625MLX6</v>
      </c>
      <c r="G2967" s="424">
        <v>540</v>
      </c>
      <c r="H2967" s="3">
        <f>+IFERROR(VLOOKUP(E2967,BD!$L$2:$Q$66,6,0),0)</f>
        <v>180</v>
      </c>
      <c r="I2967" s="96">
        <f>IFERROR(G2967*VLOOKUP($E2967,BD!$L$2:$Q$66,5,0),0)</f>
        <v>226.79999999999998</v>
      </c>
      <c r="J2967" s="5">
        <f t="shared" si="199"/>
        <v>2021</v>
      </c>
    </row>
    <row r="2968" spans="1:10" s="9" customFormat="1" hidden="1" x14ac:dyDescent="0.25">
      <c r="A2968" s="491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7">
        <v>252436</v>
      </c>
      <c r="F2968" s="3" t="str">
        <f>IFERROR(VLOOKUP(E2968,BD!$L$2:$Q$66,2,0),0)</f>
        <v>SAN LUIS SIN GAS PET 625MLX15 C/STICKER</v>
      </c>
      <c r="G2968" s="424">
        <v>180</v>
      </c>
      <c r="H2968" s="3">
        <f>+IFERROR(VLOOKUP(E2968,BD!$L$2:$Q$66,6,0),0)</f>
        <v>90</v>
      </c>
      <c r="I2968" s="96">
        <f>IFERROR(G2968*VLOOKUP($E2968,BD!$L$2:$Q$66,5,0),0)</f>
        <v>72</v>
      </c>
      <c r="J2968" s="5">
        <f t="shared" si="199"/>
        <v>2021</v>
      </c>
    </row>
    <row r="2969" spans="1:10" s="9" customFormat="1" hidden="1" x14ac:dyDescent="0.25">
      <c r="A2969" s="491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7">
        <v>256720</v>
      </c>
      <c r="F2969" s="3" t="str">
        <f>IFERROR(VLOOKUP(E2969,BD!$L$2:$Q$66,2,0),0)</f>
        <v>FANTA NARANJA PET 500MLX6 BRANDEADO MOD</v>
      </c>
      <c r="G2969" s="424">
        <v>1250</v>
      </c>
      <c r="H2969" s="3">
        <f>+IFERROR(VLOOKUP(E2969,BD!$L$2:$Q$66,6,0),0)</f>
        <v>420</v>
      </c>
      <c r="I2969" s="96">
        <f>IFERROR(G2969*VLOOKUP($E2969,BD!$L$2:$Q$66,5,0),0)</f>
        <v>525</v>
      </c>
      <c r="J2969" s="5">
        <f t="shared" si="199"/>
        <v>2021</v>
      </c>
    </row>
    <row r="2970" spans="1:10" s="9" customFormat="1" hidden="1" x14ac:dyDescent="0.25">
      <c r="A2970" s="491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7">
        <v>256721</v>
      </c>
      <c r="F2970" s="3" t="str">
        <f>IFERROR(VLOOKUP(E2970,BD!$L$2:$Q$66,2,0),0)</f>
        <v>SPRITE PET 500MLX6 BRANDEADO MOD</v>
      </c>
      <c r="G2970" s="424">
        <v>1250</v>
      </c>
      <c r="H2970" s="3">
        <f>+IFERROR(VLOOKUP(E2970,BD!$L$2:$Q$66,6,0),0)</f>
        <v>420</v>
      </c>
      <c r="I2970" s="96">
        <f>IFERROR(G2970*VLOOKUP($E2970,BD!$L$2:$Q$66,5,0),0)</f>
        <v>525</v>
      </c>
      <c r="J2970" s="5">
        <f t="shared" si="199"/>
        <v>2021</v>
      </c>
    </row>
    <row r="2971" spans="1:10" s="9" customFormat="1" hidden="1" x14ac:dyDescent="0.25">
      <c r="A2971" s="491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7">
        <v>251429</v>
      </c>
      <c r="F2971" s="3" t="str">
        <f>IFERROR(VLOOKUP(E2971,BD!$L$2:$Q$66,2,0),0)</f>
        <v>SAN LUIS SIN GAS PET2500X6 STICKER</v>
      </c>
      <c r="G2971" s="424">
        <v>1440</v>
      </c>
      <c r="H2971" s="3">
        <f>+IFERROR(VLOOKUP(E2971,BD!$L$2:$Q$66,6,0),0)</f>
        <v>48</v>
      </c>
      <c r="I2971" s="96">
        <f>IFERROR(G2971*VLOOKUP($E2971,BD!$L$2:$Q$66,5,0),0)</f>
        <v>576</v>
      </c>
      <c r="J2971" s="5">
        <f t="shared" si="199"/>
        <v>2021</v>
      </c>
    </row>
    <row r="2972" spans="1:10" s="9" customFormat="1" hidden="1" x14ac:dyDescent="0.25">
      <c r="A2972" s="491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7">
        <v>256381</v>
      </c>
      <c r="F2972" s="3" t="str">
        <f>IFERROR(VLOOKUP(E2972,BD!$L$2:$Q$66,2,0),0)</f>
        <v>INCA KOLA VR 1.5LX8 - STICKER</v>
      </c>
      <c r="G2972" s="424">
        <v>90</v>
      </c>
      <c r="H2972" s="3">
        <f>+IFERROR(VLOOKUP(E2972,BD!$L$2:$Q$66,6,0),0)</f>
        <v>30</v>
      </c>
      <c r="I2972" s="96">
        <f>IFERROR(G2972*VLOOKUP($E2972,BD!$L$2:$Q$66,5,0),0)</f>
        <v>36</v>
      </c>
      <c r="J2972" s="5">
        <f t="shared" si="199"/>
        <v>2021</v>
      </c>
    </row>
    <row r="2973" spans="1:10" s="9" customFormat="1" hidden="1" x14ac:dyDescent="0.25">
      <c r="A2973" s="491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7">
        <v>256383</v>
      </c>
      <c r="F2973" s="3" t="str">
        <f>IFERROR(VLOOKUP(E2973,BD!$L$2:$Q$66,2,0),0)</f>
        <v>COCA COLA VR 1.5LX8 - STICKER</v>
      </c>
      <c r="G2973" s="424">
        <v>120</v>
      </c>
      <c r="H2973" s="3">
        <f>+IFERROR(VLOOKUP(E2973,BD!$L$2:$Q$66,6,0),0)</f>
        <v>30</v>
      </c>
      <c r="I2973" s="96">
        <f>IFERROR(G2973*VLOOKUP($E2973,BD!$L$2:$Q$66,5,0),0)</f>
        <v>27.6</v>
      </c>
      <c r="J2973" s="5">
        <f t="shared" si="199"/>
        <v>2021</v>
      </c>
    </row>
    <row r="2974" spans="1:10" s="9" customFormat="1" ht="15.75" hidden="1" thickBot="1" x14ac:dyDescent="0.3">
      <c r="A2974" s="492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9">
        <v>255430</v>
      </c>
      <c r="F2974" s="8" t="str">
        <f>IFERROR(VLOOKUP(E2974,BD!$L$2:$Q$66,2,0),0)</f>
        <v>INCA KOLA SA PET 500MLX6 - C/STICKER</v>
      </c>
      <c r="G2974" s="501">
        <v>1500</v>
      </c>
      <c r="H2974" s="8">
        <f>+IFERROR(VLOOKUP(E2974,BD!$L$2:$Q$66,6,0),0)</f>
        <v>250</v>
      </c>
      <c r="I2974" s="98">
        <f>IFERROR(G2974*VLOOKUP($E2974,BD!$L$2:$Q$66,5,0),0)</f>
        <v>345</v>
      </c>
      <c r="J2974" s="110">
        <f t="shared" si="199"/>
        <v>2021</v>
      </c>
    </row>
    <row r="2975" spans="1:10" s="9" customFormat="1" hidden="1" x14ac:dyDescent="0.25">
      <c r="A2975" s="493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63">
        <v>252436</v>
      </c>
      <c r="F2975" s="6" t="str">
        <f>IFERROR(VLOOKUP(E2975,BD!$L$2:$Q$66,2,0),0)</f>
        <v>SAN LUIS SIN GAS PET 625MLX15 C/STICKER</v>
      </c>
      <c r="G2975" s="513">
        <v>180</v>
      </c>
      <c r="H2975" s="6">
        <f>+IFERROR(VLOOKUP(E2975,BD!$L$2:$Q$66,6,0),0)</f>
        <v>90</v>
      </c>
      <c r="I2975" s="97">
        <f>IFERROR(G2975*VLOOKUP($E2975,BD!$L$2:$Q$66,5,0),0)</f>
        <v>72</v>
      </c>
      <c r="J2975" s="109">
        <f t="shared" si="199"/>
        <v>2021</v>
      </c>
    </row>
    <row r="2976" spans="1:10" s="9" customFormat="1" hidden="1" x14ac:dyDescent="0.25">
      <c r="A2976" s="491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7">
        <v>254762</v>
      </c>
      <c r="F2976" s="3" t="str">
        <f>IFERROR(VLOOKUP(E2976,BD!$L$2:$Q$66,2,0),0)</f>
        <v xml:space="preserve">SAN LUIS SPORT S/G 10 Lt x6 </v>
      </c>
      <c r="G2976" s="424">
        <v>336</v>
      </c>
      <c r="H2976" s="3">
        <f>+IFERROR(VLOOKUP(E2976,BD!$L$2:$Q$66,6,0),0)</f>
        <v>240</v>
      </c>
      <c r="I2976" s="96">
        <f>IFERROR(G2976*VLOOKUP($E2976,BD!$L$2:$Q$66,5,0),0)</f>
        <v>134.4</v>
      </c>
      <c r="J2976" s="5">
        <f t="shared" si="199"/>
        <v>2021</v>
      </c>
    </row>
    <row r="2977" spans="1:10" s="9" customFormat="1" hidden="1" x14ac:dyDescent="0.25">
      <c r="A2977" s="491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7">
        <v>256685</v>
      </c>
      <c r="F2977" s="3" t="str">
        <f>IFERROR(VLOOKUP(E2977,BD!$L$2:$Q$66,2,0),0)</f>
        <v>SL S/G TAPA PLANA 1LT</v>
      </c>
      <c r="G2977" s="424">
        <v>224</v>
      </c>
      <c r="H2977" s="3">
        <f>+IFERROR(VLOOKUP(E2977,BD!$L$2:$Q$66,6,0),0)</f>
        <v>112</v>
      </c>
      <c r="I2977" s="96">
        <f>IFERROR(G2977*VLOOKUP($E2977,BD!$L$2:$Q$66,5,0),0)</f>
        <v>89.600000000000009</v>
      </c>
      <c r="J2977" s="5">
        <f t="shared" si="199"/>
        <v>2021</v>
      </c>
    </row>
    <row r="2978" spans="1:10" s="9" customFormat="1" hidden="1" x14ac:dyDescent="0.25">
      <c r="A2978" s="491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7">
        <v>251429</v>
      </c>
      <c r="F2978" s="3" t="str">
        <f>IFERROR(VLOOKUP(E2978,BD!$L$2:$Q$66,2,0),0)</f>
        <v>SAN LUIS SIN GAS PET2500X6 STICKER</v>
      </c>
      <c r="G2978" s="424">
        <v>720</v>
      </c>
      <c r="H2978" s="3">
        <f>+IFERROR(VLOOKUP(E2978,BD!$L$2:$Q$66,6,0),0)</f>
        <v>48</v>
      </c>
      <c r="I2978" s="96">
        <f>IFERROR(G2978*VLOOKUP($E2978,BD!$L$2:$Q$66,5,0),0)</f>
        <v>288</v>
      </c>
      <c r="J2978" s="5">
        <f t="shared" si="199"/>
        <v>2021</v>
      </c>
    </row>
    <row r="2979" spans="1:10" s="9" customFormat="1" hidden="1" x14ac:dyDescent="0.25">
      <c r="A2979" s="491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7">
        <v>251633</v>
      </c>
      <c r="F2979" s="3" t="str">
        <f>IFERROR(VLOOKUP(E2979,BD!$L$2:$Q$66,2,0),0)</f>
        <v>SAN LUIS CON GAS PET 625MLX6</v>
      </c>
      <c r="G2979" s="424">
        <v>720</v>
      </c>
      <c r="H2979" s="3">
        <f>+IFERROR(VLOOKUP(E2979,BD!$L$2:$Q$66,6,0),0)</f>
        <v>180</v>
      </c>
      <c r="I2979" s="96">
        <f>IFERROR(G2979*VLOOKUP($E2979,BD!$L$2:$Q$66,5,0),0)</f>
        <v>302.39999999999998</v>
      </c>
      <c r="J2979" s="5">
        <f t="shared" si="199"/>
        <v>2021</v>
      </c>
    </row>
    <row r="2980" spans="1:10" s="9" customFormat="1" hidden="1" x14ac:dyDescent="0.25">
      <c r="A2980" s="491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7">
        <v>251406</v>
      </c>
      <c r="F2980" s="3" t="str">
        <f>IFERROR(VLOOKUP(E2980,BD!$L$2:$Q$66,2,0),0)</f>
        <v>COCA-COLA SIN AZUCAR PET 1.5LX2</v>
      </c>
      <c r="G2980" s="424">
        <v>1728</v>
      </c>
      <c r="H2980" s="3">
        <f>+IFERROR(VLOOKUP(E2980,BD!$L$2:$Q$66,6,0),0)</f>
        <v>198</v>
      </c>
      <c r="I2980" s="96">
        <f>IFERROR(G2980*VLOOKUP($E2980,BD!$L$2:$Q$66,5,0),0)</f>
        <v>293.76000000000005</v>
      </c>
      <c r="J2980" s="5">
        <f t="shared" si="199"/>
        <v>2021</v>
      </c>
    </row>
    <row r="2981" spans="1:10" s="9" customFormat="1" hidden="1" x14ac:dyDescent="0.25">
      <c r="A2981" s="491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7">
        <v>254853</v>
      </c>
      <c r="F2981" s="3" t="str">
        <f>IFERROR(VLOOKUP(E2981,BD!$L$2:$Q$66,2,0),0)</f>
        <v>INCA KOLA SIN AZUCAR PET 1.5LX2</v>
      </c>
      <c r="G2981" s="424">
        <v>2160</v>
      </c>
      <c r="H2981" s="3">
        <f>+IFERROR(VLOOKUP(E2981,BD!$L$2:$Q$66,6,0),0)</f>
        <v>198</v>
      </c>
      <c r="I2981" s="96">
        <f>IFERROR(G2981*VLOOKUP($E2981,BD!$L$2:$Q$66,5,0),0)</f>
        <v>367.20000000000005</v>
      </c>
      <c r="J2981" s="5">
        <f t="shared" si="199"/>
        <v>2021</v>
      </c>
    </row>
    <row r="2982" spans="1:10" s="9" customFormat="1" hidden="1" x14ac:dyDescent="0.25">
      <c r="A2982" s="491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7">
        <v>256488</v>
      </c>
      <c r="F2982" s="3" t="str">
        <f>IFERROR(VLOOKUP(E2982,BD!$L$2:$Q$66,2,0),0)</f>
        <v>INCA KOLA PET 3LX2 - RF</v>
      </c>
      <c r="G2982" s="424">
        <v>1920</v>
      </c>
      <c r="H2982" s="3">
        <f>+IFERROR(VLOOKUP(E2982,BD!$L$2:$Q$66,6,0),0)</f>
        <v>120</v>
      </c>
      <c r="I2982" s="96">
        <f>IFERROR(G2982*VLOOKUP($E2982,BD!$L$2:$Q$66,5,0),0)</f>
        <v>326.40000000000003</v>
      </c>
      <c r="J2982" s="5">
        <f t="shared" si="199"/>
        <v>2021</v>
      </c>
    </row>
    <row r="2983" spans="1:10" s="9" customFormat="1" hidden="1" x14ac:dyDescent="0.25">
      <c r="A2983" s="491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7">
        <v>256676</v>
      </c>
      <c r="F2983" s="3" t="str">
        <f>IFERROR(VLOOKUP(E2983,BD!$L$2:$Q$66,2,0),0)</f>
        <v>TWO PACK CC PFM 3LX2 - RFCC</v>
      </c>
      <c r="G2983" s="424">
        <v>960</v>
      </c>
      <c r="H2983" s="3">
        <f>+IFERROR(VLOOKUP(E2983,BD!$L$2:$Q$66,6,0),0)</f>
        <v>120</v>
      </c>
      <c r="I2983" s="96">
        <f>IFERROR(G2983*VLOOKUP($E2983,BD!$L$2:$Q$66,5,0),0)</f>
        <v>163.20000000000002</v>
      </c>
      <c r="J2983" s="5">
        <f t="shared" si="199"/>
        <v>2021</v>
      </c>
    </row>
    <row r="2984" spans="1:10" s="9" customFormat="1" hidden="1" x14ac:dyDescent="0.25">
      <c r="A2984" s="491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7">
        <v>256674</v>
      </c>
      <c r="F2984" s="3" t="str">
        <f>IFERROR(VLOOKUP(E2984,BD!$L$2:$Q$66,2,0),0)</f>
        <v>COCA-COLA PET 1.5LX2 RF</v>
      </c>
      <c r="G2984" s="424">
        <v>2592</v>
      </c>
      <c r="H2984" s="3">
        <f>+IFERROR(VLOOKUP(E2984,BD!$L$2:$Q$66,6,0),0)</f>
        <v>198</v>
      </c>
      <c r="I2984" s="96">
        <f>IFERROR(G2984*VLOOKUP($E2984,BD!$L$2:$Q$66,5,0),0)</f>
        <v>440.64000000000004</v>
      </c>
      <c r="J2984" s="5">
        <f t="shared" si="199"/>
        <v>2021</v>
      </c>
    </row>
    <row r="2985" spans="1:10" s="9" customFormat="1" hidden="1" x14ac:dyDescent="0.25">
      <c r="A2985" s="491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7">
        <v>256652</v>
      </c>
      <c r="F2985" s="3" t="str">
        <f>IFERROR(VLOOKUP(E2985,BD!$L$2:$Q$66,2,0),0)</f>
        <v>TRIPACK FT NAR+FT KI+SP PET 3L</v>
      </c>
      <c r="G2985" s="424">
        <v>2160</v>
      </c>
      <c r="H2985" s="3">
        <f>+IFERROR(VLOOKUP(E2985,BD!$L$2:$Q$66,6,0),0)</f>
        <v>90</v>
      </c>
      <c r="I2985" s="96">
        <f>IFERROR(G2985*VLOOKUP($E2985,BD!$L$2:$Q$66,5,0),0)</f>
        <v>367.20000000000005</v>
      </c>
      <c r="J2985" s="5">
        <f t="shared" si="199"/>
        <v>2021</v>
      </c>
    </row>
    <row r="2986" spans="1:10" s="9" customFormat="1" hidden="1" x14ac:dyDescent="0.25">
      <c r="A2986" s="491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7">
        <v>256695</v>
      </c>
      <c r="F2986" s="3" t="str">
        <f>IFERROR(VLOOKUP(E2986,BD!$L$2:$Q$66,2,0),0)</f>
        <v>POWERADE 3MORA+3FRUT PET 473MLX6</v>
      </c>
      <c r="G2986" s="424">
        <v>3150</v>
      </c>
      <c r="H2986" s="3">
        <f>+IFERROR(VLOOKUP(E2986,BD!$L$2:$Q$66,6,0),0)</f>
        <v>225</v>
      </c>
      <c r="I2986" s="96">
        <f>IFERROR(G2986*VLOOKUP($E2986,BD!$L$2:$Q$66,5,0),0)</f>
        <v>1323</v>
      </c>
      <c r="J2986" s="5">
        <f t="shared" si="199"/>
        <v>2021</v>
      </c>
    </row>
    <row r="2987" spans="1:10" s="9" customFormat="1" hidden="1" x14ac:dyDescent="0.25">
      <c r="A2987" s="491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7">
        <v>256708</v>
      </c>
      <c r="F2987" s="3" t="str">
        <f>IFERROR(VLOOKUP(E2987,BD!$L$2:$Q$66,2,0),0)</f>
        <v>POWERADE ION4 FRUTA PET473X6 MOD (STICK)</v>
      </c>
      <c r="G2987" s="424">
        <v>900</v>
      </c>
      <c r="H2987" s="3">
        <f>+IFERROR(VLOOKUP(E2987,BD!$L$2:$Q$66,6,0),0)</f>
        <v>225</v>
      </c>
      <c r="I2987" s="96">
        <f>IFERROR(G2987*VLOOKUP($E2987,BD!$L$2:$Q$66,5,0),0)</f>
        <v>360</v>
      </c>
      <c r="J2987" s="5">
        <f t="shared" si="199"/>
        <v>2021</v>
      </c>
    </row>
    <row r="2988" spans="1:10" s="9" customFormat="1" hidden="1" x14ac:dyDescent="0.25">
      <c r="A2988" s="491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7">
        <v>256720</v>
      </c>
      <c r="F2988" s="3" t="str">
        <f>IFERROR(VLOOKUP(E2988,BD!$L$2:$Q$66,2,0),0)</f>
        <v>FANTA NARANJA PET 500MLX6 BRANDEADO MOD</v>
      </c>
      <c r="G2988" s="424">
        <v>500</v>
      </c>
      <c r="H2988" s="3">
        <f>+IFERROR(VLOOKUP(E2988,BD!$L$2:$Q$66,6,0),0)</f>
        <v>420</v>
      </c>
      <c r="I2988" s="96">
        <f>IFERROR(G2988*VLOOKUP($E2988,BD!$L$2:$Q$66,5,0),0)</f>
        <v>210</v>
      </c>
      <c r="J2988" s="5">
        <f t="shared" si="199"/>
        <v>2021</v>
      </c>
    </row>
    <row r="2989" spans="1:10" s="9" customFormat="1" hidden="1" x14ac:dyDescent="0.25">
      <c r="A2989" s="491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7">
        <v>256721</v>
      </c>
      <c r="F2989" s="3" t="str">
        <f>IFERROR(VLOOKUP(E2989,BD!$L$2:$Q$66,2,0),0)</f>
        <v>SPRITE PET 500MLX6 BRANDEADO MOD</v>
      </c>
      <c r="G2989" s="424">
        <v>250</v>
      </c>
      <c r="H2989" s="3">
        <f>+IFERROR(VLOOKUP(E2989,BD!$L$2:$Q$66,6,0),0)</f>
        <v>420</v>
      </c>
      <c r="I2989" s="96">
        <f>IFERROR(G2989*VLOOKUP($E2989,BD!$L$2:$Q$66,5,0),0)</f>
        <v>105</v>
      </c>
      <c r="J2989" s="5">
        <f t="shared" si="199"/>
        <v>2021</v>
      </c>
    </row>
    <row r="2990" spans="1:10" s="9" customFormat="1" hidden="1" x14ac:dyDescent="0.25">
      <c r="A2990" s="491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7">
        <v>255430</v>
      </c>
      <c r="F2990" s="3" t="str">
        <f>IFERROR(VLOOKUP(E2990,BD!$L$2:$Q$66,2,0),0)</f>
        <v>INCA KOLA SA PET 500MLX6 - C/STICKER</v>
      </c>
      <c r="G2990" s="424">
        <v>750</v>
      </c>
      <c r="H2990" s="3">
        <f>+IFERROR(VLOOKUP(E2990,BD!$L$2:$Q$66,6,0),0)</f>
        <v>250</v>
      </c>
      <c r="I2990" s="96">
        <f>IFERROR(G2990*VLOOKUP($E2990,BD!$L$2:$Q$66,5,0),0)</f>
        <v>172.5</v>
      </c>
      <c r="J2990" s="5">
        <f t="shared" si="199"/>
        <v>2021</v>
      </c>
    </row>
    <row r="2991" spans="1:10" s="9" customFormat="1" hidden="1" x14ac:dyDescent="0.25">
      <c r="A2991" s="491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7">
        <v>256677</v>
      </c>
      <c r="F2991" s="3" t="str">
        <f>IFERROR(VLOOKUP(E2991,BD!$L$2:$Q$66,2,0),0)</f>
        <v>TWO PACK CC + IK PFM 3LX2 - RFNN</v>
      </c>
      <c r="G2991" s="424">
        <v>3360</v>
      </c>
      <c r="H2991" s="3">
        <f>+IFERROR(VLOOKUP(E2991,BD!$L$2:$Q$66,6,0),0)</f>
        <v>120</v>
      </c>
      <c r="I2991" s="96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hidden="1" thickBot="1" x14ac:dyDescent="0.3">
      <c r="A2992" s="492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9">
        <v>256678</v>
      </c>
      <c r="F2992" s="8" t="str">
        <f>IFERROR(VLOOKUP(E2992,BD!$L$2:$Q$66,2,0),0)</f>
        <v>TRIPACK (CC+IK)PFM+FT PET 3LX3 - RFNN</v>
      </c>
      <c r="G2992" s="501">
        <v>2160</v>
      </c>
      <c r="H2992" s="8">
        <f>+IFERROR(VLOOKUP(E2992,BD!$L$2:$Q$66,6,0),0)</f>
        <v>90</v>
      </c>
      <c r="I2992" s="98">
        <f>IFERROR(G2992*VLOOKUP($E2992,BD!$L$2:$Q$66,5,0),0)</f>
        <v>367.20000000000005</v>
      </c>
      <c r="J2992" s="110">
        <f t="shared" si="199"/>
        <v>2021</v>
      </c>
    </row>
    <row r="2993" spans="1:10" s="9" customFormat="1" hidden="1" x14ac:dyDescent="0.25">
      <c r="A2993" s="493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63">
        <v>251406</v>
      </c>
      <c r="F2993" s="6" t="str">
        <f>IFERROR(VLOOKUP(E2993,BD!$L$2:$Q$66,2,0),0)</f>
        <v>COCA-COLA SIN AZUCAR PET 1.5LX2</v>
      </c>
      <c r="G2993" s="513">
        <v>2160</v>
      </c>
      <c r="H2993" s="6">
        <f>+IFERROR(VLOOKUP(E2993,BD!$L$2:$Q$66,6,0),0)</f>
        <v>198</v>
      </c>
      <c r="I2993" s="97">
        <f>IFERROR(G2993*VLOOKUP($E2993,BD!$L$2:$Q$66,5,0),0)</f>
        <v>367.20000000000005</v>
      </c>
      <c r="J2993" s="109">
        <f t="shared" si="199"/>
        <v>2021</v>
      </c>
    </row>
    <row r="2994" spans="1:10" s="9" customFormat="1" hidden="1" x14ac:dyDescent="0.25">
      <c r="A2994" s="491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7">
        <v>254853</v>
      </c>
      <c r="F2994" s="3" t="str">
        <f>IFERROR(VLOOKUP(E2994,BD!$L$2:$Q$66,2,0),0)</f>
        <v>INCA KOLA SIN AZUCAR PET 1.5LX2</v>
      </c>
      <c r="G2994" s="424">
        <v>1944</v>
      </c>
      <c r="H2994" s="3">
        <f>+IFERROR(VLOOKUP(E2994,BD!$L$2:$Q$66,6,0),0)</f>
        <v>198</v>
      </c>
      <c r="I2994" s="96">
        <f>IFERROR(G2994*VLOOKUP($E2994,BD!$L$2:$Q$66,5,0),0)</f>
        <v>330.48</v>
      </c>
      <c r="J2994" s="5">
        <f t="shared" si="199"/>
        <v>2021</v>
      </c>
    </row>
    <row r="2995" spans="1:10" s="9" customFormat="1" hidden="1" x14ac:dyDescent="0.25">
      <c r="A2995" s="491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7">
        <v>256666</v>
      </c>
      <c r="F2995" s="3" t="str">
        <f>IFERROR(VLOOKUP(E2995,BD!$L$2:$Q$66,2,0),0)</f>
        <v>COCA-COLA PET 2.25LX2 RF</v>
      </c>
      <c r="G2995" s="424">
        <v>648</v>
      </c>
      <c r="H2995" s="3">
        <f>+IFERROR(VLOOKUP(E2995,BD!$L$2:$Q$66,6,0),0)</f>
        <v>162</v>
      </c>
      <c r="I2995" s="96">
        <f>IFERROR(G2995*VLOOKUP($E2995,BD!$L$2:$Q$66,5,0),0)</f>
        <v>110.16000000000001</v>
      </c>
      <c r="J2995" s="5">
        <f t="shared" si="199"/>
        <v>2021</v>
      </c>
    </row>
    <row r="2996" spans="1:10" s="9" customFormat="1" hidden="1" x14ac:dyDescent="0.25">
      <c r="A2996" s="491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7">
        <v>256678</v>
      </c>
      <c r="F2996" s="3" t="str">
        <f>IFERROR(VLOOKUP(E2996,BD!$L$2:$Q$66,2,0),0)</f>
        <v>TRIPACK (CC+IK)PFM+FT PET 3LX3 - RFNN</v>
      </c>
      <c r="G2996" s="424">
        <v>2880</v>
      </c>
      <c r="H2996" s="3">
        <f>+IFERROR(VLOOKUP(E2996,BD!$L$2:$Q$66,6,0),0)</f>
        <v>90</v>
      </c>
      <c r="I2996" s="96">
        <f>IFERROR(G2996*VLOOKUP($E2996,BD!$L$2:$Q$66,5,0),0)</f>
        <v>489.6</v>
      </c>
      <c r="J2996" s="5">
        <f t="shared" si="199"/>
        <v>2021</v>
      </c>
    </row>
    <row r="2997" spans="1:10" s="9" customFormat="1" hidden="1" x14ac:dyDescent="0.25">
      <c r="A2997" s="491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7">
        <v>256675</v>
      </c>
      <c r="F2997" s="3" t="str">
        <f>IFERROR(VLOOKUP(E2997,BD!$L$2:$Q$66,2,0),0)</f>
        <v>INCA KOLA PET 1.5LX2 RF</v>
      </c>
      <c r="G2997" s="424">
        <v>1080</v>
      </c>
      <c r="H2997" s="3">
        <f>+IFERROR(VLOOKUP(E2997,BD!$L$2:$Q$66,6,0),0)</f>
        <v>198</v>
      </c>
      <c r="I2997" s="96">
        <f>IFERROR(G2997*VLOOKUP($E2997,BD!$L$2:$Q$66,5,0),0)</f>
        <v>183.60000000000002</v>
      </c>
      <c r="J2997" s="5">
        <f t="shared" si="199"/>
        <v>2021</v>
      </c>
    </row>
    <row r="2998" spans="1:10" s="9" customFormat="1" hidden="1" x14ac:dyDescent="0.25">
      <c r="A2998" s="491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7">
        <v>256677</v>
      </c>
      <c r="F2998" s="3" t="str">
        <f>IFERROR(VLOOKUP(E2998,BD!$L$2:$Q$66,2,0),0)</f>
        <v>TWO PACK CC + IK PFM 3LX2 - RFNN</v>
      </c>
      <c r="G2998" s="424">
        <v>240</v>
      </c>
      <c r="H2998" s="3">
        <f>+IFERROR(VLOOKUP(E2998,BD!$L$2:$Q$66,6,0),0)</f>
        <v>120</v>
      </c>
      <c r="I2998" s="96">
        <f>IFERROR(G2998*VLOOKUP($E2998,BD!$L$2:$Q$66,5,0),0)</f>
        <v>40.800000000000004</v>
      </c>
      <c r="J2998" s="5">
        <f t="shared" si="199"/>
        <v>2021</v>
      </c>
    </row>
    <row r="2999" spans="1:10" s="9" customFormat="1" hidden="1" x14ac:dyDescent="0.25">
      <c r="A2999" s="491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7">
        <v>251632</v>
      </c>
      <c r="F2999" s="3" t="str">
        <f>IFERROR(VLOOKUP(E2999,BD!$L$2:$Q$66,2,0),0)</f>
        <v>SAN LUIS SIN GAS PET 625MLX06 MOD</v>
      </c>
      <c r="G2999" s="424">
        <v>1440</v>
      </c>
      <c r="H2999" s="3">
        <f>+IFERROR(VLOOKUP(E2999,BD!$L$2:$Q$66,6,0),0)</f>
        <v>180</v>
      </c>
      <c r="I2999" s="96">
        <f>IFERROR(G2999*VLOOKUP($E2999,BD!$L$2:$Q$66,5,0),0)</f>
        <v>604.79999999999995</v>
      </c>
      <c r="J2999" s="5">
        <f t="shared" si="199"/>
        <v>2021</v>
      </c>
    </row>
    <row r="3000" spans="1:10" s="9" customFormat="1" hidden="1" x14ac:dyDescent="0.25">
      <c r="A3000" s="491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7">
        <v>252436</v>
      </c>
      <c r="F3000" s="3" t="str">
        <f>IFERROR(VLOOKUP(E3000,BD!$L$2:$Q$66,2,0),0)</f>
        <v>SAN LUIS SIN GAS PET 625MLX15 C/STICKER</v>
      </c>
      <c r="G3000" s="424">
        <v>720</v>
      </c>
      <c r="H3000" s="3">
        <f>+IFERROR(VLOOKUP(E3000,BD!$L$2:$Q$66,6,0),0)</f>
        <v>90</v>
      </c>
      <c r="I3000" s="96">
        <f>IFERROR(G3000*VLOOKUP($E3000,BD!$L$2:$Q$66,5,0),0)</f>
        <v>288</v>
      </c>
      <c r="J3000" s="5">
        <f t="shared" si="199"/>
        <v>2021</v>
      </c>
    </row>
    <row r="3001" spans="1:10" s="9" customFormat="1" hidden="1" x14ac:dyDescent="0.25">
      <c r="A3001" s="491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7">
        <v>256720</v>
      </c>
      <c r="F3001" s="3" t="str">
        <f>IFERROR(VLOOKUP(E3001,BD!$L$2:$Q$66,2,0),0)</f>
        <v>FANTA NARANJA PET 500MLX6 BRANDEADO MOD</v>
      </c>
      <c r="G3001" s="424">
        <v>1250</v>
      </c>
      <c r="H3001" s="3">
        <f>+IFERROR(VLOOKUP(E3001,BD!$L$2:$Q$66,6,0),0)</f>
        <v>420</v>
      </c>
      <c r="I3001" s="96">
        <f>IFERROR(G3001*VLOOKUP($E3001,BD!$L$2:$Q$66,5,0),0)</f>
        <v>525</v>
      </c>
      <c r="J3001" s="5">
        <f t="shared" si="199"/>
        <v>2021</v>
      </c>
    </row>
    <row r="3002" spans="1:10" s="9" customFormat="1" hidden="1" x14ac:dyDescent="0.25">
      <c r="A3002" s="491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7">
        <v>256721</v>
      </c>
      <c r="F3002" s="3" t="str">
        <f>IFERROR(VLOOKUP(E3002,BD!$L$2:$Q$66,2,0),0)</f>
        <v>SPRITE PET 500MLX6 BRANDEADO MOD</v>
      </c>
      <c r="G3002" s="424">
        <v>1000</v>
      </c>
      <c r="H3002" s="3">
        <f>+IFERROR(VLOOKUP(E3002,BD!$L$2:$Q$66,6,0),0)</f>
        <v>420</v>
      </c>
      <c r="I3002" s="96">
        <f>IFERROR(G3002*VLOOKUP($E3002,BD!$L$2:$Q$66,5,0),0)</f>
        <v>420</v>
      </c>
      <c r="J3002" s="5">
        <f t="shared" si="199"/>
        <v>2021</v>
      </c>
    </row>
    <row r="3003" spans="1:10" s="9" customFormat="1" hidden="1" x14ac:dyDescent="0.25">
      <c r="A3003" s="491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7">
        <v>251429</v>
      </c>
      <c r="F3003" s="3" t="str">
        <f>IFERROR(VLOOKUP(E3003,BD!$L$2:$Q$66,2,0),0)</f>
        <v>SAN LUIS SIN GAS PET2500X6 STICKER</v>
      </c>
      <c r="G3003" s="424">
        <v>1440</v>
      </c>
      <c r="H3003" s="3">
        <f>+IFERROR(VLOOKUP(E3003,BD!$L$2:$Q$66,6,0),0)</f>
        <v>48</v>
      </c>
      <c r="I3003" s="96">
        <f>IFERROR(G3003*VLOOKUP($E3003,BD!$L$2:$Q$66,5,0),0)</f>
        <v>576</v>
      </c>
      <c r="J3003" s="5">
        <f t="shared" si="199"/>
        <v>2021</v>
      </c>
    </row>
    <row r="3004" spans="1:10" s="9" customFormat="1" hidden="1" x14ac:dyDescent="0.25">
      <c r="A3004" s="491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7">
        <v>256381</v>
      </c>
      <c r="F3004" s="3" t="str">
        <f>IFERROR(VLOOKUP(E3004,BD!$L$2:$Q$66,2,0),0)</f>
        <v>INCA KOLA VR 1.5LX8 - STICKER</v>
      </c>
      <c r="G3004" s="424">
        <v>120</v>
      </c>
      <c r="H3004" s="3">
        <f>+IFERROR(VLOOKUP(E3004,BD!$L$2:$Q$66,6,0),0)</f>
        <v>30</v>
      </c>
      <c r="I3004" s="96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hidden="1" x14ac:dyDescent="0.25">
      <c r="A3005" s="491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7">
        <v>255430</v>
      </c>
      <c r="F3005" s="3" t="str">
        <f>IFERROR(VLOOKUP(E3005,BD!$L$2:$Q$66,2,0),0)</f>
        <v>INCA KOLA SA PET 500MLX6 - C/STICKER</v>
      </c>
      <c r="G3005" s="424">
        <v>250</v>
      </c>
      <c r="H3005" s="3">
        <f>+IFERROR(VLOOKUP(E3005,BD!$L$2:$Q$66,6,0),0)</f>
        <v>250</v>
      </c>
      <c r="I3005" s="96">
        <f>IFERROR(G3005*VLOOKUP($E3005,BD!$L$2:$Q$66,5,0),0)</f>
        <v>57.5</v>
      </c>
      <c r="J3005" s="5">
        <f t="shared" si="203"/>
        <v>2021</v>
      </c>
    </row>
    <row r="3006" spans="1:10" s="9" customFormat="1" ht="15.75" hidden="1" thickBot="1" x14ac:dyDescent="0.3">
      <c r="A3006" s="492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9">
        <v>255430</v>
      </c>
      <c r="F3006" s="8" t="str">
        <f>IFERROR(VLOOKUP(E3006,BD!$L$2:$Q$66,2,0),0)</f>
        <v>INCA KOLA SA PET 500MLX6 - C/STICKER</v>
      </c>
      <c r="G3006" s="501">
        <v>250</v>
      </c>
      <c r="H3006" s="8">
        <f>+IFERROR(VLOOKUP(E3006,BD!$L$2:$Q$66,6,0),0)</f>
        <v>250</v>
      </c>
      <c r="I3006" s="98">
        <f>IFERROR(G3006*VLOOKUP($E3006,BD!$L$2:$Q$66,5,0),0)</f>
        <v>57.5</v>
      </c>
      <c r="J3006" s="110">
        <f t="shared" si="203"/>
        <v>2021</v>
      </c>
    </row>
    <row r="3007" spans="1:10" s="9" customFormat="1" hidden="1" x14ac:dyDescent="0.25">
      <c r="A3007" s="493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63">
        <v>251406</v>
      </c>
      <c r="F3007" s="6" t="str">
        <f>IFERROR(VLOOKUP(E3007,BD!$L$2:$Q$66,2,0),0)</f>
        <v>COCA-COLA SIN AZUCAR PET 1.5LX2</v>
      </c>
      <c r="G3007" s="513">
        <v>1728</v>
      </c>
      <c r="H3007" s="6">
        <f>+IFERROR(VLOOKUP(E3007,BD!$L$2:$Q$66,6,0),0)</f>
        <v>198</v>
      </c>
      <c r="I3007" s="97">
        <f>IFERROR(G3007*VLOOKUP($E3007,BD!$L$2:$Q$66,5,0),0)</f>
        <v>293.76000000000005</v>
      </c>
      <c r="J3007" s="109">
        <f t="shared" si="203"/>
        <v>2021</v>
      </c>
    </row>
    <row r="3008" spans="1:10" s="9" customFormat="1" hidden="1" x14ac:dyDescent="0.25">
      <c r="A3008" s="491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7">
        <v>254853</v>
      </c>
      <c r="F3008" s="3" t="str">
        <f>IFERROR(VLOOKUP(E3008,BD!$L$2:$Q$66,2,0),0)</f>
        <v>INCA KOLA SIN AZUCAR PET 1.5LX2</v>
      </c>
      <c r="G3008" s="424">
        <v>2160</v>
      </c>
      <c r="H3008" s="3">
        <f>+IFERROR(VLOOKUP(E3008,BD!$L$2:$Q$66,6,0),0)</f>
        <v>198</v>
      </c>
      <c r="I3008" s="96">
        <f>IFERROR(G3008*VLOOKUP($E3008,BD!$L$2:$Q$66,5,0),0)</f>
        <v>367.20000000000005</v>
      </c>
      <c r="J3008" s="5">
        <f t="shared" si="203"/>
        <v>2021</v>
      </c>
    </row>
    <row r="3009" spans="1:47" s="9" customFormat="1" hidden="1" x14ac:dyDescent="0.25">
      <c r="A3009" s="491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7">
        <v>256488</v>
      </c>
      <c r="F3009" s="3" t="str">
        <f>IFERROR(VLOOKUP(E3009,BD!$L$2:$Q$66,2,0),0)</f>
        <v>INCA KOLA PET 3LX2 - RF</v>
      </c>
      <c r="G3009" s="424">
        <v>2280</v>
      </c>
      <c r="H3009" s="3">
        <f>+IFERROR(VLOOKUP(E3009,BD!$L$2:$Q$66,6,0),0)</f>
        <v>120</v>
      </c>
      <c r="I3009" s="96">
        <f>IFERROR(G3009*VLOOKUP($E3009,BD!$L$2:$Q$66,5,0),0)</f>
        <v>387.6</v>
      </c>
      <c r="J3009" s="5">
        <f t="shared" si="203"/>
        <v>2021</v>
      </c>
    </row>
    <row r="3010" spans="1:47" s="9" customFormat="1" hidden="1" x14ac:dyDescent="0.25">
      <c r="A3010" s="491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7">
        <v>256652</v>
      </c>
      <c r="F3010" s="3" t="str">
        <f>IFERROR(VLOOKUP(E3010,BD!$L$2:$Q$66,2,0),0)</f>
        <v>TRIPACK FT NAR+FT KI+SP PET 3L</v>
      </c>
      <c r="G3010" s="424">
        <v>1890</v>
      </c>
      <c r="H3010" s="3">
        <f>+IFERROR(VLOOKUP(E3010,BD!$L$2:$Q$66,6,0),0)</f>
        <v>90</v>
      </c>
      <c r="I3010" s="96">
        <f>IFERROR(G3010*VLOOKUP($E3010,BD!$L$2:$Q$66,5,0),0)</f>
        <v>321.3</v>
      </c>
      <c r="J3010" s="5">
        <f t="shared" si="203"/>
        <v>2021</v>
      </c>
    </row>
    <row r="3011" spans="1:47" s="9" customFormat="1" hidden="1" x14ac:dyDescent="0.25">
      <c r="A3011" s="491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7">
        <v>256674</v>
      </c>
      <c r="F3011" s="3" t="str">
        <f>IFERROR(VLOOKUP(E3011,BD!$L$2:$Q$66,2,0),0)</f>
        <v>COCA-COLA PET 1.5LX2 RF</v>
      </c>
      <c r="G3011" s="424">
        <v>2592</v>
      </c>
      <c r="H3011" s="3">
        <f>+IFERROR(VLOOKUP(E3011,BD!$L$2:$Q$66,6,0),0)</f>
        <v>198</v>
      </c>
      <c r="I3011" s="96">
        <f>IFERROR(G3011*VLOOKUP($E3011,BD!$L$2:$Q$66,5,0),0)</f>
        <v>440.64000000000004</v>
      </c>
      <c r="J3011" s="5">
        <f t="shared" si="203"/>
        <v>2021</v>
      </c>
    </row>
    <row r="3012" spans="1:47" s="9" customFormat="1" hidden="1" x14ac:dyDescent="0.25">
      <c r="A3012" s="491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7">
        <v>256676</v>
      </c>
      <c r="F3012" s="3" t="str">
        <f>IFERROR(VLOOKUP(E3012,BD!$L$2:$Q$66,2,0),0)</f>
        <v>TWO PACK CC PFM 3LX2 - RFCC</v>
      </c>
      <c r="G3012" s="424">
        <v>1920</v>
      </c>
      <c r="H3012" s="3">
        <f>+IFERROR(VLOOKUP(E3012,BD!$L$2:$Q$66,6,0),0)</f>
        <v>120</v>
      </c>
      <c r="I3012" s="96">
        <f>IFERROR(G3012*VLOOKUP($E3012,BD!$L$2:$Q$66,5,0),0)</f>
        <v>326.40000000000003</v>
      </c>
      <c r="J3012" s="5">
        <f t="shared" si="203"/>
        <v>2021</v>
      </c>
    </row>
    <row r="3013" spans="1:47" s="9" customFormat="1" hidden="1" x14ac:dyDescent="0.25">
      <c r="A3013" s="491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7">
        <v>256677</v>
      </c>
      <c r="F3013" s="3" t="str">
        <f>IFERROR(VLOOKUP(E3013,BD!$L$2:$Q$66,2,0),0)</f>
        <v>TWO PACK CC + IK PFM 3LX2 - RFNN</v>
      </c>
      <c r="G3013" s="425">
        <v>3360</v>
      </c>
      <c r="H3013" s="3">
        <f>+IFERROR(VLOOKUP(E3013,BD!$L$2:$Q$66,6,0),0)</f>
        <v>120</v>
      </c>
      <c r="I3013" s="96">
        <f>IFERROR(G3013*VLOOKUP($E3013,BD!$L$2:$Q$66,5,0),0)</f>
        <v>571.20000000000005</v>
      </c>
      <c r="J3013" s="5">
        <f t="shared" si="203"/>
        <v>2021</v>
      </c>
    </row>
    <row r="3014" spans="1:47" s="9" customFormat="1" hidden="1" x14ac:dyDescent="0.25">
      <c r="A3014" s="491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7">
        <v>256678</v>
      </c>
      <c r="F3014" s="3" t="str">
        <f>IFERROR(VLOOKUP(E3014,BD!$L$2:$Q$66,2,0),0)</f>
        <v>TRIPACK (CC+IK)PFM+FT PET 3LX3 - RFNN</v>
      </c>
      <c r="G3014" s="425">
        <v>2160</v>
      </c>
      <c r="H3014" s="3">
        <f>+IFERROR(VLOOKUP(E3014,BD!$L$2:$Q$66,6,0),0)</f>
        <v>90</v>
      </c>
      <c r="I3014" s="96">
        <f>IFERROR(G3014*VLOOKUP($E3014,BD!$L$2:$Q$66,5,0),0)</f>
        <v>367.20000000000005</v>
      </c>
      <c r="J3014" s="5">
        <f t="shared" si="203"/>
        <v>2021</v>
      </c>
    </row>
    <row r="3015" spans="1:47" s="9" customFormat="1" hidden="1" x14ac:dyDescent="0.25">
      <c r="A3015" s="491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7">
        <v>251633</v>
      </c>
      <c r="F3015" s="3" t="str">
        <f>IFERROR(VLOOKUP(E3015,BD!$L$2:$Q$66,2,0),0)</f>
        <v>SAN LUIS CON GAS PET 625MLX6</v>
      </c>
      <c r="G3015" s="424">
        <v>720</v>
      </c>
      <c r="H3015" s="3">
        <f>+IFERROR(VLOOKUP(E3015,BD!$L$2:$Q$66,6,0),0)</f>
        <v>180</v>
      </c>
      <c r="I3015" s="96">
        <f>IFERROR(G3015*VLOOKUP($E3015,BD!$L$2:$Q$66,5,0),0)</f>
        <v>302.39999999999998</v>
      </c>
      <c r="J3015" s="5">
        <f t="shared" si="203"/>
        <v>2021</v>
      </c>
    </row>
    <row r="3016" spans="1:47" s="9" customFormat="1" hidden="1" x14ac:dyDescent="0.25">
      <c r="A3016" s="491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7">
        <v>252436</v>
      </c>
      <c r="F3016" s="3" t="str">
        <f>IFERROR(VLOOKUP(E3016,BD!$L$2:$Q$66,2,0),0)</f>
        <v>SAN LUIS SIN GAS PET 625MLX15 C/STICKER</v>
      </c>
      <c r="G3016" s="424">
        <v>180</v>
      </c>
      <c r="H3016" s="3">
        <f>+IFERROR(VLOOKUP(E3016,BD!$L$2:$Q$66,6,0),0)</f>
        <v>90</v>
      </c>
      <c r="I3016" s="96">
        <f>IFERROR(G3016*VLOOKUP($E3016,BD!$L$2:$Q$66,5,0),0)</f>
        <v>72</v>
      </c>
      <c r="J3016" s="5">
        <f t="shared" si="203"/>
        <v>2021</v>
      </c>
    </row>
    <row r="3017" spans="1:47" s="9" customFormat="1" hidden="1" x14ac:dyDescent="0.25">
      <c r="A3017" s="491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7">
        <v>256695</v>
      </c>
      <c r="F3017" s="3" t="str">
        <f>IFERROR(VLOOKUP(E3017,BD!$L$2:$Q$66,2,0),0)</f>
        <v>POWERADE 3MORA+3FRUT PET 473MLX6</v>
      </c>
      <c r="G3017" s="424">
        <v>3150</v>
      </c>
      <c r="H3017" s="3">
        <f>+IFERROR(VLOOKUP(E3017,BD!$L$2:$Q$66,6,0),0)</f>
        <v>225</v>
      </c>
      <c r="I3017" s="96">
        <f>IFERROR(G3017*VLOOKUP($E3017,BD!$L$2:$Q$66,5,0),0)</f>
        <v>1323</v>
      </c>
      <c r="J3017" s="5">
        <f t="shared" si="203"/>
        <v>2021</v>
      </c>
    </row>
    <row r="3018" spans="1:47" s="9" customFormat="1" hidden="1" x14ac:dyDescent="0.25">
      <c r="A3018" s="491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7">
        <v>256720</v>
      </c>
      <c r="F3018" s="3" t="str">
        <f>IFERROR(VLOOKUP(E3018,BD!$L$2:$Q$66,2,0),0)</f>
        <v>FANTA NARANJA PET 500MLX6 BRANDEADO MOD</v>
      </c>
      <c r="G3018" s="424">
        <v>500</v>
      </c>
      <c r="H3018" s="3">
        <f>+IFERROR(VLOOKUP(E3018,BD!$L$2:$Q$66,6,0),0)</f>
        <v>420</v>
      </c>
      <c r="I3018" s="96">
        <f>IFERROR(G3018*VLOOKUP($E3018,BD!$L$2:$Q$66,5,0),0)</f>
        <v>210</v>
      </c>
      <c r="J3018" s="5">
        <f t="shared" si="203"/>
        <v>2021</v>
      </c>
    </row>
    <row r="3019" spans="1:47" s="9" customFormat="1" hidden="1" x14ac:dyDescent="0.25">
      <c r="A3019" s="491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7">
        <v>256721</v>
      </c>
      <c r="F3019" s="3" t="str">
        <f>IFERROR(VLOOKUP(E3019,BD!$L$2:$Q$66,2,0),0)</f>
        <v>SPRITE PET 500MLX6 BRANDEADO MOD</v>
      </c>
      <c r="G3019" s="424">
        <v>500</v>
      </c>
      <c r="H3019" s="3">
        <f>+IFERROR(VLOOKUP(E3019,BD!$L$2:$Q$66,6,0),0)</f>
        <v>420</v>
      </c>
      <c r="I3019" s="96">
        <f>IFERROR(G3019*VLOOKUP($E3019,BD!$L$2:$Q$66,5,0),0)</f>
        <v>210</v>
      </c>
      <c r="J3019" s="5">
        <f t="shared" si="203"/>
        <v>2021</v>
      </c>
    </row>
    <row r="3020" spans="1:47" s="9" customFormat="1" hidden="1" x14ac:dyDescent="0.25">
      <c r="A3020" s="491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7">
        <v>251429</v>
      </c>
      <c r="F3020" s="3" t="str">
        <f>IFERROR(VLOOKUP(E3020,BD!$L$2:$Q$66,2,0),0)</f>
        <v>SAN LUIS SIN GAS PET2500X6 STICKER</v>
      </c>
      <c r="G3020" s="425">
        <v>720</v>
      </c>
      <c r="H3020" s="3">
        <f>+IFERROR(VLOOKUP(E3020,BD!$L$2:$Q$66,6,0),0)</f>
        <v>48</v>
      </c>
      <c r="I3020" s="96">
        <f>IFERROR(G3020*VLOOKUP($E3020,BD!$L$2:$Q$66,5,0),0)</f>
        <v>288</v>
      </c>
      <c r="J3020" s="5">
        <f t="shared" si="203"/>
        <v>2021</v>
      </c>
    </row>
    <row r="3021" spans="1:47" s="9" customFormat="1" hidden="1" x14ac:dyDescent="0.25">
      <c r="A3021" s="491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7">
        <v>254762</v>
      </c>
      <c r="F3021" s="3" t="str">
        <f>IFERROR(VLOOKUP(E3021,BD!$L$2:$Q$66,2,0),0)</f>
        <v xml:space="preserve">SAN LUIS SPORT S/G 10 Lt x6 </v>
      </c>
      <c r="G3021" s="424">
        <v>336</v>
      </c>
      <c r="H3021" s="3">
        <f>+IFERROR(VLOOKUP(E3021,BD!$L$2:$Q$66,6,0),0)</f>
        <v>240</v>
      </c>
      <c r="I3021" s="96">
        <f>IFERROR(G3021*VLOOKUP($E3021,BD!$L$2:$Q$66,5,0),0)</f>
        <v>134.4</v>
      </c>
      <c r="J3021" s="5">
        <f t="shared" si="203"/>
        <v>2021</v>
      </c>
    </row>
    <row r="3022" spans="1:47" s="9" customFormat="1" hidden="1" x14ac:dyDescent="0.25">
      <c r="A3022" s="491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7">
        <v>256685</v>
      </c>
      <c r="F3022" s="3" t="str">
        <f>IFERROR(VLOOKUP(E3022,BD!$L$2:$Q$66,2,0),0)</f>
        <v>SL S/G TAPA PLANA 1LT</v>
      </c>
      <c r="G3022" s="424">
        <v>224</v>
      </c>
      <c r="H3022" s="3">
        <f>+IFERROR(VLOOKUP(E3022,BD!$L$2:$Q$66,6,0),0)</f>
        <v>112</v>
      </c>
      <c r="I3022" s="96">
        <f>IFERROR(G3022*VLOOKUP($E3022,BD!$L$2:$Q$66,5,0),0)</f>
        <v>89.600000000000009</v>
      </c>
      <c r="J3022" s="5">
        <f t="shared" si="203"/>
        <v>2021</v>
      </c>
    </row>
    <row r="3023" spans="1:47" s="9" customFormat="1" hidden="1" x14ac:dyDescent="0.25">
      <c r="A3023" s="491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7">
        <v>256708</v>
      </c>
      <c r="F3023" s="3" t="str">
        <f>IFERROR(VLOOKUP(E3023,BD!$L$2:$Q$66,2,0),0)</f>
        <v>POWERADE ION4 FRUTA PET473X6 MOD (STICK)</v>
      </c>
      <c r="G3023" s="424">
        <v>900</v>
      </c>
      <c r="H3023" s="3">
        <f>+IFERROR(VLOOKUP(E3023,BD!$L$2:$Q$66,6,0),0)</f>
        <v>225</v>
      </c>
      <c r="I3023" s="96">
        <f>IFERROR(G3023*VLOOKUP($E3023,BD!$L$2:$Q$66,5,0),0)</f>
        <v>360</v>
      </c>
      <c r="J3023" s="5">
        <f t="shared" si="203"/>
        <v>2021</v>
      </c>
    </row>
    <row r="3024" spans="1:47" s="9" customFormat="1" hidden="1" x14ac:dyDescent="0.25">
      <c r="A3024" s="52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70">
        <v>255430</v>
      </c>
      <c r="F3024" s="33" t="str">
        <f>IFERROR(VLOOKUP(E3024,BD!$L$2:$Q$66,2,0),0)</f>
        <v>INCA KOLA SA PET 500MLX6 - C/STICKER</v>
      </c>
      <c r="G3024" s="512">
        <v>250</v>
      </c>
      <c r="H3024" s="33">
        <f>+IFERROR(VLOOKUP(E3024,BD!$L$2:$Q$66,6,0),0)</f>
        <v>250</v>
      </c>
      <c r="I3024" s="499">
        <f>IFERROR(G3024*VLOOKUP($E3024,BD!$L$2:$Q$66,5,0),0)</f>
        <v>57.5</v>
      </c>
      <c r="J3024" s="386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61" customFormat="1" ht="15.75" hidden="1" thickBot="1" x14ac:dyDescent="0.3">
      <c r="A3025" s="514">
        <v>44521</v>
      </c>
      <c r="B3025" s="486" t="str">
        <f t="shared" si="200"/>
        <v>NOVIEMBRE</v>
      </c>
      <c r="C3025" s="486">
        <f t="shared" si="201"/>
        <v>48</v>
      </c>
      <c r="D3025" s="487" t="str">
        <f t="shared" si="202"/>
        <v>DOMINGO</v>
      </c>
      <c r="E3025" s="515">
        <v>255430</v>
      </c>
      <c r="F3025" s="487" t="str">
        <f>IFERROR(VLOOKUP(E3025,BD!$L$2:$Q$66,2,0),0)</f>
        <v>INCA KOLA SA PET 500MLX6 - C/STICKER</v>
      </c>
      <c r="G3025" s="516">
        <v>2250</v>
      </c>
      <c r="H3025" s="487">
        <f>+IFERROR(VLOOKUP(E3025,BD!$L$2:$Q$66,6,0),0)</f>
        <v>250</v>
      </c>
      <c r="I3025" s="490">
        <f>IFERROR(G3025*VLOOKUP($E3025,BD!$L$2:$Q$66,5,0),0)</f>
        <v>517.5</v>
      </c>
      <c r="J3025" s="54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hidden="1" x14ac:dyDescent="0.25">
      <c r="A3026" s="493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63">
        <v>256379</v>
      </c>
      <c r="F3026" s="6" t="str">
        <f>IFERROR(VLOOKUP(E3026,BD!$L$2:$Q$66,2,0),0)</f>
        <v>INCA KOLA VR 625MLX12 - STICKER</v>
      </c>
      <c r="G3026" s="513">
        <v>150</v>
      </c>
      <c r="H3026" s="6">
        <f>+IFERROR(VLOOKUP(E3026,BD!$L$2:$Q$66,6,0),0)</f>
        <v>50</v>
      </c>
      <c r="I3026" s="97">
        <f>IFERROR(G3026*VLOOKUP($E3026,BD!$L$2:$Q$66,5,0),0)</f>
        <v>60</v>
      </c>
      <c r="J3026" s="351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hidden="1" x14ac:dyDescent="0.25">
      <c r="A3027" s="491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7">
        <v>256488</v>
      </c>
      <c r="F3027" s="3" t="str">
        <f>IFERROR(VLOOKUP(E3027,BD!$L$2:$Q$66,2,0),0)</f>
        <v>INCA KOLA PET 3LX2 - RF</v>
      </c>
      <c r="G3027" s="424">
        <v>6240</v>
      </c>
      <c r="H3027" s="3">
        <f>+IFERROR(VLOOKUP(E3027,BD!$L$2:$Q$66,6,0),0)</f>
        <v>120</v>
      </c>
      <c r="I3027" s="96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hidden="1" x14ac:dyDescent="0.25">
      <c r="A3028" s="491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7">
        <v>256677</v>
      </c>
      <c r="F3028" s="3" t="str">
        <f>IFERROR(VLOOKUP(E3028,BD!$L$2:$Q$66,2,0),0)</f>
        <v>TWO PACK CC + IK PFM 3LX2 - RFNN</v>
      </c>
      <c r="G3028" s="424">
        <v>4080</v>
      </c>
      <c r="H3028" s="3">
        <f>+IFERROR(VLOOKUP(E3028,BD!$L$2:$Q$66,6,0),0)</f>
        <v>120</v>
      </c>
      <c r="I3028" s="96">
        <f>IFERROR(G3028*VLOOKUP($E3028,BD!$L$2:$Q$66,5,0),0)</f>
        <v>693.6</v>
      </c>
      <c r="J3028" s="5">
        <f t="shared" si="203"/>
        <v>2021</v>
      </c>
    </row>
    <row r="3029" spans="1:109" s="9" customFormat="1" ht="15.75" hidden="1" thickBot="1" x14ac:dyDescent="0.3">
      <c r="A3029" s="492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9">
        <v>256721</v>
      </c>
      <c r="F3029" s="8" t="str">
        <f>IFERROR(VLOOKUP(E3029,BD!$L$2:$Q$66,2,0),0)</f>
        <v>SPRITE PET 500MLX6 BRANDEADO MOD</v>
      </c>
      <c r="G3029" s="501">
        <v>500</v>
      </c>
      <c r="H3029" s="8">
        <f>+IFERROR(VLOOKUP(E3029,BD!$L$2:$Q$66,6,0),0)</f>
        <v>420</v>
      </c>
      <c r="I3029" s="98">
        <f>IFERROR(G3029*VLOOKUP($E3029,BD!$L$2:$Q$66,5,0),0)</f>
        <v>210</v>
      </c>
      <c r="J3029" s="110">
        <f t="shared" si="203"/>
        <v>2021</v>
      </c>
    </row>
    <row r="3030" spans="1:109" s="9" customFormat="1" hidden="1" x14ac:dyDescent="0.25">
      <c r="A3030" s="493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63">
        <v>751468</v>
      </c>
      <c r="F3030" s="6" t="str">
        <f>IFERROR(VLOOKUP(E3030,BD!$L$2:$Q$66,2,0),0)</f>
        <v>MONSTER ENERGY ULTRA 473MLX4</v>
      </c>
      <c r="G3030" s="519">
        <v>2940</v>
      </c>
      <c r="H3030" s="6">
        <f>+IFERROR(VLOOKUP(E3030,BD!$L$2:$Q$66,6,0),0)</f>
        <v>420</v>
      </c>
      <c r="I3030" s="97">
        <f>IFERROR(G3030*VLOOKUP($E3030,BD!$L$2:$Q$66,5,0),0)</f>
        <v>1234.8</v>
      </c>
      <c r="J3030" s="109">
        <f t="shared" si="203"/>
        <v>2021</v>
      </c>
    </row>
    <row r="3031" spans="1:109" s="9" customFormat="1" hidden="1" x14ac:dyDescent="0.25">
      <c r="A3031" s="491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7">
        <v>256488</v>
      </c>
      <c r="F3031" s="3" t="str">
        <f>IFERROR(VLOOKUP(E3031,BD!$L$2:$Q$66,2,0),0)</f>
        <v>INCA KOLA PET 3LX2 - RF</v>
      </c>
      <c r="G3031" s="424">
        <v>5880</v>
      </c>
      <c r="H3031" s="3">
        <f>+IFERROR(VLOOKUP(E3031,BD!$L$2:$Q$66,6,0),0)</f>
        <v>120</v>
      </c>
      <c r="I3031" s="96">
        <f>IFERROR(G3031*VLOOKUP($E3031,BD!$L$2:$Q$66,5,0),0)</f>
        <v>999.6</v>
      </c>
      <c r="J3031" s="5">
        <f t="shared" si="203"/>
        <v>2021</v>
      </c>
    </row>
    <row r="3032" spans="1:109" s="9" customFormat="1" hidden="1" x14ac:dyDescent="0.25">
      <c r="A3032" s="491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7">
        <v>256616</v>
      </c>
      <c r="F3032" s="3" t="str">
        <f>IFERROR(VLOOKUP(E3032,BD!$L$2:$Q$66,2,0),0)</f>
        <v>TWO PACK SCHWEPPES CITRUS PET 1.5LX2</v>
      </c>
      <c r="G3032" s="424">
        <v>198</v>
      </c>
      <c r="H3032" s="3">
        <f>+IFERROR(VLOOKUP(E3032,BD!$L$2:$Q$66,6,0),0)</f>
        <v>198</v>
      </c>
      <c r="I3032" s="96">
        <f>IFERROR(G3032*VLOOKUP($E3032,BD!$L$2:$Q$66,5,0),0)</f>
        <v>33.660000000000004</v>
      </c>
      <c r="J3032" s="5">
        <f t="shared" si="203"/>
        <v>2021</v>
      </c>
    </row>
    <row r="3033" spans="1:109" s="9" customFormat="1" hidden="1" x14ac:dyDescent="0.25">
      <c r="A3033" s="491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7">
        <v>256617</v>
      </c>
      <c r="F3033" s="3" t="str">
        <f>IFERROR(VLOOKUP(E3033,BD!$L$2:$Q$66,2,0),0)</f>
        <v>TWO PACK SCHWEPPES GINGER ALE PET 1.5LX2</v>
      </c>
      <c r="G3033" s="424">
        <v>198</v>
      </c>
      <c r="H3033" s="3">
        <f>+IFERROR(VLOOKUP(E3033,BD!$L$2:$Q$66,6,0),0)</f>
        <v>198</v>
      </c>
      <c r="I3033" s="96">
        <f>IFERROR(G3033*VLOOKUP($E3033,BD!$L$2:$Q$66,5,0),0)</f>
        <v>33.660000000000004</v>
      </c>
      <c r="J3033" s="5">
        <f t="shared" si="203"/>
        <v>2021</v>
      </c>
    </row>
    <row r="3034" spans="1:109" s="9" customFormat="1" hidden="1" x14ac:dyDescent="0.25">
      <c r="A3034" s="491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7">
        <v>256675</v>
      </c>
      <c r="F3034" s="3" t="str">
        <f>IFERROR(VLOOKUP(E3034,BD!$L$2:$Q$66,2,0),0)</f>
        <v>INCA KOLA PET 1.5LX2 RF</v>
      </c>
      <c r="G3034" s="424">
        <v>864</v>
      </c>
      <c r="H3034" s="3">
        <f>+IFERROR(VLOOKUP(E3034,BD!$L$2:$Q$66,6,0),0)</f>
        <v>198</v>
      </c>
      <c r="I3034" s="96">
        <f>IFERROR(G3034*VLOOKUP($E3034,BD!$L$2:$Q$66,5,0),0)</f>
        <v>146.88000000000002</v>
      </c>
      <c r="J3034" s="5">
        <f t="shared" si="203"/>
        <v>2021</v>
      </c>
    </row>
    <row r="3035" spans="1:109" s="9" customFormat="1" hidden="1" x14ac:dyDescent="0.25">
      <c r="A3035" s="491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7">
        <v>256676</v>
      </c>
      <c r="F3035" s="3" t="str">
        <f>IFERROR(VLOOKUP(E3035,BD!$L$2:$Q$66,2,0),0)</f>
        <v>TWO PACK CC PFM 3LX2 - RFCC</v>
      </c>
      <c r="G3035" s="424">
        <v>1320</v>
      </c>
      <c r="H3035" s="3">
        <f>+IFERROR(VLOOKUP(E3035,BD!$L$2:$Q$66,6,0),0)</f>
        <v>120</v>
      </c>
      <c r="I3035" s="96">
        <f>IFERROR(G3035*VLOOKUP($E3035,BD!$L$2:$Q$66,5,0),0)</f>
        <v>224.4</v>
      </c>
      <c r="J3035" s="5">
        <f t="shared" si="203"/>
        <v>2021</v>
      </c>
    </row>
    <row r="3036" spans="1:109" s="9" customFormat="1" hidden="1" x14ac:dyDescent="0.25">
      <c r="A3036" s="491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7">
        <v>256677</v>
      </c>
      <c r="F3036" s="3" t="str">
        <f>IFERROR(VLOOKUP(E3036,BD!$L$2:$Q$66,2,0),0)</f>
        <v>TWO PACK CC + IK PFM 3LX2 - RFNN</v>
      </c>
      <c r="G3036" s="424">
        <v>2880</v>
      </c>
      <c r="H3036" s="3">
        <f>+IFERROR(VLOOKUP(E3036,BD!$L$2:$Q$66,6,0),0)</f>
        <v>120</v>
      </c>
      <c r="I3036" s="96">
        <f>IFERROR(G3036*VLOOKUP($E3036,BD!$L$2:$Q$66,5,0),0)</f>
        <v>489.6</v>
      </c>
      <c r="J3036" s="5">
        <f t="shared" si="203"/>
        <v>2021</v>
      </c>
    </row>
    <row r="3037" spans="1:109" s="9" customFormat="1" hidden="1" x14ac:dyDescent="0.25">
      <c r="A3037" s="491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7">
        <v>252436</v>
      </c>
      <c r="F3037" s="3" t="str">
        <f>IFERROR(VLOOKUP(E3037,BD!$L$2:$Q$66,2,0),0)</f>
        <v>SAN LUIS SIN GAS PET 625MLX15 C/STICKER</v>
      </c>
      <c r="G3037" s="424">
        <v>360</v>
      </c>
      <c r="H3037" s="3">
        <f>+IFERROR(VLOOKUP(E3037,BD!$L$2:$Q$66,6,0),0)</f>
        <v>90</v>
      </c>
      <c r="I3037" s="96">
        <f>IFERROR(G3037*VLOOKUP($E3037,BD!$L$2:$Q$66,5,0),0)</f>
        <v>144</v>
      </c>
      <c r="J3037" s="5">
        <f t="shared" si="203"/>
        <v>2021</v>
      </c>
    </row>
    <row r="3038" spans="1:109" s="9" customFormat="1" hidden="1" x14ac:dyDescent="0.25">
      <c r="A3038" s="491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7">
        <v>256379</v>
      </c>
      <c r="F3038" s="3" t="str">
        <f>IFERROR(VLOOKUP(E3038,BD!$L$2:$Q$66,2,0),0)</f>
        <v>INCA KOLA VR 625MLX12 - STICKER</v>
      </c>
      <c r="G3038" s="424">
        <v>150</v>
      </c>
      <c r="H3038" s="3">
        <f>+IFERROR(VLOOKUP(E3038,BD!$L$2:$Q$66,6,0),0)</f>
        <v>50</v>
      </c>
      <c r="I3038" s="96">
        <f>IFERROR(G3038*VLOOKUP($E3038,BD!$L$2:$Q$66,5,0),0)</f>
        <v>60</v>
      </c>
      <c r="J3038" s="5">
        <f t="shared" si="203"/>
        <v>2021</v>
      </c>
    </row>
    <row r="3039" spans="1:109" s="9" customFormat="1" hidden="1" x14ac:dyDescent="0.25">
      <c r="A3039" s="491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7">
        <v>256601</v>
      </c>
      <c r="F3039" s="3" t="str">
        <f>IFERROR(VLOOKUP(E3039,BD!$L$2:$Q$66,2,0),0)</f>
        <v>INCA KOLA PET 2.25LX2 RF</v>
      </c>
      <c r="G3039" s="424">
        <v>162</v>
      </c>
      <c r="H3039" s="3">
        <f>+IFERROR(VLOOKUP(E3039,BD!$L$2:$Q$66,6,0),0)</f>
        <v>162</v>
      </c>
      <c r="I3039" s="96">
        <f>IFERROR(G3039*VLOOKUP($E3039,BD!$L$2:$Q$66,5,0),0)</f>
        <v>27.540000000000003</v>
      </c>
      <c r="J3039" s="5">
        <f t="shared" si="203"/>
        <v>2021</v>
      </c>
    </row>
    <row r="3040" spans="1:109" s="9" customFormat="1" hidden="1" x14ac:dyDescent="0.25">
      <c r="A3040" s="491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7">
        <v>751468</v>
      </c>
      <c r="F3040" s="3" t="str">
        <f>IFERROR(VLOOKUP(E3040,BD!$L$2:$Q$66,2,0),0)</f>
        <v>MONSTER ENERGY ULTRA 473MLX4</v>
      </c>
      <c r="G3040" s="424">
        <v>840</v>
      </c>
      <c r="H3040" s="3">
        <f>+IFERROR(VLOOKUP(E3040,BD!$L$2:$Q$66,6,0),0)</f>
        <v>420</v>
      </c>
      <c r="I3040" s="96">
        <f>IFERROR(G3040*VLOOKUP($E3040,BD!$L$2:$Q$66,5,0),0)</f>
        <v>352.8</v>
      </c>
      <c r="J3040" s="5">
        <f t="shared" si="203"/>
        <v>2021</v>
      </c>
    </row>
    <row r="3041" spans="1:12" s="9" customFormat="1" ht="15.75" hidden="1" thickBot="1" x14ac:dyDescent="0.3">
      <c r="A3041" s="492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9">
        <v>751468</v>
      </c>
      <c r="F3041" s="8" t="str">
        <f>IFERROR(VLOOKUP(E3041,BD!$L$2:$Q$66,2,0),0)</f>
        <v>MONSTER ENERGY ULTRA 473MLX4</v>
      </c>
      <c r="G3041" s="501">
        <v>840</v>
      </c>
      <c r="H3041" s="8">
        <f>+IFERROR(VLOOKUP(E3041,BD!$L$2:$Q$66,6,0),0)</f>
        <v>420</v>
      </c>
      <c r="I3041" s="98">
        <f>IFERROR(G3041*VLOOKUP($E3041,BD!$L$2:$Q$66,5,0),0)</f>
        <v>352.8</v>
      </c>
      <c r="J3041" s="110">
        <f t="shared" si="203"/>
        <v>2021</v>
      </c>
      <c r="K3041" s="544"/>
    </row>
    <row r="3042" spans="1:12" s="9" customFormat="1" hidden="1" x14ac:dyDescent="0.25">
      <c r="A3042" s="493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63">
        <v>251406</v>
      </c>
      <c r="F3042" s="6" t="str">
        <f>IFERROR(VLOOKUP(E3042,BD!$L$2:$Q$66,2,0),0)</f>
        <v>COCA-COLA SIN AZUCAR PET 1.5LX2</v>
      </c>
      <c r="G3042" s="513">
        <v>1944</v>
      </c>
      <c r="H3042" s="6">
        <f>+IFERROR(VLOOKUP(E3042,BD!$L$2:$Q$66,6,0),0)</f>
        <v>198</v>
      </c>
      <c r="I3042" s="97">
        <f>IFERROR(G3042*VLOOKUP($E3042,BD!$L$2:$Q$66,5,0),0)</f>
        <v>330.48</v>
      </c>
      <c r="J3042" s="109">
        <f t="shared" si="203"/>
        <v>2021</v>
      </c>
      <c r="K3042" s="544"/>
    </row>
    <row r="3043" spans="1:12" s="9" customFormat="1" hidden="1" x14ac:dyDescent="0.25">
      <c r="A3043" s="491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7">
        <v>254853</v>
      </c>
      <c r="F3043" s="3" t="str">
        <f>IFERROR(VLOOKUP(E3043,BD!$L$2:$Q$66,2,0),0)</f>
        <v>INCA KOLA SIN AZUCAR PET 1.5LX2</v>
      </c>
      <c r="G3043" s="424">
        <v>1296</v>
      </c>
      <c r="H3043" s="3">
        <f>+IFERROR(VLOOKUP(E3043,BD!$L$2:$Q$66,6,0),0)</f>
        <v>198</v>
      </c>
      <c r="I3043" s="96">
        <f>IFERROR(G3043*VLOOKUP($E3043,BD!$L$2:$Q$66,5,0),0)</f>
        <v>220.32000000000002</v>
      </c>
      <c r="J3043" s="5">
        <f t="shared" si="203"/>
        <v>2021</v>
      </c>
      <c r="K3043" s="544"/>
    </row>
    <row r="3044" spans="1:12" s="9" customFormat="1" hidden="1" x14ac:dyDescent="0.25">
      <c r="A3044" s="491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7">
        <v>256616</v>
      </c>
      <c r="F3044" s="3" t="str">
        <f>IFERROR(VLOOKUP(E3044,BD!$L$2:$Q$66,2,0),0)</f>
        <v>TWO PACK SCHWEPPES CITRUS PET 1.5LX2</v>
      </c>
      <c r="G3044" s="424">
        <v>396</v>
      </c>
      <c r="H3044" s="3">
        <f>+IFERROR(VLOOKUP(E3044,BD!$L$2:$Q$66,6,0),0)</f>
        <v>198</v>
      </c>
      <c r="I3044" s="96">
        <f>IFERROR(G3044*VLOOKUP($E3044,BD!$L$2:$Q$66,5,0),0)</f>
        <v>67.320000000000007</v>
      </c>
      <c r="J3044" s="5">
        <f t="shared" si="203"/>
        <v>2021</v>
      </c>
      <c r="K3044" s="544"/>
    </row>
    <row r="3045" spans="1:12" s="9" customFormat="1" hidden="1" x14ac:dyDescent="0.25">
      <c r="A3045" s="491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7">
        <v>256617</v>
      </c>
      <c r="F3045" s="3" t="str">
        <f>IFERROR(VLOOKUP(E3045,BD!$L$2:$Q$66,2,0),0)</f>
        <v>TWO PACK SCHWEPPES GINGER ALE PET 1.5LX2</v>
      </c>
      <c r="G3045" s="424">
        <v>792</v>
      </c>
      <c r="H3045" s="3">
        <f>+IFERROR(VLOOKUP(E3045,BD!$L$2:$Q$66,6,0),0)</f>
        <v>198</v>
      </c>
      <c r="I3045" s="96">
        <f>IFERROR(G3045*VLOOKUP($E3045,BD!$L$2:$Q$66,5,0),0)</f>
        <v>134.64000000000001</v>
      </c>
      <c r="J3045" s="5">
        <f t="shared" si="203"/>
        <v>2021</v>
      </c>
      <c r="K3045" s="544"/>
    </row>
    <row r="3046" spans="1:12" s="9" customFormat="1" hidden="1" x14ac:dyDescent="0.25">
      <c r="A3046" s="491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7">
        <v>256675</v>
      </c>
      <c r="F3046" s="3" t="str">
        <f>IFERROR(VLOOKUP(E3046,BD!$L$2:$Q$66,2,0),0)</f>
        <v>INCA KOLA PET 1.5LX2 RF</v>
      </c>
      <c r="G3046" s="424">
        <v>198</v>
      </c>
      <c r="H3046" s="3">
        <f>+IFERROR(VLOOKUP(E3046,BD!$L$2:$Q$66,6,0),0)</f>
        <v>198</v>
      </c>
      <c r="I3046" s="96">
        <f>IFERROR(G3046*VLOOKUP($E3046,BD!$L$2:$Q$66,5,0),0)</f>
        <v>33.660000000000004</v>
      </c>
      <c r="J3046" s="5">
        <f t="shared" si="203"/>
        <v>2021</v>
      </c>
      <c r="K3046" s="544"/>
    </row>
    <row r="3047" spans="1:12" s="9" customFormat="1" hidden="1" x14ac:dyDescent="0.25">
      <c r="A3047" s="491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7">
        <v>256676</v>
      </c>
      <c r="F3047" s="3" t="str">
        <f>IFERROR(VLOOKUP(E3047,BD!$L$2:$Q$66,2,0),0)</f>
        <v>TWO PACK CC PFM 3LX2 - RFCC</v>
      </c>
      <c r="G3047" s="424">
        <v>2160</v>
      </c>
      <c r="H3047" s="3">
        <f>+IFERROR(VLOOKUP(E3047,BD!$L$2:$Q$66,6,0),0)</f>
        <v>120</v>
      </c>
      <c r="I3047" s="96">
        <f>IFERROR(G3047*VLOOKUP($E3047,BD!$L$2:$Q$66,5,0),0)</f>
        <v>367.20000000000005</v>
      </c>
      <c r="J3047" s="5">
        <f t="shared" si="203"/>
        <v>2021</v>
      </c>
      <c r="K3047" s="544"/>
    </row>
    <row r="3048" spans="1:12" s="9" customFormat="1" hidden="1" x14ac:dyDescent="0.25">
      <c r="A3048" s="491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7">
        <v>256677</v>
      </c>
      <c r="F3048" s="3" t="str">
        <f>IFERROR(VLOOKUP(E3048,BD!$L$2:$Q$66,2,0),0)</f>
        <v>TWO PACK CC + IK PFM 3LX2 - RFNN</v>
      </c>
      <c r="G3048" s="424">
        <v>4680</v>
      </c>
      <c r="H3048" s="3">
        <f>+IFERROR(VLOOKUP(E3048,BD!$L$2:$Q$66,6,0),0)</f>
        <v>120</v>
      </c>
      <c r="I3048" s="96">
        <f>IFERROR(G3048*VLOOKUP($E3048,BD!$L$2:$Q$66,5,0),0)</f>
        <v>795.6</v>
      </c>
      <c r="J3048" s="5">
        <f t="shared" si="203"/>
        <v>2021</v>
      </c>
      <c r="K3048" s="544"/>
    </row>
    <row r="3049" spans="1:12" s="9" customFormat="1" hidden="1" x14ac:dyDescent="0.25">
      <c r="A3049" s="491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7">
        <v>256682</v>
      </c>
      <c r="F3049" s="3" t="str">
        <f>IFERROR(VLOOKUP(E3049,BD!$L$2:$Q$66,2,0),0)</f>
        <v>TRIPACK (FT NAR+SP)PET+IK RF PFM 3L</v>
      </c>
      <c r="G3049" s="424">
        <v>180</v>
      </c>
      <c r="H3049" s="3">
        <f>+IFERROR(VLOOKUP(E3049,BD!$L$2:$Q$66,6,0),0)</f>
        <v>90</v>
      </c>
      <c r="I3049" s="96">
        <f>IFERROR(G3049*VLOOKUP($E3049,BD!$L$2:$Q$66,5,0),0)</f>
        <v>30.6</v>
      </c>
      <c r="J3049" s="5">
        <f t="shared" si="203"/>
        <v>2021</v>
      </c>
      <c r="K3049" s="544"/>
    </row>
    <row r="3050" spans="1:12" s="9" customFormat="1" hidden="1" x14ac:dyDescent="0.25">
      <c r="A3050" s="491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7">
        <v>252436</v>
      </c>
      <c r="F3050" s="3" t="str">
        <f>IFERROR(VLOOKUP(E3050,BD!$L$2:$Q$66,2,0),0)</f>
        <v>SAN LUIS SIN GAS PET 625MLX15 C/STICKER</v>
      </c>
      <c r="G3050" s="424">
        <v>450</v>
      </c>
      <c r="H3050" s="3">
        <f>+IFERROR(VLOOKUP(E3050,BD!$L$2:$Q$66,6,0),0)</f>
        <v>90</v>
      </c>
      <c r="I3050" s="96">
        <f>IFERROR(G3050*VLOOKUP($E3050,BD!$L$2:$Q$66,5,0),0)</f>
        <v>180</v>
      </c>
      <c r="J3050" s="5">
        <f t="shared" si="203"/>
        <v>2021</v>
      </c>
      <c r="K3050" s="544"/>
      <c r="L3050" s="13"/>
    </row>
    <row r="3051" spans="1:12" s="9" customFormat="1" hidden="1" x14ac:dyDescent="0.25">
      <c r="A3051" s="491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7">
        <v>256379</v>
      </c>
      <c r="F3051" s="3" t="str">
        <f>IFERROR(VLOOKUP(E3051,BD!$L$2:$Q$66,2,0),0)</f>
        <v>INCA KOLA VR 625MLX12 - STICKER</v>
      </c>
      <c r="G3051" s="424">
        <v>150</v>
      </c>
      <c r="H3051" s="3">
        <f>+IFERROR(VLOOKUP(E3051,BD!$L$2:$Q$66,6,0),0)</f>
        <v>50</v>
      </c>
      <c r="I3051" s="96">
        <f>IFERROR(G3051*VLOOKUP($E3051,BD!$L$2:$Q$66,5,0),0)</f>
        <v>60</v>
      </c>
      <c r="J3051" s="5">
        <f t="shared" si="203"/>
        <v>2021</v>
      </c>
      <c r="K3051" s="544"/>
    </row>
    <row r="3052" spans="1:12" s="9" customFormat="1" hidden="1" x14ac:dyDescent="0.25">
      <c r="A3052" s="491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7">
        <v>256381</v>
      </c>
      <c r="F3052" s="3" t="str">
        <f>IFERROR(VLOOKUP(E3052,BD!$L$2:$Q$66,2,0),0)</f>
        <v>INCA KOLA VR 1.5LX8 - STICKER</v>
      </c>
      <c r="G3052" s="424">
        <v>60</v>
      </c>
      <c r="H3052" s="3">
        <f>+IFERROR(VLOOKUP(E3052,BD!$L$2:$Q$66,6,0),0)</f>
        <v>30</v>
      </c>
      <c r="I3052" s="96">
        <f>IFERROR(G3052*VLOOKUP($E3052,BD!$L$2:$Q$66,5,0),0)</f>
        <v>24</v>
      </c>
      <c r="J3052" s="5">
        <f t="shared" si="203"/>
        <v>2021</v>
      </c>
      <c r="K3052" s="544"/>
    </row>
    <row r="3053" spans="1:12" s="9" customFormat="1" ht="15.75" hidden="1" thickBot="1" x14ac:dyDescent="0.3">
      <c r="A3053" s="492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9">
        <v>256383</v>
      </c>
      <c r="F3053" s="8" t="str">
        <f>IFERROR(VLOOKUP(E3053,BD!$L$2:$Q$66,2,0),0)</f>
        <v>COCA COLA VR 1.5LX8 - STICKER</v>
      </c>
      <c r="G3053" s="501">
        <v>60</v>
      </c>
      <c r="H3053" s="8">
        <f>+IFERROR(VLOOKUP(E3053,BD!$L$2:$Q$66,6,0),0)</f>
        <v>30</v>
      </c>
      <c r="I3053" s="98">
        <f>IFERROR(G3053*VLOOKUP($E3053,BD!$L$2:$Q$66,5,0),0)</f>
        <v>13.8</v>
      </c>
      <c r="J3053" s="110">
        <f t="shared" si="203"/>
        <v>2021</v>
      </c>
      <c r="K3053" s="545"/>
    </row>
    <row r="3054" spans="1:12" s="9" customFormat="1" ht="15" hidden="1" customHeight="1" x14ac:dyDescent="0.25">
      <c r="A3054" s="532">
        <v>44524</v>
      </c>
      <c r="B3054" s="502" t="str">
        <f t="shared" si="200"/>
        <v>NOVIEMBRE</v>
      </c>
      <c r="C3054" s="502">
        <f t="shared" si="201"/>
        <v>48</v>
      </c>
      <c r="D3054" s="533" t="str">
        <f t="shared" si="202"/>
        <v>MIÉRCOLES</v>
      </c>
      <c r="E3054" s="534">
        <v>256488</v>
      </c>
      <c r="F3054" s="533" t="str">
        <f>IFERROR(VLOOKUP(E3054,BD!$L$2:$Q$66,2,0),0)</f>
        <v>INCA KOLA PET 3LX2 - RF</v>
      </c>
      <c r="G3054" s="535">
        <v>1680</v>
      </c>
      <c r="H3054" s="533">
        <f>+IFERROR(VLOOKUP(E3054,BD!$L$2:$Q$66,6,0),0)</f>
        <v>120</v>
      </c>
      <c r="I3054" s="536">
        <f>IFERROR(G3054*VLOOKUP($E3054,BD!$L$2:$Q$66,5,0),0)</f>
        <v>285.60000000000002</v>
      </c>
      <c r="J3054" s="537">
        <f t="shared" si="203"/>
        <v>2021</v>
      </c>
      <c r="K3054" s="642" t="s">
        <v>243</v>
      </c>
    </row>
    <row r="3055" spans="1:12" s="9" customFormat="1" hidden="1" x14ac:dyDescent="0.25">
      <c r="A3055" s="538">
        <v>44524</v>
      </c>
      <c r="B3055" s="370" t="str">
        <f t="shared" si="200"/>
        <v>NOVIEMBRE</v>
      </c>
      <c r="C3055" s="370">
        <f t="shared" si="201"/>
        <v>48</v>
      </c>
      <c r="D3055" s="94" t="str">
        <f t="shared" si="202"/>
        <v>MIÉRCOLES</v>
      </c>
      <c r="E3055" s="378">
        <v>256679</v>
      </c>
      <c r="F3055" s="94" t="str">
        <f>IFERROR(VLOOKUP(E3055,BD!$L$2:$Q$66,2,0),0)</f>
        <v>TRIPACK CC+IK+IK PFM 3LX3 - RFNN</v>
      </c>
      <c r="G3055" s="503">
        <v>1440</v>
      </c>
      <c r="H3055" s="94">
        <f>+IFERROR(VLOOKUP(E3055,BD!$L$2:$Q$66,6,0),0)</f>
        <v>90</v>
      </c>
      <c r="I3055" s="531">
        <f>IFERROR(G3055*VLOOKUP($E3055,BD!$L$2:$Q$66,5,0),0)</f>
        <v>244.8</v>
      </c>
      <c r="J3055" s="539">
        <f t="shared" si="203"/>
        <v>2021</v>
      </c>
      <c r="K3055" s="643"/>
    </row>
    <row r="3056" spans="1:12" s="9" customFormat="1" hidden="1" x14ac:dyDescent="0.25">
      <c r="A3056" s="538">
        <v>44524</v>
      </c>
      <c r="B3056" s="370" t="str">
        <f t="shared" si="200"/>
        <v>NOVIEMBRE</v>
      </c>
      <c r="C3056" s="370">
        <f t="shared" si="201"/>
        <v>48</v>
      </c>
      <c r="D3056" s="94" t="str">
        <f t="shared" si="202"/>
        <v>MIÉRCOLES</v>
      </c>
      <c r="E3056" s="378">
        <v>256677</v>
      </c>
      <c r="F3056" s="94" t="str">
        <f>IFERROR(VLOOKUP(E3056,BD!$L$2:$Q$66,2,0),0)</f>
        <v>TWO PACK CC + IK PFM 3LX2 - RFNN</v>
      </c>
      <c r="G3056" s="503">
        <v>6240</v>
      </c>
      <c r="H3056" s="94">
        <f>+IFERROR(VLOOKUP(E3056,BD!$L$2:$Q$66,6,0),0)</f>
        <v>120</v>
      </c>
      <c r="I3056" s="531">
        <f>IFERROR(G3056*VLOOKUP($E3056,BD!$L$2:$Q$66,5,0),0)</f>
        <v>1060.8000000000002</v>
      </c>
      <c r="J3056" s="539">
        <f t="shared" si="203"/>
        <v>2021</v>
      </c>
      <c r="K3056" s="643"/>
    </row>
    <row r="3057" spans="1:11" s="9" customFormat="1" hidden="1" x14ac:dyDescent="0.25">
      <c r="A3057" s="538">
        <v>44524</v>
      </c>
      <c r="B3057" s="370" t="str">
        <f t="shared" si="200"/>
        <v>NOVIEMBRE</v>
      </c>
      <c r="C3057" s="370">
        <f t="shared" si="201"/>
        <v>48</v>
      </c>
      <c r="D3057" s="94" t="str">
        <f t="shared" si="202"/>
        <v>MIÉRCOLES</v>
      </c>
      <c r="E3057" s="378">
        <v>256678</v>
      </c>
      <c r="F3057" s="94" t="str">
        <f>IFERROR(VLOOKUP(E3057,BD!$L$2:$Q$66,2,0),0)</f>
        <v>TRIPACK (CC+IK)PFM+FT PET 3LX3 - RFNN</v>
      </c>
      <c r="G3057" s="503">
        <v>4320</v>
      </c>
      <c r="H3057" s="94">
        <f>+IFERROR(VLOOKUP(E3057,BD!$L$2:$Q$66,6,0),0)</f>
        <v>90</v>
      </c>
      <c r="I3057" s="531">
        <f>IFERROR(G3057*VLOOKUP($E3057,BD!$L$2:$Q$66,5,0),0)</f>
        <v>734.40000000000009</v>
      </c>
      <c r="J3057" s="539">
        <f t="shared" si="203"/>
        <v>2021</v>
      </c>
      <c r="K3057" s="643"/>
    </row>
    <row r="3058" spans="1:11" s="9" customFormat="1" hidden="1" x14ac:dyDescent="0.25">
      <c r="A3058" s="538">
        <v>44524</v>
      </c>
      <c r="B3058" s="370" t="str">
        <f t="shared" si="200"/>
        <v>NOVIEMBRE</v>
      </c>
      <c r="C3058" s="370">
        <f t="shared" si="201"/>
        <v>48</v>
      </c>
      <c r="D3058" s="94" t="str">
        <f t="shared" si="202"/>
        <v>MIÉRCOLES</v>
      </c>
      <c r="E3058" s="378">
        <v>256652</v>
      </c>
      <c r="F3058" s="94" t="str">
        <f>IFERROR(VLOOKUP(E3058,BD!$L$2:$Q$66,2,0),0)</f>
        <v>TRIPACK FT NAR+FT KI+SP PET 3L</v>
      </c>
      <c r="G3058" s="503">
        <v>2160</v>
      </c>
      <c r="H3058" s="94">
        <f>+IFERROR(VLOOKUP(E3058,BD!$L$2:$Q$66,6,0),0)</f>
        <v>90</v>
      </c>
      <c r="I3058" s="531">
        <f>IFERROR(G3058*VLOOKUP($E3058,BD!$L$2:$Q$66,5,0),0)</f>
        <v>367.20000000000005</v>
      </c>
      <c r="J3058" s="539">
        <f t="shared" si="203"/>
        <v>2021</v>
      </c>
      <c r="K3058" s="643"/>
    </row>
    <row r="3059" spans="1:11" s="9" customFormat="1" ht="15.75" hidden="1" thickBot="1" x14ac:dyDescent="0.3">
      <c r="A3059" s="540">
        <v>44524</v>
      </c>
      <c r="B3059" s="505" t="str">
        <f t="shared" si="200"/>
        <v>NOVIEMBRE</v>
      </c>
      <c r="C3059" s="505">
        <f t="shared" si="201"/>
        <v>48</v>
      </c>
      <c r="D3059" s="541" t="str">
        <f t="shared" si="202"/>
        <v>MIÉRCOLES</v>
      </c>
      <c r="E3059" s="506">
        <v>256676</v>
      </c>
      <c r="F3059" s="541" t="str">
        <f>IFERROR(VLOOKUP(E3059,BD!$L$2:$Q$66,2,0),0)</f>
        <v>TWO PACK CC PFM 3LX2 - RFCC</v>
      </c>
      <c r="G3059" s="518">
        <v>1200</v>
      </c>
      <c r="H3059" s="541">
        <f>+IFERROR(VLOOKUP(E3059,BD!$L$2:$Q$66,6,0),0)</f>
        <v>120</v>
      </c>
      <c r="I3059" s="542">
        <f>IFERROR(G3059*VLOOKUP($E3059,BD!$L$2:$Q$66,5,0),0)</f>
        <v>204.00000000000003</v>
      </c>
      <c r="J3059" s="543">
        <f t="shared" si="203"/>
        <v>2021</v>
      </c>
      <c r="K3059" s="644"/>
    </row>
    <row r="3060" spans="1:11" s="9" customFormat="1" hidden="1" x14ac:dyDescent="0.25">
      <c r="A3060" s="493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63">
        <v>251406</v>
      </c>
      <c r="F3060" s="6" t="str">
        <f>IFERROR(VLOOKUP(E3060,BD!$L$2:$Q$66,2,0),0)</f>
        <v>COCA-COLA SIN AZUCAR PET 1.5LX2</v>
      </c>
      <c r="G3060" s="513">
        <v>1728</v>
      </c>
      <c r="H3060" s="6">
        <f>+IFERROR(VLOOKUP(E3060,BD!$L$2:$Q$66,6,0),0)</f>
        <v>198</v>
      </c>
      <c r="I3060" s="97">
        <f>IFERROR(G3060*VLOOKUP($E3060,BD!$L$2:$Q$66,5,0),0)</f>
        <v>293.76000000000005</v>
      </c>
      <c r="J3060" s="109">
        <f t="shared" si="203"/>
        <v>2021</v>
      </c>
    </row>
    <row r="3061" spans="1:11" s="9" customFormat="1" hidden="1" x14ac:dyDescent="0.25">
      <c r="A3061" s="491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7">
        <v>254853</v>
      </c>
      <c r="F3061" s="3" t="str">
        <f>IFERROR(VLOOKUP(E3061,BD!$L$2:$Q$66,2,0),0)</f>
        <v>INCA KOLA SIN AZUCAR PET 1.5LX2</v>
      </c>
      <c r="G3061" s="424">
        <v>432</v>
      </c>
      <c r="H3061" s="3">
        <f>+IFERROR(VLOOKUP(E3061,BD!$L$2:$Q$66,6,0),0)</f>
        <v>198</v>
      </c>
      <c r="I3061" s="96">
        <f>IFERROR(G3061*VLOOKUP($E3061,BD!$L$2:$Q$66,5,0),0)</f>
        <v>73.440000000000012</v>
      </c>
      <c r="J3061" s="5">
        <f t="shared" si="203"/>
        <v>2021</v>
      </c>
    </row>
    <row r="3062" spans="1:11" s="9" customFormat="1" hidden="1" x14ac:dyDescent="0.25">
      <c r="A3062" s="491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7">
        <v>256488</v>
      </c>
      <c r="F3062" s="3" t="str">
        <f>IFERROR(VLOOKUP(E3062,BD!$L$2:$Q$66,2,0),0)</f>
        <v>INCA KOLA PET 3LX2 - RF</v>
      </c>
      <c r="G3062" s="424">
        <v>1920</v>
      </c>
      <c r="H3062" s="3">
        <f>+IFERROR(VLOOKUP(E3062,BD!$L$2:$Q$66,6,0),0)</f>
        <v>120</v>
      </c>
      <c r="I3062" s="96">
        <f>IFERROR(G3062*VLOOKUP($E3062,BD!$L$2:$Q$66,5,0),0)</f>
        <v>326.40000000000003</v>
      </c>
      <c r="J3062" s="5">
        <f t="shared" si="203"/>
        <v>2021</v>
      </c>
    </row>
    <row r="3063" spans="1:11" s="9" customFormat="1" hidden="1" x14ac:dyDescent="0.25">
      <c r="A3063" s="491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7">
        <v>256601</v>
      </c>
      <c r="F3063" s="3" t="str">
        <f>IFERROR(VLOOKUP(E3063,BD!$L$2:$Q$66,2,0),0)</f>
        <v>INCA KOLA PET 2.25LX2 RF</v>
      </c>
      <c r="G3063" s="424">
        <v>162</v>
      </c>
      <c r="H3063" s="3">
        <f>+IFERROR(VLOOKUP(E3063,BD!$L$2:$Q$66,6,0),0)</f>
        <v>162</v>
      </c>
      <c r="I3063" s="96">
        <f>IFERROR(G3063*VLOOKUP($E3063,BD!$L$2:$Q$66,5,0),0)</f>
        <v>27.540000000000003</v>
      </c>
      <c r="J3063" s="5">
        <f t="shared" si="203"/>
        <v>2021</v>
      </c>
    </row>
    <row r="3064" spans="1:11" s="9" customFormat="1" hidden="1" x14ac:dyDescent="0.25">
      <c r="A3064" s="491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7">
        <v>256616</v>
      </c>
      <c r="F3064" s="3" t="str">
        <f>IFERROR(VLOOKUP(E3064,BD!$L$2:$Q$66,2,0),0)</f>
        <v>TWO PACK SCHWEPPES CITRUS PET 1.5LX2</v>
      </c>
      <c r="G3064" s="424">
        <v>396</v>
      </c>
      <c r="H3064" s="3">
        <f>+IFERROR(VLOOKUP(E3064,BD!$L$2:$Q$66,6,0),0)</f>
        <v>198</v>
      </c>
      <c r="I3064" s="96">
        <f>IFERROR(G3064*VLOOKUP($E3064,BD!$L$2:$Q$66,5,0),0)</f>
        <v>67.320000000000007</v>
      </c>
      <c r="J3064" s="5">
        <f t="shared" si="203"/>
        <v>2021</v>
      </c>
    </row>
    <row r="3065" spans="1:11" s="9" customFormat="1" hidden="1" x14ac:dyDescent="0.25">
      <c r="A3065" s="491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7">
        <v>256617</v>
      </c>
      <c r="F3065" s="3" t="str">
        <f>IFERROR(VLOOKUP(E3065,BD!$L$2:$Q$66,2,0),0)</f>
        <v>TWO PACK SCHWEPPES GINGER ALE PET 1.5LX2</v>
      </c>
      <c r="G3065" s="424">
        <v>594</v>
      </c>
      <c r="H3065" s="3">
        <f>+IFERROR(VLOOKUP(E3065,BD!$L$2:$Q$66,6,0),0)</f>
        <v>198</v>
      </c>
      <c r="I3065" s="96">
        <f>IFERROR(G3065*VLOOKUP($E3065,BD!$L$2:$Q$66,5,0),0)</f>
        <v>100.98</v>
      </c>
      <c r="J3065" s="5">
        <f t="shared" si="203"/>
        <v>2021</v>
      </c>
    </row>
    <row r="3066" spans="1:11" s="9" customFormat="1" hidden="1" x14ac:dyDescent="0.25">
      <c r="A3066" s="491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7">
        <v>256675</v>
      </c>
      <c r="F3066" s="3" t="str">
        <f>IFERROR(VLOOKUP(E3066,BD!$L$2:$Q$66,2,0),0)</f>
        <v>INCA KOLA PET 1.5LX2 RF</v>
      </c>
      <c r="G3066" s="424">
        <v>648</v>
      </c>
      <c r="H3066" s="3">
        <f>+IFERROR(VLOOKUP(E3066,BD!$L$2:$Q$66,6,0),0)</f>
        <v>198</v>
      </c>
      <c r="I3066" s="96">
        <f>IFERROR(G3066*VLOOKUP($E3066,BD!$L$2:$Q$66,5,0),0)</f>
        <v>110.16000000000001</v>
      </c>
      <c r="J3066" s="5">
        <f t="shared" si="203"/>
        <v>2021</v>
      </c>
    </row>
    <row r="3067" spans="1:11" s="9" customFormat="1" hidden="1" x14ac:dyDescent="0.25">
      <c r="A3067" s="491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7">
        <v>256676</v>
      </c>
      <c r="F3067" s="3" t="str">
        <f>IFERROR(VLOOKUP(E3067,BD!$L$2:$Q$66,2,0),0)</f>
        <v>TWO PACK CC PFM 3LX2 - RFCC</v>
      </c>
      <c r="G3067" s="424">
        <v>1200</v>
      </c>
      <c r="H3067" s="3">
        <f>+IFERROR(VLOOKUP(E3067,BD!$L$2:$Q$66,6,0),0)</f>
        <v>120</v>
      </c>
      <c r="I3067" s="96">
        <f>IFERROR(G3067*VLOOKUP($E3067,BD!$L$2:$Q$66,5,0),0)</f>
        <v>204.00000000000003</v>
      </c>
      <c r="J3067" s="5">
        <f t="shared" si="203"/>
        <v>2021</v>
      </c>
    </row>
    <row r="3068" spans="1:11" s="9" customFormat="1" hidden="1" x14ac:dyDescent="0.25">
      <c r="A3068" s="491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7">
        <v>256677</v>
      </c>
      <c r="F3068" s="3" t="str">
        <f>IFERROR(VLOOKUP(E3068,BD!$L$2:$Q$66,2,0),0)</f>
        <v>TWO PACK CC + IK PFM 3LX2 - RFNN</v>
      </c>
      <c r="G3068" s="424">
        <v>3360</v>
      </c>
      <c r="H3068" s="3">
        <f>+IFERROR(VLOOKUP(E3068,BD!$L$2:$Q$66,6,0),0)</f>
        <v>120</v>
      </c>
      <c r="I3068" s="96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hidden="1" x14ac:dyDescent="0.25">
      <c r="A3069" s="491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7">
        <v>256682</v>
      </c>
      <c r="F3069" s="3" t="str">
        <f>IFERROR(VLOOKUP(E3069,BD!$L$2:$Q$66,2,0),0)</f>
        <v>TRIPACK (FT NAR+SP)PET+IK RF PFM 3L</v>
      </c>
      <c r="G3069" s="424">
        <v>270</v>
      </c>
      <c r="H3069" s="3">
        <f>+IFERROR(VLOOKUP(E3069,BD!$L$2:$Q$66,6,0),0)</f>
        <v>90</v>
      </c>
      <c r="I3069" s="96">
        <f>IFERROR(G3069*VLOOKUP($E3069,BD!$L$2:$Q$66,5,0),0)</f>
        <v>45.900000000000006</v>
      </c>
      <c r="J3069" s="5">
        <f t="shared" si="207"/>
        <v>2021</v>
      </c>
    </row>
    <row r="3070" spans="1:11" s="9" customFormat="1" hidden="1" x14ac:dyDescent="0.25">
      <c r="A3070" s="491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7">
        <v>251632</v>
      </c>
      <c r="F3070" s="3" t="str">
        <f>IFERROR(VLOOKUP(E3070,BD!$L$2:$Q$66,2,0),0)</f>
        <v>SAN LUIS SIN GAS PET 625MLX06 MOD</v>
      </c>
      <c r="G3070" s="424">
        <v>180</v>
      </c>
      <c r="H3070" s="3">
        <f>+IFERROR(VLOOKUP(E3070,BD!$L$2:$Q$66,6,0),0)</f>
        <v>180</v>
      </c>
      <c r="I3070" s="96">
        <f>IFERROR(G3070*VLOOKUP($E3070,BD!$L$2:$Q$66,5,0),0)</f>
        <v>75.599999999999994</v>
      </c>
      <c r="J3070" s="5">
        <f t="shared" si="207"/>
        <v>2021</v>
      </c>
    </row>
    <row r="3071" spans="1:11" s="9" customFormat="1" hidden="1" x14ac:dyDescent="0.25">
      <c r="A3071" s="491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7">
        <v>252436</v>
      </c>
      <c r="F3071" s="3" t="str">
        <f>IFERROR(VLOOKUP(E3071,BD!$L$2:$Q$66,2,0),0)</f>
        <v>SAN LUIS SIN GAS PET 625MLX15 C/STICKER</v>
      </c>
      <c r="G3071" s="424">
        <v>360</v>
      </c>
      <c r="H3071" s="3">
        <f>+IFERROR(VLOOKUP(E3071,BD!$L$2:$Q$66,6,0),0)</f>
        <v>90</v>
      </c>
      <c r="I3071" s="96">
        <f>IFERROR(G3071*VLOOKUP($E3071,BD!$L$2:$Q$66,5,0),0)</f>
        <v>144</v>
      </c>
      <c r="J3071" s="5">
        <f t="shared" si="207"/>
        <v>2021</v>
      </c>
    </row>
    <row r="3072" spans="1:11" s="9" customFormat="1" hidden="1" x14ac:dyDescent="0.25">
      <c r="A3072" s="491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7">
        <v>751468</v>
      </c>
      <c r="F3072" s="3" t="str">
        <f>IFERROR(VLOOKUP(E3072,BD!$L$2:$Q$66,2,0),0)</f>
        <v>MONSTER ENERGY ULTRA 473MLX4</v>
      </c>
      <c r="G3072" s="424">
        <v>420</v>
      </c>
      <c r="H3072" s="3">
        <f>+IFERROR(VLOOKUP(E3072,BD!$L$2:$Q$66,6,0),0)</f>
        <v>420</v>
      </c>
      <c r="I3072" s="96">
        <f>IFERROR(G3072*VLOOKUP($E3072,BD!$L$2:$Q$66,5,0),0)</f>
        <v>176.4</v>
      </c>
      <c r="J3072" s="5">
        <f t="shared" si="207"/>
        <v>2021</v>
      </c>
    </row>
    <row r="3073" spans="1:11" s="9" customFormat="1" hidden="1" x14ac:dyDescent="0.25">
      <c r="A3073" s="491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7">
        <v>256379</v>
      </c>
      <c r="F3073" s="3" t="str">
        <f>IFERROR(VLOOKUP(E3073,BD!$L$2:$Q$66,2,0),0)</f>
        <v>INCA KOLA VR 625MLX12 - STICKER</v>
      </c>
      <c r="G3073" s="424">
        <v>150</v>
      </c>
      <c r="H3073" s="3">
        <f>+IFERROR(VLOOKUP(E3073,BD!$L$2:$Q$66,6,0),0)</f>
        <v>50</v>
      </c>
      <c r="I3073" s="96">
        <f>IFERROR(G3073*VLOOKUP($E3073,BD!$L$2:$Q$66,5,0),0)</f>
        <v>60</v>
      </c>
      <c r="J3073" s="5">
        <f t="shared" si="207"/>
        <v>2021</v>
      </c>
    </row>
    <row r="3074" spans="1:11" s="9" customFormat="1" hidden="1" x14ac:dyDescent="0.25">
      <c r="A3074" s="491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7">
        <v>256381</v>
      </c>
      <c r="F3074" s="3" t="str">
        <f>IFERROR(VLOOKUP(E3074,BD!$L$2:$Q$66,2,0),0)</f>
        <v>INCA KOLA VR 1.5LX8 - STICKER</v>
      </c>
      <c r="G3074" s="424">
        <v>90</v>
      </c>
      <c r="H3074" s="3">
        <f>+IFERROR(VLOOKUP(E3074,BD!$L$2:$Q$66,6,0),0)</f>
        <v>30</v>
      </c>
      <c r="I3074" s="96">
        <f>IFERROR(G3074*VLOOKUP($E3074,BD!$L$2:$Q$66,5,0),0)</f>
        <v>36</v>
      </c>
      <c r="J3074" s="5">
        <f t="shared" si="207"/>
        <v>2021</v>
      </c>
    </row>
    <row r="3075" spans="1:11" s="9" customFormat="1" hidden="1" x14ac:dyDescent="0.25">
      <c r="A3075" s="491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7">
        <v>256383</v>
      </c>
      <c r="F3075" s="3" t="str">
        <f>IFERROR(VLOOKUP(E3075,BD!$L$2:$Q$66,2,0),0)</f>
        <v>COCA COLA VR 1.5LX8 - STICKER</v>
      </c>
      <c r="G3075" s="424">
        <v>60</v>
      </c>
      <c r="H3075" s="3">
        <f>+IFERROR(VLOOKUP(E3075,BD!$L$2:$Q$66,6,0),0)</f>
        <v>30</v>
      </c>
      <c r="I3075" s="96">
        <f>IFERROR(G3075*VLOOKUP($E3075,BD!$L$2:$Q$66,5,0),0)</f>
        <v>13.8</v>
      </c>
      <c r="J3075" s="5">
        <f t="shared" si="207"/>
        <v>2021</v>
      </c>
    </row>
    <row r="3076" spans="1:11" s="9" customFormat="1" ht="15.75" hidden="1" thickBot="1" x14ac:dyDescent="0.3">
      <c r="A3076" s="492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9">
        <v>256708</v>
      </c>
      <c r="F3076" s="8" t="str">
        <f>IFERROR(VLOOKUP(E3076,BD!$L$2:$Q$66,2,0),0)</f>
        <v>POWERADE ION4 FRUTA PET473X6 MOD (STICK)</v>
      </c>
      <c r="G3076" s="501">
        <v>675</v>
      </c>
      <c r="H3076" s="8">
        <f>+IFERROR(VLOOKUP(E3076,BD!$L$2:$Q$66,6,0),0)</f>
        <v>225</v>
      </c>
      <c r="I3076" s="98">
        <f>IFERROR(G3076*VLOOKUP($E3076,BD!$L$2:$Q$66,5,0),0)</f>
        <v>270</v>
      </c>
      <c r="J3076" s="110">
        <f t="shared" si="207"/>
        <v>2021</v>
      </c>
    </row>
    <row r="3077" spans="1:11" s="9" customFormat="1" hidden="1" x14ac:dyDescent="0.25">
      <c r="A3077" s="532">
        <v>44525</v>
      </c>
      <c r="B3077" s="502" t="str">
        <f t="shared" si="204"/>
        <v>NOVIEMBRE</v>
      </c>
      <c r="C3077" s="502">
        <f t="shared" si="205"/>
        <v>48</v>
      </c>
      <c r="D3077" s="533" t="str">
        <f t="shared" si="206"/>
        <v>JUEVES</v>
      </c>
      <c r="E3077" s="534">
        <v>256652</v>
      </c>
      <c r="F3077" s="533" t="str">
        <f>IFERROR(VLOOKUP(E3077,BD!$L$2:$Q$66,2,0),0)</f>
        <v>TRIPACK FT NAR+FT KI+SP PET 3L</v>
      </c>
      <c r="G3077" s="535">
        <v>270</v>
      </c>
      <c r="H3077" s="533">
        <f>+IFERROR(VLOOKUP(E3077,BD!$L$2:$Q$66,6,0),0)</f>
        <v>90</v>
      </c>
      <c r="I3077" s="536">
        <f>IFERROR(G3077*VLOOKUP($E3077,BD!$L$2:$Q$66,5,0),0)</f>
        <v>45.900000000000006</v>
      </c>
      <c r="J3077" s="537">
        <f t="shared" si="207"/>
        <v>2021</v>
      </c>
      <c r="K3077" s="645" t="s">
        <v>243</v>
      </c>
    </row>
    <row r="3078" spans="1:11" s="9" customFormat="1" hidden="1" x14ac:dyDescent="0.25">
      <c r="A3078" s="538">
        <v>44525</v>
      </c>
      <c r="B3078" s="370" t="str">
        <f t="shared" si="204"/>
        <v>NOVIEMBRE</v>
      </c>
      <c r="C3078" s="370">
        <f t="shared" si="205"/>
        <v>48</v>
      </c>
      <c r="D3078" s="94" t="str">
        <f t="shared" si="206"/>
        <v>JUEVES</v>
      </c>
      <c r="E3078" s="378">
        <v>256677</v>
      </c>
      <c r="F3078" s="94" t="str">
        <f>IFERROR(VLOOKUP(E3078,BD!$L$2:$Q$66,2,0),0)</f>
        <v>TWO PACK CC + IK PFM 3LX2 - RFNN</v>
      </c>
      <c r="G3078" s="503">
        <v>8160</v>
      </c>
      <c r="H3078" s="94">
        <f>+IFERROR(VLOOKUP(E3078,BD!$L$2:$Q$66,6,0),0)</f>
        <v>120</v>
      </c>
      <c r="I3078" s="531">
        <f>IFERROR(G3078*VLOOKUP($E3078,BD!$L$2:$Q$66,5,0),0)</f>
        <v>1387.2</v>
      </c>
      <c r="J3078" s="539">
        <f t="shared" si="207"/>
        <v>2021</v>
      </c>
      <c r="K3078" s="646"/>
    </row>
    <row r="3079" spans="1:11" s="9" customFormat="1" hidden="1" x14ac:dyDescent="0.25">
      <c r="A3079" s="538">
        <v>44525</v>
      </c>
      <c r="B3079" s="370" t="str">
        <f t="shared" si="204"/>
        <v>NOVIEMBRE</v>
      </c>
      <c r="C3079" s="370">
        <f t="shared" si="205"/>
        <v>48</v>
      </c>
      <c r="D3079" s="94" t="str">
        <f t="shared" si="206"/>
        <v>JUEVES</v>
      </c>
      <c r="E3079" s="378">
        <v>256678</v>
      </c>
      <c r="F3079" s="94" t="str">
        <f>IFERROR(VLOOKUP(E3079,BD!$L$2:$Q$66,2,0),0)</f>
        <v>TRIPACK (CC+IK)PFM+FT PET 3LX3 - RFNN</v>
      </c>
      <c r="G3079" s="503">
        <v>3690</v>
      </c>
      <c r="H3079" s="94">
        <f>+IFERROR(VLOOKUP(E3079,BD!$L$2:$Q$66,6,0),0)</f>
        <v>90</v>
      </c>
      <c r="I3079" s="531">
        <f>IFERROR(G3079*VLOOKUP($E3079,BD!$L$2:$Q$66,5,0),0)</f>
        <v>627.30000000000007</v>
      </c>
      <c r="J3079" s="539">
        <f t="shared" si="207"/>
        <v>2021</v>
      </c>
      <c r="K3079" s="646"/>
    </row>
    <row r="3080" spans="1:11" s="9" customFormat="1" hidden="1" x14ac:dyDescent="0.25">
      <c r="A3080" s="538">
        <v>44525</v>
      </c>
      <c r="B3080" s="370" t="str">
        <f t="shared" si="204"/>
        <v>NOVIEMBRE</v>
      </c>
      <c r="C3080" s="370">
        <f t="shared" si="205"/>
        <v>48</v>
      </c>
      <c r="D3080" s="94" t="str">
        <f t="shared" si="206"/>
        <v>JUEVES</v>
      </c>
      <c r="E3080" s="378">
        <v>256679</v>
      </c>
      <c r="F3080" s="94" t="str">
        <f>IFERROR(VLOOKUP(E3080,BD!$L$2:$Q$66,2,0),0)</f>
        <v>TRIPACK CC+IK+IK PFM 3LX3 - RFNN</v>
      </c>
      <c r="G3080" s="503">
        <v>1530</v>
      </c>
      <c r="H3080" s="94">
        <f>+IFERROR(VLOOKUP(E3080,BD!$L$2:$Q$66,6,0),0)</f>
        <v>90</v>
      </c>
      <c r="I3080" s="531">
        <f>IFERROR(G3080*VLOOKUP($E3080,BD!$L$2:$Q$66,5,0),0)</f>
        <v>260.10000000000002</v>
      </c>
      <c r="J3080" s="539">
        <f t="shared" si="207"/>
        <v>2021</v>
      </c>
      <c r="K3080" s="646"/>
    </row>
    <row r="3081" spans="1:11" s="9" customFormat="1" ht="15.75" hidden="1" thickBot="1" x14ac:dyDescent="0.3">
      <c r="A3081" s="540">
        <v>44525</v>
      </c>
      <c r="B3081" s="505" t="str">
        <f t="shared" si="204"/>
        <v>NOVIEMBRE</v>
      </c>
      <c r="C3081" s="505">
        <f t="shared" si="205"/>
        <v>48</v>
      </c>
      <c r="D3081" s="541" t="str">
        <f t="shared" si="206"/>
        <v>JUEVES</v>
      </c>
      <c r="E3081" s="506">
        <v>256488</v>
      </c>
      <c r="F3081" s="541" t="str">
        <f>IFERROR(VLOOKUP(E3081,BD!$L$2:$Q$66,2,0),0)</f>
        <v>INCA KOLA PET 3LX2 - RF</v>
      </c>
      <c r="G3081" s="518">
        <v>360</v>
      </c>
      <c r="H3081" s="541">
        <f>+IFERROR(VLOOKUP(E3081,BD!$L$2:$Q$66,6,0),0)</f>
        <v>120</v>
      </c>
      <c r="I3081" s="542">
        <f>IFERROR(G3081*VLOOKUP($E3081,BD!$L$2:$Q$66,5,0),0)</f>
        <v>61.2</v>
      </c>
      <c r="J3081" s="543">
        <f t="shared" si="207"/>
        <v>2021</v>
      </c>
      <c r="K3081" s="647"/>
    </row>
    <row r="3082" spans="1:11" s="9" customFormat="1" hidden="1" x14ac:dyDescent="0.25">
      <c r="A3082" s="493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63">
        <v>251406</v>
      </c>
      <c r="F3082" s="6" t="str">
        <f>IFERROR(VLOOKUP(E3082,BD!$L$2:$Q$66,2,0),0)</f>
        <v>COCA-COLA SIN AZUCAR PET 1.5LX2</v>
      </c>
      <c r="G3082" s="513">
        <v>2592</v>
      </c>
      <c r="H3082" s="6">
        <f>+IFERROR(VLOOKUP(E3082,BD!$L$2:$Q$66,6,0),0)</f>
        <v>198</v>
      </c>
      <c r="I3082" s="97">
        <f>IFERROR(G3082*VLOOKUP($E3082,BD!$L$2:$Q$66,5,0),0)</f>
        <v>440.64000000000004</v>
      </c>
      <c r="J3082" s="109">
        <f t="shared" si="207"/>
        <v>2021</v>
      </c>
    </row>
    <row r="3083" spans="1:11" s="9" customFormat="1" hidden="1" x14ac:dyDescent="0.25">
      <c r="A3083" s="491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7">
        <v>254853</v>
      </c>
      <c r="F3083" s="3" t="str">
        <f>IFERROR(VLOOKUP(E3083,BD!$L$2:$Q$66,2,0),0)</f>
        <v>INCA KOLA SIN AZUCAR PET 1.5LX2</v>
      </c>
      <c r="G3083" s="424">
        <v>1728</v>
      </c>
      <c r="H3083" s="3">
        <f>+IFERROR(VLOOKUP(E3083,BD!$L$2:$Q$66,6,0),0)</f>
        <v>198</v>
      </c>
      <c r="I3083" s="96">
        <f>IFERROR(G3083*VLOOKUP($E3083,BD!$L$2:$Q$66,5,0),0)</f>
        <v>293.76000000000005</v>
      </c>
      <c r="J3083" s="5">
        <f t="shared" si="207"/>
        <v>2021</v>
      </c>
    </row>
    <row r="3084" spans="1:11" s="9" customFormat="1" hidden="1" x14ac:dyDescent="0.25">
      <c r="A3084" s="491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7">
        <v>256488</v>
      </c>
      <c r="F3084" s="3" t="str">
        <f>IFERROR(VLOOKUP(E3084,BD!$L$2:$Q$66,2,0),0)</f>
        <v>INCA KOLA PET 3LX2 - RF</v>
      </c>
      <c r="G3084" s="424">
        <v>5640</v>
      </c>
      <c r="H3084" s="3">
        <f>+IFERROR(VLOOKUP(E3084,BD!$L$2:$Q$66,6,0),0)</f>
        <v>120</v>
      </c>
      <c r="I3084" s="96">
        <f>IFERROR(G3084*VLOOKUP($E3084,BD!$L$2:$Q$66,5,0),0)</f>
        <v>958.80000000000007</v>
      </c>
      <c r="J3084" s="5">
        <f t="shared" si="207"/>
        <v>2021</v>
      </c>
    </row>
    <row r="3085" spans="1:11" s="9" customFormat="1" hidden="1" x14ac:dyDescent="0.25">
      <c r="A3085" s="491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7">
        <v>256601</v>
      </c>
      <c r="F3085" s="3" t="str">
        <f>IFERROR(VLOOKUP(E3085,BD!$L$2:$Q$66,2,0),0)</f>
        <v>INCA KOLA PET 2.25LX2 RF</v>
      </c>
      <c r="G3085" s="424">
        <v>324</v>
      </c>
      <c r="H3085" s="3">
        <f>+IFERROR(VLOOKUP(E3085,BD!$L$2:$Q$66,6,0),0)</f>
        <v>162</v>
      </c>
      <c r="I3085" s="96">
        <f>IFERROR(G3085*VLOOKUP($E3085,BD!$L$2:$Q$66,5,0),0)</f>
        <v>55.080000000000005</v>
      </c>
      <c r="J3085" s="5">
        <f t="shared" si="207"/>
        <v>2021</v>
      </c>
    </row>
    <row r="3086" spans="1:11" s="9" customFormat="1" hidden="1" x14ac:dyDescent="0.25">
      <c r="A3086" s="491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7">
        <v>256616</v>
      </c>
      <c r="F3086" s="3" t="str">
        <f>IFERROR(VLOOKUP(E3086,BD!$L$2:$Q$66,2,0),0)</f>
        <v>TWO PACK SCHWEPPES CITRUS PET 1.5LX2</v>
      </c>
      <c r="G3086" s="424">
        <v>594</v>
      </c>
      <c r="H3086" s="3">
        <f>+IFERROR(VLOOKUP(E3086,BD!$L$2:$Q$66,6,0),0)</f>
        <v>198</v>
      </c>
      <c r="I3086" s="96">
        <f>IFERROR(G3086*VLOOKUP($E3086,BD!$L$2:$Q$66,5,0),0)</f>
        <v>100.98</v>
      </c>
      <c r="J3086" s="5">
        <f t="shared" si="207"/>
        <v>2021</v>
      </c>
    </row>
    <row r="3087" spans="1:11" s="9" customFormat="1" hidden="1" x14ac:dyDescent="0.25">
      <c r="A3087" s="491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7">
        <v>256617</v>
      </c>
      <c r="F3087" s="3" t="str">
        <f>IFERROR(VLOOKUP(E3087,BD!$L$2:$Q$66,2,0),0)</f>
        <v>TWO PACK SCHWEPPES GINGER ALE PET 1.5LX2</v>
      </c>
      <c r="G3087" s="424">
        <v>990</v>
      </c>
      <c r="H3087" s="3">
        <f>+IFERROR(VLOOKUP(E3087,BD!$L$2:$Q$66,6,0),0)</f>
        <v>198</v>
      </c>
      <c r="I3087" s="96">
        <f>IFERROR(G3087*VLOOKUP($E3087,BD!$L$2:$Q$66,5,0),0)</f>
        <v>168.3</v>
      </c>
      <c r="J3087" s="5">
        <f t="shared" si="207"/>
        <v>2021</v>
      </c>
    </row>
    <row r="3088" spans="1:11" s="9" customFormat="1" hidden="1" x14ac:dyDescent="0.25">
      <c r="A3088" s="491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7">
        <v>256666</v>
      </c>
      <c r="F3088" s="3" t="str">
        <f>IFERROR(VLOOKUP(E3088,BD!$L$2:$Q$66,2,0),0)</f>
        <v>COCA-COLA PET 2.25LX2 RF</v>
      </c>
      <c r="G3088" s="424">
        <v>324</v>
      </c>
      <c r="H3088" s="3">
        <f>+IFERROR(VLOOKUP(E3088,BD!$L$2:$Q$66,6,0),0)</f>
        <v>162</v>
      </c>
      <c r="I3088" s="96">
        <f>IFERROR(G3088*VLOOKUP($E3088,BD!$L$2:$Q$66,5,0),0)</f>
        <v>55.080000000000005</v>
      </c>
      <c r="J3088" s="5">
        <f t="shared" si="207"/>
        <v>2021</v>
      </c>
    </row>
    <row r="3089" spans="1:11" s="9" customFormat="1" hidden="1" x14ac:dyDescent="0.25">
      <c r="A3089" s="491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7">
        <v>256675</v>
      </c>
      <c r="F3089" s="3" t="str">
        <f>IFERROR(VLOOKUP(E3089,BD!$L$2:$Q$66,2,0),0)</f>
        <v>INCA KOLA PET 1.5LX2 RF</v>
      </c>
      <c r="G3089" s="424">
        <v>1728</v>
      </c>
      <c r="H3089" s="3">
        <f>+IFERROR(VLOOKUP(E3089,BD!$L$2:$Q$66,6,0),0)</f>
        <v>198</v>
      </c>
      <c r="I3089" s="96">
        <f>IFERROR(G3089*VLOOKUP($E3089,BD!$L$2:$Q$66,5,0),0)</f>
        <v>293.76000000000005</v>
      </c>
      <c r="J3089" s="5">
        <f t="shared" si="207"/>
        <v>2021</v>
      </c>
    </row>
    <row r="3090" spans="1:11" s="9" customFormat="1" hidden="1" x14ac:dyDescent="0.25">
      <c r="A3090" s="491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7">
        <v>256676</v>
      </c>
      <c r="F3090" s="3" t="str">
        <f>IFERROR(VLOOKUP(E3090,BD!$L$2:$Q$66,2,0),0)</f>
        <v>TWO PACK CC PFM 3LX2 - RFCC</v>
      </c>
      <c r="G3090" s="424">
        <v>3720</v>
      </c>
      <c r="H3090" s="3">
        <f>+IFERROR(VLOOKUP(E3090,BD!$L$2:$Q$66,6,0),0)</f>
        <v>120</v>
      </c>
      <c r="I3090" s="96">
        <f>IFERROR(G3090*VLOOKUP($E3090,BD!$L$2:$Q$66,5,0),0)</f>
        <v>632.40000000000009</v>
      </c>
      <c r="J3090" s="5">
        <f t="shared" si="207"/>
        <v>2021</v>
      </c>
    </row>
    <row r="3091" spans="1:11" s="9" customFormat="1" hidden="1" x14ac:dyDescent="0.25">
      <c r="A3091" s="491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7">
        <v>256677</v>
      </c>
      <c r="F3091" s="3" t="str">
        <f>IFERROR(VLOOKUP(E3091,BD!$L$2:$Q$66,2,0),0)</f>
        <v>TWO PACK CC + IK PFM 3LX2 - RFNN</v>
      </c>
      <c r="G3091" s="424">
        <v>240</v>
      </c>
      <c r="H3091" s="3">
        <f>+IFERROR(VLOOKUP(E3091,BD!$L$2:$Q$66,6,0),0)</f>
        <v>120</v>
      </c>
      <c r="I3091" s="96">
        <f>IFERROR(G3091*VLOOKUP($E3091,BD!$L$2:$Q$66,5,0),0)</f>
        <v>40.800000000000004</v>
      </c>
      <c r="J3091" s="5">
        <f t="shared" si="207"/>
        <v>2021</v>
      </c>
    </row>
    <row r="3092" spans="1:11" s="9" customFormat="1" hidden="1" x14ac:dyDescent="0.25">
      <c r="A3092" s="491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7">
        <v>251632</v>
      </c>
      <c r="F3092" s="3" t="str">
        <f>IFERROR(VLOOKUP(E3092,BD!$L$2:$Q$66,2,0),0)</f>
        <v>SAN LUIS SIN GAS PET 625MLX06 MOD</v>
      </c>
      <c r="G3092" s="424">
        <v>180</v>
      </c>
      <c r="H3092" s="3">
        <f>+IFERROR(VLOOKUP(E3092,BD!$L$2:$Q$66,6,0),0)</f>
        <v>180</v>
      </c>
      <c r="I3092" s="96">
        <f>IFERROR(G3092*VLOOKUP($E3092,BD!$L$2:$Q$66,5,0),0)</f>
        <v>75.599999999999994</v>
      </c>
      <c r="J3092" s="5">
        <f t="shared" si="207"/>
        <v>2021</v>
      </c>
    </row>
    <row r="3093" spans="1:11" s="9" customFormat="1" hidden="1" x14ac:dyDescent="0.25">
      <c r="A3093" s="491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7">
        <v>252436</v>
      </c>
      <c r="F3093" s="3" t="str">
        <f>IFERROR(VLOOKUP(E3093,BD!$L$2:$Q$66,2,0),0)</f>
        <v>SAN LUIS SIN GAS PET 625MLX15 C/STICKER</v>
      </c>
      <c r="G3093" s="424">
        <v>720</v>
      </c>
      <c r="H3093" s="3">
        <f>+IFERROR(VLOOKUP(E3093,BD!$L$2:$Q$66,6,0),0)</f>
        <v>90</v>
      </c>
      <c r="I3093" s="96">
        <f>IFERROR(G3093*VLOOKUP($E3093,BD!$L$2:$Q$66,5,0),0)</f>
        <v>288</v>
      </c>
      <c r="J3093" s="5">
        <f t="shared" si="207"/>
        <v>2021</v>
      </c>
    </row>
    <row r="3094" spans="1:11" s="9" customFormat="1" hidden="1" x14ac:dyDescent="0.25">
      <c r="A3094" s="491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7">
        <v>251429</v>
      </c>
      <c r="F3094" s="3" t="str">
        <f>IFERROR(VLOOKUP(E3094,BD!$L$2:$Q$66,2,0),0)</f>
        <v>SAN LUIS SIN GAS PET2500X6 STICKER</v>
      </c>
      <c r="G3094" s="424">
        <v>288</v>
      </c>
      <c r="H3094" s="3">
        <f>+IFERROR(VLOOKUP(E3094,BD!$L$2:$Q$66,6,0),0)</f>
        <v>48</v>
      </c>
      <c r="I3094" s="96">
        <f>IFERROR(G3094*VLOOKUP($E3094,BD!$L$2:$Q$66,5,0),0)</f>
        <v>115.2</v>
      </c>
      <c r="J3094" s="5">
        <f t="shared" si="207"/>
        <v>2021</v>
      </c>
    </row>
    <row r="3095" spans="1:11" s="9" customFormat="1" hidden="1" x14ac:dyDescent="0.25">
      <c r="A3095" s="491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7">
        <v>256379</v>
      </c>
      <c r="F3095" s="3" t="str">
        <f>IFERROR(VLOOKUP(E3095,BD!$L$2:$Q$66,2,0),0)</f>
        <v>INCA KOLA VR 625MLX12 - STICKER</v>
      </c>
      <c r="G3095" s="424">
        <v>350</v>
      </c>
      <c r="H3095" s="3">
        <f>+IFERROR(VLOOKUP(E3095,BD!$L$2:$Q$66,6,0),0)</f>
        <v>50</v>
      </c>
      <c r="I3095" s="96">
        <f>IFERROR(G3095*VLOOKUP($E3095,BD!$L$2:$Q$66,5,0),0)</f>
        <v>140</v>
      </c>
      <c r="J3095" s="5">
        <f t="shared" si="207"/>
        <v>2021</v>
      </c>
    </row>
    <row r="3096" spans="1:11" s="9" customFormat="1" hidden="1" x14ac:dyDescent="0.25">
      <c r="A3096" s="491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7">
        <v>256381</v>
      </c>
      <c r="F3096" s="3" t="str">
        <f>IFERROR(VLOOKUP(E3096,BD!$L$2:$Q$66,2,0),0)</f>
        <v>INCA KOLA VR 1.5LX8 - STICKER</v>
      </c>
      <c r="G3096" s="424">
        <v>180</v>
      </c>
      <c r="H3096" s="3">
        <f>+IFERROR(VLOOKUP(E3096,BD!$L$2:$Q$66,6,0),0)</f>
        <v>30</v>
      </c>
      <c r="I3096" s="96">
        <f>IFERROR(G3096*VLOOKUP($E3096,BD!$L$2:$Q$66,5,0),0)</f>
        <v>72</v>
      </c>
      <c r="J3096" s="5">
        <f t="shared" si="207"/>
        <v>2021</v>
      </c>
    </row>
    <row r="3097" spans="1:11" s="9" customFormat="1" hidden="1" x14ac:dyDescent="0.25">
      <c r="A3097" s="491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7">
        <v>256383</v>
      </c>
      <c r="F3097" s="3" t="str">
        <f>IFERROR(VLOOKUP(E3097,BD!$L$2:$Q$66,2,0),0)</f>
        <v>COCA COLA VR 1.5LX8 - STICKER</v>
      </c>
      <c r="G3097" s="424">
        <v>240</v>
      </c>
      <c r="H3097" s="3">
        <f>+IFERROR(VLOOKUP(E3097,BD!$L$2:$Q$66,6,0),0)</f>
        <v>30</v>
      </c>
      <c r="I3097" s="96">
        <f>IFERROR(G3097*VLOOKUP($E3097,BD!$L$2:$Q$66,5,0),0)</f>
        <v>55.2</v>
      </c>
      <c r="J3097" s="5">
        <f t="shared" si="207"/>
        <v>2021</v>
      </c>
    </row>
    <row r="3098" spans="1:11" s="9" customFormat="1" hidden="1" x14ac:dyDescent="0.25">
      <c r="A3098" s="491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7">
        <v>256708</v>
      </c>
      <c r="F3098" s="3" t="str">
        <f>IFERROR(VLOOKUP(E3098,BD!$L$2:$Q$66,2,0),0)</f>
        <v>POWERADE ION4 FRUTA PET473X6 MOD (STICK)</v>
      </c>
      <c r="G3098" s="424">
        <v>225</v>
      </c>
      <c r="H3098" s="3">
        <f>+IFERROR(VLOOKUP(E3098,BD!$L$2:$Q$66,6,0),0)</f>
        <v>225</v>
      </c>
      <c r="I3098" s="96">
        <f>IFERROR(G3098*VLOOKUP($E3098,BD!$L$2:$Q$66,5,0),0)</f>
        <v>90</v>
      </c>
      <c r="J3098" s="5">
        <f t="shared" si="207"/>
        <v>2021</v>
      </c>
    </row>
    <row r="3099" spans="1:11" s="9" customFormat="1" hidden="1" x14ac:dyDescent="0.25">
      <c r="A3099" s="52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7">
        <v>256682</v>
      </c>
      <c r="F3099" s="33" t="str">
        <f>IFERROR(VLOOKUP(E3099,BD!$L$2:$Q$66,2,0),0)</f>
        <v>TRIPACK (FT NAR+SP)PET+IK RF PFM 3L</v>
      </c>
      <c r="G3099" s="512">
        <v>180</v>
      </c>
      <c r="H3099" s="33">
        <f>+IFERROR(VLOOKUP(E3099,BD!$L$2:$Q$66,6,0),0)</f>
        <v>90</v>
      </c>
      <c r="I3099" s="499">
        <f>IFERROR(G3099*VLOOKUP($E3099,BD!$L$2:$Q$66,5,0),0)</f>
        <v>30.6</v>
      </c>
      <c r="J3099" s="386">
        <f t="shared" si="207"/>
        <v>2021</v>
      </c>
    </row>
    <row r="3100" spans="1:11" s="13" customFormat="1" ht="15.75" hidden="1" thickBot="1" x14ac:dyDescent="0.3">
      <c r="A3100" s="547">
        <v>44526</v>
      </c>
      <c r="B3100" s="548" t="str">
        <f t="shared" si="204"/>
        <v>NOVIEMBRE</v>
      </c>
      <c r="C3100" s="549">
        <f t="shared" si="205"/>
        <v>48</v>
      </c>
      <c r="D3100" s="550" t="str">
        <f t="shared" si="206"/>
        <v>VIERNES</v>
      </c>
      <c r="E3100" s="551">
        <v>256677</v>
      </c>
      <c r="F3100" s="8" t="str">
        <f>IFERROR(VLOOKUP(E3100,BD!$L$2:$Q$66,2,0),0)</f>
        <v>TWO PACK CC + IK PFM 3LX2 - RFNN</v>
      </c>
      <c r="G3100" s="552">
        <v>720</v>
      </c>
      <c r="H3100" s="553">
        <f>+IFERROR(VLOOKUP(E3100,BD!$L$2:$Q$66,6,0),0)</f>
        <v>120</v>
      </c>
      <c r="I3100" s="554">
        <f>IFERROR(G3100*VLOOKUP($E3100,BD!$L$2:$Q$66,5,0),0)</f>
        <v>122.4</v>
      </c>
      <c r="J3100" s="555">
        <f t="shared" si="207"/>
        <v>2021</v>
      </c>
    </row>
    <row r="3101" spans="1:11" s="9" customFormat="1" hidden="1" x14ac:dyDescent="0.25">
      <c r="A3101" s="532">
        <v>44526</v>
      </c>
      <c r="B3101" s="502" t="str">
        <f t="shared" si="204"/>
        <v>NOVIEMBRE</v>
      </c>
      <c r="C3101" s="502">
        <f t="shared" si="205"/>
        <v>48</v>
      </c>
      <c r="D3101" s="533" t="str">
        <f t="shared" si="206"/>
        <v>VIERNES</v>
      </c>
      <c r="E3101" s="534">
        <v>256676</v>
      </c>
      <c r="F3101" s="533" t="str">
        <f>IFERROR(VLOOKUP(E3101,BD!$L$2:$Q$66,2,0),0)</f>
        <v>TWO PACK CC PFM 3LX2 - RFCC</v>
      </c>
      <c r="G3101" s="535">
        <v>480</v>
      </c>
      <c r="H3101" s="533">
        <f>+IFERROR(VLOOKUP(E3101,BD!$L$2:$Q$66,6,0),0)</f>
        <v>120</v>
      </c>
      <c r="I3101" s="536">
        <f>IFERROR(G3101*VLOOKUP($E3101,BD!$L$2:$Q$66,5,0),0)</f>
        <v>81.600000000000009</v>
      </c>
      <c r="J3101" s="537">
        <f t="shared" si="207"/>
        <v>2021</v>
      </c>
      <c r="K3101" s="642" t="s">
        <v>243</v>
      </c>
    </row>
    <row r="3102" spans="1:11" s="9" customFormat="1" hidden="1" x14ac:dyDescent="0.25">
      <c r="A3102" s="538">
        <v>44526</v>
      </c>
      <c r="B3102" s="370" t="str">
        <f t="shared" si="204"/>
        <v>NOVIEMBRE</v>
      </c>
      <c r="C3102" s="370">
        <f t="shared" si="205"/>
        <v>48</v>
      </c>
      <c r="D3102" s="94" t="str">
        <f t="shared" si="206"/>
        <v>VIERNES</v>
      </c>
      <c r="E3102" s="378">
        <v>256488</v>
      </c>
      <c r="F3102" s="94" t="str">
        <f>IFERROR(VLOOKUP(E3102,BD!$L$2:$Q$66,2,0),0)</f>
        <v>INCA KOLA PET 3LX2 - RF</v>
      </c>
      <c r="G3102" s="503">
        <v>1800</v>
      </c>
      <c r="H3102" s="94">
        <f>+IFERROR(VLOOKUP(E3102,BD!$L$2:$Q$66,6,0),0)</f>
        <v>120</v>
      </c>
      <c r="I3102" s="531">
        <f>IFERROR(G3102*VLOOKUP($E3102,BD!$L$2:$Q$66,5,0),0)</f>
        <v>306</v>
      </c>
      <c r="J3102" s="539">
        <f t="shared" si="207"/>
        <v>2021</v>
      </c>
      <c r="K3102" s="643"/>
    </row>
    <row r="3103" spans="1:11" s="9" customFormat="1" hidden="1" x14ac:dyDescent="0.25">
      <c r="A3103" s="538">
        <v>44526</v>
      </c>
      <c r="B3103" s="370" t="str">
        <f t="shared" si="204"/>
        <v>NOVIEMBRE</v>
      </c>
      <c r="C3103" s="370">
        <f t="shared" si="205"/>
        <v>48</v>
      </c>
      <c r="D3103" s="94" t="str">
        <f t="shared" si="206"/>
        <v>VIERNES</v>
      </c>
      <c r="E3103" s="378">
        <v>256677</v>
      </c>
      <c r="F3103" s="94" t="str">
        <f>IFERROR(VLOOKUP(E3103,BD!$L$2:$Q$66,2,0),0)</f>
        <v>TWO PACK CC + IK PFM 3LX2 - RFNN</v>
      </c>
      <c r="G3103" s="503">
        <v>5280</v>
      </c>
      <c r="H3103" s="94">
        <f>+IFERROR(VLOOKUP(E3103,BD!$L$2:$Q$66,6,0),0)</f>
        <v>120</v>
      </c>
      <c r="I3103" s="531">
        <f>IFERROR(G3103*VLOOKUP($E3103,BD!$L$2:$Q$66,5,0),0)</f>
        <v>897.6</v>
      </c>
      <c r="J3103" s="539">
        <f t="shared" si="207"/>
        <v>2021</v>
      </c>
      <c r="K3103" s="643"/>
    </row>
    <row r="3104" spans="1:11" s="9" customFormat="1" hidden="1" x14ac:dyDescent="0.25">
      <c r="A3104" s="538">
        <v>44526</v>
      </c>
      <c r="B3104" s="370" t="str">
        <f t="shared" si="204"/>
        <v>NOVIEMBRE</v>
      </c>
      <c r="C3104" s="370">
        <f t="shared" si="205"/>
        <v>48</v>
      </c>
      <c r="D3104" s="94" t="str">
        <f t="shared" si="206"/>
        <v>VIERNES</v>
      </c>
      <c r="E3104" s="378">
        <v>256678</v>
      </c>
      <c r="F3104" s="94" t="str">
        <f>IFERROR(VLOOKUP(E3104,BD!$L$2:$Q$66,2,0),0)</f>
        <v>TRIPACK (CC+IK)PFM+FT PET 3LX3 - RFNN</v>
      </c>
      <c r="G3104" s="503">
        <v>2880</v>
      </c>
      <c r="H3104" s="94">
        <f>+IFERROR(VLOOKUP(E3104,BD!$L$2:$Q$66,6,0),0)</f>
        <v>90</v>
      </c>
      <c r="I3104" s="531">
        <f>IFERROR(G3104*VLOOKUP($E3104,BD!$L$2:$Q$66,5,0),0)</f>
        <v>489.6</v>
      </c>
      <c r="J3104" s="539">
        <f t="shared" si="207"/>
        <v>2021</v>
      </c>
      <c r="K3104" s="643"/>
    </row>
    <row r="3105" spans="1:12" s="9" customFormat="1" ht="15.75" hidden="1" thickBot="1" x14ac:dyDescent="0.3">
      <c r="A3105" s="540">
        <v>44526</v>
      </c>
      <c r="B3105" s="505" t="str">
        <f t="shared" si="204"/>
        <v>NOVIEMBRE</v>
      </c>
      <c r="C3105" s="505">
        <f t="shared" si="205"/>
        <v>48</v>
      </c>
      <c r="D3105" s="541" t="str">
        <f t="shared" si="206"/>
        <v>VIERNES</v>
      </c>
      <c r="E3105" s="506">
        <v>256652</v>
      </c>
      <c r="F3105" s="541" t="str">
        <f>IFERROR(VLOOKUP(E3105,BD!$L$2:$Q$66,2,0),0)</f>
        <v>TRIPACK FT NAR+FT KI+SP PET 3L</v>
      </c>
      <c r="G3105" s="518">
        <v>2430</v>
      </c>
      <c r="H3105" s="541">
        <f>+IFERROR(VLOOKUP(E3105,BD!$L$2:$Q$66,6,0),0)</f>
        <v>90</v>
      </c>
      <c r="I3105" s="542">
        <f>IFERROR(G3105*VLOOKUP($E3105,BD!$L$2:$Q$66,5,0),0)</f>
        <v>413.1</v>
      </c>
      <c r="J3105" s="543">
        <f t="shared" si="207"/>
        <v>2021</v>
      </c>
      <c r="K3105" s="644"/>
    </row>
    <row r="3106" spans="1:12" s="9" customFormat="1" hidden="1" x14ac:dyDescent="0.25">
      <c r="A3106" s="493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63">
        <v>256381</v>
      </c>
      <c r="F3106" s="6" t="str">
        <f>IFERROR(VLOOKUP(E3106,BD!$L$2:$Q$66,2,0),0)</f>
        <v>INCA KOLA VR 1.5LX8 - STICKER</v>
      </c>
      <c r="G3106" s="513">
        <v>120</v>
      </c>
      <c r="H3106" s="6">
        <f>+IFERROR(VLOOKUP(E3106,BD!$L$2:$Q$66,6,0),0)</f>
        <v>30</v>
      </c>
      <c r="I3106" s="97">
        <f>IFERROR(G3106*VLOOKUP($E3106,BD!$L$2:$Q$66,5,0),0)</f>
        <v>48</v>
      </c>
      <c r="J3106" s="109">
        <f t="shared" si="207"/>
        <v>2021</v>
      </c>
      <c r="K3106" s="556"/>
      <c r="L3106" s="13"/>
    </row>
    <row r="3107" spans="1:12" s="9" customFormat="1" hidden="1" x14ac:dyDescent="0.25">
      <c r="A3107" s="491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7">
        <v>256380</v>
      </c>
      <c r="F3107" s="3" t="str">
        <f>IFERROR(VLOOKUP(E3107,BD!$L$2:$Q$66,2,0),0)</f>
        <v>INCA KOLA VR 296MLX24 - STICKER</v>
      </c>
      <c r="G3107" s="424">
        <v>120</v>
      </c>
      <c r="H3107" s="3">
        <f>+IFERROR(VLOOKUP(E3107,BD!$L$2:$Q$66,6,0),0)</f>
        <v>40</v>
      </c>
      <c r="I3107" s="96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hidden="1" x14ac:dyDescent="0.25">
      <c r="A3108" s="491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7">
        <v>256379</v>
      </c>
      <c r="F3108" s="3" t="str">
        <f>IFERROR(VLOOKUP(E3108,BD!$L$2:$Q$66,2,0),0)</f>
        <v>INCA KOLA VR 625MLX12 - STICKER</v>
      </c>
      <c r="G3108" s="424">
        <v>350</v>
      </c>
      <c r="H3108" s="3">
        <f>+IFERROR(VLOOKUP(E3108,BD!$L$2:$Q$66,6,0),0)</f>
        <v>50</v>
      </c>
      <c r="I3108" s="96">
        <f>IFERROR(G3108*VLOOKUP($E3108,BD!$L$2:$Q$66,5,0),0)</f>
        <v>140</v>
      </c>
      <c r="J3108" s="5">
        <f t="shared" si="207"/>
        <v>2021</v>
      </c>
    </row>
    <row r="3109" spans="1:12" s="9" customFormat="1" hidden="1" x14ac:dyDescent="0.25">
      <c r="A3109" s="491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7">
        <v>256685</v>
      </c>
      <c r="F3109" s="3" t="str">
        <f>IFERROR(VLOOKUP(E3109,BD!$L$2:$Q$66,2,0),0)</f>
        <v>SL S/G TAPA PLANA 1LT</v>
      </c>
      <c r="G3109" s="424">
        <v>560</v>
      </c>
      <c r="H3109" s="3">
        <f>+IFERROR(VLOOKUP(E3109,BD!$L$2:$Q$66,6,0),0)</f>
        <v>112</v>
      </c>
      <c r="I3109" s="96">
        <f>IFERROR(G3109*VLOOKUP($E3109,BD!$L$2:$Q$66,5,0),0)</f>
        <v>224</v>
      </c>
      <c r="J3109" s="5">
        <f t="shared" si="207"/>
        <v>2021</v>
      </c>
    </row>
    <row r="3110" spans="1:12" s="9" customFormat="1" hidden="1" x14ac:dyDescent="0.25">
      <c r="A3110" s="491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7">
        <v>251429</v>
      </c>
      <c r="F3110" s="3" t="str">
        <f>IFERROR(VLOOKUP(E3110,BD!$L$2:$Q$66,2,0),0)</f>
        <v>SAN LUIS SIN GAS PET2500X6 STICKER</v>
      </c>
      <c r="G3110" s="424">
        <v>1200</v>
      </c>
      <c r="H3110" s="3">
        <f>+IFERROR(VLOOKUP(E3110,BD!$L$2:$Q$66,6,0),0)</f>
        <v>48</v>
      </c>
      <c r="I3110" s="96">
        <f>IFERROR(G3110*VLOOKUP($E3110,BD!$L$2:$Q$66,5,0),0)</f>
        <v>480</v>
      </c>
      <c r="J3110" s="5">
        <f t="shared" si="207"/>
        <v>2021</v>
      </c>
    </row>
    <row r="3111" spans="1:12" s="9" customFormat="1" hidden="1" x14ac:dyDescent="0.25">
      <c r="A3111" s="491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7">
        <v>251633</v>
      </c>
      <c r="F3111" s="3" t="str">
        <f>IFERROR(VLOOKUP(E3111,BD!$L$2:$Q$66,2,0),0)</f>
        <v>SAN LUIS CON GAS PET 625MLX6</v>
      </c>
      <c r="G3111" s="424">
        <v>900</v>
      </c>
      <c r="H3111" s="3">
        <f>+IFERROR(VLOOKUP(E3111,BD!$L$2:$Q$66,6,0),0)</f>
        <v>180</v>
      </c>
      <c r="I3111" s="96">
        <f>IFERROR(G3111*VLOOKUP($E3111,BD!$L$2:$Q$66,5,0),0)</f>
        <v>378</v>
      </c>
      <c r="J3111" s="5">
        <f t="shared" si="207"/>
        <v>2021</v>
      </c>
    </row>
    <row r="3112" spans="1:12" s="9" customFormat="1" hidden="1" x14ac:dyDescent="0.25">
      <c r="A3112" s="491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7">
        <v>256616</v>
      </c>
      <c r="F3112" s="3" t="str">
        <f>IFERROR(VLOOKUP(E3112,BD!$L$2:$Q$66,2,0),0)</f>
        <v>TWO PACK SCHWEPPES CITRUS PET 1.5LX2</v>
      </c>
      <c r="G3112" s="424">
        <v>990</v>
      </c>
      <c r="H3112" s="3">
        <f>+IFERROR(VLOOKUP(E3112,BD!$L$2:$Q$66,6,0),0)</f>
        <v>198</v>
      </c>
      <c r="I3112" s="96">
        <f>IFERROR(G3112*VLOOKUP($E3112,BD!$L$2:$Q$66,5,0),0)</f>
        <v>168.3</v>
      </c>
      <c r="J3112" s="5">
        <f t="shared" si="207"/>
        <v>2021</v>
      </c>
    </row>
    <row r="3113" spans="1:12" s="9" customFormat="1" hidden="1" x14ac:dyDescent="0.25">
      <c r="A3113" s="491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7">
        <v>256617</v>
      </c>
      <c r="F3113" s="3" t="str">
        <f>IFERROR(VLOOKUP(E3113,BD!$L$2:$Q$66,2,0),0)</f>
        <v>TWO PACK SCHWEPPES GINGER ALE PET 1.5LX2</v>
      </c>
      <c r="G3113" s="424">
        <v>792</v>
      </c>
      <c r="H3113" s="3">
        <f>+IFERROR(VLOOKUP(E3113,BD!$L$2:$Q$66,6,0),0)</f>
        <v>198</v>
      </c>
      <c r="I3113" s="96">
        <f>IFERROR(G3113*VLOOKUP($E3113,BD!$L$2:$Q$66,5,0),0)</f>
        <v>134.64000000000001</v>
      </c>
      <c r="J3113" s="5">
        <f t="shared" si="207"/>
        <v>2021</v>
      </c>
    </row>
    <row r="3114" spans="1:12" s="9" customFormat="1" hidden="1" x14ac:dyDescent="0.25">
      <c r="A3114" s="491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7">
        <v>256666</v>
      </c>
      <c r="F3114" s="3" t="str">
        <f>IFERROR(VLOOKUP(E3114,BD!$L$2:$Q$66,2,0),0)</f>
        <v>COCA-COLA PET 2.25LX2 RF</v>
      </c>
      <c r="G3114" s="424">
        <v>810</v>
      </c>
      <c r="H3114" s="3">
        <f>+IFERROR(VLOOKUP(E3114,BD!$L$2:$Q$66,6,0),0)</f>
        <v>162</v>
      </c>
      <c r="I3114" s="96">
        <f>IFERROR(G3114*VLOOKUP($E3114,BD!$L$2:$Q$66,5,0),0)</f>
        <v>137.70000000000002</v>
      </c>
      <c r="J3114" s="5">
        <f t="shared" si="207"/>
        <v>2021</v>
      </c>
    </row>
    <row r="3115" spans="1:12" s="9" customFormat="1" hidden="1" x14ac:dyDescent="0.25">
      <c r="A3115" s="491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7">
        <v>256601</v>
      </c>
      <c r="F3115" s="3" t="str">
        <f>IFERROR(VLOOKUP(E3115,BD!$L$2:$Q$66,2,0),0)</f>
        <v>INCA KOLA PET 2.25LX2 RF</v>
      </c>
      <c r="G3115" s="424">
        <v>810</v>
      </c>
      <c r="H3115" s="3">
        <f>+IFERROR(VLOOKUP(E3115,BD!$L$2:$Q$66,6,0),0)</f>
        <v>162</v>
      </c>
      <c r="I3115" s="96">
        <f>IFERROR(G3115*VLOOKUP($E3115,BD!$L$2:$Q$66,5,0),0)</f>
        <v>137.70000000000002</v>
      </c>
      <c r="J3115" s="5">
        <f t="shared" si="207"/>
        <v>2021</v>
      </c>
    </row>
    <row r="3116" spans="1:12" s="9" customFormat="1" hidden="1" x14ac:dyDescent="0.25">
      <c r="A3116" s="491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7">
        <v>256674</v>
      </c>
      <c r="F3116" s="3" t="str">
        <f>IFERROR(VLOOKUP(E3116,BD!$L$2:$Q$66,2,0),0)</f>
        <v>COCA-COLA PET 1.5LX2 RF</v>
      </c>
      <c r="G3116" s="424">
        <v>1296</v>
      </c>
      <c r="H3116" s="3">
        <f>+IFERROR(VLOOKUP(E3116,BD!$L$2:$Q$66,6,0),0)</f>
        <v>198</v>
      </c>
      <c r="I3116" s="96">
        <f>IFERROR(G3116*VLOOKUP($E3116,BD!$L$2:$Q$66,5,0),0)</f>
        <v>220.32000000000002</v>
      </c>
      <c r="J3116" s="5">
        <f t="shared" si="207"/>
        <v>2021</v>
      </c>
    </row>
    <row r="3117" spans="1:12" s="9" customFormat="1" hidden="1" x14ac:dyDescent="0.25">
      <c r="A3117" s="491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7">
        <v>256675</v>
      </c>
      <c r="F3117" s="3" t="str">
        <f>IFERROR(VLOOKUP(E3117,BD!$L$2:$Q$66,2,0),0)</f>
        <v>INCA KOLA PET 1.5LX2 RF</v>
      </c>
      <c r="G3117" s="424">
        <v>648</v>
      </c>
      <c r="H3117" s="3">
        <f>+IFERROR(VLOOKUP(E3117,BD!$L$2:$Q$66,6,0),0)</f>
        <v>198</v>
      </c>
      <c r="I3117" s="96">
        <f>IFERROR(G3117*VLOOKUP($E3117,BD!$L$2:$Q$66,5,0),0)</f>
        <v>110.16000000000001</v>
      </c>
      <c r="J3117" s="5">
        <f t="shared" si="207"/>
        <v>2021</v>
      </c>
    </row>
    <row r="3118" spans="1:12" s="9" customFormat="1" hidden="1" x14ac:dyDescent="0.25">
      <c r="A3118" s="491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7">
        <v>256677</v>
      </c>
      <c r="F3118" s="3" t="str">
        <f>IFERROR(VLOOKUP(E3118,BD!$L$2:$Q$66,2,0),0)</f>
        <v>TWO PACK CC + IK PFM 3LX2 - RFNN</v>
      </c>
      <c r="G3118" s="424">
        <v>7920</v>
      </c>
      <c r="H3118" s="3">
        <f>+IFERROR(VLOOKUP(E3118,BD!$L$2:$Q$66,6,0),0)</f>
        <v>120</v>
      </c>
      <c r="I3118" s="96">
        <f>IFERROR(G3118*VLOOKUP($E3118,BD!$L$2:$Q$66,5,0),0)</f>
        <v>1346.4</v>
      </c>
      <c r="J3118" s="5">
        <f t="shared" si="207"/>
        <v>2021</v>
      </c>
    </row>
    <row r="3119" spans="1:12" s="9" customFormat="1" hidden="1" x14ac:dyDescent="0.25">
      <c r="A3119" s="491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7">
        <v>256679</v>
      </c>
      <c r="F3119" s="3" t="str">
        <f>IFERROR(VLOOKUP(E3119,BD!$L$2:$Q$66,2,0),0)</f>
        <v>TRIPACK CC+IK+IK PFM 3LX3 - RFNN</v>
      </c>
      <c r="G3119" s="424">
        <v>990</v>
      </c>
      <c r="H3119" s="3">
        <f>+IFERROR(VLOOKUP(E3119,BD!$L$2:$Q$66,6,0),0)</f>
        <v>90</v>
      </c>
      <c r="I3119" s="96">
        <f>IFERROR(G3119*VLOOKUP($E3119,BD!$L$2:$Q$66,5,0),0)</f>
        <v>168.3</v>
      </c>
      <c r="J3119" s="5">
        <f t="shared" si="207"/>
        <v>2021</v>
      </c>
    </row>
    <row r="3120" spans="1:12" s="9" customFormat="1" hidden="1" x14ac:dyDescent="0.25">
      <c r="A3120" s="491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7">
        <v>256678</v>
      </c>
      <c r="F3120" s="3" t="str">
        <f>IFERROR(VLOOKUP(E3120,BD!$L$2:$Q$66,2,0),0)</f>
        <v>TRIPACK (CC+IK)PFM+FT PET 3LX3 - RFNN</v>
      </c>
      <c r="G3120" s="424">
        <v>2880</v>
      </c>
      <c r="H3120" s="3">
        <f>+IFERROR(VLOOKUP(E3120,BD!$L$2:$Q$66,6,0),0)</f>
        <v>90</v>
      </c>
      <c r="I3120" s="96">
        <f>IFERROR(G3120*VLOOKUP($E3120,BD!$L$2:$Q$66,5,0),0)</f>
        <v>489.6</v>
      </c>
      <c r="J3120" s="5">
        <f t="shared" si="207"/>
        <v>2021</v>
      </c>
    </row>
    <row r="3121" spans="1:11" s="9" customFormat="1" hidden="1" x14ac:dyDescent="0.25">
      <c r="A3121" s="491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7">
        <v>256682</v>
      </c>
      <c r="F3121" s="3" t="str">
        <f>IFERROR(VLOOKUP(E3121,BD!$L$2:$Q$66,2,0),0)</f>
        <v>TRIPACK (FT NAR+SP)PET+IK RF PFM 3L</v>
      </c>
      <c r="G3121" s="424">
        <v>450</v>
      </c>
      <c r="H3121" s="3">
        <f>+IFERROR(VLOOKUP(E3121,BD!$L$2:$Q$66,6,0),0)</f>
        <v>90</v>
      </c>
      <c r="I3121" s="96">
        <f>IFERROR(G3121*VLOOKUP($E3121,BD!$L$2:$Q$66,5,0),0)</f>
        <v>76.5</v>
      </c>
      <c r="J3121" s="5">
        <f t="shared" si="207"/>
        <v>2021</v>
      </c>
    </row>
    <row r="3122" spans="1:11" s="9" customFormat="1" hidden="1" x14ac:dyDescent="0.25">
      <c r="A3122" s="491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7">
        <v>256708</v>
      </c>
      <c r="F3122" s="3" t="str">
        <f>IFERROR(VLOOKUP(E3122,BD!$L$2:$Q$66,2,0),0)</f>
        <v>POWERADE ION4 FRUTA PET473X6 MOD (STICK)</v>
      </c>
      <c r="G3122" s="425">
        <v>900</v>
      </c>
      <c r="H3122" s="3">
        <f>+IFERROR(VLOOKUP(E3122,BD!$L$2:$Q$66,6,0),0)</f>
        <v>225</v>
      </c>
      <c r="I3122" s="96">
        <f>IFERROR(G3122*VLOOKUP($E3122,BD!$L$2:$Q$66,5,0),0)</f>
        <v>360</v>
      </c>
      <c r="J3122" s="5">
        <f t="shared" si="207"/>
        <v>2021</v>
      </c>
    </row>
    <row r="3123" spans="1:11" s="9" customFormat="1" hidden="1" x14ac:dyDescent="0.25">
      <c r="A3123" s="491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7">
        <v>251632</v>
      </c>
      <c r="F3123" s="3" t="str">
        <f>IFERROR(VLOOKUP(E3123,BD!$L$2:$Q$66,2,0),0)</f>
        <v>SAN LUIS SIN GAS PET 625MLX06 MOD</v>
      </c>
      <c r="G3123" s="424">
        <v>900</v>
      </c>
      <c r="H3123" s="3">
        <f>+IFERROR(VLOOKUP(E3123,BD!$L$2:$Q$66,6,0),0)</f>
        <v>180</v>
      </c>
      <c r="I3123" s="96">
        <f>IFERROR(G3123*VLOOKUP($E3123,BD!$L$2:$Q$66,5,0),0)</f>
        <v>378</v>
      </c>
      <c r="J3123" s="5">
        <f t="shared" si="207"/>
        <v>2021</v>
      </c>
    </row>
    <row r="3124" spans="1:11" s="9" customFormat="1" hidden="1" x14ac:dyDescent="0.25">
      <c r="A3124" s="491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7">
        <v>256720</v>
      </c>
      <c r="F3124" s="3" t="str">
        <f>IFERROR(VLOOKUP(E3124,BD!$L$2:$Q$66,2,0),0)</f>
        <v>FANTA NARANJA PET 500MLX6 BRANDEADO MOD</v>
      </c>
      <c r="G3124" s="424">
        <v>1000</v>
      </c>
      <c r="H3124" s="3">
        <f>+IFERROR(VLOOKUP(E3124,BD!$L$2:$Q$66,6,0),0)</f>
        <v>420</v>
      </c>
      <c r="I3124" s="96">
        <f>IFERROR(G3124*VLOOKUP($E3124,BD!$L$2:$Q$66,5,0),0)</f>
        <v>420</v>
      </c>
      <c r="J3124" s="5">
        <f t="shared" si="207"/>
        <v>2021</v>
      </c>
    </row>
    <row r="3125" spans="1:11" s="9" customFormat="1" hidden="1" x14ac:dyDescent="0.25">
      <c r="A3125" s="491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7">
        <v>256488</v>
      </c>
      <c r="F3125" s="3" t="str">
        <f>IFERROR(VLOOKUP(E3125,BD!$L$2:$Q$66,2,0),0)</f>
        <v>INCA KOLA PET 3LX2 - RF</v>
      </c>
      <c r="G3125" s="425">
        <v>3240</v>
      </c>
      <c r="H3125" s="3">
        <f>+IFERROR(VLOOKUP(E3125,BD!$L$2:$Q$66,6,0),0)</f>
        <v>120</v>
      </c>
      <c r="I3125" s="96">
        <f>IFERROR(G3125*VLOOKUP($E3125,BD!$L$2:$Q$66,5,0),0)</f>
        <v>550.80000000000007</v>
      </c>
      <c r="J3125" s="5">
        <f t="shared" si="207"/>
        <v>2021</v>
      </c>
    </row>
    <row r="3126" spans="1:11" s="9" customFormat="1" hidden="1" x14ac:dyDescent="0.25">
      <c r="A3126" s="491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7">
        <v>256652</v>
      </c>
      <c r="F3126" s="3" t="str">
        <f>IFERROR(VLOOKUP(E3126,BD!$L$2:$Q$66,2,0),0)</f>
        <v>TRIPACK FT NAR+FT KI+SP PET 3L</v>
      </c>
      <c r="G3126" s="424">
        <v>360</v>
      </c>
      <c r="H3126" s="3">
        <f>+IFERROR(VLOOKUP(E3126,BD!$L$2:$Q$66,6,0),0)</f>
        <v>90</v>
      </c>
      <c r="I3126" s="96">
        <f>IFERROR(G3126*VLOOKUP($E3126,BD!$L$2:$Q$66,5,0),0)</f>
        <v>61.2</v>
      </c>
      <c r="J3126" s="5">
        <f t="shared" si="207"/>
        <v>2021</v>
      </c>
    </row>
    <row r="3127" spans="1:11" s="9" customFormat="1" ht="15.75" hidden="1" thickBot="1" x14ac:dyDescent="0.3">
      <c r="A3127" s="492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9">
        <v>256709</v>
      </c>
      <c r="F3127" s="8" t="str">
        <f>IFERROR(VLOOKUP(E3127,BD!$L$2:$Q$66,2,0),0)</f>
        <v>POWERADE ION4 MORA AZ PET473X6 MOD(STCK)</v>
      </c>
      <c r="G3127" s="501">
        <v>225</v>
      </c>
      <c r="H3127" s="8">
        <f>+IFERROR(VLOOKUP(E3127,BD!$L$2:$Q$66,6,0),0)</f>
        <v>225</v>
      </c>
      <c r="I3127" s="98">
        <f>IFERROR(G3127*VLOOKUP($E3127,BD!$L$2:$Q$66,5,0),0)</f>
        <v>90</v>
      </c>
      <c r="J3127" s="110">
        <f t="shared" si="207"/>
        <v>2021</v>
      </c>
    </row>
    <row r="3128" spans="1:11" s="9" customFormat="1" ht="15.75" hidden="1" thickBot="1" x14ac:dyDescent="0.3">
      <c r="A3128" s="557">
        <v>44527</v>
      </c>
      <c r="B3128" s="558" t="str">
        <f t="shared" si="204"/>
        <v>NOVIEMBRE</v>
      </c>
      <c r="C3128" s="558">
        <f t="shared" si="205"/>
        <v>49</v>
      </c>
      <c r="D3128" s="559" t="str">
        <f t="shared" si="206"/>
        <v>SÁBADO</v>
      </c>
      <c r="E3128" s="560">
        <v>256488</v>
      </c>
      <c r="F3128" s="559" t="str">
        <f>IFERROR(VLOOKUP(E3128,BD!$L$2:$Q$66,2,0),0)</f>
        <v>INCA KOLA PET 3LX2 - RF</v>
      </c>
      <c r="G3128" s="561">
        <v>960</v>
      </c>
      <c r="H3128" s="559">
        <f>+IFERROR(VLOOKUP(E3128,BD!$L$2:$Q$66,6,0),0)</f>
        <v>120</v>
      </c>
      <c r="I3128" s="562">
        <f>IFERROR(G3128*VLOOKUP($E3128,BD!$L$2:$Q$66,5,0),0)</f>
        <v>163.20000000000002</v>
      </c>
      <c r="J3128" s="563">
        <f t="shared" si="207"/>
        <v>2021</v>
      </c>
      <c r="K3128" s="564" t="s">
        <v>243</v>
      </c>
    </row>
    <row r="3129" spans="1:11" s="9" customFormat="1" hidden="1" x14ac:dyDescent="0.25">
      <c r="A3129" s="493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63">
        <v>256383</v>
      </c>
      <c r="F3129" s="6" t="str">
        <f>IFERROR(VLOOKUP(E3129,BD!$L$2:$Q$66,2,0),0)</f>
        <v>COCA COLA VR 1.5LX8 - STICKER</v>
      </c>
      <c r="G3129" s="513">
        <v>150</v>
      </c>
      <c r="H3129" s="6">
        <f>+IFERROR(VLOOKUP(E3129,BD!$L$2:$Q$66,6,0),0)</f>
        <v>30</v>
      </c>
      <c r="I3129" s="97">
        <f>IFERROR(G3129*VLOOKUP($E3129,BD!$L$2:$Q$66,5,0),0)</f>
        <v>34.5</v>
      </c>
      <c r="J3129" s="109">
        <f t="shared" si="207"/>
        <v>2021</v>
      </c>
    </row>
    <row r="3130" spans="1:11" s="9" customFormat="1" hidden="1" x14ac:dyDescent="0.25">
      <c r="A3130" s="491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7">
        <v>256382</v>
      </c>
      <c r="F3130" s="3" t="str">
        <f>IFERROR(VLOOKUP(E3130,BD!$L$2:$Q$66,2,0),0)</f>
        <v>COCA COLA VR 296MLX24 - STICKER</v>
      </c>
      <c r="G3130" s="424">
        <v>120</v>
      </c>
      <c r="H3130" s="3">
        <f>+IFERROR(VLOOKUP(E3130,BD!$L$2:$Q$66,6,0),0)</f>
        <v>40</v>
      </c>
      <c r="I3130" s="96">
        <f>IFERROR(G3130*VLOOKUP($E3130,BD!$L$2:$Q$66,5,0),0)</f>
        <v>27.6</v>
      </c>
      <c r="J3130" s="5">
        <f t="shared" si="207"/>
        <v>2021</v>
      </c>
    </row>
    <row r="3131" spans="1:11" s="9" customFormat="1" hidden="1" x14ac:dyDescent="0.25">
      <c r="A3131" s="491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7">
        <v>256381</v>
      </c>
      <c r="F3131" s="3" t="str">
        <f>IFERROR(VLOOKUP(E3131,BD!$L$2:$Q$66,2,0),0)</f>
        <v>INCA KOLA VR 1.5LX8 - STICKER</v>
      </c>
      <c r="G3131" s="424">
        <v>300</v>
      </c>
      <c r="H3131" s="3">
        <f>+IFERROR(VLOOKUP(E3131,BD!$L$2:$Q$66,6,0),0)</f>
        <v>30</v>
      </c>
      <c r="I3131" s="96">
        <f>IFERROR(G3131*VLOOKUP($E3131,BD!$L$2:$Q$66,5,0),0)</f>
        <v>120</v>
      </c>
      <c r="J3131" s="5">
        <f t="shared" si="207"/>
        <v>2021</v>
      </c>
    </row>
    <row r="3132" spans="1:11" s="9" customFormat="1" hidden="1" x14ac:dyDescent="0.25">
      <c r="A3132" s="491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7">
        <v>254762</v>
      </c>
      <c r="F3132" s="3" t="str">
        <f>IFERROR(VLOOKUP(E3132,BD!$L$2:$Q$66,2,0),0)</f>
        <v xml:space="preserve">SAN LUIS SPORT S/G 10 Lt x6 </v>
      </c>
      <c r="G3132" s="424">
        <v>448</v>
      </c>
      <c r="H3132" s="3">
        <f>+IFERROR(VLOOKUP(E3132,BD!$L$2:$Q$66,6,0),0)</f>
        <v>240</v>
      </c>
      <c r="I3132" s="96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hidden="1" x14ac:dyDescent="0.25">
      <c r="A3133" s="491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7">
        <v>251406</v>
      </c>
      <c r="F3133" s="3" t="str">
        <f>IFERROR(VLOOKUP(E3133,BD!$L$2:$Q$66,2,0),0)</f>
        <v>COCA-COLA SIN AZUCAR PET 1.5LX2</v>
      </c>
      <c r="G3133" s="424">
        <v>1296</v>
      </c>
      <c r="H3133" s="3">
        <f>+IFERROR(VLOOKUP(E3133,BD!$L$2:$Q$66,6,0),0)</f>
        <v>198</v>
      </c>
      <c r="I3133" s="96">
        <f>IFERROR(G3133*VLOOKUP($E3133,BD!$L$2:$Q$66,5,0),0)</f>
        <v>220.32000000000002</v>
      </c>
      <c r="J3133" s="5">
        <f t="shared" si="211"/>
        <v>2021</v>
      </c>
    </row>
    <row r="3134" spans="1:11" s="9" customFormat="1" hidden="1" x14ac:dyDescent="0.25">
      <c r="A3134" s="491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7">
        <v>254853</v>
      </c>
      <c r="F3134" s="3" t="str">
        <f>IFERROR(VLOOKUP(E3134,BD!$L$2:$Q$66,2,0),0)</f>
        <v>INCA KOLA SIN AZUCAR PET 1.5LX2</v>
      </c>
      <c r="G3134" s="424">
        <v>1728</v>
      </c>
      <c r="H3134" s="3">
        <f>+IFERROR(VLOOKUP(E3134,BD!$L$2:$Q$66,6,0),0)</f>
        <v>198</v>
      </c>
      <c r="I3134" s="96">
        <f>IFERROR(G3134*VLOOKUP($E3134,BD!$L$2:$Q$66,5,0),0)</f>
        <v>293.76000000000005</v>
      </c>
      <c r="J3134" s="5">
        <f t="shared" si="211"/>
        <v>2021</v>
      </c>
    </row>
    <row r="3135" spans="1:11" s="9" customFormat="1" hidden="1" x14ac:dyDescent="0.25">
      <c r="A3135" s="491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7">
        <v>256616</v>
      </c>
      <c r="F3135" s="3" t="str">
        <f>IFERROR(VLOOKUP(E3135,BD!$L$2:$Q$66,2,0),0)</f>
        <v>TWO PACK SCHWEPPES CITRUS PET 1.5LX2</v>
      </c>
      <c r="G3135" s="425">
        <v>1584</v>
      </c>
      <c r="H3135" s="3">
        <f>+IFERROR(VLOOKUP(E3135,BD!$L$2:$Q$66,6,0),0)</f>
        <v>198</v>
      </c>
      <c r="I3135" s="96">
        <f>IFERROR(G3135*VLOOKUP($E3135,BD!$L$2:$Q$66,5,0),0)</f>
        <v>269.28000000000003</v>
      </c>
      <c r="J3135" s="5">
        <f t="shared" si="211"/>
        <v>2021</v>
      </c>
    </row>
    <row r="3136" spans="1:11" s="9" customFormat="1" hidden="1" x14ac:dyDescent="0.25">
      <c r="A3136" s="491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7">
        <v>256666</v>
      </c>
      <c r="F3136" s="3" t="str">
        <f>IFERROR(VLOOKUP(E3136,BD!$L$2:$Q$66,2,0),0)</f>
        <v>COCA-COLA PET 2.25LX2 RF</v>
      </c>
      <c r="G3136" s="424">
        <v>972</v>
      </c>
      <c r="H3136" s="3">
        <f>+IFERROR(VLOOKUP(E3136,BD!$L$2:$Q$66,6,0),0)</f>
        <v>162</v>
      </c>
      <c r="I3136" s="96">
        <f>IFERROR(G3136*VLOOKUP($E3136,BD!$L$2:$Q$66,5,0),0)</f>
        <v>165.24</v>
      </c>
      <c r="J3136" s="5">
        <f t="shared" si="211"/>
        <v>2021</v>
      </c>
    </row>
    <row r="3137" spans="1:11" s="9" customFormat="1" hidden="1" x14ac:dyDescent="0.25">
      <c r="A3137" s="491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7">
        <v>256601</v>
      </c>
      <c r="F3137" s="3" t="str">
        <f>IFERROR(VLOOKUP(E3137,BD!$L$2:$Q$66,2,0),0)</f>
        <v>INCA KOLA PET 2.25LX2 RF</v>
      </c>
      <c r="G3137" s="424">
        <v>648</v>
      </c>
      <c r="H3137" s="3">
        <f>+IFERROR(VLOOKUP(E3137,BD!$L$2:$Q$66,6,0),0)</f>
        <v>162</v>
      </c>
      <c r="I3137" s="96">
        <f>IFERROR(G3137*VLOOKUP($E3137,BD!$L$2:$Q$66,5,0),0)</f>
        <v>110.16000000000001</v>
      </c>
      <c r="J3137" s="5">
        <f t="shared" si="211"/>
        <v>2021</v>
      </c>
    </row>
    <row r="3138" spans="1:11" s="9" customFormat="1" hidden="1" x14ac:dyDescent="0.25">
      <c r="A3138" s="491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7">
        <v>256488</v>
      </c>
      <c r="F3138" s="3" t="str">
        <f>IFERROR(VLOOKUP(E3138,BD!$L$2:$Q$66,2,0),0)</f>
        <v>INCA KOLA PET 3LX2 - RF</v>
      </c>
      <c r="G3138" s="424">
        <v>1200</v>
      </c>
      <c r="H3138" s="3">
        <f>+IFERROR(VLOOKUP(E3138,BD!$L$2:$Q$66,6,0),0)</f>
        <v>120</v>
      </c>
      <c r="I3138" s="96">
        <f>IFERROR(G3138*VLOOKUP($E3138,BD!$L$2:$Q$66,5,0),0)</f>
        <v>204.00000000000003</v>
      </c>
      <c r="J3138" s="5">
        <f t="shared" si="211"/>
        <v>2021</v>
      </c>
    </row>
    <row r="3139" spans="1:11" s="9" customFormat="1" hidden="1" x14ac:dyDescent="0.25">
      <c r="A3139" s="491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7">
        <v>256676</v>
      </c>
      <c r="F3139" s="3" t="str">
        <f>IFERROR(VLOOKUP(E3139,BD!$L$2:$Q$66,2,0),0)</f>
        <v>TWO PACK CC PFM 3LX2 - RFCC</v>
      </c>
      <c r="G3139" s="424">
        <v>1200</v>
      </c>
      <c r="H3139" s="3">
        <f>+IFERROR(VLOOKUP(E3139,BD!$L$2:$Q$66,6,0),0)</f>
        <v>120</v>
      </c>
      <c r="I3139" s="96">
        <f>IFERROR(G3139*VLOOKUP($E3139,BD!$L$2:$Q$66,5,0),0)</f>
        <v>204.00000000000003</v>
      </c>
      <c r="J3139" s="5">
        <f t="shared" si="211"/>
        <v>2021</v>
      </c>
    </row>
    <row r="3140" spans="1:11" s="9" customFormat="1" hidden="1" x14ac:dyDescent="0.25">
      <c r="A3140" s="491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7">
        <v>256675</v>
      </c>
      <c r="F3140" s="3" t="str">
        <f>IFERROR(VLOOKUP(E3140,BD!$L$2:$Q$66,2,0),0)</f>
        <v>INCA KOLA PET 1.5LX2 RF</v>
      </c>
      <c r="G3140" s="424">
        <v>2160</v>
      </c>
      <c r="H3140" s="3">
        <f>+IFERROR(VLOOKUP(E3140,BD!$L$2:$Q$66,6,0),0)</f>
        <v>198</v>
      </c>
      <c r="I3140" s="96">
        <f>IFERROR(G3140*VLOOKUP($E3140,BD!$L$2:$Q$66,5,0),0)</f>
        <v>367.20000000000005</v>
      </c>
      <c r="J3140" s="5">
        <f t="shared" si="211"/>
        <v>2021</v>
      </c>
    </row>
    <row r="3141" spans="1:11" s="9" customFormat="1" hidden="1" x14ac:dyDescent="0.25">
      <c r="A3141" s="491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7">
        <v>256652</v>
      </c>
      <c r="F3141" s="3" t="str">
        <f>IFERROR(VLOOKUP(E3141,BD!$L$2:$Q$66,2,0),0)</f>
        <v>TRIPACK FT NAR+FT KI+SP PET 3L</v>
      </c>
      <c r="G3141" s="424">
        <v>1440</v>
      </c>
      <c r="H3141" s="3">
        <f>+IFERROR(VLOOKUP(E3141,BD!$L$2:$Q$66,6,0),0)</f>
        <v>90</v>
      </c>
      <c r="I3141" s="96">
        <f>IFERROR(G3141*VLOOKUP($E3141,BD!$L$2:$Q$66,5,0),0)</f>
        <v>244.8</v>
      </c>
      <c r="J3141" s="5">
        <f t="shared" si="211"/>
        <v>2021</v>
      </c>
    </row>
    <row r="3142" spans="1:11" s="9" customFormat="1" hidden="1" x14ac:dyDescent="0.25">
      <c r="A3142" s="491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7">
        <v>256677</v>
      </c>
      <c r="F3142" s="3" t="str">
        <f>IFERROR(VLOOKUP(E3142,BD!$L$2:$Q$66,2,0),0)</f>
        <v>TWO PACK CC + IK PFM 3LX2 - RFNN</v>
      </c>
      <c r="G3142" s="424">
        <v>3120</v>
      </c>
      <c r="H3142" s="3">
        <f>+IFERROR(VLOOKUP(E3142,BD!$L$2:$Q$66,6,0),0)</f>
        <v>120</v>
      </c>
      <c r="I3142" s="96">
        <f>IFERROR(G3142*VLOOKUP($E3142,BD!$L$2:$Q$66,5,0),0)</f>
        <v>530.40000000000009</v>
      </c>
      <c r="J3142" s="5">
        <f t="shared" si="211"/>
        <v>2021</v>
      </c>
    </row>
    <row r="3143" spans="1:11" s="9" customFormat="1" hidden="1" x14ac:dyDescent="0.25">
      <c r="A3143" s="491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7">
        <v>256679</v>
      </c>
      <c r="F3143" s="3" t="str">
        <f>IFERROR(VLOOKUP(E3143,BD!$L$2:$Q$66,2,0),0)</f>
        <v>TRIPACK CC+IK+IK PFM 3LX3 - RFNN</v>
      </c>
      <c r="G3143" s="424">
        <v>720</v>
      </c>
      <c r="H3143" s="3">
        <f>+IFERROR(VLOOKUP(E3143,BD!$L$2:$Q$66,6,0),0)</f>
        <v>90</v>
      </c>
      <c r="I3143" s="96">
        <f>IFERROR(G3143*VLOOKUP($E3143,BD!$L$2:$Q$66,5,0),0)</f>
        <v>122.4</v>
      </c>
      <c r="J3143" s="5">
        <f t="shared" si="211"/>
        <v>2021</v>
      </c>
    </row>
    <row r="3144" spans="1:11" s="9" customFormat="1" hidden="1" x14ac:dyDescent="0.25">
      <c r="A3144" s="491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7">
        <v>256678</v>
      </c>
      <c r="F3144" s="3" t="str">
        <f>IFERROR(VLOOKUP(E3144,BD!$L$2:$Q$66,2,0),0)</f>
        <v>TRIPACK (CC+IK)PFM+FT PET 3LX3 - RFNN</v>
      </c>
      <c r="G3144" s="424">
        <v>3600</v>
      </c>
      <c r="H3144" s="3">
        <f>+IFERROR(VLOOKUP(E3144,BD!$L$2:$Q$66,6,0),0)</f>
        <v>90</v>
      </c>
      <c r="I3144" s="96">
        <f>IFERROR(G3144*VLOOKUP($E3144,BD!$L$2:$Q$66,5,0),0)</f>
        <v>612</v>
      </c>
      <c r="J3144" s="5">
        <f t="shared" si="211"/>
        <v>2021</v>
      </c>
    </row>
    <row r="3145" spans="1:11" s="9" customFormat="1" hidden="1" x14ac:dyDescent="0.25">
      <c r="A3145" s="491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7">
        <v>256720</v>
      </c>
      <c r="F3145" s="3" t="str">
        <f>IFERROR(VLOOKUP(E3145,BD!$L$2:$Q$66,2,0),0)</f>
        <v>FANTA NARANJA PET 500MLX6 BRANDEADO MOD</v>
      </c>
      <c r="G3145" s="424">
        <v>250</v>
      </c>
      <c r="H3145" s="3">
        <f>+IFERROR(VLOOKUP(E3145,BD!$L$2:$Q$66,6,0),0)</f>
        <v>420</v>
      </c>
      <c r="I3145" s="96">
        <f>IFERROR(G3145*VLOOKUP($E3145,BD!$L$2:$Q$66,5,0),0)</f>
        <v>105</v>
      </c>
      <c r="J3145" s="5">
        <f t="shared" si="211"/>
        <v>2021</v>
      </c>
    </row>
    <row r="3146" spans="1:11" s="9" customFormat="1" hidden="1" x14ac:dyDescent="0.25">
      <c r="A3146" s="52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70">
        <v>252436</v>
      </c>
      <c r="F3146" s="33" t="str">
        <f>IFERROR(VLOOKUP(E3146,BD!$L$2:$Q$66,2,0),0)</f>
        <v>SAN LUIS SIN GAS PET 625MLX15 C/STICKER</v>
      </c>
      <c r="G3146" s="512">
        <v>180</v>
      </c>
      <c r="H3146" s="33">
        <f>+IFERROR(VLOOKUP(E3146,BD!$L$2:$Q$66,6,0),0)</f>
        <v>90</v>
      </c>
      <c r="I3146" s="499">
        <f>IFERROR(G3146*VLOOKUP($E3146,BD!$L$2:$Q$66,5,0),0)</f>
        <v>72</v>
      </c>
      <c r="J3146" s="386">
        <f t="shared" si="211"/>
        <v>2021</v>
      </c>
    </row>
    <row r="3147" spans="1:11" s="9" customFormat="1" ht="15" hidden="1" customHeight="1" x14ac:dyDescent="0.25">
      <c r="A3147" s="532">
        <v>44529</v>
      </c>
      <c r="B3147" s="502" t="str">
        <f t="shared" si="208"/>
        <v>NOVIEMBRE</v>
      </c>
      <c r="C3147" s="502">
        <f t="shared" si="209"/>
        <v>49</v>
      </c>
      <c r="D3147" s="533" t="str">
        <f t="shared" si="210"/>
        <v>LUNES</v>
      </c>
      <c r="E3147" s="534">
        <v>256678</v>
      </c>
      <c r="F3147" s="533" t="str">
        <f>IFERROR(VLOOKUP(E3147,BD!$L$2:$Q$66,2,0),0)</f>
        <v>TRIPACK (CC+IK)PFM+FT PET 3LX3 - RFNN</v>
      </c>
      <c r="G3147" s="535">
        <v>810</v>
      </c>
      <c r="H3147" s="533">
        <f>+IFERROR(VLOOKUP(E3147,BD!$L$2:$Q$66,6,0),0)</f>
        <v>90</v>
      </c>
      <c r="I3147" s="536">
        <f>IFERROR(G3147*VLOOKUP($E3147,BD!$L$2:$Q$66,5,0),0)</f>
        <v>137.70000000000002</v>
      </c>
      <c r="J3147" s="533">
        <f t="shared" si="211"/>
        <v>2021</v>
      </c>
      <c r="K3147" s="648" t="s">
        <v>243</v>
      </c>
    </row>
    <row r="3148" spans="1:11" s="9" customFormat="1" hidden="1" x14ac:dyDescent="0.25">
      <c r="A3148" s="538">
        <v>44529</v>
      </c>
      <c r="B3148" s="370" t="str">
        <f t="shared" si="208"/>
        <v>NOVIEMBRE</v>
      </c>
      <c r="C3148" s="370">
        <f t="shared" si="209"/>
        <v>49</v>
      </c>
      <c r="D3148" s="94" t="str">
        <f t="shared" si="210"/>
        <v>LUNES</v>
      </c>
      <c r="E3148" s="378">
        <v>256652</v>
      </c>
      <c r="F3148" s="94" t="str">
        <f>IFERROR(VLOOKUP(E3148,BD!$L$2:$Q$66,2,0),0)</f>
        <v>TRIPACK FT NAR+FT KI+SP PET 3L</v>
      </c>
      <c r="G3148" s="503">
        <v>450</v>
      </c>
      <c r="H3148" s="94">
        <f>+IFERROR(VLOOKUP(E3148,BD!$L$2:$Q$66,6,0),0)</f>
        <v>90</v>
      </c>
      <c r="I3148" s="531">
        <f>IFERROR(G3148*VLOOKUP($E3148,BD!$L$2:$Q$66,5,0),0)</f>
        <v>76.5</v>
      </c>
      <c r="J3148" s="94">
        <f t="shared" si="211"/>
        <v>2021</v>
      </c>
      <c r="K3148" s="649"/>
    </row>
    <row r="3149" spans="1:11" s="9" customFormat="1" hidden="1" x14ac:dyDescent="0.25">
      <c r="A3149" s="538">
        <v>44529</v>
      </c>
      <c r="B3149" s="370" t="str">
        <f t="shared" si="208"/>
        <v>NOVIEMBRE</v>
      </c>
      <c r="C3149" s="370">
        <f t="shared" si="209"/>
        <v>49</v>
      </c>
      <c r="D3149" s="94" t="str">
        <f t="shared" si="210"/>
        <v>LUNES</v>
      </c>
      <c r="E3149" s="378">
        <v>256679</v>
      </c>
      <c r="F3149" s="94" t="str">
        <f>IFERROR(VLOOKUP(E3149,BD!$L$2:$Q$66,2,0),0)</f>
        <v>TRIPACK CC+IK+IK PFM 3LX3 - RFNN</v>
      </c>
      <c r="G3149" s="503">
        <v>450</v>
      </c>
      <c r="H3149" s="94">
        <f>+IFERROR(VLOOKUP(E3149,BD!$L$2:$Q$66,6,0),0)</f>
        <v>90</v>
      </c>
      <c r="I3149" s="531">
        <f>IFERROR(G3149*VLOOKUP($E3149,BD!$L$2:$Q$66,5,0),0)</f>
        <v>76.5</v>
      </c>
      <c r="J3149" s="94">
        <f t="shared" si="211"/>
        <v>2021</v>
      </c>
      <c r="K3149" s="649"/>
    </row>
    <row r="3150" spans="1:11" s="9" customFormat="1" hidden="1" x14ac:dyDescent="0.25">
      <c r="A3150" s="538">
        <v>44529</v>
      </c>
      <c r="B3150" s="370" t="str">
        <f t="shared" si="208"/>
        <v>NOVIEMBRE</v>
      </c>
      <c r="C3150" s="370">
        <f t="shared" si="209"/>
        <v>49</v>
      </c>
      <c r="D3150" s="94" t="str">
        <f t="shared" si="210"/>
        <v>LUNES</v>
      </c>
      <c r="E3150" s="378">
        <v>256677</v>
      </c>
      <c r="F3150" s="94" t="str">
        <f>IFERROR(VLOOKUP(E3150,BD!$L$2:$Q$66,2,0),0)</f>
        <v>TWO PACK CC + IK PFM 3LX2 - RFNN</v>
      </c>
      <c r="G3150" s="503">
        <v>4080</v>
      </c>
      <c r="H3150" s="94">
        <f>+IFERROR(VLOOKUP(E3150,BD!$L$2:$Q$66,6,0),0)</f>
        <v>120</v>
      </c>
      <c r="I3150" s="531">
        <f>IFERROR(G3150*VLOOKUP($E3150,BD!$L$2:$Q$66,5,0),0)</f>
        <v>693.6</v>
      </c>
      <c r="J3150" s="94">
        <f t="shared" si="211"/>
        <v>2021</v>
      </c>
      <c r="K3150" s="649"/>
    </row>
    <row r="3151" spans="1:11" s="9" customFormat="1" hidden="1" x14ac:dyDescent="0.25">
      <c r="A3151" s="538">
        <v>44529</v>
      </c>
      <c r="B3151" s="370" t="str">
        <f t="shared" si="208"/>
        <v>NOVIEMBRE</v>
      </c>
      <c r="C3151" s="370">
        <f t="shared" si="209"/>
        <v>49</v>
      </c>
      <c r="D3151" s="94" t="str">
        <f t="shared" si="210"/>
        <v>LUNES</v>
      </c>
      <c r="E3151" s="378">
        <v>256676</v>
      </c>
      <c r="F3151" s="94" t="str">
        <f>IFERROR(VLOOKUP(E3151,BD!$L$2:$Q$66,2,0),0)</f>
        <v>TWO PACK CC PFM 3LX2 - RFCC</v>
      </c>
      <c r="G3151" s="503">
        <v>1200</v>
      </c>
      <c r="H3151" s="94">
        <f>+IFERROR(VLOOKUP(E3151,BD!$L$2:$Q$66,6,0),0)</f>
        <v>120</v>
      </c>
      <c r="I3151" s="531">
        <f>IFERROR(G3151*VLOOKUP($E3151,BD!$L$2:$Q$66,5,0),0)</f>
        <v>204.00000000000003</v>
      </c>
      <c r="J3151" s="94">
        <f t="shared" si="211"/>
        <v>2021</v>
      </c>
      <c r="K3151" s="649"/>
    </row>
    <row r="3152" spans="1:11" s="9" customFormat="1" hidden="1" x14ac:dyDescent="0.25">
      <c r="A3152" s="538">
        <v>44164</v>
      </c>
      <c r="B3152" s="370" t="str">
        <f t="shared" si="208"/>
        <v>NOVIEMBRE</v>
      </c>
      <c r="C3152" s="370">
        <f t="shared" si="209"/>
        <v>49</v>
      </c>
      <c r="D3152" s="94" t="str">
        <f t="shared" si="210"/>
        <v>DOMINGO</v>
      </c>
      <c r="E3152" s="378">
        <v>256488</v>
      </c>
      <c r="F3152" s="94" t="str">
        <f>IFERROR(VLOOKUP(E3152,BD!$L$2:$Q$66,2,0),0)</f>
        <v>INCA KOLA PET 3LX2 - RF</v>
      </c>
      <c r="G3152" s="503">
        <v>1680</v>
      </c>
      <c r="H3152" s="94">
        <f>+IFERROR(VLOOKUP(E3152,BD!$L$2:$Q$66,6,0),0)</f>
        <v>120</v>
      </c>
      <c r="I3152" s="531">
        <f>IFERROR(G3152*VLOOKUP($E3152,BD!$L$2:$Q$66,5,0),0)</f>
        <v>285.60000000000002</v>
      </c>
      <c r="J3152" s="94">
        <f t="shared" si="211"/>
        <v>2020</v>
      </c>
      <c r="K3152" s="649"/>
    </row>
    <row r="3153" spans="1:11" s="9" customFormat="1" hidden="1" x14ac:dyDescent="0.25">
      <c r="A3153" s="538">
        <v>44529</v>
      </c>
      <c r="B3153" s="370" t="str">
        <f t="shared" si="208"/>
        <v>NOVIEMBRE</v>
      </c>
      <c r="C3153" s="370"/>
      <c r="D3153" s="94"/>
      <c r="E3153" s="378">
        <v>256652</v>
      </c>
      <c r="F3153" s="94" t="str">
        <f>IFERROR(VLOOKUP(E3153,BD!$L$2:$Q$66,2,0),0)</f>
        <v>TRIPACK FT NAR+FT KI+SP PET 3L</v>
      </c>
      <c r="G3153" s="503">
        <v>1620</v>
      </c>
      <c r="H3153" s="94">
        <f>+IFERROR(VLOOKUP(E3153,BD!$L$2:$Q$66,6,0),0)</f>
        <v>90</v>
      </c>
      <c r="I3153" s="531">
        <f>IFERROR(G3153*VLOOKUP($E3153,BD!$L$2:$Q$66,5,0),0)</f>
        <v>275.40000000000003</v>
      </c>
      <c r="J3153" s="94">
        <f t="shared" si="211"/>
        <v>2021</v>
      </c>
      <c r="K3153" s="649"/>
    </row>
    <row r="3154" spans="1:11" s="9" customFormat="1" ht="15.75" hidden="1" thickBot="1" x14ac:dyDescent="0.3">
      <c r="A3154" s="540">
        <v>44520</v>
      </c>
      <c r="B3154" s="505" t="str">
        <f t="shared" si="208"/>
        <v>NOVIEMBRE</v>
      </c>
      <c r="C3154" s="505"/>
      <c r="D3154" s="541"/>
      <c r="E3154" s="506">
        <v>256679</v>
      </c>
      <c r="F3154" s="541" t="str">
        <f>IFERROR(VLOOKUP(E3154,BD!$L$2:$Q$66,2,0),0)</f>
        <v>TRIPACK CC+IK+IK PFM 3LX3 - RFNN</v>
      </c>
      <c r="G3154" s="518">
        <v>810</v>
      </c>
      <c r="H3154" s="541">
        <f>+IFERROR(VLOOKUP(E3154,BD!$L$2:$Q$66,6,0),0)</f>
        <v>90</v>
      </c>
      <c r="I3154" s="542">
        <f>IFERROR(G3154*VLOOKUP($E3154,BD!$L$2:$Q$66,5,0),0)</f>
        <v>137.70000000000002</v>
      </c>
      <c r="J3154" s="541">
        <f t="shared" si="211"/>
        <v>2021</v>
      </c>
      <c r="K3154" s="650"/>
    </row>
    <row r="3155" spans="1:11" s="9" customFormat="1" hidden="1" x14ac:dyDescent="0.25">
      <c r="A3155" s="53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8">
        <v>256383</v>
      </c>
      <c r="F3155" s="21" t="str">
        <f>IFERROR(VLOOKUP(E3155,BD!$L$2:$Q$66,2,0),0)</f>
        <v>COCA COLA VR 1.5LX8 - STICKER</v>
      </c>
      <c r="G3155" s="521">
        <v>150</v>
      </c>
      <c r="H3155" s="21">
        <f>+IFERROR(VLOOKUP(E3155,BD!$L$2:$Q$66,6,0),0)</f>
        <v>30</v>
      </c>
      <c r="I3155" s="467">
        <f>IFERROR(G3155*VLOOKUP($E3155,BD!$L$2:$Q$66,5,0),0)</f>
        <v>34.5</v>
      </c>
      <c r="J3155" s="41">
        <f t="shared" si="211"/>
        <v>2021</v>
      </c>
    </row>
    <row r="3156" spans="1:11" s="9" customFormat="1" hidden="1" x14ac:dyDescent="0.25">
      <c r="A3156" s="491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7">
        <v>256379</v>
      </c>
      <c r="F3156" s="3" t="str">
        <f>IFERROR(VLOOKUP(E3156,BD!$L$2:$Q$66,2,0),0)</f>
        <v>INCA KOLA VR 625MLX12 - STICKER</v>
      </c>
      <c r="G3156" s="424">
        <v>250</v>
      </c>
      <c r="H3156" s="3">
        <f>+IFERROR(VLOOKUP(E3156,BD!$L$2:$Q$66,6,0),0)</f>
        <v>50</v>
      </c>
      <c r="I3156" s="96">
        <f>IFERROR(G3156*VLOOKUP($E3156,BD!$L$2:$Q$66,5,0),0)</f>
        <v>100</v>
      </c>
      <c r="J3156" s="5">
        <f t="shared" si="211"/>
        <v>2021</v>
      </c>
    </row>
    <row r="3157" spans="1:11" s="9" customFormat="1" hidden="1" x14ac:dyDescent="0.25">
      <c r="A3157" s="491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7">
        <v>252436</v>
      </c>
      <c r="F3157" s="3" t="str">
        <f>IFERROR(VLOOKUP(E3157,BD!$L$2:$Q$66,2,0),0)</f>
        <v>SAN LUIS SIN GAS PET 625MLX15 C/STICKER</v>
      </c>
      <c r="G3157" s="424">
        <v>450</v>
      </c>
      <c r="H3157" s="3">
        <f>+IFERROR(VLOOKUP(E3157,BD!$L$2:$Q$66,6,0),0)</f>
        <v>90</v>
      </c>
      <c r="I3157" s="96">
        <f>IFERROR(G3157*VLOOKUP($E3157,BD!$L$2:$Q$66,5,0),0)</f>
        <v>180</v>
      </c>
      <c r="J3157" s="5">
        <f t="shared" si="211"/>
        <v>2021</v>
      </c>
    </row>
    <row r="3158" spans="1:11" s="9" customFormat="1" hidden="1" x14ac:dyDescent="0.25">
      <c r="A3158" s="491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7">
        <v>256685</v>
      </c>
      <c r="F3158" s="3" t="str">
        <f>IFERROR(VLOOKUP(E3158,BD!$L$2:$Q$66,2,0),0)</f>
        <v>SL S/G TAPA PLANA 1LT</v>
      </c>
      <c r="G3158" s="424">
        <v>560</v>
      </c>
      <c r="H3158" s="3">
        <f>+IFERROR(VLOOKUP(E3158,BD!$L$2:$Q$66,6,0),0)</f>
        <v>112</v>
      </c>
      <c r="I3158" s="96">
        <f>IFERROR(G3158*VLOOKUP($E3158,BD!$L$2:$Q$66,5,0),0)</f>
        <v>224</v>
      </c>
      <c r="J3158" s="5">
        <f t="shared" si="211"/>
        <v>2021</v>
      </c>
    </row>
    <row r="3159" spans="1:11" s="9" customFormat="1" hidden="1" x14ac:dyDescent="0.25">
      <c r="A3159" s="491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7">
        <v>251429</v>
      </c>
      <c r="F3159" s="3" t="str">
        <f>IFERROR(VLOOKUP(E3159,BD!$L$2:$Q$66,2,0),0)</f>
        <v>SAN LUIS SIN GAS PET2500X6 STICKER</v>
      </c>
      <c r="G3159" s="424">
        <v>480</v>
      </c>
      <c r="H3159" s="3">
        <f>+IFERROR(VLOOKUP(E3159,BD!$L$2:$Q$66,6,0),0)</f>
        <v>48</v>
      </c>
      <c r="I3159" s="96">
        <f>IFERROR(G3159*VLOOKUP($E3159,BD!$L$2:$Q$66,5,0),0)</f>
        <v>192</v>
      </c>
      <c r="J3159" s="5">
        <f t="shared" si="211"/>
        <v>2021</v>
      </c>
    </row>
    <row r="3160" spans="1:11" s="9" customFormat="1" hidden="1" x14ac:dyDescent="0.25">
      <c r="A3160" s="491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7">
        <v>251406</v>
      </c>
      <c r="F3160" s="3" t="str">
        <f>IFERROR(VLOOKUP(E3160,BD!$L$2:$Q$66,2,0),0)</f>
        <v>COCA-COLA SIN AZUCAR PET 1.5LX2</v>
      </c>
      <c r="G3160" s="424">
        <v>1512</v>
      </c>
      <c r="H3160" s="3">
        <f>+IFERROR(VLOOKUP(E3160,BD!$L$2:$Q$66,6,0),0)</f>
        <v>198</v>
      </c>
      <c r="I3160" s="96">
        <f>IFERROR(G3160*VLOOKUP($E3160,BD!$L$2:$Q$66,5,0),0)</f>
        <v>257.04000000000002</v>
      </c>
      <c r="J3160" s="5">
        <f t="shared" si="211"/>
        <v>2021</v>
      </c>
    </row>
    <row r="3161" spans="1:11" s="9" customFormat="1" hidden="1" x14ac:dyDescent="0.25">
      <c r="A3161" s="491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7">
        <v>254853</v>
      </c>
      <c r="F3161" s="3" t="str">
        <f>IFERROR(VLOOKUP(E3161,BD!$L$2:$Q$66,2,0),0)</f>
        <v>INCA KOLA SIN AZUCAR PET 1.5LX2</v>
      </c>
      <c r="G3161" s="424">
        <v>1944</v>
      </c>
      <c r="H3161" s="3">
        <f>+IFERROR(VLOOKUP(E3161,BD!$L$2:$Q$66,6,0),0)</f>
        <v>198</v>
      </c>
      <c r="I3161" s="96">
        <f>IFERROR(G3161*VLOOKUP($E3161,BD!$L$2:$Q$66,5,0),0)</f>
        <v>330.48</v>
      </c>
      <c r="J3161" s="5">
        <f t="shared" si="211"/>
        <v>2021</v>
      </c>
    </row>
    <row r="3162" spans="1:11" s="9" customFormat="1" hidden="1" x14ac:dyDescent="0.25">
      <c r="A3162" s="491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7">
        <v>256548</v>
      </c>
      <c r="F3162" s="3" t="str">
        <f>IFERROR(VLOOKUP(E3162,BD!$L$2:$Q$66,2,0),0)</f>
        <v>TWO PACK CC PET 1.5LX2 - CRC</v>
      </c>
      <c r="G3162" s="424">
        <v>432</v>
      </c>
      <c r="H3162" s="3">
        <f>+IFERROR(VLOOKUP(E3162,BD!$L$2:$Q$66,6,0),0)</f>
        <v>198</v>
      </c>
      <c r="I3162" s="96">
        <f>IFERROR(G3162*VLOOKUP($E3162,BD!$L$2:$Q$66,5,0),0)</f>
        <v>73.440000000000012</v>
      </c>
      <c r="J3162" s="5">
        <f t="shared" si="211"/>
        <v>2021</v>
      </c>
    </row>
    <row r="3163" spans="1:11" s="9" customFormat="1" hidden="1" x14ac:dyDescent="0.25">
      <c r="A3163" s="491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7">
        <v>256549</v>
      </c>
      <c r="F3163" s="3" t="str">
        <f>IFERROR(VLOOKUP(E3163,BD!$L$2:$Q$66,2,0),0)</f>
        <v>TWO PACK IK PET 1.5LX2 - CRCG</v>
      </c>
      <c r="G3163" s="424">
        <v>432</v>
      </c>
      <c r="H3163" s="3">
        <f>+IFERROR(VLOOKUP(E3163,BD!$L$2:$Q$66,6,0),0)</f>
        <v>198</v>
      </c>
      <c r="I3163" s="96">
        <f>IFERROR(G3163*VLOOKUP($E3163,BD!$L$2:$Q$66,5,0),0)</f>
        <v>73.440000000000012</v>
      </c>
      <c r="J3163" s="5">
        <f t="shared" si="211"/>
        <v>2021</v>
      </c>
    </row>
    <row r="3164" spans="1:11" s="9" customFormat="1" hidden="1" x14ac:dyDescent="0.25">
      <c r="A3164" s="491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7">
        <v>256617</v>
      </c>
      <c r="F3164" s="3" t="str">
        <f>IFERROR(VLOOKUP(E3164,BD!$L$2:$Q$66,2,0),0)</f>
        <v>TWO PACK SCHWEPPES GINGER ALE PET 1.5LX2</v>
      </c>
      <c r="G3164" s="424">
        <v>792</v>
      </c>
      <c r="H3164" s="3">
        <f>+IFERROR(VLOOKUP(E3164,BD!$L$2:$Q$66,6,0),0)</f>
        <v>198</v>
      </c>
      <c r="I3164" s="96">
        <f>IFERROR(G3164*VLOOKUP($E3164,BD!$L$2:$Q$66,5,0),0)</f>
        <v>134.64000000000001</v>
      </c>
      <c r="J3164" s="5">
        <f t="shared" si="211"/>
        <v>2021</v>
      </c>
    </row>
    <row r="3165" spans="1:11" s="9" customFormat="1" hidden="1" x14ac:dyDescent="0.25">
      <c r="A3165" s="491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7">
        <v>256666</v>
      </c>
      <c r="F3165" s="3" t="str">
        <f>IFERROR(VLOOKUP(E3165,BD!$L$2:$Q$66,2,0),0)</f>
        <v>COCA-COLA PET 2.25LX2 RF</v>
      </c>
      <c r="G3165" s="424">
        <v>648</v>
      </c>
      <c r="H3165" s="3">
        <f>+IFERROR(VLOOKUP(E3165,BD!$L$2:$Q$66,6,0),0)</f>
        <v>162</v>
      </c>
      <c r="I3165" s="96">
        <f>IFERROR(G3165*VLOOKUP($E3165,BD!$L$2:$Q$66,5,0),0)</f>
        <v>110.16000000000001</v>
      </c>
      <c r="J3165" s="5">
        <f t="shared" si="211"/>
        <v>2021</v>
      </c>
    </row>
    <row r="3166" spans="1:11" s="9" customFormat="1" hidden="1" x14ac:dyDescent="0.25">
      <c r="A3166" s="491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7">
        <v>256601</v>
      </c>
      <c r="F3166" s="3" t="str">
        <f>IFERROR(VLOOKUP(E3166,BD!$L$2:$Q$66,2,0),0)</f>
        <v>INCA KOLA PET 2.25LX2 RF</v>
      </c>
      <c r="G3166" s="424">
        <v>648</v>
      </c>
      <c r="H3166" s="3">
        <f>+IFERROR(VLOOKUP(E3166,BD!$L$2:$Q$66,6,0),0)</f>
        <v>162</v>
      </c>
      <c r="I3166" s="96">
        <f>IFERROR(G3166*VLOOKUP($E3166,BD!$L$2:$Q$66,5,0),0)</f>
        <v>110.16000000000001</v>
      </c>
      <c r="J3166" s="5">
        <f t="shared" si="211"/>
        <v>2021</v>
      </c>
    </row>
    <row r="3167" spans="1:11" s="9" customFormat="1" hidden="1" x14ac:dyDescent="0.25">
      <c r="A3167" s="491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7">
        <v>256488</v>
      </c>
      <c r="F3167" s="3" t="str">
        <f>IFERROR(VLOOKUP(E3167,BD!$L$2:$Q$66,2,0),0)</f>
        <v>INCA KOLA PET 3LX2 - RF</v>
      </c>
      <c r="G3167" s="424">
        <v>3840</v>
      </c>
      <c r="H3167" s="3">
        <f>+IFERROR(VLOOKUP(E3167,BD!$L$2:$Q$66,6,0),0)</f>
        <v>120</v>
      </c>
      <c r="I3167" s="96">
        <f>IFERROR(G3167*VLOOKUP($E3167,BD!$L$2:$Q$66,5,0),0)</f>
        <v>652.80000000000007</v>
      </c>
      <c r="J3167" s="5">
        <f t="shared" si="211"/>
        <v>2021</v>
      </c>
    </row>
    <row r="3168" spans="1:11" s="9" customFormat="1" hidden="1" x14ac:dyDescent="0.25">
      <c r="A3168" s="491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7">
        <v>256676</v>
      </c>
      <c r="F3168" s="3" t="str">
        <f>IFERROR(VLOOKUP(E3168,BD!$L$2:$Q$66,2,0),0)</f>
        <v>TWO PACK CC PFM 3LX2 - RFCC</v>
      </c>
      <c r="G3168" s="424">
        <v>1800</v>
      </c>
      <c r="H3168" s="3">
        <f>+IFERROR(VLOOKUP(E3168,BD!$L$2:$Q$66,6,0),0)</f>
        <v>120</v>
      </c>
      <c r="I3168" s="96">
        <f>IFERROR(G3168*VLOOKUP($E3168,BD!$L$2:$Q$66,5,0),0)</f>
        <v>306</v>
      </c>
      <c r="J3168" s="5">
        <f t="shared" si="211"/>
        <v>2021</v>
      </c>
    </row>
    <row r="3169" spans="1:11" s="9" customFormat="1" hidden="1" x14ac:dyDescent="0.25">
      <c r="A3169" s="491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7">
        <v>256674</v>
      </c>
      <c r="F3169" s="3" t="str">
        <f>IFERROR(VLOOKUP(E3169,BD!$L$2:$Q$66,2,0),0)</f>
        <v>COCA-COLA PET 1.5LX2 RF</v>
      </c>
      <c r="G3169" s="424">
        <v>864</v>
      </c>
      <c r="H3169" s="3">
        <f>+IFERROR(VLOOKUP(E3169,BD!$L$2:$Q$66,6,0),0)</f>
        <v>198</v>
      </c>
      <c r="I3169" s="96">
        <f>IFERROR(G3169*VLOOKUP($E3169,BD!$L$2:$Q$66,5,0),0)</f>
        <v>146.88000000000002</v>
      </c>
      <c r="J3169" s="5">
        <f t="shared" si="211"/>
        <v>2021</v>
      </c>
    </row>
    <row r="3170" spans="1:11" s="9" customFormat="1" hidden="1" x14ac:dyDescent="0.25">
      <c r="A3170" s="491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7">
        <v>256675</v>
      </c>
      <c r="F3170" s="3" t="str">
        <f>IFERROR(VLOOKUP(E3170,BD!$L$2:$Q$66,2,0),0)</f>
        <v>INCA KOLA PET 1.5LX2 RF</v>
      </c>
      <c r="G3170" s="424">
        <v>1296</v>
      </c>
      <c r="H3170" s="3">
        <f>+IFERROR(VLOOKUP(E3170,BD!$L$2:$Q$66,6,0),0)</f>
        <v>198</v>
      </c>
      <c r="I3170" s="96">
        <f>IFERROR(G3170*VLOOKUP($E3170,BD!$L$2:$Q$66,5,0),0)</f>
        <v>220.32000000000002</v>
      </c>
      <c r="J3170" s="5">
        <f t="shared" si="211"/>
        <v>2021</v>
      </c>
    </row>
    <row r="3171" spans="1:11" s="9" customFormat="1" hidden="1" x14ac:dyDescent="0.25">
      <c r="A3171" s="491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7">
        <v>256652</v>
      </c>
      <c r="F3171" s="3" t="str">
        <f>IFERROR(VLOOKUP(E3171,BD!$L$2:$Q$66,2,0),0)</f>
        <v>TRIPACK FT NAR+FT KI+SP PET 3L</v>
      </c>
      <c r="G3171" s="424">
        <v>1800</v>
      </c>
      <c r="H3171" s="3">
        <f>+IFERROR(VLOOKUP(E3171,BD!$L$2:$Q$66,6,0),0)</f>
        <v>90</v>
      </c>
      <c r="I3171" s="96">
        <f>IFERROR(G3171*VLOOKUP($E3171,BD!$L$2:$Q$66,5,0),0)</f>
        <v>306</v>
      </c>
      <c r="J3171" s="5">
        <f t="shared" si="211"/>
        <v>2021</v>
      </c>
    </row>
    <row r="3172" spans="1:11" s="9" customFormat="1" hidden="1" x14ac:dyDescent="0.25">
      <c r="A3172" s="491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7">
        <v>256677</v>
      </c>
      <c r="F3172" s="3" t="str">
        <f>IFERROR(VLOOKUP(E3172,BD!$L$2:$Q$66,2,0),0)</f>
        <v>TWO PACK CC + IK PFM 3LX2 - RFNN</v>
      </c>
      <c r="G3172" s="424">
        <v>5520</v>
      </c>
      <c r="H3172" s="3">
        <f>+IFERROR(VLOOKUP(E3172,BD!$L$2:$Q$66,6,0),0)</f>
        <v>120</v>
      </c>
      <c r="I3172" s="96">
        <f>IFERROR(G3172*VLOOKUP($E3172,BD!$L$2:$Q$66,5,0),0)</f>
        <v>938.40000000000009</v>
      </c>
      <c r="J3172" s="5">
        <f t="shared" si="211"/>
        <v>2021</v>
      </c>
    </row>
    <row r="3173" spans="1:11" s="9" customFormat="1" hidden="1" x14ac:dyDescent="0.25">
      <c r="A3173" s="491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7">
        <v>256678</v>
      </c>
      <c r="F3173" s="3" t="str">
        <f>IFERROR(VLOOKUP(E3173,BD!$L$2:$Q$66,2,0),0)</f>
        <v>TRIPACK (CC+IK)PFM+FT PET 3LX3 - RFNN</v>
      </c>
      <c r="G3173" s="424">
        <v>1440</v>
      </c>
      <c r="H3173" s="3">
        <f>+IFERROR(VLOOKUP(E3173,BD!$L$2:$Q$66,6,0),0)</f>
        <v>90</v>
      </c>
      <c r="I3173" s="96">
        <f>IFERROR(G3173*VLOOKUP($E3173,BD!$L$2:$Q$66,5,0),0)</f>
        <v>244.8</v>
      </c>
      <c r="J3173" s="5">
        <f t="shared" si="211"/>
        <v>2021</v>
      </c>
    </row>
    <row r="3174" spans="1:11" s="9" customFormat="1" hidden="1" x14ac:dyDescent="0.25">
      <c r="A3174" s="491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7">
        <v>256695</v>
      </c>
      <c r="F3174" s="3" t="str">
        <f>IFERROR(VLOOKUP(E3174,BD!$L$2:$Q$66,2,0),0)</f>
        <v>POWERADE 3MORA+3FRUT PET 473MLX6</v>
      </c>
      <c r="G3174" s="424">
        <v>900</v>
      </c>
      <c r="H3174" s="3">
        <f>+IFERROR(VLOOKUP(E3174,BD!$L$2:$Q$66,6,0),0)</f>
        <v>225</v>
      </c>
      <c r="I3174" s="96">
        <f>IFERROR(G3174*VLOOKUP($E3174,BD!$L$2:$Q$66,5,0),0)</f>
        <v>378</v>
      </c>
      <c r="J3174" s="5">
        <f t="shared" si="211"/>
        <v>2021</v>
      </c>
    </row>
    <row r="3175" spans="1:11" s="9" customFormat="1" hidden="1" x14ac:dyDescent="0.25">
      <c r="A3175" s="491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7">
        <v>256708</v>
      </c>
      <c r="F3175" s="3" t="str">
        <f>IFERROR(VLOOKUP(E3175,BD!$L$2:$Q$66,2,0),0)</f>
        <v>POWERADE ION4 FRUTA PET473X6 MOD (STICK)</v>
      </c>
      <c r="G3175" s="424">
        <v>450</v>
      </c>
      <c r="H3175" s="3">
        <f>+IFERROR(VLOOKUP(E3175,BD!$L$2:$Q$66,6,0),0)</f>
        <v>225</v>
      </c>
      <c r="I3175" s="96">
        <f>IFERROR(G3175*VLOOKUP($E3175,BD!$L$2:$Q$66,5,0),0)</f>
        <v>180</v>
      </c>
      <c r="J3175" s="5">
        <f t="shared" si="211"/>
        <v>2021</v>
      </c>
    </row>
    <row r="3176" spans="1:11" s="9" customFormat="1" hidden="1" x14ac:dyDescent="0.25">
      <c r="A3176" s="491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7">
        <v>256709</v>
      </c>
      <c r="F3176" s="3" t="str">
        <f>IFERROR(VLOOKUP(E3176,BD!$L$2:$Q$66,2,0),0)</f>
        <v>POWERADE ION4 MORA AZ PET473X6 MOD(STCK)</v>
      </c>
      <c r="G3176" s="424">
        <v>225</v>
      </c>
      <c r="H3176" s="3">
        <f>+IFERROR(VLOOKUP(E3176,BD!$L$2:$Q$66,6,0),0)</f>
        <v>225</v>
      </c>
      <c r="I3176" s="96">
        <f>IFERROR(G3176*VLOOKUP($E3176,BD!$L$2:$Q$66,5,0),0)</f>
        <v>90</v>
      </c>
      <c r="J3176" s="5">
        <f t="shared" si="211"/>
        <v>2021</v>
      </c>
    </row>
    <row r="3177" spans="1:11" s="9" customFormat="1" hidden="1" x14ac:dyDescent="0.25">
      <c r="A3177" s="491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7">
        <v>251632</v>
      </c>
      <c r="F3177" s="3" t="str">
        <f>IFERROR(VLOOKUP(E3177,BD!$L$2:$Q$66,2,0),0)</f>
        <v>SAN LUIS SIN GAS PET 625MLX06 MOD</v>
      </c>
      <c r="G3177" s="424">
        <v>1800</v>
      </c>
      <c r="H3177" s="3">
        <f>+IFERROR(VLOOKUP(E3177,BD!$L$2:$Q$66,6,0),0)</f>
        <v>180</v>
      </c>
      <c r="I3177" s="96">
        <f>IFERROR(G3177*VLOOKUP($E3177,BD!$L$2:$Q$66,5,0),0)</f>
        <v>756</v>
      </c>
      <c r="J3177" s="5">
        <f t="shared" si="211"/>
        <v>2021</v>
      </c>
    </row>
    <row r="3178" spans="1:11" s="9" customFormat="1" hidden="1" x14ac:dyDescent="0.25">
      <c r="A3178" s="491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7">
        <v>256720</v>
      </c>
      <c r="F3178" s="3" t="str">
        <f>IFERROR(VLOOKUP(E3178,BD!$L$2:$Q$66,2,0),0)</f>
        <v>FANTA NARANJA PET 500MLX6 BRANDEADO MOD</v>
      </c>
      <c r="G3178" s="424">
        <v>500</v>
      </c>
      <c r="H3178" s="3">
        <f>+IFERROR(VLOOKUP(E3178,BD!$L$2:$Q$66,6,0),0)</f>
        <v>420</v>
      </c>
      <c r="I3178" s="96">
        <f>IFERROR(G3178*VLOOKUP($E3178,BD!$L$2:$Q$66,5,0),0)</f>
        <v>210</v>
      </c>
      <c r="J3178" s="5">
        <f t="shared" si="211"/>
        <v>2021</v>
      </c>
    </row>
    <row r="3179" spans="1:11" s="9" customFormat="1" hidden="1" x14ac:dyDescent="0.25">
      <c r="A3179" s="491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7">
        <v>256721</v>
      </c>
      <c r="F3179" s="3" t="str">
        <f>IFERROR(VLOOKUP(E3179,BD!$L$2:$Q$66,2,0),0)</f>
        <v>SPRITE PET 500MLX6 BRANDEADO MOD</v>
      </c>
      <c r="G3179" s="424">
        <v>1000</v>
      </c>
      <c r="H3179" s="3">
        <f>+IFERROR(VLOOKUP(E3179,BD!$L$2:$Q$66,6,0),0)</f>
        <v>420</v>
      </c>
      <c r="I3179" s="96">
        <f>IFERROR(G3179*VLOOKUP($E3179,BD!$L$2:$Q$66,5,0),0)</f>
        <v>420</v>
      </c>
      <c r="J3179" s="5">
        <f t="shared" si="211"/>
        <v>2021</v>
      </c>
    </row>
    <row r="3180" spans="1:11" s="9" customFormat="1" hidden="1" x14ac:dyDescent="0.25">
      <c r="A3180" s="491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7">
        <v>256695</v>
      </c>
      <c r="F3180" s="3" t="str">
        <f>IFERROR(VLOOKUP(E3180,BD!$L$2:$Q$66,2,0),0)</f>
        <v>POWERADE 3MORA+3FRUT PET 473MLX6</v>
      </c>
      <c r="G3180" s="424">
        <v>1350</v>
      </c>
      <c r="H3180" s="3">
        <f>+IFERROR(VLOOKUP(E3180,BD!$L$2:$Q$66,6,0),0)</f>
        <v>225</v>
      </c>
      <c r="I3180" s="96">
        <f>IFERROR(G3180*VLOOKUP($E3180,BD!$L$2:$Q$66,5,0),0)</f>
        <v>567</v>
      </c>
      <c r="J3180" s="5">
        <f t="shared" si="211"/>
        <v>2021</v>
      </c>
    </row>
    <row r="3181" spans="1:11" s="9" customFormat="1" hidden="1" x14ac:dyDescent="0.25">
      <c r="A3181" s="491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7">
        <v>256488</v>
      </c>
      <c r="F3181" s="3" t="str">
        <f>IFERROR(VLOOKUP(E3181,BD!$L$2:$Q$66,2,0),0)</f>
        <v>INCA KOLA PET 3LX2 - RF</v>
      </c>
      <c r="G3181" s="424">
        <v>480</v>
      </c>
      <c r="H3181" s="3">
        <f>+IFERROR(VLOOKUP(E3181,BD!$L$2:$Q$66,6,0),0)</f>
        <v>120</v>
      </c>
      <c r="I3181" s="96">
        <f>IFERROR(G3181*VLOOKUP($E3181,BD!$L$2:$Q$66,5,0),0)</f>
        <v>81.600000000000009</v>
      </c>
      <c r="J3181" s="5">
        <f t="shared" si="211"/>
        <v>2021</v>
      </c>
    </row>
    <row r="3182" spans="1:11" s="9" customFormat="1" hidden="1" x14ac:dyDescent="0.25">
      <c r="A3182" s="52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70">
        <v>256677</v>
      </c>
      <c r="F3182" s="33" t="str">
        <f>IFERROR(VLOOKUP(E3182,BD!$L$2:$Q$66,2,0),0)</f>
        <v>TWO PACK CC + IK PFM 3LX2 - RFNN</v>
      </c>
      <c r="G3182" s="512">
        <v>480</v>
      </c>
      <c r="H3182" s="33">
        <f>+IFERROR(VLOOKUP(E3182,BD!$L$2:$Q$66,6,0),0)</f>
        <v>120</v>
      </c>
      <c r="I3182" s="499">
        <f>IFERROR(G3182*VLOOKUP($E3182,BD!$L$2:$Q$66,5,0),0)</f>
        <v>81.600000000000009</v>
      </c>
      <c r="J3182" s="386">
        <f t="shared" si="211"/>
        <v>2021</v>
      </c>
    </row>
    <row r="3183" spans="1:11" s="9" customFormat="1" hidden="1" x14ac:dyDescent="0.25">
      <c r="A3183" s="532">
        <v>44530</v>
      </c>
      <c r="B3183" s="502" t="str">
        <f t="shared" si="208"/>
        <v>NOVIEMBRE</v>
      </c>
      <c r="C3183" s="502">
        <f t="shared" si="209"/>
        <v>49</v>
      </c>
      <c r="D3183" s="533" t="str">
        <f t="shared" si="210"/>
        <v>MARTES</v>
      </c>
      <c r="E3183" s="534">
        <v>256488</v>
      </c>
      <c r="F3183" s="533" t="str">
        <f>IFERROR(VLOOKUP(E3183,BD!$L$2:$Q$66,2,0),0)</f>
        <v>INCA KOLA PET 3LX2 - RF</v>
      </c>
      <c r="G3183" s="535">
        <v>1080</v>
      </c>
      <c r="H3183" s="533">
        <f>+IFERROR(VLOOKUP(E3183,BD!$L$2:$Q$66,6,0),0)</f>
        <v>120</v>
      </c>
      <c r="I3183" s="536">
        <f>IFERROR(G3183*VLOOKUP($E3183,BD!$L$2:$Q$66,5,0),0)</f>
        <v>183.60000000000002</v>
      </c>
      <c r="J3183" s="533">
        <f t="shared" si="211"/>
        <v>2021</v>
      </c>
      <c r="K3183" s="667" t="s">
        <v>243</v>
      </c>
    </row>
    <row r="3184" spans="1:11" s="9" customFormat="1" hidden="1" x14ac:dyDescent="0.25">
      <c r="A3184" s="538">
        <v>44530</v>
      </c>
      <c r="B3184" s="370" t="str">
        <f t="shared" si="208"/>
        <v>NOVIEMBRE</v>
      </c>
      <c r="C3184" s="370">
        <f t="shared" si="209"/>
        <v>49</v>
      </c>
      <c r="D3184" s="94" t="str">
        <f t="shared" si="210"/>
        <v>MARTES</v>
      </c>
      <c r="E3184" s="378">
        <v>256676</v>
      </c>
      <c r="F3184" s="94" t="str">
        <f>IFERROR(VLOOKUP(E3184,BD!$L$2:$Q$66,2,0),0)</f>
        <v>TWO PACK CC PFM 3LX2 - RFCC</v>
      </c>
      <c r="G3184" s="503">
        <v>4320</v>
      </c>
      <c r="H3184" s="94">
        <f>+IFERROR(VLOOKUP(E3184,BD!$L$2:$Q$66,6,0),0)</f>
        <v>120</v>
      </c>
      <c r="I3184" s="531">
        <f>IFERROR(G3184*VLOOKUP($E3184,BD!$L$2:$Q$66,5,0),0)</f>
        <v>734.40000000000009</v>
      </c>
      <c r="J3184" s="94">
        <f t="shared" si="211"/>
        <v>2021</v>
      </c>
      <c r="K3184" s="668"/>
    </row>
    <row r="3185" spans="1:11" s="9" customFormat="1" hidden="1" x14ac:dyDescent="0.25">
      <c r="A3185" s="538">
        <v>44530</v>
      </c>
      <c r="B3185" s="370" t="str">
        <f t="shared" si="208"/>
        <v>NOVIEMBRE</v>
      </c>
      <c r="C3185" s="370">
        <f t="shared" si="209"/>
        <v>49</v>
      </c>
      <c r="D3185" s="94" t="str">
        <f t="shared" si="210"/>
        <v>MARTES</v>
      </c>
      <c r="E3185" s="378">
        <v>256652</v>
      </c>
      <c r="F3185" s="94" t="str">
        <f>IFERROR(VLOOKUP(E3185,BD!$L$2:$Q$66,2,0),0)</f>
        <v>TRIPACK FT NAR+FT KI+SP PET 3L</v>
      </c>
      <c r="G3185" s="503">
        <v>1260</v>
      </c>
      <c r="H3185" s="94">
        <f>+IFERROR(VLOOKUP(E3185,BD!$L$2:$Q$66,6,0),0)</f>
        <v>90</v>
      </c>
      <c r="I3185" s="531">
        <f>IFERROR(G3185*VLOOKUP($E3185,BD!$L$2:$Q$66,5,0),0)</f>
        <v>214.20000000000002</v>
      </c>
      <c r="J3185" s="94">
        <f t="shared" si="211"/>
        <v>2021</v>
      </c>
      <c r="K3185" s="668"/>
    </row>
    <row r="3186" spans="1:11" s="9" customFormat="1" hidden="1" x14ac:dyDescent="0.25">
      <c r="A3186" s="538">
        <v>44530</v>
      </c>
      <c r="B3186" s="370" t="str">
        <f t="shared" si="208"/>
        <v>NOVIEMBRE</v>
      </c>
      <c r="C3186" s="370">
        <f t="shared" si="209"/>
        <v>49</v>
      </c>
      <c r="D3186" s="94" t="str">
        <f t="shared" si="210"/>
        <v>MARTES</v>
      </c>
      <c r="E3186" s="378">
        <v>256678</v>
      </c>
      <c r="F3186" s="94" t="str">
        <f>IFERROR(VLOOKUP(E3186,BD!$L$2:$Q$66,2,0),0)</f>
        <v>TRIPACK (CC+IK)PFM+FT PET 3LX3 - RFNN</v>
      </c>
      <c r="G3186" s="503">
        <v>1080</v>
      </c>
      <c r="H3186" s="94">
        <f>+IFERROR(VLOOKUP(E3186,BD!$L$2:$Q$66,6,0),0)</f>
        <v>90</v>
      </c>
      <c r="I3186" s="531">
        <f>IFERROR(G3186*VLOOKUP($E3186,BD!$L$2:$Q$66,5,0),0)</f>
        <v>183.60000000000002</v>
      </c>
      <c r="J3186" s="94">
        <f t="shared" si="211"/>
        <v>2021</v>
      </c>
      <c r="K3186" s="668"/>
    </row>
    <row r="3187" spans="1:11" s="9" customFormat="1" ht="15.75" hidden="1" thickBot="1" x14ac:dyDescent="0.3">
      <c r="A3187" s="540">
        <v>44530</v>
      </c>
      <c r="B3187" s="505" t="str">
        <f t="shared" si="208"/>
        <v>NOVIEMBRE</v>
      </c>
      <c r="C3187" s="505">
        <f t="shared" si="209"/>
        <v>49</v>
      </c>
      <c r="D3187" s="541" t="str">
        <f t="shared" si="210"/>
        <v>MARTES</v>
      </c>
      <c r="E3187" s="506">
        <v>256652</v>
      </c>
      <c r="F3187" s="541" t="str">
        <f>IFERROR(VLOOKUP(E3187,BD!$L$2:$Q$66,2,0),0)</f>
        <v>TRIPACK FT NAR+FT KI+SP PET 3L</v>
      </c>
      <c r="G3187" s="518">
        <v>360</v>
      </c>
      <c r="H3187" s="541">
        <f>+IFERROR(VLOOKUP(E3187,BD!$L$2:$Q$66,6,0),0)</f>
        <v>90</v>
      </c>
      <c r="I3187" s="542">
        <f>IFERROR(G3187*VLOOKUP($E3187,BD!$L$2:$Q$66,5,0),0)</f>
        <v>61.2</v>
      </c>
      <c r="J3187" s="541">
        <f t="shared" si="211"/>
        <v>2021</v>
      </c>
      <c r="K3187" s="669"/>
    </row>
    <row r="3188" spans="1:11" s="9" customFormat="1" ht="15.75" hidden="1" thickBot="1" x14ac:dyDescent="0.3">
      <c r="A3188" s="557">
        <v>44529</v>
      </c>
      <c r="B3188" s="558" t="str">
        <f t="shared" si="208"/>
        <v>NOVIEMBRE</v>
      </c>
      <c r="C3188" s="558">
        <f t="shared" si="209"/>
        <v>49</v>
      </c>
      <c r="D3188" s="559" t="str">
        <f t="shared" si="210"/>
        <v>LUNES</v>
      </c>
      <c r="E3188" s="560">
        <v>256679</v>
      </c>
      <c r="F3188" s="559" t="str">
        <f>IFERROR(VLOOKUP(E3188,BD!$L$2:$Q$66,2,0),0)</f>
        <v>TRIPACK CC+IK+IK PFM 3LX3 - RFNN</v>
      </c>
      <c r="G3188" s="561">
        <v>270</v>
      </c>
      <c r="H3188" s="559">
        <f>+IFERROR(VLOOKUP(E3188,BD!$L$2:$Q$66,6,0),0)</f>
        <v>90</v>
      </c>
      <c r="I3188" s="562">
        <f>IFERROR(G3188*VLOOKUP($E3188,BD!$L$2:$Q$66,5,0),0)</f>
        <v>45.900000000000006</v>
      </c>
      <c r="J3188" s="563">
        <f t="shared" si="211"/>
        <v>2021</v>
      </c>
      <c r="K3188" s="566" t="s">
        <v>243</v>
      </c>
    </row>
    <row r="3189" spans="1:11" s="9" customFormat="1" hidden="1" x14ac:dyDescent="0.25">
      <c r="A3189" s="493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63">
        <v>256652</v>
      </c>
      <c r="F3189" s="6" t="str">
        <f>IFERROR(VLOOKUP(E3189,BD!$L$2:$Q$66,2,0),0)</f>
        <v>TRIPACK FT NAR+FT KI+SP PET 3L</v>
      </c>
      <c r="G3189" s="513">
        <v>1080</v>
      </c>
      <c r="H3189" s="6">
        <f>+IFERROR(VLOOKUP(E3189,BD!$L$2:$Q$66,6,0),0)</f>
        <v>90</v>
      </c>
      <c r="I3189" s="97">
        <f>IFERROR(G3189*VLOOKUP($E3189,BD!$L$2:$Q$66,5,0),0)</f>
        <v>183.60000000000002</v>
      </c>
      <c r="J3189" s="109">
        <f t="shared" si="211"/>
        <v>2021</v>
      </c>
    </row>
    <row r="3190" spans="1:11" s="9" customFormat="1" hidden="1" x14ac:dyDescent="0.25">
      <c r="A3190" s="491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7">
        <v>256720</v>
      </c>
      <c r="F3190" s="3" t="str">
        <f>IFERROR(VLOOKUP(E3190,BD!$L$2:$Q$66,2,0),0)</f>
        <v>FANTA NARANJA PET 500MLX6 BRANDEADO MOD</v>
      </c>
      <c r="G3190" s="424">
        <v>500</v>
      </c>
      <c r="H3190" s="3">
        <f>+IFERROR(VLOOKUP(E3190,BD!$L$2:$Q$66,6,0),0)</f>
        <v>420</v>
      </c>
      <c r="I3190" s="96">
        <f>IFERROR(G3190*VLOOKUP($E3190,BD!$L$2:$Q$66,5,0),0)</f>
        <v>210</v>
      </c>
      <c r="J3190" s="5">
        <f t="shared" si="211"/>
        <v>2021</v>
      </c>
    </row>
    <row r="3191" spans="1:11" s="9" customFormat="1" hidden="1" x14ac:dyDescent="0.25">
      <c r="A3191" s="52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70">
        <v>256721</v>
      </c>
      <c r="F3191" s="33" t="str">
        <f>IFERROR(VLOOKUP(E3191,BD!$L$2:$Q$66,2,0),0)</f>
        <v>SPRITE PET 500MLX6 BRANDEADO MOD</v>
      </c>
      <c r="G3191" s="512">
        <v>750</v>
      </c>
      <c r="H3191" s="33">
        <f>+IFERROR(VLOOKUP(E3191,BD!$L$2:$Q$66,6,0),0)</f>
        <v>420</v>
      </c>
      <c r="I3191" s="499">
        <f>IFERROR(G3191*VLOOKUP($E3191,BD!$L$2:$Q$66,5,0),0)</f>
        <v>315</v>
      </c>
      <c r="J3191" s="386">
        <f t="shared" si="211"/>
        <v>2021</v>
      </c>
    </row>
    <row r="3192" spans="1:11" s="9" customFormat="1" hidden="1" x14ac:dyDescent="0.25">
      <c r="A3192" s="532">
        <v>44530</v>
      </c>
      <c r="B3192" s="502" t="str">
        <f t="shared" si="208"/>
        <v>NOVIEMBRE</v>
      </c>
      <c r="C3192" s="502">
        <f t="shared" si="209"/>
        <v>49</v>
      </c>
      <c r="D3192" s="533" t="str">
        <f t="shared" si="210"/>
        <v>MARTES</v>
      </c>
      <c r="E3192" s="534">
        <v>256652</v>
      </c>
      <c r="F3192" s="533" t="str">
        <f>IFERROR(VLOOKUP(E3192,BD!$L$2:$Q$66,2,0),0)</f>
        <v>TRIPACK FT NAR+FT KI+SP PET 3L</v>
      </c>
      <c r="G3192" s="535">
        <v>360</v>
      </c>
      <c r="H3192" s="533">
        <f>+IFERROR(VLOOKUP(E3192,BD!$L$2:$Q$66,6,0),0)</f>
        <v>90</v>
      </c>
      <c r="I3192" s="536">
        <f>IFERROR(G3192*VLOOKUP($E3192,BD!$L$2:$Q$66,5,0),0)</f>
        <v>61.2</v>
      </c>
      <c r="J3192" s="533">
        <f t="shared" si="211"/>
        <v>2021</v>
      </c>
      <c r="K3192" s="662" t="s">
        <v>243</v>
      </c>
    </row>
    <row r="3193" spans="1:11" s="9" customFormat="1" ht="15.75" hidden="1" thickBot="1" x14ac:dyDescent="0.3">
      <c r="A3193" s="540">
        <v>44530</v>
      </c>
      <c r="B3193" s="505" t="str">
        <f t="shared" si="208"/>
        <v>NOVIEMBRE</v>
      </c>
      <c r="C3193" s="505">
        <f t="shared" si="209"/>
        <v>49</v>
      </c>
      <c r="D3193" s="541" t="str">
        <f t="shared" si="210"/>
        <v>MARTES</v>
      </c>
      <c r="E3193" s="506">
        <v>256678</v>
      </c>
      <c r="F3193" s="541" t="str">
        <f>IFERROR(VLOOKUP(E3193,BD!$L$2:$Q$66,2,0),0)</f>
        <v>TRIPACK (CC+IK)PFM+FT PET 3LX3 - RFNN</v>
      </c>
      <c r="G3193" s="518">
        <v>360</v>
      </c>
      <c r="H3193" s="541">
        <f>+IFERROR(VLOOKUP(E3193,BD!$L$2:$Q$66,6,0),0)</f>
        <v>90</v>
      </c>
      <c r="I3193" s="542">
        <f>IFERROR(G3193*VLOOKUP($E3193,BD!$L$2:$Q$66,5,0),0)</f>
        <v>61.2</v>
      </c>
      <c r="J3193" s="541">
        <f t="shared" si="211"/>
        <v>2021</v>
      </c>
      <c r="K3193" s="663"/>
    </row>
    <row r="3194" spans="1:11" s="9" customFormat="1" hidden="1" x14ac:dyDescent="0.25">
      <c r="A3194" s="493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63">
        <v>256652</v>
      </c>
      <c r="F3194" s="6" t="str">
        <f>IFERROR(VLOOKUP(E3194,BD!$L$2:$Q$66,2,0),0)</f>
        <v>TRIPACK FT NAR+FT KI+SP PET 3L</v>
      </c>
      <c r="G3194" s="513">
        <v>720</v>
      </c>
      <c r="H3194" s="6">
        <f>+IFERROR(VLOOKUP(E3194,BD!$L$2:$Q$66,6,0),0)</f>
        <v>90</v>
      </c>
      <c r="I3194" s="97">
        <f>IFERROR(G3194*VLOOKUP($E3194,BD!$L$2:$Q$66,5,0),0)</f>
        <v>122.4</v>
      </c>
      <c r="J3194" s="109">
        <f t="shared" si="211"/>
        <v>2021</v>
      </c>
    </row>
    <row r="3195" spans="1:11" s="9" customFormat="1" hidden="1" x14ac:dyDescent="0.25">
      <c r="A3195" s="491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7">
        <v>256379</v>
      </c>
      <c r="F3195" s="3" t="str">
        <f>IFERROR(VLOOKUP(E3195,BD!$L$2:$Q$66,2,0),0)</f>
        <v>INCA KOLA VR 625MLX12 - STICKER</v>
      </c>
      <c r="G3195" s="424">
        <v>300</v>
      </c>
      <c r="H3195" s="3">
        <f>+IFERROR(VLOOKUP(E3195,BD!$L$2:$Q$66,6,0),0)</f>
        <v>50</v>
      </c>
      <c r="I3195" s="96">
        <f>IFERROR(G3195*VLOOKUP($E3195,BD!$L$2:$Q$66,5,0),0)</f>
        <v>120</v>
      </c>
      <c r="J3195" s="5">
        <f t="shared" si="211"/>
        <v>2021</v>
      </c>
    </row>
    <row r="3196" spans="1:11" s="9" customFormat="1" hidden="1" x14ac:dyDescent="0.25">
      <c r="A3196" s="491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7">
        <v>256676</v>
      </c>
      <c r="F3196" s="3" t="str">
        <f>IFERROR(VLOOKUP(E3196,BD!$L$2:$Q$66,2,0),0)</f>
        <v>TWO PACK CC PFM 3LX2 - RFCC</v>
      </c>
      <c r="G3196" s="424">
        <v>480</v>
      </c>
      <c r="H3196" s="3">
        <f>+IFERROR(VLOOKUP(E3196,BD!$L$2:$Q$66,6,0),0)</f>
        <v>120</v>
      </c>
      <c r="I3196" s="96">
        <f>IFERROR(G3196*VLOOKUP($E3196,BD!$L$2:$Q$66,5,0),0)</f>
        <v>81.600000000000009</v>
      </c>
      <c r="J3196" s="5">
        <f t="shared" si="211"/>
        <v>2021</v>
      </c>
    </row>
    <row r="3197" spans="1:11" s="9" customFormat="1" hidden="1" x14ac:dyDescent="0.25">
      <c r="A3197" s="491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7">
        <v>256677</v>
      </c>
      <c r="F3197" s="3" t="str">
        <f>IFERROR(VLOOKUP(E3197,BD!$L$2:$Q$66,2,0),0)</f>
        <v>TWO PACK CC + IK PFM 3LX2 - RFNN</v>
      </c>
      <c r="G3197" s="424">
        <v>240</v>
      </c>
      <c r="H3197" s="3">
        <f>+IFERROR(VLOOKUP(E3197,BD!$L$2:$Q$66,6,0),0)</f>
        <v>120</v>
      </c>
      <c r="I3197" s="96">
        <f>IFERROR(G3197*VLOOKUP($E3197,BD!$L$2:$Q$66,5,0),0)</f>
        <v>40.800000000000004</v>
      </c>
      <c r="J3197" s="5">
        <f t="shared" si="211"/>
        <v>2021</v>
      </c>
    </row>
    <row r="3198" spans="1:11" s="9" customFormat="1" hidden="1" x14ac:dyDescent="0.25">
      <c r="A3198" s="491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7">
        <v>256652</v>
      </c>
      <c r="F3198" s="3" t="str">
        <f>IFERROR(VLOOKUP(E3198,BD!$L$2:$Q$66,2,0),0)</f>
        <v>TRIPACK FT NAR+FT KI+SP PET 3L</v>
      </c>
      <c r="G3198" s="424">
        <v>360</v>
      </c>
      <c r="H3198" s="3">
        <f>+IFERROR(VLOOKUP(E3198,BD!$L$2:$Q$66,6,0),0)</f>
        <v>90</v>
      </c>
      <c r="I3198" s="96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hidden="1" x14ac:dyDescent="0.25">
      <c r="A3199" s="491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7">
        <v>256678</v>
      </c>
      <c r="F3199" s="3" t="str">
        <f>IFERROR(VLOOKUP(E3199,BD!$L$2:$Q$66,2,0),0)</f>
        <v>TRIPACK (CC+IK)PFM+FT PET 3LX3 - RFNN</v>
      </c>
      <c r="G3199" s="424">
        <v>1440</v>
      </c>
      <c r="H3199" s="3">
        <f>+IFERROR(VLOOKUP(E3199,BD!$L$2:$Q$66,6,0),0)</f>
        <v>90</v>
      </c>
      <c r="I3199" s="96">
        <f>IFERROR(G3199*VLOOKUP($E3199,BD!$L$2:$Q$66,5,0),0)</f>
        <v>244.8</v>
      </c>
      <c r="J3199" s="5">
        <f t="shared" si="215"/>
        <v>2021</v>
      </c>
    </row>
    <row r="3200" spans="1:11" s="9" customFormat="1" hidden="1" x14ac:dyDescent="0.25">
      <c r="A3200" s="491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7">
        <v>256488</v>
      </c>
      <c r="F3200" s="3" t="str">
        <f>IFERROR(VLOOKUP(E3200,BD!$L$2:$Q$66,2,0),0)</f>
        <v>INCA KOLA PET 3LX2 - RF</v>
      </c>
      <c r="G3200" s="424">
        <v>2880</v>
      </c>
      <c r="H3200" s="3">
        <f>+IFERROR(VLOOKUP(E3200,BD!$L$2:$Q$66,6,0),0)</f>
        <v>120</v>
      </c>
      <c r="I3200" s="96">
        <f>IFERROR(G3200*VLOOKUP($E3200,BD!$L$2:$Q$66,5,0),0)</f>
        <v>489.6</v>
      </c>
      <c r="J3200" s="5">
        <f t="shared" si="215"/>
        <v>2021</v>
      </c>
    </row>
    <row r="3201" spans="1:10" s="9" customFormat="1" hidden="1" x14ac:dyDescent="0.25">
      <c r="A3201" s="491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7">
        <v>251429</v>
      </c>
      <c r="F3201" s="3" t="str">
        <f>IFERROR(VLOOKUP(E3201,BD!$L$2:$Q$66,2,0),0)</f>
        <v>SAN LUIS SIN GAS PET2500X6 STICKER</v>
      </c>
      <c r="G3201" s="424">
        <v>960</v>
      </c>
      <c r="H3201" s="3">
        <f>+IFERROR(VLOOKUP(E3201,BD!$L$2:$Q$66,6,0),0)</f>
        <v>48</v>
      </c>
      <c r="I3201" s="96">
        <f>IFERROR(G3201*VLOOKUP($E3201,BD!$L$2:$Q$66,5,0),0)</f>
        <v>384</v>
      </c>
      <c r="J3201" s="5">
        <f t="shared" si="215"/>
        <v>2021</v>
      </c>
    </row>
    <row r="3202" spans="1:10" s="9" customFormat="1" hidden="1" x14ac:dyDescent="0.25">
      <c r="A3202" s="491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7">
        <v>256381</v>
      </c>
      <c r="F3202" s="3" t="str">
        <f>IFERROR(VLOOKUP(E3202,BD!$L$2:$Q$66,2,0),0)</f>
        <v>INCA KOLA VR 1.5LX8 - STICKER</v>
      </c>
      <c r="G3202" s="424">
        <v>150</v>
      </c>
      <c r="H3202" s="3">
        <f>+IFERROR(VLOOKUP(E3202,BD!$L$2:$Q$66,6,0),0)</f>
        <v>30</v>
      </c>
      <c r="I3202" s="96">
        <f>IFERROR(G3202*VLOOKUP($E3202,BD!$L$2:$Q$66,5,0),0)</f>
        <v>60</v>
      </c>
      <c r="J3202" s="5">
        <f t="shared" si="215"/>
        <v>2021</v>
      </c>
    </row>
    <row r="3203" spans="1:10" s="9" customFormat="1" hidden="1" x14ac:dyDescent="0.25">
      <c r="A3203" s="491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7">
        <v>256383</v>
      </c>
      <c r="F3203" s="3" t="str">
        <f>IFERROR(VLOOKUP(E3203,BD!$L$2:$Q$66,2,0),0)</f>
        <v>COCA COLA VR 1.5LX8 - STICKER</v>
      </c>
      <c r="G3203" s="424">
        <v>30</v>
      </c>
      <c r="H3203" s="3">
        <f>+IFERROR(VLOOKUP(E3203,BD!$L$2:$Q$66,6,0),0)</f>
        <v>30</v>
      </c>
      <c r="I3203" s="96">
        <f>IFERROR(G3203*VLOOKUP($E3203,BD!$L$2:$Q$66,5,0),0)</f>
        <v>6.9</v>
      </c>
      <c r="J3203" s="5">
        <f t="shared" si="215"/>
        <v>2021</v>
      </c>
    </row>
    <row r="3204" spans="1:10" s="9" customFormat="1" hidden="1" x14ac:dyDescent="0.25">
      <c r="A3204" s="491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7">
        <v>256685</v>
      </c>
      <c r="F3204" s="3" t="str">
        <f>IFERROR(VLOOKUP(E3204,BD!$L$2:$Q$66,2,0),0)</f>
        <v>SL S/G TAPA PLANA 1LT</v>
      </c>
      <c r="G3204" s="424">
        <v>448</v>
      </c>
      <c r="H3204" s="3">
        <f>+IFERROR(VLOOKUP(E3204,BD!$L$2:$Q$66,6,0),0)</f>
        <v>112</v>
      </c>
      <c r="I3204" s="96">
        <f>IFERROR(G3204*VLOOKUP($E3204,BD!$L$2:$Q$66,5,0),0)</f>
        <v>179.20000000000002</v>
      </c>
      <c r="J3204" s="5">
        <f t="shared" si="215"/>
        <v>2021</v>
      </c>
    </row>
    <row r="3205" spans="1:10" s="9" customFormat="1" hidden="1" x14ac:dyDescent="0.25">
      <c r="A3205" s="491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7">
        <v>251406</v>
      </c>
      <c r="F3205" s="3" t="str">
        <f>IFERROR(VLOOKUP(E3205,BD!$L$2:$Q$66,2,0),0)</f>
        <v>COCA-COLA SIN AZUCAR PET 1.5LX2</v>
      </c>
      <c r="G3205" s="424">
        <v>1728</v>
      </c>
      <c r="H3205" s="3">
        <f>+IFERROR(VLOOKUP(E3205,BD!$L$2:$Q$66,6,0),0)</f>
        <v>198</v>
      </c>
      <c r="I3205" s="96">
        <f>IFERROR(G3205*VLOOKUP($E3205,BD!$L$2:$Q$66,5,0),0)</f>
        <v>293.76000000000005</v>
      </c>
      <c r="J3205" s="5">
        <f t="shared" si="215"/>
        <v>2021</v>
      </c>
    </row>
    <row r="3206" spans="1:10" s="9" customFormat="1" hidden="1" x14ac:dyDescent="0.25">
      <c r="A3206" s="491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7">
        <v>254853</v>
      </c>
      <c r="F3206" s="3" t="str">
        <f>IFERROR(VLOOKUP(E3206,BD!$L$2:$Q$66,2,0),0)</f>
        <v>INCA KOLA SIN AZUCAR PET 1.5LX2</v>
      </c>
      <c r="G3206" s="424">
        <v>1080</v>
      </c>
      <c r="H3206" s="3">
        <f>+IFERROR(VLOOKUP(E3206,BD!$L$2:$Q$66,6,0),0)</f>
        <v>198</v>
      </c>
      <c r="I3206" s="96">
        <f>IFERROR(G3206*VLOOKUP($E3206,BD!$L$2:$Q$66,5,0),0)</f>
        <v>183.60000000000002</v>
      </c>
      <c r="J3206" s="5">
        <f t="shared" si="215"/>
        <v>2021</v>
      </c>
    </row>
    <row r="3207" spans="1:10" s="9" customFormat="1" hidden="1" x14ac:dyDescent="0.25">
      <c r="A3207" s="491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7">
        <v>256488</v>
      </c>
      <c r="F3207" s="3" t="str">
        <f>IFERROR(VLOOKUP(E3207,BD!$L$2:$Q$66,2,0),0)</f>
        <v>INCA KOLA PET 3LX2 - RF</v>
      </c>
      <c r="G3207" s="424">
        <v>2400</v>
      </c>
      <c r="H3207" s="3">
        <f>+IFERROR(VLOOKUP(E3207,BD!$L$2:$Q$66,6,0),0)</f>
        <v>120</v>
      </c>
      <c r="I3207" s="96">
        <f>IFERROR(G3207*VLOOKUP($E3207,BD!$L$2:$Q$66,5,0),0)</f>
        <v>408.00000000000006</v>
      </c>
      <c r="J3207" s="5">
        <f t="shared" si="215"/>
        <v>2021</v>
      </c>
    </row>
    <row r="3208" spans="1:10" s="9" customFormat="1" hidden="1" x14ac:dyDescent="0.25">
      <c r="A3208" s="491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7">
        <v>256616</v>
      </c>
      <c r="F3208" s="3" t="str">
        <f>IFERROR(VLOOKUP(E3208,BD!$L$2:$Q$66,2,0),0)</f>
        <v>TWO PACK SCHWEPPES CITRUS PET 1.5LX2</v>
      </c>
      <c r="G3208" s="424">
        <v>792</v>
      </c>
      <c r="H3208" s="3">
        <f>+IFERROR(VLOOKUP(E3208,BD!$L$2:$Q$66,6,0),0)</f>
        <v>198</v>
      </c>
      <c r="I3208" s="96">
        <f>IFERROR(G3208*VLOOKUP($E3208,BD!$L$2:$Q$66,5,0),0)</f>
        <v>134.64000000000001</v>
      </c>
      <c r="J3208" s="5">
        <f t="shared" si="215"/>
        <v>2021</v>
      </c>
    </row>
    <row r="3209" spans="1:10" s="9" customFormat="1" hidden="1" x14ac:dyDescent="0.25">
      <c r="A3209" s="491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7">
        <v>256617</v>
      </c>
      <c r="F3209" s="3" t="str">
        <f>IFERROR(VLOOKUP(E3209,BD!$L$2:$Q$66,2,0),0)</f>
        <v>TWO PACK SCHWEPPES GINGER ALE PET 1.5LX2</v>
      </c>
      <c r="G3209" s="424">
        <v>990</v>
      </c>
      <c r="H3209" s="3">
        <f>+IFERROR(VLOOKUP(E3209,BD!$L$2:$Q$66,6,0),0)</f>
        <v>198</v>
      </c>
      <c r="I3209" s="96">
        <f>IFERROR(G3209*VLOOKUP($E3209,BD!$L$2:$Q$66,5,0),0)</f>
        <v>168.3</v>
      </c>
      <c r="J3209" s="5">
        <f t="shared" si="215"/>
        <v>2021</v>
      </c>
    </row>
    <row r="3210" spans="1:10" s="9" customFormat="1" hidden="1" x14ac:dyDescent="0.25">
      <c r="A3210" s="491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7">
        <v>256675</v>
      </c>
      <c r="F3210" s="3" t="str">
        <f>IFERROR(VLOOKUP(E3210,BD!$L$2:$Q$66,2,0),0)</f>
        <v>INCA KOLA PET 1.5LX2 RF</v>
      </c>
      <c r="G3210" s="424">
        <v>1080</v>
      </c>
      <c r="H3210" s="3">
        <f>+IFERROR(VLOOKUP(E3210,BD!$L$2:$Q$66,6,0),0)</f>
        <v>198</v>
      </c>
      <c r="I3210" s="96">
        <f>IFERROR(G3210*VLOOKUP($E3210,BD!$L$2:$Q$66,5,0),0)</f>
        <v>183.60000000000002</v>
      </c>
      <c r="J3210" s="5">
        <f t="shared" si="215"/>
        <v>2021</v>
      </c>
    </row>
    <row r="3211" spans="1:10" s="9" customFormat="1" hidden="1" x14ac:dyDescent="0.25">
      <c r="A3211" s="491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7">
        <v>256676</v>
      </c>
      <c r="F3211" s="3" t="str">
        <f>IFERROR(VLOOKUP(E3211,BD!$L$2:$Q$66,2,0),0)</f>
        <v>TWO PACK CC PFM 3LX2 - RFCC</v>
      </c>
      <c r="G3211" s="424">
        <v>2040</v>
      </c>
      <c r="H3211" s="3">
        <f>+IFERROR(VLOOKUP(E3211,BD!$L$2:$Q$66,6,0),0)</f>
        <v>120</v>
      </c>
      <c r="I3211" s="96">
        <f>IFERROR(G3211*VLOOKUP($E3211,BD!$L$2:$Q$66,5,0),0)</f>
        <v>346.8</v>
      </c>
      <c r="J3211" s="5">
        <f t="shared" si="215"/>
        <v>2021</v>
      </c>
    </row>
    <row r="3212" spans="1:10" s="9" customFormat="1" hidden="1" x14ac:dyDescent="0.25">
      <c r="A3212" s="491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7">
        <v>256677</v>
      </c>
      <c r="F3212" s="3" t="str">
        <f>IFERROR(VLOOKUP(E3212,BD!$L$2:$Q$66,2,0),0)</f>
        <v>TWO PACK CC + IK PFM 3LX2 - RFNN</v>
      </c>
      <c r="G3212" s="424">
        <v>6960</v>
      </c>
      <c r="H3212" s="3">
        <f>+IFERROR(VLOOKUP(E3212,BD!$L$2:$Q$66,6,0),0)</f>
        <v>120</v>
      </c>
      <c r="I3212" s="96">
        <f>IFERROR(G3212*VLOOKUP($E3212,BD!$L$2:$Q$66,5,0),0)</f>
        <v>1183.2</v>
      </c>
      <c r="J3212" s="5">
        <f t="shared" si="215"/>
        <v>2021</v>
      </c>
    </row>
    <row r="3213" spans="1:10" s="9" customFormat="1" hidden="1" x14ac:dyDescent="0.25">
      <c r="A3213" s="491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7">
        <v>256678</v>
      </c>
      <c r="F3213" s="3" t="str">
        <f>IFERROR(VLOOKUP(E3213,BD!$L$2:$Q$66,2,0),0)</f>
        <v>TRIPACK (CC+IK)PFM+FT PET 3LX3 - RFNN</v>
      </c>
      <c r="G3213" s="424">
        <v>2880</v>
      </c>
      <c r="H3213" s="3">
        <f>+IFERROR(VLOOKUP(E3213,BD!$L$2:$Q$66,6,0),0)</f>
        <v>90</v>
      </c>
      <c r="I3213" s="96">
        <f>IFERROR(G3213*VLOOKUP($E3213,BD!$L$2:$Q$66,5,0),0)</f>
        <v>489.6</v>
      </c>
      <c r="J3213" s="5">
        <f t="shared" si="215"/>
        <v>2021</v>
      </c>
    </row>
    <row r="3214" spans="1:10" s="9" customFormat="1" hidden="1" x14ac:dyDescent="0.25">
      <c r="A3214" s="491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7">
        <v>256652</v>
      </c>
      <c r="F3214" s="3" t="str">
        <f>IFERROR(VLOOKUP(E3214,BD!$L$2:$Q$66,2,0),0)</f>
        <v>TRIPACK FT NAR+FT KI+SP PET 3L</v>
      </c>
      <c r="G3214" s="424">
        <v>720</v>
      </c>
      <c r="H3214" s="3">
        <f>+IFERROR(VLOOKUP(E3214,BD!$L$2:$Q$66,6,0),0)</f>
        <v>90</v>
      </c>
      <c r="I3214" s="96">
        <f>IFERROR(G3214*VLOOKUP($E3214,BD!$L$2:$Q$66,5,0),0)</f>
        <v>122.4</v>
      </c>
      <c r="J3214" s="5">
        <f t="shared" si="215"/>
        <v>2021</v>
      </c>
    </row>
    <row r="3215" spans="1:10" s="9" customFormat="1" hidden="1" x14ac:dyDescent="0.25">
      <c r="A3215" s="491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7">
        <v>256682</v>
      </c>
      <c r="F3215" s="3" t="str">
        <f>IFERROR(VLOOKUP(E3215,BD!$L$2:$Q$66,2,0),0)</f>
        <v>TRIPACK (FT NAR+SP)PET+IK RF PFM 3L</v>
      </c>
      <c r="G3215" s="424">
        <v>720</v>
      </c>
      <c r="H3215" s="3">
        <f>+IFERROR(VLOOKUP(E3215,BD!$L$2:$Q$66,6,0),0)</f>
        <v>90</v>
      </c>
      <c r="I3215" s="96">
        <f>IFERROR(G3215*VLOOKUP($E3215,BD!$L$2:$Q$66,5,0),0)</f>
        <v>122.4</v>
      </c>
      <c r="J3215" s="5">
        <f t="shared" si="215"/>
        <v>2021</v>
      </c>
    </row>
    <row r="3216" spans="1:10" s="9" customFormat="1" hidden="1" x14ac:dyDescent="0.25">
      <c r="A3216" s="491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7">
        <v>251633</v>
      </c>
      <c r="F3216" s="3" t="str">
        <f>IFERROR(VLOOKUP(E3216,BD!$L$2:$Q$66,2,0),0)</f>
        <v>SAN LUIS CON GAS PET 625MLX6</v>
      </c>
      <c r="G3216" s="424">
        <v>900</v>
      </c>
      <c r="H3216" s="3">
        <f>+IFERROR(VLOOKUP(E3216,BD!$L$2:$Q$66,6,0),0)</f>
        <v>180</v>
      </c>
      <c r="I3216" s="96">
        <f>IFERROR(G3216*VLOOKUP($E3216,BD!$L$2:$Q$66,5,0),0)</f>
        <v>378</v>
      </c>
      <c r="J3216" s="5">
        <f t="shared" si="215"/>
        <v>2021</v>
      </c>
    </row>
    <row r="3217" spans="1:11" s="9" customFormat="1" hidden="1" x14ac:dyDescent="0.25">
      <c r="A3217" s="491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7">
        <v>252436</v>
      </c>
      <c r="F3217" s="3" t="str">
        <f>IFERROR(VLOOKUP(E3217,BD!$L$2:$Q$66,2,0),0)</f>
        <v>SAN LUIS SIN GAS PET 625MLX15 C/STICKER</v>
      </c>
      <c r="G3217" s="424">
        <v>450</v>
      </c>
      <c r="H3217" s="3">
        <f>+IFERROR(VLOOKUP(E3217,BD!$L$2:$Q$66,6,0),0)</f>
        <v>90</v>
      </c>
      <c r="I3217" s="96">
        <f>IFERROR(G3217*VLOOKUP($E3217,BD!$L$2:$Q$66,5,0),0)</f>
        <v>180</v>
      </c>
      <c r="J3217" s="5">
        <f t="shared" si="215"/>
        <v>2021</v>
      </c>
    </row>
    <row r="3218" spans="1:11" s="9" customFormat="1" hidden="1" x14ac:dyDescent="0.25">
      <c r="A3218" s="491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7">
        <v>256720</v>
      </c>
      <c r="F3218" s="3" t="str">
        <f>IFERROR(VLOOKUP(E3218,BD!$L$2:$Q$66,2,0),0)</f>
        <v>FANTA NARANJA PET 500MLX6 BRANDEADO MOD</v>
      </c>
      <c r="G3218" s="424">
        <v>500</v>
      </c>
      <c r="H3218" s="3">
        <f>+IFERROR(VLOOKUP(E3218,BD!$L$2:$Q$66,6,0),0)</f>
        <v>420</v>
      </c>
      <c r="I3218" s="96">
        <f>IFERROR(G3218*VLOOKUP($E3218,BD!$L$2:$Q$66,5,0),0)</f>
        <v>210</v>
      </c>
      <c r="J3218" s="5">
        <f t="shared" si="215"/>
        <v>2021</v>
      </c>
    </row>
    <row r="3219" spans="1:11" s="9" customFormat="1" ht="15.75" hidden="1" thickBot="1" x14ac:dyDescent="0.3">
      <c r="A3219" s="492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9">
        <v>256721</v>
      </c>
      <c r="F3219" s="8" t="str">
        <f>IFERROR(VLOOKUP(E3219,BD!$L$2:$Q$66,2,0),0)</f>
        <v>SPRITE PET 500MLX6 BRANDEADO MOD</v>
      </c>
      <c r="G3219" s="501">
        <v>500</v>
      </c>
      <c r="H3219" s="8">
        <f>+IFERROR(VLOOKUP(E3219,BD!$L$2:$Q$66,6,0),0)</f>
        <v>420</v>
      </c>
      <c r="I3219" s="98">
        <f>IFERROR(G3219*VLOOKUP($E3219,BD!$L$2:$Q$66,5,0),0)</f>
        <v>210</v>
      </c>
      <c r="J3219" s="110">
        <f t="shared" si="215"/>
        <v>2021</v>
      </c>
    </row>
    <row r="3220" spans="1:11" s="9" customFormat="1" hidden="1" x14ac:dyDescent="0.25">
      <c r="A3220" s="532">
        <v>44531</v>
      </c>
      <c r="B3220" s="502" t="str">
        <f t="shared" si="212"/>
        <v>DICIEMBRE</v>
      </c>
      <c r="C3220" s="502">
        <f t="shared" si="213"/>
        <v>49</v>
      </c>
      <c r="D3220" s="533" t="str">
        <f t="shared" si="214"/>
        <v>MIÉRCOLES</v>
      </c>
      <c r="E3220" s="534">
        <v>256676</v>
      </c>
      <c r="F3220" s="533" t="str">
        <f>IFERROR(VLOOKUP(E3220,BD!$L$2:$Q$66,2,0),0)</f>
        <v>TWO PACK CC PFM 3LX2 - RFCC</v>
      </c>
      <c r="G3220" s="535">
        <v>6120</v>
      </c>
      <c r="H3220" s="533">
        <f>+IFERROR(VLOOKUP(E3220,BD!$L$2:$Q$66,6,0),0)</f>
        <v>120</v>
      </c>
      <c r="I3220" s="536">
        <f>IFERROR(G3220*VLOOKUP($E3220,BD!$L$2:$Q$66,5,0),0)</f>
        <v>1040.4000000000001</v>
      </c>
      <c r="J3220" s="537">
        <f t="shared" si="215"/>
        <v>2021</v>
      </c>
      <c r="K3220" s="639" t="s">
        <v>243</v>
      </c>
    </row>
    <row r="3221" spans="1:11" s="9" customFormat="1" hidden="1" x14ac:dyDescent="0.25">
      <c r="A3221" s="538">
        <v>44531</v>
      </c>
      <c r="B3221" s="370" t="str">
        <f t="shared" si="212"/>
        <v>DICIEMBRE</v>
      </c>
      <c r="C3221" s="370">
        <f t="shared" si="213"/>
        <v>49</v>
      </c>
      <c r="D3221" s="94" t="str">
        <f t="shared" si="214"/>
        <v>MIÉRCOLES</v>
      </c>
      <c r="E3221" s="378">
        <v>256677</v>
      </c>
      <c r="F3221" s="94" t="str">
        <f>IFERROR(VLOOKUP(E3221,BD!$L$2:$Q$66,2,0),0)</f>
        <v>TWO PACK CC + IK PFM 3LX2 - RFNN</v>
      </c>
      <c r="G3221" s="503">
        <v>1440</v>
      </c>
      <c r="H3221" s="94">
        <f>+IFERROR(VLOOKUP(E3221,BD!$L$2:$Q$66,6,0),0)</f>
        <v>120</v>
      </c>
      <c r="I3221" s="531">
        <f>IFERROR(G3221*VLOOKUP($E3221,BD!$L$2:$Q$66,5,0),0)</f>
        <v>244.8</v>
      </c>
      <c r="J3221" s="539">
        <f t="shared" si="215"/>
        <v>2021</v>
      </c>
      <c r="K3221" s="640"/>
    </row>
    <row r="3222" spans="1:11" s="9" customFormat="1" hidden="1" x14ac:dyDescent="0.25">
      <c r="A3222" s="538">
        <v>44531</v>
      </c>
      <c r="B3222" s="370" t="str">
        <f t="shared" si="212"/>
        <v>DICIEMBRE</v>
      </c>
      <c r="C3222" s="370">
        <f t="shared" si="213"/>
        <v>49</v>
      </c>
      <c r="D3222" s="94" t="str">
        <f t="shared" si="214"/>
        <v>MIÉRCOLES</v>
      </c>
      <c r="E3222" s="378">
        <v>256652</v>
      </c>
      <c r="F3222" s="94" t="str">
        <f>IFERROR(VLOOKUP(E3222,BD!$L$2:$Q$66,2,0),0)</f>
        <v>TRIPACK FT NAR+FT KI+SP PET 3L</v>
      </c>
      <c r="G3222" s="503">
        <v>1260</v>
      </c>
      <c r="H3222" s="94">
        <f>+IFERROR(VLOOKUP(E3222,BD!$L$2:$Q$66,6,0),0)</f>
        <v>90</v>
      </c>
      <c r="I3222" s="531">
        <f>IFERROR(G3222*VLOOKUP($E3222,BD!$L$2:$Q$66,5,0),0)</f>
        <v>214.20000000000002</v>
      </c>
      <c r="J3222" s="539">
        <f t="shared" si="215"/>
        <v>2021</v>
      </c>
      <c r="K3222" s="640"/>
    </row>
    <row r="3223" spans="1:11" s="9" customFormat="1" hidden="1" x14ac:dyDescent="0.25">
      <c r="A3223" s="538">
        <v>44531</v>
      </c>
      <c r="B3223" s="370" t="str">
        <f t="shared" si="212"/>
        <v>DICIEMBRE</v>
      </c>
      <c r="C3223" s="370">
        <f t="shared" si="213"/>
        <v>49</v>
      </c>
      <c r="D3223" s="94" t="str">
        <f t="shared" si="214"/>
        <v>MIÉRCOLES</v>
      </c>
      <c r="E3223" s="378">
        <v>256679</v>
      </c>
      <c r="F3223" s="94" t="str">
        <f>IFERROR(VLOOKUP(E3223,BD!$L$2:$Q$66,2,0),0)</f>
        <v>TRIPACK CC+IK+IK PFM 3LX3 - RFNN</v>
      </c>
      <c r="G3223" s="503">
        <v>1440</v>
      </c>
      <c r="H3223" s="94">
        <f>+IFERROR(VLOOKUP(E3223,BD!$L$2:$Q$66,6,0),0)</f>
        <v>90</v>
      </c>
      <c r="I3223" s="531">
        <f>IFERROR(G3223*VLOOKUP($E3223,BD!$L$2:$Q$66,5,0),0)</f>
        <v>244.8</v>
      </c>
      <c r="J3223" s="539">
        <f t="shared" si="215"/>
        <v>2021</v>
      </c>
      <c r="K3223" s="640"/>
    </row>
    <row r="3224" spans="1:11" s="9" customFormat="1" hidden="1" x14ac:dyDescent="0.25">
      <c r="A3224" s="538">
        <v>44531</v>
      </c>
      <c r="B3224" s="370" t="str">
        <f t="shared" si="212"/>
        <v>DICIEMBRE</v>
      </c>
      <c r="C3224" s="370">
        <f t="shared" si="213"/>
        <v>49</v>
      </c>
      <c r="D3224" s="94" t="str">
        <f t="shared" si="214"/>
        <v>MIÉRCOLES</v>
      </c>
      <c r="E3224" s="378">
        <v>256488</v>
      </c>
      <c r="F3224" s="94" t="str">
        <f>IFERROR(VLOOKUP(E3224,BD!$L$2:$Q$66,2,0),0)</f>
        <v>INCA KOLA PET 3LX2 - RF</v>
      </c>
      <c r="G3224" s="503">
        <v>2160</v>
      </c>
      <c r="H3224" s="94">
        <f>+IFERROR(VLOOKUP(E3224,BD!$L$2:$Q$66,6,0),0)</f>
        <v>120</v>
      </c>
      <c r="I3224" s="531">
        <f>IFERROR(G3224*VLOOKUP($E3224,BD!$L$2:$Q$66,5,0),0)</f>
        <v>367.20000000000005</v>
      </c>
      <c r="J3224" s="539">
        <f t="shared" si="215"/>
        <v>2021</v>
      </c>
      <c r="K3224" s="640"/>
    </row>
    <row r="3225" spans="1:11" s="9" customFormat="1" hidden="1" x14ac:dyDescent="0.25">
      <c r="A3225" s="538">
        <v>44531</v>
      </c>
      <c r="B3225" s="370" t="str">
        <f t="shared" si="212"/>
        <v>DICIEMBRE</v>
      </c>
      <c r="C3225" s="370">
        <f t="shared" si="213"/>
        <v>49</v>
      </c>
      <c r="D3225" s="94" t="str">
        <f t="shared" si="214"/>
        <v>MIÉRCOLES</v>
      </c>
      <c r="E3225" s="378">
        <v>256680</v>
      </c>
      <c r="F3225" s="94" t="str">
        <f>IFERROR(VLOOKUP(E3225,BD!$L$2:$Q$66,2,0),0)</f>
        <v>TRIPACK CC+CC+IK PFM 3LX3 - RFNN</v>
      </c>
      <c r="G3225" s="503">
        <v>450</v>
      </c>
      <c r="H3225" s="94">
        <f>+IFERROR(VLOOKUP(E3225,BD!$L$2:$Q$66,6,0),0)</f>
        <v>90</v>
      </c>
      <c r="I3225" s="531">
        <f>IFERROR(G3225*VLOOKUP($E3225,BD!$L$2:$Q$66,5,0),0)</f>
        <v>76.5</v>
      </c>
      <c r="J3225" s="539">
        <f t="shared" si="215"/>
        <v>2021</v>
      </c>
      <c r="K3225" s="640"/>
    </row>
    <row r="3226" spans="1:11" s="9" customFormat="1" hidden="1" x14ac:dyDescent="0.25">
      <c r="A3226" s="538">
        <v>44531</v>
      </c>
      <c r="B3226" s="370" t="str">
        <f t="shared" si="212"/>
        <v>DICIEMBRE</v>
      </c>
      <c r="C3226" s="370">
        <f t="shared" si="213"/>
        <v>49</v>
      </c>
      <c r="D3226" s="94" t="str">
        <f t="shared" si="214"/>
        <v>MIÉRCOLES</v>
      </c>
      <c r="E3226" s="378">
        <v>256488</v>
      </c>
      <c r="F3226" s="94" t="str">
        <f>IFERROR(VLOOKUP(E3226,BD!$L$2:$Q$66,2,0),0)</f>
        <v>INCA KOLA PET 3LX2 - RF</v>
      </c>
      <c r="G3226" s="503">
        <v>2400</v>
      </c>
      <c r="H3226" s="94">
        <f>+IFERROR(VLOOKUP(E3226,BD!$L$2:$Q$66,6,0),0)</f>
        <v>120</v>
      </c>
      <c r="I3226" s="531">
        <f>IFERROR(G3226*VLOOKUP($E3226,BD!$L$2:$Q$66,5,0),0)</f>
        <v>408.00000000000006</v>
      </c>
      <c r="J3226" s="539">
        <f t="shared" si="215"/>
        <v>2021</v>
      </c>
      <c r="K3226" s="640"/>
    </row>
    <row r="3227" spans="1:11" s="9" customFormat="1" hidden="1" x14ac:dyDescent="0.25">
      <c r="A3227" s="538">
        <v>44531</v>
      </c>
      <c r="B3227" s="370" t="str">
        <f t="shared" si="212"/>
        <v>DICIEMBRE</v>
      </c>
      <c r="C3227" s="370">
        <f t="shared" si="213"/>
        <v>49</v>
      </c>
      <c r="D3227" s="94" t="str">
        <f t="shared" si="214"/>
        <v>MIÉRCOLES</v>
      </c>
      <c r="E3227" s="378">
        <v>256677</v>
      </c>
      <c r="F3227" s="94" t="str">
        <f>IFERROR(VLOOKUP(E3227,BD!$L$2:$Q$66,2,0),0)</f>
        <v>TWO PACK CC + IK PFM 3LX2 - RFNN</v>
      </c>
      <c r="G3227" s="503">
        <v>4560</v>
      </c>
      <c r="H3227" s="94">
        <f>+IFERROR(VLOOKUP(E3227,BD!$L$2:$Q$66,6,0),0)</f>
        <v>120</v>
      </c>
      <c r="I3227" s="531">
        <f>IFERROR(G3227*VLOOKUP($E3227,BD!$L$2:$Q$66,5,0),0)</f>
        <v>775.2</v>
      </c>
      <c r="J3227" s="539">
        <f t="shared" si="215"/>
        <v>2021</v>
      </c>
      <c r="K3227" s="640"/>
    </row>
    <row r="3228" spans="1:11" s="9" customFormat="1" ht="15.75" hidden="1" thickBot="1" x14ac:dyDescent="0.3">
      <c r="A3228" s="540">
        <v>44531</v>
      </c>
      <c r="B3228" s="505" t="str">
        <f t="shared" si="212"/>
        <v>DICIEMBRE</v>
      </c>
      <c r="C3228" s="505">
        <f t="shared" si="213"/>
        <v>49</v>
      </c>
      <c r="D3228" s="541" t="str">
        <f t="shared" si="214"/>
        <v>MIÉRCOLES</v>
      </c>
      <c r="E3228" s="506">
        <v>256676</v>
      </c>
      <c r="F3228" s="541" t="str">
        <f>IFERROR(VLOOKUP(E3228,BD!$L$2:$Q$66,2,0),0)</f>
        <v>TWO PACK CC PFM 3LX2 - RFCC</v>
      </c>
      <c r="G3228" s="518">
        <v>480</v>
      </c>
      <c r="H3228" s="541">
        <f>+IFERROR(VLOOKUP(E3228,BD!$L$2:$Q$66,6,0),0)</f>
        <v>120</v>
      </c>
      <c r="I3228" s="542">
        <f>IFERROR(G3228*VLOOKUP($E3228,BD!$L$2:$Q$66,5,0),0)</f>
        <v>81.600000000000009</v>
      </c>
      <c r="J3228" s="543">
        <f t="shared" si="215"/>
        <v>2021</v>
      </c>
      <c r="K3228" s="641"/>
    </row>
    <row r="3229" spans="1:11" s="9" customFormat="1" hidden="1" x14ac:dyDescent="0.25">
      <c r="A3229" s="493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63">
        <v>256695</v>
      </c>
      <c r="F3229" s="6" t="str">
        <f>IFERROR(VLOOKUP(E3229,BD!$L$2:$Q$66,2,0),0)</f>
        <v>POWERADE 3MORA+3FRUT PET 473MLX6</v>
      </c>
      <c r="G3229" s="513">
        <v>1350</v>
      </c>
      <c r="H3229" s="6">
        <f>+IFERROR(VLOOKUP(E3229,BD!$L$2:$Q$66,6,0),0)</f>
        <v>225</v>
      </c>
      <c r="I3229" s="97">
        <f>IFERROR(G3229*VLOOKUP($E3229,BD!$L$2:$Q$66,5,0),0)</f>
        <v>567</v>
      </c>
      <c r="J3229" s="109">
        <f t="shared" si="215"/>
        <v>2021</v>
      </c>
    </row>
    <row r="3230" spans="1:11" s="9" customFormat="1" hidden="1" x14ac:dyDescent="0.25">
      <c r="A3230" s="491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7">
        <v>256708</v>
      </c>
      <c r="F3230" s="3" t="str">
        <f>IFERROR(VLOOKUP(E3230,BD!$L$2:$Q$66,2,0),0)</f>
        <v>POWERADE ION4 FRUTA PET473X6 MOD (STICK)</v>
      </c>
      <c r="G3230" s="424">
        <v>900</v>
      </c>
      <c r="H3230" s="3">
        <f>+IFERROR(VLOOKUP(E3230,BD!$L$2:$Q$66,6,0),0)</f>
        <v>225</v>
      </c>
      <c r="I3230" s="96">
        <f>IFERROR(G3230*VLOOKUP($E3230,BD!$L$2:$Q$66,5,0),0)</f>
        <v>360</v>
      </c>
      <c r="J3230" s="5">
        <f t="shared" si="215"/>
        <v>2021</v>
      </c>
    </row>
    <row r="3231" spans="1:11" s="9" customFormat="1" hidden="1" x14ac:dyDescent="0.25">
      <c r="A3231" s="491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7">
        <v>256721</v>
      </c>
      <c r="F3231" s="3" t="str">
        <f>IFERROR(VLOOKUP(E3231,BD!$L$2:$Q$66,2,0),0)</f>
        <v>SPRITE PET 500MLX6 BRANDEADO MOD</v>
      </c>
      <c r="G3231" s="424">
        <v>500</v>
      </c>
      <c r="H3231" s="3">
        <f>+IFERROR(VLOOKUP(E3231,BD!$L$2:$Q$66,6,0),0)</f>
        <v>420</v>
      </c>
      <c r="I3231" s="96">
        <f>IFERROR(G3231*VLOOKUP($E3231,BD!$L$2:$Q$66,5,0),0)</f>
        <v>210</v>
      </c>
      <c r="J3231" s="5">
        <f t="shared" si="215"/>
        <v>2021</v>
      </c>
    </row>
    <row r="3232" spans="1:11" s="9" customFormat="1" hidden="1" x14ac:dyDescent="0.25">
      <c r="A3232" s="491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7">
        <v>256381</v>
      </c>
      <c r="F3232" s="3" t="str">
        <f>IFERROR(VLOOKUP(E3232,BD!$L$2:$Q$66,2,0),0)</f>
        <v>INCA KOLA VR 1.5LX8 - STICKER</v>
      </c>
      <c r="G3232" s="424">
        <v>150</v>
      </c>
      <c r="H3232" s="3">
        <f>+IFERROR(VLOOKUP(E3232,BD!$L$2:$Q$66,6,0),0)</f>
        <v>30</v>
      </c>
      <c r="I3232" s="96">
        <f>IFERROR(G3232*VLOOKUP($E3232,BD!$L$2:$Q$66,5,0),0)</f>
        <v>60</v>
      </c>
      <c r="J3232" s="5">
        <f t="shared" si="215"/>
        <v>2021</v>
      </c>
    </row>
    <row r="3233" spans="1:11" s="9" customFormat="1" hidden="1" x14ac:dyDescent="0.25">
      <c r="A3233" s="491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7">
        <v>256652</v>
      </c>
      <c r="F3233" s="3" t="str">
        <f>IFERROR(VLOOKUP(E3233,BD!$L$2:$Q$66,2,0),0)</f>
        <v>TRIPACK FT NAR+FT KI+SP PET 3L</v>
      </c>
      <c r="G3233" s="424">
        <v>180</v>
      </c>
      <c r="H3233" s="3">
        <f>+IFERROR(VLOOKUP(E3233,BD!$L$2:$Q$66,6,0),0)</f>
        <v>90</v>
      </c>
      <c r="I3233" s="96">
        <f>IFERROR(G3233*VLOOKUP($E3233,BD!$L$2:$Q$66,5,0),0)</f>
        <v>30.6</v>
      </c>
      <c r="J3233" s="5">
        <f t="shared" si="215"/>
        <v>2021</v>
      </c>
    </row>
    <row r="3234" spans="1:11" s="9" customFormat="1" hidden="1" x14ac:dyDescent="0.25">
      <c r="A3234" s="491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7">
        <v>251406</v>
      </c>
      <c r="F3234" s="3" t="str">
        <f>IFERROR(VLOOKUP(E3234,BD!$L$2:$Q$66,2,0),0)</f>
        <v>COCA-COLA SIN AZUCAR PET 1.5LX2</v>
      </c>
      <c r="G3234" s="424">
        <v>2160</v>
      </c>
      <c r="H3234" s="3">
        <f>+IFERROR(VLOOKUP(E3234,BD!$L$2:$Q$66,6,0),0)</f>
        <v>198</v>
      </c>
      <c r="I3234" s="96">
        <f>IFERROR(G3234*VLOOKUP($E3234,BD!$L$2:$Q$66,5,0),0)</f>
        <v>367.20000000000005</v>
      </c>
      <c r="J3234" s="5">
        <f t="shared" si="215"/>
        <v>2021</v>
      </c>
    </row>
    <row r="3235" spans="1:11" s="9" customFormat="1" hidden="1" x14ac:dyDescent="0.25">
      <c r="A3235" s="491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7">
        <v>254853</v>
      </c>
      <c r="F3235" s="3" t="str">
        <f>IFERROR(VLOOKUP(E3235,BD!$L$2:$Q$66,2,0),0)</f>
        <v>INCA KOLA SIN AZUCAR PET 1.5LX2</v>
      </c>
      <c r="G3235" s="424">
        <v>2160</v>
      </c>
      <c r="H3235" s="3">
        <f>+IFERROR(VLOOKUP(E3235,BD!$L$2:$Q$66,6,0),0)</f>
        <v>198</v>
      </c>
      <c r="I3235" s="96">
        <f>IFERROR(G3235*VLOOKUP($E3235,BD!$L$2:$Q$66,5,0),0)</f>
        <v>367.20000000000005</v>
      </c>
      <c r="J3235" s="5">
        <f t="shared" si="215"/>
        <v>2021</v>
      </c>
    </row>
    <row r="3236" spans="1:11" s="9" customFormat="1" hidden="1" x14ac:dyDescent="0.25">
      <c r="A3236" s="491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7">
        <v>256488</v>
      </c>
      <c r="F3236" s="3" t="str">
        <f>IFERROR(VLOOKUP(E3236,BD!$L$2:$Q$66,2,0),0)</f>
        <v>INCA KOLA PET 3LX2 - RF</v>
      </c>
      <c r="G3236" s="424">
        <v>1200</v>
      </c>
      <c r="H3236" s="3">
        <f>+IFERROR(VLOOKUP(E3236,BD!$L$2:$Q$66,6,0),0)</f>
        <v>120</v>
      </c>
      <c r="I3236" s="96">
        <f>IFERROR(G3236*VLOOKUP($E3236,BD!$L$2:$Q$66,5,0),0)</f>
        <v>204.00000000000003</v>
      </c>
      <c r="J3236" s="5">
        <f t="shared" si="215"/>
        <v>2021</v>
      </c>
    </row>
    <row r="3237" spans="1:11" s="9" customFormat="1" hidden="1" x14ac:dyDescent="0.25">
      <c r="A3237" s="491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7">
        <v>256601</v>
      </c>
      <c r="F3237" s="3" t="str">
        <f>IFERROR(VLOOKUP(E3237,BD!$L$2:$Q$66,2,0),0)</f>
        <v>INCA KOLA PET 2.25LX2 RF</v>
      </c>
      <c r="G3237" s="424">
        <v>972</v>
      </c>
      <c r="H3237" s="3">
        <f>+IFERROR(VLOOKUP(E3237,BD!$L$2:$Q$66,6,0),0)</f>
        <v>162</v>
      </c>
      <c r="I3237" s="96">
        <f>IFERROR(G3237*VLOOKUP($E3237,BD!$L$2:$Q$66,5,0),0)</f>
        <v>165.24</v>
      </c>
      <c r="J3237" s="5">
        <f t="shared" si="215"/>
        <v>2021</v>
      </c>
    </row>
    <row r="3238" spans="1:11" s="9" customFormat="1" hidden="1" x14ac:dyDescent="0.25">
      <c r="A3238" s="491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7">
        <v>256616</v>
      </c>
      <c r="F3238" s="3" t="str">
        <f>IFERROR(VLOOKUP(E3238,BD!$L$2:$Q$66,2,0),0)</f>
        <v>TWO PACK SCHWEPPES CITRUS PET 1.5LX2</v>
      </c>
      <c r="G3238" s="424">
        <v>1188</v>
      </c>
      <c r="H3238" s="3">
        <f>+IFERROR(VLOOKUP(E3238,BD!$L$2:$Q$66,6,0),0)</f>
        <v>198</v>
      </c>
      <c r="I3238" s="96">
        <f>IFERROR(G3238*VLOOKUP($E3238,BD!$L$2:$Q$66,5,0),0)</f>
        <v>201.96</v>
      </c>
      <c r="J3238" s="5">
        <f t="shared" si="215"/>
        <v>2021</v>
      </c>
    </row>
    <row r="3239" spans="1:11" s="9" customFormat="1" hidden="1" x14ac:dyDescent="0.25">
      <c r="A3239" s="491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7">
        <v>256617</v>
      </c>
      <c r="F3239" s="3" t="str">
        <f>IFERROR(VLOOKUP(E3239,BD!$L$2:$Q$66,2,0),0)</f>
        <v>TWO PACK SCHWEPPES GINGER ALE PET 1.5LX2</v>
      </c>
      <c r="G3239" s="424">
        <v>792</v>
      </c>
      <c r="H3239" s="3">
        <f>+IFERROR(VLOOKUP(E3239,BD!$L$2:$Q$66,6,0),0)</f>
        <v>198</v>
      </c>
      <c r="I3239" s="96">
        <f>IFERROR(G3239*VLOOKUP($E3239,BD!$L$2:$Q$66,5,0),0)</f>
        <v>134.64000000000001</v>
      </c>
      <c r="J3239" s="5">
        <f t="shared" si="215"/>
        <v>2021</v>
      </c>
    </row>
    <row r="3240" spans="1:11" s="9" customFormat="1" hidden="1" x14ac:dyDescent="0.25">
      <c r="A3240" s="491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7">
        <v>256675</v>
      </c>
      <c r="F3240" s="3" t="str">
        <f>IFERROR(VLOOKUP(E3240,BD!$L$2:$Q$66,2,0),0)</f>
        <v>INCA KOLA PET 1.5LX2 RF</v>
      </c>
      <c r="G3240" s="424">
        <v>1512</v>
      </c>
      <c r="H3240" s="3">
        <f>+IFERROR(VLOOKUP(E3240,BD!$L$2:$Q$66,6,0),0)</f>
        <v>198</v>
      </c>
      <c r="I3240" s="96">
        <f>IFERROR(G3240*VLOOKUP($E3240,BD!$L$2:$Q$66,5,0),0)</f>
        <v>257.04000000000002</v>
      </c>
      <c r="J3240" s="5">
        <f t="shared" si="215"/>
        <v>2021</v>
      </c>
    </row>
    <row r="3241" spans="1:11" s="9" customFormat="1" hidden="1" x14ac:dyDescent="0.25">
      <c r="A3241" s="491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7">
        <v>256666</v>
      </c>
      <c r="F3241" s="3" t="str">
        <f>IFERROR(VLOOKUP(E3241,BD!$L$2:$Q$66,2,0),0)</f>
        <v>COCA-COLA PET 2.25LX2 RF</v>
      </c>
      <c r="G3241" s="424">
        <v>1296</v>
      </c>
      <c r="H3241" s="3">
        <f>+IFERROR(VLOOKUP(E3241,BD!$L$2:$Q$66,6,0),0)</f>
        <v>162</v>
      </c>
      <c r="I3241" s="96">
        <f>IFERROR(G3241*VLOOKUP($E3241,BD!$L$2:$Q$66,5,0),0)</f>
        <v>220.32000000000002</v>
      </c>
      <c r="J3241" s="5">
        <f t="shared" si="215"/>
        <v>2021</v>
      </c>
    </row>
    <row r="3242" spans="1:11" s="9" customFormat="1" hidden="1" x14ac:dyDescent="0.25">
      <c r="A3242" s="491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7">
        <v>256676</v>
      </c>
      <c r="F3242" s="3" t="str">
        <f>IFERROR(VLOOKUP(E3242,BD!$L$2:$Q$66,2,0),0)</f>
        <v>TWO PACK CC PFM 3LX2 - RFCC</v>
      </c>
      <c r="G3242" s="424">
        <v>1200</v>
      </c>
      <c r="H3242" s="3">
        <f>+IFERROR(VLOOKUP(E3242,BD!$L$2:$Q$66,6,0),0)</f>
        <v>120</v>
      </c>
      <c r="I3242" s="96">
        <f>IFERROR(G3242*VLOOKUP($E3242,BD!$L$2:$Q$66,5,0),0)</f>
        <v>204.00000000000003</v>
      </c>
      <c r="J3242" s="5">
        <f t="shared" si="215"/>
        <v>2021</v>
      </c>
    </row>
    <row r="3243" spans="1:11" s="9" customFormat="1" hidden="1" x14ac:dyDescent="0.25">
      <c r="A3243" s="491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7">
        <v>256677</v>
      </c>
      <c r="F3243" s="3" t="str">
        <f>IFERROR(VLOOKUP(E3243,BD!$L$2:$Q$66,2,0),0)</f>
        <v>TWO PACK CC + IK PFM 3LX2 - RFNN</v>
      </c>
      <c r="G3243" s="424">
        <v>7320</v>
      </c>
      <c r="H3243" s="3">
        <f>+IFERROR(VLOOKUP(E3243,BD!$L$2:$Q$66,6,0),0)</f>
        <v>120</v>
      </c>
      <c r="I3243" s="96">
        <f>IFERROR(G3243*VLOOKUP($E3243,BD!$L$2:$Q$66,5,0),0)</f>
        <v>1244.4000000000001</v>
      </c>
      <c r="J3243" s="5">
        <f t="shared" si="215"/>
        <v>2021</v>
      </c>
    </row>
    <row r="3244" spans="1:11" s="9" customFormat="1" hidden="1" x14ac:dyDescent="0.25">
      <c r="A3244" s="491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7">
        <v>256682</v>
      </c>
      <c r="F3244" s="3" t="str">
        <f>IFERROR(VLOOKUP(E3244,BD!$L$2:$Q$66,2,0),0)</f>
        <v>TRIPACK (FT NAR+SP)PET+IK RF PFM 3L</v>
      </c>
      <c r="G3244" s="424">
        <v>360</v>
      </c>
      <c r="H3244" s="3">
        <f>+IFERROR(VLOOKUP(E3244,BD!$L$2:$Q$66,6,0),0)</f>
        <v>90</v>
      </c>
      <c r="I3244" s="96">
        <f>IFERROR(G3244*VLOOKUP($E3244,BD!$L$2:$Q$66,5,0),0)</f>
        <v>61.2</v>
      </c>
      <c r="J3244" s="5">
        <f t="shared" si="215"/>
        <v>2021</v>
      </c>
    </row>
    <row r="3245" spans="1:11" s="9" customFormat="1" hidden="1" x14ac:dyDescent="0.25">
      <c r="A3245" s="491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7">
        <v>251429</v>
      </c>
      <c r="F3245" s="3" t="str">
        <f>IFERROR(VLOOKUP(E3245,BD!$L$2:$Q$66,2,0),0)</f>
        <v>SAN LUIS SIN GAS PET2500X6 STICKER</v>
      </c>
      <c r="G3245" s="424">
        <v>960</v>
      </c>
      <c r="H3245" s="3">
        <f>+IFERROR(VLOOKUP(E3245,BD!$L$2:$Q$66,6,0),0)</f>
        <v>48</v>
      </c>
      <c r="I3245" s="96">
        <f>IFERROR(G3245*VLOOKUP($E3245,BD!$L$2:$Q$66,5,0),0)</f>
        <v>384</v>
      </c>
      <c r="J3245" s="5">
        <f t="shared" si="215"/>
        <v>2021</v>
      </c>
    </row>
    <row r="3246" spans="1:11" s="9" customFormat="1" hidden="1" x14ac:dyDescent="0.25">
      <c r="A3246" s="491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7">
        <v>256652</v>
      </c>
      <c r="F3246" s="3" t="str">
        <f>IFERROR(VLOOKUP(E3246,BD!$L$2:$Q$66,2,0),0)</f>
        <v>TRIPACK FT NAR+FT KI+SP PET 3L</v>
      </c>
      <c r="G3246" s="424">
        <v>900</v>
      </c>
      <c r="H3246" s="3">
        <f>+IFERROR(VLOOKUP(E3246,BD!$L$2:$Q$66,6,0),0)</f>
        <v>90</v>
      </c>
      <c r="I3246" s="96">
        <f>IFERROR(G3246*VLOOKUP($E3246,BD!$L$2:$Q$66,5,0),0)</f>
        <v>153</v>
      </c>
      <c r="J3246" s="5">
        <f t="shared" si="215"/>
        <v>2021</v>
      </c>
    </row>
    <row r="3247" spans="1:11" s="9" customFormat="1" hidden="1" x14ac:dyDescent="0.25">
      <c r="A3247" s="52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70">
        <v>252436</v>
      </c>
      <c r="F3247" s="33" t="str">
        <f>IFERROR(VLOOKUP(E3247,BD!$L$2:$Q$66,2,0),0)</f>
        <v>SAN LUIS SIN GAS PET 625MLX15 C/STICKER</v>
      </c>
      <c r="G3247" s="512">
        <v>450</v>
      </c>
      <c r="H3247" s="33">
        <f>+IFERROR(VLOOKUP(E3247,BD!$L$2:$Q$66,6,0),0)</f>
        <v>90</v>
      </c>
      <c r="I3247" s="499">
        <f>IFERROR(G3247*VLOOKUP($E3247,BD!$L$2:$Q$66,5,0),0)</f>
        <v>180</v>
      </c>
      <c r="J3247" s="386">
        <f t="shared" si="215"/>
        <v>2021</v>
      </c>
    </row>
    <row r="3248" spans="1:11" s="9" customFormat="1" hidden="1" x14ac:dyDescent="0.25">
      <c r="A3248" s="532">
        <v>44532</v>
      </c>
      <c r="B3248" s="502" t="str">
        <f t="shared" si="212"/>
        <v>DICIEMBRE</v>
      </c>
      <c r="C3248" s="502">
        <f t="shared" si="213"/>
        <v>49</v>
      </c>
      <c r="D3248" s="533" t="str">
        <f t="shared" si="214"/>
        <v>JUEVES</v>
      </c>
      <c r="E3248" s="534">
        <v>256652</v>
      </c>
      <c r="F3248" s="533" t="str">
        <f>IFERROR(VLOOKUP(E3248,BD!$L$2:$Q$66,2,0),0)</f>
        <v>TRIPACK FT NAR+FT KI+SP PET 3L</v>
      </c>
      <c r="G3248" s="535">
        <v>2160</v>
      </c>
      <c r="H3248" s="533">
        <f>+IFERROR(VLOOKUP(E3248,BD!$L$2:$Q$66,6,0),0)</f>
        <v>90</v>
      </c>
      <c r="I3248" s="536">
        <f>IFERROR(G3248*VLOOKUP($E3248,BD!$L$2:$Q$66,5,0),0)</f>
        <v>367.20000000000005</v>
      </c>
      <c r="J3248" s="537">
        <f t="shared" si="215"/>
        <v>2021</v>
      </c>
      <c r="K3248" s="664" t="s">
        <v>243</v>
      </c>
    </row>
    <row r="3249" spans="1:11" s="9" customFormat="1" hidden="1" x14ac:dyDescent="0.25">
      <c r="A3249" s="538">
        <v>44532</v>
      </c>
      <c r="B3249" s="370" t="str">
        <f t="shared" si="212"/>
        <v>DICIEMBRE</v>
      </c>
      <c r="C3249" s="370">
        <f t="shared" si="213"/>
        <v>49</v>
      </c>
      <c r="D3249" s="94" t="str">
        <f t="shared" si="214"/>
        <v>JUEVES</v>
      </c>
      <c r="E3249" s="378">
        <v>256678</v>
      </c>
      <c r="F3249" s="94" t="str">
        <f>IFERROR(VLOOKUP(E3249,BD!$L$2:$Q$66,2,0),0)</f>
        <v>TRIPACK (CC+IK)PFM+FT PET 3LX3 - RFNN</v>
      </c>
      <c r="G3249" s="503">
        <v>720</v>
      </c>
      <c r="H3249" s="94">
        <f>+IFERROR(VLOOKUP(E3249,BD!$L$2:$Q$66,6,0),0)</f>
        <v>90</v>
      </c>
      <c r="I3249" s="531">
        <f>IFERROR(G3249*VLOOKUP($E3249,BD!$L$2:$Q$66,5,0),0)</f>
        <v>122.4</v>
      </c>
      <c r="J3249" s="539">
        <f t="shared" si="215"/>
        <v>2021</v>
      </c>
      <c r="K3249" s="665"/>
    </row>
    <row r="3250" spans="1:11" s="9" customFormat="1" hidden="1" x14ac:dyDescent="0.25">
      <c r="A3250" s="538">
        <v>44532</v>
      </c>
      <c r="B3250" s="370" t="str">
        <f t="shared" si="212"/>
        <v>DICIEMBRE</v>
      </c>
      <c r="C3250" s="370">
        <f t="shared" si="213"/>
        <v>49</v>
      </c>
      <c r="D3250" s="94" t="str">
        <f t="shared" si="214"/>
        <v>JUEVES</v>
      </c>
      <c r="E3250" s="378">
        <v>256488</v>
      </c>
      <c r="F3250" s="94" t="str">
        <f>IFERROR(VLOOKUP(E3250,BD!$L$2:$Q$66,2,0),0)</f>
        <v>INCA KOLA PET 3LX2 - RF</v>
      </c>
      <c r="G3250" s="503">
        <v>3360</v>
      </c>
      <c r="H3250" s="94">
        <f>+IFERROR(VLOOKUP(E3250,BD!$L$2:$Q$66,6,0),0)</f>
        <v>120</v>
      </c>
      <c r="I3250" s="531">
        <f>IFERROR(G3250*VLOOKUP($E3250,BD!$L$2:$Q$66,5,0),0)</f>
        <v>571.20000000000005</v>
      </c>
      <c r="J3250" s="539">
        <f t="shared" si="215"/>
        <v>2021</v>
      </c>
      <c r="K3250" s="665"/>
    </row>
    <row r="3251" spans="1:11" s="9" customFormat="1" hidden="1" x14ac:dyDescent="0.25">
      <c r="A3251" s="538">
        <v>44532</v>
      </c>
      <c r="B3251" s="370" t="str">
        <f t="shared" si="212"/>
        <v>DICIEMBRE</v>
      </c>
      <c r="C3251" s="370">
        <f t="shared" si="213"/>
        <v>49</v>
      </c>
      <c r="D3251" s="94" t="str">
        <f t="shared" si="214"/>
        <v>JUEVES</v>
      </c>
      <c r="E3251" s="378">
        <v>256676</v>
      </c>
      <c r="F3251" s="94" t="str">
        <f>IFERROR(VLOOKUP(E3251,BD!$L$2:$Q$66,2,0),0)</f>
        <v>TWO PACK CC PFM 3LX2 - RFCC</v>
      </c>
      <c r="G3251" s="503">
        <v>3840</v>
      </c>
      <c r="H3251" s="94">
        <f>+IFERROR(VLOOKUP(E3251,BD!$L$2:$Q$66,6,0),0)</f>
        <v>120</v>
      </c>
      <c r="I3251" s="531">
        <f>IFERROR(G3251*VLOOKUP($E3251,BD!$L$2:$Q$66,5,0),0)</f>
        <v>652.80000000000007</v>
      </c>
      <c r="J3251" s="539">
        <f t="shared" si="215"/>
        <v>2021</v>
      </c>
      <c r="K3251" s="665"/>
    </row>
    <row r="3252" spans="1:11" s="9" customFormat="1" ht="15.75" hidden="1" thickBot="1" x14ac:dyDescent="0.3">
      <c r="A3252" s="540">
        <v>44532</v>
      </c>
      <c r="B3252" s="505" t="str">
        <f t="shared" si="212"/>
        <v>DICIEMBRE</v>
      </c>
      <c r="C3252" s="505">
        <f t="shared" si="213"/>
        <v>49</v>
      </c>
      <c r="D3252" s="541" t="str">
        <f t="shared" si="214"/>
        <v>JUEVES</v>
      </c>
      <c r="E3252" s="506">
        <v>256677</v>
      </c>
      <c r="F3252" s="541" t="str">
        <f>IFERROR(VLOOKUP(E3252,BD!$L$2:$Q$66,2,0),0)</f>
        <v>TWO PACK CC + IK PFM 3LX2 - RFNN</v>
      </c>
      <c r="G3252" s="518">
        <v>4200</v>
      </c>
      <c r="H3252" s="541">
        <f>+IFERROR(VLOOKUP(E3252,BD!$L$2:$Q$66,6,0),0)</f>
        <v>120</v>
      </c>
      <c r="I3252" s="542">
        <f>IFERROR(G3252*VLOOKUP($E3252,BD!$L$2:$Q$66,5,0),0)</f>
        <v>714</v>
      </c>
      <c r="J3252" s="543">
        <f t="shared" si="215"/>
        <v>2021</v>
      </c>
      <c r="K3252" s="666"/>
    </row>
    <row r="3253" spans="1:11" s="9" customFormat="1" hidden="1" x14ac:dyDescent="0.25">
      <c r="A3253" s="491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63">
        <v>256695</v>
      </c>
      <c r="F3253" s="6" t="str">
        <f>IFERROR(VLOOKUP(E3253,BD!$L$2:$Q$66,2,0),0)</f>
        <v>POWERADE 3MORA+3FRUT PET 473MLX6</v>
      </c>
      <c r="G3253" s="513">
        <v>900</v>
      </c>
      <c r="H3253" s="6">
        <f>+IFERROR(VLOOKUP(E3253,BD!$L$2:$Q$66,6,0),0)</f>
        <v>225</v>
      </c>
      <c r="I3253" s="97">
        <f>IFERROR(G3253*VLOOKUP($E3253,BD!$L$2:$Q$66,5,0),0)</f>
        <v>378</v>
      </c>
      <c r="J3253" s="109">
        <f t="shared" si="215"/>
        <v>2021</v>
      </c>
    </row>
    <row r="3254" spans="1:11" s="9" customFormat="1" hidden="1" x14ac:dyDescent="0.25">
      <c r="A3254" s="491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7">
        <v>251406</v>
      </c>
      <c r="F3254" s="3" t="str">
        <f>IFERROR(VLOOKUP(E3254,BD!$L$2:$Q$66,2,0),0)</f>
        <v>COCA-COLA SIN AZUCAR PET 1.5LX2</v>
      </c>
      <c r="G3254" s="424">
        <v>1080</v>
      </c>
      <c r="H3254" s="3">
        <f>+IFERROR(VLOOKUP(E3254,BD!$L$2:$Q$66,6,0),0)</f>
        <v>198</v>
      </c>
      <c r="I3254" s="96">
        <f>IFERROR(G3254*VLOOKUP($E3254,BD!$L$2:$Q$66,5,0),0)</f>
        <v>183.60000000000002</v>
      </c>
      <c r="J3254" s="5">
        <f t="shared" si="215"/>
        <v>2021</v>
      </c>
    </row>
    <row r="3255" spans="1:11" s="9" customFormat="1" hidden="1" x14ac:dyDescent="0.25">
      <c r="A3255" s="491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7">
        <v>254853</v>
      </c>
      <c r="F3255" s="3" t="str">
        <f>IFERROR(VLOOKUP(E3255,BD!$L$2:$Q$66,2,0),0)</f>
        <v>INCA KOLA SIN AZUCAR PET 1.5LX2</v>
      </c>
      <c r="G3255" s="424">
        <v>1080</v>
      </c>
      <c r="H3255" s="3">
        <f>+IFERROR(VLOOKUP(E3255,BD!$L$2:$Q$66,6,0),0)</f>
        <v>198</v>
      </c>
      <c r="I3255" s="96">
        <f>IFERROR(G3255*VLOOKUP($E3255,BD!$L$2:$Q$66,5,0),0)</f>
        <v>183.60000000000002</v>
      </c>
      <c r="J3255" s="5">
        <f t="shared" si="215"/>
        <v>2021</v>
      </c>
    </row>
    <row r="3256" spans="1:11" s="9" customFormat="1" hidden="1" x14ac:dyDescent="0.25">
      <c r="A3256" s="491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7">
        <v>256488</v>
      </c>
      <c r="F3256" s="3" t="str">
        <f>IFERROR(VLOOKUP(E3256,BD!$L$2:$Q$66,2,0),0)</f>
        <v>INCA KOLA PET 3LX2 - RF</v>
      </c>
      <c r="G3256" s="424">
        <v>2400</v>
      </c>
      <c r="H3256" s="3">
        <f>+IFERROR(VLOOKUP(E3256,BD!$L$2:$Q$66,6,0),0)</f>
        <v>120</v>
      </c>
      <c r="I3256" s="96">
        <f>IFERROR(G3256*VLOOKUP($E3256,BD!$L$2:$Q$66,5,0),0)</f>
        <v>408.00000000000006</v>
      </c>
      <c r="J3256" s="5">
        <f t="shared" si="215"/>
        <v>2021</v>
      </c>
    </row>
    <row r="3257" spans="1:11" s="9" customFormat="1" hidden="1" x14ac:dyDescent="0.25">
      <c r="A3257" s="491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7">
        <v>256676</v>
      </c>
      <c r="F3257" s="3" t="str">
        <f>IFERROR(VLOOKUP(E3257,BD!$L$2:$Q$66,2,0),0)</f>
        <v>TWO PACK CC PFM 3LX2 - RFCC</v>
      </c>
      <c r="G3257" s="424">
        <v>1800</v>
      </c>
      <c r="H3257" s="3">
        <f>+IFERROR(VLOOKUP(E3257,BD!$L$2:$Q$66,6,0),0)</f>
        <v>120</v>
      </c>
      <c r="I3257" s="96">
        <f>IFERROR(G3257*VLOOKUP($E3257,BD!$L$2:$Q$66,5,0),0)</f>
        <v>306</v>
      </c>
      <c r="J3257" s="5">
        <f t="shared" si="215"/>
        <v>2021</v>
      </c>
    </row>
    <row r="3258" spans="1:11" s="9" customFormat="1" hidden="1" x14ac:dyDescent="0.25">
      <c r="A3258" s="491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7">
        <v>256674</v>
      </c>
      <c r="F3258" s="3" t="str">
        <f>IFERROR(VLOOKUP(E3258,BD!$L$2:$Q$66,2,0),0)</f>
        <v>COCA-COLA PET 1.5LX2 RF</v>
      </c>
      <c r="G3258" s="424">
        <v>4320</v>
      </c>
      <c r="H3258" s="3">
        <f>+IFERROR(VLOOKUP(E3258,BD!$L$2:$Q$66,6,0),0)</f>
        <v>198</v>
      </c>
      <c r="I3258" s="96">
        <f>IFERROR(G3258*VLOOKUP($E3258,BD!$L$2:$Q$66,5,0),0)</f>
        <v>734.40000000000009</v>
      </c>
      <c r="J3258" s="5">
        <f t="shared" si="215"/>
        <v>2021</v>
      </c>
    </row>
    <row r="3259" spans="1:11" s="9" customFormat="1" hidden="1" x14ac:dyDescent="0.25">
      <c r="A3259" s="491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7">
        <v>256652</v>
      </c>
      <c r="F3259" s="3" t="str">
        <f>IFERROR(VLOOKUP(E3259,BD!$L$2:$Q$66,2,0),0)</f>
        <v>TRIPACK FT NAR+FT KI+SP PET 3L</v>
      </c>
      <c r="G3259" s="424">
        <v>1440</v>
      </c>
      <c r="H3259" s="3">
        <f>+IFERROR(VLOOKUP(E3259,BD!$L$2:$Q$66,6,0),0)</f>
        <v>90</v>
      </c>
      <c r="I3259" s="96">
        <f>IFERROR(G3259*VLOOKUP($E3259,BD!$L$2:$Q$66,5,0),0)</f>
        <v>244.8</v>
      </c>
      <c r="J3259" s="5">
        <f t="shared" si="215"/>
        <v>2021</v>
      </c>
    </row>
    <row r="3260" spans="1:11" s="9" customFormat="1" hidden="1" x14ac:dyDescent="0.25">
      <c r="A3260" s="491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7">
        <v>256677</v>
      </c>
      <c r="F3260" s="3" t="str">
        <f>IFERROR(VLOOKUP(E3260,BD!$L$2:$Q$66,2,0),0)</f>
        <v>TWO PACK CC + IK PFM 3LX2 - RFNN</v>
      </c>
      <c r="G3260" s="424">
        <v>4320</v>
      </c>
      <c r="H3260" s="3">
        <f>+IFERROR(VLOOKUP(E3260,BD!$L$2:$Q$66,6,0),0)</f>
        <v>120</v>
      </c>
      <c r="I3260" s="96">
        <f>IFERROR(G3260*VLOOKUP($E3260,BD!$L$2:$Q$66,5,0),0)</f>
        <v>734.40000000000009</v>
      </c>
      <c r="J3260" s="5">
        <f t="shared" si="215"/>
        <v>2021</v>
      </c>
    </row>
    <row r="3261" spans="1:11" s="9" customFormat="1" hidden="1" x14ac:dyDescent="0.25">
      <c r="A3261" s="491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7">
        <v>256678</v>
      </c>
      <c r="F3261" s="3" t="str">
        <f>IFERROR(VLOOKUP(E3261,BD!$L$2:$Q$66,2,0),0)</f>
        <v>TRIPACK (CC+IK)PFM+FT PET 3LX3 - RFNN</v>
      </c>
      <c r="G3261" s="424">
        <v>3600</v>
      </c>
      <c r="H3261" s="3">
        <f>+IFERROR(VLOOKUP(E3261,BD!$L$2:$Q$66,6,0),0)</f>
        <v>90</v>
      </c>
      <c r="I3261" s="96">
        <f>IFERROR(G3261*VLOOKUP($E3261,BD!$L$2:$Q$66,5,0),0)</f>
        <v>612</v>
      </c>
      <c r="J3261" s="5">
        <f t="shared" si="215"/>
        <v>2021</v>
      </c>
    </row>
    <row r="3262" spans="1:11" s="9" customFormat="1" hidden="1" x14ac:dyDescent="0.25">
      <c r="A3262" s="491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7">
        <v>256679</v>
      </c>
      <c r="F3262" s="3" t="str">
        <f>IFERROR(VLOOKUP(E3262,BD!$L$2:$Q$66,2,0),0)</f>
        <v>TRIPACK CC+IK+IK PFM 3LX3 - RFNN</v>
      </c>
      <c r="G3262" s="424">
        <v>1440</v>
      </c>
      <c r="H3262" s="3">
        <f>+IFERROR(VLOOKUP(E3262,BD!$L$2:$Q$66,6,0),0)</f>
        <v>90</v>
      </c>
      <c r="I3262" s="96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hidden="1" x14ac:dyDescent="0.25">
      <c r="A3263" s="491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7">
        <v>256695</v>
      </c>
      <c r="F3263" s="3" t="str">
        <f>IFERROR(VLOOKUP(E3263,BD!$L$2:$Q$66,2,0),0)</f>
        <v>POWERADE 3MORA+3FRUT PET 473MLX6</v>
      </c>
      <c r="G3263" s="424">
        <v>450</v>
      </c>
      <c r="H3263" s="3">
        <f>+IFERROR(VLOOKUP(E3263,BD!$L$2:$Q$66,6,0),0)</f>
        <v>225</v>
      </c>
      <c r="I3263" s="96">
        <f>IFERROR(G3263*VLOOKUP($E3263,BD!$L$2:$Q$66,5,0),0)</f>
        <v>189</v>
      </c>
      <c r="J3263" s="5">
        <f t="shared" si="219"/>
        <v>2021</v>
      </c>
    </row>
    <row r="3264" spans="1:11" s="9" customFormat="1" hidden="1" x14ac:dyDescent="0.25">
      <c r="A3264" s="491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7">
        <v>256709</v>
      </c>
      <c r="F3264" s="3" t="str">
        <f>IFERROR(VLOOKUP(E3264,BD!$L$2:$Q$66,2,0),0)</f>
        <v>POWERADE ION4 MORA AZ PET473X6 MOD(STCK)</v>
      </c>
      <c r="G3264" s="424">
        <v>675</v>
      </c>
      <c r="H3264" s="3">
        <f>+IFERROR(VLOOKUP(E3264,BD!$L$2:$Q$66,6,0),0)</f>
        <v>225</v>
      </c>
      <c r="I3264" s="96">
        <f>IFERROR(G3264*VLOOKUP($E3264,BD!$L$2:$Q$66,5,0),0)</f>
        <v>270</v>
      </c>
      <c r="J3264" s="5">
        <f t="shared" si="219"/>
        <v>2021</v>
      </c>
    </row>
    <row r="3265" spans="1:11" s="9" customFormat="1" hidden="1" x14ac:dyDescent="0.25">
      <c r="A3265" s="491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7">
        <v>251632</v>
      </c>
      <c r="F3265" s="3" t="str">
        <f>IFERROR(VLOOKUP(E3265,BD!$L$2:$Q$66,2,0),0)</f>
        <v>SAN LUIS SIN GAS PET 625MLX06 MOD</v>
      </c>
      <c r="G3265" s="424">
        <v>900</v>
      </c>
      <c r="H3265" s="3">
        <f>+IFERROR(VLOOKUP(E3265,BD!$L$2:$Q$66,6,0),0)</f>
        <v>180</v>
      </c>
      <c r="I3265" s="96">
        <f>IFERROR(G3265*VLOOKUP($E3265,BD!$L$2:$Q$66,5,0),0)</f>
        <v>378</v>
      </c>
      <c r="J3265" s="5">
        <f t="shared" si="219"/>
        <v>2021</v>
      </c>
    </row>
    <row r="3266" spans="1:11" s="9" customFormat="1" hidden="1" x14ac:dyDescent="0.25">
      <c r="A3266" s="491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7">
        <v>256720</v>
      </c>
      <c r="F3266" s="3" t="str">
        <f>IFERROR(VLOOKUP(E3266,BD!$L$2:$Q$66,2,0),0)</f>
        <v>FANTA NARANJA PET 500MLX6 BRANDEADO MOD</v>
      </c>
      <c r="G3266" s="424">
        <v>1000</v>
      </c>
      <c r="H3266" s="3">
        <f>+IFERROR(VLOOKUP(E3266,BD!$L$2:$Q$66,6,0),0)</f>
        <v>420</v>
      </c>
      <c r="I3266" s="96">
        <f>IFERROR(G3266*VLOOKUP($E3266,BD!$L$2:$Q$66,5,0),0)</f>
        <v>420</v>
      </c>
      <c r="J3266" s="5">
        <f t="shared" si="219"/>
        <v>2021</v>
      </c>
    </row>
    <row r="3267" spans="1:11" s="9" customFormat="1" hidden="1" x14ac:dyDescent="0.25">
      <c r="A3267" s="491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7">
        <v>256721</v>
      </c>
      <c r="F3267" s="3" t="str">
        <f>IFERROR(VLOOKUP(E3267,BD!$L$2:$Q$66,2,0),0)</f>
        <v>SPRITE PET 500MLX6 BRANDEADO MOD</v>
      </c>
      <c r="G3267" s="424">
        <v>500</v>
      </c>
      <c r="H3267" s="3">
        <f>+IFERROR(VLOOKUP(E3267,BD!$L$2:$Q$66,6,0),0)</f>
        <v>420</v>
      </c>
      <c r="I3267" s="96">
        <f>IFERROR(G3267*VLOOKUP($E3267,BD!$L$2:$Q$66,5,0),0)</f>
        <v>210</v>
      </c>
      <c r="J3267" s="5">
        <f t="shared" si="219"/>
        <v>2021</v>
      </c>
    </row>
    <row r="3268" spans="1:11" s="9" customFormat="1" hidden="1" x14ac:dyDescent="0.25">
      <c r="A3268" s="491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7">
        <v>256380</v>
      </c>
      <c r="F3268" s="3" t="str">
        <f>IFERROR(VLOOKUP(E3268,BD!$L$2:$Q$66,2,0),0)</f>
        <v>INCA KOLA VR 296MLX24 - STICKER</v>
      </c>
      <c r="G3268" s="424">
        <v>120</v>
      </c>
      <c r="H3268" s="3">
        <f>+IFERROR(VLOOKUP(E3268,BD!$L$2:$Q$66,6,0),0)</f>
        <v>40</v>
      </c>
      <c r="I3268" s="96">
        <f>IFERROR(G3268*VLOOKUP($E3268,BD!$L$2:$Q$66,5,0),0)</f>
        <v>27.6</v>
      </c>
      <c r="J3268" s="5">
        <f t="shared" si="219"/>
        <v>2021</v>
      </c>
    </row>
    <row r="3269" spans="1:11" s="9" customFormat="1" hidden="1" x14ac:dyDescent="0.25">
      <c r="A3269" s="491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7">
        <v>256379</v>
      </c>
      <c r="F3269" s="3" t="str">
        <f>IFERROR(VLOOKUP(E3269,BD!$L$2:$Q$66,2,0),0)</f>
        <v>INCA KOLA VR 625MLX12 - STICKER</v>
      </c>
      <c r="G3269" s="424">
        <v>400</v>
      </c>
      <c r="H3269" s="3">
        <f>+IFERROR(VLOOKUP(E3269,BD!$L$2:$Q$66,6,0),0)</f>
        <v>50</v>
      </c>
      <c r="I3269" s="96">
        <f>IFERROR(G3269*VLOOKUP($E3269,BD!$L$2:$Q$66,5,0),0)</f>
        <v>160</v>
      </c>
      <c r="J3269" s="5">
        <f t="shared" si="219"/>
        <v>2021</v>
      </c>
    </row>
    <row r="3270" spans="1:11" s="9" customFormat="1" hidden="1" x14ac:dyDescent="0.25">
      <c r="A3270" s="491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7">
        <v>252436</v>
      </c>
      <c r="F3270" s="3" t="str">
        <f>IFERROR(VLOOKUP(E3270,BD!$L$2:$Q$66,2,0),0)</f>
        <v>SAN LUIS SIN GAS PET 625MLX15 C/STICKER</v>
      </c>
      <c r="G3270" s="424">
        <v>360</v>
      </c>
      <c r="H3270" s="3">
        <f>+IFERROR(VLOOKUP(E3270,BD!$L$2:$Q$66,6,0),0)</f>
        <v>90</v>
      </c>
      <c r="I3270" s="96">
        <f>IFERROR(G3270*VLOOKUP($E3270,BD!$L$2:$Q$66,5,0),0)</f>
        <v>144</v>
      </c>
      <c r="J3270" s="5">
        <f t="shared" si="219"/>
        <v>2021</v>
      </c>
    </row>
    <row r="3271" spans="1:11" s="9" customFormat="1" hidden="1" x14ac:dyDescent="0.25">
      <c r="A3271" s="52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70">
        <v>256685</v>
      </c>
      <c r="F3271" s="33" t="str">
        <f>IFERROR(VLOOKUP(E3271,BD!$L$2:$Q$66,2,0),0)</f>
        <v>SL S/G TAPA PLANA 1LT</v>
      </c>
      <c r="G3271" s="512">
        <v>1008</v>
      </c>
      <c r="H3271" s="33">
        <f>+IFERROR(VLOOKUP(E3271,BD!$L$2:$Q$66,6,0),0)</f>
        <v>112</v>
      </c>
      <c r="I3271" s="499">
        <f>IFERROR(G3271*VLOOKUP($E3271,BD!$L$2:$Q$66,5,0),0)</f>
        <v>403.20000000000005</v>
      </c>
      <c r="J3271" s="386">
        <f t="shared" si="219"/>
        <v>2021</v>
      </c>
    </row>
    <row r="3272" spans="1:11" s="9" customFormat="1" hidden="1" x14ac:dyDescent="0.25">
      <c r="A3272" s="532">
        <v>44533</v>
      </c>
      <c r="B3272" s="502" t="str">
        <f t="shared" si="216"/>
        <v>DICIEMBRE</v>
      </c>
      <c r="C3272" s="502">
        <f t="shared" si="217"/>
        <v>49</v>
      </c>
      <c r="D3272" s="533" t="str">
        <f t="shared" si="218"/>
        <v>VIERNES</v>
      </c>
      <c r="E3272" s="534">
        <v>256674</v>
      </c>
      <c r="F3272" s="533" t="str">
        <f>IFERROR(VLOOKUP(E3272,BD!$L$2:$Q$66,2,0),0)</f>
        <v>COCA-COLA PET 1.5LX2 RF</v>
      </c>
      <c r="G3272" s="535">
        <v>2160</v>
      </c>
      <c r="H3272" s="533">
        <f>+IFERROR(VLOOKUP(E3272,BD!$L$2:$Q$66,6,0),0)</f>
        <v>198</v>
      </c>
      <c r="I3272" s="536">
        <f>IFERROR(G3272*VLOOKUP($E3272,BD!$L$2:$Q$66,5,0),0)</f>
        <v>367.20000000000005</v>
      </c>
      <c r="J3272" s="537">
        <f t="shared" si="219"/>
        <v>2021</v>
      </c>
      <c r="K3272" s="651" t="s">
        <v>243</v>
      </c>
    </row>
    <row r="3273" spans="1:11" s="9" customFormat="1" hidden="1" x14ac:dyDescent="0.25">
      <c r="A3273" s="538">
        <v>44533</v>
      </c>
      <c r="B3273" s="370" t="str">
        <f t="shared" si="216"/>
        <v>DICIEMBRE</v>
      </c>
      <c r="C3273" s="370">
        <f t="shared" si="217"/>
        <v>49</v>
      </c>
      <c r="D3273" s="94" t="str">
        <f t="shared" si="218"/>
        <v>VIERNES</v>
      </c>
      <c r="E3273" s="378">
        <v>256675</v>
      </c>
      <c r="F3273" s="94" t="str">
        <f>IFERROR(VLOOKUP(E3273,BD!$L$2:$Q$66,2,0),0)</f>
        <v>INCA KOLA PET 1.5LX2 RF</v>
      </c>
      <c r="G3273" s="503">
        <v>2160</v>
      </c>
      <c r="H3273" s="94">
        <f>+IFERROR(VLOOKUP(E3273,BD!$L$2:$Q$66,6,0),0)</f>
        <v>198</v>
      </c>
      <c r="I3273" s="531">
        <f>IFERROR(G3273*VLOOKUP($E3273,BD!$L$2:$Q$66,5,0),0)</f>
        <v>367.20000000000005</v>
      </c>
      <c r="J3273" s="539">
        <f t="shared" si="219"/>
        <v>2021</v>
      </c>
      <c r="K3273" s="652"/>
    </row>
    <row r="3274" spans="1:11" s="9" customFormat="1" hidden="1" x14ac:dyDescent="0.25">
      <c r="A3274" s="538">
        <v>44533</v>
      </c>
      <c r="B3274" s="370" t="str">
        <f t="shared" si="216"/>
        <v>DICIEMBRE</v>
      </c>
      <c r="C3274" s="370">
        <f t="shared" si="217"/>
        <v>49</v>
      </c>
      <c r="D3274" s="94" t="str">
        <f t="shared" si="218"/>
        <v>VIERNES</v>
      </c>
      <c r="E3274" s="378">
        <v>256616</v>
      </c>
      <c r="F3274" s="94" t="str">
        <f>IFERROR(VLOOKUP(E3274,BD!$L$2:$Q$66,2,0),0)</f>
        <v>TWO PACK SCHWEPPES CITRUS PET 1.5LX2</v>
      </c>
      <c r="G3274" s="503">
        <v>1980</v>
      </c>
      <c r="H3274" s="94">
        <f>+IFERROR(VLOOKUP(E3274,BD!$L$2:$Q$66,6,0),0)</f>
        <v>198</v>
      </c>
      <c r="I3274" s="531">
        <f>IFERROR(G3274*VLOOKUP($E3274,BD!$L$2:$Q$66,5,0),0)</f>
        <v>336.6</v>
      </c>
      <c r="J3274" s="539">
        <f t="shared" si="219"/>
        <v>2021</v>
      </c>
      <c r="K3274" s="652"/>
    </row>
    <row r="3275" spans="1:11" s="9" customFormat="1" hidden="1" x14ac:dyDescent="0.25">
      <c r="A3275" s="538">
        <v>44533</v>
      </c>
      <c r="B3275" s="370" t="str">
        <f t="shared" si="216"/>
        <v>DICIEMBRE</v>
      </c>
      <c r="C3275" s="370">
        <f t="shared" si="217"/>
        <v>49</v>
      </c>
      <c r="D3275" s="94" t="str">
        <f t="shared" si="218"/>
        <v>VIERNES</v>
      </c>
      <c r="E3275" s="378">
        <v>256488</v>
      </c>
      <c r="F3275" s="94" t="str">
        <f>IFERROR(VLOOKUP(E3275,BD!$L$2:$Q$66,2,0),0)</f>
        <v>INCA KOLA PET 3LX2 - RF</v>
      </c>
      <c r="G3275" s="503">
        <v>2880</v>
      </c>
      <c r="H3275" s="94">
        <f>+IFERROR(VLOOKUP(E3275,BD!$L$2:$Q$66,6,0),0)</f>
        <v>120</v>
      </c>
      <c r="I3275" s="531">
        <f>IFERROR(G3275*VLOOKUP($E3275,BD!$L$2:$Q$66,5,0),0)</f>
        <v>489.6</v>
      </c>
      <c r="J3275" s="539">
        <f t="shared" si="219"/>
        <v>2021</v>
      </c>
      <c r="K3275" s="652"/>
    </row>
    <row r="3276" spans="1:11" s="9" customFormat="1" ht="15.75" hidden="1" thickBot="1" x14ac:dyDescent="0.3">
      <c r="A3276" s="538">
        <v>44533</v>
      </c>
      <c r="B3276" s="370" t="str">
        <f t="shared" si="216"/>
        <v>DICIEMBRE</v>
      </c>
      <c r="C3276" s="370">
        <f t="shared" si="217"/>
        <v>49</v>
      </c>
      <c r="D3276" s="94" t="str">
        <f t="shared" si="218"/>
        <v>VIERNES</v>
      </c>
      <c r="E3276" s="378">
        <v>256677</v>
      </c>
      <c r="F3276" s="94" t="str">
        <f>IFERROR(VLOOKUP(E3276,BD!$L$2:$Q$66,2,0),0)</f>
        <v>TWO PACK CC + IK PFM 3LX2 - RFNN</v>
      </c>
      <c r="G3276" s="503">
        <v>4320</v>
      </c>
      <c r="H3276" s="94">
        <f>+IFERROR(VLOOKUP(E3276,BD!$L$2:$Q$66,6,0),0)</f>
        <v>120</v>
      </c>
      <c r="I3276" s="531">
        <f>IFERROR(G3276*VLOOKUP($E3276,BD!$L$2:$Q$66,5,0),0)</f>
        <v>734.40000000000009</v>
      </c>
      <c r="J3276" s="539">
        <f t="shared" si="219"/>
        <v>2021</v>
      </c>
      <c r="K3276" s="653"/>
    </row>
    <row r="3277" spans="1:11" s="9" customFormat="1" ht="15.75" hidden="1" thickBot="1" x14ac:dyDescent="0.3">
      <c r="A3277" s="540">
        <v>44533</v>
      </c>
      <c r="B3277" s="505" t="str">
        <f t="shared" si="216"/>
        <v>DICIEMBRE</v>
      </c>
      <c r="C3277" s="505">
        <f t="shared" si="217"/>
        <v>49</v>
      </c>
      <c r="D3277" s="541" t="str">
        <f t="shared" si="218"/>
        <v>VIERNES</v>
      </c>
      <c r="E3277" s="506">
        <v>256652</v>
      </c>
      <c r="F3277" s="541" t="str">
        <f>IFERROR(VLOOKUP(E3277,BD!$L$2:$Q$66,2,0),0)</f>
        <v>TRIPACK FT NAR+FT KI+SP PET 3L</v>
      </c>
      <c r="G3277" s="518">
        <v>720</v>
      </c>
      <c r="H3277" s="541">
        <f>+IFERROR(VLOOKUP(E3277,BD!$L$2:$Q$66,6,0),0)</f>
        <v>90</v>
      </c>
      <c r="I3277" s="542">
        <f>IFERROR(G3277*VLOOKUP($E3277,BD!$L$2:$Q$66,5,0),0)</f>
        <v>122.4</v>
      </c>
      <c r="J3277" s="543">
        <f t="shared" si="219"/>
        <v>2021</v>
      </c>
    </row>
    <row r="3278" spans="1:11" s="9" customFormat="1" hidden="1" x14ac:dyDescent="0.25">
      <c r="A3278" s="573">
        <v>44534</v>
      </c>
      <c r="B3278" s="574" t="str">
        <f t="shared" si="216"/>
        <v>DICIEMBRE</v>
      </c>
      <c r="C3278" s="574">
        <f t="shared" si="217"/>
        <v>50</v>
      </c>
      <c r="D3278" s="112" t="str">
        <f t="shared" si="218"/>
        <v>SÁBADO</v>
      </c>
      <c r="E3278" s="575">
        <v>256383</v>
      </c>
      <c r="F3278" s="112" t="str">
        <f>IFERROR(VLOOKUP(E3278,BD!$L$2:$Q$66,2,0),0)</f>
        <v>COCA COLA VR 1.5LX8 - STICKER</v>
      </c>
      <c r="G3278" s="576">
        <v>90</v>
      </c>
      <c r="H3278" s="112">
        <f>+IFERROR(VLOOKUP(E3278,BD!$L$2:$Q$66,6,0),0)</f>
        <v>30</v>
      </c>
      <c r="I3278" s="577">
        <f>IFERROR(G3278*VLOOKUP($E3278,BD!$L$2:$Q$66,5,0),0)</f>
        <v>20.7</v>
      </c>
      <c r="J3278" s="578">
        <f t="shared" si="219"/>
        <v>2021</v>
      </c>
    </row>
    <row r="3279" spans="1:11" s="9" customFormat="1" hidden="1" x14ac:dyDescent="0.25">
      <c r="A3279" s="579">
        <v>44534</v>
      </c>
      <c r="B3279" s="229" t="str">
        <f t="shared" si="216"/>
        <v>DICIEMBRE</v>
      </c>
      <c r="C3279" s="229">
        <f t="shared" si="217"/>
        <v>50</v>
      </c>
      <c r="D3279" s="19" t="str">
        <f t="shared" si="218"/>
        <v>SÁBADO</v>
      </c>
      <c r="E3279" s="366">
        <v>251429</v>
      </c>
      <c r="F3279" s="19" t="str">
        <f>IFERROR(VLOOKUP(E3279,BD!$L$2:$Q$66,2,0),0)</f>
        <v>SAN LUIS SIN GAS PET2500X6 STICKER</v>
      </c>
      <c r="G3279" s="571">
        <v>1440</v>
      </c>
      <c r="H3279" s="19">
        <f>+IFERROR(VLOOKUP(E3279,BD!$L$2:$Q$66,6,0),0)</f>
        <v>48</v>
      </c>
      <c r="I3279" s="572">
        <f>IFERROR(G3279*VLOOKUP($E3279,BD!$L$2:$Q$66,5,0),0)</f>
        <v>576</v>
      </c>
      <c r="J3279" s="580">
        <f t="shared" si="219"/>
        <v>2021</v>
      </c>
    </row>
    <row r="3280" spans="1:11" s="9" customFormat="1" hidden="1" x14ac:dyDescent="0.25">
      <c r="A3280" s="579">
        <v>44534</v>
      </c>
      <c r="B3280" s="229" t="str">
        <f t="shared" si="216"/>
        <v>DICIEMBRE</v>
      </c>
      <c r="C3280" s="229">
        <f t="shared" si="217"/>
        <v>50</v>
      </c>
      <c r="D3280" s="19" t="str">
        <f t="shared" si="218"/>
        <v>SÁBADO</v>
      </c>
      <c r="E3280" s="366">
        <v>251633</v>
      </c>
      <c r="F3280" s="19" t="str">
        <f>IFERROR(VLOOKUP(E3280,BD!$L$2:$Q$66,2,0),0)</f>
        <v>SAN LUIS CON GAS PET 625MLX6</v>
      </c>
      <c r="G3280" s="571">
        <v>1080</v>
      </c>
      <c r="H3280" s="19">
        <f>+IFERROR(VLOOKUP(E3280,BD!$L$2:$Q$66,6,0),0)</f>
        <v>180</v>
      </c>
      <c r="I3280" s="572">
        <f>IFERROR(G3280*VLOOKUP($E3280,BD!$L$2:$Q$66,5,0),0)</f>
        <v>453.59999999999997</v>
      </c>
      <c r="J3280" s="580">
        <f t="shared" si="219"/>
        <v>2021</v>
      </c>
    </row>
    <row r="3281" spans="1:11" s="9" customFormat="1" hidden="1" x14ac:dyDescent="0.25">
      <c r="A3281" s="579">
        <v>44534</v>
      </c>
      <c r="B3281" s="229" t="str">
        <f t="shared" si="216"/>
        <v>DICIEMBRE</v>
      </c>
      <c r="C3281" s="229">
        <f t="shared" si="217"/>
        <v>50</v>
      </c>
      <c r="D3281" s="19" t="str">
        <f t="shared" si="218"/>
        <v>SÁBADO</v>
      </c>
      <c r="E3281" s="366">
        <v>256548</v>
      </c>
      <c r="F3281" s="19" t="str">
        <f>IFERROR(VLOOKUP(E3281,BD!$L$2:$Q$66,2,0),0)</f>
        <v>TWO PACK CC PET 1.5LX2 - CRC</v>
      </c>
      <c r="G3281" s="571">
        <v>216</v>
      </c>
      <c r="H3281" s="19">
        <f>+IFERROR(VLOOKUP(E3281,BD!$L$2:$Q$66,6,0),0)</f>
        <v>198</v>
      </c>
      <c r="I3281" s="572">
        <f>IFERROR(G3281*VLOOKUP($E3281,BD!$L$2:$Q$66,5,0),0)</f>
        <v>36.720000000000006</v>
      </c>
      <c r="J3281" s="580">
        <f t="shared" si="219"/>
        <v>2021</v>
      </c>
    </row>
    <row r="3282" spans="1:11" s="9" customFormat="1" hidden="1" x14ac:dyDescent="0.25">
      <c r="A3282" s="579">
        <v>44534</v>
      </c>
      <c r="B3282" s="229" t="str">
        <f t="shared" si="216"/>
        <v>DICIEMBRE</v>
      </c>
      <c r="C3282" s="229">
        <f t="shared" si="217"/>
        <v>50</v>
      </c>
      <c r="D3282" s="19" t="str">
        <f t="shared" si="218"/>
        <v>SÁBADO</v>
      </c>
      <c r="E3282" s="366">
        <v>256549</v>
      </c>
      <c r="F3282" s="19" t="str">
        <f>IFERROR(VLOOKUP(E3282,BD!$L$2:$Q$66,2,0),0)</f>
        <v>TWO PACK IK PET 1.5LX2 - CRCG</v>
      </c>
      <c r="G3282" s="571">
        <v>216</v>
      </c>
      <c r="H3282" s="19">
        <f>+IFERROR(VLOOKUP(E3282,BD!$L$2:$Q$66,6,0),0)</f>
        <v>198</v>
      </c>
      <c r="I3282" s="572">
        <f>IFERROR(G3282*VLOOKUP($E3282,BD!$L$2:$Q$66,5,0),0)</f>
        <v>36.720000000000006</v>
      </c>
      <c r="J3282" s="580">
        <f t="shared" si="219"/>
        <v>2021</v>
      </c>
    </row>
    <row r="3283" spans="1:11" s="9" customFormat="1" hidden="1" x14ac:dyDescent="0.25">
      <c r="A3283" s="579">
        <v>44534</v>
      </c>
      <c r="B3283" s="229" t="str">
        <f t="shared" si="216"/>
        <v>DICIEMBRE</v>
      </c>
      <c r="C3283" s="229">
        <f t="shared" si="217"/>
        <v>50</v>
      </c>
      <c r="D3283" s="19" t="str">
        <f t="shared" si="218"/>
        <v>SÁBADO</v>
      </c>
      <c r="E3283" s="366">
        <v>256488</v>
      </c>
      <c r="F3283" s="19" t="str">
        <f>IFERROR(VLOOKUP(E3283,BD!$L$2:$Q$66,2,0),0)</f>
        <v>INCA KOLA PET 3LX2 - RF</v>
      </c>
      <c r="G3283" s="571">
        <v>3360</v>
      </c>
      <c r="H3283" s="19">
        <f>+IFERROR(VLOOKUP(E3283,BD!$L$2:$Q$66,6,0),0)</f>
        <v>120</v>
      </c>
      <c r="I3283" s="572">
        <f>IFERROR(G3283*VLOOKUP($E3283,BD!$L$2:$Q$66,5,0),0)</f>
        <v>571.20000000000005</v>
      </c>
      <c r="J3283" s="580">
        <f t="shared" si="219"/>
        <v>2021</v>
      </c>
    </row>
    <row r="3284" spans="1:11" s="9" customFormat="1" hidden="1" x14ac:dyDescent="0.25">
      <c r="A3284" s="579">
        <v>44534</v>
      </c>
      <c r="B3284" s="229" t="str">
        <f t="shared" si="216"/>
        <v>DICIEMBRE</v>
      </c>
      <c r="C3284" s="229">
        <f t="shared" si="217"/>
        <v>50</v>
      </c>
      <c r="D3284" s="19" t="str">
        <f t="shared" si="218"/>
        <v>SÁBADO</v>
      </c>
      <c r="E3284" s="366">
        <v>256677</v>
      </c>
      <c r="F3284" s="19" t="str">
        <f>IFERROR(VLOOKUP(E3284,BD!$L$2:$Q$66,2,0),0)</f>
        <v>TWO PACK CC + IK PFM 3LX2 - RFNN</v>
      </c>
      <c r="G3284" s="571">
        <v>6480</v>
      </c>
      <c r="H3284" s="19">
        <f>+IFERROR(VLOOKUP(E3284,BD!$L$2:$Q$66,6,0),0)</f>
        <v>120</v>
      </c>
      <c r="I3284" s="572">
        <f>IFERROR(G3284*VLOOKUP($E3284,BD!$L$2:$Q$66,5,0),0)</f>
        <v>1101.6000000000001</v>
      </c>
      <c r="J3284" s="580">
        <f t="shared" si="219"/>
        <v>2021</v>
      </c>
    </row>
    <row r="3285" spans="1:11" s="9" customFormat="1" hidden="1" x14ac:dyDescent="0.25">
      <c r="A3285" s="579">
        <v>44534</v>
      </c>
      <c r="B3285" s="229" t="str">
        <f t="shared" si="216"/>
        <v>DICIEMBRE</v>
      </c>
      <c r="C3285" s="229">
        <f t="shared" si="217"/>
        <v>50</v>
      </c>
      <c r="D3285" s="19" t="str">
        <f t="shared" si="218"/>
        <v>SÁBADO</v>
      </c>
      <c r="E3285" s="366">
        <v>256695</v>
      </c>
      <c r="F3285" s="19" t="str">
        <f>IFERROR(VLOOKUP(E3285,BD!$L$2:$Q$66,2,0),0)</f>
        <v>POWERADE 3MORA+3FRUT PET 473MLX6</v>
      </c>
      <c r="G3285" s="571">
        <v>1800</v>
      </c>
      <c r="H3285" s="19">
        <f>+IFERROR(VLOOKUP(E3285,BD!$L$2:$Q$66,6,0),0)</f>
        <v>225</v>
      </c>
      <c r="I3285" s="572">
        <f>IFERROR(G3285*VLOOKUP($E3285,BD!$L$2:$Q$66,5,0),0)</f>
        <v>756</v>
      </c>
      <c r="J3285" s="580">
        <f t="shared" si="219"/>
        <v>2021</v>
      </c>
    </row>
    <row r="3286" spans="1:11" s="9" customFormat="1" hidden="1" x14ac:dyDescent="0.25">
      <c r="A3286" s="579">
        <v>44534</v>
      </c>
      <c r="B3286" s="229" t="str">
        <f t="shared" si="216"/>
        <v>DICIEMBRE</v>
      </c>
      <c r="C3286" s="229">
        <f t="shared" si="217"/>
        <v>50</v>
      </c>
      <c r="D3286" s="19" t="str">
        <f t="shared" si="218"/>
        <v>SÁBADO</v>
      </c>
      <c r="E3286" s="366">
        <v>251632</v>
      </c>
      <c r="F3286" s="19" t="str">
        <f>IFERROR(VLOOKUP(E3286,BD!$L$2:$Q$66,2,0),0)</f>
        <v>SAN LUIS SIN GAS PET 625MLX06 MOD</v>
      </c>
      <c r="G3286" s="571">
        <v>540</v>
      </c>
      <c r="H3286" s="19">
        <f>+IFERROR(VLOOKUP(E3286,BD!$L$2:$Q$66,6,0),0)</f>
        <v>180</v>
      </c>
      <c r="I3286" s="572">
        <f>IFERROR(G3286*VLOOKUP($E3286,BD!$L$2:$Q$66,5,0),0)</f>
        <v>226.79999999999998</v>
      </c>
      <c r="J3286" s="580">
        <f t="shared" si="219"/>
        <v>2021</v>
      </c>
    </row>
    <row r="3287" spans="1:11" s="9" customFormat="1" hidden="1" x14ac:dyDescent="0.25">
      <c r="A3287" s="579">
        <v>44534</v>
      </c>
      <c r="B3287" s="229" t="str">
        <f t="shared" si="216"/>
        <v>DICIEMBRE</v>
      </c>
      <c r="C3287" s="229">
        <f t="shared" si="217"/>
        <v>50</v>
      </c>
      <c r="D3287" s="19" t="str">
        <f t="shared" si="218"/>
        <v>SÁBADO</v>
      </c>
      <c r="E3287" s="366">
        <v>256677</v>
      </c>
      <c r="F3287" s="19" t="str">
        <f>IFERROR(VLOOKUP(E3287,BD!$L$2:$Q$66,2,0),0)</f>
        <v>TWO PACK CC + IK PFM 3LX2 - RFNN</v>
      </c>
      <c r="G3287" s="571">
        <v>1440</v>
      </c>
      <c r="H3287" s="19">
        <f>+IFERROR(VLOOKUP(E3287,BD!$L$2:$Q$66,6,0),0)</f>
        <v>120</v>
      </c>
      <c r="I3287" s="572">
        <f>IFERROR(G3287*VLOOKUP($E3287,BD!$L$2:$Q$66,5,0),0)</f>
        <v>244.8</v>
      </c>
      <c r="J3287" s="580">
        <f t="shared" si="219"/>
        <v>2021</v>
      </c>
    </row>
    <row r="3288" spans="1:11" s="9" customFormat="1" hidden="1" x14ac:dyDescent="0.25">
      <c r="A3288" s="581">
        <v>44534</v>
      </c>
      <c r="B3288" s="582" t="str">
        <f t="shared" si="216"/>
        <v>DICIEMBRE</v>
      </c>
      <c r="C3288" s="582">
        <f t="shared" si="217"/>
        <v>50</v>
      </c>
      <c r="D3288" s="583" t="str">
        <f t="shared" si="218"/>
        <v>SÁBADO</v>
      </c>
      <c r="E3288" s="367">
        <v>256676</v>
      </c>
      <c r="F3288" s="583" t="str">
        <f>IFERROR(VLOOKUP(E3288,BD!$L$2:$Q$66,2,0),0)</f>
        <v>TWO PACK CC PFM 3LX2 - RFCC</v>
      </c>
      <c r="G3288" s="584">
        <v>480</v>
      </c>
      <c r="H3288" s="583">
        <f>+IFERROR(VLOOKUP(E3288,BD!$L$2:$Q$66,6,0),0)</f>
        <v>120</v>
      </c>
      <c r="I3288" s="585">
        <f>IFERROR(G3288*VLOOKUP($E3288,BD!$L$2:$Q$66,5,0),0)</f>
        <v>81.600000000000009</v>
      </c>
      <c r="J3288" s="586">
        <f t="shared" si="219"/>
        <v>2021</v>
      </c>
    </row>
    <row r="3289" spans="1:11" s="9" customFormat="1" hidden="1" x14ac:dyDescent="0.25">
      <c r="A3289" s="532">
        <v>44534</v>
      </c>
      <c r="B3289" s="502" t="str">
        <f t="shared" si="216"/>
        <v>DICIEMBRE</v>
      </c>
      <c r="C3289" s="502">
        <f t="shared" si="217"/>
        <v>50</v>
      </c>
      <c r="D3289" s="533" t="str">
        <f t="shared" si="218"/>
        <v>SÁBADO</v>
      </c>
      <c r="E3289" s="534">
        <v>251406</v>
      </c>
      <c r="F3289" s="533" t="str">
        <f>IFERROR(VLOOKUP(E3289,BD!$L$2:$Q$66,2,0),0)</f>
        <v>COCA-COLA SIN AZUCAR PET 1.5LX2</v>
      </c>
      <c r="G3289" s="535">
        <v>5400</v>
      </c>
      <c r="H3289" s="533">
        <f>+IFERROR(VLOOKUP(E3289,BD!$L$2:$Q$66,6,0),0)</f>
        <v>198</v>
      </c>
      <c r="I3289" s="536">
        <f>IFERROR(G3289*VLOOKUP($E3289,BD!$L$2:$Q$66,5,0),0)</f>
        <v>918.00000000000011</v>
      </c>
      <c r="J3289" s="537">
        <f t="shared" si="219"/>
        <v>2021</v>
      </c>
      <c r="K3289" s="654" t="s">
        <v>243</v>
      </c>
    </row>
    <row r="3290" spans="1:11" s="9" customFormat="1" ht="15.75" hidden="1" thickBot="1" x14ac:dyDescent="0.3">
      <c r="A3290" s="540">
        <v>44534</v>
      </c>
      <c r="B3290" s="505" t="str">
        <f t="shared" si="216"/>
        <v>DICIEMBRE</v>
      </c>
      <c r="C3290" s="505">
        <f t="shared" si="217"/>
        <v>50</v>
      </c>
      <c r="D3290" s="541" t="str">
        <f t="shared" si="218"/>
        <v>SÁBADO</v>
      </c>
      <c r="E3290" s="506">
        <v>256674</v>
      </c>
      <c r="F3290" s="541" t="str">
        <f>IFERROR(VLOOKUP(E3290,BD!$L$2:$Q$66,2,0),0)</f>
        <v>COCA-COLA PET 1.5LX2 RF</v>
      </c>
      <c r="G3290" s="518">
        <v>4320</v>
      </c>
      <c r="H3290" s="541">
        <f>+IFERROR(VLOOKUP(E3290,BD!$L$2:$Q$66,6,0),0)</f>
        <v>198</v>
      </c>
      <c r="I3290" s="542">
        <f>IFERROR(G3290*VLOOKUP($E3290,BD!$L$2:$Q$66,5,0),0)</f>
        <v>734.40000000000009</v>
      </c>
      <c r="J3290" s="543">
        <f t="shared" si="219"/>
        <v>2021</v>
      </c>
      <c r="K3290" s="655"/>
    </row>
    <row r="3291" spans="1:11" s="9" customFormat="1" hidden="1" x14ac:dyDescent="0.25">
      <c r="A3291" s="493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63">
        <v>254762</v>
      </c>
      <c r="F3291" s="6" t="str">
        <f>IFERROR(VLOOKUP(E3291,BD!$L$2:$Q$66,2,0),0)</f>
        <v xml:space="preserve">SAN LUIS SPORT S/G 10 Lt x6 </v>
      </c>
      <c r="G3291" s="513">
        <v>560</v>
      </c>
      <c r="H3291" s="6">
        <f>+IFERROR(VLOOKUP(E3291,BD!$L$2:$Q$66,6,0),0)</f>
        <v>240</v>
      </c>
      <c r="I3291" s="97">
        <f>IFERROR(G3291*VLOOKUP($E3291,BD!$L$2:$Q$66,5,0),0)</f>
        <v>224</v>
      </c>
      <c r="J3291" s="109">
        <f t="shared" si="219"/>
        <v>2021</v>
      </c>
    </row>
    <row r="3292" spans="1:11" s="9" customFormat="1" hidden="1" x14ac:dyDescent="0.25">
      <c r="A3292" s="491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7">
        <v>256685</v>
      </c>
      <c r="F3292" s="3" t="str">
        <f>IFERROR(VLOOKUP(E3292,BD!$L$2:$Q$66,2,0),0)</f>
        <v>SL S/G TAPA PLANA 1LT</v>
      </c>
      <c r="G3292" s="424">
        <v>224</v>
      </c>
      <c r="H3292" s="3">
        <f>+IFERROR(VLOOKUP(E3292,BD!$L$2:$Q$66,6,0),0)</f>
        <v>112</v>
      </c>
      <c r="I3292" s="96">
        <f>IFERROR(G3292*VLOOKUP($E3292,BD!$L$2:$Q$66,5,0),0)</f>
        <v>89.600000000000009</v>
      </c>
      <c r="J3292" s="5">
        <f t="shared" si="219"/>
        <v>2021</v>
      </c>
    </row>
    <row r="3293" spans="1:11" s="9" customFormat="1" hidden="1" x14ac:dyDescent="0.25">
      <c r="A3293" s="491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7">
        <v>251429</v>
      </c>
      <c r="F3293" s="3" t="str">
        <f>IFERROR(VLOOKUP(E3293,BD!$L$2:$Q$66,2,0),0)</f>
        <v>SAN LUIS SIN GAS PET2500X6 STICKER</v>
      </c>
      <c r="G3293" s="424">
        <v>1440</v>
      </c>
      <c r="H3293" s="3">
        <f>+IFERROR(VLOOKUP(E3293,BD!$L$2:$Q$66,6,0),0)</f>
        <v>48</v>
      </c>
      <c r="I3293" s="96">
        <f>IFERROR(G3293*VLOOKUP($E3293,BD!$L$2:$Q$66,5,0),0)</f>
        <v>576</v>
      </c>
      <c r="J3293" s="5">
        <f t="shared" si="219"/>
        <v>2021</v>
      </c>
    </row>
    <row r="3294" spans="1:11" s="9" customFormat="1" hidden="1" x14ac:dyDescent="0.25">
      <c r="A3294" s="491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7">
        <v>251406</v>
      </c>
      <c r="F3294" s="3" t="str">
        <f>IFERROR(VLOOKUP(E3294,BD!$L$2:$Q$66,2,0),0)</f>
        <v>COCA-COLA SIN AZUCAR PET 1.5LX2</v>
      </c>
      <c r="G3294" s="424">
        <v>2160</v>
      </c>
      <c r="H3294" s="3">
        <f>+IFERROR(VLOOKUP(E3294,BD!$L$2:$Q$66,6,0),0)</f>
        <v>198</v>
      </c>
      <c r="I3294" s="96">
        <f>IFERROR(G3294*VLOOKUP($E3294,BD!$L$2:$Q$66,5,0),0)</f>
        <v>367.20000000000005</v>
      </c>
      <c r="J3294" s="5">
        <f t="shared" si="219"/>
        <v>2021</v>
      </c>
    </row>
    <row r="3295" spans="1:11" s="9" customFormat="1" hidden="1" x14ac:dyDescent="0.25">
      <c r="A3295" s="491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7">
        <v>254853</v>
      </c>
      <c r="F3295" s="3" t="str">
        <f>IFERROR(VLOOKUP(E3295,BD!$L$2:$Q$66,2,0),0)</f>
        <v>INCA KOLA SIN AZUCAR PET 1.5LX2</v>
      </c>
      <c r="G3295" s="424">
        <v>1080</v>
      </c>
      <c r="H3295" s="3">
        <f>+IFERROR(VLOOKUP(E3295,BD!$L$2:$Q$66,6,0),0)</f>
        <v>198</v>
      </c>
      <c r="I3295" s="96">
        <f>IFERROR(G3295*VLOOKUP($E3295,BD!$L$2:$Q$66,5,0),0)</f>
        <v>183.60000000000002</v>
      </c>
      <c r="J3295" s="5">
        <f t="shared" si="219"/>
        <v>2021</v>
      </c>
    </row>
    <row r="3296" spans="1:11" s="9" customFormat="1" hidden="1" x14ac:dyDescent="0.25">
      <c r="A3296" s="491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7">
        <v>256488</v>
      </c>
      <c r="F3296" s="3" t="str">
        <f>IFERROR(VLOOKUP(E3296,BD!$L$2:$Q$66,2,0),0)</f>
        <v>INCA KOLA PET 3LX2 - RF</v>
      </c>
      <c r="G3296" s="424">
        <v>2400</v>
      </c>
      <c r="H3296" s="3">
        <f>+IFERROR(VLOOKUP(E3296,BD!$L$2:$Q$66,6,0),0)</f>
        <v>120</v>
      </c>
      <c r="I3296" s="96">
        <f>IFERROR(G3296*VLOOKUP($E3296,BD!$L$2:$Q$66,5,0),0)</f>
        <v>408.00000000000006</v>
      </c>
      <c r="J3296" s="5">
        <f t="shared" si="219"/>
        <v>2021</v>
      </c>
    </row>
    <row r="3297" spans="1:11" s="9" customFormat="1" hidden="1" x14ac:dyDescent="0.25">
      <c r="A3297" s="491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7">
        <v>256676</v>
      </c>
      <c r="F3297" s="3" t="str">
        <f>IFERROR(VLOOKUP(E3297,BD!$L$2:$Q$66,2,0),0)</f>
        <v>TWO PACK CC PFM 3LX2 - RFCC</v>
      </c>
      <c r="G3297" s="424">
        <v>1800</v>
      </c>
      <c r="H3297" s="3">
        <f>+IFERROR(VLOOKUP(E3297,BD!$L$2:$Q$66,6,0),0)</f>
        <v>120</v>
      </c>
      <c r="I3297" s="96">
        <f>IFERROR(G3297*VLOOKUP($E3297,BD!$L$2:$Q$66,5,0),0)</f>
        <v>306</v>
      </c>
      <c r="J3297" s="5">
        <f t="shared" si="219"/>
        <v>2021</v>
      </c>
    </row>
    <row r="3298" spans="1:11" s="9" customFormat="1" hidden="1" x14ac:dyDescent="0.25">
      <c r="A3298" s="491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7">
        <v>256674</v>
      </c>
      <c r="F3298" s="3" t="str">
        <f>IFERROR(VLOOKUP(E3298,BD!$L$2:$Q$66,2,0),0)</f>
        <v>COCA-COLA PET 1.5LX2 RF</v>
      </c>
      <c r="G3298" s="424">
        <v>2160</v>
      </c>
      <c r="H3298" s="3">
        <f>+IFERROR(VLOOKUP(E3298,BD!$L$2:$Q$66,6,0),0)</f>
        <v>198</v>
      </c>
      <c r="I3298" s="96">
        <f>IFERROR(G3298*VLOOKUP($E3298,BD!$L$2:$Q$66,5,0),0)</f>
        <v>367.20000000000005</v>
      </c>
      <c r="J3298" s="5">
        <f t="shared" si="219"/>
        <v>2021</v>
      </c>
    </row>
    <row r="3299" spans="1:11" s="9" customFormat="1" hidden="1" x14ac:dyDescent="0.25">
      <c r="A3299" s="491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7">
        <v>256652</v>
      </c>
      <c r="F3299" s="3" t="str">
        <f>IFERROR(VLOOKUP(E3299,BD!$L$2:$Q$66,2,0),0)</f>
        <v>TRIPACK FT NAR+FT KI+SP PET 3L</v>
      </c>
      <c r="G3299" s="424">
        <v>720</v>
      </c>
      <c r="H3299" s="3">
        <f>+IFERROR(VLOOKUP(E3299,BD!$L$2:$Q$66,6,0),0)</f>
        <v>90</v>
      </c>
      <c r="I3299" s="96">
        <f>IFERROR(G3299*VLOOKUP($E3299,BD!$L$2:$Q$66,5,0),0)</f>
        <v>122.4</v>
      </c>
      <c r="J3299" s="5">
        <f t="shared" si="219"/>
        <v>2021</v>
      </c>
    </row>
    <row r="3300" spans="1:11" s="9" customFormat="1" hidden="1" x14ac:dyDescent="0.25">
      <c r="A3300" s="491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7">
        <v>256677</v>
      </c>
      <c r="F3300" s="3" t="str">
        <f>IFERROR(VLOOKUP(E3300,BD!$L$2:$Q$66,2,0),0)</f>
        <v>TWO PACK CC + IK PFM 3LX2 - RFNN</v>
      </c>
      <c r="G3300" s="424">
        <v>2400</v>
      </c>
      <c r="H3300" s="3">
        <f>+IFERROR(VLOOKUP(E3300,BD!$L$2:$Q$66,6,0),0)</f>
        <v>120</v>
      </c>
      <c r="I3300" s="96">
        <f>IFERROR(G3300*VLOOKUP($E3300,BD!$L$2:$Q$66,5,0),0)</f>
        <v>408.00000000000006</v>
      </c>
      <c r="J3300" s="5">
        <f t="shared" si="219"/>
        <v>2021</v>
      </c>
    </row>
    <row r="3301" spans="1:11" s="9" customFormat="1" hidden="1" x14ac:dyDescent="0.25">
      <c r="A3301" s="491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7">
        <v>256679</v>
      </c>
      <c r="F3301" s="3" t="str">
        <f>IFERROR(VLOOKUP(E3301,BD!$L$2:$Q$66,2,0),0)</f>
        <v>TRIPACK CC+IK+IK PFM 3LX3 - RFNN</v>
      </c>
      <c r="G3301" s="424">
        <v>720</v>
      </c>
      <c r="H3301" s="3">
        <f>+IFERROR(VLOOKUP(E3301,BD!$L$2:$Q$66,6,0),0)</f>
        <v>90</v>
      </c>
      <c r="I3301" s="96">
        <f>IFERROR(G3301*VLOOKUP($E3301,BD!$L$2:$Q$66,5,0),0)</f>
        <v>122.4</v>
      </c>
      <c r="J3301" s="5">
        <f t="shared" si="219"/>
        <v>2021</v>
      </c>
    </row>
    <row r="3302" spans="1:11" s="9" customFormat="1" hidden="1" x14ac:dyDescent="0.25">
      <c r="A3302" s="491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7">
        <v>256678</v>
      </c>
      <c r="F3302" s="3" t="str">
        <f>IFERROR(VLOOKUP(E3302,BD!$L$2:$Q$66,2,0),0)</f>
        <v>TRIPACK (CC+IK)PFM+FT PET 3LX3 - RFNN</v>
      </c>
      <c r="G3302" s="424">
        <v>2160</v>
      </c>
      <c r="H3302" s="3">
        <f>+IFERROR(VLOOKUP(E3302,BD!$L$2:$Q$66,6,0),0)</f>
        <v>90</v>
      </c>
      <c r="I3302" s="96">
        <f>IFERROR(G3302*VLOOKUP($E3302,BD!$L$2:$Q$66,5,0),0)</f>
        <v>367.20000000000005</v>
      </c>
      <c r="J3302" s="5">
        <f t="shared" si="219"/>
        <v>2021</v>
      </c>
    </row>
    <row r="3303" spans="1:11" s="9" customFormat="1" hidden="1" x14ac:dyDescent="0.25">
      <c r="A3303" s="491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7">
        <v>256685</v>
      </c>
      <c r="F3303" s="3" t="str">
        <f>IFERROR(VLOOKUP(E3303,BD!$L$2:$Q$66,2,0),0)</f>
        <v>SL S/G TAPA PLANA 1LT</v>
      </c>
      <c r="G3303" s="424">
        <v>336</v>
      </c>
      <c r="H3303" s="3">
        <f>+IFERROR(VLOOKUP(E3303,BD!$L$2:$Q$66,6,0),0)</f>
        <v>112</v>
      </c>
      <c r="I3303" s="96">
        <f>IFERROR(G3303*VLOOKUP($E3303,BD!$L$2:$Q$66,5,0),0)</f>
        <v>134.4</v>
      </c>
      <c r="J3303" s="5">
        <f t="shared" si="219"/>
        <v>2021</v>
      </c>
    </row>
    <row r="3304" spans="1:11" s="9" customFormat="1" hidden="1" x14ac:dyDescent="0.25">
      <c r="A3304" s="52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70">
        <v>256721</v>
      </c>
      <c r="F3304" s="33" t="str">
        <f>IFERROR(VLOOKUP(E3304,BD!$L$2:$Q$66,2,0),0)</f>
        <v>SPRITE PET 500MLX6 BRANDEADO MOD</v>
      </c>
      <c r="G3304" s="512">
        <v>750</v>
      </c>
      <c r="H3304" s="33">
        <f>+IFERROR(VLOOKUP(E3304,BD!$L$2:$Q$66,6,0),0)</f>
        <v>420</v>
      </c>
      <c r="I3304" s="499">
        <f>IFERROR(G3304*VLOOKUP($E3304,BD!$L$2:$Q$66,5,0),0)</f>
        <v>315</v>
      </c>
      <c r="J3304" s="386">
        <f t="shared" si="219"/>
        <v>2021</v>
      </c>
    </row>
    <row r="3305" spans="1:11" s="9" customFormat="1" hidden="1" x14ac:dyDescent="0.25">
      <c r="A3305" s="532">
        <v>44536</v>
      </c>
      <c r="B3305" s="502" t="str">
        <f t="shared" si="216"/>
        <v>DICIEMBRE</v>
      </c>
      <c r="C3305" s="502">
        <f t="shared" si="217"/>
        <v>50</v>
      </c>
      <c r="D3305" s="533" t="str">
        <f t="shared" si="218"/>
        <v>LUNES</v>
      </c>
      <c r="E3305" s="534">
        <v>256678</v>
      </c>
      <c r="F3305" s="533" t="str">
        <f>IFERROR(VLOOKUP(E3305,BD!$L$2:$Q$66,2,0),0)</f>
        <v>TRIPACK (CC+IK)PFM+FT PET 3LX3 - RFNN</v>
      </c>
      <c r="G3305" s="535">
        <v>1440</v>
      </c>
      <c r="H3305" s="533">
        <f>+IFERROR(VLOOKUP(E3305,BD!$L$2:$Q$66,6,0),0)</f>
        <v>90</v>
      </c>
      <c r="I3305" s="536">
        <f>IFERROR(G3305*VLOOKUP($E3305,BD!$L$2:$Q$66,5,0),0)</f>
        <v>244.8</v>
      </c>
      <c r="J3305" s="537">
        <f t="shared" si="219"/>
        <v>2021</v>
      </c>
      <c r="K3305" s="639" t="s">
        <v>243</v>
      </c>
    </row>
    <row r="3306" spans="1:11" s="9" customFormat="1" hidden="1" x14ac:dyDescent="0.25">
      <c r="A3306" s="538">
        <v>44536</v>
      </c>
      <c r="B3306" s="370" t="str">
        <f t="shared" si="216"/>
        <v>DICIEMBRE</v>
      </c>
      <c r="C3306" s="370">
        <f t="shared" si="217"/>
        <v>50</v>
      </c>
      <c r="D3306" s="94" t="str">
        <f t="shared" si="218"/>
        <v>LUNES</v>
      </c>
      <c r="E3306" s="378">
        <v>256677</v>
      </c>
      <c r="F3306" s="94" t="str">
        <f>IFERROR(VLOOKUP(E3306,BD!$L$2:$Q$66,2,0),0)</f>
        <v>TWO PACK CC + IK PFM 3LX2 - RFNN</v>
      </c>
      <c r="G3306" s="503">
        <v>6480</v>
      </c>
      <c r="H3306" s="94">
        <f>+IFERROR(VLOOKUP(E3306,BD!$L$2:$Q$66,6,0),0)</f>
        <v>120</v>
      </c>
      <c r="I3306" s="531">
        <f>IFERROR(G3306*VLOOKUP($E3306,BD!$L$2:$Q$66,5,0),0)</f>
        <v>1101.6000000000001</v>
      </c>
      <c r="J3306" s="539">
        <f t="shared" si="219"/>
        <v>2021</v>
      </c>
      <c r="K3306" s="640"/>
    </row>
    <row r="3307" spans="1:11" s="9" customFormat="1" hidden="1" x14ac:dyDescent="0.25">
      <c r="A3307" s="538">
        <v>44536</v>
      </c>
      <c r="B3307" s="370" t="str">
        <f t="shared" si="216"/>
        <v>DICIEMBRE</v>
      </c>
      <c r="C3307" s="370">
        <f t="shared" si="217"/>
        <v>50</v>
      </c>
      <c r="D3307" s="94" t="str">
        <f t="shared" si="218"/>
        <v>LUNES</v>
      </c>
      <c r="E3307" s="378">
        <v>256678</v>
      </c>
      <c r="F3307" s="94" t="str">
        <f>IFERROR(VLOOKUP(E3307,BD!$L$2:$Q$66,2,0),0)</f>
        <v>TRIPACK (CC+IK)PFM+FT PET 3LX3 - RFNN</v>
      </c>
      <c r="G3307" s="503">
        <v>2160</v>
      </c>
      <c r="H3307" s="94">
        <f>+IFERROR(VLOOKUP(E3307,BD!$L$2:$Q$66,6,0),0)</f>
        <v>90</v>
      </c>
      <c r="I3307" s="531">
        <f>IFERROR(G3307*VLOOKUP($E3307,BD!$L$2:$Q$66,5,0),0)</f>
        <v>367.20000000000005</v>
      </c>
      <c r="J3307" s="539">
        <f t="shared" si="219"/>
        <v>2021</v>
      </c>
      <c r="K3307" s="640"/>
    </row>
    <row r="3308" spans="1:11" s="9" customFormat="1" ht="15.75" hidden="1" thickBot="1" x14ac:dyDescent="0.3">
      <c r="A3308" s="540">
        <v>44536</v>
      </c>
      <c r="B3308" s="505" t="str">
        <f t="shared" si="216"/>
        <v>DICIEMBRE</v>
      </c>
      <c r="C3308" s="505">
        <f t="shared" si="217"/>
        <v>50</v>
      </c>
      <c r="D3308" s="541" t="str">
        <f t="shared" si="218"/>
        <v>LUNES</v>
      </c>
      <c r="E3308" s="506">
        <v>256679</v>
      </c>
      <c r="F3308" s="541" t="str">
        <f>IFERROR(VLOOKUP(E3308,BD!$L$2:$Q$66,2,0),0)</f>
        <v>TRIPACK CC+IK+IK PFM 3LX3 - RFNN</v>
      </c>
      <c r="G3308" s="518">
        <v>2700</v>
      </c>
      <c r="H3308" s="541">
        <f>+IFERROR(VLOOKUP(E3308,BD!$L$2:$Q$66,6,0),0)</f>
        <v>90</v>
      </c>
      <c r="I3308" s="542">
        <f>IFERROR(G3308*VLOOKUP($E3308,BD!$L$2:$Q$66,5,0),0)</f>
        <v>459.00000000000006</v>
      </c>
      <c r="J3308" s="543">
        <f t="shared" si="219"/>
        <v>2021</v>
      </c>
      <c r="K3308" s="641"/>
    </row>
    <row r="3309" spans="1:11" s="9" customFormat="1" hidden="1" x14ac:dyDescent="0.25">
      <c r="A3309" s="493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63">
        <v>256753</v>
      </c>
      <c r="F3309" s="6" t="str">
        <f>IFERROR(VLOOKUP(E3309,BD!$L$2:$Q$66,2,0),0)</f>
        <v>PACK-2 FT NAR+FT KI+FT PIÑA+SP RP 1.5LX8</v>
      </c>
      <c r="G3309" s="513">
        <v>60</v>
      </c>
      <c r="H3309" s="6">
        <f>+IFERROR(VLOOKUP(E3309,BD!$L$2:$Q$66,6,0),0)</f>
        <v>30</v>
      </c>
      <c r="I3309" s="97">
        <f>IFERROR(G3309*VLOOKUP($E3309,BD!$L$2:$Q$66,5,0),0)</f>
        <v>12.6</v>
      </c>
      <c r="J3309" s="109">
        <f t="shared" si="219"/>
        <v>2021</v>
      </c>
    </row>
    <row r="3310" spans="1:11" s="9" customFormat="1" hidden="1" x14ac:dyDescent="0.25">
      <c r="A3310" s="53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8">
        <v>256379</v>
      </c>
      <c r="F3310" s="21" t="str">
        <f>IFERROR(VLOOKUP(E3310,BD!$L$2:$Q$66,2,0),0)</f>
        <v>INCA KOLA VR 625MLX12 - STICKER</v>
      </c>
      <c r="G3310" s="521">
        <v>450</v>
      </c>
      <c r="H3310" s="21">
        <f>+IFERROR(VLOOKUP(E3310,BD!$L$2:$Q$66,6,0),0)</f>
        <v>50</v>
      </c>
      <c r="I3310" s="467">
        <f>IFERROR(G3310*VLOOKUP($E3310,BD!$L$2:$Q$66,5,0),0)</f>
        <v>180</v>
      </c>
      <c r="J3310" s="41">
        <f t="shared" si="219"/>
        <v>2021</v>
      </c>
    </row>
    <row r="3311" spans="1:11" s="9" customFormat="1" hidden="1" x14ac:dyDescent="0.25">
      <c r="A3311" s="491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7">
        <v>256685</v>
      </c>
      <c r="F3311" s="3" t="str">
        <f>IFERROR(VLOOKUP(E3311,BD!$L$2:$Q$66,2,0),0)</f>
        <v>SL S/G TAPA PLANA 1LT</v>
      </c>
      <c r="G3311" s="424">
        <v>224</v>
      </c>
      <c r="H3311" s="3">
        <f>+IFERROR(VLOOKUP(E3311,BD!$L$2:$Q$66,6,0),0)</f>
        <v>112</v>
      </c>
      <c r="I3311" s="96">
        <f>IFERROR(G3311*VLOOKUP($E3311,BD!$L$2:$Q$66,5,0),0)</f>
        <v>89.600000000000009</v>
      </c>
      <c r="J3311" s="5">
        <f t="shared" si="219"/>
        <v>2021</v>
      </c>
    </row>
    <row r="3312" spans="1:11" s="9" customFormat="1" hidden="1" x14ac:dyDescent="0.25">
      <c r="A3312" s="491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7">
        <v>251406</v>
      </c>
      <c r="F3312" s="3" t="str">
        <f>IFERROR(VLOOKUP(E3312,BD!$L$2:$Q$66,2,0),0)</f>
        <v>COCA-COLA SIN AZUCAR PET 1.5LX2</v>
      </c>
      <c r="G3312" s="424">
        <v>2160</v>
      </c>
      <c r="H3312" s="3">
        <f>+IFERROR(VLOOKUP(E3312,BD!$L$2:$Q$66,6,0),0)</f>
        <v>198</v>
      </c>
      <c r="I3312" s="96">
        <f>IFERROR(G3312*VLOOKUP($E3312,BD!$L$2:$Q$66,5,0),0)</f>
        <v>367.20000000000005</v>
      </c>
      <c r="J3312" s="5">
        <f t="shared" si="219"/>
        <v>2021</v>
      </c>
    </row>
    <row r="3313" spans="1:11" s="9" customFormat="1" hidden="1" x14ac:dyDescent="0.25">
      <c r="A3313" s="491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7">
        <v>254853</v>
      </c>
      <c r="F3313" s="3" t="str">
        <f>IFERROR(VLOOKUP(E3313,BD!$L$2:$Q$66,2,0),0)</f>
        <v>INCA KOLA SIN AZUCAR PET 1.5LX2</v>
      </c>
      <c r="G3313" s="424">
        <v>2160</v>
      </c>
      <c r="H3313" s="3">
        <f>+IFERROR(VLOOKUP(E3313,BD!$L$2:$Q$66,6,0),0)</f>
        <v>198</v>
      </c>
      <c r="I3313" s="96">
        <f>IFERROR(G3313*VLOOKUP($E3313,BD!$L$2:$Q$66,5,0),0)</f>
        <v>367.20000000000005</v>
      </c>
      <c r="J3313" s="5">
        <f t="shared" si="219"/>
        <v>2021</v>
      </c>
    </row>
    <row r="3314" spans="1:11" s="9" customFormat="1" hidden="1" x14ac:dyDescent="0.25">
      <c r="A3314" s="491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7">
        <v>256616</v>
      </c>
      <c r="F3314" s="3" t="str">
        <f>IFERROR(VLOOKUP(E3314,BD!$L$2:$Q$66,2,0),0)</f>
        <v>TWO PACK SCHWEPPES CITRUS PET 1.5LX2</v>
      </c>
      <c r="G3314" s="424">
        <v>594</v>
      </c>
      <c r="H3314" s="3">
        <f>+IFERROR(VLOOKUP(E3314,BD!$L$2:$Q$66,6,0),0)</f>
        <v>198</v>
      </c>
      <c r="I3314" s="96">
        <f>IFERROR(G3314*VLOOKUP($E3314,BD!$L$2:$Q$66,5,0),0)</f>
        <v>100.98</v>
      </c>
      <c r="J3314" s="5">
        <f t="shared" si="219"/>
        <v>2021</v>
      </c>
    </row>
    <row r="3315" spans="1:11" s="9" customFormat="1" hidden="1" x14ac:dyDescent="0.25">
      <c r="A3315" s="491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7">
        <v>256617</v>
      </c>
      <c r="F3315" s="3" t="str">
        <f>IFERROR(VLOOKUP(E3315,BD!$L$2:$Q$66,2,0),0)</f>
        <v>TWO PACK SCHWEPPES GINGER ALE PET 1.5LX2</v>
      </c>
      <c r="G3315" s="424">
        <v>1782</v>
      </c>
      <c r="H3315" s="3">
        <f>+IFERROR(VLOOKUP(E3315,BD!$L$2:$Q$66,6,0),0)</f>
        <v>198</v>
      </c>
      <c r="I3315" s="96">
        <f>IFERROR(G3315*VLOOKUP($E3315,BD!$L$2:$Q$66,5,0),0)</f>
        <v>302.94</v>
      </c>
      <c r="J3315" s="5">
        <f t="shared" si="219"/>
        <v>2021</v>
      </c>
    </row>
    <row r="3316" spans="1:11" s="9" customFormat="1" hidden="1" x14ac:dyDescent="0.25">
      <c r="A3316" s="491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7">
        <v>256601</v>
      </c>
      <c r="F3316" s="3" t="str">
        <f>IFERROR(VLOOKUP(E3316,BD!$L$2:$Q$66,2,0),0)</f>
        <v>INCA KOLA PET 2.25LX2 RF</v>
      </c>
      <c r="G3316" s="424">
        <v>486</v>
      </c>
      <c r="H3316" s="3">
        <f>+IFERROR(VLOOKUP(E3316,BD!$L$2:$Q$66,6,0),0)</f>
        <v>162</v>
      </c>
      <c r="I3316" s="96">
        <f>IFERROR(G3316*VLOOKUP($E3316,BD!$L$2:$Q$66,5,0),0)</f>
        <v>82.62</v>
      </c>
      <c r="J3316" s="5">
        <f t="shared" si="219"/>
        <v>2021</v>
      </c>
    </row>
    <row r="3317" spans="1:11" s="9" customFormat="1" hidden="1" x14ac:dyDescent="0.25">
      <c r="A3317" s="491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7">
        <v>256488</v>
      </c>
      <c r="F3317" s="3" t="str">
        <f>IFERROR(VLOOKUP(E3317,BD!$L$2:$Q$66,2,0),0)</f>
        <v>INCA KOLA PET 3LX2 - RF</v>
      </c>
      <c r="G3317" s="424">
        <v>1080</v>
      </c>
      <c r="H3317" s="3">
        <f>+IFERROR(VLOOKUP(E3317,BD!$L$2:$Q$66,6,0),0)</f>
        <v>120</v>
      </c>
      <c r="I3317" s="96">
        <f>IFERROR(G3317*VLOOKUP($E3317,BD!$L$2:$Q$66,5,0),0)</f>
        <v>183.60000000000002</v>
      </c>
      <c r="J3317" s="5">
        <f t="shared" si="219"/>
        <v>2021</v>
      </c>
    </row>
    <row r="3318" spans="1:11" s="9" customFormat="1" hidden="1" x14ac:dyDescent="0.25">
      <c r="A3318" s="491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7">
        <v>256675</v>
      </c>
      <c r="F3318" s="3" t="str">
        <f>IFERROR(VLOOKUP(E3318,BD!$L$2:$Q$66,2,0),0)</f>
        <v>INCA KOLA PET 1.5LX2 RF</v>
      </c>
      <c r="G3318" s="424">
        <v>3240</v>
      </c>
      <c r="H3318" s="3">
        <f>+IFERROR(VLOOKUP(E3318,BD!$L$2:$Q$66,6,0),0)</f>
        <v>198</v>
      </c>
      <c r="I3318" s="96">
        <f>IFERROR(G3318*VLOOKUP($E3318,BD!$L$2:$Q$66,5,0),0)</f>
        <v>550.80000000000007</v>
      </c>
      <c r="J3318" s="5">
        <f t="shared" si="219"/>
        <v>2021</v>
      </c>
    </row>
    <row r="3319" spans="1:11" s="9" customFormat="1" hidden="1" x14ac:dyDescent="0.25">
      <c r="A3319" s="491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7">
        <v>256677</v>
      </c>
      <c r="F3319" s="3" t="str">
        <f>IFERROR(VLOOKUP(E3319,BD!$L$2:$Q$66,2,0),0)</f>
        <v>TWO PACK CC + IK PFM 3LX2 - RFNN</v>
      </c>
      <c r="G3319" s="424">
        <v>6000</v>
      </c>
      <c r="H3319" s="3">
        <f>+IFERROR(VLOOKUP(E3319,BD!$L$2:$Q$66,6,0),0)</f>
        <v>120</v>
      </c>
      <c r="I3319" s="96">
        <f>IFERROR(G3319*VLOOKUP($E3319,BD!$L$2:$Q$66,5,0),0)</f>
        <v>1020.0000000000001</v>
      </c>
      <c r="J3319" s="5">
        <f t="shared" si="219"/>
        <v>2021</v>
      </c>
    </row>
    <row r="3320" spans="1:11" s="9" customFormat="1" hidden="1" x14ac:dyDescent="0.25">
      <c r="A3320" s="491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7">
        <v>256679</v>
      </c>
      <c r="F3320" s="3" t="str">
        <f>IFERROR(VLOOKUP(E3320,BD!$L$2:$Q$66,2,0),0)</f>
        <v>TRIPACK CC+IK+IK PFM 3LX3 - RFNN</v>
      </c>
      <c r="G3320" s="424">
        <v>720</v>
      </c>
      <c r="H3320" s="3">
        <f>+IFERROR(VLOOKUP(E3320,BD!$L$2:$Q$66,6,0),0)</f>
        <v>90</v>
      </c>
      <c r="I3320" s="96">
        <f>IFERROR(G3320*VLOOKUP($E3320,BD!$L$2:$Q$66,5,0),0)</f>
        <v>122.4</v>
      </c>
      <c r="J3320" s="5">
        <f t="shared" si="219"/>
        <v>2021</v>
      </c>
    </row>
    <row r="3321" spans="1:11" s="9" customFormat="1" hidden="1" x14ac:dyDescent="0.25">
      <c r="A3321" s="491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7">
        <v>256678</v>
      </c>
      <c r="F3321" s="3" t="str">
        <f>IFERROR(VLOOKUP(E3321,BD!$L$2:$Q$66,2,0),0)</f>
        <v>TRIPACK (CC+IK)PFM+FT PET 3LX3 - RFNN</v>
      </c>
      <c r="G3321" s="424">
        <v>3600</v>
      </c>
      <c r="H3321" s="3">
        <f>+IFERROR(VLOOKUP(E3321,BD!$L$2:$Q$66,6,0),0)</f>
        <v>90</v>
      </c>
      <c r="I3321" s="96">
        <f>IFERROR(G3321*VLOOKUP($E3321,BD!$L$2:$Q$66,5,0),0)</f>
        <v>612</v>
      </c>
      <c r="J3321" s="5">
        <f t="shared" si="219"/>
        <v>2021</v>
      </c>
    </row>
    <row r="3322" spans="1:11" s="9" customFormat="1" hidden="1" x14ac:dyDescent="0.25">
      <c r="A3322" s="491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7">
        <v>256720</v>
      </c>
      <c r="F3322" s="3" t="str">
        <f>IFERROR(VLOOKUP(E3322,BD!$L$2:$Q$66,2,0),0)</f>
        <v>FANTA NARANJA PET 500MLX6 BRANDEADO MOD</v>
      </c>
      <c r="G3322" s="424">
        <v>500</v>
      </c>
      <c r="H3322" s="3">
        <f>+IFERROR(VLOOKUP(E3322,BD!$L$2:$Q$66,6,0),0)</f>
        <v>420</v>
      </c>
      <c r="I3322" s="96">
        <f>IFERROR(G3322*VLOOKUP($E3322,BD!$L$2:$Q$66,5,0),0)</f>
        <v>210</v>
      </c>
      <c r="J3322" s="5">
        <f t="shared" si="219"/>
        <v>2021</v>
      </c>
    </row>
    <row r="3323" spans="1:11" s="9" customFormat="1" hidden="1" x14ac:dyDescent="0.25">
      <c r="A3323" s="491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7">
        <v>256721</v>
      </c>
      <c r="F3323" s="3" t="str">
        <f>IFERROR(VLOOKUP(E3323,BD!$L$2:$Q$66,2,0),0)</f>
        <v>SPRITE PET 500MLX6 BRANDEADO MOD</v>
      </c>
      <c r="G3323" s="424">
        <v>1000</v>
      </c>
      <c r="H3323" s="3">
        <f>+IFERROR(VLOOKUP(E3323,BD!$L$2:$Q$66,6,0),0)</f>
        <v>420</v>
      </c>
      <c r="I3323" s="96">
        <f>IFERROR(G3323*VLOOKUP($E3323,BD!$L$2:$Q$66,5,0),0)</f>
        <v>420</v>
      </c>
      <c r="J3323" s="5">
        <f t="shared" si="219"/>
        <v>2021</v>
      </c>
    </row>
    <row r="3324" spans="1:11" s="9" customFormat="1" ht="15.75" hidden="1" thickBot="1" x14ac:dyDescent="0.3">
      <c r="A3324" s="492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9">
        <v>256753</v>
      </c>
      <c r="F3324" s="8" t="str">
        <f>IFERROR(VLOOKUP(E3324,BD!$L$2:$Q$66,2,0),0)</f>
        <v>PACK-2 FT NAR+FT KI+FT PIÑA+SP RP 1.5LX8</v>
      </c>
      <c r="G3324" s="501"/>
      <c r="H3324" s="8">
        <f>+IFERROR(VLOOKUP(E3324,BD!$L$2:$Q$66,6,0),0)</f>
        <v>30</v>
      </c>
      <c r="I3324" s="98">
        <f>IFERROR(G3324*VLOOKUP($E3324,BD!$L$2:$Q$66,5,0),0)</f>
        <v>0</v>
      </c>
      <c r="J3324" s="110">
        <f t="shared" si="219"/>
        <v>2021</v>
      </c>
    </row>
    <row r="3325" spans="1:11" s="9" customFormat="1" hidden="1" x14ac:dyDescent="0.25">
      <c r="A3325" s="587">
        <v>44537</v>
      </c>
      <c r="B3325" s="567" t="str">
        <f t="shared" si="216"/>
        <v>DICIEMBRE</v>
      </c>
      <c r="C3325" s="567">
        <f t="shared" si="217"/>
        <v>50</v>
      </c>
      <c r="D3325" s="568" t="str">
        <f t="shared" si="218"/>
        <v>MARTES</v>
      </c>
      <c r="E3325" s="384">
        <v>256677</v>
      </c>
      <c r="F3325" s="568" t="str">
        <f>IFERROR(VLOOKUP(E3325,BD!$L$2:$Q$66,2,0),0)</f>
        <v>TWO PACK CC + IK PFM 3LX2 - RFNN</v>
      </c>
      <c r="G3325" s="569">
        <v>9120</v>
      </c>
      <c r="H3325" s="568">
        <f>+IFERROR(VLOOKUP(E3325,BD!$L$2:$Q$66,6,0),0)</f>
        <v>120</v>
      </c>
      <c r="I3325" s="570">
        <f>IFERROR(G3325*VLOOKUP($E3325,BD!$L$2:$Q$66,5,0),0)</f>
        <v>1550.4</v>
      </c>
      <c r="J3325" s="588">
        <f t="shared" si="219"/>
        <v>2021</v>
      </c>
      <c r="K3325" s="656" t="s">
        <v>243</v>
      </c>
    </row>
    <row r="3326" spans="1:11" s="9" customFormat="1" hidden="1" x14ac:dyDescent="0.25">
      <c r="A3326" s="538">
        <v>44537</v>
      </c>
      <c r="B3326" s="370" t="str">
        <f t="shared" ref="B3326:B3391" si="220">UPPER(TEXT(A3326,"MMMM"))</f>
        <v>DICIEMBRE</v>
      </c>
      <c r="C3326" s="370">
        <f t="shared" ref="C3326:C3391" si="221">WEEKNUM(A3326,16)</f>
        <v>50</v>
      </c>
      <c r="D3326" s="94" t="str">
        <f t="shared" ref="D3326:D3391" si="222">UPPER(TEXT(A3326,"DDDD"))</f>
        <v>MARTES</v>
      </c>
      <c r="E3326" s="378">
        <v>256678</v>
      </c>
      <c r="F3326" s="94" t="str">
        <f>IFERROR(VLOOKUP(E3326,BD!$L$2:$Q$66,2,0),0)</f>
        <v>TRIPACK (CC+IK)PFM+FT PET 3LX3 - RFNN</v>
      </c>
      <c r="G3326" s="503">
        <v>1440</v>
      </c>
      <c r="H3326" s="94">
        <f>+IFERROR(VLOOKUP(E3326,BD!$L$2:$Q$66,6,0),0)</f>
        <v>90</v>
      </c>
      <c r="I3326" s="531">
        <f>IFERROR(G3326*VLOOKUP($E3326,BD!$L$2:$Q$66,5,0),0)</f>
        <v>244.8</v>
      </c>
      <c r="J3326" s="539">
        <f t="shared" ref="J3326:J3391" si="223">+YEAR(A3326)</f>
        <v>2021</v>
      </c>
      <c r="K3326" s="657"/>
    </row>
    <row r="3327" spans="1:11" s="9" customFormat="1" hidden="1" x14ac:dyDescent="0.25">
      <c r="A3327" s="538">
        <v>44537</v>
      </c>
      <c r="B3327" s="370" t="str">
        <f t="shared" si="220"/>
        <v>DICIEMBRE</v>
      </c>
      <c r="C3327" s="370">
        <f t="shared" si="221"/>
        <v>50</v>
      </c>
      <c r="D3327" s="94" t="str">
        <f t="shared" si="222"/>
        <v>MARTES</v>
      </c>
      <c r="E3327" s="378">
        <v>256680</v>
      </c>
      <c r="F3327" s="94" t="str">
        <f>IFERROR(VLOOKUP(E3327,BD!$L$2:$Q$66,2,0),0)</f>
        <v>TRIPACK CC+CC+IK PFM 3LX3 - RFNN</v>
      </c>
      <c r="G3327" s="503">
        <v>1260</v>
      </c>
      <c r="H3327" s="94">
        <f>+IFERROR(VLOOKUP(E3327,BD!$L$2:$Q$66,6,0),0)</f>
        <v>90</v>
      </c>
      <c r="I3327" s="531">
        <f>IFERROR(G3327*VLOOKUP($E3327,BD!$L$2:$Q$66,5,0),0)</f>
        <v>214.20000000000002</v>
      </c>
      <c r="J3327" s="539">
        <f t="shared" si="223"/>
        <v>2021</v>
      </c>
      <c r="K3327" s="657"/>
    </row>
    <row r="3328" spans="1:11" s="9" customFormat="1" ht="15.75" hidden="1" thickBot="1" x14ac:dyDescent="0.3">
      <c r="A3328" s="540">
        <v>44537</v>
      </c>
      <c r="B3328" s="505" t="str">
        <f t="shared" si="220"/>
        <v>DICIEMBRE</v>
      </c>
      <c r="C3328" s="505">
        <f t="shared" si="221"/>
        <v>50</v>
      </c>
      <c r="D3328" s="541" t="str">
        <f t="shared" si="222"/>
        <v>MARTES</v>
      </c>
      <c r="E3328" s="506">
        <v>254853</v>
      </c>
      <c r="F3328" s="541" t="str">
        <f>IFERROR(VLOOKUP(E3328,BD!$L$2:$Q$66,2,0),0)</f>
        <v>INCA KOLA SIN AZUCAR PET 1.5LX2</v>
      </c>
      <c r="G3328" s="518">
        <v>216</v>
      </c>
      <c r="H3328" s="541">
        <f>+IFERROR(VLOOKUP(E3328,BD!$L$2:$Q$66,6,0),0)</f>
        <v>198</v>
      </c>
      <c r="I3328" s="542">
        <f>IFERROR(G3328*VLOOKUP($E3328,BD!$L$2:$Q$66,5,0),0)</f>
        <v>36.720000000000006</v>
      </c>
      <c r="J3328" s="543">
        <f t="shared" si="223"/>
        <v>2021</v>
      </c>
      <c r="K3328" s="658"/>
    </row>
    <row r="3329" spans="1:10" s="9" customFormat="1" hidden="1" x14ac:dyDescent="0.25">
      <c r="A3329" s="493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63">
        <v>256383</v>
      </c>
      <c r="F3329" s="6" t="str">
        <f>IFERROR(VLOOKUP(E3329,BD!$L$2:$Q$66,2,0),0)</f>
        <v>COCA COLA VR 1.5LX8 - STICKER</v>
      </c>
      <c r="G3329" s="513">
        <v>300</v>
      </c>
      <c r="H3329" s="6">
        <f>+IFERROR(VLOOKUP(E3329,BD!$L$2:$Q$66,6,0),0)</f>
        <v>30</v>
      </c>
      <c r="I3329" s="97">
        <f>IFERROR(G3329*VLOOKUP($E3329,BD!$L$2:$Q$66,5,0),0)</f>
        <v>69</v>
      </c>
      <c r="J3329" s="109">
        <f t="shared" si="223"/>
        <v>2021</v>
      </c>
    </row>
    <row r="3330" spans="1:10" s="9" customFormat="1" hidden="1" x14ac:dyDescent="0.25">
      <c r="A3330" s="491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7">
        <v>256381</v>
      </c>
      <c r="F3330" s="3" t="str">
        <f>IFERROR(VLOOKUP(E3330,BD!$L$2:$Q$66,2,0),0)</f>
        <v>INCA KOLA VR 1.5LX8 - STICKER</v>
      </c>
      <c r="G3330" s="424">
        <v>60</v>
      </c>
      <c r="H3330" s="3">
        <f>+IFERROR(VLOOKUP(E3330,BD!$L$2:$Q$66,6,0),0)</f>
        <v>30</v>
      </c>
      <c r="I3330" s="96">
        <f>IFERROR(G3330*VLOOKUP($E3330,BD!$L$2:$Q$66,5,0),0)</f>
        <v>24</v>
      </c>
      <c r="J3330" s="5">
        <f t="shared" si="223"/>
        <v>2021</v>
      </c>
    </row>
    <row r="3331" spans="1:10" s="9" customFormat="1" hidden="1" x14ac:dyDescent="0.25">
      <c r="A3331" s="491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7">
        <v>256685</v>
      </c>
      <c r="F3331" s="3" t="str">
        <f>IFERROR(VLOOKUP(E3331,BD!$L$2:$Q$66,2,0),0)</f>
        <v>SL S/G TAPA PLANA 1LT</v>
      </c>
      <c r="G3331" s="424">
        <v>448</v>
      </c>
      <c r="H3331" s="3">
        <f>+IFERROR(VLOOKUP(E3331,BD!$L$2:$Q$66,6,0),0)</f>
        <v>112</v>
      </c>
      <c r="I3331" s="96">
        <f>IFERROR(G3331*VLOOKUP($E3331,BD!$L$2:$Q$66,5,0),0)</f>
        <v>179.20000000000002</v>
      </c>
      <c r="J3331" s="5">
        <f t="shared" si="223"/>
        <v>2021</v>
      </c>
    </row>
    <row r="3332" spans="1:10" s="9" customFormat="1" hidden="1" x14ac:dyDescent="0.25">
      <c r="A3332" s="491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7">
        <v>251633</v>
      </c>
      <c r="F3332" s="3" t="str">
        <f>IFERROR(VLOOKUP(E3332,BD!$L$2:$Q$66,2,0),0)</f>
        <v>SAN LUIS CON GAS PET 625MLX6</v>
      </c>
      <c r="G3332" s="424">
        <v>900</v>
      </c>
      <c r="H3332" s="3">
        <f>+IFERROR(VLOOKUP(E3332,BD!$L$2:$Q$66,6,0),0)</f>
        <v>180</v>
      </c>
      <c r="I3332" s="96">
        <f>IFERROR(G3332*VLOOKUP($E3332,BD!$L$2:$Q$66,5,0),0)</f>
        <v>378</v>
      </c>
      <c r="J3332" s="5">
        <f t="shared" si="223"/>
        <v>2021</v>
      </c>
    </row>
    <row r="3333" spans="1:10" s="9" customFormat="1" hidden="1" x14ac:dyDescent="0.25">
      <c r="A3333" s="491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7">
        <v>251406</v>
      </c>
      <c r="F3333" s="3" t="str">
        <f>IFERROR(VLOOKUP(E3333,BD!$L$2:$Q$66,2,0),0)</f>
        <v>COCA-COLA SIN AZUCAR PET 1.5LX2</v>
      </c>
      <c r="G3333" s="424">
        <v>3240</v>
      </c>
      <c r="H3333" s="3">
        <f>+IFERROR(VLOOKUP(E3333,BD!$L$2:$Q$66,6,0),0)</f>
        <v>198</v>
      </c>
      <c r="I3333" s="96">
        <f>IFERROR(G3333*VLOOKUP($E3333,BD!$L$2:$Q$66,5,0),0)</f>
        <v>550.80000000000007</v>
      </c>
      <c r="J3333" s="5">
        <f t="shared" si="223"/>
        <v>2021</v>
      </c>
    </row>
    <row r="3334" spans="1:10" s="9" customFormat="1" hidden="1" x14ac:dyDescent="0.25">
      <c r="A3334" s="491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7">
        <v>254853</v>
      </c>
      <c r="F3334" s="3" t="str">
        <f>IFERROR(VLOOKUP(E3334,BD!$L$2:$Q$66,2,0),0)</f>
        <v>INCA KOLA SIN AZUCAR PET 1.5LX2</v>
      </c>
      <c r="G3334" s="424">
        <v>1728</v>
      </c>
      <c r="H3334" s="3">
        <f>+IFERROR(VLOOKUP(E3334,BD!$L$2:$Q$66,6,0),0)</f>
        <v>198</v>
      </c>
      <c r="I3334" s="96">
        <f>IFERROR(G3334*VLOOKUP($E3334,BD!$L$2:$Q$66,5,0),0)</f>
        <v>293.76000000000005</v>
      </c>
      <c r="J3334" s="5">
        <f t="shared" si="223"/>
        <v>2021</v>
      </c>
    </row>
    <row r="3335" spans="1:10" s="9" customFormat="1" hidden="1" x14ac:dyDescent="0.25">
      <c r="A3335" s="491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7">
        <v>256616</v>
      </c>
      <c r="F3335" s="3" t="str">
        <f>IFERROR(VLOOKUP(E3335,BD!$L$2:$Q$66,2,0),0)</f>
        <v>TWO PACK SCHWEPPES CITRUS PET 1.5LX2</v>
      </c>
      <c r="G3335" s="424">
        <v>396</v>
      </c>
      <c r="H3335" s="3">
        <f>+IFERROR(VLOOKUP(E3335,BD!$L$2:$Q$66,6,0),0)</f>
        <v>198</v>
      </c>
      <c r="I3335" s="96">
        <f>IFERROR(G3335*VLOOKUP($E3335,BD!$L$2:$Q$66,5,0),0)</f>
        <v>67.320000000000007</v>
      </c>
      <c r="J3335" s="5">
        <f t="shared" si="223"/>
        <v>2021</v>
      </c>
    </row>
    <row r="3336" spans="1:10" s="9" customFormat="1" hidden="1" x14ac:dyDescent="0.25">
      <c r="A3336" s="491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7">
        <v>256617</v>
      </c>
      <c r="F3336" s="3" t="str">
        <f>IFERROR(VLOOKUP(E3336,BD!$L$2:$Q$66,2,0),0)</f>
        <v>TWO PACK SCHWEPPES GINGER ALE PET 1.5LX2</v>
      </c>
      <c r="G3336" s="424">
        <v>990</v>
      </c>
      <c r="H3336" s="3">
        <f>+IFERROR(VLOOKUP(E3336,BD!$L$2:$Q$66,6,0),0)</f>
        <v>198</v>
      </c>
      <c r="I3336" s="96">
        <f>IFERROR(G3336*VLOOKUP($E3336,BD!$L$2:$Q$66,5,0),0)</f>
        <v>168.3</v>
      </c>
      <c r="J3336" s="5">
        <f t="shared" si="223"/>
        <v>2021</v>
      </c>
    </row>
    <row r="3337" spans="1:10" s="9" customFormat="1" hidden="1" x14ac:dyDescent="0.25">
      <c r="A3337" s="491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7">
        <v>256666</v>
      </c>
      <c r="F3337" s="3" t="str">
        <f>IFERROR(VLOOKUP(E3337,BD!$L$2:$Q$66,2,0),0)</f>
        <v>COCA-COLA PET 2.25LX2 RF</v>
      </c>
      <c r="G3337" s="424">
        <v>810</v>
      </c>
      <c r="H3337" s="3">
        <f>+IFERROR(VLOOKUP(E3337,BD!$L$2:$Q$66,6,0),0)</f>
        <v>162</v>
      </c>
      <c r="I3337" s="96">
        <f>IFERROR(G3337*VLOOKUP($E3337,BD!$L$2:$Q$66,5,0),0)</f>
        <v>137.70000000000002</v>
      </c>
      <c r="J3337" s="5">
        <f t="shared" si="223"/>
        <v>2021</v>
      </c>
    </row>
    <row r="3338" spans="1:10" s="9" customFormat="1" hidden="1" x14ac:dyDescent="0.25">
      <c r="A3338" s="491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7">
        <v>256601</v>
      </c>
      <c r="F3338" s="3" t="str">
        <f>IFERROR(VLOOKUP(E3338,BD!$L$2:$Q$66,2,0),0)</f>
        <v>INCA KOLA PET 2.25LX2 RF</v>
      </c>
      <c r="G3338" s="424">
        <v>810</v>
      </c>
      <c r="H3338" s="3">
        <f>+IFERROR(VLOOKUP(E3338,BD!$L$2:$Q$66,6,0),0)</f>
        <v>162</v>
      </c>
      <c r="I3338" s="96">
        <f>IFERROR(G3338*VLOOKUP($E3338,BD!$L$2:$Q$66,5,0),0)</f>
        <v>137.70000000000002</v>
      </c>
      <c r="J3338" s="5">
        <f t="shared" si="223"/>
        <v>2021</v>
      </c>
    </row>
    <row r="3339" spans="1:10" s="9" customFormat="1" hidden="1" x14ac:dyDescent="0.25">
      <c r="A3339" s="491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7">
        <v>256488</v>
      </c>
      <c r="F3339" s="3" t="str">
        <f>IFERROR(VLOOKUP(E3339,BD!$L$2:$Q$66,2,0),0)</f>
        <v>INCA KOLA PET 3LX2 - RF</v>
      </c>
      <c r="G3339" s="424">
        <v>2400</v>
      </c>
      <c r="H3339" s="3">
        <f>+IFERROR(VLOOKUP(E3339,BD!$L$2:$Q$66,6,0),0)</f>
        <v>120</v>
      </c>
      <c r="I3339" s="96">
        <f>IFERROR(G3339*VLOOKUP($E3339,BD!$L$2:$Q$66,5,0),0)</f>
        <v>408.00000000000006</v>
      </c>
      <c r="J3339" s="5">
        <f t="shared" si="223"/>
        <v>2021</v>
      </c>
    </row>
    <row r="3340" spans="1:10" s="9" customFormat="1" hidden="1" x14ac:dyDescent="0.25">
      <c r="A3340" s="491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7">
        <v>256676</v>
      </c>
      <c r="F3340" s="3" t="str">
        <f>IFERROR(VLOOKUP(E3340,BD!$L$2:$Q$66,2,0),0)</f>
        <v>TWO PACK CC PFM 3LX2 - RFCC</v>
      </c>
      <c r="G3340" s="424">
        <v>600</v>
      </c>
      <c r="H3340" s="3">
        <f>+IFERROR(VLOOKUP(E3340,BD!$L$2:$Q$66,6,0),0)</f>
        <v>120</v>
      </c>
      <c r="I3340" s="96">
        <f>IFERROR(G3340*VLOOKUP($E3340,BD!$L$2:$Q$66,5,0),0)</f>
        <v>102.00000000000001</v>
      </c>
      <c r="J3340" s="5">
        <f t="shared" si="223"/>
        <v>2021</v>
      </c>
    </row>
    <row r="3341" spans="1:10" s="9" customFormat="1" hidden="1" x14ac:dyDescent="0.25">
      <c r="A3341" s="491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7">
        <v>256674</v>
      </c>
      <c r="F3341" s="3" t="str">
        <f>IFERROR(VLOOKUP(E3341,BD!$L$2:$Q$66,2,0),0)</f>
        <v>COCA-COLA PET 1.5LX2 RF</v>
      </c>
      <c r="G3341" s="424">
        <v>4320</v>
      </c>
      <c r="H3341" s="3">
        <f>+IFERROR(VLOOKUP(E3341,BD!$L$2:$Q$66,6,0),0)</f>
        <v>198</v>
      </c>
      <c r="I3341" s="96">
        <f>IFERROR(G3341*VLOOKUP($E3341,BD!$L$2:$Q$66,5,0),0)</f>
        <v>734.40000000000009</v>
      </c>
      <c r="J3341" s="5">
        <f t="shared" si="223"/>
        <v>2021</v>
      </c>
    </row>
    <row r="3342" spans="1:10" s="9" customFormat="1" hidden="1" x14ac:dyDescent="0.25">
      <c r="A3342" s="491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7">
        <v>256675</v>
      </c>
      <c r="F3342" s="3" t="str">
        <f>IFERROR(VLOOKUP(E3342,BD!$L$2:$Q$66,2,0),0)</f>
        <v>INCA KOLA PET 1.5LX2 RF</v>
      </c>
      <c r="G3342" s="424">
        <v>1080</v>
      </c>
      <c r="H3342" s="3">
        <f>+IFERROR(VLOOKUP(E3342,BD!$L$2:$Q$66,6,0),0)</f>
        <v>198</v>
      </c>
      <c r="I3342" s="96">
        <f>IFERROR(G3342*VLOOKUP($E3342,BD!$L$2:$Q$66,5,0),0)</f>
        <v>183.60000000000002</v>
      </c>
      <c r="J3342" s="5">
        <f t="shared" si="223"/>
        <v>2021</v>
      </c>
    </row>
    <row r="3343" spans="1:10" s="9" customFormat="1" hidden="1" x14ac:dyDescent="0.25">
      <c r="A3343" s="491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7">
        <v>256652</v>
      </c>
      <c r="F3343" s="3" t="str">
        <f>IFERROR(VLOOKUP(E3343,BD!$L$2:$Q$66,2,0),0)</f>
        <v>TRIPACK FT NAR+FT KI+SP PET 3L</v>
      </c>
      <c r="G3343" s="424">
        <v>1260</v>
      </c>
      <c r="H3343" s="3">
        <f>+IFERROR(VLOOKUP(E3343,BD!$L$2:$Q$66,6,0),0)</f>
        <v>90</v>
      </c>
      <c r="I3343" s="96">
        <f>IFERROR(G3343*VLOOKUP($E3343,BD!$L$2:$Q$66,5,0),0)</f>
        <v>214.20000000000002</v>
      </c>
      <c r="J3343" s="5">
        <f t="shared" si="223"/>
        <v>2021</v>
      </c>
    </row>
    <row r="3344" spans="1:10" s="9" customFormat="1" hidden="1" x14ac:dyDescent="0.25">
      <c r="A3344" s="491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7">
        <v>256677</v>
      </c>
      <c r="F3344" s="3" t="str">
        <f>IFERROR(VLOOKUP(E3344,BD!$L$2:$Q$66,2,0),0)</f>
        <v>TWO PACK CC + IK PFM 3LX2 - RFNN</v>
      </c>
      <c r="G3344" s="424">
        <v>2400</v>
      </c>
      <c r="H3344" s="3">
        <f>+IFERROR(VLOOKUP(E3344,BD!$L$2:$Q$66,6,0),0)</f>
        <v>120</v>
      </c>
      <c r="I3344" s="96">
        <f>IFERROR(G3344*VLOOKUP($E3344,BD!$L$2:$Q$66,5,0),0)</f>
        <v>408.00000000000006</v>
      </c>
      <c r="J3344" s="5">
        <f t="shared" si="223"/>
        <v>2021</v>
      </c>
    </row>
    <row r="3345" spans="1:11" s="9" customFormat="1" hidden="1" x14ac:dyDescent="0.25">
      <c r="A3345" s="491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7">
        <v>256682</v>
      </c>
      <c r="F3345" s="3" t="str">
        <f>IFERROR(VLOOKUP(E3345,BD!$L$2:$Q$66,2,0),0)</f>
        <v>TRIPACK (FT NAR+SP)PET+IK RF PFM 3L</v>
      </c>
      <c r="G3345" s="424">
        <v>270</v>
      </c>
      <c r="H3345" s="3">
        <f>+IFERROR(VLOOKUP(E3345,BD!$L$2:$Q$66,6,0),0)</f>
        <v>90</v>
      </c>
      <c r="I3345" s="96">
        <f>IFERROR(G3345*VLOOKUP($E3345,BD!$L$2:$Q$66,5,0),0)</f>
        <v>45.900000000000006</v>
      </c>
      <c r="J3345" s="5">
        <f t="shared" si="223"/>
        <v>2021</v>
      </c>
    </row>
    <row r="3346" spans="1:11" s="9" customFormat="1" hidden="1" x14ac:dyDescent="0.25">
      <c r="A3346" s="491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7">
        <v>256695</v>
      </c>
      <c r="F3346" s="3" t="str">
        <f>IFERROR(VLOOKUP(E3346,BD!$L$2:$Q$66,2,0),0)</f>
        <v>POWERADE 3MORA+3FRUT PET 473MLX6</v>
      </c>
      <c r="G3346" s="424">
        <v>2250</v>
      </c>
      <c r="H3346" s="3">
        <f>+IFERROR(VLOOKUP(E3346,BD!$L$2:$Q$66,6,0),0)</f>
        <v>225</v>
      </c>
      <c r="I3346" s="96">
        <f>IFERROR(G3346*VLOOKUP($E3346,BD!$L$2:$Q$66,5,0),0)</f>
        <v>945</v>
      </c>
      <c r="J3346" s="5">
        <f t="shared" si="223"/>
        <v>2021</v>
      </c>
    </row>
    <row r="3347" spans="1:11" s="9" customFormat="1" hidden="1" x14ac:dyDescent="0.25">
      <c r="A3347" s="491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7">
        <v>256708</v>
      </c>
      <c r="F3347" s="3" t="str">
        <f>IFERROR(VLOOKUP(E3347,BD!$L$2:$Q$66,2,0),0)</f>
        <v>POWERADE ION4 FRUTA PET473X6 MOD (STICK)</v>
      </c>
      <c r="G3347" s="424">
        <v>450</v>
      </c>
      <c r="H3347" s="3">
        <f>+IFERROR(VLOOKUP(E3347,BD!$L$2:$Q$66,6,0),0)</f>
        <v>225</v>
      </c>
      <c r="I3347" s="96">
        <f>IFERROR(G3347*VLOOKUP($E3347,BD!$L$2:$Q$66,5,0),0)</f>
        <v>180</v>
      </c>
      <c r="J3347" s="5">
        <f t="shared" si="223"/>
        <v>2021</v>
      </c>
    </row>
    <row r="3348" spans="1:11" s="9" customFormat="1" hidden="1" x14ac:dyDescent="0.25">
      <c r="A3348" s="491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7">
        <v>256709</v>
      </c>
      <c r="F3348" s="3" t="str">
        <f>IFERROR(VLOOKUP(E3348,BD!$L$2:$Q$66,2,0),0)</f>
        <v>POWERADE ION4 MORA AZ PET473X6 MOD(STCK)</v>
      </c>
      <c r="G3348" s="424">
        <v>225</v>
      </c>
      <c r="H3348" s="3">
        <f>+IFERROR(VLOOKUP(E3348,BD!$L$2:$Q$66,6,0),0)</f>
        <v>225</v>
      </c>
      <c r="I3348" s="96">
        <f>IFERROR(G3348*VLOOKUP($E3348,BD!$L$2:$Q$66,5,0),0)</f>
        <v>90</v>
      </c>
      <c r="J3348" s="5">
        <f t="shared" si="223"/>
        <v>2021</v>
      </c>
    </row>
    <row r="3349" spans="1:11" s="9" customFormat="1" hidden="1" x14ac:dyDescent="0.25">
      <c r="A3349" s="491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7">
        <v>256720</v>
      </c>
      <c r="F3349" s="3" t="str">
        <f>IFERROR(VLOOKUP(E3349,BD!$L$2:$Q$66,2,0),0)</f>
        <v>FANTA NARANJA PET 500MLX6 BRANDEADO MOD</v>
      </c>
      <c r="G3349" s="424">
        <v>750</v>
      </c>
      <c r="H3349" s="3">
        <f>+IFERROR(VLOOKUP(E3349,BD!$L$2:$Q$66,6,0),0)</f>
        <v>420</v>
      </c>
      <c r="I3349" s="96">
        <f>IFERROR(G3349*VLOOKUP($E3349,BD!$L$2:$Q$66,5,0),0)</f>
        <v>315</v>
      </c>
      <c r="J3349" s="5">
        <f t="shared" si="223"/>
        <v>2021</v>
      </c>
    </row>
    <row r="3350" spans="1:11" s="9" customFormat="1" hidden="1" x14ac:dyDescent="0.25">
      <c r="A3350" s="491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7">
        <v>256721</v>
      </c>
      <c r="F3350" s="3" t="str">
        <f>IFERROR(VLOOKUP(E3350,BD!$L$2:$Q$66,2,0),0)</f>
        <v>SPRITE PET 500MLX6 BRANDEADO MOD</v>
      </c>
      <c r="G3350" s="424">
        <v>750</v>
      </c>
      <c r="H3350" s="3">
        <f>+IFERROR(VLOOKUP(E3350,BD!$L$2:$Q$66,6,0),0)</f>
        <v>420</v>
      </c>
      <c r="I3350" s="96">
        <f>IFERROR(G3350*VLOOKUP($E3350,BD!$L$2:$Q$66,5,0),0)</f>
        <v>315</v>
      </c>
      <c r="J3350" s="5">
        <f t="shared" si="223"/>
        <v>2021</v>
      </c>
    </row>
    <row r="3351" spans="1:11" s="9" customFormat="1" hidden="1" x14ac:dyDescent="0.25">
      <c r="A3351" s="491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7">
        <v>256753</v>
      </c>
      <c r="F3351" s="3" t="str">
        <f>IFERROR(VLOOKUP(E3351,BD!$L$2:$Q$66,2,0),0)</f>
        <v>PACK-2 FT NAR+FT KI+FT PIÑA+SP RP 1.5LX8</v>
      </c>
      <c r="G3351" s="424">
        <v>1800</v>
      </c>
      <c r="H3351" s="3">
        <f>+IFERROR(VLOOKUP(E3351,BD!$L$2:$Q$66,6,0),0)</f>
        <v>30</v>
      </c>
      <c r="I3351" s="96">
        <f>IFERROR(G3351*VLOOKUP($E3351,BD!$L$2:$Q$66,5,0),0)</f>
        <v>378</v>
      </c>
      <c r="J3351" s="5">
        <f t="shared" si="223"/>
        <v>2021</v>
      </c>
    </row>
    <row r="3352" spans="1:11" s="9" customFormat="1" ht="15.75" hidden="1" thickBot="1" x14ac:dyDescent="0.3">
      <c r="A3352" s="492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9">
        <v>256679</v>
      </c>
      <c r="F3352" s="8" t="str">
        <f>IFERROR(VLOOKUP(E3352,BD!$L$2:$Q$66,2,0),0)</f>
        <v>TRIPACK CC+IK+IK PFM 3LX3 - RFNN</v>
      </c>
      <c r="G3352" s="501">
        <v>90</v>
      </c>
      <c r="H3352" s="8">
        <f>+IFERROR(VLOOKUP(E3352,BD!$L$2:$Q$66,6,0),0)</f>
        <v>90</v>
      </c>
      <c r="I3352" s="98">
        <f>IFERROR(G3352*VLOOKUP($E3352,BD!$L$2:$Q$66,5,0),0)</f>
        <v>15.3</v>
      </c>
      <c r="J3352" s="110">
        <f t="shared" si="223"/>
        <v>2021</v>
      </c>
    </row>
    <row r="3353" spans="1:11" s="9" customFormat="1" hidden="1" x14ac:dyDescent="0.25">
      <c r="A3353" s="532">
        <v>44538</v>
      </c>
      <c r="B3353" s="502" t="str">
        <f t="shared" si="220"/>
        <v>DICIEMBRE</v>
      </c>
      <c r="C3353" s="502">
        <f t="shared" si="221"/>
        <v>50</v>
      </c>
      <c r="D3353" s="533" t="str">
        <f t="shared" si="222"/>
        <v>MIÉRCOLES</v>
      </c>
      <c r="E3353" s="534">
        <v>256677</v>
      </c>
      <c r="F3353" s="533" t="str">
        <f>IFERROR(VLOOKUP(E3353,BD!$L$2:$Q$66,2,0),0)</f>
        <v>TWO PACK CC + IK PFM 3LX2 - RFNN</v>
      </c>
      <c r="G3353" s="535">
        <v>9120</v>
      </c>
      <c r="H3353" s="533">
        <f>+IFERROR(VLOOKUP(E3353,BD!$L$2:$Q$66,6,0),0)</f>
        <v>120</v>
      </c>
      <c r="I3353" s="536">
        <f>IFERROR(G3353*VLOOKUP($E3353,BD!$L$2:$Q$66,5,0),0)</f>
        <v>1550.4</v>
      </c>
      <c r="J3353" s="537">
        <f t="shared" si="223"/>
        <v>2021</v>
      </c>
      <c r="K3353" s="659" t="s">
        <v>243</v>
      </c>
    </row>
    <row r="3354" spans="1:11" s="9" customFormat="1" hidden="1" x14ac:dyDescent="0.25">
      <c r="A3354" s="538">
        <v>44538</v>
      </c>
      <c r="B3354" s="370" t="str">
        <f t="shared" si="220"/>
        <v>DICIEMBRE</v>
      </c>
      <c r="C3354" s="370">
        <f t="shared" si="221"/>
        <v>50</v>
      </c>
      <c r="D3354" s="94" t="str">
        <f t="shared" si="222"/>
        <v>MIÉRCOLES</v>
      </c>
      <c r="E3354" s="378">
        <v>256679</v>
      </c>
      <c r="F3354" s="94" t="str">
        <f>IFERROR(VLOOKUP(E3354,BD!$L$2:$Q$66,2,0),0)</f>
        <v>TRIPACK CC+IK+IK PFM 3LX3 - RFNN</v>
      </c>
      <c r="G3354" s="503">
        <v>360</v>
      </c>
      <c r="H3354" s="94">
        <f>+IFERROR(VLOOKUP(E3354,BD!$L$2:$Q$66,6,0),0)</f>
        <v>90</v>
      </c>
      <c r="I3354" s="531">
        <f>IFERROR(G3354*VLOOKUP($E3354,BD!$L$2:$Q$66,5,0),0)</f>
        <v>61.2</v>
      </c>
      <c r="J3354" s="539">
        <f t="shared" si="223"/>
        <v>2021</v>
      </c>
      <c r="K3354" s="660"/>
    </row>
    <row r="3355" spans="1:11" s="9" customFormat="1" ht="15.75" hidden="1" thickBot="1" x14ac:dyDescent="0.3">
      <c r="A3355" s="540">
        <v>44538</v>
      </c>
      <c r="B3355" s="505" t="str">
        <f t="shared" si="220"/>
        <v>DICIEMBRE</v>
      </c>
      <c r="C3355" s="505">
        <f t="shared" si="221"/>
        <v>50</v>
      </c>
      <c r="D3355" s="541" t="str">
        <f t="shared" si="222"/>
        <v>MIÉRCOLES</v>
      </c>
      <c r="E3355" s="506">
        <v>256616</v>
      </c>
      <c r="F3355" s="541" t="str">
        <f>IFERROR(VLOOKUP(E3355,BD!$L$2:$Q$66,2,0),0)</f>
        <v>TWO PACK SCHWEPPES CITRUS PET 1.5LX2</v>
      </c>
      <c r="G3355" s="518">
        <v>792</v>
      </c>
      <c r="H3355" s="541">
        <f>+IFERROR(VLOOKUP(E3355,BD!$L$2:$Q$66,6,0),0)</f>
        <v>198</v>
      </c>
      <c r="I3355" s="542">
        <f>IFERROR(G3355*VLOOKUP($E3355,BD!$L$2:$Q$66,5,0),0)</f>
        <v>134.64000000000001</v>
      </c>
      <c r="J3355" s="543">
        <f t="shared" si="223"/>
        <v>2021</v>
      </c>
      <c r="K3355" s="661"/>
    </row>
    <row r="3356" spans="1:11" s="9" customFormat="1" hidden="1" x14ac:dyDescent="0.25">
      <c r="A3356" s="493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63">
        <v>256379</v>
      </c>
      <c r="F3356" s="6" t="str">
        <f>IFERROR(VLOOKUP(E3356,BD!$L$2:$Q$66,2,0),0)</f>
        <v>INCA KOLA VR 625MLX12 - STICKER</v>
      </c>
      <c r="G3356" s="513">
        <v>200</v>
      </c>
      <c r="H3356" s="6">
        <f>+IFERROR(VLOOKUP(E3356,BD!$L$2:$Q$66,6,0),0)</f>
        <v>50</v>
      </c>
      <c r="I3356" s="97">
        <f>IFERROR(G3356*VLOOKUP($E3356,BD!$L$2:$Q$66,5,0),0)</f>
        <v>80</v>
      </c>
      <c r="J3356" s="109">
        <f t="shared" si="223"/>
        <v>2021</v>
      </c>
    </row>
    <row r="3357" spans="1:11" s="9" customFormat="1" hidden="1" x14ac:dyDescent="0.25">
      <c r="A3357" s="491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7">
        <v>256381</v>
      </c>
      <c r="F3357" s="3" t="str">
        <f>IFERROR(VLOOKUP(E3357,BD!$L$2:$Q$66,2,0),0)</f>
        <v>INCA KOLA VR 1.5LX8 - STICKER</v>
      </c>
      <c r="G3357" s="424">
        <v>240</v>
      </c>
      <c r="H3357" s="3">
        <f>+IFERROR(VLOOKUP(E3357,BD!$L$2:$Q$66,6,0),0)</f>
        <v>30</v>
      </c>
      <c r="I3357" s="96">
        <f>IFERROR(G3357*VLOOKUP($E3357,BD!$L$2:$Q$66,5,0),0)</f>
        <v>96</v>
      </c>
      <c r="J3357" s="5">
        <f t="shared" si="223"/>
        <v>2021</v>
      </c>
    </row>
    <row r="3358" spans="1:11" s="9" customFormat="1" ht="15.75" hidden="1" thickBot="1" x14ac:dyDescent="0.3">
      <c r="A3358" s="492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9">
        <v>256753</v>
      </c>
      <c r="F3358" s="8" t="str">
        <f>IFERROR(VLOOKUP(E3358,BD!$L$2:$Q$66,2,0),0)</f>
        <v>PACK-2 FT NAR+FT KI+FT PIÑA+SP RP 1.5LX8</v>
      </c>
      <c r="G3358" s="501">
        <v>60</v>
      </c>
      <c r="H3358" s="8">
        <f>+IFERROR(VLOOKUP(E3358,BD!$L$2:$Q$66,6,0),0)</f>
        <v>30</v>
      </c>
      <c r="I3358" s="98">
        <f>IFERROR(G3358*VLOOKUP($E3358,BD!$L$2:$Q$66,5,0),0)</f>
        <v>12.6</v>
      </c>
      <c r="J3358" s="110">
        <f t="shared" si="223"/>
        <v>2021</v>
      </c>
    </row>
    <row r="3359" spans="1:11" s="9" customFormat="1" hidden="1" x14ac:dyDescent="0.25">
      <c r="A3359" s="493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63">
        <v>256383</v>
      </c>
      <c r="F3359" s="6" t="str">
        <f>IFERROR(VLOOKUP(E3359,BD!$L$2:$Q$66,2,0),0)</f>
        <v>COCA COLA VR 1.5LX8 - STICKER</v>
      </c>
      <c r="G3359" s="513">
        <v>150</v>
      </c>
      <c r="H3359" s="6">
        <f>+IFERROR(VLOOKUP(E3359,BD!$L$2:$Q$66,6,0),0)</f>
        <v>30</v>
      </c>
      <c r="I3359" s="97">
        <f>IFERROR(G3359*VLOOKUP($E3359,BD!$L$2:$Q$66,5,0),0)</f>
        <v>34.5</v>
      </c>
      <c r="J3359" s="109">
        <f t="shared" si="223"/>
        <v>2021</v>
      </c>
    </row>
    <row r="3360" spans="1:11" s="9" customFormat="1" hidden="1" x14ac:dyDescent="0.25">
      <c r="A3360" s="491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7">
        <v>256382</v>
      </c>
      <c r="F3360" s="3" t="str">
        <f>IFERROR(VLOOKUP(E3360,BD!$L$2:$Q$66,2,0),0)</f>
        <v>COCA COLA VR 296MLX24 - STICKER</v>
      </c>
      <c r="G3360" s="424">
        <v>200</v>
      </c>
      <c r="H3360" s="3">
        <f>+IFERROR(VLOOKUP(E3360,BD!$L$2:$Q$66,6,0),0)</f>
        <v>40</v>
      </c>
      <c r="I3360" s="96">
        <f>IFERROR(G3360*VLOOKUP($E3360,BD!$L$2:$Q$66,5,0),0)</f>
        <v>46</v>
      </c>
      <c r="J3360" s="5">
        <f t="shared" si="223"/>
        <v>2021</v>
      </c>
    </row>
    <row r="3361" spans="1:11" s="9" customFormat="1" hidden="1" x14ac:dyDescent="0.25">
      <c r="A3361" s="491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7">
        <v>256381</v>
      </c>
      <c r="F3361" s="3" t="str">
        <f>IFERROR(VLOOKUP(E3361,BD!$L$2:$Q$66,2,0),0)</f>
        <v>INCA KOLA VR 1.5LX8 - STICKER</v>
      </c>
      <c r="G3361" s="424">
        <v>150</v>
      </c>
      <c r="H3361" s="3">
        <f>+IFERROR(VLOOKUP(E3361,BD!$L$2:$Q$66,6,0),0)</f>
        <v>30</v>
      </c>
      <c r="I3361" s="96">
        <f>IFERROR(G3361*VLOOKUP($E3361,BD!$L$2:$Q$66,5,0),0)</f>
        <v>60</v>
      </c>
      <c r="J3361" s="5">
        <f t="shared" si="223"/>
        <v>2021</v>
      </c>
    </row>
    <row r="3362" spans="1:11" s="9" customFormat="1" hidden="1" x14ac:dyDescent="0.25">
      <c r="A3362" s="491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7">
        <v>256380</v>
      </c>
      <c r="F3362" s="3" t="str">
        <f>IFERROR(VLOOKUP(E3362,BD!$L$2:$Q$66,2,0),0)</f>
        <v>INCA KOLA VR 296MLX24 - STICKER</v>
      </c>
      <c r="G3362" s="424">
        <v>200</v>
      </c>
      <c r="H3362" s="3">
        <f>+IFERROR(VLOOKUP(E3362,BD!$L$2:$Q$66,6,0),0)</f>
        <v>40</v>
      </c>
      <c r="I3362" s="96">
        <f>IFERROR(G3362*VLOOKUP($E3362,BD!$L$2:$Q$66,5,0),0)</f>
        <v>46</v>
      </c>
      <c r="J3362" s="5">
        <f t="shared" si="223"/>
        <v>2021</v>
      </c>
    </row>
    <row r="3363" spans="1:11" s="9" customFormat="1" hidden="1" x14ac:dyDescent="0.25">
      <c r="A3363" s="491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7">
        <v>256379</v>
      </c>
      <c r="F3363" s="3" t="str">
        <f>IFERROR(VLOOKUP(E3363,BD!$L$2:$Q$66,2,0),0)</f>
        <v>INCA KOLA VR 625MLX12 - STICKER</v>
      </c>
      <c r="G3363" s="424">
        <v>200</v>
      </c>
      <c r="H3363" s="3">
        <f>+IFERROR(VLOOKUP(E3363,BD!$L$2:$Q$66,6,0),0)</f>
        <v>50</v>
      </c>
      <c r="I3363" s="96">
        <f>IFERROR(G3363*VLOOKUP($E3363,BD!$L$2:$Q$66,5,0),0)</f>
        <v>80</v>
      </c>
      <c r="J3363" s="5">
        <f t="shared" si="223"/>
        <v>2021</v>
      </c>
    </row>
    <row r="3364" spans="1:11" s="9" customFormat="1" hidden="1" x14ac:dyDescent="0.25">
      <c r="A3364" s="491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7">
        <v>251406</v>
      </c>
      <c r="F3364" s="3" t="str">
        <f>IFERROR(VLOOKUP(E3364,BD!$L$2:$Q$66,2,0),0)</f>
        <v>COCA-COLA SIN AZUCAR PET 1.5LX2</v>
      </c>
      <c r="G3364" s="424">
        <v>1080</v>
      </c>
      <c r="H3364" s="3">
        <f>+IFERROR(VLOOKUP(E3364,BD!$L$2:$Q$66,6,0),0)</f>
        <v>198</v>
      </c>
      <c r="I3364" s="96">
        <f>IFERROR(G3364*VLOOKUP($E3364,BD!$L$2:$Q$66,5,0),0)</f>
        <v>183.60000000000002</v>
      </c>
      <c r="J3364" s="5">
        <f t="shared" si="223"/>
        <v>2021</v>
      </c>
    </row>
    <row r="3365" spans="1:11" s="9" customFormat="1" hidden="1" x14ac:dyDescent="0.25">
      <c r="A3365" s="491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7">
        <v>256666</v>
      </c>
      <c r="F3365" s="3" t="str">
        <f>IFERROR(VLOOKUP(E3365,BD!$L$2:$Q$66,2,0),0)</f>
        <v>COCA-COLA PET 2.25LX2 RF</v>
      </c>
      <c r="G3365" s="424">
        <v>486</v>
      </c>
      <c r="H3365" s="3">
        <f>+IFERROR(VLOOKUP(E3365,BD!$L$2:$Q$66,6,0),0)</f>
        <v>162</v>
      </c>
      <c r="I3365" s="96">
        <f>IFERROR(G3365*VLOOKUP($E3365,BD!$L$2:$Q$66,5,0),0)</f>
        <v>82.62</v>
      </c>
      <c r="J3365" s="5">
        <f t="shared" si="223"/>
        <v>2021</v>
      </c>
    </row>
    <row r="3366" spans="1:11" s="9" customFormat="1" hidden="1" x14ac:dyDescent="0.25">
      <c r="A3366" s="491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7">
        <v>256601</v>
      </c>
      <c r="F3366" s="3" t="str">
        <f>IFERROR(VLOOKUP(E3366,BD!$L$2:$Q$66,2,0),0)</f>
        <v>INCA KOLA PET 2.25LX2 RF</v>
      </c>
      <c r="G3366" s="424">
        <v>486</v>
      </c>
      <c r="H3366" s="3">
        <f>+IFERROR(VLOOKUP(E3366,BD!$L$2:$Q$66,6,0),0)</f>
        <v>162</v>
      </c>
      <c r="I3366" s="96">
        <f>IFERROR(G3366*VLOOKUP($E3366,BD!$L$2:$Q$66,5,0),0)</f>
        <v>82.62</v>
      </c>
      <c r="J3366" s="5">
        <f t="shared" si="223"/>
        <v>2021</v>
      </c>
    </row>
    <row r="3367" spans="1:11" s="9" customFormat="1" hidden="1" x14ac:dyDescent="0.25">
      <c r="A3367" s="491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7">
        <v>256676</v>
      </c>
      <c r="F3367" s="3" t="str">
        <f>IFERROR(VLOOKUP(E3367,BD!$L$2:$Q$66,2,0),0)</f>
        <v>TWO PACK CC PFM 3LX2 - RFCC</v>
      </c>
      <c r="G3367" s="424">
        <v>600</v>
      </c>
      <c r="H3367" s="3">
        <f>+IFERROR(VLOOKUP(E3367,BD!$L$2:$Q$66,6,0),0)</f>
        <v>120</v>
      </c>
      <c r="I3367" s="96">
        <f>IFERROR(G3367*VLOOKUP($E3367,BD!$L$2:$Q$66,5,0),0)</f>
        <v>102.00000000000001</v>
      </c>
      <c r="J3367" s="5">
        <f t="shared" si="223"/>
        <v>2021</v>
      </c>
    </row>
    <row r="3368" spans="1:11" s="9" customFormat="1" hidden="1" x14ac:dyDescent="0.25">
      <c r="A3368" s="491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7">
        <v>256652</v>
      </c>
      <c r="F3368" s="3" t="str">
        <f>IFERROR(VLOOKUP(E3368,BD!$L$2:$Q$66,2,0),0)</f>
        <v>TRIPACK FT NAR+FT KI+SP PET 3L</v>
      </c>
      <c r="G3368" s="424">
        <v>630</v>
      </c>
      <c r="H3368" s="3">
        <f>+IFERROR(VLOOKUP(E3368,BD!$L$2:$Q$66,6,0),0)</f>
        <v>90</v>
      </c>
      <c r="I3368" s="96">
        <f>IFERROR(G3368*VLOOKUP($E3368,BD!$L$2:$Q$66,5,0),0)</f>
        <v>107.10000000000001</v>
      </c>
      <c r="J3368" s="5">
        <f t="shared" si="223"/>
        <v>2021</v>
      </c>
    </row>
    <row r="3369" spans="1:11" s="9" customFormat="1" hidden="1" x14ac:dyDescent="0.25">
      <c r="A3369" s="491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7">
        <v>256677</v>
      </c>
      <c r="F3369" s="3" t="str">
        <f>IFERROR(VLOOKUP(E3369,BD!$L$2:$Q$66,2,0),0)</f>
        <v>TWO PACK CC + IK PFM 3LX2 - RFNN</v>
      </c>
      <c r="G3369" s="424">
        <v>2520</v>
      </c>
      <c r="H3369" s="3">
        <f>+IFERROR(VLOOKUP(E3369,BD!$L$2:$Q$66,6,0),0)</f>
        <v>120</v>
      </c>
      <c r="I3369" s="96">
        <f>IFERROR(G3369*VLOOKUP($E3369,BD!$L$2:$Q$66,5,0),0)</f>
        <v>428.40000000000003</v>
      </c>
      <c r="J3369" s="5">
        <f t="shared" si="223"/>
        <v>2021</v>
      </c>
    </row>
    <row r="3370" spans="1:11" s="9" customFormat="1" hidden="1" x14ac:dyDescent="0.25">
      <c r="A3370" s="491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7">
        <v>256678</v>
      </c>
      <c r="F3370" s="3" t="str">
        <f>IFERROR(VLOOKUP(E3370,BD!$L$2:$Q$66,2,0),0)</f>
        <v>TRIPACK (CC+IK)PFM+FT PET 3LX3 - RFNN</v>
      </c>
      <c r="G3370" s="424">
        <v>1440</v>
      </c>
      <c r="H3370" s="3">
        <f>+IFERROR(VLOOKUP(E3370,BD!$L$2:$Q$66,6,0),0)</f>
        <v>90</v>
      </c>
      <c r="I3370" s="96">
        <f>IFERROR(G3370*VLOOKUP($E3370,BD!$L$2:$Q$66,5,0),0)</f>
        <v>244.8</v>
      </c>
      <c r="J3370" s="5">
        <f t="shared" si="223"/>
        <v>2021</v>
      </c>
    </row>
    <row r="3371" spans="1:11" s="9" customFormat="1" hidden="1" x14ac:dyDescent="0.25">
      <c r="A3371" s="52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70">
        <v>256753</v>
      </c>
      <c r="F3371" s="33" t="str">
        <f>IFERROR(VLOOKUP(E3371,BD!$L$2:$Q$66,2,0),0)</f>
        <v>PACK-2 FT NAR+FT KI+FT PIÑA+SP RP 1.5LX8</v>
      </c>
      <c r="G3371" s="512">
        <v>870</v>
      </c>
      <c r="H3371" s="33">
        <f>+IFERROR(VLOOKUP(E3371,BD!$L$2:$Q$66,6,0),0)</f>
        <v>30</v>
      </c>
      <c r="I3371" s="499">
        <f>IFERROR(G3371*VLOOKUP($E3371,BD!$L$2:$Q$66,5,0),0)</f>
        <v>182.7</v>
      </c>
      <c r="J3371" s="386">
        <f t="shared" si="223"/>
        <v>2021</v>
      </c>
    </row>
    <row r="3372" spans="1:11" s="9" customFormat="1" hidden="1" x14ac:dyDescent="0.25">
      <c r="A3372" s="532">
        <v>44539</v>
      </c>
      <c r="B3372" s="502" t="str">
        <f t="shared" si="220"/>
        <v>DICIEMBRE</v>
      </c>
      <c r="C3372" s="502">
        <f t="shared" si="221"/>
        <v>50</v>
      </c>
      <c r="D3372" s="533" t="str">
        <f t="shared" si="222"/>
        <v>JUEVES</v>
      </c>
      <c r="E3372" s="534">
        <v>256616</v>
      </c>
      <c r="F3372" s="533" t="str">
        <f>IFERROR(VLOOKUP(E3372,BD!$L$2:$Q$66,2,0),0)</f>
        <v>TWO PACK SCHWEPPES CITRUS PET 1.5LX2</v>
      </c>
      <c r="G3372" s="535">
        <v>396</v>
      </c>
      <c r="H3372" s="533">
        <f>+IFERROR(VLOOKUP(E3372,BD!$L$2:$Q$66,6,0),0)</f>
        <v>198</v>
      </c>
      <c r="I3372" s="536">
        <f>IFERROR(G3372*VLOOKUP($E3372,BD!$L$2:$Q$66,5,0),0)</f>
        <v>67.320000000000007</v>
      </c>
      <c r="J3372" s="537">
        <f t="shared" si="223"/>
        <v>2021</v>
      </c>
      <c r="K3372" s="628" t="s">
        <v>262</v>
      </c>
    </row>
    <row r="3373" spans="1:11" s="9" customFormat="1" ht="15.75" hidden="1" thickBot="1" x14ac:dyDescent="0.3">
      <c r="A3373" s="540">
        <v>44539</v>
      </c>
      <c r="B3373" s="505" t="str">
        <f t="shared" si="220"/>
        <v>DICIEMBRE</v>
      </c>
      <c r="C3373" s="505">
        <f t="shared" si="221"/>
        <v>50</v>
      </c>
      <c r="D3373" s="541" t="str">
        <f t="shared" si="222"/>
        <v>JUEVES</v>
      </c>
      <c r="E3373" s="506">
        <v>256676</v>
      </c>
      <c r="F3373" s="541" t="str">
        <f>IFERROR(VLOOKUP(E3373,BD!$L$2:$Q$66,2,0),0)</f>
        <v>TWO PACK CC PFM 3LX2 - RFCC</v>
      </c>
      <c r="G3373" s="518">
        <v>240</v>
      </c>
      <c r="H3373" s="541">
        <f>+IFERROR(VLOOKUP(E3373,BD!$L$2:$Q$66,6,0),0)</f>
        <v>120</v>
      </c>
      <c r="I3373" s="542">
        <f>IFERROR(G3373*VLOOKUP($E3373,BD!$L$2:$Q$66,5,0),0)</f>
        <v>40.800000000000004</v>
      </c>
      <c r="J3373" s="543">
        <f t="shared" si="223"/>
        <v>2021</v>
      </c>
      <c r="K3373" s="630"/>
    </row>
    <row r="3374" spans="1:11" s="9" customFormat="1" ht="15" hidden="1" customHeight="1" x14ac:dyDescent="0.25">
      <c r="A3374" s="532">
        <v>44539</v>
      </c>
      <c r="B3374" s="502" t="str">
        <f t="shared" si="220"/>
        <v>DICIEMBRE</v>
      </c>
      <c r="C3374" s="502">
        <f t="shared" si="221"/>
        <v>50</v>
      </c>
      <c r="D3374" s="533" t="str">
        <f t="shared" si="222"/>
        <v>JUEVES</v>
      </c>
      <c r="E3374" s="534">
        <v>251406</v>
      </c>
      <c r="F3374" s="533" t="str">
        <f>IFERROR(VLOOKUP(E3374,BD!$L$2:$Q$66,2,0),0)</f>
        <v>COCA-COLA SIN AZUCAR PET 1.5LX2</v>
      </c>
      <c r="G3374" s="535">
        <v>4320</v>
      </c>
      <c r="H3374" s="533">
        <f>+IFERROR(VLOOKUP(E3374,BD!$L$2:$Q$66,6,0),0)</f>
        <v>198</v>
      </c>
      <c r="I3374" s="536">
        <f>IFERROR(G3374*VLOOKUP($E3374,BD!$L$2:$Q$66,5,0),0)</f>
        <v>734.40000000000009</v>
      </c>
      <c r="J3374" s="537">
        <f t="shared" si="223"/>
        <v>2021</v>
      </c>
      <c r="K3374" s="639" t="s">
        <v>243</v>
      </c>
    </row>
    <row r="3375" spans="1:11" s="9" customFormat="1" hidden="1" x14ac:dyDescent="0.25">
      <c r="A3375" s="538">
        <v>44539</v>
      </c>
      <c r="B3375" s="370" t="str">
        <f t="shared" si="220"/>
        <v>DICIEMBRE</v>
      </c>
      <c r="C3375" s="370">
        <f t="shared" si="221"/>
        <v>50</v>
      </c>
      <c r="D3375" s="94" t="str">
        <f t="shared" si="222"/>
        <v>JUEVES</v>
      </c>
      <c r="E3375" s="378">
        <v>256675</v>
      </c>
      <c r="F3375" s="94" t="str">
        <f>IFERROR(VLOOKUP(E3375,BD!$L$2:$Q$66,2,0),0)</f>
        <v>INCA KOLA PET 1.5LX2 RF</v>
      </c>
      <c r="G3375" s="503">
        <v>1512</v>
      </c>
      <c r="H3375" s="94">
        <f>+IFERROR(VLOOKUP(E3375,BD!$L$2:$Q$66,6,0),0)</f>
        <v>198</v>
      </c>
      <c r="I3375" s="531">
        <f>IFERROR(G3375*VLOOKUP($E3375,BD!$L$2:$Q$66,5,0),0)</f>
        <v>257.04000000000002</v>
      </c>
      <c r="J3375" s="539">
        <f t="shared" si="223"/>
        <v>2021</v>
      </c>
      <c r="K3375" s="640"/>
    </row>
    <row r="3376" spans="1:11" s="9" customFormat="1" hidden="1" x14ac:dyDescent="0.25">
      <c r="A3376" s="538">
        <v>44539</v>
      </c>
      <c r="B3376" s="370" t="str">
        <f t="shared" si="220"/>
        <v>DICIEMBRE</v>
      </c>
      <c r="C3376" s="370">
        <f t="shared" si="221"/>
        <v>50</v>
      </c>
      <c r="D3376" s="94" t="str">
        <f t="shared" si="222"/>
        <v>JUEVES</v>
      </c>
      <c r="E3376" s="378">
        <v>256679</v>
      </c>
      <c r="F3376" s="94" t="str">
        <f>IFERROR(VLOOKUP(E3376,BD!$L$2:$Q$66,2,0),0)</f>
        <v>TRIPACK CC+IK+IK PFM 3LX3 - RFNN</v>
      </c>
      <c r="G3376" s="503">
        <v>900</v>
      </c>
      <c r="H3376" s="94">
        <f>+IFERROR(VLOOKUP(E3376,BD!$L$2:$Q$66,6,0),0)</f>
        <v>90</v>
      </c>
      <c r="I3376" s="531">
        <f>IFERROR(G3376*VLOOKUP($E3376,BD!$L$2:$Q$66,5,0),0)</f>
        <v>153</v>
      </c>
      <c r="J3376" s="539">
        <f t="shared" si="223"/>
        <v>2021</v>
      </c>
      <c r="K3376" s="640"/>
    </row>
    <row r="3377" spans="1:11" s="9" customFormat="1" hidden="1" x14ac:dyDescent="0.25">
      <c r="A3377" s="538">
        <v>44539</v>
      </c>
      <c r="B3377" s="370" t="str">
        <f t="shared" si="220"/>
        <v>DICIEMBRE</v>
      </c>
      <c r="C3377" s="370">
        <f t="shared" si="221"/>
        <v>50</v>
      </c>
      <c r="D3377" s="94" t="str">
        <f t="shared" si="222"/>
        <v>JUEVES</v>
      </c>
      <c r="E3377" s="378">
        <v>256652</v>
      </c>
      <c r="F3377" s="94" t="str">
        <f>IFERROR(VLOOKUP(E3377,BD!$L$2:$Q$66,2,0),0)</f>
        <v>TRIPACK FT NAR+FT KI+SP PET 3L</v>
      </c>
      <c r="G3377" s="503">
        <v>270</v>
      </c>
      <c r="H3377" s="94">
        <f>+IFERROR(VLOOKUP(E3377,BD!$L$2:$Q$66,6,0),0)</f>
        <v>90</v>
      </c>
      <c r="I3377" s="531">
        <f>IFERROR(G3377*VLOOKUP($E3377,BD!$L$2:$Q$66,5,0),0)</f>
        <v>45.900000000000006</v>
      </c>
      <c r="J3377" s="539">
        <f t="shared" si="223"/>
        <v>2021</v>
      </c>
      <c r="K3377" s="640"/>
    </row>
    <row r="3378" spans="1:11" s="9" customFormat="1" hidden="1" x14ac:dyDescent="0.25">
      <c r="A3378" s="538">
        <v>44539</v>
      </c>
      <c r="B3378" s="370" t="str">
        <f t="shared" si="220"/>
        <v>DICIEMBRE</v>
      </c>
      <c r="C3378" s="370">
        <f t="shared" si="221"/>
        <v>50</v>
      </c>
      <c r="D3378" s="94" t="str">
        <f t="shared" si="222"/>
        <v>JUEVES</v>
      </c>
      <c r="E3378" s="378">
        <v>256678</v>
      </c>
      <c r="F3378" s="94" t="str">
        <f>IFERROR(VLOOKUP(E3378,BD!$L$2:$Q$66,2,0),0)</f>
        <v>TRIPACK (CC+IK)PFM+FT PET 3LX3 - RFNN</v>
      </c>
      <c r="G3378" s="503">
        <v>2340</v>
      </c>
      <c r="H3378" s="94">
        <f>+IFERROR(VLOOKUP(E3378,BD!$L$2:$Q$66,6,0),0)</f>
        <v>90</v>
      </c>
      <c r="I3378" s="531">
        <f>IFERROR(G3378*VLOOKUP($E3378,BD!$L$2:$Q$66,5,0),0)</f>
        <v>397.8</v>
      </c>
      <c r="J3378" s="539">
        <f t="shared" si="223"/>
        <v>2021</v>
      </c>
      <c r="K3378" s="640"/>
    </row>
    <row r="3379" spans="1:11" s="9" customFormat="1" ht="15.75" hidden="1" thickBot="1" x14ac:dyDescent="0.3">
      <c r="A3379" s="594">
        <v>44539</v>
      </c>
      <c r="B3379" s="311" t="str">
        <f t="shared" si="220"/>
        <v>DICIEMBRE</v>
      </c>
      <c r="C3379" s="311">
        <f t="shared" si="221"/>
        <v>50</v>
      </c>
      <c r="D3379" s="595" t="str">
        <f t="shared" si="222"/>
        <v>JUEVES</v>
      </c>
      <c r="E3379" s="385">
        <v>256677</v>
      </c>
      <c r="F3379" s="595" t="str">
        <f>IFERROR(VLOOKUP(E3379,BD!$L$2:$Q$66,2,0),0)</f>
        <v>TWO PACK CC + IK PFM 3LX2 - RFNN</v>
      </c>
      <c r="G3379" s="596">
        <v>5640</v>
      </c>
      <c r="H3379" s="595">
        <f>+IFERROR(VLOOKUP(E3379,BD!$L$2:$Q$66,6,0),0)</f>
        <v>120</v>
      </c>
      <c r="I3379" s="597">
        <f>IFERROR(G3379*VLOOKUP($E3379,BD!$L$2:$Q$66,5,0),0)</f>
        <v>958.80000000000007</v>
      </c>
      <c r="J3379" s="598">
        <f t="shared" si="223"/>
        <v>2021</v>
      </c>
      <c r="K3379" s="641"/>
    </row>
    <row r="3380" spans="1:11" s="9" customFormat="1" hidden="1" x14ac:dyDescent="0.25">
      <c r="A3380" s="532">
        <v>44539</v>
      </c>
      <c r="B3380" s="502" t="str">
        <f t="shared" si="220"/>
        <v>DICIEMBRE</v>
      </c>
      <c r="C3380" s="502">
        <f t="shared" si="221"/>
        <v>50</v>
      </c>
      <c r="D3380" s="533" t="str">
        <f t="shared" si="222"/>
        <v>JUEVES</v>
      </c>
      <c r="E3380" s="534">
        <v>256677</v>
      </c>
      <c r="F3380" s="533" t="str">
        <f>IFERROR(VLOOKUP(E3380,BD!$L$2:$Q$66,2,0),0)</f>
        <v>TWO PACK CC + IK PFM 3LX2 - RFNN</v>
      </c>
      <c r="G3380" s="535">
        <v>2160</v>
      </c>
      <c r="H3380" s="533">
        <f>+IFERROR(VLOOKUP(E3380,BD!$L$2:$Q$66,6,0),0)</f>
        <v>120</v>
      </c>
      <c r="I3380" s="536">
        <f>IFERROR(G3380*VLOOKUP($E3380,BD!$L$2:$Q$66,5,0),0)</f>
        <v>367.20000000000005</v>
      </c>
      <c r="J3380" s="537">
        <f t="shared" si="223"/>
        <v>2021</v>
      </c>
      <c r="K3380" s="634" t="s">
        <v>255</v>
      </c>
    </row>
    <row r="3381" spans="1:11" s="9" customFormat="1" hidden="1" x14ac:dyDescent="0.25">
      <c r="A3381" s="538">
        <v>44539</v>
      </c>
      <c r="B3381" s="370" t="str">
        <f t="shared" si="220"/>
        <v>DICIEMBRE</v>
      </c>
      <c r="C3381" s="370">
        <f t="shared" si="221"/>
        <v>50</v>
      </c>
      <c r="D3381" s="94" t="str">
        <f t="shared" si="222"/>
        <v>JUEVES</v>
      </c>
      <c r="E3381" s="378">
        <v>256652</v>
      </c>
      <c r="F3381" s="94" t="str">
        <f>IFERROR(VLOOKUP(E3381,BD!$L$2:$Q$66,2,0),0)</f>
        <v>TRIPACK FT NAR+FT KI+SP PET 3L</v>
      </c>
      <c r="G3381" s="503">
        <v>1440</v>
      </c>
      <c r="H3381" s="94">
        <f>+IFERROR(VLOOKUP(E3381,BD!$L$2:$Q$66,6,0),0)</f>
        <v>90</v>
      </c>
      <c r="I3381" s="531">
        <f>IFERROR(G3381*VLOOKUP($E3381,BD!$L$2:$Q$66,5,0),0)</f>
        <v>244.8</v>
      </c>
      <c r="J3381" s="539">
        <f t="shared" si="223"/>
        <v>2021</v>
      </c>
      <c r="K3381" s="635"/>
    </row>
    <row r="3382" spans="1:11" s="9" customFormat="1" ht="15.75" hidden="1" thickBot="1" x14ac:dyDescent="0.3">
      <c r="A3382" s="540">
        <v>44539</v>
      </c>
      <c r="B3382" s="505" t="str">
        <f t="shared" si="220"/>
        <v>DICIEMBRE</v>
      </c>
      <c r="C3382" s="505">
        <f t="shared" si="221"/>
        <v>50</v>
      </c>
      <c r="D3382" s="541" t="str">
        <f t="shared" si="222"/>
        <v>JUEVES</v>
      </c>
      <c r="E3382" s="506">
        <v>256678</v>
      </c>
      <c r="F3382" s="541" t="str">
        <f>IFERROR(VLOOKUP(E3382,BD!$L$2:$Q$66,2,0),0)</f>
        <v>TRIPACK (CC+IK)PFM+FT PET 3LX3 - RFNN</v>
      </c>
      <c r="G3382" s="518">
        <v>1440</v>
      </c>
      <c r="H3382" s="541">
        <f>+IFERROR(VLOOKUP(E3382,BD!$L$2:$Q$66,6,0),0)</f>
        <v>90</v>
      </c>
      <c r="I3382" s="542">
        <f>IFERROR(G3382*VLOOKUP($E3382,BD!$L$2:$Q$66,5,0),0)</f>
        <v>244.8</v>
      </c>
      <c r="J3382" s="543">
        <f t="shared" si="223"/>
        <v>2021</v>
      </c>
      <c r="K3382" s="636"/>
    </row>
    <row r="3383" spans="1:11" s="9" customFormat="1" hidden="1" x14ac:dyDescent="0.25">
      <c r="A3383" s="493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63">
        <v>251406</v>
      </c>
      <c r="F3383" s="6" t="str">
        <f>IFERROR(VLOOKUP(E3383,BD!$L$2:$Q$66,2,0),0)</f>
        <v>COCA-COLA SIN AZUCAR PET 1.5LX2</v>
      </c>
      <c r="G3383" s="513">
        <v>2592</v>
      </c>
      <c r="H3383" s="6">
        <f>+IFERROR(VLOOKUP(E3383,BD!$L$2:$Q$66,6,0),0)</f>
        <v>198</v>
      </c>
      <c r="I3383" s="97">
        <f>IFERROR(G3383*VLOOKUP($E3383,BD!$L$2:$Q$66,5,0),0)</f>
        <v>440.64000000000004</v>
      </c>
      <c r="J3383" s="109">
        <f t="shared" si="223"/>
        <v>2021</v>
      </c>
    </row>
    <row r="3384" spans="1:11" s="9" customFormat="1" hidden="1" x14ac:dyDescent="0.25">
      <c r="A3384" s="491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7">
        <v>256549</v>
      </c>
      <c r="F3384" s="3" t="str">
        <f>IFERROR(VLOOKUP(E3384,BD!$L$2:$Q$66,2,0),0)</f>
        <v>TWO PACK IK PET 1.5LX2 - CRCG</v>
      </c>
      <c r="G3384" s="424">
        <v>216</v>
      </c>
      <c r="H3384" s="3">
        <f>+IFERROR(VLOOKUP(E3384,BD!$L$2:$Q$66,6,0),0)</f>
        <v>198</v>
      </c>
      <c r="I3384" s="96">
        <f>IFERROR(G3384*VLOOKUP($E3384,BD!$L$2:$Q$66,5,0),0)</f>
        <v>36.720000000000006</v>
      </c>
      <c r="J3384" s="5">
        <f t="shared" si="223"/>
        <v>2021</v>
      </c>
    </row>
    <row r="3385" spans="1:11" s="9" customFormat="1" hidden="1" x14ac:dyDescent="0.25">
      <c r="A3385" s="491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7">
        <v>256616</v>
      </c>
      <c r="F3385" s="3" t="str">
        <f>IFERROR(VLOOKUP(E3385,BD!$L$2:$Q$66,2,0),0)</f>
        <v>TWO PACK SCHWEPPES CITRUS PET 1.5LX2</v>
      </c>
      <c r="G3385" s="424">
        <v>594</v>
      </c>
      <c r="H3385" s="3">
        <f>+IFERROR(VLOOKUP(E3385,BD!$L$2:$Q$66,6,0),0)</f>
        <v>198</v>
      </c>
      <c r="I3385" s="96">
        <f>IFERROR(G3385*VLOOKUP($E3385,BD!$L$2:$Q$66,5,0),0)</f>
        <v>100.98</v>
      </c>
      <c r="J3385" s="5">
        <f t="shared" si="223"/>
        <v>2021</v>
      </c>
    </row>
    <row r="3386" spans="1:11" s="9" customFormat="1" hidden="1" x14ac:dyDescent="0.25">
      <c r="A3386" s="491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7">
        <v>256488</v>
      </c>
      <c r="F3386" s="3" t="str">
        <f>IFERROR(VLOOKUP(E3386,BD!$L$2:$Q$66,2,0),0)</f>
        <v>INCA KOLA PET 3LX2 - RF</v>
      </c>
      <c r="G3386" s="424">
        <v>3600</v>
      </c>
      <c r="H3386" s="3">
        <f>+IFERROR(VLOOKUP(E3386,BD!$L$2:$Q$66,6,0),0)</f>
        <v>120</v>
      </c>
      <c r="I3386" s="96">
        <f>IFERROR(G3386*VLOOKUP($E3386,BD!$L$2:$Q$66,5,0),0)</f>
        <v>612</v>
      </c>
      <c r="J3386" s="5">
        <f t="shared" si="223"/>
        <v>2021</v>
      </c>
    </row>
    <row r="3387" spans="1:11" s="9" customFormat="1" hidden="1" x14ac:dyDescent="0.25">
      <c r="A3387" s="491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7">
        <v>256677</v>
      </c>
      <c r="F3387" s="3" t="str">
        <f>IFERROR(VLOOKUP(E3387,BD!$L$2:$Q$66,2,0),0)</f>
        <v>TWO PACK CC + IK PFM 3LX2 - RFNN</v>
      </c>
      <c r="G3387" s="424">
        <v>10800</v>
      </c>
      <c r="H3387" s="3">
        <f>+IFERROR(VLOOKUP(E3387,BD!$L$2:$Q$66,6,0),0)</f>
        <v>120</v>
      </c>
      <c r="I3387" s="96">
        <f>IFERROR(G3387*VLOOKUP($E3387,BD!$L$2:$Q$66,5,0),0)</f>
        <v>1836.0000000000002</v>
      </c>
      <c r="J3387" s="5">
        <f t="shared" si="223"/>
        <v>2021</v>
      </c>
    </row>
    <row r="3388" spans="1:11" s="9" customFormat="1" hidden="1" x14ac:dyDescent="0.25">
      <c r="A3388" s="491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7">
        <v>256678</v>
      </c>
      <c r="F3388" s="3" t="str">
        <f>IFERROR(VLOOKUP(E3388,BD!$L$2:$Q$66,2,0),0)</f>
        <v>TRIPACK (CC+IK)PFM+FT PET 3LX3 - RFNN</v>
      </c>
      <c r="G3388" s="424">
        <v>3600</v>
      </c>
      <c r="H3388" s="3">
        <f>+IFERROR(VLOOKUP(E3388,BD!$L$2:$Q$66,6,0),0)</f>
        <v>90</v>
      </c>
      <c r="I3388" s="96">
        <f>IFERROR(G3388*VLOOKUP($E3388,BD!$L$2:$Q$66,5,0),0)</f>
        <v>612</v>
      </c>
      <c r="J3388" s="5">
        <f t="shared" si="223"/>
        <v>2021</v>
      </c>
    </row>
    <row r="3389" spans="1:11" s="9" customFormat="1" hidden="1" x14ac:dyDescent="0.25">
      <c r="A3389" s="52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70">
        <v>256682</v>
      </c>
      <c r="F3389" s="33" t="str">
        <f>IFERROR(VLOOKUP(E3389,BD!$L$2:$Q$66,2,0),0)</f>
        <v>TRIPACK (FT NAR+SP)PET+IK RF PFM 3L</v>
      </c>
      <c r="G3389" s="512">
        <v>720</v>
      </c>
      <c r="H3389" s="33">
        <f>+IFERROR(VLOOKUP(E3389,BD!$L$2:$Q$66,6,0),0)</f>
        <v>90</v>
      </c>
      <c r="I3389" s="499">
        <f>IFERROR(G3389*VLOOKUP($E3389,BD!$L$2:$Q$66,5,0),0)</f>
        <v>122.4</v>
      </c>
      <c r="J3389" s="386">
        <f t="shared" si="223"/>
        <v>2021</v>
      </c>
    </row>
    <row r="3390" spans="1:11" s="9" customFormat="1" hidden="1" x14ac:dyDescent="0.25">
      <c r="A3390" s="599">
        <v>44540</v>
      </c>
      <c r="B3390" s="534" t="str">
        <f t="shared" si="220"/>
        <v>DICIEMBRE</v>
      </c>
      <c r="C3390" s="534">
        <f t="shared" si="221"/>
        <v>50</v>
      </c>
      <c r="D3390" s="600" t="str">
        <f t="shared" si="222"/>
        <v>VIERNES</v>
      </c>
      <c r="E3390" s="534">
        <v>256679</v>
      </c>
      <c r="F3390" s="600" t="str">
        <f>IFERROR(VLOOKUP(E3390,BD!$L$2:$Q$66,2,0),0)</f>
        <v>TRIPACK CC+IK+IK PFM 3LX3 - RFNN</v>
      </c>
      <c r="G3390" s="601">
        <v>1800</v>
      </c>
      <c r="H3390" s="600">
        <f>+IFERROR(VLOOKUP(E3390,BD!$L$2:$Q$66,6,0),0)</f>
        <v>90</v>
      </c>
      <c r="I3390" s="602">
        <f>IFERROR(G3390*VLOOKUP($E3390,BD!$L$2:$Q$66,5,0),0)</f>
        <v>306</v>
      </c>
      <c r="J3390" s="610">
        <f t="shared" si="223"/>
        <v>2021</v>
      </c>
      <c r="K3390" s="631" t="s">
        <v>243</v>
      </c>
    </row>
    <row r="3391" spans="1:11" s="9" customFormat="1" hidden="1" x14ac:dyDescent="0.25">
      <c r="A3391" s="603">
        <v>44540</v>
      </c>
      <c r="B3391" s="378" t="str">
        <f t="shared" si="220"/>
        <v>DICIEMBRE</v>
      </c>
      <c r="C3391" s="378">
        <f t="shared" si="221"/>
        <v>50</v>
      </c>
      <c r="D3391" s="604" t="str">
        <f t="shared" si="222"/>
        <v>VIERNES</v>
      </c>
      <c r="E3391" s="378">
        <v>256680</v>
      </c>
      <c r="F3391" s="604" t="str">
        <f>IFERROR(VLOOKUP(E3391,BD!$L$2:$Q$66,2,0),0)</f>
        <v>TRIPACK CC+CC+IK PFM 3LX3 - RFNN</v>
      </c>
      <c r="G3391" s="507">
        <v>1800</v>
      </c>
      <c r="H3391" s="604">
        <f>+IFERROR(VLOOKUP(E3391,BD!$L$2:$Q$66,6,0),0)</f>
        <v>90</v>
      </c>
      <c r="I3391" s="605">
        <f>IFERROR(G3391*VLOOKUP($E3391,BD!$L$2:$Q$66,5,0),0)</f>
        <v>306</v>
      </c>
      <c r="J3391" s="611">
        <f t="shared" si="223"/>
        <v>2021</v>
      </c>
      <c r="K3391" s="632"/>
    </row>
    <row r="3392" spans="1:11" s="9" customFormat="1" hidden="1" x14ac:dyDescent="0.25">
      <c r="A3392" s="603">
        <v>44540</v>
      </c>
      <c r="B3392" s="378" t="str">
        <f t="shared" ref="B3392:B3455" si="224">UPPER(TEXT(A3392,"MMMM"))</f>
        <v>DICIEMBRE</v>
      </c>
      <c r="C3392" s="378">
        <f t="shared" ref="C3392:C3455" si="225">WEEKNUM(A3392,16)</f>
        <v>50</v>
      </c>
      <c r="D3392" s="604" t="str">
        <f t="shared" ref="D3392:D3455" si="226">UPPER(TEXT(A3392,"DDDD"))</f>
        <v>VIERNES</v>
      </c>
      <c r="E3392" s="378">
        <v>256652</v>
      </c>
      <c r="F3392" s="604" t="str">
        <f>IFERROR(VLOOKUP(E3392,BD!$L$2:$Q$66,2,0),0)</f>
        <v>TRIPACK FT NAR+FT KI+SP PET 3L</v>
      </c>
      <c r="G3392" s="507">
        <v>360</v>
      </c>
      <c r="H3392" s="604">
        <f>+IFERROR(VLOOKUP(E3392,BD!$L$2:$Q$66,6,0),0)</f>
        <v>90</v>
      </c>
      <c r="I3392" s="605">
        <f>IFERROR(G3392*VLOOKUP($E3392,BD!$L$2:$Q$66,5,0),0)</f>
        <v>61.2</v>
      </c>
      <c r="J3392" s="611">
        <f t="shared" ref="J3392:J3455" si="227">+YEAR(A3392)</f>
        <v>2021</v>
      </c>
      <c r="K3392" s="632"/>
    </row>
    <row r="3393" spans="1:11" s="9" customFormat="1" ht="15.75" hidden="1" thickBot="1" x14ac:dyDescent="0.3">
      <c r="A3393" s="606">
        <v>44540</v>
      </c>
      <c r="B3393" s="506" t="str">
        <f t="shared" si="224"/>
        <v>DICIEMBRE</v>
      </c>
      <c r="C3393" s="506">
        <f t="shared" si="225"/>
        <v>50</v>
      </c>
      <c r="D3393" s="607" t="str">
        <f t="shared" si="226"/>
        <v>VIERNES</v>
      </c>
      <c r="E3393" s="506">
        <v>256677</v>
      </c>
      <c r="F3393" s="607" t="str">
        <f>IFERROR(VLOOKUP(E3393,BD!$L$2:$Q$66,2,0),0)</f>
        <v>TWO PACK CC + IK PFM 3LX2 - RFNN</v>
      </c>
      <c r="G3393" s="608">
        <v>480</v>
      </c>
      <c r="H3393" s="607">
        <f>+IFERROR(VLOOKUP(E3393,BD!$L$2:$Q$66,6,0),0)</f>
        <v>120</v>
      </c>
      <c r="I3393" s="609">
        <f>IFERROR(G3393*VLOOKUP($E3393,BD!$L$2:$Q$66,5,0),0)</f>
        <v>81.600000000000009</v>
      </c>
      <c r="J3393" s="612">
        <f t="shared" si="227"/>
        <v>2021</v>
      </c>
      <c r="K3393" s="633"/>
    </row>
    <row r="3394" spans="1:11" s="9" customFormat="1" hidden="1" x14ac:dyDescent="0.25">
      <c r="A3394" s="532">
        <v>44540</v>
      </c>
      <c r="B3394" s="502" t="str">
        <f t="shared" si="224"/>
        <v>DICIEMBRE</v>
      </c>
      <c r="C3394" s="502">
        <f t="shared" si="225"/>
        <v>50</v>
      </c>
      <c r="D3394" s="533" t="str">
        <f t="shared" si="226"/>
        <v>VIERNES</v>
      </c>
      <c r="E3394" s="534">
        <v>256679</v>
      </c>
      <c r="F3394" s="533" t="str">
        <f>IFERROR(VLOOKUP(E3394,BD!$L$2:$Q$66,2,0),0)</f>
        <v>TRIPACK CC+IK+IK PFM 3LX3 - RFNN</v>
      </c>
      <c r="G3394" s="535">
        <v>1170</v>
      </c>
      <c r="H3394" s="533">
        <f>+IFERROR(VLOOKUP(E3394,BD!$L$2:$Q$66,6,0),0)</f>
        <v>90</v>
      </c>
      <c r="I3394" s="536">
        <f>IFERROR(G3394*VLOOKUP($E3394,BD!$L$2:$Q$66,5,0),0)</f>
        <v>198.9</v>
      </c>
      <c r="J3394" s="537">
        <f t="shared" si="227"/>
        <v>2021</v>
      </c>
      <c r="K3394" s="634" t="s">
        <v>256</v>
      </c>
    </row>
    <row r="3395" spans="1:11" s="9" customFormat="1" hidden="1" x14ac:dyDescent="0.25">
      <c r="A3395" s="538">
        <v>44540</v>
      </c>
      <c r="B3395" s="370" t="str">
        <f t="shared" si="224"/>
        <v>DICIEMBRE</v>
      </c>
      <c r="C3395" s="370">
        <f t="shared" si="225"/>
        <v>50</v>
      </c>
      <c r="D3395" s="94" t="str">
        <f t="shared" si="226"/>
        <v>VIERNES</v>
      </c>
      <c r="E3395" s="378">
        <v>256652</v>
      </c>
      <c r="F3395" s="94" t="str">
        <f>IFERROR(VLOOKUP(E3395,BD!$L$2:$Q$66,2,0),0)</f>
        <v>TRIPACK FT NAR+FT KI+SP PET 3L</v>
      </c>
      <c r="G3395" s="503">
        <v>180</v>
      </c>
      <c r="H3395" s="94">
        <f>+IFERROR(VLOOKUP(E3395,BD!$L$2:$Q$66,6,0),0)</f>
        <v>90</v>
      </c>
      <c r="I3395" s="531">
        <f>IFERROR(G3395*VLOOKUP($E3395,BD!$L$2:$Q$66,5,0),0)</f>
        <v>30.6</v>
      </c>
      <c r="J3395" s="539">
        <f t="shared" si="227"/>
        <v>2021</v>
      </c>
      <c r="K3395" s="635"/>
    </row>
    <row r="3396" spans="1:11" s="9" customFormat="1" ht="15.75" hidden="1" thickBot="1" x14ac:dyDescent="0.3">
      <c r="A3396" s="540">
        <v>44540</v>
      </c>
      <c r="B3396" s="505" t="str">
        <f t="shared" si="224"/>
        <v>DICIEMBRE</v>
      </c>
      <c r="C3396" s="505">
        <f t="shared" si="225"/>
        <v>50</v>
      </c>
      <c r="D3396" s="541" t="str">
        <f t="shared" si="226"/>
        <v>VIERNES</v>
      </c>
      <c r="E3396" s="506">
        <v>256678</v>
      </c>
      <c r="F3396" s="541" t="str">
        <f>IFERROR(VLOOKUP(E3396,BD!$L$2:$Q$66,2,0),0)</f>
        <v>TRIPACK (CC+IK)PFM+FT PET 3LX3 - RFNN</v>
      </c>
      <c r="G3396" s="518">
        <v>4230</v>
      </c>
      <c r="H3396" s="541">
        <f>+IFERROR(VLOOKUP(E3396,BD!$L$2:$Q$66,6,0),0)</f>
        <v>90</v>
      </c>
      <c r="I3396" s="542">
        <f>IFERROR(G3396*VLOOKUP($E3396,BD!$L$2:$Q$66,5,0),0)</f>
        <v>719.1</v>
      </c>
      <c r="J3396" s="543">
        <f t="shared" si="227"/>
        <v>2021</v>
      </c>
      <c r="K3396" s="636"/>
    </row>
    <row r="3397" spans="1:11" s="9" customFormat="1" hidden="1" x14ac:dyDescent="0.25">
      <c r="A3397" s="493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63">
        <v>256381</v>
      </c>
      <c r="F3397" s="6" t="str">
        <f>IFERROR(VLOOKUP(E3397,BD!$L$2:$Q$66,2,0),0)</f>
        <v>INCA KOLA VR 1.5LX8 - STICKER</v>
      </c>
      <c r="G3397" s="513">
        <v>180</v>
      </c>
      <c r="H3397" s="6">
        <f>+IFERROR(VLOOKUP(E3397,BD!$L$2:$Q$66,6,0),0)</f>
        <v>30</v>
      </c>
      <c r="I3397" s="97">
        <f>IFERROR(G3397*VLOOKUP($E3397,BD!$L$2:$Q$66,5,0),0)</f>
        <v>72</v>
      </c>
      <c r="J3397" s="109">
        <f t="shared" si="227"/>
        <v>2021</v>
      </c>
    </row>
    <row r="3398" spans="1:11" s="9" customFormat="1" hidden="1" x14ac:dyDescent="0.25">
      <c r="A3398" s="491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7">
        <v>256379</v>
      </c>
      <c r="F3398" s="3" t="str">
        <f>IFERROR(VLOOKUP(E3398,BD!$L$2:$Q$66,2,0),0)</f>
        <v>INCA KOLA VR 625MLX12 - STICKER</v>
      </c>
      <c r="G3398" s="424">
        <v>150</v>
      </c>
      <c r="H3398" s="3">
        <f>+IFERROR(VLOOKUP(E3398,BD!$L$2:$Q$66,6,0),0)</f>
        <v>50</v>
      </c>
      <c r="I3398" s="96">
        <f>IFERROR(G3398*VLOOKUP($E3398,BD!$L$2:$Q$66,5,0),0)</f>
        <v>60</v>
      </c>
      <c r="J3398" s="5">
        <f t="shared" si="227"/>
        <v>2021</v>
      </c>
    </row>
    <row r="3399" spans="1:11" s="9" customFormat="1" hidden="1" x14ac:dyDescent="0.25">
      <c r="A3399" s="491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7">
        <v>256685</v>
      </c>
      <c r="F3399" s="3" t="str">
        <f>IFERROR(VLOOKUP(E3399,BD!$L$2:$Q$66,2,0),0)</f>
        <v>SL S/G TAPA PLANA 1LT</v>
      </c>
      <c r="G3399" s="424">
        <v>336</v>
      </c>
      <c r="H3399" s="3">
        <f>+IFERROR(VLOOKUP(E3399,BD!$L$2:$Q$66,6,0),0)</f>
        <v>112</v>
      </c>
      <c r="I3399" s="96">
        <f>IFERROR(G3399*VLOOKUP($E3399,BD!$L$2:$Q$66,5,0),0)</f>
        <v>134.4</v>
      </c>
      <c r="J3399" s="5">
        <f t="shared" si="227"/>
        <v>2021</v>
      </c>
    </row>
    <row r="3400" spans="1:11" s="9" customFormat="1" hidden="1" x14ac:dyDescent="0.25">
      <c r="A3400" s="491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7">
        <v>251633</v>
      </c>
      <c r="F3400" s="3" t="str">
        <f>IFERROR(VLOOKUP(E3400,BD!$L$2:$Q$66,2,0),0)</f>
        <v>SAN LUIS CON GAS PET 625MLX6</v>
      </c>
      <c r="G3400" s="424">
        <v>1440</v>
      </c>
      <c r="H3400" s="3">
        <f>+IFERROR(VLOOKUP(E3400,BD!$L$2:$Q$66,6,0),0)</f>
        <v>180</v>
      </c>
      <c r="I3400" s="96">
        <f>IFERROR(G3400*VLOOKUP($E3400,BD!$L$2:$Q$66,5,0),0)</f>
        <v>604.79999999999995</v>
      </c>
      <c r="J3400" s="5">
        <f t="shared" si="227"/>
        <v>2021</v>
      </c>
    </row>
    <row r="3401" spans="1:11" s="9" customFormat="1" hidden="1" x14ac:dyDescent="0.25">
      <c r="A3401" s="491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7">
        <v>251406</v>
      </c>
      <c r="F3401" s="3" t="str">
        <f>IFERROR(VLOOKUP(E3401,BD!$L$2:$Q$66,2,0),0)</f>
        <v>COCA-COLA SIN AZUCAR PET 1.5LX2</v>
      </c>
      <c r="G3401" s="424">
        <v>1944</v>
      </c>
      <c r="H3401" s="3">
        <f>+IFERROR(VLOOKUP(E3401,BD!$L$2:$Q$66,6,0),0)</f>
        <v>198</v>
      </c>
      <c r="I3401" s="96">
        <f>IFERROR(G3401*VLOOKUP($E3401,BD!$L$2:$Q$66,5,0),0)</f>
        <v>330.48</v>
      </c>
      <c r="J3401" s="5">
        <f t="shared" si="227"/>
        <v>2021</v>
      </c>
    </row>
    <row r="3402" spans="1:11" s="9" customFormat="1" hidden="1" x14ac:dyDescent="0.25">
      <c r="A3402" s="491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7">
        <v>254853</v>
      </c>
      <c r="F3402" s="3" t="str">
        <f>IFERROR(VLOOKUP(E3402,BD!$L$2:$Q$66,2,0),0)</f>
        <v>INCA KOLA SIN AZUCAR PET 1.5LX2</v>
      </c>
      <c r="G3402" s="424">
        <v>2160</v>
      </c>
      <c r="H3402" s="3">
        <f>+IFERROR(VLOOKUP(E3402,BD!$L$2:$Q$66,6,0),0)</f>
        <v>198</v>
      </c>
      <c r="I3402" s="96">
        <f>IFERROR(G3402*VLOOKUP($E3402,BD!$L$2:$Q$66,5,0),0)</f>
        <v>367.20000000000005</v>
      </c>
      <c r="J3402" s="5">
        <f t="shared" si="227"/>
        <v>2021</v>
      </c>
    </row>
    <row r="3403" spans="1:11" s="9" customFormat="1" hidden="1" x14ac:dyDescent="0.25">
      <c r="A3403" s="491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7">
        <v>256617</v>
      </c>
      <c r="F3403" s="3" t="str">
        <f>IFERROR(VLOOKUP(E3403,BD!$L$2:$Q$66,2,0),0)</f>
        <v>TWO PACK SCHWEPPES GINGER ALE PET 1.5LX2</v>
      </c>
      <c r="G3403" s="424">
        <v>990</v>
      </c>
      <c r="H3403" s="3">
        <f>+IFERROR(VLOOKUP(E3403,BD!$L$2:$Q$66,6,0),0)</f>
        <v>198</v>
      </c>
      <c r="I3403" s="96">
        <f>IFERROR(G3403*VLOOKUP($E3403,BD!$L$2:$Q$66,5,0),0)</f>
        <v>168.3</v>
      </c>
      <c r="J3403" s="5">
        <f t="shared" si="227"/>
        <v>2021</v>
      </c>
    </row>
    <row r="3404" spans="1:11" s="9" customFormat="1" hidden="1" x14ac:dyDescent="0.25">
      <c r="A3404" s="491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7">
        <v>256488</v>
      </c>
      <c r="F3404" s="3" t="str">
        <f>IFERROR(VLOOKUP(E3404,BD!$L$2:$Q$66,2,0),0)</f>
        <v>INCA KOLA PET 3LX2 - RF</v>
      </c>
      <c r="G3404" s="424">
        <v>2400</v>
      </c>
      <c r="H3404" s="3">
        <f>+IFERROR(VLOOKUP(E3404,BD!$L$2:$Q$66,6,0),0)</f>
        <v>120</v>
      </c>
      <c r="I3404" s="96">
        <f>IFERROR(G3404*VLOOKUP($E3404,BD!$L$2:$Q$66,5,0),0)</f>
        <v>408.00000000000006</v>
      </c>
      <c r="J3404" s="5">
        <f t="shared" si="227"/>
        <v>2021</v>
      </c>
    </row>
    <row r="3405" spans="1:11" s="9" customFormat="1" hidden="1" x14ac:dyDescent="0.25">
      <c r="A3405" s="491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7">
        <v>256675</v>
      </c>
      <c r="F3405" s="3" t="str">
        <f>IFERROR(VLOOKUP(E3405,BD!$L$2:$Q$66,2,0),0)</f>
        <v>INCA KOLA PET 1.5LX2 RF</v>
      </c>
      <c r="G3405" s="424">
        <v>1944</v>
      </c>
      <c r="H3405" s="3">
        <f>+IFERROR(VLOOKUP(E3405,BD!$L$2:$Q$66,6,0),0)</f>
        <v>198</v>
      </c>
      <c r="I3405" s="96">
        <f>IFERROR(G3405*VLOOKUP($E3405,BD!$L$2:$Q$66,5,0),0)</f>
        <v>330.48</v>
      </c>
      <c r="J3405" s="5">
        <f t="shared" si="227"/>
        <v>2021</v>
      </c>
    </row>
    <row r="3406" spans="1:11" s="9" customFormat="1" hidden="1" x14ac:dyDescent="0.25">
      <c r="A3406" s="491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7">
        <v>256652</v>
      </c>
      <c r="F3406" s="3" t="str">
        <f>IFERROR(VLOOKUP(E3406,BD!$L$2:$Q$66,2,0),0)</f>
        <v>TRIPACK FT NAR+FT KI+SP PET 3L</v>
      </c>
      <c r="G3406" s="424">
        <v>720</v>
      </c>
      <c r="H3406" s="3">
        <f>+IFERROR(VLOOKUP(E3406,BD!$L$2:$Q$66,6,0),0)</f>
        <v>90</v>
      </c>
      <c r="I3406" s="96">
        <f>IFERROR(G3406*VLOOKUP($E3406,BD!$L$2:$Q$66,5,0),0)</f>
        <v>122.4</v>
      </c>
      <c r="J3406" s="5">
        <f t="shared" si="227"/>
        <v>2021</v>
      </c>
    </row>
    <row r="3407" spans="1:11" s="9" customFormat="1" hidden="1" x14ac:dyDescent="0.25">
      <c r="A3407" s="491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7">
        <v>256677</v>
      </c>
      <c r="F3407" s="3" t="str">
        <f>IFERROR(VLOOKUP(E3407,BD!$L$2:$Q$66,2,0),0)</f>
        <v>TWO PACK CC + IK PFM 3LX2 - RFNN</v>
      </c>
      <c r="G3407" s="424">
        <v>5040</v>
      </c>
      <c r="H3407" s="3">
        <f>+IFERROR(VLOOKUP(E3407,BD!$L$2:$Q$66,6,0),0)</f>
        <v>120</v>
      </c>
      <c r="I3407" s="96">
        <f>IFERROR(G3407*VLOOKUP($E3407,BD!$L$2:$Q$66,5,0),0)</f>
        <v>856.80000000000007</v>
      </c>
      <c r="J3407" s="5">
        <f t="shared" si="227"/>
        <v>2021</v>
      </c>
    </row>
    <row r="3408" spans="1:11" s="9" customFormat="1" hidden="1" x14ac:dyDescent="0.25">
      <c r="A3408" s="491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7">
        <v>256682</v>
      </c>
      <c r="F3408" s="3" t="str">
        <f>IFERROR(VLOOKUP(E3408,BD!$L$2:$Q$66,2,0),0)</f>
        <v>TRIPACK (FT NAR+SP)PET+IK RF PFM 3L</v>
      </c>
      <c r="G3408" s="424">
        <v>450</v>
      </c>
      <c r="H3408" s="3">
        <f>+IFERROR(VLOOKUP(E3408,BD!$L$2:$Q$66,6,0),0)</f>
        <v>90</v>
      </c>
      <c r="I3408" s="96">
        <f>IFERROR(G3408*VLOOKUP($E3408,BD!$L$2:$Q$66,5,0),0)</f>
        <v>76.5</v>
      </c>
      <c r="J3408" s="5">
        <f t="shared" si="227"/>
        <v>2021</v>
      </c>
    </row>
    <row r="3409" spans="1:11" s="9" customFormat="1" hidden="1" x14ac:dyDescent="0.25">
      <c r="A3409" s="491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7">
        <v>256695</v>
      </c>
      <c r="F3409" s="3" t="str">
        <f>IFERROR(VLOOKUP(E3409,BD!$L$2:$Q$66,2,0),0)</f>
        <v>POWERADE 3MORA+3FRUT PET 473MLX6</v>
      </c>
      <c r="G3409" s="424">
        <v>1350</v>
      </c>
      <c r="H3409" s="3">
        <f>+IFERROR(VLOOKUP(E3409,BD!$L$2:$Q$66,6,0),0)</f>
        <v>225</v>
      </c>
      <c r="I3409" s="96">
        <f>IFERROR(G3409*VLOOKUP($E3409,BD!$L$2:$Q$66,5,0),0)</f>
        <v>567</v>
      </c>
      <c r="J3409" s="5">
        <f t="shared" si="227"/>
        <v>2021</v>
      </c>
    </row>
    <row r="3410" spans="1:11" s="9" customFormat="1" hidden="1" x14ac:dyDescent="0.25">
      <c r="A3410" s="491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7">
        <v>256720</v>
      </c>
      <c r="F3410" s="3" t="str">
        <f>IFERROR(VLOOKUP(E3410,BD!$L$2:$Q$66,2,0),0)</f>
        <v>FANTA NARANJA PET 500MLX6 BRANDEADO MOD</v>
      </c>
      <c r="G3410" s="424">
        <v>500</v>
      </c>
      <c r="H3410" s="3">
        <f>+IFERROR(VLOOKUP(E3410,BD!$L$2:$Q$66,6,0),0)</f>
        <v>420</v>
      </c>
      <c r="I3410" s="96">
        <f>IFERROR(G3410*VLOOKUP($E3410,BD!$L$2:$Q$66,5,0),0)</f>
        <v>210</v>
      </c>
      <c r="J3410" s="5">
        <f t="shared" si="227"/>
        <v>2021</v>
      </c>
    </row>
    <row r="3411" spans="1:11" s="9" customFormat="1" hidden="1" x14ac:dyDescent="0.25">
      <c r="A3411" s="52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70">
        <v>751315</v>
      </c>
      <c r="F3411" s="33" t="str">
        <f>IFERROR(VLOOKUP(E3411,BD!$L$2:$Q$66,2,0),0)</f>
        <v>MONSTER ENERGY 473MLX4</v>
      </c>
      <c r="G3411" s="512">
        <v>1680</v>
      </c>
      <c r="H3411" s="33">
        <f>+IFERROR(VLOOKUP(E3411,BD!$L$2:$Q$66,6,0),0)</f>
        <v>420</v>
      </c>
      <c r="I3411" s="499">
        <f>IFERROR(G3411*VLOOKUP($E3411,BD!$L$2:$Q$66,5,0),0)</f>
        <v>705.6</v>
      </c>
      <c r="J3411" s="386">
        <f t="shared" si="227"/>
        <v>2021</v>
      </c>
    </row>
    <row r="3412" spans="1:11" s="9" customFormat="1" hidden="1" x14ac:dyDescent="0.25">
      <c r="A3412" s="532">
        <v>44541</v>
      </c>
      <c r="B3412" s="502" t="str">
        <f t="shared" si="224"/>
        <v>DICIEMBRE</v>
      </c>
      <c r="C3412" s="502">
        <f t="shared" si="225"/>
        <v>51</v>
      </c>
      <c r="D3412" s="533" t="str">
        <f t="shared" si="226"/>
        <v>SÁBADO</v>
      </c>
      <c r="E3412" s="534">
        <v>256677</v>
      </c>
      <c r="F3412" s="533" t="str">
        <f>IFERROR(VLOOKUP(E3412,BD!$L$2:$Q$66,2,0),0)</f>
        <v>TWO PACK CC + IK PFM 3LX2 - RFNN</v>
      </c>
      <c r="G3412" s="535">
        <v>4080</v>
      </c>
      <c r="H3412" s="533">
        <f>+IFERROR(VLOOKUP(E3412,BD!$L$2:$Q$66,6,0),0)</f>
        <v>120</v>
      </c>
      <c r="I3412" s="536">
        <f>IFERROR(G3412*VLOOKUP($E3412,BD!$L$2:$Q$66,5,0),0)</f>
        <v>693.6</v>
      </c>
      <c r="J3412" s="537">
        <f t="shared" si="227"/>
        <v>2021</v>
      </c>
      <c r="K3412" s="628" t="s">
        <v>257</v>
      </c>
    </row>
    <row r="3413" spans="1:11" s="9" customFormat="1" hidden="1" x14ac:dyDescent="0.25">
      <c r="A3413" s="538">
        <v>44541</v>
      </c>
      <c r="B3413" s="370" t="str">
        <f t="shared" si="224"/>
        <v>DICIEMBRE</v>
      </c>
      <c r="C3413" s="370">
        <f t="shared" si="225"/>
        <v>51</v>
      </c>
      <c r="D3413" s="94" t="str">
        <f t="shared" si="226"/>
        <v>SÁBADO</v>
      </c>
      <c r="E3413" s="378">
        <v>256678</v>
      </c>
      <c r="F3413" s="94" t="str">
        <f>IFERROR(VLOOKUP(E3413,BD!$L$2:$Q$66,2,0),0)</f>
        <v>TRIPACK (CC+IK)PFM+FT PET 3LX3 - RFNN</v>
      </c>
      <c r="G3413" s="503">
        <v>4500</v>
      </c>
      <c r="H3413" s="94">
        <f>+IFERROR(VLOOKUP(E3413,BD!$L$2:$Q$66,6,0),0)</f>
        <v>90</v>
      </c>
      <c r="I3413" s="531">
        <f>IFERROR(G3413*VLOOKUP($E3413,BD!$L$2:$Q$66,5,0),0)</f>
        <v>765</v>
      </c>
      <c r="J3413" s="539">
        <f t="shared" si="227"/>
        <v>2021</v>
      </c>
      <c r="K3413" s="629"/>
    </row>
    <row r="3414" spans="1:11" s="9" customFormat="1" hidden="1" x14ac:dyDescent="0.25">
      <c r="A3414" s="538">
        <v>44541</v>
      </c>
      <c r="B3414" s="370" t="str">
        <f t="shared" si="224"/>
        <v>DICIEMBRE</v>
      </c>
      <c r="C3414" s="370">
        <f t="shared" si="225"/>
        <v>51</v>
      </c>
      <c r="D3414" s="94" t="str">
        <f t="shared" si="226"/>
        <v>SÁBADO</v>
      </c>
      <c r="E3414" s="378">
        <v>256682</v>
      </c>
      <c r="F3414" s="94" t="str">
        <f>IFERROR(VLOOKUP(E3414,BD!$L$2:$Q$66,2,0),0)</f>
        <v>TRIPACK (FT NAR+SP)PET+IK RF PFM 3L</v>
      </c>
      <c r="G3414" s="503">
        <v>2880</v>
      </c>
      <c r="H3414" s="94">
        <f>+IFERROR(VLOOKUP(E3414,BD!$L$2:$Q$66,6,0),0)</f>
        <v>90</v>
      </c>
      <c r="I3414" s="531">
        <f>IFERROR(G3414*VLOOKUP($E3414,BD!$L$2:$Q$66,5,0),0)</f>
        <v>489.6</v>
      </c>
      <c r="J3414" s="539">
        <f t="shared" si="227"/>
        <v>2021</v>
      </c>
      <c r="K3414" s="629"/>
    </row>
    <row r="3415" spans="1:11" s="9" customFormat="1" hidden="1" x14ac:dyDescent="0.25">
      <c r="A3415" s="538">
        <v>44541</v>
      </c>
      <c r="B3415" s="370" t="str">
        <f t="shared" si="224"/>
        <v>DICIEMBRE</v>
      </c>
      <c r="C3415" s="370">
        <f t="shared" si="225"/>
        <v>51</v>
      </c>
      <c r="D3415" s="94" t="str">
        <f t="shared" si="226"/>
        <v>SÁBADO</v>
      </c>
      <c r="E3415" s="378">
        <v>256679</v>
      </c>
      <c r="F3415" s="94" t="str">
        <f>IFERROR(VLOOKUP(E3415,BD!$L$2:$Q$66,2,0),0)</f>
        <v>TRIPACK CC+IK+IK PFM 3LX3 - RFNN</v>
      </c>
      <c r="G3415" s="503">
        <v>1800</v>
      </c>
      <c r="H3415" s="94">
        <f>+IFERROR(VLOOKUP(E3415,BD!$L$2:$Q$66,6,0),0)</f>
        <v>90</v>
      </c>
      <c r="I3415" s="531">
        <f>IFERROR(G3415*VLOOKUP($E3415,BD!$L$2:$Q$66,5,0),0)</f>
        <v>306</v>
      </c>
      <c r="J3415" s="539">
        <f t="shared" si="227"/>
        <v>2021</v>
      </c>
      <c r="K3415" s="629"/>
    </row>
    <row r="3416" spans="1:11" s="9" customFormat="1" hidden="1" x14ac:dyDescent="0.25">
      <c r="A3416" s="538">
        <v>44541</v>
      </c>
      <c r="B3416" s="370" t="str">
        <f t="shared" si="224"/>
        <v>DICIEMBRE</v>
      </c>
      <c r="C3416" s="370">
        <f t="shared" si="225"/>
        <v>51</v>
      </c>
      <c r="D3416" s="94" t="str">
        <f t="shared" si="226"/>
        <v>SÁBADO</v>
      </c>
      <c r="E3416" s="378">
        <v>256652</v>
      </c>
      <c r="F3416" s="94" t="str">
        <f>IFERROR(VLOOKUP(E3416,BD!$L$2:$Q$66,2,0),0)</f>
        <v>TRIPACK FT NAR+FT KI+SP PET 3L</v>
      </c>
      <c r="G3416" s="503">
        <v>720</v>
      </c>
      <c r="H3416" s="94">
        <f>+IFERROR(VLOOKUP(E3416,BD!$L$2:$Q$66,6,0),0)</f>
        <v>90</v>
      </c>
      <c r="I3416" s="531">
        <f>IFERROR(G3416*VLOOKUP($E3416,BD!$L$2:$Q$66,5,0),0)</f>
        <v>122.4</v>
      </c>
      <c r="J3416" s="539">
        <f t="shared" si="227"/>
        <v>2021</v>
      </c>
      <c r="K3416" s="629"/>
    </row>
    <row r="3417" spans="1:11" s="9" customFormat="1" hidden="1" x14ac:dyDescent="0.25">
      <c r="A3417" s="594">
        <v>44541</v>
      </c>
      <c r="B3417" s="311" t="str">
        <f t="shared" si="224"/>
        <v>DICIEMBRE</v>
      </c>
      <c r="C3417" s="311">
        <f t="shared" si="225"/>
        <v>51</v>
      </c>
      <c r="D3417" s="595" t="str">
        <f t="shared" si="226"/>
        <v>SÁBADO</v>
      </c>
      <c r="E3417" s="385">
        <v>256679</v>
      </c>
      <c r="F3417" s="595" t="str">
        <f>IFERROR(VLOOKUP(E3417,BD!$L$2:$Q$66,2,0),0)</f>
        <v>TRIPACK CC+IK+IK PFM 3LX3 - RFNN</v>
      </c>
      <c r="G3417" s="596">
        <v>180</v>
      </c>
      <c r="H3417" s="595">
        <f>+IFERROR(VLOOKUP(E3417,BD!$L$2:$Q$66,6,0),0)</f>
        <v>90</v>
      </c>
      <c r="I3417" s="597">
        <f>IFERROR(G3417*VLOOKUP($E3417,BD!$L$2:$Q$66,5,0),0)</f>
        <v>30.6</v>
      </c>
      <c r="J3417" s="598">
        <f t="shared" si="227"/>
        <v>2021</v>
      </c>
      <c r="K3417" s="629"/>
    </row>
    <row r="3418" spans="1:11" s="9" customFormat="1" hidden="1" x14ac:dyDescent="0.25">
      <c r="A3418" s="532">
        <v>44541</v>
      </c>
      <c r="B3418" s="502" t="str">
        <f t="shared" si="224"/>
        <v>DICIEMBRE</v>
      </c>
      <c r="C3418" s="502">
        <f t="shared" si="225"/>
        <v>51</v>
      </c>
      <c r="D3418" s="533" t="str">
        <f t="shared" si="226"/>
        <v>SÁBADO</v>
      </c>
      <c r="E3418" s="534">
        <v>256678</v>
      </c>
      <c r="F3418" s="533" t="str">
        <f>IFERROR(VLOOKUP(E3418,BD!$L$2:$Q$66,2,0),0)</f>
        <v>TRIPACK (CC+IK)PFM+FT PET 3LX3 - RFNN</v>
      </c>
      <c r="G3418" s="535">
        <v>990</v>
      </c>
      <c r="H3418" s="533">
        <f>+IFERROR(VLOOKUP(E3418,BD!$L$2:$Q$66,6,0),0)</f>
        <v>90</v>
      </c>
      <c r="I3418" s="536">
        <f>IFERROR(G3418*VLOOKUP($E3418,BD!$L$2:$Q$66,5,0),0)</f>
        <v>168.3</v>
      </c>
      <c r="J3418" s="537">
        <f t="shared" si="227"/>
        <v>2021</v>
      </c>
      <c r="K3418" s="637" t="s">
        <v>258</v>
      </c>
    </row>
    <row r="3419" spans="1:11" s="9" customFormat="1" ht="15.75" hidden="1" thickBot="1" x14ac:dyDescent="0.3">
      <c r="A3419" s="540">
        <v>44541</v>
      </c>
      <c r="B3419" s="505" t="str">
        <f t="shared" si="224"/>
        <v>DICIEMBRE</v>
      </c>
      <c r="C3419" s="505">
        <f t="shared" si="225"/>
        <v>51</v>
      </c>
      <c r="D3419" s="541" t="str">
        <f t="shared" si="226"/>
        <v>SÁBADO</v>
      </c>
      <c r="E3419" s="506">
        <v>256679</v>
      </c>
      <c r="F3419" s="541" t="str">
        <f>IFERROR(VLOOKUP(E3419,BD!$L$2:$Q$66,2,0),0)</f>
        <v>TRIPACK CC+IK+IK PFM 3LX3 - RFNN</v>
      </c>
      <c r="G3419" s="518">
        <v>630</v>
      </c>
      <c r="H3419" s="541">
        <f>+IFERROR(VLOOKUP(E3419,BD!$L$2:$Q$66,6,0),0)</f>
        <v>90</v>
      </c>
      <c r="I3419" s="542">
        <f>IFERROR(G3419*VLOOKUP($E3419,BD!$L$2:$Q$66,5,0),0)</f>
        <v>107.10000000000001</v>
      </c>
      <c r="J3419" s="543">
        <f t="shared" si="227"/>
        <v>2021</v>
      </c>
      <c r="K3419" s="638"/>
    </row>
    <row r="3420" spans="1:11" s="9" customFormat="1" hidden="1" x14ac:dyDescent="0.25">
      <c r="A3420" s="493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63">
        <v>751315</v>
      </c>
      <c r="F3420" s="6" t="str">
        <f>IFERROR(VLOOKUP(E3420,BD!$L$2:$Q$66,2,0),0)</f>
        <v>MONSTER ENERGY 473MLX4</v>
      </c>
      <c r="G3420" s="513">
        <v>840</v>
      </c>
      <c r="H3420" s="6">
        <f>+IFERROR(VLOOKUP(E3420,BD!$L$2:$Q$66,6,0),0)</f>
        <v>420</v>
      </c>
      <c r="I3420" s="97">
        <f>IFERROR(G3420*VLOOKUP($E3420,BD!$L$2:$Q$66,5,0),0)</f>
        <v>352.8</v>
      </c>
      <c r="J3420" s="109">
        <f t="shared" si="227"/>
        <v>2021</v>
      </c>
    </row>
    <row r="3421" spans="1:11" s="9" customFormat="1" hidden="1" x14ac:dyDescent="0.25">
      <c r="A3421" s="491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7">
        <v>751544</v>
      </c>
      <c r="F3421" s="3" t="str">
        <f>IFERROR(VLOOKUP(E3421,BD!$L$2:$Q$66,2,0),0)</f>
        <v>MONSTER ENERGY ZERO 473MLX4</v>
      </c>
      <c r="G3421" s="424">
        <v>1260</v>
      </c>
      <c r="H3421" s="3">
        <f>+IFERROR(VLOOKUP(E3421,BD!$L$2:$Q$66,6,0),0)</f>
        <v>420</v>
      </c>
      <c r="I3421" s="96">
        <f>IFERROR(G3421*VLOOKUP($E3421,BD!$L$2:$Q$66,5,0),0)</f>
        <v>529.19999999999993</v>
      </c>
      <c r="J3421" s="5">
        <f t="shared" si="227"/>
        <v>2021</v>
      </c>
    </row>
    <row r="3422" spans="1:11" s="9" customFormat="1" hidden="1" x14ac:dyDescent="0.25">
      <c r="A3422" s="491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7">
        <v>751315</v>
      </c>
      <c r="F3422" s="3" t="str">
        <f>IFERROR(VLOOKUP(E3422,BD!$L$2:$Q$66,2,0),0)</f>
        <v>MONSTER ENERGY 473MLX4</v>
      </c>
      <c r="G3422" s="424">
        <v>2520</v>
      </c>
      <c r="H3422" s="3">
        <f>+IFERROR(VLOOKUP(E3422,BD!$L$2:$Q$66,6,0),0)</f>
        <v>420</v>
      </c>
      <c r="I3422" s="96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hidden="1" thickBot="1" x14ac:dyDescent="0.3">
      <c r="A3423" s="492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9">
        <v>751544</v>
      </c>
      <c r="F3423" s="8" t="str">
        <f>IFERROR(VLOOKUP(E3423,BD!$L$2:$Q$66,2,0),0)</f>
        <v>MONSTER ENERGY ZERO 473MLX4</v>
      </c>
      <c r="G3423" s="501">
        <v>840</v>
      </c>
      <c r="H3423" s="8">
        <f>+IFERROR(VLOOKUP(E3423,BD!$L$2:$Q$66,6,0),0)</f>
        <v>420</v>
      </c>
      <c r="I3423" s="98">
        <f>IFERROR(G3423*VLOOKUP($E3423,BD!$L$2:$Q$66,5,0),0)</f>
        <v>352.8</v>
      </c>
      <c r="J3423" s="110">
        <f t="shared" si="227"/>
        <v>2021</v>
      </c>
    </row>
    <row r="3424" spans="1:11" s="9" customFormat="1" hidden="1" x14ac:dyDescent="0.25">
      <c r="A3424" s="493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63">
        <v>252436</v>
      </c>
      <c r="F3424" s="6" t="str">
        <f>IFERROR(VLOOKUP(E3424,BD!$L$2:$Q$66,2,0),0)</f>
        <v>SAN LUIS SIN GAS PET 625MLX15 C/STICKER</v>
      </c>
      <c r="G3424" s="513">
        <v>450</v>
      </c>
      <c r="H3424" s="6">
        <f>+IFERROR(VLOOKUP(E3424,BD!$L$2:$Q$66,6,0),0)</f>
        <v>90</v>
      </c>
      <c r="I3424" s="97">
        <f>IFERROR(G3424*VLOOKUP($E3424,BD!$L$2:$Q$66,5,0),0)</f>
        <v>180</v>
      </c>
      <c r="J3424" s="109">
        <f t="shared" si="227"/>
        <v>2021</v>
      </c>
    </row>
    <row r="3425" spans="1:11" s="9" customFormat="1" hidden="1" x14ac:dyDescent="0.25">
      <c r="A3425" s="491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7">
        <v>751315</v>
      </c>
      <c r="F3425" s="3" t="str">
        <f>IFERROR(VLOOKUP(E3425,BD!$L$2:$Q$66,2,0),0)</f>
        <v>MONSTER ENERGY 473MLX4</v>
      </c>
      <c r="G3425" s="424">
        <v>2940</v>
      </c>
      <c r="H3425" s="3">
        <f>+IFERROR(VLOOKUP(E3425,BD!$L$2:$Q$66,6,0),0)</f>
        <v>420</v>
      </c>
      <c r="I3425" s="96">
        <f>IFERROR(G3425*VLOOKUP($E3425,BD!$L$2:$Q$66,5,0),0)</f>
        <v>1234.8</v>
      </c>
      <c r="J3425" s="5">
        <f t="shared" si="227"/>
        <v>2021</v>
      </c>
    </row>
    <row r="3426" spans="1:11" s="9" customFormat="1" hidden="1" x14ac:dyDescent="0.25">
      <c r="A3426" s="491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7">
        <v>254853</v>
      </c>
      <c r="F3426" s="3" t="str">
        <f>IFERROR(VLOOKUP(E3426,BD!$L$2:$Q$66,2,0),0)</f>
        <v>INCA KOLA SIN AZUCAR PET 1.5LX2</v>
      </c>
      <c r="G3426" s="424">
        <v>2376</v>
      </c>
      <c r="H3426" s="3">
        <f>+IFERROR(VLOOKUP(E3426,BD!$L$2:$Q$66,6,0),0)</f>
        <v>198</v>
      </c>
      <c r="I3426" s="96">
        <f>IFERROR(G3426*VLOOKUP($E3426,BD!$L$2:$Q$66,5,0),0)</f>
        <v>403.92</v>
      </c>
      <c r="J3426" s="5">
        <f t="shared" si="227"/>
        <v>2021</v>
      </c>
    </row>
    <row r="3427" spans="1:11" s="9" customFormat="1" hidden="1" x14ac:dyDescent="0.25">
      <c r="A3427" s="491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7">
        <v>256488</v>
      </c>
      <c r="F3427" s="3" t="str">
        <f>IFERROR(VLOOKUP(E3427,BD!$L$2:$Q$66,2,0),0)</f>
        <v>INCA KOLA PET 3LX2 - RF</v>
      </c>
      <c r="G3427" s="424">
        <v>3600</v>
      </c>
      <c r="H3427" s="3">
        <f>+IFERROR(VLOOKUP(E3427,BD!$L$2:$Q$66,6,0),0)</f>
        <v>120</v>
      </c>
      <c r="I3427" s="96">
        <f>IFERROR(G3427*VLOOKUP($E3427,BD!$L$2:$Q$66,5,0),0)</f>
        <v>612</v>
      </c>
      <c r="J3427" s="5">
        <f t="shared" si="227"/>
        <v>2021</v>
      </c>
    </row>
    <row r="3428" spans="1:11" s="9" customFormat="1" hidden="1" x14ac:dyDescent="0.25">
      <c r="A3428" s="491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7">
        <v>256676</v>
      </c>
      <c r="F3428" s="3" t="str">
        <f>IFERROR(VLOOKUP(E3428,BD!$L$2:$Q$66,2,0),0)</f>
        <v>TWO PACK CC PFM 3LX2 - RFCC</v>
      </c>
      <c r="G3428" s="424">
        <v>1200</v>
      </c>
      <c r="H3428" s="3">
        <f>+IFERROR(VLOOKUP(E3428,BD!$L$2:$Q$66,6,0),0)</f>
        <v>120</v>
      </c>
      <c r="I3428" s="96">
        <f>IFERROR(G3428*VLOOKUP($E3428,BD!$L$2:$Q$66,5,0),0)</f>
        <v>204.00000000000003</v>
      </c>
      <c r="J3428" s="5">
        <f t="shared" si="227"/>
        <v>2021</v>
      </c>
    </row>
    <row r="3429" spans="1:11" s="9" customFormat="1" hidden="1" x14ac:dyDescent="0.25">
      <c r="A3429" s="491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7">
        <v>256674</v>
      </c>
      <c r="F3429" s="3" t="str">
        <f>IFERROR(VLOOKUP(E3429,BD!$L$2:$Q$66,2,0),0)</f>
        <v>COCA-COLA PET 1.5LX2 RF</v>
      </c>
      <c r="G3429" s="424">
        <v>2160</v>
      </c>
      <c r="H3429" s="3">
        <f>+IFERROR(VLOOKUP(E3429,BD!$L$2:$Q$66,6,0),0)</f>
        <v>198</v>
      </c>
      <c r="I3429" s="96">
        <f>IFERROR(G3429*VLOOKUP($E3429,BD!$L$2:$Q$66,5,0),0)</f>
        <v>367.20000000000005</v>
      </c>
      <c r="J3429" s="5">
        <f t="shared" si="227"/>
        <v>2021</v>
      </c>
    </row>
    <row r="3430" spans="1:11" s="9" customFormat="1" hidden="1" x14ac:dyDescent="0.25">
      <c r="A3430" s="491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7">
        <v>256652</v>
      </c>
      <c r="F3430" s="3" t="str">
        <f>IFERROR(VLOOKUP(E3430,BD!$L$2:$Q$66,2,0),0)</f>
        <v>TRIPACK FT NAR+FT KI+SP PET 3L</v>
      </c>
      <c r="G3430" s="424">
        <v>450</v>
      </c>
      <c r="H3430" s="3">
        <f>+IFERROR(VLOOKUP(E3430,BD!$L$2:$Q$66,6,0),0)</f>
        <v>90</v>
      </c>
      <c r="I3430" s="96">
        <f>IFERROR(G3430*VLOOKUP($E3430,BD!$L$2:$Q$66,5,0),0)</f>
        <v>76.5</v>
      </c>
      <c r="J3430" s="5">
        <f t="shared" si="227"/>
        <v>2021</v>
      </c>
    </row>
    <row r="3431" spans="1:11" s="9" customFormat="1" hidden="1" x14ac:dyDescent="0.25">
      <c r="A3431" s="491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7">
        <v>256677</v>
      </c>
      <c r="F3431" s="3" t="str">
        <f>IFERROR(VLOOKUP(E3431,BD!$L$2:$Q$66,2,0),0)</f>
        <v>TWO PACK CC + IK PFM 3LX2 - RFNN</v>
      </c>
      <c r="G3431" s="424">
        <v>3600</v>
      </c>
      <c r="H3431" s="3">
        <f>+IFERROR(VLOOKUP(E3431,BD!$L$2:$Q$66,6,0),0)</f>
        <v>120</v>
      </c>
      <c r="I3431" s="96">
        <f>IFERROR(G3431*VLOOKUP($E3431,BD!$L$2:$Q$66,5,0),0)</f>
        <v>612</v>
      </c>
      <c r="J3431" s="5">
        <f t="shared" si="227"/>
        <v>2021</v>
      </c>
    </row>
    <row r="3432" spans="1:11" s="9" customFormat="1" hidden="1" x14ac:dyDescent="0.25">
      <c r="A3432" s="491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7">
        <v>256708</v>
      </c>
      <c r="F3432" s="3" t="str">
        <f>IFERROR(VLOOKUP(E3432,BD!$L$2:$Q$66,2,0),0)</f>
        <v>POWERADE ION4 FRUTA PET473X6 MOD (STICK)</v>
      </c>
      <c r="G3432" s="424">
        <v>450</v>
      </c>
      <c r="H3432" s="3">
        <f>+IFERROR(VLOOKUP(E3432,BD!$L$2:$Q$66,6,0),0)</f>
        <v>225</v>
      </c>
      <c r="I3432" s="96">
        <f>IFERROR(G3432*VLOOKUP($E3432,BD!$L$2:$Q$66,5,0),0)</f>
        <v>180</v>
      </c>
      <c r="J3432" s="5">
        <f t="shared" si="227"/>
        <v>2021</v>
      </c>
    </row>
    <row r="3433" spans="1:11" s="9" customFormat="1" hidden="1" x14ac:dyDescent="0.25">
      <c r="A3433" s="52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70">
        <v>256720</v>
      </c>
      <c r="F3433" s="33" t="str">
        <f>IFERROR(VLOOKUP(E3433,BD!$L$2:$Q$66,2,0),0)</f>
        <v>FANTA NARANJA PET 500MLX6 BRANDEADO MOD</v>
      </c>
      <c r="G3433" s="512">
        <v>750</v>
      </c>
      <c r="H3433" s="33">
        <f>+IFERROR(VLOOKUP(E3433,BD!$L$2:$Q$66,6,0),0)</f>
        <v>420</v>
      </c>
      <c r="I3433" s="499">
        <f>IFERROR(G3433*VLOOKUP($E3433,BD!$L$2:$Q$66,5,0),0)</f>
        <v>315</v>
      </c>
      <c r="J3433" s="386">
        <f t="shared" si="227"/>
        <v>2021</v>
      </c>
    </row>
    <row r="3434" spans="1:11" s="9" customFormat="1" hidden="1" x14ac:dyDescent="0.25">
      <c r="A3434" s="532">
        <v>44543</v>
      </c>
      <c r="B3434" s="502" t="str">
        <f t="shared" si="224"/>
        <v>DICIEMBRE</v>
      </c>
      <c r="C3434" s="502">
        <f t="shared" si="225"/>
        <v>51</v>
      </c>
      <c r="D3434" s="533" t="str">
        <f t="shared" si="226"/>
        <v>LUNES</v>
      </c>
      <c r="E3434" s="534">
        <v>256488</v>
      </c>
      <c r="F3434" s="533" t="str">
        <f>IFERROR(VLOOKUP(E3434,BD!$L$2:$Q$66,2,0),0)</f>
        <v>INCA KOLA PET 3LX2 - RF</v>
      </c>
      <c r="G3434" s="535">
        <v>1320</v>
      </c>
      <c r="H3434" s="533">
        <f>+IFERROR(VLOOKUP(E3434,BD!$L$2:$Q$66,6,0),0)</f>
        <v>120</v>
      </c>
      <c r="I3434" s="536">
        <f>IFERROR(G3434*VLOOKUP($E3434,BD!$L$2:$Q$66,5,0),0)</f>
        <v>224.4</v>
      </c>
      <c r="J3434" s="537">
        <f t="shared" si="227"/>
        <v>2021</v>
      </c>
      <c r="K3434" s="639" t="s">
        <v>259</v>
      </c>
    </row>
    <row r="3435" spans="1:11" s="9" customFormat="1" hidden="1" x14ac:dyDescent="0.25">
      <c r="A3435" s="538">
        <v>44543</v>
      </c>
      <c r="B3435" s="370" t="str">
        <f t="shared" si="224"/>
        <v>DICIEMBRE</v>
      </c>
      <c r="C3435" s="370">
        <f t="shared" si="225"/>
        <v>51</v>
      </c>
      <c r="D3435" s="94" t="str">
        <f t="shared" si="226"/>
        <v>LUNES</v>
      </c>
      <c r="E3435" s="378">
        <v>256652</v>
      </c>
      <c r="F3435" s="94" t="str">
        <f>IFERROR(VLOOKUP(E3435,BD!$L$2:$Q$66,2,0),0)</f>
        <v>TRIPACK FT NAR+FT KI+SP PET 3L</v>
      </c>
      <c r="G3435" s="503">
        <v>1260</v>
      </c>
      <c r="H3435" s="94">
        <f>+IFERROR(VLOOKUP(E3435,BD!$L$2:$Q$66,6,0),0)</f>
        <v>90</v>
      </c>
      <c r="I3435" s="531">
        <f>IFERROR(G3435*VLOOKUP($E3435,BD!$L$2:$Q$66,5,0),0)</f>
        <v>214.20000000000002</v>
      </c>
      <c r="J3435" s="539">
        <f t="shared" si="227"/>
        <v>2021</v>
      </c>
      <c r="K3435" s="640"/>
    </row>
    <row r="3436" spans="1:11" s="9" customFormat="1" hidden="1" x14ac:dyDescent="0.25">
      <c r="A3436" s="538">
        <v>44543</v>
      </c>
      <c r="B3436" s="370" t="str">
        <f t="shared" si="224"/>
        <v>DICIEMBRE</v>
      </c>
      <c r="C3436" s="370">
        <f t="shared" si="225"/>
        <v>51</v>
      </c>
      <c r="D3436" s="94" t="str">
        <f t="shared" si="226"/>
        <v>LUNES</v>
      </c>
      <c r="E3436" s="378">
        <v>256679</v>
      </c>
      <c r="F3436" s="94" t="str">
        <f>IFERROR(VLOOKUP(E3436,BD!$L$2:$Q$66,2,0),0)</f>
        <v>TRIPACK CC+IK+IK PFM 3LX3 - RFNN</v>
      </c>
      <c r="G3436" s="503">
        <v>180</v>
      </c>
      <c r="H3436" s="94">
        <f>+IFERROR(VLOOKUP(E3436,BD!$L$2:$Q$66,6,0),0)</f>
        <v>90</v>
      </c>
      <c r="I3436" s="531">
        <f>IFERROR(G3436*VLOOKUP($E3436,BD!$L$2:$Q$66,5,0),0)</f>
        <v>30.6</v>
      </c>
      <c r="J3436" s="539">
        <f t="shared" si="227"/>
        <v>2021</v>
      </c>
      <c r="K3436" s="640"/>
    </row>
    <row r="3437" spans="1:11" s="9" customFormat="1" hidden="1" x14ac:dyDescent="0.25">
      <c r="A3437" s="538">
        <v>44543</v>
      </c>
      <c r="B3437" s="370" t="str">
        <f t="shared" si="224"/>
        <v>DICIEMBRE</v>
      </c>
      <c r="C3437" s="370">
        <f t="shared" si="225"/>
        <v>51</v>
      </c>
      <c r="D3437" s="94" t="str">
        <f t="shared" si="226"/>
        <v>LUNES</v>
      </c>
      <c r="E3437" s="378">
        <v>256678</v>
      </c>
      <c r="F3437" s="94" t="str">
        <f>IFERROR(VLOOKUP(E3437,BD!$L$2:$Q$66,2,0),0)</f>
        <v>TRIPACK (CC+IK)PFM+FT PET 3LX3 - RFNN</v>
      </c>
      <c r="G3437" s="503">
        <v>5850</v>
      </c>
      <c r="H3437" s="94">
        <f>+IFERROR(VLOOKUP(E3437,BD!$L$2:$Q$66,6,0),0)</f>
        <v>90</v>
      </c>
      <c r="I3437" s="531">
        <f>IFERROR(G3437*VLOOKUP($E3437,BD!$L$2:$Q$66,5,0),0)</f>
        <v>994.50000000000011</v>
      </c>
      <c r="J3437" s="539">
        <f t="shared" si="227"/>
        <v>2021</v>
      </c>
      <c r="K3437" s="640"/>
    </row>
    <row r="3438" spans="1:11" s="9" customFormat="1" hidden="1" x14ac:dyDescent="0.25">
      <c r="A3438" s="538">
        <v>44543</v>
      </c>
      <c r="B3438" s="370" t="str">
        <f t="shared" si="224"/>
        <v>DICIEMBRE</v>
      </c>
      <c r="C3438" s="370">
        <f t="shared" si="225"/>
        <v>51</v>
      </c>
      <c r="D3438" s="94" t="str">
        <f t="shared" si="226"/>
        <v>LUNES</v>
      </c>
      <c r="E3438" s="378">
        <v>256682</v>
      </c>
      <c r="F3438" s="94" t="str">
        <f>IFERROR(VLOOKUP(E3438,BD!$L$2:$Q$66,2,0),0)</f>
        <v>TRIPACK (FT NAR+SP)PET+IK RF PFM 3L</v>
      </c>
      <c r="G3438" s="503">
        <v>1800</v>
      </c>
      <c r="H3438" s="94">
        <f>+IFERROR(VLOOKUP(E3438,BD!$L$2:$Q$66,6,0),0)</f>
        <v>90</v>
      </c>
      <c r="I3438" s="531">
        <f>IFERROR(G3438*VLOOKUP($E3438,BD!$L$2:$Q$66,5,0),0)</f>
        <v>306</v>
      </c>
      <c r="J3438" s="539">
        <f t="shared" si="227"/>
        <v>2021</v>
      </c>
      <c r="K3438" s="640"/>
    </row>
    <row r="3439" spans="1:11" s="9" customFormat="1" hidden="1" x14ac:dyDescent="0.25">
      <c r="A3439" s="538">
        <v>44543</v>
      </c>
      <c r="B3439" s="370" t="str">
        <f t="shared" si="224"/>
        <v>DICIEMBRE</v>
      </c>
      <c r="C3439" s="370">
        <f t="shared" si="225"/>
        <v>51</v>
      </c>
      <c r="D3439" s="94" t="str">
        <f t="shared" si="226"/>
        <v>LUNES</v>
      </c>
      <c r="E3439" s="378">
        <v>256677</v>
      </c>
      <c r="F3439" s="94" t="str">
        <f>IFERROR(VLOOKUP(E3439,BD!$L$2:$Q$66,2,0),0)</f>
        <v>TWO PACK CC + IK PFM 3LX2 - RFNN</v>
      </c>
      <c r="G3439" s="503">
        <v>2880</v>
      </c>
      <c r="H3439" s="94">
        <f>+IFERROR(VLOOKUP(E3439,BD!$L$2:$Q$66,6,0),0)</f>
        <v>120</v>
      </c>
      <c r="I3439" s="531">
        <f>IFERROR(G3439*VLOOKUP($E3439,BD!$L$2:$Q$66,5,0),0)</f>
        <v>489.6</v>
      </c>
      <c r="J3439" s="539">
        <f t="shared" si="227"/>
        <v>2021</v>
      </c>
      <c r="K3439" s="640"/>
    </row>
    <row r="3440" spans="1:11" s="9" customFormat="1" ht="15.75" hidden="1" thickBot="1" x14ac:dyDescent="0.3">
      <c r="A3440" s="540">
        <v>44543</v>
      </c>
      <c r="B3440" s="505" t="str">
        <f t="shared" si="224"/>
        <v>DICIEMBRE</v>
      </c>
      <c r="C3440" s="505">
        <f t="shared" si="225"/>
        <v>51</v>
      </c>
      <c r="D3440" s="541" t="str">
        <f t="shared" si="226"/>
        <v>LUNES</v>
      </c>
      <c r="E3440" s="506">
        <v>256680</v>
      </c>
      <c r="F3440" s="541" t="str">
        <f>IFERROR(VLOOKUP(E3440,BD!$L$2:$Q$66,2,0),0)</f>
        <v>TRIPACK CC+CC+IK PFM 3LX3 - RFNN</v>
      </c>
      <c r="G3440" s="613">
        <v>1800</v>
      </c>
      <c r="H3440" s="541">
        <f>+IFERROR(VLOOKUP(E3440,BD!$L$2:$Q$66,6,0),0)</f>
        <v>90</v>
      </c>
      <c r="I3440" s="542">
        <f>IFERROR(G3440*VLOOKUP($E3440,BD!$L$2:$Q$66,5,0),0)</f>
        <v>306</v>
      </c>
      <c r="J3440" s="543">
        <f t="shared" si="227"/>
        <v>2021</v>
      </c>
      <c r="K3440" s="641"/>
    </row>
    <row r="3441" spans="1:10" s="9" customFormat="1" hidden="1" x14ac:dyDescent="0.25">
      <c r="A3441" s="493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63">
        <v>256379</v>
      </c>
      <c r="F3441" s="6" t="str">
        <f>IFERROR(VLOOKUP(E3441,BD!$L$2:$Q$66,2,0),0)</f>
        <v>INCA KOLA VR 625MLX12 - STICKER</v>
      </c>
      <c r="G3441" s="513">
        <v>350</v>
      </c>
      <c r="H3441" s="6">
        <f>+IFERROR(VLOOKUP(E3441,BD!$L$2:$Q$66,6,0),0)</f>
        <v>50</v>
      </c>
      <c r="I3441" s="97">
        <f>IFERROR(G3441*VLOOKUP($E3441,BD!$L$2:$Q$66,5,0),0)</f>
        <v>140</v>
      </c>
      <c r="J3441" s="109">
        <f t="shared" si="227"/>
        <v>2021</v>
      </c>
    </row>
    <row r="3442" spans="1:10" s="9" customFormat="1" hidden="1" x14ac:dyDescent="0.25">
      <c r="A3442" s="491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7">
        <v>751544</v>
      </c>
      <c r="F3442" s="3" t="str">
        <f>IFERROR(VLOOKUP(E3442,BD!$L$2:$Q$66,2,0),0)</f>
        <v>MONSTER ENERGY ZERO 473MLX4</v>
      </c>
      <c r="G3442" s="424">
        <v>420</v>
      </c>
      <c r="H3442" s="3">
        <f>+IFERROR(VLOOKUP(E3442,BD!$L$2:$Q$66,6,0),0)</f>
        <v>420</v>
      </c>
      <c r="I3442" s="96">
        <f>IFERROR(G3442*VLOOKUP($E3442,BD!$L$2:$Q$66,5,0),0)</f>
        <v>176.4</v>
      </c>
      <c r="J3442" s="5">
        <f t="shared" si="227"/>
        <v>2021</v>
      </c>
    </row>
    <row r="3443" spans="1:10" s="9" customFormat="1" hidden="1" x14ac:dyDescent="0.25">
      <c r="A3443" s="491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7">
        <v>256383</v>
      </c>
      <c r="F3443" s="3" t="str">
        <f>IFERROR(VLOOKUP(E3443,BD!$L$2:$Q$66,2,0),0)</f>
        <v>COCA COLA VR 1.5LX8 - STICKER</v>
      </c>
      <c r="G3443" s="424">
        <v>240</v>
      </c>
      <c r="H3443" s="3">
        <f>+IFERROR(VLOOKUP(E3443,BD!$L$2:$Q$66,6,0),0)</f>
        <v>30</v>
      </c>
      <c r="I3443" s="96">
        <f>IFERROR(G3443*VLOOKUP($E3443,BD!$L$2:$Q$66,5,0),0)</f>
        <v>55.2</v>
      </c>
      <c r="J3443" s="5">
        <f t="shared" si="227"/>
        <v>2021</v>
      </c>
    </row>
    <row r="3444" spans="1:10" s="9" customFormat="1" hidden="1" x14ac:dyDescent="0.25">
      <c r="A3444" s="491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7">
        <v>256381</v>
      </c>
      <c r="F3444" s="3" t="str">
        <f>IFERROR(VLOOKUP(E3444,BD!$L$2:$Q$66,2,0),0)</f>
        <v>INCA KOLA VR 1.5LX8 - STICKER</v>
      </c>
      <c r="G3444" s="424">
        <v>1500</v>
      </c>
      <c r="H3444" s="3">
        <f>+IFERROR(VLOOKUP(E3444,BD!$L$2:$Q$66,6,0),0)</f>
        <v>30</v>
      </c>
      <c r="I3444" s="96">
        <f>IFERROR(G3444*VLOOKUP($E3444,BD!$L$2:$Q$66,5,0),0)</f>
        <v>600</v>
      </c>
      <c r="J3444" s="5">
        <f t="shared" si="227"/>
        <v>2021</v>
      </c>
    </row>
    <row r="3445" spans="1:10" s="9" customFormat="1" hidden="1" x14ac:dyDescent="0.25">
      <c r="A3445" s="491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7">
        <v>256380</v>
      </c>
      <c r="F3445" s="3" t="str">
        <f>IFERROR(VLOOKUP(E3445,BD!$L$2:$Q$66,2,0),0)</f>
        <v>INCA KOLA VR 296MLX24 - STICKER</v>
      </c>
      <c r="G3445" s="424">
        <v>240</v>
      </c>
      <c r="H3445" s="3">
        <f>+IFERROR(VLOOKUP(E3445,BD!$L$2:$Q$66,6,0),0)</f>
        <v>40</v>
      </c>
      <c r="I3445" s="96">
        <f>IFERROR(G3445*VLOOKUP($E3445,BD!$L$2:$Q$66,5,0),0)</f>
        <v>55.2</v>
      </c>
      <c r="J3445" s="5">
        <f t="shared" si="227"/>
        <v>2021</v>
      </c>
    </row>
    <row r="3446" spans="1:10" s="9" customFormat="1" hidden="1" x14ac:dyDescent="0.25">
      <c r="A3446" s="491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7">
        <v>256379</v>
      </c>
      <c r="F3446" s="3" t="str">
        <f>IFERROR(VLOOKUP(E3446,BD!$L$2:$Q$66,2,0),0)</f>
        <v>INCA KOLA VR 625MLX12 - STICKER</v>
      </c>
      <c r="G3446" s="424">
        <v>150</v>
      </c>
      <c r="H3446" s="3">
        <f>+IFERROR(VLOOKUP(E3446,BD!$L$2:$Q$66,6,0),0)</f>
        <v>50</v>
      </c>
      <c r="I3446" s="96">
        <f>IFERROR(G3446*VLOOKUP($E3446,BD!$L$2:$Q$66,5,0),0)</f>
        <v>60</v>
      </c>
      <c r="J3446" s="5">
        <f t="shared" si="227"/>
        <v>2021</v>
      </c>
    </row>
    <row r="3447" spans="1:10" s="9" customFormat="1" hidden="1" x14ac:dyDescent="0.25">
      <c r="A3447" s="491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7">
        <v>252436</v>
      </c>
      <c r="F3447" s="3" t="str">
        <f>IFERROR(VLOOKUP(E3447,BD!$L$2:$Q$66,2,0),0)</f>
        <v>SAN LUIS SIN GAS PET 625MLX15 C/STICKER</v>
      </c>
      <c r="G3447" s="424">
        <v>270</v>
      </c>
      <c r="H3447" s="3">
        <f>+IFERROR(VLOOKUP(E3447,BD!$L$2:$Q$66,6,0),0)</f>
        <v>90</v>
      </c>
      <c r="I3447" s="96">
        <f>IFERROR(G3447*VLOOKUP($E3447,BD!$L$2:$Q$66,5,0),0)</f>
        <v>108</v>
      </c>
      <c r="J3447" s="5">
        <f t="shared" si="227"/>
        <v>2021</v>
      </c>
    </row>
    <row r="3448" spans="1:10" s="9" customFormat="1" hidden="1" x14ac:dyDescent="0.25">
      <c r="A3448" s="491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7">
        <v>251429</v>
      </c>
      <c r="F3448" s="3" t="str">
        <f>IFERROR(VLOOKUP(E3448,BD!$L$2:$Q$66,2,0),0)</f>
        <v>SAN LUIS SIN GAS PET2500X6 STICKER</v>
      </c>
      <c r="G3448" s="424">
        <v>960</v>
      </c>
      <c r="H3448" s="3">
        <f>+IFERROR(VLOOKUP(E3448,BD!$L$2:$Q$66,6,0),0)</f>
        <v>48</v>
      </c>
      <c r="I3448" s="96">
        <f>IFERROR(G3448*VLOOKUP($E3448,BD!$L$2:$Q$66,5,0),0)</f>
        <v>384</v>
      </c>
      <c r="J3448" s="5">
        <f t="shared" si="227"/>
        <v>2021</v>
      </c>
    </row>
    <row r="3449" spans="1:10" s="9" customFormat="1" hidden="1" x14ac:dyDescent="0.25">
      <c r="A3449" s="491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7">
        <v>751315</v>
      </c>
      <c r="F3449" s="3" t="str">
        <f>IFERROR(VLOOKUP(E3449,BD!$L$2:$Q$66,2,0),0)</f>
        <v>MONSTER ENERGY 473MLX4</v>
      </c>
      <c r="G3449" s="424">
        <v>2100</v>
      </c>
      <c r="H3449" s="3">
        <f>+IFERROR(VLOOKUP(E3449,BD!$L$2:$Q$66,6,0),0)</f>
        <v>420</v>
      </c>
      <c r="I3449" s="96">
        <f>IFERROR(G3449*VLOOKUP($E3449,BD!$L$2:$Q$66,5,0),0)</f>
        <v>882</v>
      </c>
      <c r="J3449" s="5">
        <f t="shared" si="227"/>
        <v>2021</v>
      </c>
    </row>
    <row r="3450" spans="1:10" s="9" customFormat="1" hidden="1" x14ac:dyDescent="0.25">
      <c r="A3450" s="491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7">
        <v>751544</v>
      </c>
      <c r="F3450" s="3" t="str">
        <f>IFERROR(VLOOKUP(E3450,BD!$L$2:$Q$66,2,0),0)</f>
        <v>MONSTER ENERGY ZERO 473MLX4</v>
      </c>
      <c r="G3450" s="424">
        <v>420</v>
      </c>
      <c r="H3450" s="3">
        <f>+IFERROR(VLOOKUP(E3450,BD!$L$2:$Q$66,6,0),0)</f>
        <v>420</v>
      </c>
      <c r="I3450" s="96">
        <f>IFERROR(G3450*VLOOKUP($E3450,BD!$L$2:$Q$66,5,0),0)</f>
        <v>176.4</v>
      </c>
      <c r="J3450" s="5">
        <f t="shared" si="227"/>
        <v>2021</v>
      </c>
    </row>
    <row r="3451" spans="1:10" s="9" customFormat="1" hidden="1" x14ac:dyDescent="0.25">
      <c r="A3451" s="491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7">
        <v>251406</v>
      </c>
      <c r="F3451" s="3" t="str">
        <f>IFERROR(VLOOKUP(E3451,BD!$L$2:$Q$66,2,0),0)</f>
        <v>COCA-COLA SIN AZUCAR PET 1.5LX2</v>
      </c>
      <c r="G3451" s="424">
        <v>2160</v>
      </c>
      <c r="H3451" s="3">
        <f>+IFERROR(VLOOKUP(E3451,BD!$L$2:$Q$66,6,0),0)</f>
        <v>198</v>
      </c>
      <c r="I3451" s="96">
        <f>IFERROR(G3451*VLOOKUP($E3451,BD!$L$2:$Q$66,5,0),0)</f>
        <v>367.20000000000005</v>
      </c>
      <c r="J3451" s="5">
        <f t="shared" si="227"/>
        <v>2021</v>
      </c>
    </row>
    <row r="3452" spans="1:10" s="9" customFormat="1" hidden="1" x14ac:dyDescent="0.25">
      <c r="A3452" s="491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7">
        <v>256548</v>
      </c>
      <c r="F3452" s="3" t="str">
        <f>IFERROR(VLOOKUP(E3452,BD!$L$2:$Q$66,2,0),0)</f>
        <v>TWO PACK CC PET 1.5LX2 - CRC</v>
      </c>
      <c r="G3452" s="424">
        <v>648</v>
      </c>
      <c r="H3452" s="3">
        <f>+IFERROR(VLOOKUP(E3452,BD!$L$2:$Q$66,6,0),0)</f>
        <v>198</v>
      </c>
      <c r="I3452" s="96">
        <f>IFERROR(G3452*VLOOKUP($E3452,BD!$L$2:$Q$66,5,0),0)</f>
        <v>110.16000000000001</v>
      </c>
      <c r="J3452" s="5">
        <f t="shared" si="227"/>
        <v>2021</v>
      </c>
    </row>
    <row r="3453" spans="1:10" s="9" customFormat="1" hidden="1" x14ac:dyDescent="0.25">
      <c r="A3453" s="491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7">
        <v>256549</v>
      </c>
      <c r="F3453" s="3" t="str">
        <f>IFERROR(VLOOKUP(E3453,BD!$L$2:$Q$66,2,0),0)</f>
        <v>TWO PACK IK PET 1.5LX2 - CRCG</v>
      </c>
      <c r="G3453" s="424">
        <v>216</v>
      </c>
      <c r="H3453" s="3">
        <f>+IFERROR(VLOOKUP(E3453,BD!$L$2:$Q$66,6,0),0)</f>
        <v>198</v>
      </c>
      <c r="I3453" s="96">
        <f>IFERROR(G3453*VLOOKUP($E3453,BD!$L$2:$Q$66,5,0),0)</f>
        <v>36.720000000000006</v>
      </c>
      <c r="J3453" s="5">
        <f t="shared" si="227"/>
        <v>2021</v>
      </c>
    </row>
    <row r="3454" spans="1:10" s="9" customFormat="1" hidden="1" x14ac:dyDescent="0.25">
      <c r="A3454" s="491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7">
        <v>256616</v>
      </c>
      <c r="F3454" s="3" t="str">
        <f>IFERROR(VLOOKUP(E3454,BD!$L$2:$Q$66,2,0),0)</f>
        <v>TWO PACK SCHWEPPES CITRUS PET 1.5LX2</v>
      </c>
      <c r="G3454" s="424">
        <v>594</v>
      </c>
      <c r="H3454" s="3">
        <f>+IFERROR(VLOOKUP(E3454,BD!$L$2:$Q$66,6,0),0)</f>
        <v>198</v>
      </c>
      <c r="I3454" s="96">
        <f>IFERROR(G3454*VLOOKUP($E3454,BD!$L$2:$Q$66,5,0),0)</f>
        <v>100.98</v>
      </c>
      <c r="J3454" s="5">
        <f t="shared" si="227"/>
        <v>2021</v>
      </c>
    </row>
    <row r="3455" spans="1:10" s="9" customFormat="1" hidden="1" x14ac:dyDescent="0.25">
      <c r="A3455" s="491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7">
        <v>256666</v>
      </c>
      <c r="F3455" s="3" t="str">
        <f>IFERROR(VLOOKUP(E3455,BD!$L$2:$Q$66,2,0),0)</f>
        <v>COCA-COLA PET 2.25LX2 RF</v>
      </c>
      <c r="G3455" s="424">
        <v>972</v>
      </c>
      <c r="H3455" s="3">
        <f>+IFERROR(VLOOKUP(E3455,BD!$L$2:$Q$66,6,0),0)</f>
        <v>162</v>
      </c>
      <c r="I3455" s="96">
        <f>IFERROR(G3455*VLOOKUP($E3455,BD!$L$2:$Q$66,5,0),0)</f>
        <v>165.24</v>
      </c>
      <c r="J3455" s="5">
        <f t="shared" si="227"/>
        <v>2021</v>
      </c>
    </row>
    <row r="3456" spans="1:10" s="9" customFormat="1" hidden="1" x14ac:dyDescent="0.25">
      <c r="A3456" s="491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7">
        <v>256601</v>
      </c>
      <c r="F3456" s="3" t="str">
        <f>IFERROR(VLOOKUP(E3456,BD!$L$2:$Q$66,2,0),0)</f>
        <v>INCA KOLA PET 2.25LX2 RF</v>
      </c>
      <c r="G3456" s="424">
        <v>810</v>
      </c>
      <c r="H3456" s="3">
        <f>+IFERROR(VLOOKUP(E3456,BD!$L$2:$Q$66,6,0),0)</f>
        <v>162</v>
      </c>
      <c r="I3456" s="96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hidden="1" x14ac:dyDescent="0.25">
      <c r="A3457" s="491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7">
        <v>256617</v>
      </c>
      <c r="F3457" s="3" t="str">
        <f>IFERROR(VLOOKUP(E3457,BD!$L$2:$Q$66,2,0),0)</f>
        <v>TWO PACK SCHWEPPES GINGER ALE PET 1.5LX2</v>
      </c>
      <c r="G3457" s="424">
        <v>594</v>
      </c>
      <c r="H3457" s="3">
        <f>+IFERROR(VLOOKUP(E3457,BD!$L$2:$Q$66,6,0),0)</f>
        <v>198</v>
      </c>
      <c r="I3457" s="96">
        <f>IFERROR(G3457*VLOOKUP($E3457,BD!$L$2:$Q$66,5,0),0)</f>
        <v>100.98</v>
      </c>
      <c r="J3457" s="5">
        <f t="shared" si="231"/>
        <v>2021</v>
      </c>
    </row>
    <row r="3458" spans="1:11" s="9" customFormat="1" hidden="1" x14ac:dyDescent="0.25">
      <c r="A3458" s="491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7">
        <v>256676</v>
      </c>
      <c r="F3458" s="3" t="str">
        <f>IFERROR(VLOOKUP(E3458,BD!$L$2:$Q$66,2,0),0)</f>
        <v>TWO PACK CC PFM 3LX2 - RFCC</v>
      </c>
      <c r="G3458" s="424">
        <v>1200</v>
      </c>
      <c r="H3458" s="3">
        <f>+IFERROR(VLOOKUP(E3458,BD!$L$2:$Q$66,6,0),0)</f>
        <v>120</v>
      </c>
      <c r="I3458" s="96">
        <f>IFERROR(G3458*VLOOKUP($E3458,BD!$L$2:$Q$66,5,0),0)</f>
        <v>204.00000000000003</v>
      </c>
      <c r="J3458" s="5">
        <f t="shared" si="231"/>
        <v>2021</v>
      </c>
    </row>
    <row r="3459" spans="1:11" s="9" customFormat="1" hidden="1" x14ac:dyDescent="0.25">
      <c r="A3459" s="491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7">
        <v>256677</v>
      </c>
      <c r="F3459" s="3" t="str">
        <f>IFERROR(VLOOKUP(E3459,BD!$L$2:$Q$66,2,0),0)</f>
        <v>TWO PACK CC + IK PFM 3LX2 - RFNN</v>
      </c>
      <c r="G3459" s="424">
        <v>3720</v>
      </c>
      <c r="H3459" s="3">
        <f>+IFERROR(VLOOKUP(E3459,BD!$L$2:$Q$66,6,0),0)</f>
        <v>120</v>
      </c>
      <c r="I3459" s="96">
        <f>IFERROR(G3459*VLOOKUP($E3459,BD!$L$2:$Q$66,5,0),0)</f>
        <v>632.40000000000009</v>
      </c>
      <c r="J3459" s="5">
        <f t="shared" si="231"/>
        <v>2021</v>
      </c>
    </row>
    <row r="3460" spans="1:11" s="9" customFormat="1" hidden="1" x14ac:dyDescent="0.25">
      <c r="A3460" s="491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7">
        <v>256674</v>
      </c>
      <c r="F3460" s="3" t="str">
        <f>IFERROR(VLOOKUP(E3460,BD!$L$2:$Q$66,2,0),0)</f>
        <v>COCA-COLA PET 1.5LX2 RF</v>
      </c>
      <c r="G3460" s="424">
        <v>990</v>
      </c>
      <c r="H3460" s="3">
        <f>+IFERROR(VLOOKUP(E3460,BD!$L$2:$Q$66,6,0),0)</f>
        <v>198</v>
      </c>
      <c r="I3460" s="96">
        <f>IFERROR(G3460*VLOOKUP($E3460,BD!$L$2:$Q$66,5,0),0)</f>
        <v>168.3</v>
      </c>
      <c r="J3460" s="5">
        <f t="shared" si="231"/>
        <v>2021</v>
      </c>
    </row>
    <row r="3461" spans="1:11" s="9" customFormat="1" hidden="1" x14ac:dyDescent="0.25">
      <c r="A3461" s="491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7">
        <v>256678</v>
      </c>
      <c r="F3461" s="3" t="str">
        <f>IFERROR(VLOOKUP(E3461,BD!$L$2:$Q$66,2,0),0)</f>
        <v>TRIPACK (CC+IK)PFM+FT PET 3LX3 - RFNN</v>
      </c>
      <c r="G3461" s="424">
        <v>5490</v>
      </c>
      <c r="H3461" s="3">
        <f>+IFERROR(VLOOKUP(E3461,BD!$L$2:$Q$66,6,0),0)</f>
        <v>90</v>
      </c>
      <c r="I3461" s="96">
        <f>IFERROR(G3461*VLOOKUP($E3461,BD!$L$2:$Q$66,5,0),0)</f>
        <v>933.30000000000007</v>
      </c>
      <c r="J3461" s="5">
        <f t="shared" si="231"/>
        <v>2021</v>
      </c>
    </row>
    <row r="3462" spans="1:11" s="9" customFormat="1" hidden="1" x14ac:dyDescent="0.25">
      <c r="A3462" s="491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7">
        <v>256682</v>
      </c>
      <c r="F3462" s="3" t="str">
        <f>IFERROR(VLOOKUP(E3462,BD!$L$2:$Q$66,2,0),0)</f>
        <v>TRIPACK (FT NAR+SP)PET+IK RF PFM 3L</v>
      </c>
      <c r="G3462" s="424">
        <v>360</v>
      </c>
      <c r="H3462" s="3">
        <f>+IFERROR(VLOOKUP(E3462,BD!$L$2:$Q$66,6,0),0)</f>
        <v>90</v>
      </c>
      <c r="I3462" s="96">
        <f>IFERROR(G3462*VLOOKUP($E3462,BD!$L$2:$Q$66,5,0),0)</f>
        <v>61.2</v>
      </c>
      <c r="J3462" s="5">
        <f t="shared" si="231"/>
        <v>2021</v>
      </c>
    </row>
    <row r="3463" spans="1:11" s="9" customFormat="1" hidden="1" x14ac:dyDescent="0.25">
      <c r="A3463" s="52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70">
        <v>256695</v>
      </c>
      <c r="F3463" s="33" t="str">
        <f>IFERROR(VLOOKUP(E3463,BD!$L$2:$Q$66,2,0),0)</f>
        <v>POWERADE 3MORA+3FRUT PET 473MLX6</v>
      </c>
      <c r="G3463" s="512">
        <v>1350</v>
      </c>
      <c r="H3463" s="33">
        <f>+IFERROR(VLOOKUP(E3463,BD!$L$2:$Q$66,6,0),0)</f>
        <v>225</v>
      </c>
      <c r="I3463" s="499">
        <f>IFERROR(G3463*VLOOKUP($E3463,BD!$L$2:$Q$66,5,0),0)</f>
        <v>567</v>
      </c>
      <c r="J3463" s="386">
        <f t="shared" si="231"/>
        <v>2021</v>
      </c>
    </row>
    <row r="3464" spans="1:11" s="9" customFormat="1" hidden="1" x14ac:dyDescent="0.25">
      <c r="A3464" s="532">
        <v>44544</v>
      </c>
      <c r="B3464" s="502" t="str">
        <f t="shared" si="228"/>
        <v>DICIEMBRE</v>
      </c>
      <c r="C3464" s="502">
        <f t="shared" si="229"/>
        <v>51</v>
      </c>
      <c r="D3464" s="533" t="str">
        <f t="shared" si="230"/>
        <v>MARTES</v>
      </c>
      <c r="E3464" s="534">
        <v>256488</v>
      </c>
      <c r="F3464" s="533" t="str">
        <f>IFERROR(VLOOKUP(E3464,BD!$L$2:$Q$66,2,0),0)</f>
        <v>INCA KOLA PET 3LX2 - RF</v>
      </c>
      <c r="G3464" s="535">
        <v>1920</v>
      </c>
      <c r="H3464" s="533">
        <f>+IFERROR(VLOOKUP(E3464,BD!$L$2:$Q$66,6,0),0)</f>
        <v>120</v>
      </c>
      <c r="I3464" s="536">
        <f>IFERROR(G3464*VLOOKUP($E3464,BD!$L$2:$Q$66,5,0),0)</f>
        <v>326.40000000000003</v>
      </c>
      <c r="J3464" s="537">
        <f t="shared" si="231"/>
        <v>2021</v>
      </c>
      <c r="K3464" s="628" t="s">
        <v>260</v>
      </c>
    </row>
    <row r="3465" spans="1:11" s="9" customFormat="1" hidden="1" x14ac:dyDescent="0.25">
      <c r="A3465" s="538">
        <v>44544</v>
      </c>
      <c r="B3465" s="370" t="str">
        <f t="shared" si="228"/>
        <v>DICIEMBRE</v>
      </c>
      <c r="C3465" s="370">
        <f t="shared" si="229"/>
        <v>51</v>
      </c>
      <c r="D3465" s="94" t="str">
        <f t="shared" si="230"/>
        <v>MARTES</v>
      </c>
      <c r="E3465" s="378">
        <v>256678</v>
      </c>
      <c r="F3465" s="94" t="str">
        <f>IFERROR(VLOOKUP(E3465,BD!$L$2:$Q$66,2,0),0)</f>
        <v>TRIPACK (CC+IK)PFM+FT PET 3LX3 - RFNN</v>
      </c>
      <c r="G3465" s="503">
        <v>540</v>
      </c>
      <c r="H3465" s="94">
        <f>+IFERROR(VLOOKUP(E3465,BD!$L$2:$Q$66,6,0),0)</f>
        <v>90</v>
      </c>
      <c r="I3465" s="531">
        <f>IFERROR(G3465*VLOOKUP($E3465,BD!$L$2:$Q$66,5,0),0)</f>
        <v>91.800000000000011</v>
      </c>
      <c r="J3465" s="539">
        <f t="shared" si="231"/>
        <v>2021</v>
      </c>
      <c r="K3465" s="629"/>
    </row>
    <row r="3466" spans="1:11" s="9" customFormat="1" ht="15.75" hidden="1" thickBot="1" x14ac:dyDescent="0.3">
      <c r="A3466" s="540">
        <v>44544</v>
      </c>
      <c r="B3466" s="505" t="str">
        <f t="shared" si="228"/>
        <v>DICIEMBRE</v>
      </c>
      <c r="C3466" s="505">
        <f t="shared" si="229"/>
        <v>51</v>
      </c>
      <c r="D3466" s="541" t="str">
        <f t="shared" si="230"/>
        <v>MARTES</v>
      </c>
      <c r="E3466" s="506">
        <v>256677</v>
      </c>
      <c r="F3466" s="541" t="str">
        <f>IFERROR(VLOOKUP(E3466,BD!$L$2:$Q$66,2,0),0)</f>
        <v>TWO PACK CC + IK PFM 3LX2 - RFNN</v>
      </c>
      <c r="G3466" s="518">
        <v>3480</v>
      </c>
      <c r="H3466" s="541">
        <f>+IFERROR(VLOOKUP(E3466,BD!$L$2:$Q$66,6,0),0)</f>
        <v>120</v>
      </c>
      <c r="I3466" s="542">
        <f>IFERROR(G3466*VLOOKUP($E3466,BD!$L$2:$Q$66,5,0),0)</f>
        <v>591.6</v>
      </c>
      <c r="J3466" s="543">
        <f t="shared" si="231"/>
        <v>2021</v>
      </c>
      <c r="K3466" s="630"/>
    </row>
    <row r="3467" spans="1:11" s="9" customFormat="1" hidden="1" x14ac:dyDescent="0.25">
      <c r="A3467" s="493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63">
        <v>254762</v>
      </c>
      <c r="F3467" s="6" t="str">
        <f>IFERROR(VLOOKUP(E3467,BD!$L$2:$Q$66,2,0),0)</f>
        <v xml:space="preserve">SAN LUIS SPORT S/G 10 Lt x6 </v>
      </c>
      <c r="G3467" s="513">
        <v>448</v>
      </c>
      <c r="H3467" s="6">
        <f>+IFERROR(VLOOKUP(E3467,BD!$L$2:$Q$66,6,0),0)</f>
        <v>240</v>
      </c>
      <c r="I3467" s="97">
        <f>IFERROR(G3467*VLOOKUP($E3467,BD!$L$2:$Q$66,5,0),0)</f>
        <v>179.20000000000002</v>
      </c>
      <c r="J3467" s="109">
        <f t="shared" si="231"/>
        <v>2021</v>
      </c>
    </row>
    <row r="3468" spans="1:11" s="9" customFormat="1" hidden="1" x14ac:dyDescent="0.25">
      <c r="A3468" s="491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7">
        <v>256685</v>
      </c>
      <c r="F3468" s="3" t="str">
        <f>IFERROR(VLOOKUP(E3468,BD!$L$2:$Q$66,2,0),0)</f>
        <v>SL S/G TAPA PLANA 1LT</v>
      </c>
      <c r="G3468" s="424">
        <v>784</v>
      </c>
      <c r="H3468" s="3">
        <f>+IFERROR(VLOOKUP(E3468,BD!$L$2:$Q$66,6,0),0)</f>
        <v>112</v>
      </c>
      <c r="I3468" s="96">
        <f>IFERROR(G3468*VLOOKUP($E3468,BD!$L$2:$Q$66,5,0),0)</f>
        <v>313.60000000000002</v>
      </c>
      <c r="J3468" s="5">
        <f t="shared" si="231"/>
        <v>2021</v>
      </c>
    </row>
    <row r="3469" spans="1:11" s="9" customFormat="1" hidden="1" x14ac:dyDescent="0.25">
      <c r="A3469" s="491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7">
        <v>251429</v>
      </c>
      <c r="F3469" s="3" t="str">
        <f>IFERROR(VLOOKUP(E3469,BD!$L$2:$Q$66,2,0),0)</f>
        <v>SAN LUIS SIN GAS PET2500X6 STICKER</v>
      </c>
      <c r="G3469" s="424">
        <v>2400</v>
      </c>
      <c r="H3469" s="3">
        <f>+IFERROR(VLOOKUP(E3469,BD!$L$2:$Q$66,6,0),0)</f>
        <v>48</v>
      </c>
      <c r="I3469" s="96">
        <f>IFERROR(G3469*VLOOKUP($E3469,BD!$L$2:$Q$66,5,0),0)</f>
        <v>960</v>
      </c>
      <c r="J3469" s="5">
        <f t="shared" si="231"/>
        <v>2021</v>
      </c>
    </row>
    <row r="3470" spans="1:11" s="9" customFormat="1" hidden="1" x14ac:dyDescent="0.25">
      <c r="A3470" s="491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7">
        <v>751315</v>
      </c>
      <c r="F3470" s="3" t="str">
        <f>IFERROR(VLOOKUP(E3470,BD!$L$2:$Q$66,2,0),0)</f>
        <v>MONSTER ENERGY 473MLX4</v>
      </c>
      <c r="G3470" s="424">
        <v>4200</v>
      </c>
      <c r="H3470" s="3">
        <f>+IFERROR(VLOOKUP(E3470,BD!$L$2:$Q$66,6,0),0)</f>
        <v>420</v>
      </c>
      <c r="I3470" s="96">
        <f>IFERROR(G3470*VLOOKUP($E3470,BD!$L$2:$Q$66,5,0),0)</f>
        <v>1764</v>
      </c>
      <c r="J3470" s="5">
        <f t="shared" si="231"/>
        <v>2021</v>
      </c>
    </row>
    <row r="3471" spans="1:11" s="9" customFormat="1" hidden="1" x14ac:dyDescent="0.25">
      <c r="A3471" s="491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7">
        <v>256616</v>
      </c>
      <c r="F3471" s="3" t="str">
        <f>IFERROR(VLOOKUP(E3471,BD!$L$2:$Q$66,2,0),0)</f>
        <v>TWO PACK SCHWEPPES CITRUS PET 1.5LX2</v>
      </c>
      <c r="G3471" s="424">
        <v>1386</v>
      </c>
      <c r="H3471" s="3">
        <f>+IFERROR(VLOOKUP(E3471,BD!$L$2:$Q$66,6,0),0)</f>
        <v>198</v>
      </c>
      <c r="I3471" s="96">
        <f>IFERROR(G3471*VLOOKUP($E3471,BD!$L$2:$Q$66,5,0),0)</f>
        <v>235.62</v>
      </c>
      <c r="J3471" s="5">
        <f t="shared" si="231"/>
        <v>2021</v>
      </c>
    </row>
    <row r="3472" spans="1:11" s="9" customFormat="1" hidden="1" x14ac:dyDescent="0.25">
      <c r="A3472" s="491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7">
        <v>256617</v>
      </c>
      <c r="F3472" s="3" t="str">
        <f>IFERROR(VLOOKUP(E3472,BD!$L$2:$Q$66,2,0),0)</f>
        <v>TWO PACK SCHWEPPES GINGER ALE PET 1.5LX2</v>
      </c>
      <c r="G3472" s="424">
        <v>990</v>
      </c>
      <c r="H3472" s="3">
        <f>+IFERROR(VLOOKUP(E3472,BD!$L$2:$Q$66,6,0),0)</f>
        <v>198</v>
      </c>
      <c r="I3472" s="96">
        <f>IFERROR(G3472*VLOOKUP($E3472,BD!$L$2:$Q$66,5,0),0)</f>
        <v>168.3</v>
      </c>
      <c r="J3472" s="5">
        <f t="shared" si="231"/>
        <v>2021</v>
      </c>
    </row>
    <row r="3473" spans="1:11" s="9" customFormat="1" hidden="1" x14ac:dyDescent="0.25">
      <c r="A3473" s="491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7">
        <v>256488</v>
      </c>
      <c r="F3473" s="3" t="str">
        <f>IFERROR(VLOOKUP(E3473,BD!$L$2:$Q$66,2,0),0)</f>
        <v>INCA KOLA PET 3LX2 - RF</v>
      </c>
      <c r="G3473" s="424">
        <v>960</v>
      </c>
      <c r="H3473" s="3">
        <f>+IFERROR(VLOOKUP(E3473,BD!$L$2:$Q$66,6,0),0)</f>
        <v>120</v>
      </c>
      <c r="I3473" s="96">
        <f>IFERROR(G3473*VLOOKUP($E3473,BD!$L$2:$Q$66,5,0),0)</f>
        <v>163.20000000000002</v>
      </c>
      <c r="J3473" s="5">
        <f t="shared" si="231"/>
        <v>2021</v>
      </c>
    </row>
    <row r="3474" spans="1:11" s="9" customFormat="1" hidden="1" x14ac:dyDescent="0.25">
      <c r="A3474" s="491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7">
        <v>256675</v>
      </c>
      <c r="F3474" s="3" t="str">
        <f>IFERROR(VLOOKUP(E3474,BD!$L$2:$Q$66,2,0),0)</f>
        <v>INCA KOLA PET 1.5LX2 RF</v>
      </c>
      <c r="G3474" s="424">
        <v>864</v>
      </c>
      <c r="H3474" s="3">
        <f>+IFERROR(VLOOKUP(E3474,BD!$L$2:$Q$66,6,0),0)</f>
        <v>198</v>
      </c>
      <c r="I3474" s="96">
        <f>IFERROR(G3474*VLOOKUP($E3474,BD!$L$2:$Q$66,5,0),0)</f>
        <v>146.88000000000002</v>
      </c>
      <c r="J3474" s="5">
        <f t="shared" si="231"/>
        <v>2021</v>
      </c>
    </row>
    <row r="3475" spans="1:11" s="9" customFormat="1" hidden="1" x14ac:dyDescent="0.25">
      <c r="A3475" s="491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7">
        <v>256677</v>
      </c>
      <c r="F3475" s="3" t="str">
        <f>IFERROR(VLOOKUP(E3475,BD!$L$2:$Q$66,2,0),0)</f>
        <v>TWO PACK CC + IK PFM 3LX2 - RFNN</v>
      </c>
      <c r="G3475" s="424">
        <v>1920</v>
      </c>
      <c r="H3475" s="3">
        <f>+IFERROR(VLOOKUP(E3475,BD!$L$2:$Q$66,6,0),0)</f>
        <v>120</v>
      </c>
      <c r="I3475" s="96">
        <f>IFERROR(G3475*VLOOKUP($E3475,BD!$L$2:$Q$66,5,0),0)</f>
        <v>326.40000000000003</v>
      </c>
      <c r="J3475" s="5">
        <f t="shared" si="231"/>
        <v>2021</v>
      </c>
    </row>
    <row r="3476" spans="1:11" s="9" customFormat="1" hidden="1" x14ac:dyDescent="0.25">
      <c r="A3476" s="491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7">
        <v>256682</v>
      </c>
      <c r="F3476" s="3" t="str">
        <f>IFERROR(VLOOKUP(E3476,BD!$L$2:$Q$66,2,0),0)</f>
        <v>TRIPACK (FT NAR+SP)PET+IK RF PFM 3L</v>
      </c>
      <c r="G3476" s="424">
        <v>270</v>
      </c>
      <c r="H3476" s="3">
        <f>+IFERROR(VLOOKUP(E3476,BD!$L$2:$Q$66,6,0),0)</f>
        <v>90</v>
      </c>
      <c r="I3476" s="96">
        <f>IFERROR(G3476*VLOOKUP($E3476,BD!$L$2:$Q$66,5,0),0)</f>
        <v>45.900000000000006</v>
      </c>
      <c r="J3476" s="5">
        <f t="shared" si="231"/>
        <v>2021</v>
      </c>
    </row>
    <row r="3477" spans="1:11" s="9" customFormat="1" hidden="1" x14ac:dyDescent="0.25">
      <c r="A3477" s="491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7">
        <v>256720</v>
      </c>
      <c r="F3477" s="3" t="str">
        <f>IFERROR(VLOOKUP(E3477,BD!$L$2:$Q$66,2,0),0)</f>
        <v>FANTA NARANJA PET 500MLX6 BRANDEADO MOD</v>
      </c>
      <c r="G3477" s="424">
        <v>1250</v>
      </c>
      <c r="H3477" s="3">
        <f>+IFERROR(VLOOKUP(E3477,BD!$L$2:$Q$66,6,0),0)</f>
        <v>420</v>
      </c>
      <c r="I3477" s="96">
        <f>IFERROR(G3477*VLOOKUP($E3477,BD!$L$2:$Q$66,5,0),0)</f>
        <v>525</v>
      </c>
      <c r="J3477" s="5">
        <f t="shared" si="231"/>
        <v>2021</v>
      </c>
    </row>
    <row r="3478" spans="1:11" s="9" customFormat="1" hidden="1" x14ac:dyDescent="0.25">
      <c r="A3478" s="52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70">
        <v>751544</v>
      </c>
      <c r="F3478" s="33" t="str">
        <f>IFERROR(VLOOKUP(E3478,BD!$L$2:$Q$66,2,0),0)</f>
        <v>MONSTER ENERGY ZERO 473MLX4</v>
      </c>
      <c r="G3478" s="512">
        <v>840</v>
      </c>
      <c r="H3478" s="33">
        <f>+IFERROR(VLOOKUP(E3478,BD!$L$2:$Q$66,6,0),0)</f>
        <v>420</v>
      </c>
      <c r="I3478" s="499">
        <f>IFERROR(G3478*VLOOKUP($E3478,BD!$L$2:$Q$66,5,0),0)</f>
        <v>352.8</v>
      </c>
      <c r="J3478" s="386">
        <f t="shared" si="231"/>
        <v>2021</v>
      </c>
    </row>
    <row r="3479" spans="1:11" s="9" customFormat="1" hidden="1" x14ac:dyDescent="0.25">
      <c r="A3479" s="532">
        <v>44545</v>
      </c>
      <c r="B3479" s="502" t="str">
        <f t="shared" ref="B3479:B3482" si="232">UPPER(TEXT(A3479,"MMMM"))</f>
        <v>DICIEMBRE</v>
      </c>
      <c r="C3479" s="502">
        <f t="shared" ref="C3479:C3482" si="233">WEEKNUM(A3479,16)</f>
        <v>51</v>
      </c>
      <c r="D3479" s="533" t="str">
        <f t="shared" ref="D3479:D3482" si="234">UPPER(TEXT(A3479,"DDDD"))</f>
        <v>MIÉRCOLES</v>
      </c>
      <c r="E3479" s="534">
        <v>256682</v>
      </c>
      <c r="F3479" s="533" t="str">
        <f>IFERROR(VLOOKUP(E3479,BD!$L$2:$Q$66,2,0),0)</f>
        <v>TRIPACK (FT NAR+SP)PET+IK RF PFM 3L</v>
      </c>
      <c r="G3479" s="615">
        <v>90</v>
      </c>
      <c r="H3479" s="533">
        <f>+IFERROR(VLOOKUP(E3479,BD!$L$2:$Q$66,6,0),0)</f>
        <v>90</v>
      </c>
      <c r="I3479" s="536">
        <f>IFERROR(G3479*VLOOKUP($E3479,BD!$L$2:$Q$66,5,0),0)</f>
        <v>15.3</v>
      </c>
      <c r="J3479" s="537">
        <f t="shared" ref="J3479:J3482" si="235">+YEAR(A3479)</f>
        <v>2021</v>
      </c>
      <c r="K3479" s="628"/>
    </row>
    <row r="3480" spans="1:11" s="9" customFormat="1" hidden="1" x14ac:dyDescent="0.25">
      <c r="A3480" s="538">
        <v>44545</v>
      </c>
      <c r="B3480" s="370" t="str">
        <f t="shared" si="232"/>
        <v>DICIEMBRE</v>
      </c>
      <c r="C3480" s="370">
        <f t="shared" si="233"/>
        <v>51</v>
      </c>
      <c r="D3480" s="94" t="str">
        <f t="shared" si="234"/>
        <v>MIÉRCOLES</v>
      </c>
      <c r="E3480" s="378">
        <v>256652</v>
      </c>
      <c r="F3480" s="94" t="str">
        <f>IFERROR(VLOOKUP(E3480,BD!$L$2:$Q$66,2,0),0)</f>
        <v>TRIPACK FT NAR+FT KI+SP PET 3L</v>
      </c>
      <c r="G3480" s="503">
        <f>90*3</f>
        <v>270</v>
      </c>
      <c r="H3480" s="94">
        <f>+IFERROR(VLOOKUP(E3480,BD!$L$2:$Q$66,6,0),0)</f>
        <v>90</v>
      </c>
      <c r="I3480" s="531">
        <f>IFERROR(G3480*VLOOKUP($E3480,BD!$L$2:$Q$66,5,0),0)</f>
        <v>45.900000000000006</v>
      </c>
      <c r="J3480" s="539">
        <f t="shared" si="235"/>
        <v>2021</v>
      </c>
      <c r="K3480" s="629"/>
    </row>
    <row r="3481" spans="1:11" s="9" customFormat="1" hidden="1" x14ac:dyDescent="0.25">
      <c r="A3481" s="538">
        <v>44545</v>
      </c>
      <c r="B3481" s="370" t="str">
        <f t="shared" si="232"/>
        <v>DICIEMBRE</v>
      </c>
      <c r="C3481" s="370">
        <f t="shared" si="233"/>
        <v>51</v>
      </c>
      <c r="D3481" s="94" t="str">
        <f t="shared" si="234"/>
        <v>MIÉRCOLES</v>
      </c>
      <c r="E3481" s="378">
        <v>251406</v>
      </c>
      <c r="F3481" s="94" t="str">
        <f>IFERROR(VLOOKUP(E3481,BD!$L$2:$Q$66,2,0),0)</f>
        <v>COCA-COLA SIN AZUCAR PET 1.5LX2</v>
      </c>
      <c r="G3481" s="503">
        <f>216*9</f>
        <v>1944</v>
      </c>
      <c r="H3481" s="94">
        <f>+IFERROR(VLOOKUP(E3481,BD!$L$2:$Q$66,6,0),0)</f>
        <v>198</v>
      </c>
      <c r="I3481" s="531">
        <f>IFERROR(G3481*VLOOKUP($E3481,BD!$L$2:$Q$66,5,0),0)</f>
        <v>330.48</v>
      </c>
      <c r="J3481" s="539">
        <f t="shared" si="235"/>
        <v>2021</v>
      </c>
      <c r="K3481" s="629"/>
    </row>
    <row r="3482" spans="1:11" s="9" customFormat="1" ht="15.75" hidden="1" thickBot="1" x14ac:dyDescent="0.3">
      <c r="A3482" s="540">
        <v>44545</v>
      </c>
      <c r="B3482" s="505" t="str">
        <f t="shared" si="232"/>
        <v>DICIEMBRE</v>
      </c>
      <c r="C3482" s="505">
        <f t="shared" si="233"/>
        <v>51</v>
      </c>
      <c r="D3482" s="541" t="str">
        <f t="shared" si="234"/>
        <v>MIÉRCOLES</v>
      </c>
      <c r="E3482" s="506">
        <v>256677</v>
      </c>
      <c r="F3482" s="541" t="str">
        <f>IFERROR(VLOOKUP(E3482,BD!$L$2:$Q$66,2,0),0)</f>
        <v>TWO PACK CC + IK PFM 3LX2 - RFNN</v>
      </c>
      <c r="G3482" s="518">
        <f>120*12</f>
        <v>1440</v>
      </c>
      <c r="H3482" s="541">
        <f>+IFERROR(VLOOKUP(E3482,BD!$L$2:$Q$66,6,0),0)</f>
        <v>120</v>
      </c>
      <c r="I3482" s="542">
        <f>IFERROR(G3482*VLOOKUP($E3482,BD!$L$2:$Q$66,5,0),0)</f>
        <v>244.8</v>
      </c>
      <c r="J3482" s="543">
        <f t="shared" si="235"/>
        <v>2021</v>
      </c>
      <c r="K3482" s="630"/>
    </row>
    <row r="3483" spans="1:11" s="9" customFormat="1" ht="15.75" hidden="1" thickBot="1" x14ac:dyDescent="0.3">
      <c r="A3483" s="557">
        <v>44545</v>
      </c>
      <c r="B3483" s="558" t="str">
        <f t="shared" si="228"/>
        <v>DICIEMBRE</v>
      </c>
      <c r="C3483" s="558">
        <f t="shared" si="229"/>
        <v>51</v>
      </c>
      <c r="D3483" s="559" t="str">
        <f t="shared" si="230"/>
        <v>MIÉRCOLES</v>
      </c>
      <c r="E3483" s="560">
        <v>251406</v>
      </c>
      <c r="F3483" s="559" t="str">
        <f>IFERROR(VLOOKUP(E3483,BD!$L$2:$Q$66,2,0),0)</f>
        <v>COCA-COLA SIN AZUCAR PET 1.5LX2</v>
      </c>
      <c r="G3483" s="561">
        <v>1080</v>
      </c>
      <c r="H3483" s="559">
        <f>+IFERROR(VLOOKUP(E3483,BD!$L$2:$Q$66,6,0),0)</f>
        <v>198</v>
      </c>
      <c r="I3483" s="562">
        <f>IFERROR(G3483*VLOOKUP($E3483,BD!$L$2:$Q$66,5,0),0)</f>
        <v>183.60000000000002</v>
      </c>
      <c r="J3483" s="563">
        <f t="shared" si="231"/>
        <v>2021</v>
      </c>
      <c r="K3483" s="614" t="s">
        <v>258</v>
      </c>
    </row>
    <row r="3484" spans="1:11" s="9" customFormat="1" hidden="1" x14ac:dyDescent="0.25">
      <c r="A3484" s="532">
        <v>44545</v>
      </c>
      <c r="B3484" s="502" t="str">
        <f t="shared" si="228"/>
        <v>DICIEMBRE</v>
      </c>
      <c r="C3484" s="502">
        <f t="shared" si="229"/>
        <v>51</v>
      </c>
      <c r="D3484" s="533" t="str">
        <f t="shared" si="230"/>
        <v>MIÉRCOLES</v>
      </c>
      <c r="E3484" s="534">
        <v>256488</v>
      </c>
      <c r="F3484" s="533" t="str">
        <f>IFERROR(VLOOKUP(E3484,BD!$L$2:$Q$66,2,0),0)</f>
        <v>INCA KOLA PET 3LX2 - RF</v>
      </c>
      <c r="G3484" s="615">
        <v>1680</v>
      </c>
      <c r="H3484" s="533">
        <f>+IFERROR(VLOOKUP(E3484,BD!$L$2:$Q$66,6,0),0)</f>
        <v>120</v>
      </c>
      <c r="I3484" s="536">
        <f>IFERROR(G3484*VLOOKUP($E3484,BD!$L$2:$Q$66,5,0),0)</f>
        <v>285.60000000000002</v>
      </c>
      <c r="J3484" s="537">
        <f t="shared" si="231"/>
        <v>2021</v>
      </c>
      <c r="K3484" s="628" t="s">
        <v>261</v>
      </c>
    </row>
    <row r="3485" spans="1:11" s="9" customFormat="1" hidden="1" x14ac:dyDescent="0.25">
      <c r="A3485" s="538">
        <v>44545</v>
      </c>
      <c r="B3485" s="370" t="str">
        <f t="shared" si="228"/>
        <v>DICIEMBRE</v>
      </c>
      <c r="C3485" s="370">
        <f t="shared" si="229"/>
        <v>51</v>
      </c>
      <c r="D3485" s="94" t="str">
        <f t="shared" si="230"/>
        <v>MIÉRCOLES</v>
      </c>
      <c r="E3485" s="378">
        <v>256677</v>
      </c>
      <c r="F3485" s="94" t="str">
        <f>IFERROR(VLOOKUP(E3485,BD!$L$2:$Q$66,2,0),0)</f>
        <v>TWO PACK CC + IK PFM 3LX2 - RFNN</v>
      </c>
      <c r="G3485" s="503">
        <v>6960</v>
      </c>
      <c r="H3485" s="94">
        <f>+IFERROR(VLOOKUP(E3485,BD!$L$2:$Q$66,6,0),0)</f>
        <v>120</v>
      </c>
      <c r="I3485" s="531">
        <f>IFERROR(G3485*VLOOKUP($E3485,BD!$L$2:$Q$66,5,0),0)</f>
        <v>1183.2</v>
      </c>
      <c r="J3485" s="539">
        <f t="shared" si="231"/>
        <v>2021</v>
      </c>
      <c r="K3485" s="629"/>
    </row>
    <row r="3486" spans="1:11" s="9" customFormat="1" hidden="1" x14ac:dyDescent="0.25">
      <c r="A3486" s="538">
        <v>44545</v>
      </c>
      <c r="B3486" s="370" t="str">
        <f t="shared" si="228"/>
        <v>DICIEMBRE</v>
      </c>
      <c r="C3486" s="370">
        <f t="shared" si="229"/>
        <v>51</v>
      </c>
      <c r="D3486" s="94" t="str">
        <f t="shared" si="230"/>
        <v>MIÉRCOLES</v>
      </c>
      <c r="E3486" s="378">
        <v>256678</v>
      </c>
      <c r="F3486" s="94" t="str">
        <f>IFERROR(VLOOKUP(E3486,BD!$L$2:$Q$66,2,0),0)</f>
        <v>TRIPACK (CC+IK)PFM+FT PET 3LX3 - RFNN</v>
      </c>
      <c r="G3486" s="503">
        <v>2250</v>
      </c>
      <c r="H3486" s="94">
        <f>+IFERROR(VLOOKUP(E3486,BD!$L$2:$Q$66,6,0),0)</f>
        <v>90</v>
      </c>
      <c r="I3486" s="531">
        <f>IFERROR(G3486*VLOOKUP($E3486,BD!$L$2:$Q$66,5,0),0)</f>
        <v>382.5</v>
      </c>
      <c r="J3486" s="539">
        <f t="shared" si="231"/>
        <v>2021</v>
      </c>
      <c r="K3486" s="629"/>
    </row>
    <row r="3487" spans="1:11" s="9" customFormat="1" ht="15.75" hidden="1" thickBot="1" x14ac:dyDescent="0.3">
      <c r="A3487" s="540">
        <v>44545</v>
      </c>
      <c r="B3487" s="505" t="str">
        <f t="shared" si="228"/>
        <v>DICIEMBRE</v>
      </c>
      <c r="C3487" s="505">
        <f t="shared" si="229"/>
        <v>51</v>
      </c>
      <c r="D3487" s="541" t="str">
        <f t="shared" si="230"/>
        <v>MIÉRCOLES</v>
      </c>
      <c r="E3487" s="506">
        <v>256680</v>
      </c>
      <c r="F3487" s="541" t="str">
        <f>IFERROR(VLOOKUP(E3487,BD!$L$2:$Q$66,2,0),0)</f>
        <v>TRIPACK CC+CC+IK PFM 3LX3 - RFNN</v>
      </c>
      <c r="G3487" s="518">
        <v>1260</v>
      </c>
      <c r="H3487" s="541">
        <f>+IFERROR(VLOOKUP(E3487,BD!$L$2:$Q$66,6,0),0)</f>
        <v>90</v>
      </c>
      <c r="I3487" s="542">
        <f>IFERROR(G3487*VLOOKUP($E3487,BD!$L$2:$Q$66,5,0),0)</f>
        <v>214.20000000000002</v>
      </c>
      <c r="J3487" s="543">
        <f t="shared" si="231"/>
        <v>2021</v>
      </c>
      <c r="K3487" s="630"/>
    </row>
    <row r="3488" spans="1:11" s="9" customFormat="1" hidden="1" x14ac:dyDescent="0.25">
      <c r="A3488" s="493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63">
        <v>256381</v>
      </c>
      <c r="F3488" s="6" t="str">
        <f>IFERROR(VLOOKUP(E3488,BD!$L$2:$Q$66,2,0),0)</f>
        <v>INCA KOLA VR 1.5LX8 - STICKER</v>
      </c>
      <c r="G3488" s="513">
        <v>270</v>
      </c>
      <c r="H3488" s="6">
        <f>+IFERROR(VLOOKUP(E3488,BD!$L$2:$Q$66,6,0),0)</f>
        <v>30</v>
      </c>
      <c r="I3488" s="97">
        <f>IFERROR(G3488*VLOOKUP($E3488,BD!$L$2:$Q$66,5,0),0)</f>
        <v>108</v>
      </c>
      <c r="J3488" s="109">
        <f t="shared" si="231"/>
        <v>2021</v>
      </c>
    </row>
    <row r="3489" spans="1:10" s="9" customFormat="1" hidden="1" x14ac:dyDescent="0.25">
      <c r="A3489" s="491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7">
        <v>256379</v>
      </c>
      <c r="F3489" s="3" t="str">
        <f>IFERROR(VLOOKUP(E3489,BD!$L$2:$Q$66,2,0),0)</f>
        <v>INCA KOLA VR 625MLX12 - STICKER</v>
      </c>
      <c r="G3489" s="424">
        <v>350</v>
      </c>
      <c r="H3489" s="3">
        <f>+IFERROR(VLOOKUP(E3489,BD!$L$2:$Q$66,6,0),0)</f>
        <v>50</v>
      </c>
      <c r="I3489" s="96">
        <f>IFERROR(G3489*VLOOKUP($E3489,BD!$L$2:$Q$66,5,0),0)</f>
        <v>140</v>
      </c>
      <c r="J3489" s="5">
        <f t="shared" si="231"/>
        <v>2021</v>
      </c>
    </row>
    <row r="3490" spans="1:10" s="9" customFormat="1" hidden="1" x14ac:dyDescent="0.25">
      <c r="A3490" s="491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7">
        <v>252436</v>
      </c>
      <c r="F3490" s="3" t="str">
        <f>IFERROR(VLOOKUP(E3490,BD!$L$2:$Q$66,2,0),0)</f>
        <v>SAN LUIS SIN GAS PET 625MLX15 C/STICKER</v>
      </c>
      <c r="G3490" s="424">
        <v>450</v>
      </c>
      <c r="H3490" s="3">
        <f>+IFERROR(VLOOKUP(E3490,BD!$L$2:$Q$66,6,0),0)</f>
        <v>90</v>
      </c>
      <c r="I3490" s="96">
        <f>IFERROR(G3490*VLOOKUP($E3490,BD!$L$2:$Q$66,5,0),0)</f>
        <v>180</v>
      </c>
      <c r="J3490" s="5">
        <f t="shared" si="231"/>
        <v>2021</v>
      </c>
    </row>
    <row r="3491" spans="1:10" s="9" customFormat="1" hidden="1" x14ac:dyDescent="0.25">
      <c r="A3491" s="491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7">
        <v>751315</v>
      </c>
      <c r="F3491" s="3" t="str">
        <f>IFERROR(VLOOKUP(E3491,BD!$L$2:$Q$66,2,0),0)</f>
        <v>MONSTER ENERGY 473MLX4</v>
      </c>
      <c r="G3491" s="424">
        <v>1680</v>
      </c>
      <c r="H3491" s="3">
        <f>+IFERROR(VLOOKUP(E3491,BD!$L$2:$Q$66,6,0),0)</f>
        <v>420</v>
      </c>
      <c r="I3491" s="96">
        <f>IFERROR(G3491*VLOOKUP($E3491,BD!$L$2:$Q$66,5,0),0)</f>
        <v>705.6</v>
      </c>
      <c r="J3491" s="5">
        <f t="shared" si="231"/>
        <v>2021</v>
      </c>
    </row>
    <row r="3492" spans="1:10" s="9" customFormat="1" hidden="1" x14ac:dyDescent="0.25">
      <c r="A3492" s="491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7">
        <v>251633</v>
      </c>
      <c r="F3492" s="3" t="str">
        <f>IFERROR(VLOOKUP(E3492,BD!$L$2:$Q$66,2,0),0)</f>
        <v>SAN LUIS CON GAS PET 625MLX6</v>
      </c>
      <c r="G3492" s="424">
        <v>720</v>
      </c>
      <c r="H3492" s="3">
        <f>+IFERROR(VLOOKUP(E3492,BD!$L$2:$Q$66,6,0),0)</f>
        <v>180</v>
      </c>
      <c r="I3492" s="96">
        <f>IFERROR(G3492*VLOOKUP($E3492,BD!$L$2:$Q$66,5,0),0)</f>
        <v>302.39999999999998</v>
      </c>
      <c r="J3492" s="5">
        <f t="shared" si="231"/>
        <v>2021</v>
      </c>
    </row>
    <row r="3493" spans="1:10" s="9" customFormat="1" hidden="1" x14ac:dyDescent="0.25">
      <c r="A3493" s="491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7">
        <v>256549</v>
      </c>
      <c r="F3493" s="3" t="str">
        <f>IFERROR(VLOOKUP(E3493,BD!$L$2:$Q$66,2,0),0)</f>
        <v>TWO PACK IK PET 1.5LX2 - CRCG</v>
      </c>
      <c r="G3493" s="424">
        <v>216</v>
      </c>
      <c r="H3493" s="3">
        <f>+IFERROR(VLOOKUP(E3493,BD!$L$2:$Q$66,6,0),0)</f>
        <v>198</v>
      </c>
      <c r="I3493" s="96">
        <f>IFERROR(G3493*VLOOKUP($E3493,BD!$L$2:$Q$66,5,0),0)</f>
        <v>36.720000000000006</v>
      </c>
      <c r="J3493" s="5">
        <f t="shared" si="231"/>
        <v>2021</v>
      </c>
    </row>
    <row r="3494" spans="1:10" s="9" customFormat="1" hidden="1" x14ac:dyDescent="0.25">
      <c r="A3494" s="491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7">
        <v>256616</v>
      </c>
      <c r="F3494" s="3" t="str">
        <f>IFERROR(VLOOKUP(E3494,BD!$L$2:$Q$66,2,0),0)</f>
        <v>TWO PACK SCHWEPPES CITRUS PET 1.5LX2</v>
      </c>
      <c r="G3494" s="424">
        <v>396</v>
      </c>
      <c r="H3494" s="3">
        <f>+IFERROR(VLOOKUP(E3494,BD!$L$2:$Q$66,6,0),0)</f>
        <v>198</v>
      </c>
      <c r="I3494" s="96">
        <f>IFERROR(G3494*VLOOKUP($E3494,BD!$L$2:$Q$66,5,0),0)</f>
        <v>67.320000000000007</v>
      </c>
      <c r="J3494" s="5">
        <f t="shared" si="231"/>
        <v>2021</v>
      </c>
    </row>
    <row r="3495" spans="1:10" s="9" customFormat="1" hidden="1" x14ac:dyDescent="0.25">
      <c r="A3495" s="491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7">
        <v>256617</v>
      </c>
      <c r="F3495" s="3" t="str">
        <f>IFERROR(VLOOKUP(E3495,BD!$L$2:$Q$66,2,0),0)</f>
        <v>TWO PACK SCHWEPPES GINGER ALE PET 1.5LX2</v>
      </c>
      <c r="G3495" s="424">
        <v>594</v>
      </c>
      <c r="H3495" s="3">
        <f>+IFERROR(VLOOKUP(E3495,BD!$L$2:$Q$66,6,0),0)</f>
        <v>198</v>
      </c>
      <c r="I3495" s="96">
        <f>IFERROR(G3495*VLOOKUP($E3495,BD!$L$2:$Q$66,5,0),0)</f>
        <v>100.98</v>
      </c>
      <c r="J3495" s="5">
        <f t="shared" si="231"/>
        <v>2021</v>
      </c>
    </row>
    <row r="3496" spans="1:10" s="9" customFormat="1" hidden="1" x14ac:dyDescent="0.25">
      <c r="A3496" s="491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7">
        <v>256666</v>
      </c>
      <c r="F3496" s="3" t="str">
        <f>IFERROR(VLOOKUP(E3496,BD!$L$2:$Q$66,2,0),0)</f>
        <v>COCA-COLA PET 2.25LX2 RF</v>
      </c>
      <c r="G3496" s="424">
        <v>1458</v>
      </c>
      <c r="H3496" s="3">
        <f>+IFERROR(VLOOKUP(E3496,BD!$L$2:$Q$66,6,0),0)</f>
        <v>162</v>
      </c>
      <c r="I3496" s="96">
        <f>IFERROR(G3496*VLOOKUP($E3496,BD!$L$2:$Q$66,5,0),0)</f>
        <v>247.86</v>
      </c>
      <c r="J3496" s="5">
        <f t="shared" si="231"/>
        <v>2021</v>
      </c>
    </row>
    <row r="3497" spans="1:10" s="9" customFormat="1" hidden="1" x14ac:dyDescent="0.25">
      <c r="A3497" s="491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7">
        <v>256601</v>
      </c>
      <c r="F3497" s="3" t="str">
        <f>IFERROR(VLOOKUP(E3497,BD!$L$2:$Q$66,2,0),0)</f>
        <v>INCA KOLA PET 2.25LX2 RF</v>
      </c>
      <c r="G3497" s="424">
        <v>1620</v>
      </c>
      <c r="H3497" s="3">
        <f>+IFERROR(VLOOKUP(E3497,BD!$L$2:$Q$66,6,0),0)</f>
        <v>162</v>
      </c>
      <c r="I3497" s="96">
        <f>IFERROR(G3497*VLOOKUP($E3497,BD!$L$2:$Q$66,5,0),0)</f>
        <v>275.40000000000003</v>
      </c>
      <c r="J3497" s="5">
        <f t="shared" si="231"/>
        <v>2021</v>
      </c>
    </row>
    <row r="3498" spans="1:10" s="9" customFormat="1" hidden="1" x14ac:dyDescent="0.25">
      <c r="A3498" s="491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7">
        <v>256488</v>
      </c>
      <c r="F3498" s="3" t="str">
        <f>IFERROR(VLOOKUP(E3498,BD!$L$2:$Q$66,2,0),0)</f>
        <v>INCA KOLA PET 3LX2 - RF</v>
      </c>
      <c r="G3498" s="424">
        <v>1080</v>
      </c>
      <c r="H3498" s="3">
        <f>+IFERROR(VLOOKUP(E3498,BD!$L$2:$Q$66,6,0),0)</f>
        <v>120</v>
      </c>
      <c r="I3498" s="96">
        <f>IFERROR(G3498*VLOOKUP($E3498,BD!$L$2:$Q$66,5,0),0)</f>
        <v>183.60000000000002</v>
      </c>
      <c r="J3498" s="5">
        <f t="shared" si="231"/>
        <v>2021</v>
      </c>
    </row>
    <row r="3499" spans="1:10" s="9" customFormat="1" hidden="1" x14ac:dyDescent="0.25">
      <c r="A3499" s="491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7">
        <v>256652</v>
      </c>
      <c r="F3499" s="3" t="str">
        <f>IFERROR(VLOOKUP(E3499,BD!$L$2:$Q$66,2,0),0)</f>
        <v>TRIPACK FT NAR+FT KI+SP PET 3L</v>
      </c>
      <c r="G3499" s="424">
        <v>900</v>
      </c>
      <c r="H3499" s="3">
        <f>+IFERROR(VLOOKUP(E3499,BD!$L$2:$Q$66,6,0),0)</f>
        <v>90</v>
      </c>
      <c r="I3499" s="96">
        <f>IFERROR(G3499*VLOOKUP($E3499,BD!$L$2:$Q$66,5,0),0)</f>
        <v>153</v>
      </c>
      <c r="J3499" s="5">
        <f t="shared" si="231"/>
        <v>2021</v>
      </c>
    </row>
    <row r="3500" spans="1:10" s="9" customFormat="1" hidden="1" x14ac:dyDescent="0.25">
      <c r="A3500" s="491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7">
        <v>256680</v>
      </c>
      <c r="F3500" s="3" t="str">
        <f>IFERROR(VLOOKUP(E3500,BD!$L$2:$Q$66,2,0),0)</f>
        <v>TRIPACK CC+CC+IK PFM 3LX3 - RFNN</v>
      </c>
      <c r="G3500" s="424">
        <v>180</v>
      </c>
      <c r="H3500" s="3">
        <f>+IFERROR(VLOOKUP(E3500,BD!$L$2:$Q$66,6,0),0)</f>
        <v>90</v>
      </c>
      <c r="I3500" s="96">
        <f>IFERROR(G3500*VLOOKUP($E3500,BD!$L$2:$Q$66,5,0),0)</f>
        <v>30.6</v>
      </c>
      <c r="J3500" s="5">
        <f t="shared" si="231"/>
        <v>2021</v>
      </c>
    </row>
    <row r="3501" spans="1:10" s="9" customFormat="1" hidden="1" x14ac:dyDescent="0.25">
      <c r="A3501" s="491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7">
        <v>256679</v>
      </c>
      <c r="F3501" s="3" t="str">
        <f>IFERROR(VLOOKUP(E3501,BD!$L$2:$Q$66,2,0),0)</f>
        <v>TRIPACK CC+IK+IK PFM 3LX3 - RFNN</v>
      </c>
      <c r="G3501" s="424">
        <v>1440</v>
      </c>
      <c r="H3501" s="3">
        <f>+IFERROR(VLOOKUP(E3501,BD!$L$2:$Q$66,6,0),0)</f>
        <v>90</v>
      </c>
      <c r="I3501" s="96">
        <f>IFERROR(G3501*VLOOKUP($E3501,BD!$L$2:$Q$66,5,0),0)</f>
        <v>244.8</v>
      </c>
      <c r="J3501" s="5">
        <f t="shared" si="231"/>
        <v>2021</v>
      </c>
    </row>
    <row r="3502" spans="1:10" s="9" customFormat="1" hidden="1" x14ac:dyDescent="0.25">
      <c r="A3502" s="491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7">
        <v>256682</v>
      </c>
      <c r="F3502" s="3" t="str">
        <f>IFERROR(VLOOKUP(E3502,BD!$L$2:$Q$66,2,0),0)</f>
        <v>TRIPACK (FT NAR+SP)PET+IK RF PFM 3L</v>
      </c>
      <c r="G3502" s="424">
        <v>450</v>
      </c>
      <c r="H3502" s="3">
        <f>+IFERROR(VLOOKUP(E3502,BD!$L$2:$Q$66,6,0),0)</f>
        <v>90</v>
      </c>
      <c r="I3502" s="96">
        <f>IFERROR(G3502*VLOOKUP($E3502,BD!$L$2:$Q$66,5,0),0)</f>
        <v>76.5</v>
      </c>
      <c r="J3502" s="5">
        <f t="shared" si="231"/>
        <v>2021</v>
      </c>
    </row>
    <row r="3503" spans="1:10" s="9" customFormat="1" hidden="1" x14ac:dyDescent="0.25">
      <c r="A3503" s="491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7">
        <v>256695</v>
      </c>
      <c r="F3503" s="3" t="str">
        <f>IFERROR(VLOOKUP(E3503,BD!$L$2:$Q$66,2,0),0)</f>
        <v>POWERADE 3MORA+3FRUT PET 473MLX6</v>
      </c>
      <c r="G3503" s="424">
        <v>450</v>
      </c>
      <c r="H3503" s="3">
        <f>+IFERROR(VLOOKUP(E3503,BD!$L$2:$Q$66,6,0),0)</f>
        <v>225</v>
      </c>
      <c r="I3503" s="96">
        <f>IFERROR(G3503*VLOOKUP($E3503,BD!$L$2:$Q$66,5,0),0)</f>
        <v>189</v>
      </c>
      <c r="J3503" s="5">
        <f t="shared" si="231"/>
        <v>2021</v>
      </c>
    </row>
    <row r="3504" spans="1:10" s="9" customFormat="1" hidden="1" x14ac:dyDescent="0.25">
      <c r="A3504" s="491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7">
        <v>256708</v>
      </c>
      <c r="F3504" s="3" t="str">
        <f>IFERROR(VLOOKUP(E3504,BD!$L$2:$Q$66,2,0),0)</f>
        <v>POWERADE ION4 FRUTA PET473X6 MOD (STICK)</v>
      </c>
      <c r="G3504" s="424">
        <v>1125</v>
      </c>
      <c r="H3504" s="3">
        <f>+IFERROR(VLOOKUP(E3504,BD!$L$2:$Q$66,6,0),0)</f>
        <v>225</v>
      </c>
      <c r="I3504" s="96">
        <f>IFERROR(G3504*VLOOKUP($E3504,BD!$L$2:$Q$66,5,0),0)</f>
        <v>450</v>
      </c>
      <c r="J3504" s="5">
        <f t="shared" si="231"/>
        <v>2021</v>
      </c>
    </row>
    <row r="3505" spans="1:10" s="9" customFormat="1" hidden="1" x14ac:dyDescent="0.25">
      <c r="A3505" s="491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7">
        <v>256709</v>
      </c>
      <c r="F3505" s="3" t="str">
        <f>IFERROR(VLOOKUP(E3505,BD!$L$2:$Q$66,2,0),0)</f>
        <v>POWERADE ION4 MORA AZ PET473X6 MOD(STCK)</v>
      </c>
      <c r="G3505" s="424">
        <v>675</v>
      </c>
      <c r="H3505" s="3">
        <f>+IFERROR(VLOOKUP(E3505,BD!$L$2:$Q$66,6,0),0)</f>
        <v>225</v>
      </c>
      <c r="I3505" s="96">
        <f>IFERROR(G3505*VLOOKUP($E3505,BD!$L$2:$Q$66,5,0),0)</f>
        <v>270</v>
      </c>
      <c r="J3505" s="5">
        <f t="shared" si="231"/>
        <v>2021</v>
      </c>
    </row>
    <row r="3506" spans="1:10" s="9" customFormat="1" hidden="1" x14ac:dyDescent="0.25">
      <c r="A3506" s="491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7">
        <v>256720</v>
      </c>
      <c r="F3506" s="3" t="str">
        <f>IFERROR(VLOOKUP(E3506,BD!$L$2:$Q$66,2,0),0)</f>
        <v>FANTA NARANJA PET 500MLX6 BRANDEADO MOD</v>
      </c>
      <c r="G3506" s="424">
        <v>500</v>
      </c>
      <c r="H3506" s="3">
        <f>+IFERROR(VLOOKUP(E3506,BD!$L$2:$Q$66,6,0),0)</f>
        <v>420</v>
      </c>
      <c r="I3506" s="96">
        <f>IFERROR(G3506*VLOOKUP($E3506,BD!$L$2:$Q$66,5,0),0)</f>
        <v>210</v>
      </c>
      <c r="J3506" s="5">
        <f t="shared" si="231"/>
        <v>2021</v>
      </c>
    </row>
    <row r="3507" spans="1:10" s="9" customFormat="1" hidden="1" x14ac:dyDescent="0.25">
      <c r="A3507" s="491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7">
        <v>256721</v>
      </c>
      <c r="F3507" s="3" t="str">
        <f>IFERROR(VLOOKUP(E3507,BD!$L$2:$Q$66,2,0),0)</f>
        <v>SPRITE PET 500MLX6 BRANDEADO MOD</v>
      </c>
      <c r="G3507" s="424">
        <v>750</v>
      </c>
      <c r="H3507" s="3">
        <f>+IFERROR(VLOOKUP(E3507,BD!$L$2:$Q$66,6,0),0)</f>
        <v>420</v>
      </c>
      <c r="I3507" s="96">
        <f>IFERROR(G3507*VLOOKUP($E3507,BD!$L$2:$Q$66,5,0),0)</f>
        <v>315</v>
      </c>
      <c r="J3507" s="5">
        <f t="shared" si="231"/>
        <v>2021</v>
      </c>
    </row>
    <row r="3508" spans="1:10" s="9" customFormat="1" hidden="1" x14ac:dyDescent="0.25">
      <c r="A3508" s="491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7">
        <v>256721</v>
      </c>
      <c r="F3508" s="3" t="str">
        <f>IFERROR(VLOOKUP(E3508,BD!$L$2:$Q$66,2,0),0)</f>
        <v>SPRITE PET 500MLX6 BRANDEADO MOD</v>
      </c>
      <c r="G3508" s="424">
        <v>500</v>
      </c>
      <c r="H3508" s="3">
        <f>+IFERROR(VLOOKUP(E3508,BD!$L$2:$Q$66,6,0),0)</f>
        <v>420</v>
      </c>
      <c r="I3508" s="96">
        <f>IFERROR(G3508*VLOOKUP($E3508,BD!$L$2:$Q$66,5,0),0)</f>
        <v>210</v>
      </c>
      <c r="J3508" s="5">
        <f t="shared" si="231"/>
        <v>2021</v>
      </c>
    </row>
    <row r="3509" spans="1:10" s="9" customFormat="1" hidden="1" x14ac:dyDescent="0.25">
      <c r="A3509" s="491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7">
        <v>751315</v>
      </c>
      <c r="F3509" s="3" t="str">
        <f>IFERROR(VLOOKUP(E3509,BD!$L$2:$Q$66,2,0),0)</f>
        <v>MONSTER ENERGY 473MLX4</v>
      </c>
      <c r="G3509" s="424">
        <v>420</v>
      </c>
      <c r="H3509" s="3">
        <f>+IFERROR(VLOOKUP(E3509,BD!$L$2:$Q$66,6,0),0)</f>
        <v>420</v>
      </c>
      <c r="I3509" s="96">
        <f>IFERROR(G3509*VLOOKUP($E3509,BD!$L$2:$Q$66,5,0),0)</f>
        <v>176.4</v>
      </c>
      <c r="J3509" s="5">
        <f t="shared" si="231"/>
        <v>2021</v>
      </c>
    </row>
    <row r="3510" spans="1:10" s="9" customFormat="1" ht="15.75" hidden="1" thickBot="1" x14ac:dyDescent="0.3">
      <c r="A3510" s="492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9">
        <v>256695</v>
      </c>
      <c r="F3510" s="8" t="str">
        <f>IFERROR(VLOOKUP(E3510,BD!$L$2:$Q$66,2,0),0)</f>
        <v>POWERADE 3MORA+3FRUT PET 473MLX6</v>
      </c>
      <c r="G3510" s="501">
        <v>900</v>
      </c>
      <c r="H3510" s="8">
        <f>+IFERROR(VLOOKUP(E3510,BD!$L$2:$Q$66,6,0),0)</f>
        <v>225</v>
      </c>
      <c r="I3510" s="98">
        <f>IFERROR(G3510*VLOOKUP($E3510,BD!$L$2:$Q$66,5,0),0)</f>
        <v>378</v>
      </c>
      <c r="J3510" s="110">
        <f t="shared" si="231"/>
        <v>2021</v>
      </c>
    </row>
    <row r="3511" spans="1:10" s="9" customFormat="1" hidden="1" x14ac:dyDescent="0.25">
      <c r="A3511" s="493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63">
        <v>256695</v>
      </c>
      <c r="F3511" s="6" t="str">
        <f>IFERROR(VLOOKUP(E3511,BD!$L$2:$Q$66,2,0),0)</f>
        <v>POWERADE 3MORA+3FRUT PET 473MLX6</v>
      </c>
      <c r="G3511" s="513">
        <v>2250</v>
      </c>
      <c r="H3511" s="6">
        <f>+IFERROR(VLOOKUP(E3511,BD!$L$2:$Q$66,6,0),0)</f>
        <v>225</v>
      </c>
      <c r="I3511" s="97">
        <f>IFERROR(G3511*VLOOKUP($E3511,BD!$L$2:$Q$66,5,0),0)</f>
        <v>945</v>
      </c>
      <c r="J3511" s="109">
        <f t="shared" si="231"/>
        <v>2021</v>
      </c>
    </row>
    <row r="3512" spans="1:10" s="9" customFormat="1" hidden="1" x14ac:dyDescent="0.25">
      <c r="A3512" s="491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7">
        <v>256678</v>
      </c>
      <c r="F3512" s="3" t="str">
        <f>IFERROR(VLOOKUP(E3512,BD!$L$2:$Q$66,2,0),0)</f>
        <v>TRIPACK (CC+IK)PFM+FT PET 3LX3 - RFNN</v>
      </c>
      <c r="G3512" s="424">
        <v>2160</v>
      </c>
      <c r="H3512" s="3">
        <f>+IFERROR(VLOOKUP(E3512,BD!$L$2:$Q$66,6,0),0)</f>
        <v>90</v>
      </c>
      <c r="I3512" s="96">
        <f>IFERROR(G3512*VLOOKUP($E3512,BD!$L$2:$Q$66,5,0),0)</f>
        <v>367.20000000000005</v>
      </c>
      <c r="J3512" s="5">
        <f t="shared" si="231"/>
        <v>2021</v>
      </c>
    </row>
    <row r="3513" spans="1:10" s="9" customFormat="1" hidden="1" x14ac:dyDescent="0.25">
      <c r="A3513" s="491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7">
        <v>256679</v>
      </c>
      <c r="F3513" s="3" t="str">
        <f>IFERROR(VLOOKUP(E3513,BD!$L$2:$Q$66,2,0),0)</f>
        <v>TRIPACK CC+IK+IK PFM 3LX3 - RFNN</v>
      </c>
      <c r="G3513" s="424">
        <v>450</v>
      </c>
      <c r="H3513" s="3">
        <f>+IFERROR(VLOOKUP(E3513,BD!$L$2:$Q$66,6,0),0)</f>
        <v>90</v>
      </c>
      <c r="I3513" s="96">
        <f>IFERROR(G3513*VLOOKUP($E3513,BD!$L$2:$Q$66,5,0),0)</f>
        <v>76.5</v>
      </c>
      <c r="J3513" s="5">
        <f t="shared" si="231"/>
        <v>2021</v>
      </c>
    </row>
    <row r="3514" spans="1:10" s="9" customFormat="1" hidden="1" x14ac:dyDescent="0.25">
      <c r="A3514" s="491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7">
        <v>256680</v>
      </c>
      <c r="F3514" s="3" t="str">
        <f>IFERROR(VLOOKUP(E3514,BD!$L$2:$Q$66,2,0),0)</f>
        <v>TRIPACK CC+CC+IK PFM 3LX3 - RFNN</v>
      </c>
      <c r="G3514" s="424">
        <v>180</v>
      </c>
      <c r="H3514" s="3">
        <f>+IFERROR(VLOOKUP(E3514,BD!$L$2:$Q$66,6,0),0)</f>
        <v>90</v>
      </c>
      <c r="I3514" s="96">
        <f>IFERROR(G3514*VLOOKUP($E3514,BD!$L$2:$Q$66,5,0),0)</f>
        <v>30.6</v>
      </c>
      <c r="J3514" s="5">
        <f t="shared" si="231"/>
        <v>2021</v>
      </c>
    </row>
    <row r="3515" spans="1:10" s="9" customFormat="1" hidden="1" x14ac:dyDescent="0.25">
      <c r="A3515" s="491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7">
        <v>256677</v>
      </c>
      <c r="F3515" s="3" t="str">
        <f>IFERROR(VLOOKUP(E3515,BD!$L$2:$Q$66,2,0),0)</f>
        <v>TWO PACK CC + IK PFM 3LX2 - RFNN</v>
      </c>
      <c r="G3515" s="424">
        <v>2160</v>
      </c>
      <c r="H3515" s="3">
        <f>+IFERROR(VLOOKUP(E3515,BD!$L$2:$Q$66,6,0),0)</f>
        <v>120</v>
      </c>
      <c r="I3515" s="96">
        <f>IFERROR(G3515*VLOOKUP($E3515,BD!$L$2:$Q$66,5,0),0)</f>
        <v>367.20000000000005</v>
      </c>
      <c r="J3515" s="5">
        <f t="shared" si="231"/>
        <v>2021</v>
      </c>
    </row>
    <row r="3516" spans="1:10" s="9" customFormat="1" hidden="1" x14ac:dyDescent="0.25">
      <c r="A3516" s="491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7">
        <v>256674</v>
      </c>
      <c r="F3516" s="3" t="str">
        <f>IFERROR(VLOOKUP(E3516,BD!$L$2:$Q$66,2,0),0)</f>
        <v>COCA-COLA PET 1.5LX2 RF</v>
      </c>
      <c r="G3516" s="424">
        <v>1296</v>
      </c>
      <c r="H3516" s="3">
        <f>+IFERROR(VLOOKUP(E3516,BD!$L$2:$Q$66,6,0),0)</f>
        <v>198</v>
      </c>
      <c r="I3516" s="96">
        <f>IFERROR(G3516*VLOOKUP($E3516,BD!$L$2:$Q$66,5,0),0)</f>
        <v>220.32000000000002</v>
      </c>
      <c r="J3516" s="5">
        <f t="shared" si="231"/>
        <v>2021</v>
      </c>
    </row>
    <row r="3517" spans="1:10" s="9" customFormat="1" hidden="1" x14ac:dyDescent="0.25">
      <c r="A3517" s="491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7">
        <v>256616</v>
      </c>
      <c r="F3517" s="3" t="str">
        <f>IFERROR(VLOOKUP(E3517,BD!$L$2:$Q$66,2,0),0)</f>
        <v>TWO PACK SCHWEPPES CITRUS PET 1.5LX2</v>
      </c>
      <c r="G3517" s="424">
        <v>1188</v>
      </c>
      <c r="H3517" s="3">
        <f>+IFERROR(VLOOKUP(E3517,BD!$L$2:$Q$66,6,0),0)</f>
        <v>198</v>
      </c>
      <c r="I3517" s="96">
        <f>IFERROR(G3517*VLOOKUP($E3517,BD!$L$2:$Q$66,5,0),0)</f>
        <v>201.96</v>
      </c>
      <c r="J3517" s="5">
        <f t="shared" si="231"/>
        <v>2021</v>
      </c>
    </row>
    <row r="3518" spans="1:10" s="9" customFormat="1" hidden="1" x14ac:dyDescent="0.25">
      <c r="A3518" s="491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7">
        <v>251406</v>
      </c>
      <c r="F3518" s="3" t="str">
        <f>IFERROR(VLOOKUP(E3518,BD!$L$2:$Q$66,2,0),0)</f>
        <v>COCA-COLA SIN AZUCAR PET 1.5LX2</v>
      </c>
      <c r="G3518" s="424">
        <v>1296</v>
      </c>
      <c r="H3518" s="3">
        <f>+IFERROR(VLOOKUP(E3518,BD!$L$2:$Q$66,6,0),0)</f>
        <v>198</v>
      </c>
      <c r="I3518" s="96">
        <f>IFERROR(G3518*VLOOKUP($E3518,BD!$L$2:$Q$66,5,0),0)</f>
        <v>220.32000000000002</v>
      </c>
      <c r="J3518" s="5">
        <f t="shared" si="231"/>
        <v>2021</v>
      </c>
    </row>
    <row r="3519" spans="1:10" s="9" customFormat="1" hidden="1" x14ac:dyDescent="0.25">
      <c r="A3519" s="491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7">
        <v>251633</v>
      </c>
      <c r="F3519" s="3" t="str">
        <f>IFERROR(VLOOKUP(E3519,BD!$L$2:$Q$66,2,0),0)</f>
        <v>SAN LUIS CON GAS PET 625MLX6</v>
      </c>
      <c r="G3519" s="424">
        <v>900</v>
      </c>
      <c r="H3519" s="3">
        <f>+IFERROR(VLOOKUP(E3519,BD!$L$2:$Q$66,6,0),0)</f>
        <v>180</v>
      </c>
      <c r="I3519" s="96">
        <f>IFERROR(G3519*VLOOKUP($E3519,BD!$L$2:$Q$66,5,0),0)</f>
        <v>378</v>
      </c>
      <c r="J3519" s="5">
        <f t="shared" si="231"/>
        <v>2021</v>
      </c>
    </row>
    <row r="3520" spans="1:10" s="9" customFormat="1" hidden="1" x14ac:dyDescent="0.25">
      <c r="A3520" s="491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7">
        <v>251429</v>
      </c>
      <c r="F3520" s="3" t="str">
        <f>IFERROR(VLOOKUP(E3520,BD!$L$2:$Q$66,2,0),0)</f>
        <v>SAN LUIS SIN GAS PET2500X6 STICKER</v>
      </c>
      <c r="G3520" s="424">
        <v>720</v>
      </c>
      <c r="H3520" s="3">
        <f>+IFERROR(VLOOKUP(E3520,BD!$L$2:$Q$66,6,0),0)</f>
        <v>48</v>
      </c>
      <c r="I3520" s="96">
        <f>IFERROR(G3520*VLOOKUP($E3520,BD!$L$2:$Q$66,5,0),0)</f>
        <v>288</v>
      </c>
      <c r="J3520" s="5">
        <f t="shared" si="231"/>
        <v>2021</v>
      </c>
    </row>
    <row r="3521" spans="1:10" s="9" customFormat="1" hidden="1" x14ac:dyDescent="0.25">
      <c r="A3521" s="491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7">
        <v>252436</v>
      </c>
      <c r="F3521" s="3" t="str">
        <f>IFERROR(VLOOKUP(E3521,BD!$L$2:$Q$66,2,0),0)</f>
        <v>SAN LUIS SIN GAS PET 625MLX15 C/STICKER</v>
      </c>
      <c r="G3521" s="424">
        <v>990</v>
      </c>
      <c r="H3521" s="3">
        <f>+IFERROR(VLOOKUP(E3521,BD!$L$2:$Q$66,6,0),0)</f>
        <v>90</v>
      </c>
      <c r="I3521" s="96">
        <f>IFERROR(G3521*VLOOKUP($E3521,BD!$L$2:$Q$66,5,0),0)</f>
        <v>396</v>
      </c>
      <c r="J3521" s="5">
        <f t="shared" si="231"/>
        <v>2021</v>
      </c>
    </row>
    <row r="3522" spans="1:10" s="9" customFormat="1" hidden="1" x14ac:dyDescent="0.25">
      <c r="A3522" s="491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7">
        <v>256380</v>
      </c>
      <c r="F3522" s="3" t="str">
        <f>IFERROR(VLOOKUP(E3522,BD!$L$2:$Q$66,2,0),0)</f>
        <v>INCA KOLA VR 296MLX24 - STICKER</v>
      </c>
      <c r="G3522" s="424">
        <v>160</v>
      </c>
      <c r="H3522" s="3">
        <f>+IFERROR(VLOOKUP(E3522,BD!$L$2:$Q$66,6,0),0)</f>
        <v>40</v>
      </c>
      <c r="I3522" s="96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hidden="1" x14ac:dyDescent="0.25">
      <c r="A3523" s="491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7">
        <v>256381</v>
      </c>
      <c r="F3523" s="3" t="str">
        <f>IFERROR(VLOOKUP(E3523,BD!$L$2:$Q$66,2,0),0)</f>
        <v>INCA KOLA VR 1.5LX8 - STICKER</v>
      </c>
      <c r="G3523" s="424">
        <v>240</v>
      </c>
      <c r="H3523" s="3">
        <f>+IFERROR(VLOOKUP(E3523,BD!$L$2:$Q$66,6,0),0)</f>
        <v>30</v>
      </c>
      <c r="I3523" s="96">
        <f>IFERROR(G3523*VLOOKUP($E3523,BD!$L$2:$Q$66,5,0),0)</f>
        <v>96</v>
      </c>
      <c r="J3523" s="5">
        <f t="shared" si="239"/>
        <v>2021</v>
      </c>
    </row>
    <row r="3524" spans="1:10" s="9" customFormat="1" hidden="1" x14ac:dyDescent="0.25">
      <c r="A3524" s="491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7">
        <v>256383</v>
      </c>
      <c r="F3524" s="3" t="str">
        <f>IFERROR(VLOOKUP(E3524,BD!$L$2:$Q$66,2,0),0)</f>
        <v>COCA COLA VR 1.5LX8 - STICKER</v>
      </c>
      <c r="G3524" s="424">
        <v>240</v>
      </c>
      <c r="H3524" s="3">
        <f>+IFERROR(VLOOKUP(E3524,BD!$L$2:$Q$66,6,0),0)</f>
        <v>30</v>
      </c>
      <c r="I3524" s="96">
        <f>IFERROR(G3524*VLOOKUP($E3524,BD!$L$2:$Q$66,5,0),0)</f>
        <v>55.2</v>
      </c>
      <c r="J3524" s="5">
        <f t="shared" si="239"/>
        <v>2021</v>
      </c>
    </row>
    <row r="3525" spans="1:10" s="9" customFormat="1" hidden="1" x14ac:dyDescent="0.25">
      <c r="A3525" s="491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7">
        <v>256382</v>
      </c>
      <c r="F3525" s="3" t="str">
        <f>IFERROR(VLOOKUP(E3525,BD!$L$2:$Q$66,2,0),0)</f>
        <v>COCA COLA VR 296MLX24 - STICKER</v>
      </c>
      <c r="G3525" s="424">
        <v>200</v>
      </c>
      <c r="H3525" s="3">
        <f>+IFERROR(VLOOKUP(E3525,BD!$L$2:$Q$66,6,0),0)</f>
        <v>40</v>
      </c>
      <c r="I3525" s="96">
        <f>IFERROR(G3525*VLOOKUP($E3525,BD!$L$2:$Q$66,5,0),0)</f>
        <v>46</v>
      </c>
      <c r="J3525" s="5">
        <f t="shared" si="239"/>
        <v>2021</v>
      </c>
    </row>
    <row r="3526" spans="1:10" s="9" customFormat="1" ht="15.75" hidden="1" thickBot="1" x14ac:dyDescent="0.3">
      <c r="A3526" s="492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9">
        <v>256616</v>
      </c>
      <c r="F3526" s="8" t="str">
        <f>IFERROR(VLOOKUP(E3526,BD!$L$2:$Q$66,2,0),0)</f>
        <v>TWO PACK SCHWEPPES CITRUS PET 1.5LX2</v>
      </c>
      <c r="G3526" s="501">
        <v>330</v>
      </c>
      <c r="H3526" s="8">
        <f>+IFERROR(VLOOKUP(E3526,BD!$L$2:$Q$66,6,0),0)</f>
        <v>198</v>
      </c>
      <c r="I3526" s="98">
        <f>IFERROR(G3526*VLOOKUP($E3526,BD!$L$2:$Q$66,5,0),0)</f>
        <v>56.1</v>
      </c>
      <c r="J3526" s="110">
        <f t="shared" si="239"/>
        <v>2021</v>
      </c>
    </row>
    <row r="3527" spans="1:10" s="9" customFormat="1" hidden="1" x14ac:dyDescent="0.25">
      <c r="A3527" s="493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63">
        <v>252436</v>
      </c>
      <c r="F3527" s="6" t="str">
        <f>IFERROR(VLOOKUP(E3527,BD!$L$2:$Q$66,2,0),0)</f>
        <v>SAN LUIS SIN GAS PET 625MLX15 C/STICKER</v>
      </c>
      <c r="G3527" s="513">
        <v>1620</v>
      </c>
      <c r="H3527" s="6">
        <f>+IFERROR(VLOOKUP(E3527,BD!$L$2:$Q$66,6,0),0)</f>
        <v>90</v>
      </c>
      <c r="I3527" s="97">
        <f>IFERROR(G3527*VLOOKUP($E3527,BD!$L$2:$Q$66,5,0),0)</f>
        <v>648</v>
      </c>
      <c r="J3527" s="109">
        <f t="shared" si="239"/>
        <v>2021</v>
      </c>
    </row>
    <row r="3528" spans="1:10" s="9" customFormat="1" hidden="1" x14ac:dyDescent="0.25">
      <c r="A3528" s="491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7">
        <v>251406</v>
      </c>
      <c r="F3528" s="3" t="str">
        <f>IFERROR(VLOOKUP(E3528,BD!$L$2:$Q$66,2,0),0)</f>
        <v>COCA-COLA SIN AZUCAR PET 1.5LX2</v>
      </c>
      <c r="G3528" s="424">
        <v>1296</v>
      </c>
      <c r="H3528" s="3">
        <f>+IFERROR(VLOOKUP(E3528,BD!$L$2:$Q$66,6,0),0)</f>
        <v>198</v>
      </c>
      <c r="I3528" s="96">
        <f>IFERROR(G3528*VLOOKUP($E3528,BD!$L$2:$Q$66,5,0),0)</f>
        <v>220.32000000000002</v>
      </c>
      <c r="J3528" s="5">
        <f t="shared" si="239"/>
        <v>2021</v>
      </c>
    </row>
    <row r="3529" spans="1:10" s="9" customFormat="1" hidden="1" x14ac:dyDescent="0.25">
      <c r="A3529" s="491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7">
        <v>254853</v>
      </c>
      <c r="F3529" s="3" t="str">
        <f>IFERROR(VLOOKUP(E3529,BD!$L$2:$Q$66,2,0),0)</f>
        <v>INCA KOLA SIN AZUCAR PET 1.5LX2</v>
      </c>
      <c r="G3529" s="424">
        <v>432</v>
      </c>
      <c r="H3529" s="3">
        <f>+IFERROR(VLOOKUP(E3529,BD!$L$2:$Q$66,6,0),0)</f>
        <v>198</v>
      </c>
      <c r="I3529" s="96">
        <f>IFERROR(G3529*VLOOKUP($E3529,BD!$L$2:$Q$66,5,0),0)</f>
        <v>73.440000000000012</v>
      </c>
      <c r="J3529" s="5">
        <f t="shared" si="239"/>
        <v>2021</v>
      </c>
    </row>
    <row r="3530" spans="1:10" s="9" customFormat="1" hidden="1" x14ac:dyDescent="0.25">
      <c r="A3530" s="491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7">
        <v>256548</v>
      </c>
      <c r="F3530" s="3" t="str">
        <f>IFERROR(VLOOKUP(E3530,BD!$L$2:$Q$66,2,0),0)</f>
        <v>TWO PACK CC PET 1.5LX2 - CRC</v>
      </c>
      <c r="G3530" s="424">
        <v>648</v>
      </c>
      <c r="H3530" s="3">
        <f>+IFERROR(VLOOKUP(E3530,BD!$L$2:$Q$66,6,0),0)</f>
        <v>198</v>
      </c>
      <c r="I3530" s="96">
        <f>IFERROR(G3530*VLOOKUP($E3530,BD!$L$2:$Q$66,5,0),0)</f>
        <v>110.16000000000001</v>
      </c>
      <c r="J3530" s="5">
        <f t="shared" si="239"/>
        <v>2021</v>
      </c>
    </row>
    <row r="3531" spans="1:10" s="9" customFormat="1" hidden="1" x14ac:dyDescent="0.25">
      <c r="A3531" s="491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7">
        <v>256549</v>
      </c>
      <c r="F3531" s="3" t="str">
        <f>IFERROR(VLOOKUP(E3531,BD!$L$2:$Q$66,2,0),0)</f>
        <v>TWO PACK IK PET 1.5LX2 - CRCG</v>
      </c>
      <c r="G3531" s="424">
        <v>432</v>
      </c>
      <c r="H3531" s="3">
        <f>+IFERROR(VLOOKUP(E3531,BD!$L$2:$Q$66,6,0),0)</f>
        <v>198</v>
      </c>
      <c r="I3531" s="96">
        <f>IFERROR(G3531*VLOOKUP($E3531,BD!$L$2:$Q$66,5,0),0)</f>
        <v>73.440000000000012</v>
      </c>
      <c r="J3531" s="5">
        <f t="shared" si="239"/>
        <v>2021</v>
      </c>
    </row>
    <row r="3532" spans="1:10" s="9" customFormat="1" hidden="1" x14ac:dyDescent="0.25">
      <c r="A3532" s="491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7">
        <v>256616</v>
      </c>
      <c r="F3532" s="3" t="str">
        <f>IFERROR(VLOOKUP(E3532,BD!$L$2:$Q$66,2,0),0)</f>
        <v>TWO PACK SCHWEPPES CITRUS PET 1.5LX2</v>
      </c>
      <c r="G3532" s="424">
        <v>792</v>
      </c>
      <c r="H3532" s="3">
        <f>+IFERROR(VLOOKUP(E3532,BD!$L$2:$Q$66,6,0),0)</f>
        <v>198</v>
      </c>
      <c r="I3532" s="96">
        <f>IFERROR(G3532*VLOOKUP($E3532,BD!$L$2:$Q$66,5,0),0)</f>
        <v>134.64000000000001</v>
      </c>
      <c r="J3532" s="5">
        <f t="shared" si="239"/>
        <v>2021</v>
      </c>
    </row>
    <row r="3533" spans="1:10" s="9" customFormat="1" hidden="1" x14ac:dyDescent="0.25">
      <c r="A3533" s="491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7">
        <v>256617</v>
      </c>
      <c r="F3533" s="3" t="str">
        <f>IFERROR(VLOOKUP(E3533,BD!$L$2:$Q$66,2,0),0)</f>
        <v>TWO PACK SCHWEPPES GINGER ALE PET 1.5LX2</v>
      </c>
      <c r="G3533" s="424">
        <v>396</v>
      </c>
      <c r="H3533" s="3">
        <f>+IFERROR(VLOOKUP(E3533,BD!$L$2:$Q$66,6,0),0)</f>
        <v>198</v>
      </c>
      <c r="I3533" s="96">
        <f>IFERROR(G3533*VLOOKUP($E3533,BD!$L$2:$Q$66,5,0),0)</f>
        <v>67.320000000000007</v>
      </c>
      <c r="J3533" s="5">
        <f t="shared" si="239"/>
        <v>2021</v>
      </c>
    </row>
    <row r="3534" spans="1:10" s="9" customFormat="1" hidden="1" x14ac:dyDescent="0.25">
      <c r="A3534" s="491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7">
        <v>256601</v>
      </c>
      <c r="F3534" s="3" t="str">
        <f>IFERROR(VLOOKUP(E3534,BD!$L$2:$Q$66,2,0),0)</f>
        <v>INCA KOLA PET 2.25LX2 RF</v>
      </c>
      <c r="G3534" s="424">
        <v>810</v>
      </c>
      <c r="H3534" s="3">
        <f>+IFERROR(VLOOKUP(E3534,BD!$L$2:$Q$66,6,0),0)</f>
        <v>162</v>
      </c>
      <c r="I3534" s="96">
        <f>IFERROR(G3534*VLOOKUP($E3534,BD!$L$2:$Q$66,5,0),0)</f>
        <v>137.70000000000002</v>
      </c>
      <c r="J3534" s="5">
        <f t="shared" si="239"/>
        <v>2021</v>
      </c>
    </row>
    <row r="3535" spans="1:10" s="9" customFormat="1" hidden="1" x14ac:dyDescent="0.25">
      <c r="A3535" s="491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7">
        <v>256488</v>
      </c>
      <c r="F3535" s="3" t="str">
        <f>IFERROR(VLOOKUP(E3535,BD!$L$2:$Q$66,2,0),0)</f>
        <v>INCA KOLA PET 3LX2 - RF</v>
      </c>
      <c r="G3535" s="424">
        <v>1440</v>
      </c>
      <c r="H3535" s="3">
        <f>+IFERROR(VLOOKUP(E3535,BD!$L$2:$Q$66,6,0),0)</f>
        <v>120</v>
      </c>
      <c r="I3535" s="96">
        <f>IFERROR(G3535*VLOOKUP($E3535,BD!$L$2:$Q$66,5,0),0)</f>
        <v>244.8</v>
      </c>
      <c r="J3535" s="5">
        <f t="shared" si="239"/>
        <v>2021</v>
      </c>
    </row>
    <row r="3536" spans="1:10" s="9" customFormat="1" hidden="1" x14ac:dyDescent="0.25">
      <c r="A3536" s="491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7">
        <v>256674</v>
      </c>
      <c r="F3536" s="3" t="str">
        <f>IFERROR(VLOOKUP(E3536,BD!$L$2:$Q$66,2,0),0)</f>
        <v>COCA-COLA PET 1.5LX2 RF</v>
      </c>
      <c r="G3536" s="424">
        <v>864</v>
      </c>
      <c r="H3536" s="3">
        <f>+IFERROR(VLOOKUP(E3536,BD!$L$2:$Q$66,6,0),0)</f>
        <v>198</v>
      </c>
      <c r="I3536" s="96">
        <f>IFERROR(G3536*VLOOKUP($E3536,BD!$L$2:$Q$66,5,0),0)</f>
        <v>146.88000000000002</v>
      </c>
      <c r="J3536" s="5">
        <f t="shared" si="239"/>
        <v>2021</v>
      </c>
    </row>
    <row r="3537" spans="1:10" s="9" customFormat="1" hidden="1" x14ac:dyDescent="0.25">
      <c r="A3537" s="491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7">
        <v>256675</v>
      </c>
      <c r="F3537" s="3" t="str">
        <f>IFERROR(VLOOKUP(E3537,BD!$L$2:$Q$66,2,0),0)</f>
        <v>INCA KOLA PET 1.5LX2 RF</v>
      </c>
      <c r="G3537" s="424">
        <v>432</v>
      </c>
      <c r="H3537" s="3">
        <f>+IFERROR(VLOOKUP(E3537,BD!$L$2:$Q$66,6,0),0)</f>
        <v>198</v>
      </c>
      <c r="I3537" s="96">
        <f>IFERROR(G3537*VLOOKUP($E3537,BD!$L$2:$Q$66,5,0),0)</f>
        <v>73.440000000000012</v>
      </c>
      <c r="J3537" s="5">
        <f t="shared" si="239"/>
        <v>2021</v>
      </c>
    </row>
    <row r="3538" spans="1:10" s="9" customFormat="1" hidden="1" x14ac:dyDescent="0.25">
      <c r="A3538" s="491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7">
        <v>256652</v>
      </c>
      <c r="F3538" s="3" t="str">
        <f>IFERROR(VLOOKUP(E3538,BD!$L$2:$Q$66,2,0),0)</f>
        <v>TRIPACK FT NAR+FT KI+SP PET 3L</v>
      </c>
      <c r="G3538" s="424">
        <v>450</v>
      </c>
      <c r="H3538" s="3">
        <f>+IFERROR(VLOOKUP(E3538,BD!$L$2:$Q$66,6,0),0)</f>
        <v>90</v>
      </c>
      <c r="I3538" s="96">
        <f>IFERROR(G3538*VLOOKUP($E3538,BD!$L$2:$Q$66,5,0),0)</f>
        <v>76.5</v>
      </c>
      <c r="J3538" s="5">
        <f t="shared" si="239"/>
        <v>2021</v>
      </c>
    </row>
    <row r="3539" spans="1:10" s="9" customFormat="1" hidden="1" x14ac:dyDescent="0.25">
      <c r="A3539" s="491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7">
        <v>256680</v>
      </c>
      <c r="F3539" s="3" t="str">
        <f>IFERROR(VLOOKUP(E3539,BD!$L$2:$Q$66,2,0),0)</f>
        <v>TRIPACK CC+CC+IK PFM 3LX3 - RFNN</v>
      </c>
      <c r="G3539" s="424">
        <v>720</v>
      </c>
      <c r="H3539" s="3">
        <f>+IFERROR(VLOOKUP(E3539,BD!$L$2:$Q$66,6,0),0)</f>
        <v>90</v>
      </c>
      <c r="I3539" s="96">
        <f>IFERROR(G3539*VLOOKUP($E3539,BD!$L$2:$Q$66,5,0),0)</f>
        <v>122.4</v>
      </c>
      <c r="J3539" s="5">
        <f t="shared" si="239"/>
        <v>2021</v>
      </c>
    </row>
    <row r="3540" spans="1:10" s="9" customFormat="1" hidden="1" x14ac:dyDescent="0.25">
      <c r="A3540" s="491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7">
        <v>256679</v>
      </c>
      <c r="F3540" s="3" t="str">
        <f>IFERROR(VLOOKUP(E3540,BD!$L$2:$Q$66,2,0),0)</f>
        <v>TRIPACK CC+IK+IK PFM 3LX3 - RFNN</v>
      </c>
      <c r="G3540" s="424">
        <v>1440</v>
      </c>
      <c r="H3540" s="3">
        <f>+IFERROR(VLOOKUP(E3540,BD!$L$2:$Q$66,6,0),0)</f>
        <v>90</v>
      </c>
      <c r="I3540" s="96">
        <f>IFERROR(G3540*VLOOKUP($E3540,BD!$L$2:$Q$66,5,0),0)</f>
        <v>244.8</v>
      </c>
      <c r="J3540" s="5">
        <f t="shared" si="239"/>
        <v>2021</v>
      </c>
    </row>
    <row r="3541" spans="1:10" s="9" customFormat="1" hidden="1" x14ac:dyDescent="0.25">
      <c r="A3541" s="491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7">
        <v>256682</v>
      </c>
      <c r="F3541" s="3" t="str">
        <f>IFERROR(VLOOKUP(E3541,BD!$L$2:$Q$66,2,0),0)</f>
        <v>TRIPACK (FT NAR+SP)PET+IK RF PFM 3L</v>
      </c>
      <c r="G3541" s="424">
        <v>450</v>
      </c>
      <c r="H3541" s="3">
        <f>+IFERROR(VLOOKUP(E3541,BD!$L$2:$Q$66,6,0),0)</f>
        <v>90</v>
      </c>
      <c r="I3541" s="96">
        <f>IFERROR(G3541*VLOOKUP($E3541,BD!$L$2:$Q$66,5,0),0)</f>
        <v>76.5</v>
      </c>
      <c r="J3541" s="5">
        <f t="shared" si="239"/>
        <v>2021</v>
      </c>
    </row>
    <row r="3542" spans="1:10" s="9" customFormat="1" hidden="1" x14ac:dyDescent="0.25">
      <c r="A3542" s="491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7">
        <v>256695</v>
      </c>
      <c r="F3542" s="3" t="str">
        <f>IFERROR(VLOOKUP(E3542,BD!$L$2:$Q$66,2,0),0)</f>
        <v>POWERADE 3MORA+3FRUT PET 473MLX6</v>
      </c>
      <c r="G3542" s="424">
        <v>2250</v>
      </c>
      <c r="H3542" s="3">
        <f>+IFERROR(VLOOKUP(E3542,BD!$L$2:$Q$66,6,0),0)</f>
        <v>225</v>
      </c>
      <c r="I3542" s="96">
        <f>IFERROR(G3542*VLOOKUP($E3542,BD!$L$2:$Q$66,5,0),0)</f>
        <v>945</v>
      </c>
      <c r="J3542" s="5">
        <f t="shared" si="239"/>
        <v>2021</v>
      </c>
    </row>
    <row r="3543" spans="1:10" s="9" customFormat="1" ht="15.75" hidden="1" thickBot="1" x14ac:dyDescent="0.3">
      <c r="A3543" s="492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9">
        <v>256708</v>
      </c>
      <c r="F3543" s="8" t="str">
        <f>IFERROR(VLOOKUP(E3543,BD!$L$2:$Q$66,2,0),0)</f>
        <v>POWERADE ION4 FRUTA PET473X6 MOD (STICK)</v>
      </c>
      <c r="G3543" s="501">
        <v>450</v>
      </c>
      <c r="H3543" s="8">
        <f>+IFERROR(VLOOKUP(E3543,BD!$L$2:$Q$66,6,0),0)</f>
        <v>225</v>
      </c>
      <c r="I3543" s="98">
        <f>IFERROR(G3543*VLOOKUP($E3543,BD!$L$2:$Q$66,5,0),0)</f>
        <v>180</v>
      </c>
      <c r="J3543" s="110">
        <f t="shared" si="239"/>
        <v>2021</v>
      </c>
    </row>
    <row r="3544" spans="1:10" s="9" customFormat="1" hidden="1" x14ac:dyDescent="0.25">
      <c r="A3544" s="493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63">
        <v>751315</v>
      </c>
      <c r="F3544" s="6" t="str">
        <f>IFERROR(VLOOKUP(E3544,BD!$L$2:$Q$66,2,0),0)</f>
        <v>MONSTER ENERGY 473MLX4</v>
      </c>
      <c r="G3544" s="513">
        <v>840</v>
      </c>
      <c r="H3544" s="6">
        <f>+IFERROR(VLOOKUP(E3544,BD!$L$2:$Q$66,6,0),0)</f>
        <v>420</v>
      </c>
      <c r="I3544" s="97">
        <f>IFERROR(G3544*VLOOKUP($E3544,BD!$L$2:$Q$66,5,0),0)</f>
        <v>352.8</v>
      </c>
      <c r="J3544" s="109">
        <f t="shared" si="239"/>
        <v>2021</v>
      </c>
    </row>
    <row r="3545" spans="1:10" s="9" customFormat="1" hidden="1" x14ac:dyDescent="0.25">
      <c r="A3545" s="491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7">
        <v>252436</v>
      </c>
      <c r="F3545" s="3" t="str">
        <f>IFERROR(VLOOKUP(E3545,BD!$L$2:$Q$66,2,0),0)</f>
        <v>SAN LUIS SIN GAS PET 625MLX15 C/STICKER</v>
      </c>
      <c r="G3545" s="424">
        <v>720</v>
      </c>
      <c r="H3545" s="3">
        <f>+IFERROR(VLOOKUP(E3545,BD!$L$2:$Q$66,6,0),0)</f>
        <v>90</v>
      </c>
      <c r="I3545" s="96">
        <f>IFERROR(G3545*VLOOKUP($E3545,BD!$L$2:$Q$66,5,0),0)</f>
        <v>288</v>
      </c>
      <c r="J3545" s="5">
        <f t="shared" si="239"/>
        <v>2021</v>
      </c>
    </row>
    <row r="3546" spans="1:10" s="9" customFormat="1" hidden="1" x14ac:dyDescent="0.25">
      <c r="A3546" s="491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7">
        <v>751315</v>
      </c>
      <c r="F3546" s="3" t="str">
        <f>IFERROR(VLOOKUP(E3546,BD!$L$2:$Q$66,2,0),0)</f>
        <v>MONSTER ENERGY 473MLX4</v>
      </c>
      <c r="G3546" s="424">
        <v>420</v>
      </c>
      <c r="H3546" s="3">
        <f>+IFERROR(VLOOKUP(E3546,BD!$L$2:$Q$66,6,0),0)</f>
        <v>420</v>
      </c>
      <c r="I3546" s="96">
        <f>IFERROR(G3546*VLOOKUP($E3546,BD!$L$2:$Q$66,5,0),0)</f>
        <v>176.4</v>
      </c>
      <c r="J3546" s="5">
        <f t="shared" si="239"/>
        <v>2021</v>
      </c>
    </row>
    <row r="3547" spans="1:10" s="9" customFormat="1" ht="15.75" hidden="1" thickBot="1" x14ac:dyDescent="0.3">
      <c r="A3547" s="492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9">
        <v>252436</v>
      </c>
      <c r="F3547" s="8" t="str">
        <f>IFERROR(VLOOKUP(E3547,BD!$L$2:$Q$66,2,0),0)</f>
        <v>SAN LUIS SIN GAS PET 625MLX15 C/STICKER</v>
      </c>
      <c r="G3547" s="501">
        <v>450</v>
      </c>
      <c r="H3547" s="8">
        <f>+IFERROR(VLOOKUP(E3547,BD!$L$2:$Q$66,6,0),0)</f>
        <v>90</v>
      </c>
      <c r="I3547" s="98">
        <f>IFERROR(G3547*VLOOKUP($E3547,BD!$L$2:$Q$66,5,0),0)</f>
        <v>180</v>
      </c>
      <c r="J3547" s="110">
        <f t="shared" si="239"/>
        <v>2021</v>
      </c>
    </row>
    <row r="3548" spans="1:10" s="9" customFormat="1" hidden="1" x14ac:dyDescent="0.25">
      <c r="A3548" s="493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63">
        <v>256488</v>
      </c>
      <c r="F3548" s="6" t="str">
        <f>IFERROR(VLOOKUP(E3548,BD!$L$2:$Q$66,2,0),0)</f>
        <v>INCA KOLA PET 3LX2 - RF</v>
      </c>
      <c r="G3548" s="513">
        <v>600</v>
      </c>
      <c r="H3548" s="6">
        <f>+IFERROR(VLOOKUP(E3548,BD!$L$2:$Q$66,6,0),0)</f>
        <v>120</v>
      </c>
      <c r="I3548" s="97">
        <f>IFERROR(G3548*VLOOKUP($E3548,BD!$L$2:$Q$66,5,0),0)</f>
        <v>102.00000000000001</v>
      </c>
      <c r="J3548" s="109">
        <f t="shared" si="239"/>
        <v>2021</v>
      </c>
    </row>
    <row r="3549" spans="1:10" s="9" customFormat="1" hidden="1" x14ac:dyDescent="0.25">
      <c r="A3549" s="491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7">
        <v>252436</v>
      </c>
      <c r="F3549" s="3" t="str">
        <f>IFERROR(VLOOKUP(E3549,BD!$L$2:$Q$66,2,0),0)</f>
        <v>SAN LUIS SIN GAS PET 625MLX15 C/STICKER</v>
      </c>
      <c r="G3549" s="424">
        <v>360</v>
      </c>
      <c r="H3549" s="3">
        <f>+IFERROR(VLOOKUP(E3549,BD!$L$2:$Q$66,6,0),0)</f>
        <v>90</v>
      </c>
      <c r="I3549" s="96">
        <f>IFERROR(G3549*VLOOKUP($E3549,BD!$L$2:$Q$66,5,0),0)</f>
        <v>144</v>
      </c>
      <c r="J3549" s="5">
        <f t="shared" si="239"/>
        <v>2021</v>
      </c>
    </row>
    <row r="3550" spans="1:10" s="9" customFormat="1" hidden="1" x14ac:dyDescent="0.25">
      <c r="A3550" s="491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7">
        <v>256383</v>
      </c>
      <c r="F3550" s="3" t="str">
        <f>IFERROR(VLOOKUP(E3550,BD!$L$2:$Q$66,2,0),0)</f>
        <v>COCA COLA VR 1.5LX8 - STICKER</v>
      </c>
      <c r="G3550" s="424">
        <v>210</v>
      </c>
      <c r="H3550" s="3">
        <f>+IFERROR(VLOOKUP(E3550,BD!$L$2:$Q$66,6,0),0)</f>
        <v>30</v>
      </c>
      <c r="I3550" s="96">
        <f>IFERROR(G3550*VLOOKUP($E3550,BD!$L$2:$Q$66,5,0),0)</f>
        <v>48.300000000000004</v>
      </c>
      <c r="J3550" s="5">
        <f t="shared" si="239"/>
        <v>2021</v>
      </c>
    </row>
    <row r="3551" spans="1:10" s="9" customFormat="1" hidden="1" x14ac:dyDescent="0.25">
      <c r="A3551" s="491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7">
        <v>256381</v>
      </c>
      <c r="F3551" s="3" t="str">
        <f>IFERROR(VLOOKUP(E3551,BD!$L$2:$Q$66,2,0),0)</f>
        <v>INCA KOLA VR 1.5LX8 - STICKER</v>
      </c>
      <c r="G3551" s="424">
        <v>240</v>
      </c>
      <c r="H3551" s="3">
        <f>+IFERROR(VLOOKUP(E3551,BD!$L$2:$Q$66,6,0),0)</f>
        <v>30</v>
      </c>
      <c r="I3551" s="96">
        <f>IFERROR(G3551*VLOOKUP($E3551,BD!$L$2:$Q$66,5,0),0)</f>
        <v>96</v>
      </c>
      <c r="J3551" s="5">
        <f t="shared" si="239"/>
        <v>2021</v>
      </c>
    </row>
    <row r="3552" spans="1:10" s="9" customFormat="1" hidden="1" x14ac:dyDescent="0.25">
      <c r="A3552" s="491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7">
        <v>256380</v>
      </c>
      <c r="F3552" s="3" t="str">
        <f>IFERROR(VLOOKUP(E3552,BD!$L$2:$Q$66,2,0),0)</f>
        <v>INCA KOLA VR 296MLX24 - STICKER</v>
      </c>
      <c r="G3552" s="424">
        <v>80</v>
      </c>
      <c r="H3552" s="3">
        <f>+IFERROR(VLOOKUP(E3552,BD!$L$2:$Q$66,6,0),0)</f>
        <v>40</v>
      </c>
      <c r="I3552" s="96">
        <f>IFERROR(G3552*VLOOKUP($E3552,BD!$L$2:$Q$66,5,0),0)</f>
        <v>18.400000000000002</v>
      </c>
      <c r="J3552" s="5">
        <f t="shared" si="239"/>
        <v>2021</v>
      </c>
    </row>
    <row r="3553" spans="1:10" s="9" customFormat="1" hidden="1" x14ac:dyDescent="0.25">
      <c r="A3553" s="491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7">
        <v>252436</v>
      </c>
      <c r="F3553" s="3" t="str">
        <f>IFERROR(VLOOKUP(E3553,BD!$L$2:$Q$66,2,0),0)</f>
        <v>SAN LUIS SIN GAS PET 625MLX15 C/STICKER</v>
      </c>
      <c r="G3553" s="424">
        <v>630</v>
      </c>
      <c r="H3553" s="3">
        <f>+IFERROR(VLOOKUP(E3553,BD!$L$2:$Q$66,6,0),0)</f>
        <v>90</v>
      </c>
      <c r="I3553" s="96">
        <f>IFERROR(G3553*VLOOKUP($E3553,BD!$L$2:$Q$66,5,0),0)</f>
        <v>252</v>
      </c>
      <c r="J3553" s="5">
        <f t="shared" si="239"/>
        <v>2021</v>
      </c>
    </row>
    <row r="3554" spans="1:10" s="9" customFormat="1" hidden="1" x14ac:dyDescent="0.25">
      <c r="A3554" s="491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7">
        <v>256685</v>
      </c>
      <c r="F3554" s="3" t="str">
        <f>IFERROR(VLOOKUP(E3554,BD!$L$2:$Q$66,2,0),0)</f>
        <v>SL S/G TAPA PLANA 1LT</v>
      </c>
      <c r="G3554" s="424">
        <v>672</v>
      </c>
      <c r="H3554" s="3">
        <f>+IFERROR(VLOOKUP(E3554,BD!$L$2:$Q$66,6,0),0)</f>
        <v>112</v>
      </c>
      <c r="I3554" s="96">
        <f>IFERROR(G3554*VLOOKUP($E3554,BD!$L$2:$Q$66,5,0),0)</f>
        <v>268.8</v>
      </c>
      <c r="J3554" s="5">
        <f t="shared" si="239"/>
        <v>2021</v>
      </c>
    </row>
    <row r="3555" spans="1:10" s="9" customFormat="1" hidden="1" x14ac:dyDescent="0.25">
      <c r="A3555" s="491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7">
        <v>251429</v>
      </c>
      <c r="F3555" s="3" t="str">
        <f>IFERROR(VLOOKUP(E3555,BD!$L$2:$Q$66,2,0),0)</f>
        <v>SAN LUIS SIN GAS PET2500X6 STICKER</v>
      </c>
      <c r="G3555" s="424">
        <v>960</v>
      </c>
      <c r="H3555" s="3">
        <f>+IFERROR(VLOOKUP(E3555,BD!$L$2:$Q$66,6,0),0)</f>
        <v>48</v>
      </c>
      <c r="I3555" s="96">
        <f>IFERROR(G3555*VLOOKUP($E3555,BD!$L$2:$Q$66,5,0),0)</f>
        <v>384</v>
      </c>
      <c r="J3555" s="5">
        <f t="shared" si="239"/>
        <v>2021</v>
      </c>
    </row>
    <row r="3556" spans="1:10" s="9" customFormat="1" hidden="1" x14ac:dyDescent="0.25">
      <c r="A3556" s="491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7">
        <v>251633</v>
      </c>
      <c r="F3556" s="3" t="str">
        <f>IFERROR(VLOOKUP(E3556,BD!$L$2:$Q$66,2,0),0)</f>
        <v>SAN LUIS CON GAS PET 625MLX6</v>
      </c>
      <c r="G3556" s="424">
        <v>720</v>
      </c>
      <c r="H3556" s="3">
        <f>+IFERROR(VLOOKUP(E3556,BD!$L$2:$Q$66,6,0),0)</f>
        <v>180</v>
      </c>
      <c r="I3556" s="96">
        <f>IFERROR(G3556*VLOOKUP($E3556,BD!$L$2:$Q$66,5,0),0)</f>
        <v>302.39999999999998</v>
      </c>
      <c r="J3556" s="5">
        <f t="shared" si="239"/>
        <v>2021</v>
      </c>
    </row>
    <row r="3557" spans="1:10" s="9" customFormat="1" hidden="1" x14ac:dyDescent="0.25">
      <c r="A3557" s="491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7">
        <v>251406</v>
      </c>
      <c r="F3557" s="3" t="str">
        <f>IFERROR(VLOOKUP(E3557,BD!$L$2:$Q$66,2,0),0)</f>
        <v>COCA-COLA SIN AZUCAR PET 1.5LX2</v>
      </c>
      <c r="G3557" s="424">
        <v>864</v>
      </c>
      <c r="H3557" s="3">
        <f>+IFERROR(VLOOKUP(E3557,BD!$L$2:$Q$66,6,0),0)</f>
        <v>198</v>
      </c>
      <c r="I3557" s="96">
        <f>IFERROR(G3557*VLOOKUP($E3557,BD!$L$2:$Q$66,5,0),0)</f>
        <v>146.88000000000002</v>
      </c>
      <c r="J3557" s="5">
        <f t="shared" si="239"/>
        <v>2021</v>
      </c>
    </row>
    <row r="3558" spans="1:10" s="9" customFormat="1" hidden="1" x14ac:dyDescent="0.25">
      <c r="A3558" s="491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7">
        <v>254853</v>
      </c>
      <c r="F3558" s="3" t="str">
        <f>IFERROR(VLOOKUP(E3558,BD!$L$2:$Q$66,2,0),0)</f>
        <v>INCA KOLA SIN AZUCAR PET 1.5LX2</v>
      </c>
      <c r="G3558" s="424">
        <v>864</v>
      </c>
      <c r="H3558" s="3">
        <f>+IFERROR(VLOOKUP(E3558,BD!$L$2:$Q$66,6,0),0)</f>
        <v>198</v>
      </c>
      <c r="I3558" s="96">
        <f>IFERROR(G3558*VLOOKUP($E3558,BD!$L$2:$Q$66,5,0),0)</f>
        <v>146.88000000000002</v>
      </c>
      <c r="J3558" s="5">
        <f t="shared" si="239"/>
        <v>2021</v>
      </c>
    </row>
    <row r="3559" spans="1:10" s="9" customFormat="1" hidden="1" x14ac:dyDescent="0.25">
      <c r="A3559" s="491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7">
        <v>256666</v>
      </c>
      <c r="F3559" s="3" t="str">
        <f>IFERROR(VLOOKUP(E3559,BD!$L$2:$Q$66,2,0),0)</f>
        <v>COCA-COLA PET 2.25LX2 RF</v>
      </c>
      <c r="G3559" s="424">
        <v>810</v>
      </c>
      <c r="H3559" s="3">
        <f>+IFERROR(VLOOKUP(E3559,BD!$L$2:$Q$66,6,0),0)</f>
        <v>162</v>
      </c>
      <c r="I3559" s="96">
        <f>IFERROR(G3559*VLOOKUP($E3559,BD!$L$2:$Q$66,5,0),0)</f>
        <v>137.70000000000002</v>
      </c>
      <c r="J3559" s="5">
        <f t="shared" si="239"/>
        <v>2021</v>
      </c>
    </row>
    <row r="3560" spans="1:10" s="9" customFormat="1" hidden="1" x14ac:dyDescent="0.25">
      <c r="A3560" s="491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7">
        <v>256601</v>
      </c>
      <c r="F3560" s="3" t="str">
        <f>IFERROR(VLOOKUP(E3560,BD!$L$2:$Q$66,2,0),0)</f>
        <v>INCA KOLA PET 2.25LX2 RF</v>
      </c>
      <c r="G3560" s="424">
        <v>810</v>
      </c>
      <c r="H3560" s="3">
        <f>+IFERROR(VLOOKUP(E3560,BD!$L$2:$Q$66,6,0),0)</f>
        <v>162</v>
      </c>
      <c r="I3560" s="96">
        <f>IFERROR(G3560*VLOOKUP($E3560,BD!$L$2:$Q$66,5,0),0)</f>
        <v>137.70000000000002</v>
      </c>
      <c r="J3560" s="5">
        <f t="shared" si="239"/>
        <v>2021</v>
      </c>
    </row>
    <row r="3561" spans="1:10" s="9" customFormat="1" hidden="1" x14ac:dyDescent="0.25">
      <c r="A3561" s="491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7">
        <v>256488</v>
      </c>
      <c r="F3561" s="3" t="str">
        <f>IFERROR(VLOOKUP(E3561,BD!$L$2:$Q$66,2,0),0)</f>
        <v>INCA KOLA PET 3LX2 - RF</v>
      </c>
      <c r="G3561" s="424">
        <v>2760</v>
      </c>
      <c r="H3561" s="3">
        <f>+IFERROR(VLOOKUP(E3561,BD!$L$2:$Q$66,6,0),0)</f>
        <v>120</v>
      </c>
      <c r="I3561" s="96">
        <f>IFERROR(G3561*VLOOKUP($E3561,BD!$L$2:$Q$66,5,0),0)</f>
        <v>469.20000000000005</v>
      </c>
      <c r="J3561" s="5">
        <f t="shared" si="239"/>
        <v>2021</v>
      </c>
    </row>
    <row r="3562" spans="1:10" s="9" customFormat="1" hidden="1" x14ac:dyDescent="0.25">
      <c r="A3562" s="491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7">
        <v>256679</v>
      </c>
      <c r="F3562" s="3" t="str">
        <f>IFERROR(VLOOKUP(E3562,BD!$L$2:$Q$66,2,0),0)</f>
        <v>TRIPACK CC+IK+IK PFM 3LX3 - RFNN</v>
      </c>
      <c r="G3562" s="424">
        <v>720</v>
      </c>
      <c r="H3562" s="3">
        <f>+IFERROR(VLOOKUP(E3562,BD!$L$2:$Q$66,6,0),0)</f>
        <v>90</v>
      </c>
      <c r="I3562" s="96">
        <f>IFERROR(G3562*VLOOKUP($E3562,BD!$L$2:$Q$66,5,0),0)</f>
        <v>122.4</v>
      </c>
      <c r="J3562" s="5">
        <f t="shared" si="239"/>
        <v>2021</v>
      </c>
    </row>
    <row r="3563" spans="1:10" s="9" customFormat="1" hidden="1" x14ac:dyDescent="0.25">
      <c r="A3563" s="491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7">
        <v>256682</v>
      </c>
      <c r="F3563" s="3" t="str">
        <f>IFERROR(VLOOKUP(E3563,BD!$L$2:$Q$66,2,0),0)</f>
        <v>TRIPACK (FT NAR+SP)PET+IK RF PFM 3L</v>
      </c>
      <c r="G3563" s="424">
        <v>450</v>
      </c>
      <c r="H3563" s="3">
        <f>+IFERROR(VLOOKUP(E3563,BD!$L$2:$Q$66,6,0),0)</f>
        <v>90</v>
      </c>
      <c r="I3563" s="96">
        <f>IFERROR(G3563*VLOOKUP($E3563,BD!$L$2:$Q$66,5,0),0)</f>
        <v>76.5</v>
      </c>
      <c r="J3563" s="5">
        <f t="shared" si="239"/>
        <v>2021</v>
      </c>
    </row>
    <row r="3564" spans="1:10" s="9" customFormat="1" hidden="1" x14ac:dyDescent="0.25">
      <c r="A3564" s="491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7">
        <v>256708</v>
      </c>
      <c r="F3564" s="3" t="str">
        <f>IFERROR(VLOOKUP(E3564,BD!$L$2:$Q$66,2,0),0)</f>
        <v>POWERADE ION4 FRUTA PET473X6 MOD (STICK)</v>
      </c>
      <c r="G3564" s="424">
        <v>675</v>
      </c>
      <c r="H3564" s="3">
        <f>+IFERROR(VLOOKUP(E3564,BD!$L$2:$Q$66,6,0),0)</f>
        <v>225</v>
      </c>
      <c r="I3564" s="96">
        <f>IFERROR(G3564*VLOOKUP($E3564,BD!$L$2:$Q$66,5,0),0)</f>
        <v>270</v>
      </c>
      <c r="J3564" s="5">
        <f t="shared" si="239"/>
        <v>2021</v>
      </c>
    </row>
    <row r="3565" spans="1:10" s="9" customFormat="1" hidden="1" x14ac:dyDescent="0.25">
      <c r="A3565" s="491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7">
        <v>751544</v>
      </c>
      <c r="F3565" s="3" t="str">
        <f>IFERROR(VLOOKUP(E3565,BD!$L$2:$Q$66,2,0),0)</f>
        <v>MONSTER ENERGY ZERO 473MLX4</v>
      </c>
      <c r="G3565" s="424">
        <v>1260</v>
      </c>
      <c r="H3565" s="3">
        <f>+IFERROR(VLOOKUP(E3565,BD!$L$2:$Q$66,6,0),0)</f>
        <v>420</v>
      </c>
      <c r="I3565" s="96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hidden="1" thickBot="1" x14ac:dyDescent="0.3">
      <c r="A3566" s="492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9">
        <v>751315</v>
      </c>
      <c r="F3566" s="8" t="str">
        <f>IFERROR(VLOOKUP(E3566,BD!$L$2:$Q$66,2,0),0)</f>
        <v>MONSTER ENERGY 473MLX4</v>
      </c>
      <c r="G3566" s="501">
        <v>2940</v>
      </c>
      <c r="H3566" s="8">
        <f>+IFERROR(VLOOKUP(E3566,BD!$L$2:$Q$66,6,0),0)</f>
        <v>420</v>
      </c>
      <c r="I3566" s="98">
        <f>IFERROR(G3566*VLOOKUP($E3566,BD!$L$2:$Q$66,5,0),0)</f>
        <v>1234.8</v>
      </c>
      <c r="J3566" s="110">
        <f t="shared" si="239"/>
        <v>2021</v>
      </c>
    </row>
    <row r="3567" spans="1:10" s="9" customFormat="1" hidden="1" x14ac:dyDescent="0.25">
      <c r="A3567" s="493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63">
        <v>256383</v>
      </c>
      <c r="F3567" s="6" t="str">
        <f>IFERROR(VLOOKUP(E3567,BD!$L$2:$Q$66,2,0),0)</f>
        <v>COCA COLA VR 1.5LX8 - STICKER</v>
      </c>
      <c r="G3567" s="513">
        <v>150</v>
      </c>
      <c r="H3567" s="6">
        <f>+IFERROR(VLOOKUP(E3567,BD!$L$2:$Q$66,6,0),0)</f>
        <v>30</v>
      </c>
      <c r="I3567" s="97">
        <f>IFERROR(G3567*VLOOKUP($E3567,BD!$L$2:$Q$66,5,0),0)</f>
        <v>34.5</v>
      </c>
      <c r="J3567" s="109">
        <f t="shared" si="239"/>
        <v>2021</v>
      </c>
    </row>
    <row r="3568" spans="1:10" s="9" customFormat="1" hidden="1" x14ac:dyDescent="0.25">
      <c r="A3568" s="491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7">
        <v>256382</v>
      </c>
      <c r="F3568" s="3" t="str">
        <f>IFERROR(VLOOKUP(E3568,BD!$L$2:$Q$66,2,0),0)</f>
        <v>COCA COLA VR 296MLX24 - STICKER</v>
      </c>
      <c r="G3568" s="424">
        <v>160</v>
      </c>
      <c r="H3568" s="3">
        <f>+IFERROR(VLOOKUP(E3568,BD!$L$2:$Q$66,6,0),0)</f>
        <v>40</v>
      </c>
      <c r="I3568" s="96">
        <f>IFERROR(G3568*VLOOKUP($E3568,BD!$L$2:$Q$66,5,0),0)</f>
        <v>36.800000000000004</v>
      </c>
      <c r="J3568" s="5">
        <f t="shared" si="239"/>
        <v>2021</v>
      </c>
    </row>
    <row r="3569" spans="1:10" s="9" customFormat="1" hidden="1" x14ac:dyDescent="0.25">
      <c r="A3569" s="491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7">
        <v>256379</v>
      </c>
      <c r="F3569" s="3" t="str">
        <f>IFERROR(VLOOKUP(E3569,BD!$L$2:$Q$66,2,0),0)</f>
        <v>INCA KOLA VR 625MLX12 - STICKER</v>
      </c>
      <c r="G3569" s="424">
        <v>450</v>
      </c>
      <c r="H3569" s="3">
        <f>+IFERROR(VLOOKUP(E3569,BD!$L$2:$Q$66,6,0),0)</f>
        <v>50</v>
      </c>
      <c r="I3569" s="96">
        <f>IFERROR(G3569*VLOOKUP($E3569,BD!$L$2:$Q$66,5,0),0)</f>
        <v>180</v>
      </c>
      <c r="J3569" s="5">
        <f t="shared" si="239"/>
        <v>2021</v>
      </c>
    </row>
    <row r="3570" spans="1:10" s="9" customFormat="1" hidden="1" x14ac:dyDescent="0.25">
      <c r="A3570" s="491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7">
        <v>252436</v>
      </c>
      <c r="F3570" s="3" t="str">
        <f>IFERROR(VLOOKUP(E3570,BD!$L$2:$Q$66,2,0),0)</f>
        <v>SAN LUIS SIN GAS PET 625MLX15 C/STICKER</v>
      </c>
      <c r="G3570" s="424">
        <v>540</v>
      </c>
      <c r="H3570" s="3">
        <f>+IFERROR(VLOOKUP(E3570,BD!$L$2:$Q$66,6,0),0)</f>
        <v>90</v>
      </c>
      <c r="I3570" s="96">
        <f>IFERROR(G3570*VLOOKUP($E3570,BD!$L$2:$Q$66,5,0),0)</f>
        <v>216</v>
      </c>
      <c r="J3570" s="5">
        <f t="shared" si="239"/>
        <v>2021</v>
      </c>
    </row>
    <row r="3571" spans="1:10" s="9" customFormat="1" hidden="1" x14ac:dyDescent="0.25">
      <c r="A3571" s="491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7">
        <v>254762</v>
      </c>
      <c r="F3571" s="3" t="str">
        <f>IFERROR(VLOOKUP(E3571,BD!$L$2:$Q$66,2,0),0)</f>
        <v xml:space="preserve">SAN LUIS SPORT S/G 10 Lt x6 </v>
      </c>
      <c r="G3571" s="424">
        <v>448</v>
      </c>
      <c r="H3571" s="3">
        <f>+IFERROR(VLOOKUP(E3571,BD!$L$2:$Q$66,6,0),0)</f>
        <v>240</v>
      </c>
      <c r="I3571" s="96">
        <f>IFERROR(G3571*VLOOKUP($E3571,BD!$L$2:$Q$66,5,0),0)</f>
        <v>179.20000000000002</v>
      </c>
      <c r="J3571" s="5">
        <f t="shared" si="239"/>
        <v>2021</v>
      </c>
    </row>
    <row r="3572" spans="1:10" s="9" customFormat="1" hidden="1" x14ac:dyDescent="0.25">
      <c r="A3572" s="491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7">
        <v>251429</v>
      </c>
      <c r="F3572" s="3" t="str">
        <f>IFERROR(VLOOKUP(E3572,BD!$L$2:$Q$66,2,0),0)</f>
        <v>SAN LUIS SIN GAS PET2500X6 STICKER</v>
      </c>
      <c r="G3572" s="424">
        <v>480</v>
      </c>
      <c r="H3572" s="3">
        <f>+IFERROR(VLOOKUP(E3572,BD!$L$2:$Q$66,6,0),0)</f>
        <v>48</v>
      </c>
      <c r="I3572" s="96">
        <f>IFERROR(G3572*VLOOKUP($E3572,BD!$L$2:$Q$66,5,0),0)</f>
        <v>192</v>
      </c>
      <c r="J3572" s="5">
        <f t="shared" si="239"/>
        <v>2021</v>
      </c>
    </row>
    <row r="3573" spans="1:10" s="9" customFormat="1" hidden="1" x14ac:dyDescent="0.25">
      <c r="A3573" s="491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7">
        <v>751315</v>
      </c>
      <c r="F3573" s="3" t="str">
        <f>IFERROR(VLOOKUP(E3573,BD!$L$2:$Q$66,2,0),0)</f>
        <v>MONSTER ENERGY 473MLX4</v>
      </c>
      <c r="G3573" s="424">
        <v>1260</v>
      </c>
      <c r="H3573" s="3">
        <f>+IFERROR(VLOOKUP(E3573,BD!$L$2:$Q$66,6,0),0)</f>
        <v>420</v>
      </c>
      <c r="I3573" s="96">
        <f>IFERROR(G3573*VLOOKUP($E3573,BD!$L$2:$Q$66,5,0),0)</f>
        <v>529.19999999999993</v>
      </c>
      <c r="J3573" s="5">
        <f t="shared" si="239"/>
        <v>2021</v>
      </c>
    </row>
    <row r="3574" spans="1:10" s="9" customFormat="1" hidden="1" x14ac:dyDescent="0.25">
      <c r="A3574" s="491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7">
        <v>751544</v>
      </c>
      <c r="F3574" s="3" t="str">
        <f>IFERROR(VLOOKUP(E3574,BD!$L$2:$Q$66,2,0),0)</f>
        <v>MONSTER ENERGY ZERO 473MLX4</v>
      </c>
      <c r="G3574" s="424">
        <v>420</v>
      </c>
      <c r="H3574" s="3">
        <f>+IFERROR(VLOOKUP(E3574,BD!$L$2:$Q$66,6,0),0)</f>
        <v>420</v>
      </c>
      <c r="I3574" s="96">
        <f>IFERROR(G3574*VLOOKUP($E3574,BD!$L$2:$Q$66,5,0),0)</f>
        <v>176.4</v>
      </c>
      <c r="J3574" s="5">
        <f t="shared" si="239"/>
        <v>2021</v>
      </c>
    </row>
    <row r="3575" spans="1:10" s="9" customFormat="1" hidden="1" x14ac:dyDescent="0.25">
      <c r="A3575" s="491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7">
        <v>256616</v>
      </c>
      <c r="F3575" s="3" t="str">
        <f>IFERROR(VLOOKUP(E3575,BD!$L$2:$Q$66,2,0),0)</f>
        <v>TWO PACK SCHWEPPES CITRUS PET 1.5LX2</v>
      </c>
      <c r="G3575" s="424">
        <v>594</v>
      </c>
      <c r="H3575" s="3">
        <f>+IFERROR(VLOOKUP(E3575,BD!$L$2:$Q$66,6,0),0)</f>
        <v>198</v>
      </c>
      <c r="I3575" s="96">
        <f>IFERROR(G3575*VLOOKUP($E3575,BD!$L$2:$Q$66,5,0),0)</f>
        <v>100.98</v>
      </c>
      <c r="J3575" s="5">
        <f t="shared" si="239"/>
        <v>2021</v>
      </c>
    </row>
    <row r="3576" spans="1:10" s="9" customFormat="1" hidden="1" x14ac:dyDescent="0.25">
      <c r="A3576" s="491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7">
        <v>256617</v>
      </c>
      <c r="F3576" s="3" t="str">
        <f>IFERROR(VLOOKUP(E3576,BD!$L$2:$Q$66,2,0),0)</f>
        <v>TWO PACK SCHWEPPES GINGER ALE PET 1.5LX2</v>
      </c>
      <c r="G3576" s="424">
        <v>198</v>
      </c>
      <c r="H3576" s="3">
        <f>+IFERROR(VLOOKUP(E3576,BD!$L$2:$Q$66,6,0),0)</f>
        <v>198</v>
      </c>
      <c r="I3576" s="96">
        <f>IFERROR(G3576*VLOOKUP($E3576,BD!$L$2:$Q$66,5,0),0)</f>
        <v>33.660000000000004</v>
      </c>
      <c r="J3576" s="5">
        <f t="shared" si="239"/>
        <v>2021</v>
      </c>
    </row>
    <row r="3577" spans="1:10" s="9" customFormat="1" hidden="1" x14ac:dyDescent="0.25">
      <c r="A3577" s="491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7">
        <v>256666</v>
      </c>
      <c r="F3577" s="3" t="str">
        <f>IFERROR(VLOOKUP(E3577,BD!$L$2:$Q$66,2,0),0)</f>
        <v>COCA-COLA PET 2.25LX2 RF</v>
      </c>
      <c r="G3577" s="424">
        <v>486</v>
      </c>
      <c r="H3577" s="3">
        <f>+IFERROR(VLOOKUP(E3577,BD!$L$2:$Q$66,6,0),0)</f>
        <v>162</v>
      </c>
      <c r="I3577" s="96">
        <f>IFERROR(G3577*VLOOKUP($E3577,BD!$L$2:$Q$66,5,0),0)</f>
        <v>82.62</v>
      </c>
      <c r="J3577" s="5">
        <f t="shared" si="239"/>
        <v>2021</v>
      </c>
    </row>
    <row r="3578" spans="1:10" s="9" customFormat="1" hidden="1" x14ac:dyDescent="0.25">
      <c r="A3578" s="491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7">
        <v>256488</v>
      </c>
      <c r="F3578" s="3" t="str">
        <f>IFERROR(VLOOKUP(E3578,BD!$L$2:$Q$66,2,0),0)</f>
        <v>INCA KOLA PET 3LX2 - RF</v>
      </c>
      <c r="G3578" s="424">
        <v>2400</v>
      </c>
      <c r="H3578" s="3">
        <f>+IFERROR(VLOOKUP(E3578,BD!$L$2:$Q$66,6,0),0)</f>
        <v>120</v>
      </c>
      <c r="I3578" s="96">
        <f>IFERROR(G3578*VLOOKUP($E3578,BD!$L$2:$Q$66,5,0),0)</f>
        <v>408.00000000000006</v>
      </c>
      <c r="J3578" s="5">
        <f t="shared" si="239"/>
        <v>2021</v>
      </c>
    </row>
    <row r="3579" spans="1:10" s="9" customFormat="1" hidden="1" x14ac:dyDescent="0.25">
      <c r="A3579" s="491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7">
        <v>256676</v>
      </c>
      <c r="F3579" s="3" t="str">
        <f>IFERROR(VLOOKUP(E3579,BD!$L$2:$Q$66,2,0),0)</f>
        <v>TWO PACK CC PFM 3LX2 - RFCC</v>
      </c>
      <c r="G3579" s="424">
        <v>480</v>
      </c>
      <c r="H3579" s="3">
        <f>+IFERROR(VLOOKUP(E3579,BD!$L$2:$Q$66,6,0),0)</f>
        <v>120</v>
      </c>
      <c r="I3579" s="96">
        <f>IFERROR(G3579*VLOOKUP($E3579,BD!$L$2:$Q$66,5,0),0)</f>
        <v>81.600000000000009</v>
      </c>
      <c r="J3579" s="5">
        <f t="shared" si="239"/>
        <v>2021</v>
      </c>
    </row>
    <row r="3580" spans="1:10" s="9" customFormat="1" hidden="1" x14ac:dyDescent="0.25">
      <c r="A3580" s="491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7">
        <v>256674</v>
      </c>
      <c r="F3580" s="3" t="str">
        <f>IFERROR(VLOOKUP(E3580,BD!$L$2:$Q$66,2,0),0)</f>
        <v>COCA-COLA PET 1.5LX2 RF</v>
      </c>
      <c r="G3580" s="424">
        <v>864</v>
      </c>
      <c r="H3580" s="3">
        <f>+IFERROR(VLOOKUP(E3580,BD!$L$2:$Q$66,6,0),0)</f>
        <v>198</v>
      </c>
      <c r="I3580" s="96">
        <f>IFERROR(G3580*VLOOKUP($E3580,BD!$L$2:$Q$66,5,0),0)</f>
        <v>146.88000000000002</v>
      </c>
      <c r="J3580" s="5">
        <f t="shared" si="239"/>
        <v>2021</v>
      </c>
    </row>
    <row r="3581" spans="1:10" s="9" customFormat="1" hidden="1" x14ac:dyDescent="0.25">
      <c r="A3581" s="491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7">
        <v>256652</v>
      </c>
      <c r="F3581" s="3" t="str">
        <f>IFERROR(VLOOKUP(E3581,BD!$L$2:$Q$66,2,0),0)</f>
        <v>TRIPACK FT NAR+FT KI+SP PET 3L</v>
      </c>
      <c r="G3581" s="424">
        <v>720</v>
      </c>
      <c r="H3581" s="3">
        <f>+IFERROR(VLOOKUP(E3581,BD!$L$2:$Q$66,6,0),0)</f>
        <v>90</v>
      </c>
      <c r="I3581" s="96">
        <f>IFERROR(G3581*VLOOKUP($E3581,BD!$L$2:$Q$66,5,0),0)</f>
        <v>122.4</v>
      </c>
      <c r="J3581" s="5">
        <f t="shared" si="239"/>
        <v>2021</v>
      </c>
    </row>
    <row r="3582" spans="1:10" s="9" customFormat="1" hidden="1" x14ac:dyDescent="0.25">
      <c r="A3582" s="491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7">
        <v>256680</v>
      </c>
      <c r="F3582" s="3" t="str">
        <f>IFERROR(VLOOKUP(E3582,BD!$L$2:$Q$66,2,0),0)</f>
        <v>TRIPACK CC+CC+IK PFM 3LX3 - RFNN</v>
      </c>
      <c r="G3582" s="424">
        <v>720</v>
      </c>
      <c r="H3582" s="3">
        <f>+IFERROR(VLOOKUP(E3582,BD!$L$2:$Q$66,6,0),0)</f>
        <v>90</v>
      </c>
      <c r="I3582" s="96">
        <f>IFERROR(G3582*VLOOKUP($E3582,BD!$L$2:$Q$66,5,0),0)</f>
        <v>122.4</v>
      </c>
      <c r="J3582" s="5">
        <f t="shared" si="239"/>
        <v>2021</v>
      </c>
    </row>
    <row r="3583" spans="1:10" s="9" customFormat="1" hidden="1" x14ac:dyDescent="0.25">
      <c r="A3583" s="491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7">
        <v>256679</v>
      </c>
      <c r="F3583" s="3" t="str">
        <f>IFERROR(VLOOKUP(E3583,BD!$L$2:$Q$66,2,0),0)</f>
        <v>TRIPACK CC+IK+IK PFM 3LX3 - RFNN</v>
      </c>
      <c r="G3583" s="424">
        <v>720</v>
      </c>
      <c r="H3583" s="3">
        <f>+IFERROR(VLOOKUP(E3583,BD!$L$2:$Q$66,6,0),0)</f>
        <v>90</v>
      </c>
      <c r="I3583" s="96">
        <f>IFERROR(G3583*VLOOKUP($E3583,BD!$L$2:$Q$66,5,0),0)</f>
        <v>122.4</v>
      </c>
      <c r="J3583" s="5">
        <f t="shared" si="239"/>
        <v>2021</v>
      </c>
    </row>
    <row r="3584" spans="1:10" s="9" customFormat="1" hidden="1" x14ac:dyDescent="0.25">
      <c r="A3584" s="491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7">
        <v>256678</v>
      </c>
      <c r="F3584" s="3" t="str">
        <f>IFERROR(VLOOKUP(E3584,BD!$L$2:$Q$66,2,0),0)</f>
        <v>TRIPACK (CC+IK)PFM+FT PET 3LX3 - RFNN</v>
      </c>
      <c r="G3584" s="424">
        <v>2160</v>
      </c>
      <c r="H3584" s="3">
        <f>+IFERROR(VLOOKUP(E3584,BD!$L$2:$Q$66,6,0),0)</f>
        <v>90</v>
      </c>
      <c r="I3584" s="96">
        <f>IFERROR(G3584*VLOOKUP($E3584,BD!$L$2:$Q$66,5,0),0)</f>
        <v>367.20000000000005</v>
      </c>
      <c r="J3584" s="5">
        <f t="shared" si="239"/>
        <v>2021</v>
      </c>
    </row>
    <row r="3585" spans="1:10" s="9" customFormat="1" hidden="1" x14ac:dyDescent="0.25">
      <c r="A3585" s="491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7">
        <v>256708</v>
      </c>
      <c r="F3585" s="3" t="str">
        <f>IFERROR(VLOOKUP(E3585,BD!$L$2:$Q$66,2,0),0)</f>
        <v>POWERADE ION4 FRUTA PET473X6 MOD (STICK)</v>
      </c>
      <c r="G3585" s="424">
        <v>450</v>
      </c>
      <c r="H3585" s="3">
        <f>+IFERROR(VLOOKUP(E3585,BD!$L$2:$Q$66,6,0),0)</f>
        <v>225</v>
      </c>
      <c r="I3585" s="96">
        <f>IFERROR(G3585*VLOOKUP($E3585,BD!$L$2:$Q$66,5,0),0)</f>
        <v>180</v>
      </c>
      <c r="J3585" s="5">
        <f t="shared" si="239"/>
        <v>2021</v>
      </c>
    </row>
    <row r="3586" spans="1:10" s="9" customFormat="1" hidden="1" x14ac:dyDescent="0.25">
      <c r="A3586" s="491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7">
        <v>256709</v>
      </c>
      <c r="F3586" s="3" t="str">
        <f>IFERROR(VLOOKUP(E3586,BD!$L$2:$Q$66,2,0),0)</f>
        <v>POWERADE ION4 MORA AZ PET473X6 MOD(STCK)</v>
      </c>
      <c r="G3586" s="424">
        <v>900</v>
      </c>
      <c r="H3586" s="3">
        <f>+IFERROR(VLOOKUP(E3586,BD!$L$2:$Q$66,6,0),0)</f>
        <v>225</v>
      </c>
      <c r="I3586" s="96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hidden="1" x14ac:dyDescent="0.25">
      <c r="A3587" s="491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7">
        <v>256720</v>
      </c>
      <c r="F3587" s="3" t="str">
        <f>IFERROR(VLOOKUP(E3587,BD!$L$2:$Q$66,2,0),0)</f>
        <v>FANTA NARANJA PET 500MLX6 BRANDEADO MOD</v>
      </c>
      <c r="G3587" s="424">
        <v>750</v>
      </c>
      <c r="H3587" s="3">
        <f>+IFERROR(VLOOKUP(E3587,BD!$L$2:$Q$66,6,0),0)</f>
        <v>420</v>
      </c>
      <c r="I3587" s="96">
        <f>IFERROR(G3587*VLOOKUP($E3587,BD!$L$2:$Q$66,5,0),0)</f>
        <v>315</v>
      </c>
      <c r="J3587" s="5">
        <f t="shared" si="243"/>
        <v>2021</v>
      </c>
    </row>
    <row r="3588" spans="1:10" s="9" customFormat="1" hidden="1" x14ac:dyDescent="0.25">
      <c r="A3588" s="491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7">
        <v>256685</v>
      </c>
      <c r="F3588" s="3" t="str">
        <f>IFERROR(VLOOKUP(E3588,BD!$L$2:$Q$66,2,0),0)</f>
        <v>SL S/G TAPA PLANA 1LT</v>
      </c>
      <c r="G3588" s="424">
        <v>672</v>
      </c>
      <c r="H3588" s="3">
        <f>+IFERROR(VLOOKUP(E3588,BD!$L$2:$Q$66,6,0),0)</f>
        <v>112</v>
      </c>
      <c r="I3588" s="96">
        <f>IFERROR(G3588*VLOOKUP($E3588,BD!$L$2:$Q$66,5,0),0)</f>
        <v>268.8</v>
      </c>
      <c r="J3588" s="5">
        <f t="shared" si="243"/>
        <v>2021</v>
      </c>
    </row>
    <row r="3589" spans="1:10" s="9" customFormat="1" hidden="1" x14ac:dyDescent="0.25">
      <c r="A3589" s="491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7">
        <v>252436</v>
      </c>
      <c r="F3589" s="3" t="str">
        <f>IFERROR(VLOOKUP(E3589,BD!$L$2:$Q$66,2,0),0)</f>
        <v>SAN LUIS SIN GAS PET 625MLX15 C/STICKER</v>
      </c>
      <c r="G3589" s="424">
        <v>1800</v>
      </c>
      <c r="H3589" s="3">
        <f>+IFERROR(VLOOKUP(E3589,BD!$L$2:$Q$66,6,0),0)</f>
        <v>90</v>
      </c>
      <c r="I3589" s="96">
        <f>IFERROR(G3589*VLOOKUP($E3589,BD!$L$2:$Q$66,5,0),0)</f>
        <v>720</v>
      </c>
      <c r="J3589" s="5">
        <f t="shared" si="243"/>
        <v>2021</v>
      </c>
    </row>
    <row r="3590" spans="1:10" s="9" customFormat="1" hidden="1" x14ac:dyDescent="0.25">
      <c r="A3590" s="52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70">
        <v>254762</v>
      </c>
      <c r="F3590" s="33" t="str">
        <f>IFERROR(VLOOKUP(E3590,BD!$L$2:$Q$66,2,0),0)</f>
        <v xml:space="preserve">SAN LUIS SPORT S/G 10 Lt x6 </v>
      </c>
      <c r="G3590" s="512">
        <v>224</v>
      </c>
      <c r="H3590" s="33">
        <f>+IFERROR(VLOOKUP(E3590,BD!$L$2:$Q$66,6,0),0)</f>
        <v>240</v>
      </c>
      <c r="I3590" s="499">
        <f>IFERROR(G3590*VLOOKUP($E3590,BD!$L$2:$Q$66,5,0),0)</f>
        <v>89.600000000000009</v>
      </c>
      <c r="J3590" s="386">
        <f t="shared" si="243"/>
        <v>2021</v>
      </c>
    </row>
    <row r="3591" spans="1:10" s="9" customFormat="1" hidden="1" x14ac:dyDescent="0.25">
      <c r="A3591" s="493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63">
        <v>252436</v>
      </c>
      <c r="F3591" s="6" t="str">
        <f>IFERROR(VLOOKUP(E3591,BD!$L$2:$Q$66,2,0),0)</f>
        <v>SAN LUIS SIN GAS PET 625MLX15 C/STICKER</v>
      </c>
      <c r="G3591" s="513">
        <v>1440</v>
      </c>
      <c r="H3591" s="6">
        <f>+IFERROR(VLOOKUP(E3591,BD!$L$2:$Q$66,6,0),0)</f>
        <v>90</v>
      </c>
      <c r="I3591" s="97">
        <f>IFERROR(G3591*VLOOKUP($E3591,BD!$L$2:$Q$66,5,0),0)</f>
        <v>576</v>
      </c>
      <c r="J3591" s="109">
        <f t="shared" si="243"/>
        <v>2021</v>
      </c>
    </row>
    <row r="3592" spans="1:10" s="9" customFormat="1" hidden="1" x14ac:dyDescent="0.25">
      <c r="A3592" s="491">
        <v>44552</v>
      </c>
      <c r="B3592" s="55" t="str">
        <f t="shared" si="240"/>
        <v>DICIEMBRE</v>
      </c>
      <c r="C3592" s="3"/>
      <c r="D3592" s="3"/>
      <c r="E3592" s="427">
        <v>256488</v>
      </c>
      <c r="F3592" s="3" t="str">
        <f>IFERROR(VLOOKUP(E3592,BD!$L$2:$Q$66,2,0),0)</f>
        <v>INCA KOLA PET 3LX2 - RF</v>
      </c>
      <c r="G3592" s="424">
        <v>1200</v>
      </c>
      <c r="H3592" s="3">
        <f>+IFERROR(VLOOKUP(E3592,BD!$L$2:$Q$66,6,0),0)</f>
        <v>120</v>
      </c>
      <c r="I3592" s="96">
        <f>IFERROR(G3592*VLOOKUP($E3592,BD!$L$2:$Q$66,5,0),0)</f>
        <v>204.00000000000003</v>
      </c>
      <c r="J3592" s="5">
        <f t="shared" si="243"/>
        <v>2021</v>
      </c>
    </row>
    <row r="3593" spans="1:10" s="9" customFormat="1" hidden="1" x14ac:dyDescent="0.25">
      <c r="A3593" s="491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7">
        <v>256383</v>
      </c>
      <c r="F3593" s="3" t="str">
        <f>IFERROR(VLOOKUP(E3593,BD!$L$2:$Q$66,2,0),0)</f>
        <v>COCA COLA VR 1.5LX8 - STICKER</v>
      </c>
      <c r="G3593" s="424">
        <v>210</v>
      </c>
      <c r="H3593" s="3">
        <f>+IFERROR(VLOOKUP(E3593,BD!$L$2:$Q$66,6,0),0)</f>
        <v>30</v>
      </c>
      <c r="I3593" s="96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hidden="1" x14ac:dyDescent="0.25">
      <c r="A3594" s="491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7">
        <v>256381</v>
      </c>
      <c r="F3594" s="3" t="str">
        <f>IFERROR(VLOOKUP(E3594,BD!$L$2:$Q$66,2,0),0)</f>
        <v>INCA KOLA VR 1.5LX8 - STICKER</v>
      </c>
      <c r="G3594" s="424">
        <v>300</v>
      </c>
      <c r="H3594" s="3">
        <f>+IFERROR(VLOOKUP(E3594,BD!$L$2:$Q$66,6,0),0)</f>
        <v>30</v>
      </c>
      <c r="I3594" s="96">
        <f>IFERROR(G3594*VLOOKUP($E3594,BD!$L$2:$Q$66,5,0),0)</f>
        <v>120</v>
      </c>
      <c r="J3594" s="5">
        <f t="shared" si="247"/>
        <v>2021</v>
      </c>
    </row>
    <row r="3595" spans="1:10" s="9" customFormat="1" hidden="1" x14ac:dyDescent="0.25">
      <c r="A3595" s="491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7">
        <v>256380</v>
      </c>
      <c r="F3595" s="3" t="str">
        <f>IFERROR(VLOOKUP(E3595,BD!$L$2:$Q$66,2,0),0)</f>
        <v>INCA KOLA VR 296MLX24 - STICKER</v>
      </c>
      <c r="G3595" s="425">
        <v>80</v>
      </c>
      <c r="H3595" s="3">
        <f>+IFERROR(VLOOKUP(E3595,BD!$L$2:$Q$66,6,0),0)</f>
        <v>40</v>
      </c>
      <c r="I3595" s="96">
        <f>IFERROR(G3595*VLOOKUP($E3595,BD!$L$2:$Q$66,5,0),0)</f>
        <v>18.400000000000002</v>
      </c>
      <c r="J3595" s="5">
        <f t="shared" si="247"/>
        <v>2021</v>
      </c>
    </row>
    <row r="3596" spans="1:10" s="9" customFormat="1" hidden="1" x14ac:dyDescent="0.25">
      <c r="A3596" s="491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7">
        <v>256379</v>
      </c>
      <c r="F3596" s="3" t="str">
        <f>IFERROR(VLOOKUP(E3596,BD!$L$2:$Q$66,2,0),0)</f>
        <v>INCA KOLA VR 625MLX12 - STICKER</v>
      </c>
      <c r="G3596" s="424">
        <v>300</v>
      </c>
      <c r="H3596" s="3">
        <f>+IFERROR(VLOOKUP(E3596,BD!$L$2:$Q$66,6,0),0)</f>
        <v>50</v>
      </c>
      <c r="I3596" s="96">
        <f>IFERROR(G3596*VLOOKUP($E3596,BD!$L$2:$Q$66,5,0),0)</f>
        <v>120</v>
      </c>
      <c r="J3596" s="5">
        <f t="shared" si="247"/>
        <v>2021</v>
      </c>
    </row>
    <row r="3597" spans="1:10" s="9" customFormat="1" hidden="1" x14ac:dyDescent="0.25">
      <c r="A3597" s="491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7">
        <v>252436</v>
      </c>
      <c r="F3597" s="3" t="str">
        <f>IFERROR(VLOOKUP(E3597,BD!$L$2:$Q$66,2,0),0)</f>
        <v>SAN LUIS SIN GAS PET 625MLX15 C/STICKER</v>
      </c>
      <c r="G3597" s="424">
        <v>1800</v>
      </c>
      <c r="H3597" s="3">
        <f>+IFERROR(VLOOKUP(E3597,BD!$L$2:$Q$66,6,0),0)</f>
        <v>90</v>
      </c>
      <c r="I3597" s="96">
        <f>IFERROR(G3597*VLOOKUP($E3597,BD!$L$2:$Q$66,5,0),0)</f>
        <v>720</v>
      </c>
      <c r="J3597" s="5">
        <f t="shared" si="247"/>
        <v>2021</v>
      </c>
    </row>
    <row r="3598" spans="1:10" s="9" customFormat="1" hidden="1" x14ac:dyDescent="0.25">
      <c r="A3598" s="491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7">
        <v>251429</v>
      </c>
      <c r="F3598" s="3" t="str">
        <f>IFERROR(VLOOKUP(E3598,BD!$L$2:$Q$66,2,0),0)</f>
        <v>SAN LUIS SIN GAS PET2500X6 STICKER</v>
      </c>
      <c r="G3598" s="424">
        <v>1056</v>
      </c>
      <c r="H3598" s="3">
        <f>+IFERROR(VLOOKUP(E3598,BD!$L$2:$Q$66,6,0),0)</f>
        <v>48</v>
      </c>
      <c r="I3598" s="96">
        <f>IFERROR(G3598*VLOOKUP($E3598,BD!$L$2:$Q$66,5,0),0)</f>
        <v>422.40000000000003</v>
      </c>
      <c r="J3598" s="5">
        <f t="shared" si="247"/>
        <v>2021</v>
      </c>
    </row>
    <row r="3599" spans="1:10" s="9" customFormat="1" hidden="1" x14ac:dyDescent="0.25">
      <c r="A3599" s="491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7">
        <v>251633</v>
      </c>
      <c r="F3599" s="3" t="str">
        <f>IFERROR(VLOOKUP(E3599,BD!$L$2:$Q$66,2,0),0)</f>
        <v>SAN LUIS CON GAS PET 625MLX6</v>
      </c>
      <c r="G3599" s="424">
        <v>180</v>
      </c>
      <c r="H3599" s="3">
        <f>+IFERROR(VLOOKUP(E3599,BD!$L$2:$Q$66,6,0),0)</f>
        <v>180</v>
      </c>
      <c r="I3599" s="96">
        <f>IFERROR(G3599*VLOOKUP($E3599,BD!$L$2:$Q$66,5,0),0)</f>
        <v>75.599999999999994</v>
      </c>
      <c r="J3599" s="5">
        <f t="shared" si="247"/>
        <v>2021</v>
      </c>
    </row>
    <row r="3600" spans="1:10" s="9" customFormat="1" hidden="1" x14ac:dyDescent="0.25">
      <c r="A3600" s="491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7">
        <v>254853</v>
      </c>
      <c r="F3600" s="3" t="str">
        <f>IFERROR(VLOOKUP(E3600,BD!$L$2:$Q$66,2,0),0)</f>
        <v>INCA KOLA SIN AZUCAR PET 1.5LX2</v>
      </c>
      <c r="G3600" s="424">
        <v>1296</v>
      </c>
      <c r="H3600" s="3">
        <f>+IFERROR(VLOOKUP(E3600,BD!$L$2:$Q$66,6,0),0)</f>
        <v>198</v>
      </c>
      <c r="I3600" s="96">
        <f>IFERROR(G3600*VLOOKUP($E3600,BD!$L$2:$Q$66,5,0),0)</f>
        <v>220.32000000000002</v>
      </c>
      <c r="J3600" s="5">
        <f t="shared" si="247"/>
        <v>2021</v>
      </c>
    </row>
    <row r="3601" spans="1:10" s="9" customFormat="1" hidden="1" x14ac:dyDescent="0.25">
      <c r="A3601" s="491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7">
        <v>256616</v>
      </c>
      <c r="F3601" s="3" t="str">
        <f>IFERROR(VLOOKUP(E3601,BD!$L$2:$Q$66,2,0),0)</f>
        <v>TWO PACK SCHWEPPES CITRUS PET 1.5LX2</v>
      </c>
      <c r="G3601" s="424">
        <v>1188</v>
      </c>
      <c r="H3601" s="3">
        <f>+IFERROR(VLOOKUP(E3601,BD!$L$2:$Q$66,6,0),0)</f>
        <v>198</v>
      </c>
      <c r="I3601" s="96">
        <f>IFERROR(G3601*VLOOKUP($E3601,BD!$L$2:$Q$66,5,0),0)</f>
        <v>201.96</v>
      </c>
      <c r="J3601" s="5">
        <f t="shared" si="247"/>
        <v>2021</v>
      </c>
    </row>
    <row r="3602" spans="1:10" s="9" customFormat="1" hidden="1" x14ac:dyDescent="0.25">
      <c r="A3602" s="491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7">
        <v>256617</v>
      </c>
      <c r="F3602" s="3" t="str">
        <f>IFERROR(VLOOKUP(E3602,BD!$L$2:$Q$66,2,0),0)</f>
        <v>TWO PACK SCHWEPPES GINGER ALE PET 1.5LX2</v>
      </c>
      <c r="G3602" s="425">
        <v>1584</v>
      </c>
      <c r="H3602" s="3">
        <f>+IFERROR(VLOOKUP(E3602,BD!$L$2:$Q$66,6,0),0)</f>
        <v>198</v>
      </c>
      <c r="I3602" s="96">
        <f>IFERROR(G3602*VLOOKUP($E3602,BD!$L$2:$Q$66,5,0),0)</f>
        <v>269.28000000000003</v>
      </c>
      <c r="J3602" s="5">
        <f t="shared" si="247"/>
        <v>2021</v>
      </c>
    </row>
    <row r="3603" spans="1:10" s="9" customFormat="1" hidden="1" x14ac:dyDescent="0.25">
      <c r="A3603" s="491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7">
        <v>256666</v>
      </c>
      <c r="F3603" s="3" t="str">
        <f>IFERROR(VLOOKUP(E3603,BD!$L$2:$Q$66,2,0),0)</f>
        <v>COCA-COLA PET 2.25LX2 RF</v>
      </c>
      <c r="G3603" s="424">
        <v>810</v>
      </c>
      <c r="H3603" s="3">
        <f>+IFERROR(VLOOKUP(E3603,BD!$L$2:$Q$66,6,0),0)</f>
        <v>162</v>
      </c>
      <c r="I3603" s="96">
        <f>IFERROR(G3603*VLOOKUP($E3603,BD!$L$2:$Q$66,5,0),0)</f>
        <v>137.70000000000002</v>
      </c>
      <c r="J3603" s="5">
        <f t="shared" si="247"/>
        <v>2021</v>
      </c>
    </row>
    <row r="3604" spans="1:10" s="9" customFormat="1" hidden="1" x14ac:dyDescent="0.25">
      <c r="A3604" s="491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7">
        <v>256601</v>
      </c>
      <c r="F3604" s="3" t="str">
        <f>IFERROR(VLOOKUP(E3604,BD!$L$2:$Q$66,2,0),0)</f>
        <v>INCA KOLA PET 2.25LX2 RF</v>
      </c>
      <c r="G3604" s="424">
        <v>972</v>
      </c>
      <c r="H3604" s="3">
        <f>+IFERROR(VLOOKUP(E3604,BD!$L$2:$Q$66,6,0),0)</f>
        <v>162</v>
      </c>
      <c r="I3604" s="96">
        <f>IFERROR(G3604*VLOOKUP($E3604,BD!$L$2:$Q$66,5,0),0)</f>
        <v>165.24</v>
      </c>
      <c r="J3604" s="5">
        <f t="shared" si="247"/>
        <v>2021</v>
      </c>
    </row>
    <row r="3605" spans="1:10" s="9" customFormat="1" hidden="1" x14ac:dyDescent="0.25">
      <c r="A3605" s="491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7">
        <v>256676</v>
      </c>
      <c r="F3605" s="3" t="str">
        <f>IFERROR(VLOOKUP(E3605,BD!$L$2:$Q$66,2,0),0)</f>
        <v>TWO PACK CC PFM 3LX2 - RFCC</v>
      </c>
      <c r="G3605" s="424">
        <v>1200</v>
      </c>
      <c r="H3605" s="3">
        <f>+IFERROR(VLOOKUP(E3605,BD!$L$2:$Q$66,6,0),0)</f>
        <v>120</v>
      </c>
      <c r="I3605" s="96">
        <f>IFERROR(G3605*VLOOKUP($E3605,BD!$L$2:$Q$66,5,0),0)</f>
        <v>204.00000000000003</v>
      </c>
      <c r="J3605" s="5">
        <f t="shared" si="247"/>
        <v>2021</v>
      </c>
    </row>
    <row r="3606" spans="1:10" s="9" customFormat="1" hidden="1" x14ac:dyDescent="0.25">
      <c r="A3606" s="491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7">
        <v>256674</v>
      </c>
      <c r="F3606" s="3" t="str">
        <f>IFERROR(VLOOKUP(E3606,BD!$L$2:$Q$66,2,0),0)</f>
        <v>COCA-COLA PET 1.5LX2 RF</v>
      </c>
      <c r="G3606" s="424">
        <v>2808</v>
      </c>
      <c r="H3606" s="3">
        <f>+IFERROR(VLOOKUP(E3606,BD!$L$2:$Q$66,6,0),0)</f>
        <v>198</v>
      </c>
      <c r="I3606" s="96">
        <f>IFERROR(G3606*VLOOKUP($E3606,BD!$L$2:$Q$66,5,0),0)</f>
        <v>477.36</v>
      </c>
      <c r="J3606" s="5">
        <f t="shared" si="247"/>
        <v>2021</v>
      </c>
    </row>
    <row r="3607" spans="1:10" s="9" customFormat="1" hidden="1" x14ac:dyDescent="0.25">
      <c r="A3607" s="491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7">
        <v>256675</v>
      </c>
      <c r="F3607" s="3" t="str">
        <f>IFERROR(VLOOKUP(E3607,BD!$L$2:$Q$66,2,0),0)</f>
        <v>INCA KOLA PET 1.5LX2 RF</v>
      </c>
      <c r="G3607" s="424">
        <v>1728</v>
      </c>
      <c r="H3607" s="3">
        <f>+IFERROR(VLOOKUP(E3607,BD!$L$2:$Q$66,6,0),0)</f>
        <v>198</v>
      </c>
      <c r="I3607" s="96">
        <f>IFERROR(G3607*VLOOKUP($E3607,BD!$L$2:$Q$66,5,0),0)</f>
        <v>293.76000000000005</v>
      </c>
      <c r="J3607" s="5">
        <f t="shared" si="247"/>
        <v>2021</v>
      </c>
    </row>
    <row r="3608" spans="1:10" s="9" customFormat="1" hidden="1" x14ac:dyDescent="0.25">
      <c r="A3608" s="491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7">
        <v>256677</v>
      </c>
      <c r="F3608" s="3" t="str">
        <f>IFERROR(VLOOKUP(E3608,BD!$L$2:$Q$66,2,0),0)</f>
        <v>TWO PACK CC + IK PFM 3LX2 - RFNN</v>
      </c>
      <c r="G3608" s="424">
        <v>2640</v>
      </c>
      <c r="H3608" s="3">
        <f>+IFERROR(VLOOKUP(E3608,BD!$L$2:$Q$66,6,0),0)</f>
        <v>120</v>
      </c>
      <c r="I3608" s="96">
        <f>IFERROR(G3608*VLOOKUP($E3608,BD!$L$2:$Q$66,5,0),0)</f>
        <v>448.8</v>
      </c>
      <c r="J3608" s="5">
        <f t="shared" si="247"/>
        <v>2021</v>
      </c>
    </row>
    <row r="3609" spans="1:10" s="9" customFormat="1" hidden="1" x14ac:dyDescent="0.25">
      <c r="A3609" s="491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7">
        <v>256708</v>
      </c>
      <c r="F3609" s="3" t="str">
        <f>IFERROR(VLOOKUP(E3609,BD!$L$2:$Q$66,2,0),0)</f>
        <v>POWERADE ION4 FRUTA PET473X6 MOD (STICK)</v>
      </c>
      <c r="G3609" s="424">
        <v>900</v>
      </c>
      <c r="H3609" s="3">
        <f>+IFERROR(VLOOKUP(E3609,BD!$L$2:$Q$66,6,0),0)</f>
        <v>225</v>
      </c>
      <c r="I3609" s="96">
        <f>IFERROR(G3609*VLOOKUP($E3609,BD!$L$2:$Q$66,5,0),0)</f>
        <v>360</v>
      </c>
      <c r="J3609" s="5">
        <f t="shared" si="247"/>
        <v>2021</v>
      </c>
    </row>
    <row r="3610" spans="1:10" s="9" customFormat="1" hidden="1" x14ac:dyDescent="0.25">
      <c r="A3610" s="491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7">
        <v>256709</v>
      </c>
      <c r="F3610" s="3" t="str">
        <f>IFERROR(VLOOKUP(E3610,BD!$L$2:$Q$66,2,0),0)</f>
        <v>POWERADE ION4 MORA AZ PET473X6 MOD(STCK)</v>
      </c>
      <c r="G3610" s="424">
        <v>450</v>
      </c>
      <c r="H3610" s="3">
        <f>+IFERROR(VLOOKUP(E3610,BD!$L$2:$Q$66,6,0),0)</f>
        <v>225</v>
      </c>
      <c r="I3610" s="96">
        <f>IFERROR(G3610*VLOOKUP($E3610,BD!$L$2:$Q$66,5,0),0)</f>
        <v>180</v>
      </c>
      <c r="J3610" s="5">
        <f t="shared" si="247"/>
        <v>2021</v>
      </c>
    </row>
    <row r="3611" spans="1:10" s="9" customFormat="1" hidden="1" x14ac:dyDescent="0.25">
      <c r="A3611" s="491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7">
        <v>256720</v>
      </c>
      <c r="F3611" s="3" t="str">
        <f>IFERROR(VLOOKUP(E3611,BD!$L$2:$Q$66,2,0),0)</f>
        <v>FANTA NARANJA PET 500MLX6 BRANDEADO MOD</v>
      </c>
      <c r="G3611" s="424">
        <v>500</v>
      </c>
      <c r="H3611" s="3">
        <f>+IFERROR(VLOOKUP(E3611,BD!$L$2:$Q$66,6,0),0)</f>
        <v>420</v>
      </c>
      <c r="I3611" s="96">
        <f>IFERROR(G3611*VLOOKUP($E3611,BD!$L$2:$Q$66,5,0),0)</f>
        <v>210</v>
      </c>
      <c r="J3611" s="5">
        <f t="shared" si="247"/>
        <v>2021</v>
      </c>
    </row>
    <row r="3612" spans="1:10" s="9" customFormat="1" ht="15.75" hidden="1" thickBot="1" x14ac:dyDescent="0.3">
      <c r="A3612" s="492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9">
        <v>256488</v>
      </c>
      <c r="F3612" s="8" t="str">
        <f>IFERROR(VLOOKUP(E3612,BD!$L$2:$Q$66,2,0),0)</f>
        <v>INCA KOLA PET 3LX2 - RF</v>
      </c>
      <c r="G3612" s="501">
        <v>1200</v>
      </c>
      <c r="H3612" s="8">
        <f>+IFERROR(VLOOKUP(E3612,BD!$L$2:$Q$66,6,0),0)</f>
        <v>120</v>
      </c>
      <c r="I3612" s="98">
        <f>IFERROR(G3612*VLOOKUP($E3612,BD!$L$2:$Q$66,5,0),0)</f>
        <v>204.00000000000003</v>
      </c>
      <c r="J3612" s="110">
        <f t="shared" si="247"/>
        <v>2021</v>
      </c>
    </row>
    <row r="3613" spans="1:10" s="9" customFormat="1" hidden="1" x14ac:dyDescent="0.25">
      <c r="A3613" s="53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8">
        <v>251429</v>
      </c>
      <c r="F3613" s="21" t="str">
        <f>IFERROR(VLOOKUP(E3613,BD!$L$2:$Q$66,2,0),0)</f>
        <v>SAN LUIS SIN GAS PET2500X6 STICKER</v>
      </c>
      <c r="G3613" s="521">
        <v>960</v>
      </c>
      <c r="H3613" s="21">
        <f>+IFERROR(VLOOKUP(E3613,BD!$L$2:$Q$66,6,0),0)</f>
        <v>48</v>
      </c>
      <c r="I3613" s="467">
        <f>IFERROR(G3613*VLOOKUP($E3613,BD!$L$2:$Q$66,5,0),0)</f>
        <v>384</v>
      </c>
      <c r="J3613" s="41">
        <f t="shared" si="247"/>
        <v>2021</v>
      </c>
    </row>
    <row r="3614" spans="1:10" s="9" customFormat="1" hidden="1" x14ac:dyDescent="0.25">
      <c r="A3614" s="491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7">
        <v>251633</v>
      </c>
      <c r="F3614" s="3" t="str">
        <f>IFERROR(VLOOKUP(E3614,BD!$L$2:$Q$66,2,0),0)</f>
        <v>SAN LUIS CON GAS PET 625MLX6</v>
      </c>
      <c r="G3614" s="424">
        <v>900</v>
      </c>
      <c r="H3614" s="3">
        <f>+IFERROR(VLOOKUP(E3614,BD!$L$2:$Q$66,6,0),0)</f>
        <v>180</v>
      </c>
      <c r="I3614" s="96">
        <f>IFERROR(G3614*VLOOKUP($E3614,BD!$L$2:$Q$66,5,0),0)</f>
        <v>378</v>
      </c>
      <c r="J3614" s="5">
        <f t="shared" si="247"/>
        <v>2021</v>
      </c>
    </row>
    <row r="3615" spans="1:10" s="9" customFormat="1" hidden="1" x14ac:dyDescent="0.25">
      <c r="A3615" s="491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7">
        <v>251406</v>
      </c>
      <c r="F3615" s="3" t="str">
        <f>IFERROR(VLOOKUP(E3615,BD!$L$2:$Q$66,2,0),0)</f>
        <v>COCA-COLA SIN AZUCAR PET 1.5LX2</v>
      </c>
      <c r="G3615" s="424">
        <v>2376</v>
      </c>
      <c r="H3615" s="3">
        <f>+IFERROR(VLOOKUP(E3615,BD!$L$2:$Q$66,6,0),0)</f>
        <v>198</v>
      </c>
      <c r="I3615" s="96">
        <f>IFERROR(G3615*VLOOKUP($E3615,BD!$L$2:$Q$66,5,0),0)</f>
        <v>403.92</v>
      </c>
      <c r="J3615" s="5">
        <f t="shared" si="247"/>
        <v>2021</v>
      </c>
    </row>
    <row r="3616" spans="1:10" s="9" customFormat="1" hidden="1" x14ac:dyDescent="0.25">
      <c r="A3616" s="491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7">
        <v>254853</v>
      </c>
      <c r="F3616" s="3" t="str">
        <f>IFERROR(VLOOKUP(E3616,BD!$L$2:$Q$66,2,0),0)</f>
        <v>INCA KOLA SIN AZUCAR PET 1.5LX2</v>
      </c>
      <c r="G3616" s="424">
        <v>2376</v>
      </c>
      <c r="H3616" s="3">
        <f>+IFERROR(VLOOKUP(E3616,BD!$L$2:$Q$66,6,0),0)</f>
        <v>198</v>
      </c>
      <c r="I3616" s="96">
        <f>IFERROR(G3616*VLOOKUP($E3616,BD!$L$2:$Q$66,5,0),0)</f>
        <v>403.92</v>
      </c>
      <c r="J3616" s="5">
        <f t="shared" si="247"/>
        <v>2021</v>
      </c>
    </row>
    <row r="3617" spans="1:10" s="9" customFormat="1" hidden="1" x14ac:dyDescent="0.25">
      <c r="A3617" s="491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7">
        <v>256616</v>
      </c>
      <c r="F3617" s="3" t="str">
        <f>IFERROR(VLOOKUP(E3617,BD!$L$2:$Q$66,2,0),0)</f>
        <v>TWO PACK SCHWEPPES CITRUS PET 1.5LX2</v>
      </c>
      <c r="G3617" s="424">
        <v>1980</v>
      </c>
      <c r="H3617" s="3">
        <f>+IFERROR(VLOOKUP(E3617,BD!$L$2:$Q$66,6,0),0)</f>
        <v>198</v>
      </c>
      <c r="I3617" s="96">
        <f>IFERROR(G3617*VLOOKUP($E3617,BD!$L$2:$Q$66,5,0),0)</f>
        <v>336.6</v>
      </c>
      <c r="J3617" s="5">
        <f t="shared" si="247"/>
        <v>2021</v>
      </c>
    </row>
    <row r="3618" spans="1:10" s="9" customFormat="1" hidden="1" x14ac:dyDescent="0.25">
      <c r="A3618" s="491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7">
        <v>256617</v>
      </c>
      <c r="F3618" s="3" t="str">
        <f>IFERROR(VLOOKUP(E3618,BD!$L$2:$Q$66,2,0),0)</f>
        <v>TWO PACK SCHWEPPES GINGER ALE PET 1.5LX2</v>
      </c>
      <c r="G3618" s="424">
        <v>990</v>
      </c>
      <c r="H3618" s="3">
        <f>+IFERROR(VLOOKUP(E3618,BD!$L$2:$Q$66,6,0),0)</f>
        <v>198</v>
      </c>
      <c r="I3618" s="96">
        <f>IFERROR(G3618*VLOOKUP($E3618,BD!$L$2:$Q$66,5,0),0)</f>
        <v>168.3</v>
      </c>
      <c r="J3618" s="5">
        <f t="shared" si="247"/>
        <v>2021</v>
      </c>
    </row>
    <row r="3619" spans="1:10" s="9" customFormat="1" hidden="1" x14ac:dyDescent="0.25">
      <c r="A3619" s="491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7">
        <v>256666</v>
      </c>
      <c r="F3619" s="3" t="str">
        <f>IFERROR(VLOOKUP(E3619,BD!$L$2:$Q$66,2,0),0)</f>
        <v>COCA-COLA PET 2.25LX2 RF</v>
      </c>
      <c r="G3619" s="424">
        <v>1296</v>
      </c>
      <c r="H3619" s="3">
        <f>+IFERROR(VLOOKUP(E3619,BD!$L$2:$Q$66,6,0),0)</f>
        <v>162</v>
      </c>
      <c r="I3619" s="96">
        <f>IFERROR(G3619*VLOOKUP($E3619,BD!$L$2:$Q$66,5,0),0)</f>
        <v>220.32000000000002</v>
      </c>
      <c r="J3619" s="5">
        <f t="shared" si="247"/>
        <v>2021</v>
      </c>
    </row>
    <row r="3620" spans="1:10" s="9" customFormat="1" hidden="1" x14ac:dyDescent="0.25">
      <c r="A3620" s="491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7">
        <v>256676</v>
      </c>
      <c r="F3620" s="3" t="str">
        <f>IFERROR(VLOOKUP(E3620,BD!$L$2:$Q$66,2,0),0)</f>
        <v>TWO PACK CC PFM 3LX2 - RFCC</v>
      </c>
      <c r="G3620" s="424">
        <v>1560</v>
      </c>
      <c r="H3620" s="3">
        <f>+IFERROR(VLOOKUP(E3620,BD!$L$2:$Q$66,6,0),0)</f>
        <v>120</v>
      </c>
      <c r="I3620" s="96">
        <f>IFERROR(G3620*VLOOKUP($E3620,BD!$L$2:$Q$66,5,0),0)</f>
        <v>265.20000000000005</v>
      </c>
      <c r="J3620" s="5">
        <f t="shared" si="247"/>
        <v>2021</v>
      </c>
    </row>
    <row r="3621" spans="1:10" s="9" customFormat="1" hidden="1" x14ac:dyDescent="0.25">
      <c r="A3621" s="491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7">
        <v>256674</v>
      </c>
      <c r="F3621" s="3" t="str">
        <f>IFERROR(VLOOKUP(E3621,BD!$L$2:$Q$66,2,0),0)</f>
        <v>COCA-COLA PET 1.5LX2 RF</v>
      </c>
      <c r="G3621" s="424">
        <v>2592</v>
      </c>
      <c r="H3621" s="3">
        <f>+IFERROR(VLOOKUP(E3621,BD!$L$2:$Q$66,6,0),0)</f>
        <v>198</v>
      </c>
      <c r="I3621" s="96">
        <f>IFERROR(G3621*VLOOKUP($E3621,BD!$L$2:$Q$66,5,0),0)</f>
        <v>440.64000000000004</v>
      </c>
      <c r="J3621" s="5">
        <f t="shared" si="247"/>
        <v>2021</v>
      </c>
    </row>
    <row r="3622" spans="1:10" s="9" customFormat="1" hidden="1" x14ac:dyDescent="0.25">
      <c r="A3622" s="491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7">
        <v>256675</v>
      </c>
      <c r="F3622" s="3" t="str">
        <f>IFERROR(VLOOKUP(E3622,BD!$L$2:$Q$66,2,0),0)</f>
        <v>INCA KOLA PET 1.5LX2 RF</v>
      </c>
      <c r="G3622" s="424">
        <v>1728</v>
      </c>
      <c r="H3622" s="3">
        <f>+IFERROR(VLOOKUP(E3622,BD!$L$2:$Q$66,6,0),0)</f>
        <v>198</v>
      </c>
      <c r="I3622" s="96">
        <f>IFERROR(G3622*VLOOKUP($E3622,BD!$L$2:$Q$66,5,0),0)</f>
        <v>293.76000000000005</v>
      </c>
      <c r="J3622" s="5">
        <f t="shared" si="247"/>
        <v>2021</v>
      </c>
    </row>
    <row r="3623" spans="1:10" s="9" customFormat="1" hidden="1" x14ac:dyDescent="0.25">
      <c r="A3623" s="491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7">
        <v>256677</v>
      </c>
      <c r="F3623" s="3" t="str">
        <f>IFERROR(VLOOKUP(E3623,BD!$L$2:$Q$66,2,0),0)</f>
        <v>TWO PACK CC + IK PFM 3LX2 - RFNN</v>
      </c>
      <c r="G3623" s="424">
        <v>6000</v>
      </c>
      <c r="H3623" s="3">
        <f>+IFERROR(VLOOKUP(E3623,BD!$L$2:$Q$66,6,0),0)</f>
        <v>120</v>
      </c>
      <c r="I3623" s="96">
        <f>IFERROR(G3623*VLOOKUP($E3623,BD!$L$2:$Q$66,5,0),0)</f>
        <v>1020.0000000000001</v>
      </c>
      <c r="J3623" s="5">
        <f t="shared" si="247"/>
        <v>2021</v>
      </c>
    </row>
    <row r="3624" spans="1:10" s="9" customFormat="1" hidden="1" x14ac:dyDescent="0.25">
      <c r="A3624" s="491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7">
        <v>256678</v>
      </c>
      <c r="F3624" s="3" t="str">
        <f>IFERROR(VLOOKUP(E3624,BD!$L$2:$Q$66,2,0),0)</f>
        <v>TRIPACK (CC+IK)PFM+FT PET 3LX3 - RFNN</v>
      </c>
      <c r="G3624" s="424">
        <v>2880</v>
      </c>
      <c r="H3624" s="3">
        <f>+IFERROR(VLOOKUP(E3624,BD!$L$2:$Q$66,6,0),0)</f>
        <v>90</v>
      </c>
      <c r="I3624" s="96">
        <f>IFERROR(G3624*VLOOKUP($E3624,BD!$L$2:$Q$66,5,0),0)</f>
        <v>489.6</v>
      </c>
      <c r="J3624" s="5">
        <f t="shared" si="247"/>
        <v>2021</v>
      </c>
    </row>
    <row r="3625" spans="1:10" s="9" customFormat="1" hidden="1" x14ac:dyDescent="0.25">
      <c r="A3625" s="491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7">
        <v>256695</v>
      </c>
      <c r="F3625" s="3" t="str">
        <f>IFERROR(VLOOKUP(E3625,BD!$L$2:$Q$66,2,0),0)</f>
        <v>POWERADE 3MORA+3FRUT PET 473MLX6</v>
      </c>
      <c r="G3625" s="424">
        <v>2250</v>
      </c>
      <c r="H3625" s="3">
        <f>+IFERROR(VLOOKUP(E3625,BD!$L$2:$Q$66,6,0),0)</f>
        <v>225</v>
      </c>
      <c r="I3625" s="96">
        <f>IFERROR(G3625*VLOOKUP($E3625,BD!$L$2:$Q$66,5,0),0)</f>
        <v>945</v>
      </c>
      <c r="J3625" s="5">
        <f t="shared" si="247"/>
        <v>2021</v>
      </c>
    </row>
    <row r="3626" spans="1:10" s="9" customFormat="1" hidden="1" x14ac:dyDescent="0.25">
      <c r="A3626" s="491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7">
        <v>256488</v>
      </c>
      <c r="F3626" s="3" t="str">
        <f>IFERROR(VLOOKUP(E3626,BD!$L$2:$Q$66,2,0),0)</f>
        <v>INCA KOLA PET 3LX2 - RF</v>
      </c>
      <c r="G3626" s="424">
        <v>2880</v>
      </c>
      <c r="H3626" s="3">
        <f>+IFERROR(VLOOKUP(E3626,BD!$L$2:$Q$66,6,0),0)</f>
        <v>120</v>
      </c>
      <c r="I3626" s="96">
        <f>IFERROR(G3626*VLOOKUP($E3626,BD!$L$2:$Q$66,5,0),0)</f>
        <v>489.6</v>
      </c>
      <c r="J3626" s="5">
        <f t="shared" si="247"/>
        <v>2021</v>
      </c>
    </row>
    <row r="3627" spans="1:10" s="9" customFormat="1" hidden="1" x14ac:dyDescent="0.25">
      <c r="A3627" s="491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7">
        <v>252436</v>
      </c>
      <c r="F3627" s="3" t="str">
        <f>IFERROR(VLOOKUP(E3627,BD!$L$2:$Q$66,2,0),0)</f>
        <v>SAN LUIS SIN GAS PET 625MLX15 C/STICKER</v>
      </c>
      <c r="G3627" s="424">
        <v>900</v>
      </c>
      <c r="H3627" s="3">
        <f>+IFERROR(VLOOKUP(E3627,BD!$L$2:$Q$66,6,0),0)</f>
        <v>90</v>
      </c>
      <c r="I3627" s="96">
        <f>IFERROR(G3627*VLOOKUP($E3627,BD!$L$2:$Q$66,5,0),0)</f>
        <v>360</v>
      </c>
      <c r="J3627" s="5">
        <f t="shared" si="247"/>
        <v>2021</v>
      </c>
    </row>
    <row r="3628" spans="1:10" s="9" customFormat="1" hidden="1" x14ac:dyDescent="0.25">
      <c r="A3628" s="491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7">
        <v>256679</v>
      </c>
      <c r="F3628" s="3" t="str">
        <f>IFERROR(VLOOKUP(E3628,BD!$L$2:$Q$66,2,0),0)</f>
        <v>TRIPACK CC+IK+IK PFM 3LX3 - RFNN</v>
      </c>
      <c r="G3628" s="424">
        <v>450</v>
      </c>
      <c r="H3628" s="3">
        <f>+IFERROR(VLOOKUP(E3628,BD!$L$2:$Q$66,6,0),0)</f>
        <v>90</v>
      </c>
      <c r="I3628" s="96">
        <f>IFERROR(G3628*VLOOKUP($E3628,BD!$L$2:$Q$66,5,0),0)</f>
        <v>76.5</v>
      </c>
      <c r="J3628" s="5">
        <f t="shared" si="247"/>
        <v>2021</v>
      </c>
    </row>
    <row r="3629" spans="1:10" s="9" customFormat="1" hidden="1" x14ac:dyDescent="0.25">
      <c r="A3629" s="491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7">
        <v>256678</v>
      </c>
      <c r="F3629" s="3" t="str">
        <f>IFERROR(VLOOKUP(E3629,BD!$L$2:$Q$66,2,0),0)</f>
        <v>TRIPACK (CC+IK)PFM+FT PET 3LX3 - RFNN</v>
      </c>
      <c r="G3629" s="424">
        <v>270</v>
      </c>
      <c r="H3629" s="3">
        <f>+IFERROR(VLOOKUP(E3629,BD!$L$2:$Q$66,6,0),0)</f>
        <v>90</v>
      </c>
      <c r="I3629" s="96">
        <f>IFERROR(G3629*VLOOKUP($E3629,BD!$L$2:$Q$66,5,0),0)</f>
        <v>45.900000000000006</v>
      </c>
      <c r="J3629" s="5">
        <f t="shared" si="247"/>
        <v>2021</v>
      </c>
    </row>
    <row r="3630" spans="1:10" s="9" customFormat="1" hidden="1" x14ac:dyDescent="0.25">
      <c r="A3630" s="491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7">
        <v>256682</v>
      </c>
      <c r="F3630" s="3" t="str">
        <f>IFERROR(VLOOKUP(E3630,BD!$L$2:$Q$66,2,0),0)</f>
        <v>TRIPACK (FT NAR+SP)PET+IK RF PFM 3L</v>
      </c>
      <c r="G3630" s="424">
        <v>270</v>
      </c>
      <c r="H3630" s="3">
        <f>+IFERROR(VLOOKUP(E3630,BD!$L$2:$Q$66,6,0),0)</f>
        <v>90</v>
      </c>
      <c r="I3630" s="96">
        <f>IFERROR(G3630*VLOOKUP($E3630,BD!$L$2:$Q$66,5,0),0)</f>
        <v>45.900000000000006</v>
      </c>
      <c r="J3630" s="5">
        <f t="shared" si="247"/>
        <v>2021</v>
      </c>
    </row>
    <row r="3631" spans="1:10" s="9" customFormat="1" hidden="1" x14ac:dyDescent="0.25">
      <c r="A3631" s="491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7">
        <v>254853</v>
      </c>
      <c r="F3631" s="3" t="str">
        <f>IFERROR(VLOOKUP(E3631,BD!$L$2:$Q$66,2,0),0)</f>
        <v>INCA KOLA SIN AZUCAR PET 1.5LX2</v>
      </c>
      <c r="G3631" s="424">
        <v>432</v>
      </c>
      <c r="H3631" s="3">
        <f>+IFERROR(VLOOKUP(E3631,BD!$L$2:$Q$66,6,0),0)</f>
        <v>198</v>
      </c>
      <c r="I3631" s="96">
        <f>IFERROR(G3631*VLOOKUP($E3631,BD!$L$2:$Q$66,5,0),0)</f>
        <v>73.440000000000012</v>
      </c>
      <c r="J3631" s="5">
        <f t="shared" si="247"/>
        <v>2021</v>
      </c>
    </row>
    <row r="3632" spans="1:10" s="9" customFormat="1" hidden="1" x14ac:dyDescent="0.25">
      <c r="A3632" s="491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7">
        <v>256676</v>
      </c>
      <c r="F3632" s="3" t="str">
        <f>IFERROR(VLOOKUP(E3632,BD!$L$2:$Q$66,2,0),0)</f>
        <v>TWO PACK CC PFM 3LX2 - RFCC</v>
      </c>
      <c r="G3632" s="424">
        <v>240</v>
      </c>
      <c r="H3632" s="3">
        <f>+IFERROR(VLOOKUP(E3632,BD!$L$2:$Q$66,6,0),0)</f>
        <v>120</v>
      </c>
      <c r="I3632" s="96">
        <f>IFERROR(G3632*VLOOKUP($E3632,BD!$L$2:$Q$66,5,0),0)</f>
        <v>40.800000000000004</v>
      </c>
      <c r="J3632" s="5">
        <f t="shared" si="247"/>
        <v>2021</v>
      </c>
    </row>
    <row r="3633" spans="1:10" s="9" customFormat="1" hidden="1" x14ac:dyDescent="0.25">
      <c r="A3633" s="491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7">
        <v>256601</v>
      </c>
      <c r="F3633" s="3" t="str">
        <f>IFERROR(VLOOKUP(E3633,BD!$L$2:$Q$66,2,0),0)</f>
        <v>INCA KOLA PET 2.25LX2 RF</v>
      </c>
      <c r="G3633" s="424">
        <v>972</v>
      </c>
      <c r="H3633" s="3">
        <f>+IFERROR(VLOOKUP(E3633,BD!$L$2:$Q$66,6,0),0)</f>
        <v>162</v>
      </c>
      <c r="I3633" s="96">
        <f>IFERROR(G3633*VLOOKUP($E3633,BD!$L$2:$Q$66,5,0),0)</f>
        <v>165.24</v>
      </c>
      <c r="J3633" s="5">
        <f t="shared" si="247"/>
        <v>2021</v>
      </c>
    </row>
    <row r="3634" spans="1:10" s="9" customFormat="1" ht="15.75" hidden="1" thickBot="1" x14ac:dyDescent="0.3">
      <c r="A3634" s="492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9">
        <v>256617</v>
      </c>
      <c r="F3634" s="8" t="str">
        <f>IFERROR(VLOOKUP(E3634,BD!$L$2:$Q$66,2,0),0)</f>
        <v>TWO PACK SCHWEPPES GINGER ALE PET 1.5LX2</v>
      </c>
      <c r="G3634" s="616">
        <v>396</v>
      </c>
      <c r="H3634" s="8">
        <f>+IFERROR(VLOOKUP(E3634,BD!$L$2:$Q$66,6,0),0)</f>
        <v>198</v>
      </c>
      <c r="I3634" s="98">
        <f>IFERROR(G3634*VLOOKUP($E3634,BD!$L$2:$Q$66,5,0),0)</f>
        <v>67.320000000000007</v>
      </c>
      <c r="J3634" s="110">
        <f t="shared" si="247"/>
        <v>2021</v>
      </c>
    </row>
    <row r="3635" spans="1:10" s="9" customFormat="1" hidden="1" x14ac:dyDescent="0.25">
      <c r="A3635" s="493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63">
        <v>256382</v>
      </c>
      <c r="F3635" s="6" t="str">
        <f>IFERROR(VLOOKUP(E3635,BD!$L$2:$Q$66,2,0),0)</f>
        <v>COCA COLA VR 296MLX24 - STICKER</v>
      </c>
      <c r="G3635" s="513">
        <v>80</v>
      </c>
      <c r="H3635" s="6">
        <f>+IFERROR(VLOOKUP(E3635,BD!$L$2:$Q$66,6,0),0)</f>
        <v>40</v>
      </c>
      <c r="I3635" s="97">
        <f>IFERROR(G3635*VLOOKUP($E3635,BD!$L$2:$Q$66,5,0),0)</f>
        <v>18.400000000000002</v>
      </c>
      <c r="J3635" s="109">
        <f t="shared" si="243"/>
        <v>2021</v>
      </c>
    </row>
    <row r="3636" spans="1:10" s="9" customFormat="1" hidden="1" x14ac:dyDescent="0.25">
      <c r="A3636" s="491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7">
        <v>256381</v>
      </c>
      <c r="F3636" s="3" t="str">
        <f>IFERROR(VLOOKUP(E3636,BD!$L$2:$Q$66,2,0),0)</f>
        <v>INCA KOLA VR 1.5LX8 - STICKER</v>
      </c>
      <c r="G3636" s="424">
        <v>300</v>
      </c>
      <c r="H3636" s="3">
        <f>+IFERROR(VLOOKUP(E3636,BD!$L$2:$Q$66,6,0),0)</f>
        <v>30</v>
      </c>
      <c r="I3636" s="96">
        <f>IFERROR(G3636*VLOOKUP($E3636,BD!$L$2:$Q$66,5,0),0)</f>
        <v>120</v>
      </c>
      <c r="J3636" s="5">
        <f t="shared" si="243"/>
        <v>2021</v>
      </c>
    </row>
    <row r="3637" spans="1:10" s="9" customFormat="1" hidden="1" x14ac:dyDescent="0.25">
      <c r="A3637" s="491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7">
        <v>251633</v>
      </c>
      <c r="F3637" s="3" t="str">
        <f>IFERROR(VLOOKUP(E3637,BD!$L$2:$Q$66,2,0),0)</f>
        <v>SAN LUIS CON GAS PET 625MLX6</v>
      </c>
      <c r="G3637" s="424">
        <v>1440</v>
      </c>
      <c r="H3637" s="3">
        <f>+IFERROR(VLOOKUP(E3637,BD!$L$2:$Q$66,6,0),0)</f>
        <v>180</v>
      </c>
      <c r="I3637" s="96">
        <f>IFERROR(G3637*VLOOKUP($E3637,BD!$L$2:$Q$66,5,0),0)</f>
        <v>604.79999999999995</v>
      </c>
      <c r="J3637" s="5">
        <f t="shared" si="243"/>
        <v>2021</v>
      </c>
    </row>
    <row r="3638" spans="1:10" s="9" customFormat="1" hidden="1" x14ac:dyDescent="0.25">
      <c r="A3638" s="491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7">
        <v>256617</v>
      </c>
      <c r="F3638" s="3" t="str">
        <f>IFERROR(VLOOKUP(E3638,BD!$L$2:$Q$66,2,0),0)</f>
        <v>TWO PACK SCHWEPPES GINGER ALE PET 1.5LX2</v>
      </c>
      <c r="G3638" s="424">
        <v>1188</v>
      </c>
      <c r="H3638" s="3">
        <f>+IFERROR(VLOOKUP(E3638,BD!$L$2:$Q$66,6,0),0)</f>
        <v>198</v>
      </c>
      <c r="I3638" s="96">
        <f>IFERROR(G3638*VLOOKUP($E3638,BD!$L$2:$Q$66,5,0),0)</f>
        <v>201.96</v>
      </c>
      <c r="J3638" s="5">
        <f t="shared" si="243"/>
        <v>2021</v>
      </c>
    </row>
    <row r="3639" spans="1:10" s="9" customFormat="1" hidden="1" x14ac:dyDescent="0.25">
      <c r="A3639" s="491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7">
        <v>256666</v>
      </c>
      <c r="F3639" s="3" t="str">
        <f>IFERROR(VLOOKUP(E3639,BD!$L$2:$Q$66,2,0),0)</f>
        <v>COCA-COLA PET 2.25LX2 RF</v>
      </c>
      <c r="G3639" s="424">
        <v>324</v>
      </c>
      <c r="H3639" s="3">
        <f>+IFERROR(VLOOKUP(E3639,BD!$L$2:$Q$66,6,0),0)</f>
        <v>162</v>
      </c>
      <c r="I3639" s="96">
        <f>IFERROR(G3639*VLOOKUP($E3639,BD!$L$2:$Q$66,5,0),0)</f>
        <v>55.080000000000005</v>
      </c>
      <c r="J3639" s="5">
        <f t="shared" si="243"/>
        <v>2021</v>
      </c>
    </row>
    <row r="3640" spans="1:10" s="9" customFormat="1" hidden="1" x14ac:dyDescent="0.25">
      <c r="A3640" s="491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7">
        <v>256488</v>
      </c>
      <c r="F3640" s="3" t="str">
        <f>IFERROR(VLOOKUP(E3640,BD!$L$2:$Q$66,2,0),0)</f>
        <v>INCA KOLA PET 3LX2 - RF</v>
      </c>
      <c r="G3640" s="424">
        <v>4080</v>
      </c>
      <c r="H3640" s="3">
        <f>+IFERROR(VLOOKUP(E3640,BD!$L$2:$Q$66,6,0),0)</f>
        <v>120</v>
      </c>
      <c r="I3640" s="96">
        <f>IFERROR(G3640*VLOOKUP($E3640,BD!$L$2:$Q$66,5,0),0)</f>
        <v>693.6</v>
      </c>
      <c r="J3640" s="5">
        <f t="shared" si="243"/>
        <v>2021</v>
      </c>
    </row>
    <row r="3641" spans="1:10" s="9" customFormat="1" hidden="1" x14ac:dyDescent="0.25">
      <c r="A3641" s="491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7">
        <v>256674</v>
      </c>
      <c r="F3641" s="3" t="str">
        <f>IFERROR(VLOOKUP(E3641,BD!$L$2:$Q$66,2,0),0)</f>
        <v>COCA-COLA PET 1.5LX2 RF</v>
      </c>
      <c r="G3641" s="424">
        <v>1080</v>
      </c>
      <c r="H3641" s="3">
        <f>+IFERROR(VLOOKUP(E3641,BD!$L$2:$Q$66,6,0),0)</f>
        <v>198</v>
      </c>
      <c r="I3641" s="96">
        <f>IFERROR(G3641*VLOOKUP($E3641,BD!$L$2:$Q$66,5,0),0)</f>
        <v>183.60000000000002</v>
      </c>
      <c r="J3641" s="5">
        <f t="shared" si="243"/>
        <v>2021</v>
      </c>
    </row>
    <row r="3642" spans="1:10" s="9" customFormat="1" hidden="1" x14ac:dyDescent="0.25">
      <c r="A3642" s="491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7">
        <v>256675</v>
      </c>
      <c r="F3642" s="3" t="str">
        <f>IFERROR(VLOOKUP(E3642,BD!$L$2:$Q$66,2,0),0)</f>
        <v>INCA KOLA PET 1.5LX2 RF</v>
      </c>
      <c r="G3642" s="424">
        <v>2160</v>
      </c>
      <c r="H3642" s="3">
        <f>+IFERROR(VLOOKUP(E3642,BD!$L$2:$Q$66,6,0),0)</f>
        <v>198</v>
      </c>
      <c r="I3642" s="96">
        <f>IFERROR(G3642*VLOOKUP($E3642,BD!$L$2:$Q$66,5,0),0)</f>
        <v>367.20000000000005</v>
      </c>
      <c r="J3642" s="5">
        <f t="shared" si="243"/>
        <v>2021</v>
      </c>
    </row>
    <row r="3643" spans="1:10" s="9" customFormat="1" hidden="1" x14ac:dyDescent="0.25">
      <c r="A3643" s="491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7">
        <v>256652</v>
      </c>
      <c r="F3643" s="3" t="str">
        <f>IFERROR(VLOOKUP(E3643,BD!$L$2:$Q$66,2,0),0)</f>
        <v>TRIPACK FT NAR+FT KI+SP PET 3L</v>
      </c>
      <c r="G3643" s="424">
        <v>900</v>
      </c>
      <c r="H3643" s="3">
        <f>+IFERROR(VLOOKUP(E3643,BD!$L$2:$Q$66,6,0),0)</f>
        <v>90</v>
      </c>
      <c r="I3643" s="96">
        <f>IFERROR(G3643*VLOOKUP($E3643,BD!$L$2:$Q$66,5,0),0)</f>
        <v>153</v>
      </c>
      <c r="J3643" s="5">
        <f t="shared" si="243"/>
        <v>2021</v>
      </c>
    </row>
    <row r="3644" spans="1:10" s="9" customFormat="1" hidden="1" x14ac:dyDescent="0.25">
      <c r="A3644" s="491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7">
        <v>256677</v>
      </c>
      <c r="F3644" s="3" t="str">
        <f>IFERROR(VLOOKUP(E3644,BD!$L$2:$Q$66,2,0),0)</f>
        <v>TWO PACK CC + IK PFM 3LX2 - RFNN</v>
      </c>
      <c r="G3644" s="424">
        <v>4800</v>
      </c>
      <c r="H3644" s="3">
        <f>+IFERROR(VLOOKUP(E3644,BD!$L$2:$Q$66,6,0),0)</f>
        <v>120</v>
      </c>
      <c r="I3644" s="96">
        <f>IFERROR(G3644*VLOOKUP($E3644,BD!$L$2:$Q$66,5,0),0)</f>
        <v>816.00000000000011</v>
      </c>
      <c r="J3644" s="5">
        <f t="shared" si="243"/>
        <v>2021</v>
      </c>
    </row>
    <row r="3645" spans="1:10" s="9" customFormat="1" hidden="1" x14ac:dyDescent="0.25">
      <c r="A3645" s="491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7">
        <v>256679</v>
      </c>
      <c r="F3645" s="3" t="str">
        <f>IFERROR(VLOOKUP(E3645,BD!$L$2:$Q$66,2,0),0)</f>
        <v>TRIPACK CC+IK+IK PFM 3LX3 - RFNN</v>
      </c>
      <c r="G3645" s="424">
        <v>990</v>
      </c>
      <c r="H3645" s="3">
        <f>+IFERROR(VLOOKUP(E3645,BD!$L$2:$Q$66,6,0),0)</f>
        <v>90</v>
      </c>
      <c r="I3645" s="96">
        <f>IFERROR(G3645*VLOOKUP($E3645,BD!$L$2:$Q$66,5,0),0)</f>
        <v>168.3</v>
      </c>
      <c r="J3645" s="5">
        <f t="shared" si="243"/>
        <v>2021</v>
      </c>
    </row>
    <row r="3646" spans="1:10" s="9" customFormat="1" hidden="1" x14ac:dyDescent="0.25">
      <c r="A3646" s="491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7">
        <v>256695</v>
      </c>
      <c r="F3646" s="3" t="str">
        <f>IFERROR(VLOOKUP(E3646,BD!$L$2:$Q$66,2,0),0)</f>
        <v>POWERADE 3MORA+3FRUT PET 473MLX6</v>
      </c>
      <c r="G3646" s="425">
        <v>900</v>
      </c>
      <c r="H3646" s="3">
        <f>+IFERROR(VLOOKUP(E3646,BD!$L$2:$Q$66,6,0),0)</f>
        <v>225</v>
      </c>
      <c r="I3646" s="96">
        <f>IFERROR(G3646*VLOOKUP($E3646,BD!$L$2:$Q$66,5,0),0)</f>
        <v>378</v>
      </c>
      <c r="J3646" s="5">
        <f t="shared" si="243"/>
        <v>2021</v>
      </c>
    </row>
    <row r="3647" spans="1:10" s="9" customFormat="1" hidden="1" x14ac:dyDescent="0.25">
      <c r="A3647" s="491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7">
        <v>751315</v>
      </c>
      <c r="F3647" s="3" t="str">
        <f>IFERROR(VLOOKUP(E3647,BD!$L$2:$Q$66,2,0),0)</f>
        <v>MONSTER ENERGY 473MLX4</v>
      </c>
      <c r="G3647" s="424">
        <v>420</v>
      </c>
      <c r="H3647" s="3">
        <f>+IFERROR(VLOOKUP(E3647,BD!$L$2:$Q$66,6,0),0)</f>
        <v>420</v>
      </c>
      <c r="I3647" s="96">
        <f>IFERROR(G3647*VLOOKUP($E3647,BD!$L$2:$Q$66,5,0),0)</f>
        <v>176.4</v>
      </c>
      <c r="J3647" s="5">
        <f t="shared" si="243"/>
        <v>2021</v>
      </c>
    </row>
    <row r="3648" spans="1:10" s="9" customFormat="1" ht="15.75" hidden="1" thickBot="1" x14ac:dyDescent="0.3">
      <c r="A3648" s="492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9">
        <v>256678</v>
      </c>
      <c r="F3648" s="8" t="str">
        <f>IFERROR(VLOOKUP(E3648,BD!$L$2:$Q$66,2,0),0)</f>
        <v>TRIPACK (CC+IK)PFM+FT PET 3LX3 - RFNN</v>
      </c>
      <c r="G3648" s="501">
        <v>2160</v>
      </c>
      <c r="H3648" s="8">
        <f>+IFERROR(VLOOKUP(E3648,BD!$L$2:$Q$66,6,0),0)</f>
        <v>90</v>
      </c>
      <c r="I3648" s="98">
        <f>IFERROR(G3648*VLOOKUP($E3648,BD!$L$2:$Q$66,5,0),0)</f>
        <v>367.20000000000005</v>
      </c>
      <c r="J3648" s="110">
        <f t="shared" si="243"/>
        <v>2021</v>
      </c>
    </row>
    <row r="3649" spans="1:11" s="9" customFormat="1" hidden="1" x14ac:dyDescent="0.25">
      <c r="A3649" s="493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63">
        <v>256382</v>
      </c>
      <c r="F3649" s="6" t="str">
        <f>IFERROR(VLOOKUP(E3649,BD!$L$2:$Q$66,2,0),0)</f>
        <v>COCA COLA VR 296MLX24 - STICKER</v>
      </c>
      <c r="G3649" s="513">
        <v>80</v>
      </c>
      <c r="H3649" s="6">
        <f>+IFERROR(VLOOKUP(E3649,BD!$L$2:$Q$66,6,0),0)</f>
        <v>40</v>
      </c>
      <c r="I3649" s="97">
        <f>IFERROR(G3649*VLOOKUP($E3649,BD!$L$2:$Q$66,5,0),0)</f>
        <v>18.400000000000002</v>
      </c>
      <c r="J3649" s="109">
        <f t="shared" si="243"/>
        <v>2021</v>
      </c>
    </row>
    <row r="3650" spans="1:11" s="9" customFormat="1" hidden="1" x14ac:dyDescent="0.25">
      <c r="A3650" s="491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7">
        <v>254762</v>
      </c>
      <c r="F3650" s="3" t="str">
        <f>IFERROR(VLOOKUP(E3650,BD!$L$2:$Q$66,2,0),0)</f>
        <v xml:space="preserve">SAN LUIS SPORT S/G 10 Lt x6 </v>
      </c>
      <c r="G3650" s="424">
        <v>448</v>
      </c>
      <c r="H3650" s="3">
        <f>+IFERROR(VLOOKUP(E3650,BD!$L$2:$Q$66,6,0),0)</f>
        <v>240</v>
      </c>
      <c r="I3650" s="96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hidden="1" x14ac:dyDescent="0.25">
      <c r="A3651" s="491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7">
        <v>251429</v>
      </c>
      <c r="F3651" s="3" t="str">
        <f>IFERROR(VLOOKUP(E3651,BD!$L$2:$Q$66,2,0),0)</f>
        <v>SAN LUIS SIN GAS PET2500X6 STICKER</v>
      </c>
      <c r="G3651" s="424">
        <v>960</v>
      </c>
      <c r="H3651" s="3">
        <f>+IFERROR(VLOOKUP(E3651,BD!$L$2:$Q$66,6,0),0)</f>
        <v>48</v>
      </c>
      <c r="I3651" s="96">
        <f>IFERROR(G3651*VLOOKUP($E3651,BD!$L$2:$Q$66,5,0),0)</f>
        <v>384</v>
      </c>
      <c r="J3651" s="5">
        <f t="shared" si="251"/>
        <v>2021</v>
      </c>
    </row>
    <row r="3652" spans="1:11" s="9" customFormat="1" hidden="1" x14ac:dyDescent="0.25">
      <c r="A3652" s="491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7">
        <v>256488</v>
      </c>
      <c r="F3652" s="3" t="str">
        <f>IFERROR(VLOOKUP(E3652,BD!$L$2:$Q$66,2,0),0)</f>
        <v>INCA KOLA PET 3LX2 - RF</v>
      </c>
      <c r="G3652" s="424">
        <v>3360</v>
      </c>
      <c r="H3652" s="3">
        <f>+IFERROR(VLOOKUP(E3652,BD!$L$2:$Q$66,6,0),0)</f>
        <v>120</v>
      </c>
      <c r="I3652" s="96">
        <f>IFERROR(G3652*VLOOKUP($E3652,BD!$L$2:$Q$66,5,0),0)</f>
        <v>571.20000000000005</v>
      </c>
      <c r="J3652" s="5">
        <f t="shared" si="251"/>
        <v>2021</v>
      </c>
    </row>
    <row r="3653" spans="1:11" s="9" customFormat="1" hidden="1" x14ac:dyDescent="0.25">
      <c r="A3653" s="491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7">
        <v>256652</v>
      </c>
      <c r="F3653" s="3" t="str">
        <f>IFERROR(VLOOKUP(E3653,BD!$L$2:$Q$66,2,0),0)</f>
        <v>TRIPACK FT NAR+FT KI+SP PET 3L</v>
      </c>
      <c r="G3653" s="424">
        <v>2160</v>
      </c>
      <c r="H3653" s="3">
        <f>+IFERROR(VLOOKUP(E3653,BD!$L$2:$Q$66,6,0),0)</f>
        <v>90</v>
      </c>
      <c r="I3653" s="96">
        <f>IFERROR(G3653*VLOOKUP($E3653,BD!$L$2:$Q$66,5,0),0)</f>
        <v>367.20000000000005</v>
      </c>
      <c r="J3653" s="5">
        <f t="shared" si="251"/>
        <v>2021</v>
      </c>
    </row>
    <row r="3654" spans="1:11" s="9" customFormat="1" hidden="1" x14ac:dyDescent="0.25">
      <c r="A3654" s="491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7">
        <v>256677</v>
      </c>
      <c r="F3654" s="3" t="str">
        <f>IFERROR(VLOOKUP(E3654,BD!$L$2:$Q$66,2,0),0)</f>
        <v>TWO PACK CC + IK PFM 3LX2 - RFNN</v>
      </c>
      <c r="G3654" s="424">
        <v>2160</v>
      </c>
      <c r="H3654" s="3">
        <f>+IFERROR(VLOOKUP(E3654,BD!$L$2:$Q$66,6,0),0)</f>
        <v>120</v>
      </c>
      <c r="I3654" s="96">
        <f>IFERROR(G3654*VLOOKUP($E3654,BD!$L$2:$Q$66,5,0),0)</f>
        <v>367.20000000000005</v>
      </c>
      <c r="J3654" s="5">
        <f t="shared" si="251"/>
        <v>2021</v>
      </c>
    </row>
    <row r="3655" spans="1:11" s="9" customFormat="1" hidden="1" x14ac:dyDescent="0.25">
      <c r="A3655" s="491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7">
        <v>256674</v>
      </c>
      <c r="F3655" s="3" t="str">
        <f>IFERROR(VLOOKUP(E3655,BD!$L$2:$Q$66,2,0),0)</f>
        <v>COCA-COLA PET 1.5LX2 RF</v>
      </c>
      <c r="G3655" s="424">
        <v>1440</v>
      </c>
      <c r="H3655" s="3">
        <f>+IFERROR(VLOOKUP(E3655,BD!$L$2:$Q$66,6,0),0)</f>
        <v>198</v>
      </c>
      <c r="I3655" s="96">
        <f>IFERROR(G3655*VLOOKUP($E3655,BD!$L$2:$Q$66,5,0),0)</f>
        <v>244.8</v>
      </c>
      <c r="J3655" s="5">
        <f t="shared" si="251"/>
        <v>2021</v>
      </c>
    </row>
    <row r="3656" spans="1:11" s="9" customFormat="1" hidden="1" x14ac:dyDescent="0.25">
      <c r="A3656" s="491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7">
        <v>256678</v>
      </c>
      <c r="F3656" s="3" t="str">
        <f>IFERROR(VLOOKUP(E3656,BD!$L$2:$Q$66,2,0),0)</f>
        <v>TRIPACK (CC+IK)PFM+FT PET 3LX3 - RFNN</v>
      </c>
      <c r="G3656" s="424">
        <v>3690</v>
      </c>
      <c r="H3656" s="3">
        <f>+IFERROR(VLOOKUP(E3656,BD!$L$2:$Q$66,6,0),0)</f>
        <v>90</v>
      </c>
      <c r="I3656" s="96">
        <f>IFERROR(G3656*VLOOKUP($E3656,BD!$L$2:$Q$66,5,0),0)</f>
        <v>627.30000000000007</v>
      </c>
      <c r="J3656" s="5">
        <f t="shared" si="251"/>
        <v>2021</v>
      </c>
    </row>
    <row r="3657" spans="1:11" s="9" customFormat="1" hidden="1" x14ac:dyDescent="0.25">
      <c r="A3657" s="491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7">
        <v>256695</v>
      </c>
      <c r="F3657" s="3" t="str">
        <f>IFERROR(VLOOKUP(E3657,BD!$L$2:$Q$66,2,0),0)</f>
        <v>POWERADE 3MORA+3FRUT PET 473MLX6</v>
      </c>
      <c r="G3657" s="424">
        <v>1350</v>
      </c>
      <c r="H3657" s="3">
        <f>+IFERROR(VLOOKUP(E3657,BD!$L$2:$Q$66,6,0),0)</f>
        <v>225</v>
      </c>
      <c r="I3657" s="96">
        <f>IFERROR(G3657*VLOOKUP($E3657,BD!$L$2:$Q$66,5,0),0)</f>
        <v>567</v>
      </c>
      <c r="J3657" s="5">
        <f t="shared" si="251"/>
        <v>2021</v>
      </c>
    </row>
    <row r="3658" spans="1:11" s="9" customFormat="1" hidden="1" x14ac:dyDescent="0.25">
      <c r="A3658" s="491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7">
        <v>256721</v>
      </c>
      <c r="F3658" s="3" t="str">
        <f>IFERROR(VLOOKUP(E3658,BD!$L$2:$Q$66,2,0),0)</f>
        <v>SPRITE PET 500MLX6 BRANDEADO MOD</v>
      </c>
      <c r="G3658" s="424">
        <v>1500</v>
      </c>
      <c r="H3658" s="3">
        <f>+IFERROR(VLOOKUP(E3658,BD!$L$2:$Q$66,6,0),0)</f>
        <v>420</v>
      </c>
      <c r="I3658" s="96">
        <f>IFERROR(G3658*VLOOKUP($E3658,BD!$L$2:$Q$66,5,0),0)</f>
        <v>630</v>
      </c>
      <c r="J3658" s="5">
        <f t="shared" si="251"/>
        <v>2021</v>
      </c>
    </row>
    <row r="3659" spans="1:11" s="9" customFormat="1" ht="15.75" hidden="1" thickBot="1" x14ac:dyDescent="0.3">
      <c r="A3659" s="492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9">
        <v>255430</v>
      </c>
      <c r="F3659" s="8" t="str">
        <f>IFERROR(VLOOKUP(E3659,BD!$L$2:$Q$66,2,0),0)</f>
        <v>INCA KOLA SA PET 500MLX6 - C/STICKER</v>
      </c>
      <c r="G3659" s="501">
        <v>1440</v>
      </c>
      <c r="H3659" s="8">
        <f>+IFERROR(VLOOKUP(E3659,BD!$L$2:$Q$66,6,0),0)</f>
        <v>250</v>
      </c>
      <c r="I3659" s="98">
        <f>IFERROR(G3659*VLOOKUP($E3659,BD!$L$2:$Q$66,5,0),0)</f>
        <v>331.2</v>
      </c>
      <c r="J3659" s="110">
        <f t="shared" si="251"/>
        <v>2021</v>
      </c>
    </row>
    <row r="3660" spans="1:11" s="9" customFormat="1" ht="15.75" hidden="1" thickBot="1" x14ac:dyDescent="0.3">
      <c r="A3660" s="557">
        <v>44557</v>
      </c>
      <c r="B3660" s="558" t="str">
        <f t="shared" si="248"/>
        <v>DICIEMBRE</v>
      </c>
      <c r="C3660" s="558">
        <f t="shared" si="249"/>
        <v>53</v>
      </c>
      <c r="D3660" s="559" t="str">
        <f t="shared" si="250"/>
        <v>LUNES</v>
      </c>
      <c r="E3660" s="560">
        <v>256677</v>
      </c>
      <c r="F3660" s="559" t="str">
        <f>IFERROR(VLOOKUP(E3660,BD!$L$2:$Q$66,2,0),0)</f>
        <v>TWO PACK CC + IK PFM 3LX2 - RFNN</v>
      </c>
      <c r="G3660" s="617">
        <v>8640</v>
      </c>
      <c r="H3660" s="559">
        <f>+IFERROR(VLOOKUP(E3660,BD!$L$2:$Q$66,6,0),0)</f>
        <v>120</v>
      </c>
      <c r="I3660" s="562">
        <f>IFERROR(G3660*VLOOKUP($E3660,BD!$L$2:$Q$66,5,0),0)</f>
        <v>1468.8000000000002</v>
      </c>
      <c r="J3660" s="563">
        <f t="shared" si="251"/>
        <v>2021</v>
      </c>
      <c r="K3660" s="566" t="s">
        <v>243</v>
      </c>
    </row>
    <row r="3661" spans="1:11" s="9" customFormat="1" hidden="1" x14ac:dyDescent="0.25">
      <c r="A3661" s="493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63">
        <v>256488</v>
      </c>
      <c r="F3661" s="6" t="str">
        <f>IFERROR(VLOOKUP(E3661,BD!$L$2:$Q$66,2,0),0)</f>
        <v>INCA KOLA PET 3LX2 - RF</v>
      </c>
      <c r="G3661" s="513">
        <v>240</v>
      </c>
      <c r="H3661" s="6">
        <f>+IFERROR(VLOOKUP(E3661,BD!$L$2:$Q$66,6,0),0)</f>
        <v>120</v>
      </c>
      <c r="I3661" s="97">
        <f>IFERROR(G3661*VLOOKUP($E3661,BD!$L$2:$Q$66,5,0),0)</f>
        <v>40.800000000000004</v>
      </c>
      <c r="J3661" s="109">
        <f t="shared" si="251"/>
        <v>2021</v>
      </c>
    </row>
    <row r="3662" spans="1:11" s="9" customFormat="1" hidden="1" x14ac:dyDescent="0.25">
      <c r="A3662" s="491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7">
        <v>256678</v>
      </c>
      <c r="F3662" s="3" t="str">
        <f>IFERROR(VLOOKUP(E3662,BD!$L$2:$Q$66,2,0),0)</f>
        <v>TRIPACK (CC+IK)PFM+FT PET 3LX3 - RFNN</v>
      </c>
      <c r="G3662" s="424">
        <v>810</v>
      </c>
      <c r="H3662" s="3">
        <f>+IFERROR(VLOOKUP(E3662,BD!$L$2:$Q$66,6,0),0)</f>
        <v>90</v>
      </c>
      <c r="I3662" s="96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hidden="1" thickBot="1" x14ac:dyDescent="0.3">
      <c r="A3663" s="492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9">
        <v>255430</v>
      </c>
      <c r="F3663" s="8" t="str">
        <f>IFERROR(VLOOKUP(E3663,BD!$L$2:$Q$66,2,0),0)</f>
        <v>INCA KOLA SA PET 500MLX6 - C/STICKER</v>
      </c>
      <c r="G3663" s="501">
        <v>250</v>
      </c>
      <c r="H3663" s="8">
        <f>+IFERROR(VLOOKUP(E3663,BD!$L$2:$Q$66,6,0),0)</f>
        <v>250</v>
      </c>
      <c r="I3663" s="98">
        <f>IFERROR(G3663*VLOOKUP($E3663,BD!$L$2:$Q$66,5,0),0)</f>
        <v>57.5</v>
      </c>
      <c r="J3663" s="110">
        <f t="shared" si="251"/>
        <v>2021</v>
      </c>
    </row>
    <row r="3664" spans="1:11" s="9" customFormat="1" hidden="1" x14ac:dyDescent="0.25">
      <c r="A3664" s="493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63">
        <v>256383</v>
      </c>
      <c r="F3664" s="6" t="str">
        <f>IFERROR(VLOOKUP(E3664,BD!$L$2:$Q$66,2,0),0)</f>
        <v>COCA COLA VR 1.5LX8 - STICKER</v>
      </c>
      <c r="G3664" s="513">
        <v>150</v>
      </c>
      <c r="H3664" s="6">
        <f>+IFERROR(VLOOKUP(E3664,BD!$L$2:$Q$66,6,0),0)</f>
        <v>30</v>
      </c>
      <c r="I3664" s="97">
        <f>IFERROR(G3664*VLOOKUP($E3664,BD!$L$2:$Q$66,5,0),0)</f>
        <v>34.5</v>
      </c>
      <c r="J3664" s="109">
        <f t="shared" si="251"/>
        <v>2021</v>
      </c>
    </row>
    <row r="3665" spans="1:10" s="9" customFormat="1" hidden="1" x14ac:dyDescent="0.25">
      <c r="A3665" s="491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7">
        <v>256685</v>
      </c>
      <c r="F3665" s="3" t="str">
        <f>IFERROR(VLOOKUP(E3665,BD!$L$2:$Q$66,2,0),0)</f>
        <v>SL S/G TAPA PLANA 1LT</v>
      </c>
      <c r="G3665" s="424">
        <v>1120</v>
      </c>
      <c r="H3665" s="3">
        <f>+IFERROR(VLOOKUP(E3665,BD!$L$2:$Q$66,6,0),0)</f>
        <v>112</v>
      </c>
      <c r="I3665" s="96">
        <f>IFERROR(G3665*VLOOKUP($E3665,BD!$L$2:$Q$66,5,0),0)</f>
        <v>448</v>
      </c>
      <c r="J3665" s="5">
        <f t="shared" si="251"/>
        <v>2021</v>
      </c>
    </row>
    <row r="3666" spans="1:10" s="9" customFormat="1" hidden="1" x14ac:dyDescent="0.25">
      <c r="A3666" s="491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7">
        <v>251429</v>
      </c>
      <c r="F3666" s="3" t="str">
        <f>IFERROR(VLOOKUP(E3666,BD!$L$2:$Q$66,2,0),0)</f>
        <v>SAN LUIS SIN GAS PET2500X6 STICKER</v>
      </c>
      <c r="G3666" s="424">
        <v>1920</v>
      </c>
      <c r="H3666" s="3">
        <f>+IFERROR(VLOOKUP(E3666,BD!$L$2:$Q$66,6,0),0)</f>
        <v>48</v>
      </c>
      <c r="I3666" s="96">
        <f>IFERROR(G3666*VLOOKUP($E3666,BD!$L$2:$Q$66,5,0),0)</f>
        <v>768</v>
      </c>
      <c r="J3666" s="5">
        <f t="shared" si="251"/>
        <v>2021</v>
      </c>
    </row>
    <row r="3667" spans="1:10" s="9" customFormat="1" hidden="1" x14ac:dyDescent="0.25">
      <c r="A3667" s="491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7">
        <v>751315</v>
      </c>
      <c r="F3667" s="3" t="str">
        <f>IFERROR(VLOOKUP(E3667,BD!$L$2:$Q$66,2,0),0)</f>
        <v>MONSTER ENERGY 473MLX4</v>
      </c>
      <c r="G3667" s="424">
        <v>420</v>
      </c>
      <c r="H3667" s="3">
        <f>+IFERROR(VLOOKUP(E3667,BD!$L$2:$Q$66,6,0),0)</f>
        <v>420</v>
      </c>
      <c r="I3667" s="96">
        <f>IFERROR(G3667*VLOOKUP($E3667,BD!$L$2:$Q$66,5,0),0)</f>
        <v>176.4</v>
      </c>
      <c r="J3667" s="5">
        <f t="shared" si="251"/>
        <v>2021</v>
      </c>
    </row>
    <row r="3668" spans="1:10" s="9" customFormat="1" hidden="1" x14ac:dyDescent="0.25">
      <c r="A3668" s="491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7">
        <v>751544</v>
      </c>
      <c r="F3668" s="3" t="str">
        <f>IFERROR(VLOOKUP(E3668,BD!$L$2:$Q$66,2,0),0)</f>
        <v>MONSTER ENERGY ZERO 473MLX4</v>
      </c>
      <c r="G3668" s="424">
        <v>420</v>
      </c>
      <c r="H3668" s="3">
        <f>+IFERROR(VLOOKUP(E3668,BD!$L$2:$Q$66,6,0),0)</f>
        <v>420</v>
      </c>
      <c r="I3668" s="96">
        <f>IFERROR(G3668*VLOOKUP($E3668,BD!$L$2:$Q$66,5,0),0)</f>
        <v>176.4</v>
      </c>
      <c r="J3668" s="5">
        <f t="shared" si="251"/>
        <v>2021</v>
      </c>
    </row>
    <row r="3669" spans="1:10" s="9" customFormat="1" hidden="1" x14ac:dyDescent="0.25">
      <c r="A3669" s="491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7">
        <v>256617</v>
      </c>
      <c r="F3669" s="3" t="str">
        <f>IFERROR(VLOOKUP(E3669,BD!$L$2:$Q$66,2,0),0)</f>
        <v>TWO PACK SCHWEPPES GINGER ALE PET 1.5LX2</v>
      </c>
      <c r="G3669" s="424">
        <v>396</v>
      </c>
      <c r="H3669" s="3">
        <f>+IFERROR(VLOOKUP(E3669,BD!$L$2:$Q$66,6,0),0)</f>
        <v>198</v>
      </c>
      <c r="I3669" s="96">
        <f>IFERROR(G3669*VLOOKUP($E3669,BD!$L$2:$Q$66,5,0),0)</f>
        <v>67.320000000000007</v>
      </c>
      <c r="J3669" s="5">
        <f t="shared" si="251"/>
        <v>2021</v>
      </c>
    </row>
    <row r="3670" spans="1:10" s="9" customFormat="1" hidden="1" x14ac:dyDescent="0.25">
      <c r="A3670" s="491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7">
        <v>256488</v>
      </c>
      <c r="F3670" s="3" t="str">
        <f>IFERROR(VLOOKUP(E3670,BD!$L$2:$Q$66,2,0),0)</f>
        <v>INCA KOLA PET 3LX2 - RF</v>
      </c>
      <c r="G3670" s="424">
        <v>1080</v>
      </c>
      <c r="H3670" s="3">
        <f>+IFERROR(VLOOKUP(E3670,BD!$L$2:$Q$66,6,0),0)</f>
        <v>120</v>
      </c>
      <c r="I3670" s="96">
        <f>IFERROR(G3670*VLOOKUP($E3670,BD!$L$2:$Q$66,5,0),0)</f>
        <v>183.60000000000002</v>
      </c>
      <c r="J3670" s="5">
        <f t="shared" si="251"/>
        <v>2021</v>
      </c>
    </row>
    <row r="3671" spans="1:10" s="9" customFormat="1" hidden="1" x14ac:dyDescent="0.25">
      <c r="A3671" s="491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7">
        <v>256676</v>
      </c>
      <c r="F3671" s="3" t="str">
        <f>IFERROR(VLOOKUP(E3671,BD!$L$2:$Q$66,2,0),0)</f>
        <v>TWO PACK CC PFM 3LX2 - RFCC</v>
      </c>
      <c r="G3671" s="424">
        <v>3000</v>
      </c>
      <c r="H3671" s="3">
        <f>+IFERROR(VLOOKUP(E3671,BD!$L$2:$Q$66,6,0),0)</f>
        <v>120</v>
      </c>
      <c r="I3671" s="96">
        <f>IFERROR(G3671*VLOOKUP($E3671,BD!$L$2:$Q$66,5,0),0)</f>
        <v>510.00000000000006</v>
      </c>
      <c r="J3671" s="5">
        <f t="shared" si="251"/>
        <v>2021</v>
      </c>
    </row>
    <row r="3672" spans="1:10" s="9" customFormat="1" hidden="1" x14ac:dyDescent="0.25">
      <c r="A3672" s="491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7">
        <v>256675</v>
      </c>
      <c r="F3672" s="3" t="str">
        <f>IFERROR(VLOOKUP(E3672,BD!$L$2:$Q$66,2,0),0)</f>
        <v>INCA KOLA PET 1.5LX2 RF</v>
      </c>
      <c r="G3672" s="424">
        <v>1080</v>
      </c>
      <c r="H3672" s="3">
        <f>+IFERROR(VLOOKUP(E3672,BD!$L$2:$Q$66,6,0),0)</f>
        <v>198</v>
      </c>
      <c r="I3672" s="96">
        <f>IFERROR(G3672*VLOOKUP($E3672,BD!$L$2:$Q$66,5,0),0)</f>
        <v>183.60000000000002</v>
      </c>
      <c r="J3672" s="5">
        <f t="shared" si="251"/>
        <v>2021</v>
      </c>
    </row>
    <row r="3673" spans="1:10" s="9" customFormat="1" hidden="1" x14ac:dyDescent="0.25">
      <c r="A3673" s="491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7">
        <v>256652</v>
      </c>
      <c r="F3673" s="3" t="str">
        <f>IFERROR(VLOOKUP(E3673,BD!$L$2:$Q$66,2,0),0)</f>
        <v>TRIPACK FT NAR+FT KI+SP PET 3L</v>
      </c>
      <c r="G3673" s="424">
        <v>1440</v>
      </c>
      <c r="H3673" s="3">
        <f>+IFERROR(VLOOKUP(E3673,BD!$L$2:$Q$66,6,0),0)</f>
        <v>90</v>
      </c>
      <c r="I3673" s="96">
        <f>IFERROR(G3673*VLOOKUP($E3673,BD!$L$2:$Q$66,5,0),0)</f>
        <v>244.8</v>
      </c>
      <c r="J3673" s="5">
        <f t="shared" si="251"/>
        <v>2021</v>
      </c>
    </row>
    <row r="3674" spans="1:10" s="9" customFormat="1" hidden="1" x14ac:dyDescent="0.25">
      <c r="A3674" s="491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7">
        <v>256677</v>
      </c>
      <c r="F3674" s="3" t="str">
        <f>IFERROR(VLOOKUP(E3674,BD!$L$2:$Q$66,2,0),0)</f>
        <v>TWO PACK CC + IK PFM 3LX2 - RFNN</v>
      </c>
      <c r="G3674" s="425">
        <v>3840</v>
      </c>
      <c r="H3674" s="3">
        <f>+IFERROR(VLOOKUP(E3674,BD!$L$2:$Q$66,6,0),0)</f>
        <v>120</v>
      </c>
      <c r="I3674" s="96">
        <f>IFERROR(G3674*VLOOKUP($E3674,BD!$L$2:$Q$66,5,0),0)</f>
        <v>652.80000000000007</v>
      </c>
      <c r="J3674" s="5">
        <f t="shared" si="251"/>
        <v>2021</v>
      </c>
    </row>
    <row r="3675" spans="1:10" s="9" customFormat="1" hidden="1" x14ac:dyDescent="0.25">
      <c r="A3675" s="491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7">
        <v>256678</v>
      </c>
      <c r="F3675" s="3" t="str">
        <f>IFERROR(VLOOKUP(E3675,BD!$L$2:$Q$66,2,0),0)</f>
        <v>TRIPACK (CC+IK)PFM+FT PET 3LX3 - RFNN</v>
      </c>
      <c r="G3675" s="424">
        <v>2160</v>
      </c>
      <c r="H3675" s="3">
        <f>+IFERROR(VLOOKUP(E3675,BD!$L$2:$Q$66,6,0),0)</f>
        <v>90</v>
      </c>
      <c r="I3675" s="96">
        <f>IFERROR(G3675*VLOOKUP($E3675,BD!$L$2:$Q$66,5,0),0)</f>
        <v>367.20000000000005</v>
      </c>
      <c r="J3675" s="5">
        <f t="shared" si="251"/>
        <v>2021</v>
      </c>
    </row>
    <row r="3676" spans="1:10" s="9" customFormat="1" hidden="1" x14ac:dyDescent="0.25">
      <c r="A3676" s="491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7">
        <v>256682</v>
      </c>
      <c r="F3676" s="3" t="str">
        <f>IFERROR(VLOOKUP(E3676,BD!$L$2:$Q$66,2,0),0)</f>
        <v>TRIPACK (FT NAR+SP)PET+IK RF PFM 3L</v>
      </c>
      <c r="G3676" s="424">
        <v>2160</v>
      </c>
      <c r="H3676" s="3">
        <f>+IFERROR(VLOOKUP(E3676,BD!$L$2:$Q$66,6,0),0)</f>
        <v>90</v>
      </c>
      <c r="I3676" s="96">
        <f>IFERROR(G3676*VLOOKUP($E3676,BD!$L$2:$Q$66,5,0),0)</f>
        <v>367.20000000000005</v>
      </c>
      <c r="J3676" s="5">
        <f t="shared" si="251"/>
        <v>2021</v>
      </c>
    </row>
    <row r="3677" spans="1:10" s="9" customFormat="1" hidden="1" x14ac:dyDescent="0.25">
      <c r="A3677" s="491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7">
        <v>256708</v>
      </c>
      <c r="F3677" s="3" t="str">
        <f>IFERROR(VLOOKUP(E3677,BD!$L$2:$Q$66,2,0),0)</f>
        <v>POWERADE ION4 FRUTA PET473X6 MOD (STICK)</v>
      </c>
      <c r="G3677" s="424">
        <v>900</v>
      </c>
      <c r="H3677" s="3">
        <f>+IFERROR(VLOOKUP(E3677,BD!$L$2:$Q$66,6,0),0)</f>
        <v>225</v>
      </c>
      <c r="I3677" s="96">
        <f>IFERROR(G3677*VLOOKUP($E3677,BD!$L$2:$Q$66,5,0),0)</f>
        <v>360</v>
      </c>
      <c r="J3677" s="5">
        <f t="shared" si="251"/>
        <v>2021</v>
      </c>
    </row>
    <row r="3678" spans="1:10" s="9" customFormat="1" hidden="1" x14ac:dyDescent="0.25">
      <c r="A3678" s="491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7">
        <v>256720</v>
      </c>
      <c r="F3678" s="3" t="str">
        <f>IFERROR(VLOOKUP(E3678,BD!$L$2:$Q$66,2,0),0)</f>
        <v>FANTA NARANJA PET 500MLX6 BRANDEADO MOD</v>
      </c>
      <c r="G3678" s="424">
        <v>750</v>
      </c>
      <c r="H3678" s="3">
        <f>+IFERROR(VLOOKUP(E3678,BD!$L$2:$Q$66,6,0),0)</f>
        <v>420</v>
      </c>
      <c r="I3678" s="96">
        <f>IFERROR(G3678*VLOOKUP($E3678,BD!$L$2:$Q$66,5,0),0)</f>
        <v>315</v>
      </c>
      <c r="J3678" s="5">
        <f t="shared" si="251"/>
        <v>2021</v>
      </c>
    </row>
    <row r="3679" spans="1:10" s="9" customFormat="1" hidden="1" x14ac:dyDescent="0.25">
      <c r="A3679" s="491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7">
        <v>256753</v>
      </c>
      <c r="F3679" s="3" t="str">
        <f>IFERROR(VLOOKUP(E3679,BD!$L$2:$Q$66,2,0),0)</f>
        <v>PACK-2 FT NAR+FT KI+FT PIÑA+SP RP 1.5LX8</v>
      </c>
      <c r="G3679" s="424">
        <v>360</v>
      </c>
      <c r="H3679" s="3">
        <f>+IFERROR(VLOOKUP(E3679,BD!$L$2:$Q$66,6,0),0)</f>
        <v>30</v>
      </c>
      <c r="I3679" s="96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hidden="1" thickBot="1" x14ac:dyDescent="0.3">
      <c r="A3680" s="492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9">
        <v>255430</v>
      </c>
      <c r="F3680" s="8" t="str">
        <f>IFERROR(VLOOKUP(E3680,BD!$L$2:$Q$66,2,0),0)</f>
        <v>INCA KOLA SA PET 500MLX6 - C/STICKER</v>
      </c>
      <c r="G3680" s="501">
        <v>750</v>
      </c>
      <c r="H3680" s="8">
        <f>+IFERROR(VLOOKUP(E3680,BD!$L$2:$Q$66,6,0),0)</f>
        <v>250</v>
      </c>
      <c r="I3680" s="98">
        <f>IFERROR(G3680*VLOOKUP($E3680,BD!$L$2:$Q$66,5,0),0)</f>
        <v>172.5</v>
      </c>
      <c r="J3680" s="110">
        <f t="shared" si="251"/>
        <v>2021</v>
      </c>
    </row>
    <row r="3681" spans="1:10" s="9" customFormat="1" hidden="1" x14ac:dyDescent="0.25">
      <c r="A3681" s="493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63">
        <v>256678</v>
      </c>
      <c r="F3681" s="6" t="str">
        <f>IFERROR(VLOOKUP(E3681,BD!$L$2:$Q$66,2,0),0)</f>
        <v>TRIPACK (CC+IK)PFM+FT PET 3LX3 - RFNN</v>
      </c>
      <c r="G3681" s="513">
        <f>90*24</f>
        <v>2160</v>
      </c>
      <c r="H3681" s="6">
        <f>+IFERROR(VLOOKUP(E3681,BD!$L$2:$Q$66,6,0),0)</f>
        <v>90</v>
      </c>
      <c r="I3681" s="97">
        <f>IFERROR(G3681*VLOOKUP($E3681,BD!$L$2:$Q$66,5,0),0)</f>
        <v>367.20000000000005</v>
      </c>
      <c r="J3681" s="109">
        <f t="shared" si="251"/>
        <v>2021</v>
      </c>
    </row>
    <row r="3682" spans="1:10" s="9" customFormat="1" hidden="1" x14ac:dyDescent="0.25">
      <c r="A3682" s="491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7">
        <v>256383</v>
      </c>
      <c r="F3682" s="3" t="str">
        <f>IFERROR(VLOOKUP(E3682,BD!$L$2:$Q$66,2,0),0)</f>
        <v>COCA COLA VR 1.5LX8 - STICKER</v>
      </c>
      <c r="G3682" s="424">
        <f>30*5</f>
        <v>150</v>
      </c>
      <c r="H3682" s="3">
        <f>+IFERROR(VLOOKUP(E3682,BD!$L$2:$Q$66,6,0),0)</f>
        <v>30</v>
      </c>
      <c r="I3682" s="96">
        <f>IFERROR(G3682*VLOOKUP($E3682,BD!$L$2:$Q$66,5,0),0)</f>
        <v>34.5</v>
      </c>
      <c r="J3682" s="5">
        <f t="shared" si="251"/>
        <v>2021</v>
      </c>
    </row>
    <row r="3683" spans="1:10" s="9" customFormat="1" hidden="1" x14ac:dyDescent="0.25">
      <c r="A3683" s="491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7">
        <v>256381</v>
      </c>
      <c r="F3683" s="3" t="str">
        <f>IFERROR(VLOOKUP(E3683,BD!$L$2:$Q$66,2,0),0)</f>
        <v>INCA KOLA VR 1.5LX8 - STICKER</v>
      </c>
      <c r="G3683" s="424">
        <v>150</v>
      </c>
      <c r="H3683" s="3">
        <f>+IFERROR(VLOOKUP(E3683,BD!$L$2:$Q$66,6,0),0)</f>
        <v>30</v>
      </c>
      <c r="I3683" s="96">
        <f>IFERROR(G3683*VLOOKUP($E3683,BD!$L$2:$Q$66,5,0),0)</f>
        <v>60</v>
      </c>
      <c r="J3683" s="5">
        <f t="shared" si="251"/>
        <v>2021</v>
      </c>
    </row>
    <row r="3684" spans="1:10" s="9" customFormat="1" hidden="1" x14ac:dyDescent="0.25">
      <c r="A3684" s="491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7">
        <v>256379</v>
      </c>
      <c r="F3684" s="3" t="str">
        <f>IFERROR(VLOOKUP(E3684,BD!$L$2:$Q$66,2,0),0)</f>
        <v>INCA KOLA VR 625MLX12 - STICKER</v>
      </c>
      <c r="G3684" s="424">
        <f>50*10</f>
        <v>500</v>
      </c>
      <c r="H3684" s="3">
        <f>+IFERROR(VLOOKUP(E3684,BD!$L$2:$Q$66,6,0),0)</f>
        <v>50</v>
      </c>
      <c r="I3684" s="96">
        <f>IFERROR(G3684*VLOOKUP($E3684,BD!$L$2:$Q$66,5,0),0)</f>
        <v>200</v>
      </c>
      <c r="J3684" s="5">
        <f t="shared" si="251"/>
        <v>2021</v>
      </c>
    </row>
    <row r="3685" spans="1:10" s="9" customFormat="1" hidden="1" x14ac:dyDescent="0.25">
      <c r="A3685" s="491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7">
        <v>251633</v>
      </c>
      <c r="F3685" s="3" t="str">
        <f>IFERROR(VLOOKUP(E3685,BD!$L$2:$Q$66,2,0),0)</f>
        <v>SAN LUIS CON GAS PET 625MLX6</v>
      </c>
      <c r="G3685" s="424">
        <f>180*10</f>
        <v>1800</v>
      </c>
      <c r="H3685" s="3">
        <f>+IFERROR(VLOOKUP(E3685,BD!$L$2:$Q$66,6,0),0)</f>
        <v>180</v>
      </c>
      <c r="I3685" s="96">
        <f>IFERROR(G3685*VLOOKUP($E3685,BD!$L$2:$Q$66,5,0),0)</f>
        <v>756</v>
      </c>
      <c r="J3685" s="5">
        <f t="shared" si="251"/>
        <v>2021</v>
      </c>
    </row>
    <row r="3686" spans="1:10" s="9" customFormat="1" hidden="1" x14ac:dyDescent="0.25">
      <c r="A3686" s="491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7">
        <v>256488</v>
      </c>
      <c r="F3686" s="3" t="str">
        <f>IFERROR(VLOOKUP(E3686,BD!$L$2:$Q$66,2,0),0)</f>
        <v>INCA KOLA PET 3LX2 - RF</v>
      </c>
      <c r="G3686" s="424">
        <f>120*6</f>
        <v>720</v>
      </c>
      <c r="H3686" s="3">
        <f>+IFERROR(VLOOKUP(E3686,BD!$L$2:$Q$66,6,0),0)</f>
        <v>120</v>
      </c>
      <c r="I3686" s="96">
        <f>IFERROR(G3686*VLOOKUP($E3686,BD!$L$2:$Q$66,5,0),0)</f>
        <v>122.4</v>
      </c>
      <c r="J3686" s="5">
        <f t="shared" si="251"/>
        <v>2021</v>
      </c>
    </row>
    <row r="3687" spans="1:10" s="9" customFormat="1" hidden="1" x14ac:dyDescent="0.25">
      <c r="A3687" s="491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7">
        <v>256652</v>
      </c>
      <c r="F3687" s="3" t="str">
        <f>IFERROR(VLOOKUP(E3687,BD!$L$2:$Q$66,2,0),0)</f>
        <v>TRIPACK FT NAR+FT KI+SP PET 3L</v>
      </c>
      <c r="G3687" s="424">
        <f>90*24</f>
        <v>2160</v>
      </c>
      <c r="H3687" s="3">
        <f>+IFERROR(VLOOKUP(E3687,BD!$L$2:$Q$66,6,0),0)</f>
        <v>90</v>
      </c>
      <c r="I3687" s="96">
        <f>IFERROR(G3687*VLOOKUP($E3687,BD!$L$2:$Q$66,5,0),0)</f>
        <v>367.20000000000005</v>
      </c>
      <c r="J3687" s="5">
        <f t="shared" si="251"/>
        <v>2021</v>
      </c>
    </row>
    <row r="3688" spans="1:10" s="9" customFormat="1" hidden="1" x14ac:dyDescent="0.25">
      <c r="A3688" s="491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7">
        <v>256677</v>
      </c>
      <c r="F3688" s="3" t="str">
        <f>IFERROR(VLOOKUP(E3688,BD!$L$2:$Q$66,2,0),0)</f>
        <v>TWO PACK CC + IK PFM 3LX2 - RFNN</v>
      </c>
      <c r="G3688" s="425">
        <f>120*92</f>
        <v>11040</v>
      </c>
      <c r="H3688" s="3">
        <f>+IFERROR(VLOOKUP(E3688,BD!$L$2:$Q$66,6,0),0)</f>
        <v>120</v>
      </c>
      <c r="I3688" s="96">
        <f>IFERROR(G3688*VLOOKUP($E3688,BD!$L$2:$Q$66,5,0),0)</f>
        <v>1876.8000000000002</v>
      </c>
      <c r="J3688" s="5">
        <f t="shared" si="251"/>
        <v>2021</v>
      </c>
    </row>
    <row r="3689" spans="1:10" s="9" customFormat="1" hidden="1" x14ac:dyDescent="0.25">
      <c r="A3689" s="491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7">
        <v>256679</v>
      </c>
      <c r="F3689" s="3" t="str">
        <f>IFERROR(VLOOKUP(E3689,BD!$L$2:$Q$66,2,0),0)</f>
        <v>TRIPACK CC+IK+IK PFM 3LX3 - RFNN</v>
      </c>
      <c r="G3689" s="424">
        <f>90*29</f>
        <v>2610</v>
      </c>
      <c r="H3689" s="3">
        <f>+IFERROR(VLOOKUP(E3689,BD!$L$2:$Q$66,6,0),0)</f>
        <v>90</v>
      </c>
      <c r="I3689" s="96">
        <f>IFERROR(G3689*VLOOKUP($E3689,BD!$L$2:$Q$66,5,0),0)</f>
        <v>443.70000000000005</v>
      </c>
      <c r="J3689" s="5">
        <f t="shared" si="251"/>
        <v>2021</v>
      </c>
    </row>
    <row r="3690" spans="1:10" s="9" customFormat="1" hidden="1" x14ac:dyDescent="0.25">
      <c r="A3690" s="491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7">
        <v>256678</v>
      </c>
      <c r="F3690" s="3" t="str">
        <f>IFERROR(VLOOKUP(E3690,BD!$L$2:$Q$66,2,0),0)</f>
        <v>TRIPACK (CC+IK)PFM+FT PET 3LX3 - RFNN</v>
      </c>
      <c r="G3690" s="424">
        <f>90*104</f>
        <v>9360</v>
      </c>
      <c r="H3690" s="3">
        <f>+IFERROR(VLOOKUP(E3690,BD!$L$2:$Q$66,6,0),0)</f>
        <v>90</v>
      </c>
      <c r="I3690" s="96">
        <f>IFERROR(G3690*VLOOKUP($E3690,BD!$L$2:$Q$66,5,0),0)</f>
        <v>1591.2</v>
      </c>
      <c r="J3690" s="5">
        <f t="shared" si="251"/>
        <v>2021</v>
      </c>
    </row>
    <row r="3691" spans="1:10" s="9" customFormat="1" hidden="1" x14ac:dyDescent="0.25">
      <c r="A3691" s="491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7">
        <v>256708</v>
      </c>
      <c r="F3691" s="3" t="str">
        <f>IFERROR(VLOOKUP(E3691,BD!$L$2:$Q$66,2,0),0)</f>
        <v>POWERADE ION4 FRUTA PET473X6 MOD (STICK)</v>
      </c>
      <c r="G3691" s="424">
        <f>225*3</f>
        <v>675</v>
      </c>
      <c r="H3691" s="3">
        <f>+IFERROR(VLOOKUP(E3691,BD!$L$2:$Q$66,6,0),0)</f>
        <v>225</v>
      </c>
      <c r="I3691" s="96">
        <f>IFERROR(G3691*VLOOKUP($E3691,BD!$L$2:$Q$66,5,0),0)</f>
        <v>270</v>
      </c>
      <c r="J3691" s="5">
        <f t="shared" si="251"/>
        <v>2021</v>
      </c>
    </row>
    <row r="3692" spans="1:10" s="9" customFormat="1" hidden="1" x14ac:dyDescent="0.25">
      <c r="A3692" s="491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7">
        <v>256709</v>
      </c>
      <c r="F3692" s="3" t="str">
        <f>IFERROR(VLOOKUP(E3692,BD!$L$2:$Q$66,2,0),0)</f>
        <v>POWERADE ION4 MORA AZ PET473X6 MOD(STCK)</v>
      </c>
      <c r="G3692" s="424">
        <f>225*2</f>
        <v>450</v>
      </c>
      <c r="H3692" s="3">
        <f>+IFERROR(VLOOKUP(E3692,BD!$L$2:$Q$66,6,0),0)</f>
        <v>225</v>
      </c>
      <c r="I3692" s="96">
        <f>IFERROR(G3692*VLOOKUP($E3692,BD!$L$2:$Q$66,5,0),0)</f>
        <v>180</v>
      </c>
      <c r="J3692" s="5">
        <f t="shared" si="251"/>
        <v>2021</v>
      </c>
    </row>
    <row r="3693" spans="1:10" s="9" customFormat="1" hidden="1" x14ac:dyDescent="0.25">
      <c r="A3693" s="491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7">
        <v>256721</v>
      </c>
      <c r="F3693" s="3" t="str">
        <f>IFERROR(VLOOKUP(E3693,BD!$L$2:$Q$66,2,0),0)</f>
        <v>SPRITE PET 500MLX6 BRANDEADO MOD</v>
      </c>
      <c r="G3693" s="424">
        <f>250*5</f>
        <v>1250</v>
      </c>
      <c r="H3693" s="3">
        <f>+IFERROR(VLOOKUP(E3693,BD!$L$2:$Q$66,6,0),0)</f>
        <v>420</v>
      </c>
      <c r="I3693" s="96">
        <f>IFERROR(G3693*VLOOKUP($E3693,BD!$L$2:$Q$66,5,0),0)</f>
        <v>525</v>
      </c>
      <c r="J3693" s="5">
        <f t="shared" si="251"/>
        <v>2021</v>
      </c>
    </row>
    <row r="3694" spans="1:10" s="9" customFormat="1" ht="15.75" hidden="1" thickBot="1" x14ac:dyDescent="0.3">
      <c r="A3694" s="492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9">
        <v>256753</v>
      </c>
      <c r="F3694" s="8" t="str">
        <f>IFERROR(VLOOKUP(E3694,BD!$L$2:$Q$66,2,0),0)</f>
        <v>PACK-2 FT NAR+FT KI+FT PIÑA+SP RP 1.5LX8</v>
      </c>
      <c r="G3694" s="501">
        <f>30*12</f>
        <v>360</v>
      </c>
      <c r="H3694" s="8">
        <f>+IFERROR(VLOOKUP(E3694,BD!$L$2:$Q$66,6,0),0)</f>
        <v>30</v>
      </c>
      <c r="I3694" s="98">
        <f>IFERROR(G3694*VLOOKUP($E3694,BD!$L$2:$Q$66,5,0),0)</f>
        <v>75.599999999999994</v>
      </c>
      <c r="J3694" s="110">
        <f t="shared" si="251"/>
        <v>2021</v>
      </c>
    </row>
    <row r="3695" spans="1:10" s="9" customFormat="1" ht="15.75" hidden="1" customHeight="1" x14ac:dyDescent="0.25">
      <c r="A3695" s="53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8">
        <v>256381</v>
      </c>
      <c r="F3695" s="21" t="str">
        <f>IFERROR(VLOOKUP(E3695,BD!$L$2:$Q$66,2,0),0)</f>
        <v>INCA KOLA VR 1.5LX8 - STICKER</v>
      </c>
      <c r="G3695" s="521">
        <f>30*7</f>
        <v>210</v>
      </c>
      <c r="H3695" s="21">
        <f>+IFERROR(VLOOKUP(E3695,BD!$L$2:$Q$66,6,0),0)</f>
        <v>30</v>
      </c>
      <c r="I3695" s="467">
        <f>IFERROR(G3695*VLOOKUP($E3695,BD!$L$2:$Q$66,5,0),0)</f>
        <v>84</v>
      </c>
      <c r="J3695" s="41">
        <f t="shared" si="251"/>
        <v>2021</v>
      </c>
    </row>
    <row r="3696" spans="1:10" s="9" customFormat="1" hidden="1" x14ac:dyDescent="0.25">
      <c r="A3696" s="491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7">
        <v>256379</v>
      </c>
      <c r="F3696" s="3" t="str">
        <f>IFERROR(VLOOKUP(E3696,BD!$L$2:$Q$66,2,0),0)</f>
        <v>INCA KOLA VR 625MLX12 - STICKER</v>
      </c>
      <c r="G3696" s="424">
        <f>50*5</f>
        <v>250</v>
      </c>
      <c r="H3696" s="3">
        <f>+IFERROR(VLOOKUP(E3696,BD!$L$2:$Q$66,6,0),0)</f>
        <v>50</v>
      </c>
      <c r="I3696" s="96">
        <f>IFERROR(G3696*VLOOKUP($E3696,BD!$L$2:$Q$66,5,0),0)</f>
        <v>100</v>
      </c>
      <c r="J3696" s="5">
        <f t="shared" si="251"/>
        <v>2021</v>
      </c>
    </row>
    <row r="3697" spans="1:10" s="9" customFormat="1" hidden="1" x14ac:dyDescent="0.25">
      <c r="A3697" s="491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7">
        <v>256685</v>
      </c>
      <c r="F3697" s="3" t="str">
        <f>IFERROR(VLOOKUP(E3697,BD!$L$2:$Q$66,2,0),0)</f>
        <v>SL S/G TAPA PLANA 1LT</v>
      </c>
      <c r="G3697" s="424">
        <f>112*5</f>
        <v>560</v>
      </c>
      <c r="H3697" s="3">
        <f>+IFERROR(VLOOKUP(E3697,BD!$L$2:$Q$66,6,0),0)</f>
        <v>112</v>
      </c>
      <c r="I3697" s="96">
        <f>IFERROR(G3697*VLOOKUP($E3697,BD!$L$2:$Q$66,5,0),0)</f>
        <v>224</v>
      </c>
      <c r="J3697" s="5">
        <f t="shared" si="251"/>
        <v>2021</v>
      </c>
    </row>
    <row r="3698" spans="1:10" s="9" customFormat="1" hidden="1" x14ac:dyDescent="0.25">
      <c r="A3698" s="491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7">
        <v>256488</v>
      </c>
      <c r="F3698" s="3" t="str">
        <f>IFERROR(VLOOKUP(E3698,BD!$L$2:$Q$66,2,0),0)</f>
        <v>INCA KOLA PET 3LX2 - RF</v>
      </c>
      <c r="G3698" s="424">
        <f>120*15</f>
        <v>1800</v>
      </c>
      <c r="H3698" s="3">
        <f>+IFERROR(VLOOKUP(E3698,BD!$L$2:$Q$66,6,0),0)</f>
        <v>120</v>
      </c>
      <c r="I3698" s="96">
        <f>IFERROR(G3698*VLOOKUP($E3698,BD!$L$2:$Q$66,5,0),0)</f>
        <v>306</v>
      </c>
      <c r="J3698" s="5">
        <f t="shared" si="251"/>
        <v>2021</v>
      </c>
    </row>
    <row r="3699" spans="1:10" s="9" customFormat="1" hidden="1" x14ac:dyDescent="0.25">
      <c r="A3699" s="491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7">
        <v>256676</v>
      </c>
      <c r="F3699" s="3" t="str">
        <f>IFERROR(VLOOKUP(E3699,BD!$L$2:$Q$66,2,0),0)</f>
        <v>TWO PACK CC PFM 3LX2 - RFCC</v>
      </c>
      <c r="G3699" s="424">
        <f>120*40</f>
        <v>4800</v>
      </c>
      <c r="H3699" s="3">
        <f>+IFERROR(VLOOKUP(E3699,BD!$L$2:$Q$66,6,0),0)</f>
        <v>120</v>
      </c>
      <c r="I3699" s="96">
        <f>IFERROR(G3699*VLOOKUP($E3699,BD!$L$2:$Q$66,5,0),0)</f>
        <v>816.00000000000011</v>
      </c>
      <c r="J3699" s="5">
        <f t="shared" si="251"/>
        <v>2021</v>
      </c>
    </row>
    <row r="3700" spans="1:10" s="9" customFormat="1" hidden="1" x14ac:dyDescent="0.25">
      <c r="A3700" s="491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7">
        <v>256652</v>
      </c>
      <c r="F3700" s="3" t="str">
        <f>IFERROR(VLOOKUP(E3700,BD!$L$2:$Q$66,2,0),0)</f>
        <v>TRIPACK FT NAR+FT KI+SP PET 3L</v>
      </c>
      <c r="G3700" s="424">
        <f>90*16</f>
        <v>1440</v>
      </c>
      <c r="H3700" s="3">
        <f>+IFERROR(VLOOKUP(E3700,BD!$L$2:$Q$66,6,0),0)</f>
        <v>90</v>
      </c>
      <c r="I3700" s="96">
        <f>IFERROR(G3700*VLOOKUP($E3700,BD!$L$2:$Q$66,5,0),0)</f>
        <v>244.8</v>
      </c>
      <c r="J3700" s="5">
        <f t="shared" si="251"/>
        <v>2021</v>
      </c>
    </row>
    <row r="3701" spans="1:10" s="9" customFormat="1" hidden="1" x14ac:dyDescent="0.25">
      <c r="A3701" s="491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7">
        <v>256677</v>
      </c>
      <c r="F3701" s="3" t="str">
        <f>IFERROR(VLOOKUP(E3701,BD!$L$2:$Q$66,2,0),0)</f>
        <v>TWO PACK CC + IK PFM 3LX2 - RFNN</v>
      </c>
      <c r="G3701" s="425">
        <f>120*16</f>
        <v>1920</v>
      </c>
      <c r="H3701" s="3">
        <f>+IFERROR(VLOOKUP(E3701,BD!$L$2:$Q$66,6,0),0)</f>
        <v>120</v>
      </c>
      <c r="I3701" s="96">
        <f>IFERROR(G3701*VLOOKUP($E3701,BD!$L$2:$Q$66,5,0),0)</f>
        <v>326.40000000000003</v>
      </c>
      <c r="J3701" s="5">
        <f t="shared" si="251"/>
        <v>2021</v>
      </c>
    </row>
    <row r="3702" spans="1:10" s="9" customFormat="1" hidden="1" x14ac:dyDescent="0.25">
      <c r="A3702" s="491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7">
        <v>256679</v>
      </c>
      <c r="F3702" s="3" t="str">
        <f>IFERROR(VLOOKUP(E3702,BD!$L$2:$Q$66,2,0),0)</f>
        <v>TRIPACK CC+IK+IK PFM 3LX3 - RFNN</v>
      </c>
      <c r="G3702" s="424">
        <f>90*32</f>
        <v>2880</v>
      </c>
      <c r="H3702" s="3">
        <f>+IFERROR(VLOOKUP(E3702,BD!$L$2:$Q$66,6,0),0)</f>
        <v>90</v>
      </c>
      <c r="I3702" s="96">
        <f>IFERROR(G3702*VLOOKUP($E3702,BD!$L$2:$Q$66,5,0),0)</f>
        <v>489.6</v>
      </c>
      <c r="J3702" s="5">
        <f t="shared" si="251"/>
        <v>2021</v>
      </c>
    </row>
    <row r="3703" spans="1:10" s="9" customFormat="1" hidden="1" x14ac:dyDescent="0.25">
      <c r="A3703" s="491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7">
        <v>256678</v>
      </c>
      <c r="F3703" s="3" t="str">
        <f>IFERROR(VLOOKUP(E3703,BD!$L$2:$Q$66,2,0),0)</f>
        <v>TRIPACK (CC+IK)PFM+FT PET 3LX3 - RFNN</v>
      </c>
      <c r="G3703" s="424">
        <f>90*64</f>
        <v>5760</v>
      </c>
      <c r="H3703" s="3">
        <f>+IFERROR(VLOOKUP(E3703,BD!$L$2:$Q$66,6,0),0)</f>
        <v>90</v>
      </c>
      <c r="I3703" s="96">
        <f>IFERROR(G3703*VLOOKUP($E3703,BD!$L$2:$Q$66,5,0),0)</f>
        <v>979.2</v>
      </c>
      <c r="J3703" s="5">
        <f t="shared" si="251"/>
        <v>2021</v>
      </c>
    </row>
    <row r="3704" spans="1:10" s="9" customFormat="1" hidden="1" x14ac:dyDescent="0.25">
      <c r="A3704" s="491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7">
        <v>256695</v>
      </c>
      <c r="F3704" s="3" t="str">
        <f>IFERROR(VLOOKUP(E3704,BD!$L$2:$Q$66,2,0),0)</f>
        <v>POWERADE 3MORA+3FRUT PET 473MLX6</v>
      </c>
      <c r="G3704" s="424">
        <f>225*6</f>
        <v>1350</v>
      </c>
      <c r="H3704" s="3">
        <f>+IFERROR(VLOOKUP(E3704,BD!$L$2:$Q$66,6,0),0)</f>
        <v>225</v>
      </c>
      <c r="I3704" s="96">
        <f>IFERROR(G3704*VLOOKUP($E3704,BD!$L$2:$Q$66,5,0),0)</f>
        <v>567</v>
      </c>
      <c r="J3704" s="5">
        <f t="shared" si="251"/>
        <v>2021</v>
      </c>
    </row>
    <row r="3705" spans="1:10" s="9" customFormat="1" hidden="1" x14ac:dyDescent="0.25">
      <c r="A3705" s="491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7">
        <v>256720</v>
      </c>
      <c r="F3705" s="3" t="str">
        <f>IFERROR(VLOOKUP(E3705,BD!$L$2:$Q$66,2,0),0)</f>
        <v>FANTA NARANJA PET 500MLX6 BRANDEADO MOD</v>
      </c>
      <c r="G3705" s="424">
        <f>250*5</f>
        <v>1250</v>
      </c>
      <c r="H3705" s="3">
        <f>+IFERROR(VLOOKUP(E3705,BD!$L$2:$Q$66,6,0),0)</f>
        <v>420</v>
      </c>
      <c r="I3705" s="96">
        <f>IFERROR(G3705*VLOOKUP($E3705,BD!$L$2:$Q$66,5,0),0)</f>
        <v>525</v>
      </c>
      <c r="J3705" s="5">
        <f t="shared" si="251"/>
        <v>2021</v>
      </c>
    </row>
    <row r="3706" spans="1:10" s="9" customFormat="1" ht="15.75" hidden="1" thickBot="1" x14ac:dyDescent="0.3">
      <c r="A3706" s="492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9">
        <v>256753</v>
      </c>
      <c r="F3706" s="8" t="str">
        <f>IFERROR(VLOOKUP(E3706,BD!$L$2:$Q$66,2,0),0)</f>
        <v>PACK-2 FT NAR+FT KI+FT PIÑA+SP RP 1.5LX8</v>
      </c>
      <c r="G3706" s="501">
        <f>30*12</f>
        <v>360</v>
      </c>
      <c r="H3706" s="8">
        <f>+IFERROR(VLOOKUP(E3706,BD!$L$2:$Q$66,6,0),0)</f>
        <v>30</v>
      </c>
      <c r="I3706" s="98">
        <f>IFERROR(G3706*VLOOKUP($E3706,BD!$L$2:$Q$66,5,0),0)</f>
        <v>75.599999999999994</v>
      </c>
      <c r="J3706" s="110">
        <f t="shared" si="251"/>
        <v>2021</v>
      </c>
    </row>
    <row r="3707" spans="1:10" s="9" customFormat="1" hidden="1" x14ac:dyDescent="0.25">
      <c r="A3707" s="493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63">
        <v>254853</v>
      </c>
      <c r="F3707" s="6" t="str">
        <f>IFERROR(VLOOKUP(E3707,BD!$L$2:$Q$66,2,0),0)</f>
        <v>INCA KOLA SIN AZUCAR PET 1.5LX2</v>
      </c>
      <c r="G3707" s="513">
        <f>216*10</f>
        <v>2160</v>
      </c>
      <c r="H3707" s="6">
        <f>+IFERROR(VLOOKUP(E3707,BD!$L$2:$Q$66,6,0),0)</f>
        <v>198</v>
      </c>
      <c r="I3707" s="97">
        <f>IFERROR(G3707*VLOOKUP($E3707,BD!$L$2:$Q$66,5,0),0)</f>
        <v>367.20000000000005</v>
      </c>
      <c r="J3707" s="109">
        <f t="shared" si="251"/>
        <v>2021</v>
      </c>
    </row>
    <row r="3708" spans="1:10" s="9" customFormat="1" hidden="1" x14ac:dyDescent="0.25">
      <c r="A3708" s="491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7">
        <v>256666</v>
      </c>
      <c r="F3708" s="3" t="str">
        <f>IFERROR(VLOOKUP(E3708,BD!$L$2:$Q$66,2,0),0)</f>
        <v>COCA-COLA PET 2.25LX2 RF</v>
      </c>
      <c r="G3708" s="424">
        <f>162*6</f>
        <v>972</v>
      </c>
      <c r="H3708" s="3">
        <f>+IFERROR(VLOOKUP(E3708,BD!$L$2:$Q$66,6,0),0)</f>
        <v>162</v>
      </c>
      <c r="I3708" s="96">
        <f>IFERROR(G3708*VLOOKUP($E3708,BD!$L$2:$Q$66,5,0),0)</f>
        <v>165.24</v>
      </c>
      <c r="J3708" s="5">
        <f t="shared" si="251"/>
        <v>2021</v>
      </c>
    </row>
    <row r="3709" spans="1:10" s="9" customFormat="1" hidden="1" x14ac:dyDescent="0.25">
      <c r="A3709" s="491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7">
        <v>256488</v>
      </c>
      <c r="F3709" s="3" t="str">
        <f>IFERROR(VLOOKUP(E3709,BD!$L$2:$Q$66,2,0),0)</f>
        <v>INCA KOLA PET 3LX2 - RF</v>
      </c>
      <c r="G3709" s="424">
        <f>120*41</f>
        <v>4920</v>
      </c>
      <c r="H3709" s="3">
        <f>+IFERROR(VLOOKUP(E3709,BD!$L$2:$Q$66,6,0),0)</f>
        <v>120</v>
      </c>
      <c r="I3709" s="96">
        <f>IFERROR(G3709*VLOOKUP($E3709,BD!$L$2:$Q$66,5,0),0)</f>
        <v>836.40000000000009</v>
      </c>
      <c r="J3709" s="5">
        <f t="shared" si="251"/>
        <v>2021</v>
      </c>
    </row>
    <row r="3710" spans="1:10" s="9" customFormat="1" hidden="1" x14ac:dyDescent="0.25">
      <c r="A3710" s="491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7">
        <v>256675</v>
      </c>
      <c r="F3710" s="3" t="str">
        <f>IFERROR(VLOOKUP(E3710,BD!$L$2:$Q$66,2,0),0)</f>
        <v>INCA KOLA PET 1.5LX2 RF</v>
      </c>
      <c r="G3710" s="424">
        <v>216</v>
      </c>
      <c r="H3710" s="3">
        <f>+IFERROR(VLOOKUP(E3710,BD!$L$2:$Q$66,6,0),0)</f>
        <v>198</v>
      </c>
      <c r="I3710" s="96">
        <f>IFERROR(G3710*VLOOKUP($E3710,BD!$L$2:$Q$66,5,0),0)</f>
        <v>36.720000000000006</v>
      </c>
      <c r="J3710" s="5">
        <f t="shared" si="251"/>
        <v>2021</v>
      </c>
    </row>
    <row r="3711" spans="1:10" s="9" customFormat="1" hidden="1" x14ac:dyDescent="0.25">
      <c r="A3711" s="491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7">
        <v>256652</v>
      </c>
      <c r="F3711" s="3" t="str">
        <f>IFERROR(VLOOKUP(E3711,BD!$L$2:$Q$66,2,0),0)</f>
        <v>TRIPACK FT NAR+FT KI+SP PET 3L</v>
      </c>
      <c r="G3711" s="424">
        <f>90*12</f>
        <v>1080</v>
      </c>
      <c r="H3711" s="3">
        <f>+IFERROR(VLOOKUP(E3711,BD!$L$2:$Q$66,6,0),0)</f>
        <v>90</v>
      </c>
      <c r="I3711" s="96">
        <f>IFERROR(G3711*VLOOKUP($E3711,BD!$L$2:$Q$66,5,0),0)</f>
        <v>183.60000000000002</v>
      </c>
      <c r="J3711" s="5">
        <f t="shared" si="251"/>
        <v>2021</v>
      </c>
    </row>
    <row r="3712" spans="1:10" s="9" customFormat="1" hidden="1" x14ac:dyDescent="0.25">
      <c r="A3712" s="491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7">
        <v>256679</v>
      </c>
      <c r="F3712" s="3" t="str">
        <f>IFERROR(VLOOKUP(E3712,BD!$L$2:$Q$66,2,0),0)</f>
        <v>TRIPACK CC+IK+IK PFM 3LX3 - RFNN</v>
      </c>
      <c r="G3712" s="424">
        <f>90*9</f>
        <v>810</v>
      </c>
      <c r="H3712" s="3">
        <f>+IFERROR(VLOOKUP(E3712,BD!$L$2:$Q$66,6,0),0)</f>
        <v>90</v>
      </c>
      <c r="I3712" s="96">
        <f>IFERROR(G3712*VLOOKUP($E3712,BD!$L$2:$Q$66,5,0),0)</f>
        <v>137.70000000000002</v>
      </c>
      <c r="J3712" s="5">
        <f t="shared" si="251"/>
        <v>2021</v>
      </c>
    </row>
    <row r="3713" spans="1:10" s="9" customFormat="1" hidden="1" x14ac:dyDescent="0.25">
      <c r="A3713" s="491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7">
        <v>256678</v>
      </c>
      <c r="F3713" s="3" t="str">
        <f>IFERROR(VLOOKUP(E3713,BD!$L$2:$Q$66,2,0),0)</f>
        <v>TRIPACK (CC+IK)PFM+FT PET 3LX3 - RFNN</v>
      </c>
      <c r="G3713" s="424">
        <f>90*50</f>
        <v>4500</v>
      </c>
      <c r="H3713" s="3">
        <f>+IFERROR(VLOOKUP(E3713,BD!$L$2:$Q$66,6,0),0)</f>
        <v>90</v>
      </c>
      <c r="I3713" s="96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hidden="1" x14ac:dyDescent="0.25">
      <c r="A3714" s="491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7">
        <v>256720</v>
      </c>
      <c r="F3714" s="3" t="str">
        <f>IFERROR(VLOOKUP(E3714,BD!$L$2:$Q$66,2,0),0)</f>
        <v>FANTA NARANJA PET 500MLX6 BRANDEADO MOD</v>
      </c>
      <c r="G3714" s="424">
        <f>250*5</f>
        <v>1250</v>
      </c>
      <c r="H3714" s="3">
        <f>+IFERROR(VLOOKUP(E3714,BD!$L$2:$Q$66,6,0),0)</f>
        <v>420</v>
      </c>
      <c r="I3714" s="96">
        <f>IFERROR(G3714*VLOOKUP($E3714,BD!$L$2:$Q$66,5,0),0)</f>
        <v>525</v>
      </c>
      <c r="J3714" s="5">
        <f t="shared" si="255"/>
        <v>2021</v>
      </c>
    </row>
    <row r="3715" spans="1:10" s="9" customFormat="1" ht="15.75" hidden="1" thickBot="1" x14ac:dyDescent="0.3">
      <c r="A3715" s="492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9">
        <v>256721</v>
      </c>
      <c r="F3715" s="8" t="str">
        <f>IFERROR(VLOOKUP(E3715,BD!$L$2:$Q$66,2,0),0)</f>
        <v>SPRITE PET 500MLX6 BRANDEADO MOD</v>
      </c>
      <c r="G3715" s="616">
        <v>250</v>
      </c>
      <c r="H3715" s="8">
        <f>+IFERROR(VLOOKUP(E3715,BD!$L$2:$Q$66,6,0),0)</f>
        <v>420</v>
      </c>
      <c r="I3715" s="98">
        <f>IFERROR(G3715*VLOOKUP($E3715,BD!$L$2:$Q$66,5,0),0)</f>
        <v>105</v>
      </c>
      <c r="J3715" s="110">
        <f t="shared" si="255"/>
        <v>2021</v>
      </c>
    </row>
    <row r="3716" spans="1:10" s="9" customFormat="1" x14ac:dyDescent="0.25">
      <c r="A3716" s="484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8">
        <v>256616</v>
      </c>
      <c r="F3716" s="21" t="str">
        <f>IFERROR(VLOOKUP(E3716,BD!$L$2:$Q$66,2,0),0)</f>
        <v>TWO PACK SCHWEPPES CITRUS PET 1.5LX2</v>
      </c>
      <c r="G3716" s="521">
        <v>396</v>
      </c>
      <c r="H3716" s="21">
        <f>+IFERROR(VLOOKUP(E3716,BD!$L$2:$Q$66,6,0),0)</f>
        <v>198</v>
      </c>
      <c r="I3716" s="467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84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7">
        <v>256488</v>
      </c>
      <c r="F3717" s="3" t="str">
        <f>IFERROR(VLOOKUP(E3717,BD!$L$2:$Q$66,2,0),0)</f>
        <v>INCA KOLA PET 3LX2 - RF</v>
      </c>
      <c r="G3717" s="424">
        <v>4320</v>
      </c>
      <c r="H3717" s="3">
        <f>+IFERROR(VLOOKUP(E3717,BD!$L$2:$Q$66,6,0),0)</f>
        <v>120</v>
      </c>
      <c r="I3717" s="96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84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7">
        <v>256676</v>
      </c>
      <c r="F3718" s="3" t="str">
        <f>IFERROR(VLOOKUP(E3718,BD!$L$2:$Q$66,2,0),0)</f>
        <v>TWO PACK CC PFM 3LX2 - RFCC</v>
      </c>
      <c r="G3718" s="424">
        <v>3600</v>
      </c>
      <c r="H3718" s="3">
        <f>+IFERROR(VLOOKUP(E3718,BD!$L$2:$Q$66,6,0),0)</f>
        <v>120</v>
      </c>
      <c r="I3718" s="96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84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7">
        <v>256678</v>
      </c>
      <c r="F3719" s="3" t="str">
        <f>IFERROR(VLOOKUP(E3719,BD!$L$2:$Q$66,2,0),0)</f>
        <v>TRIPACK (CC+IK)PFM+FT PET 3LX3 - RFNN</v>
      </c>
      <c r="G3719" s="424">
        <v>4320</v>
      </c>
      <c r="H3719" s="3">
        <f>+IFERROR(VLOOKUP(E3719,BD!$L$2:$Q$66,6,0),0)</f>
        <v>90</v>
      </c>
      <c r="I3719" s="96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84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7">
        <v>256708</v>
      </c>
      <c r="F3720" s="3" t="str">
        <f>IFERROR(VLOOKUP(E3720,BD!$L$2:$Q$66,2,0),0)</f>
        <v>POWERADE ION4 FRUTA PET473X6 MOD (STICK)</v>
      </c>
      <c r="G3720" s="424">
        <v>900</v>
      </c>
      <c r="H3720" s="3">
        <f>+IFERROR(VLOOKUP(E3720,BD!$L$2:$Q$66,6,0),0)</f>
        <v>225</v>
      </c>
      <c r="I3720" s="96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84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7">
        <v>256709</v>
      </c>
      <c r="F3721" s="3" t="str">
        <f>IFERROR(VLOOKUP(E3721,BD!$L$2:$Q$66,2,0),0)</f>
        <v>POWERADE ION4 MORA AZ PET473X6 MOD(STCK)</v>
      </c>
      <c r="G3721" s="424">
        <v>675</v>
      </c>
      <c r="H3721" s="3">
        <f>+IFERROR(VLOOKUP(E3721,BD!$L$2:$Q$66,6,0),0)</f>
        <v>225</v>
      </c>
      <c r="I3721" s="96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84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7">
        <v>256721</v>
      </c>
      <c r="F3722" s="3" t="str">
        <f>IFERROR(VLOOKUP(E3722,BD!$L$2:$Q$66,2,0),0)</f>
        <v>SPRITE PET 500MLX6 BRANDEADO MOD</v>
      </c>
      <c r="G3722" s="424">
        <v>750</v>
      </c>
      <c r="H3722" s="3">
        <f>+IFERROR(VLOOKUP(E3722,BD!$L$2:$Q$66,6,0),0)</f>
        <v>420</v>
      </c>
      <c r="I3722" s="96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84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7">
        <v>256695</v>
      </c>
      <c r="F3723" s="3" t="str">
        <f>IFERROR(VLOOKUP(E3723,BD!$L$2:$Q$66,2,0),0)</f>
        <v>POWERADE 3MORA+3FRUT PET 473MLX6</v>
      </c>
      <c r="G3723" s="424">
        <v>1350</v>
      </c>
      <c r="H3723" s="3">
        <f>+IFERROR(VLOOKUP(E3723,BD!$L$2:$Q$66,6,0),0)</f>
        <v>225</v>
      </c>
      <c r="I3723" s="96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84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7">
        <v>251633</v>
      </c>
      <c r="F3724" s="3" t="str">
        <f>IFERROR(VLOOKUP(E3724,BD!$L$2:$Q$66,2,0),0)</f>
        <v>SAN LUIS CON GAS PET 625MLX6</v>
      </c>
      <c r="G3724" s="424">
        <v>900</v>
      </c>
      <c r="H3724" s="3">
        <f>+IFERROR(VLOOKUP(E3724,BD!$L$2:$Q$66,6,0),0)</f>
        <v>180</v>
      </c>
      <c r="I3724" s="96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84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7">
        <v>256695</v>
      </c>
      <c r="F3725" s="3" t="str">
        <f>IFERROR(VLOOKUP(E3725,BD!$L$2:$Q$66,2,0),0)</f>
        <v>POWERADE 3MORA+3FRUT PET 473MLX6</v>
      </c>
      <c r="G3725" s="424">
        <v>2250</v>
      </c>
      <c r="H3725" s="3">
        <f>+IFERROR(VLOOKUP(E3725,BD!$L$2:$Q$66,6,0),0)</f>
        <v>225</v>
      </c>
      <c r="I3725" s="96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84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7">
        <v>256708</v>
      </c>
      <c r="F3726" s="3" t="str">
        <f>IFERROR(VLOOKUP(E3726,BD!$L$2:$Q$66,2,0),0)</f>
        <v>POWERADE ION4 FRUTA PET473X6 MOD (STICK)</v>
      </c>
      <c r="G3726" s="424">
        <v>1125</v>
      </c>
      <c r="H3726" s="3">
        <f>+IFERROR(VLOOKUP(E3726,BD!$L$2:$Q$66,6,0),0)</f>
        <v>225</v>
      </c>
      <c r="I3726" s="96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84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7">
        <v>256709</v>
      </c>
      <c r="F3727" s="3" t="str">
        <f>IFERROR(VLOOKUP(E3727,BD!$L$2:$Q$66,2,0),0)</f>
        <v>POWERADE ION4 MORA AZ PET473X6 MOD(STCK)</v>
      </c>
      <c r="G3727" s="424">
        <v>450</v>
      </c>
      <c r="H3727" s="3">
        <f>+IFERROR(VLOOKUP(E3727,BD!$L$2:$Q$66,6,0),0)</f>
        <v>225</v>
      </c>
      <c r="I3727" s="96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84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7">
        <v>256383</v>
      </c>
      <c r="F3728" s="3" t="str">
        <f>IFERROR(VLOOKUP(E3728,BD!$L$2:$Q$66,2,0),0)</f>
        <v>COCA COLA VR 1.5LX8 - STICKER</v>
      </c>
      <c r="G3728" s="424">
        <v>240</v>
      </c>
      <c r="H3728" s="3">
        <f>+IFERROR(VLOOKUP(E3728,BD!$L$2:$Q$66,6,0),0)</f>
        <v>30</v>
      </c>
      <c r="I3728" s="96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84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7">
        <v>256380</v>
      </c>
      <c r="F3729" s="3" t="str">
        <f>IFERROR(VLOOKUP(E3729,BD!$L$2:$Q$66,2,0),0)</f>
        <v>INCA KOLA VR 296MLX24 - STICKER</v>
      </c>
      <c r="G3729" s="425">
        <v>200</v>
      </c>
      <c r="H3729" s="3">
        <f>+IFERROR(VLOOKUP(E3729,BD!$L$2:$Q$66,6,0),0)</f>
        <v>40</v>
      </c>
      <c r="I3729" s="96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84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7">
        <v>254762</v>
      </c>
      <c r="F3730" s="3" t="str">
        <f>IFERROR(VLOOKUP(E3730,BD!$L$2:$Q$66,2,0),0)</f>
        <v xml:space="preserve">SAN LUIS SPORT S/G 10 Lt x6 </v>
      </c>
      <c r="G3730" s="424">
        <v>672</v>
      </c>
      <c r="H3730" s="3">
        <f>+IFERROR(VLOOKUP(E3730,BD!$L$2:$Q$66,6,0),0)</f>
        <v>240</v>
      </c>
      <c r="I3730" s="96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84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7">
        <v>256685</v>
      </c>
      <c r="F3731" s="3" t="str">
        <f>IFERROR(VLOOKUP(E3731,BD!$L$2:$Q$66,2,0),0)</f>
        <v>SL S/G TAPA PLANA 1LT</v>
      </c>
      <c r="G3731" s="424">
        <v>448</v>
      </c>
      <c r="H3731" s="3">
        <f>+IFERROR(VLOOKUP(E3731,BD!$L$2:$Q$66,6,0),0)</f>
        <v>112</v>
      </c>
      <c r="I3731" s="96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84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7">
        <v>251429</v>
      </c>
      <c r="F3732" s="3" t="str">
        <f>IFERROR(VLOOKUP(E3732,BD!$L$2:$Q$66,2,0),0)</f>
        <v>SAN LUIS SIN GAS PET2500X6 STICKER</v>
      </c>
      <c r="G3732" s="424">
        <v>1248</v>
      </c>
      <c r="H3732" s="3">
        <f>+IFERROR(VLOOKUP(E3732,BD!$L$2:$Q$66,6,0),0)</f>
        <v>48</v>
      </c>
      <c r="I3732" s="96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84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7">
        <v>251633</v>
      </c>
      <c r="F3733" s="3" t="str">
        <f>IFERROR(VLOOKUP(E3733,BD!$L$2:$Q$66,2,0),0)</f>
        <v>SAN LUIS CON GAS PET 625MLX6</v>
      </c>
      <c r="G3733" s="424">
        <v>1260</v>
      </c>
      <c r="H3733" s="3">
        <f>+IFERROR(VLOOKUP(E3733,BD!$L$2:$Q$66,6,0),0)</f>
        <v>180</v>
      </c>
      <c r="I3733" s="96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84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7">
        <v>251406</v>
      </c>
      <c r="F3734" s="3" t="str">
        <f>IFERROR(VLOOKUP(E3734,BD!$L$2:$Q$66,2,0),0)</f>
        <v>COCA-COLA SIN AZUCAR PET 1.5LX2</v>
      </c>
      <c r="G3734" s="424">
        <v>6480</v>
      </c>
      <c r="H3734" s="3">
        <f>+IFERROR(VLOOKUP(E3734,BD!$L$2:$Q$66,6,0),0)</f>
        <v>198</v>
      </c>
      <c r="I3734" s="96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84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7">
        <v>256617</v>
      </c>
      <c r="F3735" s="3" t="str">
        <f>IFERROR(VLOOKUP(E3735,BD!$L$2:$Q$66,2,0),0)</f>
        <v>TWO PACK SCHWEPPES GINGER ALE PET 1.5LX2</v>
      </c>
      <c r="G3735" s="424">
        <v>396</v>
      </c>
      <c r="H3735" s="3">
        <f>+IFERROR(VLOOKUP(E3735,BD!$L$2:$Q$66,6,0),0)</f>
        <v>198</v>
      </c>
      <c r="I3735" s="96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84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7">
        <v>256488</v>
      </c>
      <c r="F3736" s="3" t="str">
        <f>IFERROR(VLOOKUP(E3736,BD!$L$2:$Q$66,2,0),0)</f>
        <v>INCA KOLA PET 3LX2 - RF</v>
      </c>
      <c r="G3736" s="424">
        <v>4800</v>
      </c>
      <c r="H3736" s="3">
        <f>+IFERROR(VLOOKUP(E3736,BD!$L$2:$Q$66,6,0),0)</f>
        <v>120</v>
      </c>
      <c r="I3736" s="96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84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7">
        <v>256676</v>
      </c>
      <c r="F3737" s="3" t="str">
        <f>IFERROR(VLOOKUP(E3737,BD!$L$2:$Q$66,2,0),0)</f>
        <v>TWO PACK CC PFM 3LX2 - RFCC</v>
      </c>
      <c r="G3737" s="424">
        <v>4800</v>
      </c>
      <c r="H3737" s="3">
        <f>+IFERROR(VLOOKUP(E3737,BD!$L$2:$Q$66,6,0),0)</f>
        <v>120</v>
      </c>
      <c r="I3737" s="96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84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7">
        <v>256675</v>
      </c>
      <c r="F3738" s="3" t="str">
        <f>IFERROR(VLOOKUP(E3738,BD!$L$2:$Q$66,2,0),0)</f>
        <v>INCA KOLA PET 1.5LX2 RF</v>
      </c>
      <c r="G3738" s="424">
        <v>1296</v>
      </c>
      <c r="H3738" s="3">
        <f>+IFERROR(VLOOKUP(E3738,BD!$L$2:$Q$66,6,0),0)</f>
        <v>198</v>
      </c>
      <c r="I3738" s="96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84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7">
        <v>256652</v>
      </c>
      <c r="F3739" s="3" t="str">
        <f>IFERROR(VLOOKUP(E3739,BD!$L$2:$Q$66,2,0),0)</f>
        <v>TRIPACK FT NAR+FT KI+SP PET 3L</v>
      </c>
      <c r="G3739" s="424">
        <v>540</v>
      </c>
      <c r="H3739" s="3">
        <f>+IFERROR(VLOOKUP(E3739,BD!$L$2:$Q$66,6,0),0)</f>
        <v>90</v>
      </c>
      <c r="I3739" s="96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84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7">
        <v>256677</v>
      </c>
      <c r="F3740" s="3" t="str">
        <f>IFERROR(VLOOKUP(E3740,BD!$L$2:$Q$66,2,0),0)</f>
        <v>TWO PACK CC + IK PFM 3LX2 - RFNN</v>
      </c>
      <c r="G3740" s="424">
        <v>960</v>
      </c>
      <c r="H3740" s="3">
        <f>+IFERROR(VLOOKUP(E3740,BD!$L$2:$Q$66,6,0),0)</f>
        <v>120</v>
      </c>
      <c r="I3740" s="96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84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7">
        <v>256679</v>
      </c>
      <c r="F3741" s="3" t="str">
        <f>IFERROR(VLOOKUP(E3741,BD!$L$2:$Q$66,2,0),0)</f>
        <v>TRIPACK CC+IK+IK PFM 3LX3 - RFNN</v>
      </c>
      <c r="G3741" s="424">
        <v>2880</v>
      </c>
      <c r="H3741" s="3">
        <f>+IFERROR(VLOOKUP(E3741,BD!$L$2:$Q$66,6,0),0)</f>
        <v>90</v>
      </c>
      <c r="I3741" s="96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84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7">
        <v>256682</v>
      </c>
      <c r="F3742" s="3" t="str">
        <f>IFERROR(VLOOKUP(E3742,BD!$L$2:$Q$66,2,0),0)</f>
        <v>TRIPACK (FT NAR+SP)PET+IK RF PFM 3L</v>
      </c>
      <c r="G3742" s="424">
        <v>900</v>
      </c>
      <c r="H3742" s="3">
        <f>+IFERROR(VLOOKUP(E3742,BD!$L$2:$Q$66,6,0),0)</f>
        <v>90</v>
      </c>
      <c r="I3742" s="96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84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7">
        <v>256383</v>
      </c>
      <c r="F3743" s="3" t="str">
        <f>IFERROR(VLOOKUP(E3743,BD!$L$2:$Q$66,2,0),0)</f>
        <v>COCA COLA VR 1.5LX8 - STICKER</v>
      </c>
      <c r="G3743" s="425">
        <v>150</v>
      </c>
      <c r="H3743" s="3">
        <f>+IFERROR(VLOOKUP(E3743,BD!$L$2:$Q$66,6,0),0)</f>
        <v>30</v>
      </c>
      <c r="I3743" s="96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84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7">
        <v>256381</v>
      </c>
      <c r="F3744" s="3" t="str">
        <f>IFERROR(VLOOKUP(E3744,BD!$L$2:$Q$66,2,0),0)</f>
        <v>INCA KOLA VR 1.5LX8 - STICKER</v>
      </c>
      <c r="G3744" s="424">
        <v>240</v>
      </c>
      <c r="H3744" s="3">
        <f>+IFERROR(VLOOKUP(E3744,BD!$L$2:$Q$66,6,0),0)</f>
        <v>30</v>
      </c>
      <c r="I3744" s="96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84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7">
        <v>256379</v>
      </c>
      <c r="F3745" s="3" t="str">
        <f>IFERROR(VLOOKUP(E3745,BD!$L$2:$Q$66,2,0),0)</f>
        <v>INCA KOLA VR 625MLX12 - STICKER</v>
      </c>
      <c r="G3745" s="424">
        <v>300</v>
      </c>
      <c r="H3745" s="3">
        <f>+IFERROR(VLOOKUP(E3745,BD!$L$2:$Q$66,6,0),0)</f>
        <v>50</v>
      </c>
      <c r="I3745" s="96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84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7">
        <v>256685</v>
      </c>
      <c r="F3746" s="3" t="str">
        <f>IFERROR(VLOOKUP(E3746,BD!$L$2:$Q$66,2,0),0)</f>
        <v>SL S/G TAPA PLANA 1LT</v>
      </c>
      <c r="G3746" s="424">
        <v>448</v>
      </c>
      <c r="H3746" s="3">
        <f>+IFERROR(VLOOKUP(E3746,BD!$L$2:$Q$66,6,0),0)</f>
        <v>112</v>
      </c>
      <c r="I3746" s="96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84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7">
        <v>251429</v>
      </c>
      <c r="F3747" s="3" t="str">
        <f>IFERROR(VLOOKUP(E3747,BD!$L$2:$Q$66,2,0),0)</f>
        <v>SAN LUIS SIN GAS PET2500X6 STICKER</v>
      </c>
      <c r="G3747" s="424">
        <v>912</v>
      </c>
      <c r="H3747" s="3">
        <f>+IFERROR(VLOOKUP(E3747,BD!$L$2:$Q$66,6,0),0)</f>
        <v>48</v>
      </c>
      <c r="I3747" s="96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84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7">
        <v>251406</v>
      </c>
      <c r="F3748" s="3" t="str">
        <f>IFERROR(VLOOKUP(E3748,BD!$L$2:$Q$66,2,0),0)</f>
        <v>COCA-COLA SIN AZUCAR PET 1.5LX2</v>
      </c>
      <c r="G3748" s="424">
        <v>4320</v>
      </c>
      <c r="H3748" s="3">
        <f>+IFERROR(VLOOKUP(E3748,BD!$L$2:$Q$66,6,0),0)</f>
        <v>198</v>
      </c>
      <c r="I3748" s="96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84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7">
        <v>254853</v>
      </c>
      <c r="F3749" s="3" t="str">
        <f>IFERROR(VLOOKUP(E3749,BD!$L$2:$Q$66,2,0),0)</f>
        <v>INCA KOLA SIN AZUCAR PET 1.5LX2</v>
      </c>
      <c r="G3749" s="424">
        <v>2160</v>
      </c>
      <c r="H3749" s="3">
        <f>+IFERROR(VLOOKUP(E3749,BD!$L$2:$Q$66,6,0),0)</f>
        <v>198</v>
      </c>
      <c r="I3749" s="96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84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7">
        <v>256616</v>
      </c>
      <c r="F3750" s="3" t="str">
        <f>IFERROR(VLOOKUP(E3750,BD!$L$2:$Q$66,2,0),0)</f>
        <v>TWO PACK SCHWEPPES CITRUS PET 1.5LX2</v>
      </c>
      <c r="G3750" s="424">
        <v>1386</v>
      </c>
      <c r="H3750" s="3">
        <f>+IFERROR(VLOOKUP(E3750,BD!$L$2:$Q$66,6,0),0)</f>
        <v>198</v>
      </c>
      <c r="I3750" s="96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84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7">
        <v>256617</v>
      </c>
      <c r="F3751" s="3" t="str">
        <f>IFERROR(VLOOKUP(E3751,BD!$L$2:$Q$66,2,0),0)</f>
        <v>TWO PACK SCHWEPPES GINGER ALE PET 1.5LX2</v>
      </c>
      <c r="G3751" s="424">
        <v>3960</v>
      </c>
      <c r="H3751" s="3">
        <f>+IFERROR(VLOOKUP(E3751,BD!$L$2:$Q$66,6,0),0)</f>
        <v>198</v>
      </c>
      <c r="I3751" s="96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84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7">
        <v>256666</v>
      </c>
      <c r="F3752" s="3" t="str">
        <f>IFERROR(VLOOKUP(E3752,BD!$L$2:$Q$66,2,0),0)</f>
        <v>COCA-COLA PET 2.25LX2 RF</v>
      </c>
      <c r="G3752" s="424">
        <v>1620</v>
      </c>
      <c r="H3752" s="3">
        <f>+IFERROR(VLOOKUP(E3752,BD!$L$2:$Q$66,6,0),0)</f>
        <v>162</v>
      </c>
      <c r="I3752" s="96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84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7">
        <v>256601</v>
      </c>
      <c r="F3753" s="3" t="str">
        <f>IFERROR(VLOOKUP(E3753,BD!$L$2:$Q$66,2,0),0)</f>
        <v>INCA KOLA PET 2.25LX2 RF</v>
      </c>
      <c r="G3753" s="424">
        <v>1134</v>
      </c>
      <c r="H3753" s="3">
        <f>+IFERROR(VLOOKUP(E3753,BD!$L$2:$Q$66,6,0),0)</f>
        <v>162</v>
      </c>
      <c r="I3753" s="96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84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7">
        <v>256674</v>
      </c>
      <c r="F3754" s="3" t="str">
        <f>IFERROR(VLOOKUP(E3754,BD!$L$2:$Q$66,2,0),0)</f>
        <v>COCA-COLA PET 1.5LX2 RF</v>
      </c>
      <c r="G3754" s="424">
        <v>3672</v>
      </c>
      <c r="H3754" s="3">
        <f>+IFERROR(VLOOKUP(E3754,BD!$L$2:$Q$66,6,0),0)</f>
        <v>198</v>
      </c>
      <c r="I3754" s="96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84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7">
        <v>256675</v>
      </c>
      <c r="F3755" s="3" t="str">
        <f>IFERROR(VLOOKUP(E3755,BD!$L$2:$Q$66,2,0),0)</f>
        <v>INCA KOLA PET 1.5LX2 RF</v>
      </c>
      <c r="G3755" s="424">
        <v>3024</v>
      </c>
      <c r="H3755" s="3">
        <f>+IFERROR(VLOOKUP(E3755,BD!$L$2:$Q$66,6,0),0)</f>
        <v>198</v>
      </c>
      <c r="I3755" s="96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84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7">
        <v>256652</v>
      </c>
      <c r="F3756" s="3" t="str">
        <f>IFERROR(VLOOKUP(E3756,BD!$L$2:$Q$66,2,0),0)</f>
        <v>TRIPACK FT NAR+FT KI+SP PET 3L</v>
      </c>
      <c r="G3756" s="424">
        <v>900</v>
      </c>
      <c r="H3756" s="3">
        <f>+IFERROR(VLOOKUP(E3756,BD!$L$2:$Q$66,6,0),0)</f>
        <v>90</v>
      </c>
      <c r="I3756" s="96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84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7">
        <v>256677</v>
      </c>
      <c r="F3757" s="3" t="str">
        <f>IFERROR(VLOOKUP(E3757,BD!$L$2:$Q$66,2,0),0)</f>
        <v>TWO PACK CC + IK PFM 3LX2 - RFNN</v>
      </c>
      <c r="G3757" s="425">
        <v>600</v>
      </c>
      <c r="H3757" s="3">
        <f>+IFERROR(VLOOKUP(E3757,BD!$L$2:$Q$66,6,0),0)</f>
        <v>120</v>
      </c>
      <c r="I3757" s="96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84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7">
        <v>256680</v>
      </c>
      <c r="F3758" s="3" t="str">
        <f>IFERROR(VLOOKUP(E3758,BD!$L$2:$Q$66,2,0),0)</f>
        <v>TRIPACK CC+CC+IK PFM 3LX3 - RFNN</v>
      </c>
      <c r="G3758" s="424">
        <v>270</v>
      </c>
      <c r="H3758" s="3">
        <f>+IFERROR(VLOOKUP(E3758,BD!$L$2:$Q$66,6,0),0)</f>
        <v>90</v>
      </c>
      <c r="I3758" s="96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84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7">
        <v>256679</v>
      </c>
      <c r="F3759" s="3" t="str">
        <f>IFERROR(VLOOKUP(E3759,BD!$L$2:$Q$66,2,0),0)</f>
        <v>TRIPACK CC+IK+IK PFM 3LX3 - RFNN</v>
      </c>
      <c r="G3759" s="424">
        <v>360</v>
      </c>
      <c r="H3759" s="3">
        <f>+IFERROR(VLOOKUP(E3759,BD!$L$2:$Q$66,6,0),0)</f>
        <v>90</v>
      </c>
      <c r="I3759" s="96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84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7">
        <v>256678</v>
      </c>
      <c r="F3760" s="3" t="str">
        <f>IFERROR(VLOOKUP(E3760,BD!$L$2:$Q$66,2,0),0)</f>
        <v>TRIPACK (CC+IK)PFM+FT PET 3LX3 - RFNN</v>
      </c>
      <c r="G3760" s="424">
        <v>1350</v>
      </c>
      <c r="H3760" s="3">
        <f>+IFERROR(VLOOKUP(E3760,BD!$L$2:$Q$66,6,0),0)</f>
        <v>90</v>
      </c>
      <c r="I3760" s="96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84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7">
        <v>256682</v>
      </c>
      <c r="F3761" s="3" t="str">
        <f>IFERROR(VLOOKUP(E3761,BD!$L$2:$Q$66,2,0),0)</f>
        <v>TRIPACK (FT NAR+SP)PET+IK RF PFM 3L</v>
      </c>
      <c r="G3761" s="424">
        <v>450</v>
      </c>
      <c r="H3761" s="3">
        <f>+IFERROR(VLOOKUP(E3761,BD!$L$2:$Q$66,6,0),0)</f>
        <v>90</v>
      </c>
      <c r="I3761" s="96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84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7">
        <v>256695</v>
      </c>
      <c r="F3762" s="3" t="str">
        <f>IFERROR(VLOOKUP(E3762,BD!$L$2:$Q$66,2,0),0)</f>
        <v>POWERADE 3MORA+3FRUT PET 473MLX6</v>
      </c>
      <c r="G3762" s="424">
        <v>450</v>
      </c>
      <c r="H3762" s="3">
        <f>+IFERROR(VLOOKUP(E3762,BD!$L$2:$Q$66,6,0),0)</f>
        <v>225</v>
      </c>
      <c r="I3762" s="96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84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7">
        <v>256708</v>
      </c>
      <c r="F3763" s="3" t="str">
        <f>IFERROR(VLOOKUP(E3763,BD!$L$2:$Q$66,2,0),0)</f>
        <v>POWERADE ION4 FRUTA PET473X6 MOD (STICK)</v>
      </c>
      <c r="G3763" s="424">
        <v>675</v>
      </c>
      <c r="H3763" s="3">
        <f>+IFERROR(VLOOKUP(E3763,BD!$L$2:$Q$66,6,0),0)</f>
        <v>225</v>
      </c>
      <c r="I3763" s="96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84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7">
        <v>256720</v>
      </c>
      <c r="F3764" s="3" t="str">
        <f>IFERROR(VLOOKUP(E3764,BD!$L$2:$Q$66,2,0),0)</f>
        <v>FANTA NARANJA PET 500MLX6 BRANDEADO MOD</v>
      </c>
      <c r="G3764" s="424">
        <v>750</v>
      </c>
      <c r="H3764" s="3">
        <f>+IFERROR(VLOOKUP(E3764,BD!$L$2:$Q$66,6,0),0)</f>
        <v>420</v>
      </c>
      <c r="I3764" s="96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84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7">
        <v>256383</v>
      </c>
      <c r="F3765" s="3" t="str">
        <f>IFERROR(VLOOKUP(E3765,BD!$L$2:$Q$66,2,0),0)</f>
        <v>COCA COLA VR 1.5LX8 - STICKER</v>
      </c>
      <c r="G3765" s="424">
        <v>300</v>
      </c>
      <c r="H3765" s="3">
        <f>+IFERROR(VLOOKUP(E3765,BD!$L$2:$Q$66,6,0),0)</f>
        <v>30</v>
      </c>
      <c r="I3765" s="96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84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7">
        <v>256381</v>
      </c>
      <c r="F3766" s="3" t="str">
        <f>IFERROR(VLOOKUP(E3766,BD!$L$2:$Q$66,2,0),0)</f>
        <v>INCA KOLA VR 1.5LX8 - STICKER</v>
      </c>
      <c r="G3766" s="424">
        <v>300</v>
      </c>
      <c r="H3766" s="3">
        <f>+IFERROR(VLOOKUP(E3766,BD!$L$2:$Q$66,6,0),0)</f>
        <v>30</v>
      </c>
      <c r="I3766" s="96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84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7">
        <v>256379</v>
      </c>
      <c r="F3767" s="3" t="str">
        <f>IFERROR(VLOOKUP(E3767,BD!$L$2:$Q$66,2,0),0)</f>
        <v>INCA KOLA VR 625MLX12 - STICKER</v>
      </c>
      <c r="G3767" s="424">
        <v>100</v>
      </c>
      <c r="H3767" s="3">
        <f>+IFERROR(VLOOKUP(E3767,BD!$L$2:$Q$66,6,0),0)</f>
        <v>50</v>
      </c>
      <c r="I3767" s="96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84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7">
        <v>251633</v>
      </c>
      <c r="F3768" s="3" t="str">
        <f>IFERROR(VLOOKUP(E3768,BD!$L$2:$Q$66,2,0),0)</f>
        <v>SAN LUIS CON GAS PET 625MLX6</v>
      </c>
      <c r="G3768" s="424">
        <v>900</v>
      </c>
      <c r="H3768" s="3">
        <f>+IFERROR(VLOOKUP(E3768,BD!$L$2:$Q$66,6,0),0)</f>
        <v>180</v>
      </c>
      <c r="I3768" s="96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84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7">
        <v>251406</v>
      </c>
      <c r="F3769" s="3" t="str">
        <f>IFERROR(VLOOKUP(E3769,BD!$L$2:$Q$66,2,0),0)</f>
        <v>COCA-COLA SIN AZUCAR PET 1.5LX2</v>
      </c>
      <c r="G3769" s="424">
        <v>4320</v>
      </c>
      <c r="H3769" s="3">
        <f>+IFERROR(VLOOKUP(E3769,BD!$L$2:$Q$66,6,0),0)</f>
        <v>198</v>
      </c>
      <c r="I3769" s="96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84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7">
        <v>254853</v>
      </c>
      <c r="F3770" s="3" t="str">
        <f>IFERROR(VLOOKUP(E3770,BD!$L$2:$Q$66,2,0),0)</f>
        <v>INCA KOLA SIN AZUCAR PET 1.5LX2</v>
      </c>
      <c r="G3770" s="424">
        <v>2160</v>
      </c>
      <c r="H3770" s="3">
        <f>+IFERROR(VLOOKUP(E3770,BD!$L$2:$Q$66,6,0),0)</f>
        <v>198</v>
      </c>
      <c r="I3770" s="96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84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7">
        <v>256666</v>
      </c>
      <c r="F3771" s="3" t="str">
        <f>IFERROR(VLOOKUP(E3771,BD!$L$2:$Q$66,2,0),0)</f>
        <v>COCA-COLA PET 2.25LX2 RF</v>
      </c>
      <c r="G3771" s="425">
        <v>1620</v>
      </c>
      <c r="H3771" s="3">
        <f>+IFERROR(VLOOKUP(E3771,BD!$L$2:$Q$66,6,0),0)</f>
        <v>162</v>
      </c>
      <c r="I3771" s="96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84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7">
        <v>256601</v>
      </c>
      <c r="F3772" s="3" t="str">
        <f>IFERROR(VLOOKUP(E3772,BD!$L$2:$Q$66,2,0),0)</f>
        <v>INCA KOLA PET 2.25LX2 RF</v>
      </c>
      <c r="G3772" s="424">
        <v>1458</v>
      </c>
      <c r="H3772" s="3">
        <f>+IFERROR(VLOOKUP(E3772,BD!$L$2:$Q$66,6,0),0)</f>
        <v>162</v>
      </c>
      <c r="I3772" s="96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84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7">
        <v>256676</v>
      </c>
      <c r="F3773" s="3" t="str">
        <f>IFERROR(VLOOKUP(E3773,BD!$L$2:$Q$66,2,0),0)</f>
        <v>TWO PACK CC PFM 3LX2 - RFCC</v>
      </c>
      <c r="G3773" s="424">
        <v>2880</v>
      </c>
      <c r="H3773" s="3">
        <f>+IFERROR(VLOOKUP(E3773,BD!$L$2:$Q$66,6,0),0)</f>
        <v>120</v>
      </c>
      <c r="I3773" s="96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84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7">
        <v>256674</v>
      </c>
      <c r="F3774" s="3" t="str">
        <f>IFERROR(VLOOKUP(E3774,BD!$L$2:$Q$66,2,0),0)</f>
        <v>COCA-COLA PET 1.5LX2 RF</v>
      </c>
      <c r="G3774" s="424">
        <v>2160</v>
      </c>
      <c r="H3774" s="3">
        <f>+IFERROR(VLOOKUP(E3774,BD!$L$2:$Q$66,6,0),0)</f>
        <v>198</v>
      </c>
      <c r="I3774" s="96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84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7">
        <v>256652</v>
      </c>
      <c r="F3775" s="3" t="str">
        <f>IFERROR(VLOOKUP(E3775,BD!$L$2:$Q$66,2,0),0)</f>
        <v>TRIPACK FT NAR+FT KI+SP PET 3L</v>
      </c>
      <c r="G3775" s="424">
        <v>1440</v>
      </c>
      <c r="H3775" s="3">
        <f>+IFERROR(VLOOKUP(E3775,BD!$L$2:$Q$66,6,0),0)</f>
        <v>90</v>
      </c>
      <c r="I3775" s="96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84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7">
        <v>256677</v>
      </c>
      <c r="F3776" s="3" t="str">
        <f>IFERROR(VLOOKUP(E3776,BD!$L$2:$Q$66,2,0),0)</f>
        <v>TWO PACK CC + IK PFM 3LX2 - RFNN</v>
      </c>
      <c r="G3776" s="424">
        <v>720</v>
      </c>
      <c r="H3776" s="3">
        <f>+IFERROR(VLOOKUP(E3776,BD!$L$2:$Q$66,6,0),0)</f>
        <v>120</v>
      </c>
      <c r="I3776" s="96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84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7">
        <v>256680</v>
      </c>
      <c r="F3777" s="3" t="str">
        <f>IFERROR(VLOOKUP(E3777,BD!$L$2:$Q$66,2,0),0)</f>
        <v>TRIPACK CC+CC+IK PFM 3LX3 - RFNN</v>
      </c>
      <c r="G3777" s="424">
        <v>1440</v>
      </c>
      <c r="H3777" s="3">
        <f>+IFERROR(VLOOKUP(E3777,BD!$L$2:$Q$66,6,0),0)</f>
        <v>90</v>
      </c>
      <c r="I3777" s="96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84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7">
        <v>256679</v>
      </c>
      <c r="F3778" s="3" t="str">
        <f>IFERROR(VLOOKUP(E3778,BD!$L$2:$Q$66,2,0),0)</f>
        <v>TRIPACK CC+IK+IK PFM 3LX3 - RFNN</v>
      </c>
      <c r="G3778" s="424">
        <v>2160</v>
      </c>
      <c r="H3778" s="3">
        <f>+IFERROR(VLOOKUP(E3778,BD!$L$2:$Q$66,6,0),0)</f>
        <v>90</v>
      </c>
      <c r="I3778" s="96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84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7">
        <v>256678</v>
      </c>
      <c r="F3779" s="3" t="str">
        <f>IFERROR(VLOOKUP(E3779,BD!$L$2:$Q$66,2,0),0)</f>
        <v>TRIPACK (CC+IK)PFM+FT PET 3LX3 - RFNN</v>
      </c>
      <c r="G3779" s="424">
        <v>2880</v>
      </c>
      <c r="H3779" s="3">
        <f>+IFERROR(VLOOKUP(E3779,BD!$L$2:$Q$66,6,0),0)</f>
        <v>90</v>
      </c>
      <c r="I3779" s="96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84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7">
        <v>256682</v>
      </c>
      <c r="F3780" s="3" t="str">
        <f>IFERROR(VLOOKUP(E3780,BD!$L$2:$Q$66,2,0),0)</f>
        <v>TRIPACK (FT NAR+SP)PET+IK RF PFM 3L</v>
      </c>
      <c r="G3780" s="424">
        <v>720</v>
      </c>
      <c r="H3780" s="3">
        <f>+IFERROR(VLOOKUP(E3780,BD!$L$2:$Q$66,6,0),0)</f>
        <v>90</v>
      </c>
      <c r="I3780" s="96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84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7">
        <v>256695</v>
      </c>
      <c r="F3781" s="3" t="str">
        <f>IFERROR(VLOOKUP(E3781,BD!$L$2:$Q$66,2,0),0)</f>
        <v>POWERADE 3MORA+3FRUT PET 473MLX6</v>
      </c>
      <c r="G3781" s="424">
        <v>1350</v>
      </c>
      <c r="H3781" s="3">
        <f>+IFERROR(VLOOKUP(E3781,BD!$L$2:$Q$66,6,0),0)</f>
        <v>225</v>
      </c>
      <c r="I3781" s="96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84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7">
        <v>256721</v>
      </c>
      <c r="F3782" s="3" t="str">
        <f>IFERROR(VLOOKUP(E3782,BD!$L$2:$Q$66,2,0),0)</f>
        <v>SPRITE PET 500MLX6 BRANDEADO MOD</v>
      </c>
      <c r="G3782" s="424">
        <v>1000</v>
      </c>
      <c r="H3782" s="3">
        <f>+IFERROR(VLOOKUP(E3782,BD!$L$2:$Q$66,6,0),0)</f>
        <v>420</v>
      </c>
      <c r="I3782" s="96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84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7">
        <v>256383</v>
      </c>
      <c r="F3783" s="3" t="str">
        <f>IFERROR(VLOOKUP(E3783,BD!$L$2:$Q$66,2,0),0)</f>
        <v>COCA COLA VR 1.5LX8 - STICKER</v>
      </c>
      <c r="G3783" s="424">
        <v>150</v>
      </c>
      <c r="H3783" s="3">
        <f>+IFERROR(VLOOKUP(E3783,BD!$L$2:$Q$66,6,0),0)</f>
        <v>30</v>
      </c>
      <c r="I3783" s="96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84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7">
        <v>256382</v>
      </c>
      <c r="F3784" s="3" t="str">
        <f>IFERROR(VLOOKUP(E3784,BD!$L$2:$Q$66,2,0),0)</f>
        <v>COCA COLA VR 296MLX24 - STICKER</v>
      </c>
      <c r="G3784" s="424">
        <v>240</v>
      </c>
      <c r="H3784" s="3">
        <f>+IFERROR(VLOOKUP(E3784,BD!$L$2:$Q$66,6,0),0)</f>
        <v>40</v>
      </c>
      <c r="I3784" s="96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84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7">
        <v>256381</v>
      </c>
      <c r="F3785" s="3" t="str">
        <f>IFERROR(VLOOKUP(E3785,BD!$L$2:$Q$66,2,0),0)</f>
        <v>INCA KOLA VR 1.5LX8 - STICKER</v>
      </c>
      <c r="G3785" s="425">
        <v>270</v>
      </c>
      <c r="H3785" s="3">
        <f>+IFERROR(VLOOKUP(E3785,BD!$L$2:$Q$66,6,0),0)</f>
        <v>30</v>
      </c>
      <c r="I3785" s="96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84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7">
        <v>256380</v>
      </c>
      <c r="F3786" s="3" t="str">
        <f>IFERROR(VLOOKUP(E3786,BD!$L$2:$Q$66,2,0),0)</f>
        <v>INCA KOLA VR 296MLX24 - STICKER</v>
      </c>
      <c r="G3786" s="424">
        <v>120</v>
      </c>
      <c r="H3786" s="3">
        <f>+IFERROR(VLOOKUP(E3786,BD!$L$2:$Q$66,6,0),0)</f>
        <v>40</v>
      </c>
      <c r="I3786" s="96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84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7">
        <v>256379</v>
      </c>
      <c r="F3787" s="3" t="str">
        <f>IFERROR(VLOOKUP(E3787,BD!$L$2:$Q$66,2,0),0)</f>
        <v>INCA KOLA VR 625MLX12 - STICKER</v>
      </c>
      <c r="G3787" s="424">
        <v>100</v>
      </c>
      <c r="H3787" s="3">
        <f>+IFERROR(VLOOKUP(E3787,BD!$L$2:$Q$66,6,0),0)</f>
        <v>50</v>
      </c>
      <c r="I3787" s="96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84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7">
        <v>251429</v>
      </c>
      <c r="F3788" s="3" t="str">
        <f>IFERROR(VLOOKUP(E3788,BD!$L$2:$Q$66,2,0),0)</f>
        <v>SAN LUIS SIN GAS PET2500X6 STICKER</v>
      </c>
      <c r="G3788" s="424">
        <v>960</v>
      </c>
      <c r="H3788" s="3">
        <f>+IFERROR(VLOOKUP(E3788,BD!$L$2:$Q$66,6,0),0)</f>
        <v>48</v>
      </c>
      <c r="I3788" s="96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84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7">
        <v>251406</v>
      </c>
      <c r="F3789" s="3" t="str">
        <f>IFERROR(VLOOKUP(E3789,BD!$L$2:$Q$66,2,0),0)</f>
        <v>COCA-COLA SIN AZUCAR PET 1.5LX2</v>
      </c>
      <c r="G3789" s="424">
        <v>2160</v>
      </c>
      <c r="H3789" s="3">
        <f>+IFERROR(VLOOKUP(E3789,BD!$L$2:$Q$66,6,0),0)</f>
        <v>198</v>
      </c>
      <c r="I3789" s="96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84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7">
        <v>254853</v>
      </c>
      <c r="F3790" s="3" t="str">
        <f>IFERROR(VLOOKUP(E3790,BD!$L$2:$Q$66,2,0),0)</f>
        <v>INCA KOLA SIN AZUCAR PET 1.5LX2</v>
      </c>
      <c r="G3790" s="424">
        <v>2160</v>
      </c>
      <c r="H3790" s="3">
        <f>+IFERROR(VLOOKUP(E3790,BD!$L$2:$Q$66,6,0),0)</f>
        <v>198</v>
      </c>
      <c r="I3790" s="96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84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7">
        <v>256549</v>
      </c>
      <c r="F3791" s="3" t="str">
        <f>IFERROR(VLOOKUP(E3791,BD!$L$2:$Q$66,2,0),0)</f>
        <v>TWO PACK IK PET 1.5LX2 - CRCG</v>
      </c>
      <c r="G3791" s="424">
        <v>216</v>
      </c>
      <c r="H3791" s="3">
        <f>+IFERROR(VLOOKUP(E3791,BD!$L$2:$Q$66,6,0),0)</f>
        <v>198</v>
      </c>
      <c r="I3791" s="96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84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7">
        <v>256666</v>
      </c>
      <c r="F3792" s="3" t="str">
        <f>IFERROR(VLOOKUP(E3792,BD!$L$2:$Q$66,2,0),0)</f>
        <v>COCA-COLA PET 2.25LX2 RF</v>
      </c>
      <c r="G3792" s="424">
        <v>972</v>
      </c>
      <c r="H3792" s="3">
        <f>+IFERROR(VLOOKUP(E3792,BD!$L$2:$Q$66,6,0),0)</f>
        <v>162</v>
      </c>
      <c r="I3792" s="96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84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7">
        <v>256601</v>
      </c>
      <c r="F3793" s="3" t="str">
        <f>IFERROR(VLOOKUP(E3793,BD!$L$2:$Q$66,2,0),0)</f>
        <v>INCA KOLA PET 2.25LX2 RF</v>
      </c>
      <c r="G3793" s="424">
        <v>972</v>
      </c>
      <c r="H3793" s="3">
        <f>+IFERROR(VLOOKUP(E3793,BD!$L$2:$Q$66,6,0),0)</f>
        <v>162</v>
      </c>
      <c r="I3793" s="96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84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7">
        <v>256674</v>
      </c>
      <c r="F3794" s="3" t="str">
        <f>IFERROR(VLOOKUP(E3794,BD!$L$2:$Q$66,2,0),0)</f>
        <v>COCA-COLA PET 1.5LX2 RF</v>
      </c>
      <c r="G3794" s="424">
        <v>2160</v>
      </c>
      <c r="H3794" s="3">
        <f>+IFERROR(VLOOKUP(E3794,BD!$L$2:$Q$66,6,0),0)</f>
        <v>198</v>
      </c>
      <c r="I3794" s="96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84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7">
        <v>256652</v>
      </c>
      <c r="F3795" s="3" t="str">
        <f>IFERROR(VLOOKUP(E3795,BD!$L$2:$Q$66,2,0),0)</f>
        <v>TRIPACK FT NAR+FT KI+SP PET 3L</v>
      </c>
      <c r="G3795" s="424">
        <v>450</v>
      </c>
      <c r="H3795" s="3">
        <f>+IFERROR(VLOOKUP(E3795,BD!$L$2:$Q$66,6,0),0)</f>
        <v>90</v>
      </c>
      <c r="I3795" s="96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84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7">
        <v>256678</v>
      </c>
      <c r="F3796" s="3" t="str">
        <f>IFERROR(VLOOKUP(E3796,BD!$L$2:$Q$66,2,0),0)</f>
        <v>TRIPACK (CC+IK)PFM+FT PET 3LX3 - RFNN</v>
      </c>
      <c r="G3796" s="424">
        <v>2880</v>
      </c>
      <c r="H3796" s="3">
        <f>+IFERROR(VLOOKUP(E3796,BD!$L$2:$Q$66,6,0),0)</f>
        <v>90</v>
      </c>
      <c r="I3796" s="96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84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7">
        <v>254852</v>
      </c>
      <c r="F3797" s="3" t="str">
        <f>IFERROR(VLOOKUP(E3797,BD!$L$2:$Q$66,2,0),0)</f>
        <v>INCA KOLA PET 500MLX6</v>
      </c>
      <c r="G3797" s="424">
        <v>1000</v>
      </c>
      <c r="H3797" s="3">
        <f>+IFERROR(VLOOKUP(E3797,BD!$L$2:$Q$66,6,0),0)</f>
        <v>225</v>
      </c>
      <c r="I3797" s="96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84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7">
        <v>751315</v>
      </c>
      <c r="F3798" s="3" t="str">
        <f>IFERROR(VLOOKUP(E3798,BD!$L$2:$Q$66,2,0),0)</f>
        <v>MONSTER ENERGY 473MLX4</v>
      </c>
      <c r="G3798" s="424">
        <v>2520</v>
      </c>
      <c r="H3798" s="3">
        <f>+IFERROR(VLOOKUP(E3798,BD!$L$2:$Q$66,6,0),0)</f>
        <v>420</v>
      </c>
      <c r="I3798" s="96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84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7">
        <v>251633</v>
      </c>
      <c r="F3799" s="3" t="str">
        <f>IFERROR(VLOOKUP(E3799,BD!$L$2:$Q$66,2,0),0)</f>
        <v>SAN LUIS CON GAS PET 625MLX6</v>
      </c>
      <c r="G3799" s="425">
        <v>900</v>
      </c>
      <c r="H3799" s="3">
        <f>+IFERROR(VLOOKUP(E3799,BD!$L$2:$Q$66,6,0),0)</f>
        <v>180</v>
      </c>
      <c r="I3799" s="96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84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7">
        <v>256708</v>
      </c>
      <c r="F3800" s="3" t="str">
        <f>IFERROR(VLOOKUP(E3800,BD!$L$2:$Q$66,2,0),0)</f>
        <v>POWERADE ION4 FRUTA PET473X6 MOD (STICK)</v>
      </c>
      <c r="G3800" s="424">
        <v>675</v>
      </c>
      <c r="H3800" s="3">
        <f>+IFERROR(VLOOKUP(E3800,BD!$L$2:$Q$66,6,0),0)</f>
        <v>225</v>
      </c>
      <c r="I3800" s="96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84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7">
        <v>256709</v>
      </c>
      <c r="F3801" s="3" t="str">
        <f>IFERROR(VLOOKUP(E3801,BD!$L$2:$Q$66,2,0),0)</f>
        <v>POWERADE ION4 MORA AZ PET473X6 MOD(STCK)</v>
      </c>
      <c r="G3801" s="424">
        <v>225</v>
      </c>
      <c r="H3801" s="3">
        <f>+IFERROR(VLOOKUP(E3801,BD!$L$2:$Q$66,6,0),0)</f>
        <v>225</v>
      </c>
      <c r="I3801" s="96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84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7">
        <v>254852</v>
      </c>
      <c r="F3802" s="3" t="str">
        <f>IFERROR(VLOOKUP(E3802,BD!$L$2:$Q$66,2,0),0)</f>
        <v>INCA KOLA PET 500MLX6</v>
      </c>
      <c r="G3802" s="424">
        <v>2000</v>
      </c>
      <c r="H3802" s="3">
        <f>+IFERROR(VLOOKUP(E3802,BD!$L$2:$Q$66,6,0),0)</f>
        <v>225</v>
      </c>
      <c r="I3802" s="96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84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7">
        <v>251151</v>
      </c>
      <c r="F3803" s="3" t="str">
        <f>IFERROR(VLOOKUP(E3803,BD!$L$2:$Q$66,2,0),0)</f>
        <v>COCA COLA PET 500MLX6</v>
      </c>
      <c r="G3803" s="424">
        <v>2500</v>
      </c>
      <c r="H3803" s="3">
        <f>+IFERROR(VLOOKUP(E3803,BD!$L$2:$Q$66,6,0),0)</f>
        <v>250</v>
      </c>
      <c r="I3803" s="96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84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7">
        <v>256720</v>
      </c>
      <c r="F3804" s="3" t="str">
        <f>IFERROR(VLOOKUP(E3804,BD!$L$2:$Q$66,2,0),0)</f>
        <v>FANTA NARANJA PET 500MLX6 BRANDEADO MOD</v>
      </c>
      <c r="G3804" s="424">
        <v>750</v>
      </c>
      <c r="H3804" s="3">
        <f>+IFERROR(VLOOKUP(E3804,BD!$L$2:$Q$66,6,0),0)</f>
        <v>420</v>
      </c>
      <c r="I3804" s="96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84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7">
        <v>256652</v>
      </c>
      <c r="F3805" s="3" t="str">
        <f>IFERROR(VLOOKUP(E3805,BD!$L$2:$Q$66,2,0),0)</f>
        <v>TRIPACK FT NAR+FT KI+SP PET 3L</v>
      </c>
      <c r="G3805" s="424">
        <v>1440</v>
      </c>
      <c r="H3805" s="3">
        <f>+IFERROR(VLOOKUP(E3805,BD!$L$2:$Q$66,6,0),0)</f>
        <v>90</v>
      </c>
      <c r="I3805" s="96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84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7">
        <v>256677</v>
      </c>
      <c r="F3806" s="3" t="str">
        <f>IFERROR(VLOOKUP(E3806,BD!$L$2:$Q$66,2,0),0)</f>
        <v>TWO PACK CC + IK PFM 3LX2 - RFNN</v>
      </c>
      <c r="G3806" s="424">
        <v>960</v>
      </c>
      <c r="H3806" s="3">
        <f>+IFERROR(VLOOKUP(E3806,BD!$L$2:$Q$66,6,0),0)</f>
        <v>120</v>
      </c>
      <c r="I3806" s="96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84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7">
        <v>256678</v>
      </c>
      <c r="F3807" s="3" t="str">
        <f>IFERROR(VLOOKUP(E3807,BD!$L$2:$Q$66,2,0),0)</f>
        <v>TRIPACK (CC+IK)PFM+FT PET 3LX3 - RFNN</v>
      </c>
      <c r="G3807" s="424">
        <v>900</v>
      </c>
      <c r="H3807" s="3">
        <f>+IFERROR(VLOOKUP(E3807,BD!$L$2:$Q$66,6,0),0)</f>
        <v>90</v>
      </c>
      <c r="I3807" s="96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84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7">
        <v>256695</v>
      </c>
      <c r="F3808" s="3" t="str">
        <f>IFERROR(VLOOKUP(E3808,BD!$L$2:$Q$66,2,0),0)</f>
        <v>POWERADE 3MORA+3FRUT PET 473MLX6</v>
      </c>
      <c r="G3808" s="424">
        <v>675</v>
      </c>
      <c r="H3808" s="3">
        <f>+IFERROR(VLOOKUP(E3808,BD!$L$2:$Q$66,6,0),0)</f>
        <v>225</v>
      </c>
      <c r="I3808" s="96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84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7">
        <v>256709</v>
      </c>
      <c r="F3809" s="3" t="str">
        <f>IFERROR(VLOOKUP(E3809,BD!$L$2:$Q$66,2,0),0)</f>
        <v>POWERADE ION4 MORA AZ PET473X6 MOD(STCK)</v>
      </c>
      <c r="G3809" s="424">
        <v>450</v>
      </c>
      <c r="H3809" s="3">
        <f>+IFERROR(VLOOKUP(E3809,BD!$L$2:$Q$66,6,0),0)</f>
        <v>225</v>
      </c>
      <c r="I3809" s="96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84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7">
        <v>254852</v>
      </c>
      <c r="F3810" s="3" t="str">
        <f>IFERROR(VLOOKUP(E3810,BD!$L$2:$Q$66,2,0),0)</f>
        <v>INCA KOLA PET 500MLX6</v>
      </c>
      <c r="G3810" s="424">
        <v>500</v>
      </c>
      <c r="H3810" s="3">
        <f>+IFERROR(VLOOKUP(E3810,BD!$L$2:$Q$66,6,0),0)</f>
        <v>225</v>
      </c>
      <c r="I3810" s="96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84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7">
        <v>256721</v>
      </c>
      <c r="F3811" s="3" t="str">
        <f>IFERROR(VLOOKUP(E3811,BD!$L$2:$Q$66,2,0),0)</f>
        <v>SPRITE PET 500MLX6 BRANDEADO MOD</v>
      </c>
      <c r="G3811" s="424">
        <v>1000</v>
      </c>
      <c r="H3811" s="3">
        <f>+IFERROR(VLOOKUP(E3811,BD!$L$2:$Q$66,6,0),0)</f>
        <v>420</v>
      </c>
      <c r="I3811" s="96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84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7">
        <v>256383</v>
      </c>
      <c r="F3812" s="3" t="str">
        <f>IFERROR(VLOOKUP(E3812,BD!$L$2:$Q$66,2,0),0)</f>
        <v>COCA COLA VR 1.5LX8 - STICKER</v>
      </c>
      <c r="G3812" s="424">
        <v>240</v>
      </c>
      <c r="H3812" s="3">
        <f>+IFERROR(VLOOKUP(E3812,BD!$L$2:$Q$66,6,0),0)</f>
        <v>30</v>
      </c>
      <c r="I3812" s="96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84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7">
        <v>256382</v>
      </c>
      <c r="F3813" s="3" t="str">
        <f>IFERROR(VLOOKUP(E3813,BD!$L$2:$Q$66,2,0),0)</f>
        <v>COCA COLA VR 296MLX24 - STICKER</v>
      </c>
      <c r="G3813" s="425">
        <v>240</v>
      </c>
      <c r="H3813" s="3">
        <f>+IFERROR(VLOOKUP(E3813,BD!$L$2:$Q$66,6,0),0)</f>
        <v>40</v>
      </c>
      <c r="I3813" s="96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84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7">
        <v>256381</v>
      </c>
      <c r="F3814" s="3" t="str">
        <f>IFERROR(VLOOKUP(E3814,BD!$L$2:$Q$66,2,0),0)</f>
        <v>INCA KOLA VR 1.5LX8 - STICKER</v>
      </c>
      <c r="G3814" s="424">
        <v>300</v>
      </c>
      <c r="H3814" s="3">
        <f>+IFERROR(VLOOKUP(E3814,BD!$L$2:$Q$66,6,0),0)</f>
        <v>30</v>
      </c>
      <c r="I3814" s="96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84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7">
        <v>256380</v>
      </c>
      <c r="F3815" s="3" t="str">
        <f>IFERROR(VLOOKUP(E3815,BD!$L$2:$Q$66,2,0),0)</f>
        <v>INCA KOLA VR 296MLX24 - STICKER</v>
      </c>
      <c r="G3815" s="424">
        <v>200</v>
      </c>
      <c r="H3815" s="3">
        <f>+IFERROR(VLOOKUP(E3815,BD!$L$2:$Q$66,6,0),0)</f>
        <v>40</v>
      </c>
      <c r="I3815" s="96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84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7">
        <v>251429</v>
      </c>
      <c r="F3816" s="3" t="str">
        <f>IFERROR(VLOOKUP(E3816,BD!$L$2:$Q$66,2,0),0)</f>
        <v>SAN LUIS SIN GAS PET2500X6 STICKER</v>
      </c>
      <c r="G3816" s="424">
        <v>960</v>
      </c>
      <c r="H3816" s="3">
        <f>+IFERROR(VLOOKUP(E3816,BD!$L$2:$Q$66,6,0),0)</f>
        <v>48</v>
      </c>
      <c r="I3816" s="96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84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7">
        <v>251406</v>
      </c>
      <c r="F3817" s="3" t="str">
        <f>IFERROR(VLOOKUP(E3817,BD!$L$2:$Q$66,2,0),0)</f>
        <v>COCA-COLA SIN AZUCAR PET 1.5LX2</v>
      </c>
      <c r="G3817" s="424">
        <v>2160</v>
      </c>
      <c r="H3817" s="3">
        <f>+IFERROR(VLOOKUP(E3817,BD!$L$2:$Q$66,6,0),0)</f>
        <v>198</v>
      </c>
      <c r="I3817" s="96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84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7">
        <v>254853</v>
      </c>
      <c r="F3818" s="3" t="str">
        <f>IFERROR(VLOOKUP(E3818,BD!$L$2:$Q$66,2,0),0)</f>
        <v>INCA KOLA SIN AZUCAR PET 1.5LX2</v>
      </c>
      <c r="G3818" s="424">
        <v>2160</v>
      </c>
      <c r="H3818" s="3">
        <f>+IFERROR(VLOOKUP(E3818,BD!$L$2:$Q$66,6,0),0)</f>
        <v>198</v>
      </c>
      <c r="I3818" s="96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84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7">
        <v>256548</v>
      </c>
      <c r="F3819" s="3" t="str">
        <f>IFERROR(VLOOKUP(E3819,BD!$L$2:$Q$66,2,0),0)</f>
        <v>TWO PACK CC PET 1.5LX2 - CRC</v>
      </c>
      <c r="G3819" s="424">
        <v>432</v>
      </c>
      <c r="H3819" s="3">
        <f>+IFERROR(VLOOKUP(E3819,BD!$L$2:$Q$66,6,0),0)</f>
        <v>198</v>
      </c>
      <c r="I3819" s="96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84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7">
        <v>256549</v>
      </c>
      <c r="F3820" s="3" t="str">
        <f>IFERROR(VLOOKUP(E3820,BD!$L$2:$Q$66,2,0),0)</f>
        <v>TWO PACK IK PET 1.5LX2 - CRCG</v>
      </c>
      <c r="G3820" s="424">
        <v>216</v>
      </c>
      <c r="H3820" s="3">
        <f>+IFERROR(VLOOKUP(E3820,BD!$L$2:$Q$66,6,0),0)</f>
        <v>198</v>
      </c>
      <c r="I3820" s="96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84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7">
        <v>256616</v>
      </c>
      <c r="F3821" s="3" t="str">
        <f>IFERROR(VLOOKUP(E3821,BD!$L$2:$Q$66,2,0),0)</f>
        <v>TWO PACK SCHWEPPES CITRUS PET 1.5LX2</v>
      </c>
      <c r="G3821" s="424">
        <v>792</v>
      </c>
      <c r="H3821" s="3">
        <f>+IFERROR(VLOOKUP(E3821,BD!$L$2:$Q$66,6,0),0)</f>
        <v>198</v>
      </c>
      <c r="I3821" s="96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84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7">
        <v>256666</v>
      </c>
      <c r="F3822" s="3" t="str">
        <f>IFERROR(VLOOKUP(E3822,BD!$L$2:$Q$66,2,0),0)</f>
        <v>COCA-COLA PET 2.25LX2 RF</v>
      </c>
      <c r="G3822" s="424">
        <v>648</v>
      </c>
      <c r="H3822" s="3">
        <f>+IFERROR(VLOOKUP(E3822,BD!$L$2:$Q$66,6,0),0)</f>
        <v>162</v>
      </c>
      <c r="I3822" s="96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84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7">
        <v>256601</v>
      </c>
      <c r="F3823" s="3" t="str">
        <f>IFERROR(VLOOKUP(E3823,BD!$L$2:$Q$66,2,0),0)</f>
        <v>INCA KOLA PET 2.25LX2 RF</v>
      </c>
      <c r="G3823" s="424">
        <v>810</v>
      </c>
      <c r="H3823" s="3">
        <f>+IFERROR(VLOOKUP(E3823,BD!$L$2:$Q$66,6,0),0)</f>
        <v>162</v>
      </c>
      <c r="I3823" s="96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84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7">
        <v>256676</v>
      </c>
      <c r="F3824" s="3" t="str">
        <f>IFERROR(VLOOKUP(E3824,BD!$L$2:$Q$66,2,0),0)</f>
        <v>TWO PACK CC PFM 3LX2 - RFCC</v>
      </c>
      <c r="G3824" s="424">
        <v>240</v>
      </c>
      <c r="H3824" s="3">
        <f>+IFERROR(VLOOKUP(E3824,BD!$L$2:$Q$66,6,0),0)</f>
        <v>120</v>
      </c>
      <c r="I3824" s="96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84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7">
        <v>256674</v>
      </c>
      <c r="F3825" s="3" t="str">
        <f>IFERROR(VLOOKUP(E3825,BD!$L$2:$Q$66,2,0),0)</f>
        <v>COCA-COLA PET 1.5LX2 RF</v>
      </c>
      <c r="G3825" s="424">
        <v>648</v>
      </c>
      <c r="H3825" s="3">
        <f>+IFERROR(VLOOKUP(E3825,BD!$L$2:$Q$66,6,0),0)</f>
        <v>198</v>
      </c>
      <c r="I3825" s="96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84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7">
        <v>256675</v>
      </c>
      <c r="F3826" s="3" t="str">
        <f>IFERROR(VLOOKUP(E3826,BD!$L$2:$Q$66,2,0),0)</f>
        <v>INCA KOLA PET 1.5LX2 RF</v>
      </c>
      <c r="G3826" s="424">
        <v>648</v>
      </c>
      <c r="H3826" s="3">
        <f>+IFERROR(VLOOKUP(E3826,BD!$L$2:$Q$66,6,0),0)</f>
        <v>198</v>
      </c>
      <c r="I3826" s="96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84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7">
        <v>256680</v>
      </c>
      <c r="F3827" s="3" t="str">
        <f>IFERROR(VLOOKUP(E3827,BD!$L$2:$Q$66,2,0),0)</f>
        <v>TRIPACK CC+CC+IK PFM 3LX3 - RFNN</v>
      </c>
      <c r="G3827" s="425">
        <v>450</v>
      </c>
      <c r="H3827" s="3">
        <f>+IFERROR(VLOOKUP(E3827,BD!$L$2:$Q$66,6,0),0)</f>
        <v>90</v>
      </c>
      <c r="I3827" s="96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84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7">
        <v>256677</v>
      </c>
      <c r="F3828" s="3" t="str">
        <f>IFERROR(VLOOKUP(E3828,BD!$L$2:$Q$66,2,0),0)</f>
        <v>TWO PACK CC + IK PFM 3LX2 - RFNN</v>
      </c>
      <c r="G3828" s="424">
        <v>840</v>
      </c>
      <c r="H3828" s="3">
        <f>+IFERROR(VLOOKUP(E3828,BD!$L$2:$Q$66,6,0),0)</f>
        <v>120</v>
      </c>
      <c r="I3828" s="96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84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7">
        <v>256679</v>
      </c>
      <c r="F3829" s="3" t="str">
        <f>IFERROR(VLOOKUP(E3829,BD!$L$2:$Q$66,2,0),0)</f>
        <v>TRIPACK CC+IK+IK PFM 3LX3 - RFNN</v>
      </c>
      <c r="G3829" s="424">
        <v>90</v>
      </c>
      <c r="H3829" s="3">
        <f>+IFERROR(VLOOKUP(E3829,BD!$L$2:$Q$66,6,0),0)</f>
        <v>90</v>
      </c>
      <c r="I3829" s="96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84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7">
        <v>256678</v>
      </c>
      <c r="F3830" s="3" t="str">
        <f>IFERROR(VLOOKUP(E3830,BD!$L$2:$Q$66,2,0),0)</f>
        <v>TRIPACK (CC+IK)PFM+FT PET 3LX3 - RFNN</v>
      </c>
      <c r="G3830" s="424">
        <v>450</v>
      </c>
      <c r="H3830" s="3">
        <f>+IFERROR(VLOOKUP(E3830,BD!$L$2:$Q$66,6,0),0)</f>
        <v>90</v>
      </c>
      <c r="I3830" s="96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84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7">
        <v>751315</v>
      </c>
      <c r="F3831" s="3" t="str">
        <f>IFERROR(VLOOKUP(E3831,BD!$L$2:$Q$66,2,0),0)</f>
        <v>MONSTER ENERGY 473MLX4</v>
      </c>
      <c r="G3831" s="424">
        <v>4620</v>
      </c>
      <c r="H3831" s="3">
        <f>+IFERROR(VLOOKUP(E3831,BD!$L$2:$Q$66,6,0),0)</f>
        <v>420</v>
      </c>
      <c r="I3831" s="96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84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7">
        <v>256685</v>
      </c>
      <c r="F3832" s="3" t="str">
        <f>IFERROR(VLOOKUP(E3832,BD!$L$2:$Q$66,2,0),0)</f>
        <v>SL S/G TAPA PLANA 1LT</v>
      </c>
      <c r="G3832" s="424">
        <v>560</v>
      </c>
      <c r="H3832" s="3">
        <f>+IFERROR(VLOOKUP(E3832,BD!$L$2:$Q$66,6,0),0)</f>
        <v>112</v>
      </c>
      <c r="I3832" s="96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84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7">
        <v>251633</v>
      </c>
      <c r="F3833" s="3" t="str">
        <f>IFERROR(VLOOKUP(E3833,BD!$L$2:$Q$66,2,0),0)</f>
        <v>SAN LUIS CON GAS PET 625MLX6</v>
      </c>
      <c r="G3833" s="424">
        <v>900</v>
      </c>
      <c r="H3833" s="3">
        <f>+IFERROR(VLOOKUP(E3833,BD!$L$2:$Q$66,6,0),0)</f>
        <v>180</v>
      </c>
      <c r="I3833" s="96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84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7">
        <v>256695</v>
      </c>
      <c r="F3834" s="3" t="str">
        <f>IFERROR(VLOOKUP(E3834,BD!$L$2:$Q$66,2,0),0)</f>
        <v>POWERADE 3MORA+3FRUT PET 473MLX6</v>
      </c>
      <c r="G3834" s="424">
        <v>1575</v>
      </c>
      <c r="H3834" s="3">
        <f>+IFERROR(VLOOKUP(E3834,BD!$L$2:$Q$66,6,0),0)</f>
        <v>225</v>
      </c>
      <c r="I3834" s="96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84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7">
        <v>256708</v>
      </c>
      <c r="F3835" s="3" t="str">
        <f>IFERROR(VLOOKUP(E3835,BD!$L$2:$Q$66,2,0),0)</f>
        <v>POWERADE ION4 FRUTA PET473X6 MOD (STICK)</v>
      </c>
      <c r="G3835" s="424">
        <v>675</v>
      </c>
      <c r="H3835" s="3">
        <f>+IFERROR(VLOOKUP(E3835,BD!$L$2:$Q$66,6,0),0)</f>
        <v>225</v>
      </c>
      <c r="I3835" s="96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84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7">
        <v>256709</v>
      </c>
      <c r="F3836" s="3" t="str">
        <f>IFERROR(VLOOKUP(E3836,BD!$L$2:$Q$66,2,0),0)</f>
        <v>POWERADE ION4 MORA AZ PET473X6 MOD(STCK)</v>
      </c>
      <c r="G3836" s="424">
        <v>225</v>
      </c>
      <c r="H3836" s="3">
        <f>+IFERROR(VLOOKUP(E3836,BD!$L$2:$Q$66,6,0),0)</f>
        <v>225</v>
      </c>
      <c r="I3836" s="96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84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7">
        <v>256720</v>
      </c>
      <c r="F3837" s="3" t="str">
        <f>IFERROR(VLOOKUP(E3837,BD!$L$2:$Q$66,2,0),0)</f>
        <v>FANTA NARANJA PET 500MLX6 BRANDEADO MOD</v>
      </c>
      <c r="G3837" s="424">
        <v>750</v>
      </c>
      <c r="H3837" s="3">
        <f>+IFERROR(VLOOKUP(E3837,BD!$L$2:$Q$66,6,0),0)</f>
        <v>420</v>
      </c>
      <c r="I3837" s="96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84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7">
        <v>256383</v>
      </c>
      <c r="F3838" s="3" t="str">
        <f>IFERROR(VLOOKUP(E3838,BD!$L$2:$Q$66,2,0),0)</f>
        <v>COCA COLA VR 1.5LX8 - STICKER</v>
      </c>
      <c r="G3838" s="424">
        <v>150</v>
      </c>
      <c r="H3838" s="3">
        <f>+IFERROR(VLOOKUP(E3838,BD!$L$2:$Q$66,6,0),0)</f>
        <v>30</v>
      </c>
      <c r="I3838" s="96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84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7">
        <v>256381</v>
      </c>
      <c r="F3839" s="3" t="str">
        <f>IFERROR(VLOOKUP(E3839,BD!$L$2:$Q$66,2,0),0)</f>
        <v>INCA KOLA VR 1.5LX8 - STICKER</v>
      </c>
      <c r="G3839" s="424">
        <v>90</v>
      </c>
      <c r="H3839" s="3">
        <f>+IFERROR(VLOOKUP(E3839,BD!$L$2:$Q$66,6,0),0)</f>
        <v>30</v>
      </c>
      <c r="I3839" s="96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84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7">
        <v>256379</v>
      </c>
      <c r="F3840" s="3" t="str">
        <f>IFERROR(VLOOKUP(E3840,BD!$L$2:$Q$66,2,0),0)</f>
        <v>INCA KOLA VR 625MLX12 - STICKER</v>
      </c>
      <c r="G3840" s="424">
        <v>450</v>
      </c>
      <c r="H3840" s="3">
        <f>+IFERROR(VLOOKUP(E3840,BD!$L$2:$Q$66,6,0),0)</f>
        <v>50</v>
      </c>
      <c r="I3840" s="96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84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7">
        <v>251429</v>
      </c>
      <c r="F3841" s="3" t="str">
        <f>IFERROR(VLOOKUP(E3841,BD!$L$2:$Q$66,2,0),0)</f>
        <v>SAN LUIS SIN GAS PET2500X6 STICKER</v>
      </c>
      <c r="G3841" s="425">
        <v>384</v>
      </c>
      <c r="H3841" s="3">
        <f>+IFERROR(VLOOKUP(E3841,BD!$L$2:$Q$66,6,0),0)</f>
        <v>48</v>
      </c>
      <c r="I3841" s="96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84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7">
        <v>751315</v>
      </c>
      <c r="F3842" s="3" t="str">
        <f>IFERROR(VLOOKUP(E3842,BD!$L$2:$Q$66,2,0),0)</f>
        <v>MONSTER ENERGY 473MLX4</v>
      </c>
      <c r="G3842" s="424">
        <v>3780</v>
      </c>
      <c r="H3842" s="3">
        <f>+IFERROR(VLOOKUP(E3842,BD!$L$2:$Q$66,6,0),0)</f>
        <v>420</v>
      </c>
      <c r="I3842" s="96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84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7">
        <v>751468</v>
      </c>
      <c r="F3843" s="3" t="str">
        <f>IFERROR(VLOOKUP(E3843,BD!$L$2:$Q$66,2,0),0)</f>
        <v>MONSTER ENERGY ULTRA 473MLX4</v>
      </c>
      <c r="G3843" s="424">
        <v>1260</v>
      </c>
      <c r="H3843" s="3">
        <f>+IFERROR(VLOOKUP(E3843,BD!$L$2:$Q$66,6,0),0)</f>
        <v>420</v>
      </c>
      <c r="I3843" s="96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84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7">
        <v>251406</v>
      </c>
      <c r="F3844" s="3" t="str">
        <f>IFERROR(VLOOKUP(E3844,BD!$L$2:$Q$66,2,0),0)</f>
        <v>COCA-COLA SIN AZUCAR PET 1.5LX2</v>
      </c>
      <c r="G3844" s="424">
        <v>1296</v>
      </c>
      <c r="H3844" s="3">
        <f>+IFERROR(VLOOKUP(E3844,BD!$L$2:$Q$66,6,0),0)</f>
        <v>198</v>
      </c>
      <c r="I3844" s="96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84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7">
        <v>254853</v>
      </c>
      <c r="F3845" s="3" t="str">
        <f>IFERROR(VLOOKUP(E3845,BD!$L$2:$Q$66,2,0),0)</f>
        <v>INCA KOLA SIN AZUCAR PET 1.5LX2</v>
      </c>
      <c r="G3845" s="424">
        <v>432</v>
      </c>
      <c r="H3845" s="3">
        <f>+IFERROR(VLOOKUP(E3845,BD!$L$2:$Q$66,6,0),0)</f>
        <v>198</v>
      </c>
      <c r="I3845" s="96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84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7">
        <v>256676</v>
      </c>
      <c r="F3846" s="3" t="str">
        <f>IFERROR(VLOOKUP(E3846,BD!$L$2:$Q$66,2,0),0)</f>
        <v>TWO PACK CC PFM 3LX2 - RFCC</v>
      </c>
      <c r="G3846" s="424">
        <v>480</v>
      </c>
      <c r="H3846" s="3">
        <f>+IFERROR(VLOOKUP(E3846,BD!$L$2:$Q$66,6,0),0)</f>
        <v>120</v>
      </c>
      <c r="I3846" s="96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84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7">
        <v>256675</v>
      </c>
      <c r="F3847" s="3" t="str">
        <f>IFERROR(VLOOKUP(E3847,BD!$L$2:$Q$66,2,0),0)</f>
        <v>INCA KOLA PET 1.5LX2 RF</v>
      </c>
      <c r="G3847" s="424">
        <v>432</v>
      </c>
      <c r="H3847" s="3">
        <f>+IFERROR(VLOOKUP(E3847,BD!$L$2:$Q$66,6,0),0)</f>
        <v>198</v>
      </c>
      <c r="I3847" s="96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84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7">
        <v>256652</v>
      </c>
      <c r="F3848" s="3" t="str">
        <f>IFERROR(VLOOKUP(E3848,BD!$L$2:$Q$66,2,0),0)</f>
        <v>TRIPACK FT NAR+FT KI+SP PET 3L</v>
      </c>
      <c r="G3848" s="424">
        <v>450</v>
      </c>
      <c r="H3848" s="3">
        <f>+IFERROR(VLOOKUP(E3848,BD!$L$2:$Q$66,6,0),0)</f>
        <v>90</v>
      </c>
      <c r="I3848" s="96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84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7">
        <v>256682</v>
      </c>
      <c r="F3849" s="3" t="str">
        <f>IFERROR(VLOOKUP(E3849,BD!$L$2:$Q$66,2,0),0)</f>
        <v>TRIPACK (FT NAR+SP)PET+IK RF PFM 3L</v>
      </c>
      <c r="G3849" s="424">
        <v>450</v>
      </c>
      <c r="H3849" s="3">
        <f>+IFERROR(VLOOKUP(E3849,BD!$L$2:$Q$66,6,0),0)</f>
        <v>90</v>
      </c>
      <c r="I3849" s="96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84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7">
        <v>256695</v>
      </c>
      <c r="F3850" s="3" t="str">
        <f>IFERROR(VLOOKUP(E3850,BD!$L$2:$Q$66,2,0),0)</f>
        <v>POWERADE 3MORA+3FRUT PET 473MLX6</v>
      </c>
      <c r="G3850" s="424">
        <v>1350</v>
      </c>
      <c r="H3850" s="3">
        <f>+IFERROR(VLOOKUP(E3850,BD!$L$2:$Q$66,6,0),0)</f>
        <v>225</v>
      </c>
      <c r="I3850" s="96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84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7">
        <v>256708</v>
      </c>
      <c r="F3851" s="3" t="str">
        <f>IFERROR(VLOOKUP(E3851,BD!$L$2:$Q$66,2,0),0)</f>
        <v>POWERADE ION4 FRUTA PET473X6 MOD (STICK)</v>
      </c>
      <c r="G3851" s="424">
        <v>225</v>
      </c>
      <c r="H3851" s="3">
        <f>+IFERROR(VLOOKUP(E3851,BD!$L$2:$Q$66,6,0),0)</f>
        <v>225</v>
      </c>
      <c r="I3851" s="96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84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7">
        <v>256709</v>
      </c>
      <c r="F3852" s="3" t="str">
        <f>IFERROR(VLOOKUP(E3852,BD!$L$2:$Q$66,2,0),0)</f>
        <v>POWERADE ION4 MORA AZ PET473X6 MOD(STCK)</v>
      </c>
      <c r="G3852" s="424">
        <v>225</v>
      </c>
      <c r="H3852" s="3">
        <f>+IFERROR(VLOOKUP(E3852,BD!$L$2:$Q$66,6,0),0)</f>
        <v>225</v>
      </c>
      <c r="I3852" s="96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84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7">
        <v>256379</v>
      </c>
      <c r="F3853" s="3" t="str">
        <f>IFERROR(VLOOKUP(E3853,BD!$L$2:$Q$66,2,0),0)</f>
        <v>INCA KOLA VR 625MLX12 - STICKER</v>
      </c>
      <c r="G3853" s="424">
        <v>250</v>
      </c>
      <c r="H3853" s="3">
        <f>+IFERROR(VLOOKUP(E3853,BD!$L$2:$Q$66,6,0),0)</f>
        <v>50</v>
      </c>
      <c r="I3853" s="96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84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7">
        <v>252436</v>
      </c>
      <c r="F3854" s="3" t="str">
        <f>IFERROR(VLOOKUP(E3854,BD!$L$2:$Q$66,2,0),0)</f>
        <v>SAN LUIS SIN GAS PET 625MLX15 C/STICKER</v>
      </c>
      <c r="G3854" s="424">
        <v>450</v>
      </c>
      <c r="H3854" s="3">
        <f>+IFERROR(VLOOKUP(E3854,BD!$L$2:$Q$66,6,0),0)</f>
        <v>90</v>
      </c>
      <c r="I3854" s="96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84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7">
        <v>251429</v>
      </c>
      <c r="F3855" s="3" t="str">
        <f>IFERROR(VLOOKUP(E3855,BD!$L$2:$Q$66,2,0),0)</f>
        <v>SAN LUIS SIN GAS PET2500X6 STICKER</v>
      </c>
      <c r="G3855" s="425">
        <v>960</v>
      </c>
      <c r="H3855" s="3">
        <f>+IFERROR(VLOOKUP(E3855,BD!$L$2:$Q$66,6,0),0)</f>
        <v>48</v>
      </c>
      <c r="I3855" s="96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84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7">
        <v>751315</v>
      </c>
      <c r="F3856" s="3" t="str">
        <f>IFERROR(VLOOKUP(E3856,BD!$L$2:$Q$66,2,0),0)</f>
        <v>MONSTER ENERGY 473MLX4</v>
      </c>
      <c r="G3856" s="424">
        <v>4200</v>
      </c>
      <c r="H3856" s="3">
        <f>+IFERROR(VLOOKUP(E3856,BD!$L$2:$Q$66,6,0),0)</f>
        <v>420</v>
      </c>
      <c r="I3856" s="96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84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7">
        <v>251406</v>
      </c>
      <c r="F3857" s="3" t="str">
        <f>IFERROR(VLOOKUP(E3857,BD!$L$2:$Q$66,2,0),0)</f>
        <v>COCA-COLA SIN AZUCAR PET 1.5LX2</v>
      </c>
      <c r="G3857" s="424">
        <v>1512</v>
      </c>
      <c r="H3857" s="3">
        <f>+IFERROR(VLOOKUP(E3857,BD!$L$2:$Q$66,6,0),0)</f>
        <v>198</v>
      </c>
      <c r="I3857" s="96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84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7">
        <v>254853</v>
      </c>
      <c r="F3858" s="3" t="str">
        <f>IFERROR(VLOOKUP(E3858,BD!$L$2:$Q$66,2,0),0)</f>
        <v>INCA KOLA SIN AZUCAR PET 1.5LX2</v>
      </c>
      <c r="G3858" s="424">
        <v>1944</v>
      </c>
      <c r="H3858" s="3">
        <f>+IFERROR(VLOOKUP(E3858,BD!$L$2:$Q$66,6,0),0)</f>
        <v>198</v>
      </c>
      <c r="I3858" s="96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84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7">
        <v>256616</v>
      </c>
      <c r="F3859" s="3" t="str">
        <f>IFERROR(VLOOKUP(E3859,BD!$L$2:$Q$66,2,0),0)</f>
        <v>TWO PACK SCHWEPPES CITRUS PET 1.5LX2</v>
      </c>
      <c r="G3859" s="424">
        <v>792</v>
      </c>
      <c r="H3859" s="3">
        <f>+IFERROR(VLOOKUP(E3859,BD!$L$2:$Q$66,6,0),0)</f>
        <v>198</v>
      </c>
      <c r="I3859" s="96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84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7">
        <v>256617</v>
      </c>
      <c r="F3860" s="3" t="str">
        <f>IFERROR(VLOOKUP(E3860,BD!$L$2:$Q$66,2,0),0)</f>
        <v>TWO PACK SCHWEPPES GINGER ALE PET 1.5LX2</v>
      </c>
      <c r="G3860" s="424">
        <v>1188</v>
      </c>
      <c r="H3860" s="3">
        <f>+IFERROR(VLOOKUP(E3860,BD!$L$2:$Q$66,6,0),0)</f>
        <v>198</v>
      </c>
      <c r="I3860" s="96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84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7">
        <v>256674</v>
      </c>
      <c r="F3861" s="3" t="str">
        <f>IFERROR(VLOOKUP(E3861,BD!$L$2:$Q$66,2,0),0)</f>
        <v>COCA-COLA PET 1.5LX2 RF</v>
      </c>
      <c r="G3861" s="424">
        <v>864</v>
      </c>
      <c r="H3861" s="3">
        <f>+IFERROR(VLOOKUP(E3861,BD!$L$2:$Q$66,6,0),0)</f>
        <v>198</v>
      </c>
      <c r="I3861" s="96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84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7">
        <v>256675</v>
      </c>
      <c r="F3862" s="3" t="str">
        <f>IFERROR(VLOOKUP(E3862,BD!$L$2:$Q$66,2,0),0)</f>
        <v>INCA KOLA PET 1.5LX2 RF</v>
      </c>
      <c r="G3862" s="424">
        <v>648</v>
      </c>
      <c r="H3862" s="3">
        <f>+IFERROR(VLOOKUP(E3862,BD!$L$2:$Q$66,6,0),0)</f>
        <v>198</v>
      </c>
      <c r="I3862" s="96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84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7">
        <v>256652</v>
      </c>
      <c r="F3863" s="3" t="str">
        <f>IFERROR(VLOOKUP(E3863,BD!$L$2:$Q$66,2,0),0)</f>
        <v>TRIPACK FT NAR+FT KI+SP PET 3L</v>
      </c>
      <c r="G3863" s="424">
        <v>720</v>
      </c>
      <c r="H3863" s="3">
        <f>+IFERROR(VLOOKUP(E3863,BD!$L$2:$Q$66,6,0),0)</f>
        <v>90</v>
      </c>
      <c r="I3863" s="96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84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7">
        <v>256677</v>
      </c>
      <c r="F3864" s="3" t="str">
        <f>IFERROR(VLOOKUP(E3864,BD!$L$2:$Q$66,2,0),0)</f>
        <v>TWO PACK CC + IK PFM 3LX2 - RFNN</v>
      </c>
      <c r="G3864" s="424">
        <v>3360</v>
      </c>
      <c r="H3864" s="3">
        <f>+IFERROR(VLOOKUP(E3864,BD!$L$2:$Q$66,6,0),0)</f>
        <v>120</v>
      </c>
      <c r="I3864" s="96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84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7">
        <v>256682</v>
      </c>
      <c r="F3865" s="3" t="str">
        <f>IFERROR(VLOOKUP(E3865,BD!$L$2:$Q$66,2,0),0)</f>
        <v>TRIPACK (FT NAR+SP)PET+IK RF PFM 3L</v>
      </c>
      <c r="G3865" s="424">
        <v>720</v>
      </c>
      <c r="H3865" s="3">
        <f>+IFERROR(VLOOKUP(E3865,BD!$L$2:$Q$66,6,0),0)</f>
        <v>90</v>
      </c>
      <c r="I3865" s="96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84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7">
        <v>256695</v>
      </c>
      <c r="F3866" s="3" t="str">
        <f>IFERROR(VLOOKUP(E3866,BD!$L$2:$Q$66,2,0),0)</f>
        <v>POWERADE 3MORA+3FRUT PET 473MLX6</v>
      </c>
      <c r="G3866" s="424">
        <v>1350</v>
      </c>
      <c r="H3866" s="3">
        <f>+IFERROR(VLOOKUP(E3866,BD!$L$2:$Q$66,6,0),0)</f>
        <v>225</v>
      </c>
      <c r="I3866" s="96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7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7">
        <v>256383</v>
      </c>
      <c r="F3867" s="3" t="str">
        <f>IFERROR(VLOOKUP(E3867,BD!$L$2:$Q$66,2,0),0)</f>
        <v>COCA COLA VR 1.5LX8 - STICKER</v>
      </c>
      <c r="G3867" s="424">
        <v>300</v>
      </c>
      <c r="H3867" s="3">
        <f>+IFERROR(VLOOKUP(E3867,BD!$L$2:$Q$66,6,0),0)</f>
        <v>30</v>
      </c>
      <c r="I3867" s="96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7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7">
        <v>256379</v>
      </c>
      <c r="F3868" s="3" t="str">
        <f>IFERROR(VLOOKUP(E3868,BD!$L$2:$Q$66,2,0),0)</f>
        <v>INCA KOLA VR 625MLX12 - STICKER</v>
      </c>
      <c r="G3868" s="424">
        <v>150</v>
      </c>
      <c r="H3868" s="3">
        <f>+IFERROR(VLOOKUP(E3868,BD!$L$2:$Q$66,6,0),0)</f>
        <v>50</v>
      </c>
      <c r="I3868" s="96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7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7">
        <v>252436</v>
      </c>
      <c r="F3869" s="3" t="str">
        <f>IFERROR(VLOOKUP(E3869,BD!$L$2:$Q$66,2,0),0)</f>
        <v>SAN LUIS SIN GAS PET 625MLX15 C/STICKER</v>
      </c>
      <c r="G3869" s="424">
        <v>360</v>
      </c>
      <c r="H3869" s="3">
        <f>+IFERROR(VLOOKUP(E3869,BD!$L$2:$Q$66,6,0),0)</f>
        <v>90</v>
      </c>
      <c r="I3869" s="96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7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7">
        <v>251429</v>
      </c>
      <c r="F3870" s="3" t="str">
        <f>IFERROR(VLOOKUP(E3870,BD!$L$2:$Q$66,2,0),0)</f>
        <v>SAN LUIS SIN GAS PET2500X6 STICKER</v>
      </c>
      <c r="G3870" s="424">
        <v>1344</v>
      </c>
      <c r="H3870" s="3">
        <f>+IFERROR(VLOOKUP(E3870,BD!$L$2:$Q$66,6,0),0)</f>
        <v>48</v>
      </c>
      <c r="I3870" s="96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7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7">
        <v>751315</v>
      </c>
      <c r="F3871" s="3" t="str">
        <f>IFERROR(VLOOKUP(E3871,BD!$L$2:$Q$66,2,0),0)</f>
        <v>MONSTER ENERGY 473MLX4</v>
      </c>
      <c r="G3871" s="424">
        <v>4200</v>
      </c>
      <c r="H3871" s="3">
        <f>+IFERROR(VLOOKUP(E3871,BD!$L$2:$Q$66,6,0),0)</f>
        <v>420</v>
      </c>
      <c r="I3871" s="96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7">
        <v>44573</v>
      </c>
      <c r="B3872" s="55" t="str">
        <f t="shared" ref="B3872" si="264">UPPER(TEXT(A3872,"MMMM"))</f>
        <v>ENERO</v>
      </c>
      <c r="C3872" s="55"/>
      <c r="D3872" s="3"/>
      <c r="E3872" s="427">
        <v>256674</v>
      </c>
      <c r="F3872" s="3" t="str">
        <f>IFERROR(VLOOKUP(E3872,BD!$L$2:$Q$66,2,0),0)</f>
        <v>COCA-COLA PET 1.5LX2 RF</v>
      </c>
      <c r="G3872" s="424">
        <v>2160</v>
      </c>
      <c r="H3872" s="3">
        <f>+IFERROR(VLOOKUP(E3872,BD!$L$2:$Q$66,6,0),0)</f>
        <v>198</v>
      </c>
      <c r="I3872" s="96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7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7">
        <v>256677</v>
      </c>
      <c r="F3873" s="3" t="str">
        <f>IFERROR(VLOOKUP(E3873,BD!$L$2:$Q$66,2,0),0)</f>
        <v>TWO PACK CC + IK PFM 3LX2 - RFNN</v>
      </c>
      <c r="G3873" s="424">
        <v>2640</v>
      </c>
      <c r="H3873" s="3">
        <f>+IFERROR(VLOOKUP(E3873,BD!$L$2:$Q$66,6,0),0)</f>
        <v>120</v>
      </c>
      <c r="I3873" s="96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7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7">
        <v>256695</v>
      </c>
      <c r="F3874" s="3" t="str">
        <f>IFERROR(VLOOKUP(E3874,BD!$L$2:$Q$66,2,0),0)</f>
        <v>POWERADE 3MORA+3FRUT PET 473MLX6</v>
      </c>
      <c r="G3874" s="424">
        <v>1350</v>
      </c>
      <c r="H3874" s="3">
        <f>+IFERROR(VLOOKUP(E3874,BD!$L$2:$Q$66,6,0),0)</f>
        <v>225</v>
      </c>
      <c r="I3874" s="96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7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7">
        <v>251151</v>
      </c>
      <c r="F3875" s="3" t="str">
        <f>IFERROR(VLOOKUP(E3875,BD!$L$2:$Q$66,2,0),0)</f>
        <v>COCA COLA PET 500MLX6</v>
      </c>
      <c r="G3875" s="424">
        <v>250</v>
      </c>
      <c r="H3875" s="3">
        <f>+IFERROR(VLOOKUP(E3875,BD!$L$2:$Q$66,6,0),0)</f>
        <v>250</v>
      </c>
      <c r="I3875" s="96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7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7">
        <v>256381</v>
      </c>
      <c r="F3876" s="3" t="str">
        <f>IFERROR(VLOOKUP(E3876,BD!$L$2:$Q$66,2,0),0)</f>
        <v>INCA KOLA VR 1.5LX8 - STICKER</v>
      </c>
      <c r="G3876" s="424">
        <v>270</v>
      </c>
      <c r="H3876" s="3">
        <f>+IFERROR(VLOOKUP(E3876,BD!$L$2:$Q$66,6,0),0)</f>
        <v>30</v>
      </c>
      <c r="I3876" s="96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7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7">
        <v>252436</v>
      </c>
      <c r="F3877" s="3" t="str">
        <f>IFERROR(VLOOKUP(E3877,BD!$L$2:$Q$66,2,0),0)</f>
        <v>SAN LUIS SIN GAS PET 625MLX15 C/STICKER</v>
      </c>
      <c r="G3877" s="424">
        <v>720</v>
      </c>
      <c r="H3877" s="3">
        <f>+IFERROR(VLOOKUP(E3877,BD!$L$2:$Q$66,6,0),0)</f>
        <v>90</v>
      </c>
      <c r="I3877" s="96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7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7">
        <v>251429</v>
      </c>
      <c r="F3878" s="3" t="str">
        <f>IFERROR(VLOOKUP(E3878,BD!$L$2:$Q$66,2,0),0)</f>
        <v>SAN LUIS SIN GAS PET2500X6 STICKER</v>
      </c>
      <c r="G3878" s="424">
        <v>1440</v>
      </c>
      <c r="H3878" s="3">
        <f>+IFERROR(VLOOKUP(E3878,BD!$L$2:$Q$66,6,0),0)</f>
        <v>48</v>
      </c>
      <c r="I3878" s="96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7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7">
        <v>751544</v>
      </c>
      <c r="F3879" s="3" t="str">
        <f>IFERROR(VLOOKUP(E3879,BD!$L$2:$Q$66,2,0),0)</f>
        <v>MONSTER ENERGY ZERO 473MLX4</v>
      </c>
      <c r="G3879" s="424">
        <v>4200</v>
      </c>
      <c r="H3879" s="3">
        <f>+IFERROR(VLOOKUP(E3879,BD!$L$2:$Q$66,6,0),0)</f>
        <v>420</v>
      </c>
      <c r="I3879" s="96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7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7">
        <v>251406</v>
      </c>
      <c r="F3880" s="3" t="str">
        <f>IFERROR(VLOOKUP(E3880,BD!$L$2:$Q$66,2,0),0)</f>
        <v>COCA-COLA SIN AZUCAR PET 1.5LX2</v>
      </c>
      <c r="G3880" s="424">
        <v>2160</v>
      </c>
      <c r="H3880" s="3">
        <f>+IFERROR(VLOOKUP(E3880,BD!$L$2:$Q$66,6,0),0)</f>
        <v>198</v>
      </c>
      <c r="I3880" s="96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7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7">
        <v>256616</v>
      </c>
      <c r="F3881" s="3" t="str">
        <f>IFERROR(VLOOKUP(E3881,BD!$L$2:$Q$66,2,0),0)</f>
        <v>TWO PACK SCHWEPPES CITRUS PET 1.5LX2</v>
      </c>
      <c r="G3881" s="424">
        <v>594</v>
      </c>
      <c r="H3881" s="3">
        <f>+IFERROR(VLOOKUP(E3881,BD!$L$2:$Q$66,6,0),0)</f>
        <v>198</v>
      </c>
      <c r="I3881" s="96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7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7">
        <v>256617</v>
      </c>
      <c r="F3882" s="3" t="str">
        <f>IFERROR(VLOOKUP(E3882,BD!$L$2:$Q$66,2,0),0)</f>
        <v>TWO PACK SCHWEPPES GINGER ALE PET 1.5LX2</v>
      </c>
      <c r="G3882" s="424">
        <v>990</v>
      </c>
      <c r="H3882" s="3">
        <f>+IFERROR(VLOOKUP(E3882,BD!$L$2:$Q$66,6,0),0)</f>
        <v>198</v>
      </c>
      <c r="I3882" s="96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7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7">
        <v>256488</v>
      </c>
      <c r="F3883" s="3" t="str">
        <f>IFERROR(VLOOKUP(E3883,BD!$L$2:$Q$66,2,0),0)</f>
        <v>INCA KOLA PET 3LX2 - RF</v>
      </c>
      <c r="G3883" s="425">
        <v>1800</v>
      </c>
      <c r="H3883" s="3">
        <f>+IFERROR(VLOOKUP(E3883,BD!$L$2:$Q$66,6,0),0)</f>
        <v>120</v>
      </c>
      <c r="I3883" s="96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7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7">
        <v>256676</v>
      </c>
      <c r="F3884" s="3" t="str">
        <f>IFERROR(VLOOKUP(E3884,BD!$L$2:$Q$66,2,0),0)</f>
        <v>TWO PACK CC PFM 3LX2 - RFCC</v>
      </c>
      <c r="G3884" s="424">
        <v>600</v>
      </c>
      <c r="H3884" s="3">
        <f>+IFERROR(VLOOKUP(E3884,BD!$L$2:$Q$66,6,0),0)</f>
        <v>120</v>
      </c>
      <c r="I3884" s="96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7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7">
        <v>256674</v>
      </c>
      <c r="F3885" s="3" t="str">
        <f>IFERROR(VLOOKUP(E3885,BD!$L$2:$Q$66,2,0),0)</f>
        <v>COCA-COLA PET 1.5LX2 RF</v>
      </c>
      <c r="G3885" s="424">
        <v>1728</v>
      </c>
      <c r="H3885" s="3">
        <f>+IFERROR(VLOOKUP(E3885,BD!$L$2:$Q$66,6,0),0)</f>
        <v>198</v>
      </c>
      <c r="I3885" s="96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7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7">
        <v>256675</v>
      </c>
      <c r="F3886" s="3" t="str">
        <f>IFERROR(VLOOKUP(E3886,BD!$L$2:$Q$66,2,0),0)</f>
        <v>INCA KOLA PET 1.5LX2 RF</v>
      </c>
      <c r="G3886" s="424">
        <v>1728</v>
      </c>
      <c r="H3886" s="3">
        <f>+IFERROR(VLOOKUP(E3886,BD!$L$2:$Q$66,6,0),0)</f>
        <v>198</v>
      </c>
      <c r="I3886" s="96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7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7">
        <v>256695</v>
      </c>
      <c r="F3887" s="3" t="str">
        <f>IFERROR(VLOOKUP(E3887,BD!$L$2:$Q$66,2,0),0)</f>
        <v>POWERADE 3MORA+3FRUT PET 473MLX6</v>
      </c>
      <c r="G3887" s="424">
        <v>900</v>
      </c>
      <c r="H3887" s="3">
        <f>+IFERROR(VLOOKUP(E3887,BD!$L$2:$Q$66,6,0),0)</f>
        <v>225</v>
      </c>
      <c r="I3887" s="96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7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7">
        <v>256709</v>
      </c>
      <c r="F3888" s="3" t="str">
        <f>IFERROR(VLOOKUP(E3888,BD!$L$2:$Q$66,2,0),0)</f>
        <v>POWERADE ION4 MORA AZ PET473X6 MOD(STCK)</v>
      </c>
      <c r="G3888" s="424">
        <v>225</v>
      </c>
      <c r="H3888" s="3">
        <f>+IFERROR(VLOOKUP(E3888,BD!$L$2:$Q$66,6,0),0)</f>
        <v>225</v>
      </c>
      <c r="I3888" s="96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7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7">
        <v>251151</v>
      </c>
      <c r="F3889" s="3" t="str">
        <f>IFERROR(VLOOKUP(E3889,BD!$L$2:$Q$66,2,0),0)</f>
        <v>COCA COLA PET 500MLX6</v>
      </c>
      <c r="G3889" s="424">
        <v>1500</v>
      </c>
      <c r="H3889" s="3">
        <f>+IFERROR(VLOOKUP(E3889,BD!$L$2:$Q$66,6,0),0)</f>
        <v>250</v>
      </c>
      <c r="I3889" s="96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7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7">
        <v>256721</v>
      </c>
      <c r="F3890" s="3" t="str">
        <f>IFERROR(VLOOKUP(E3890,BD!$L$2:$Q$66,2,0),0)</f>
        <v>SPRITE PET 500MLX6 BRANDEADO MOD</v>
      </c>
      <c r="G3890" s="424">
        <v>750</v>
      </c>
      <c r="H3890" s="3">
        <f>+IFERROR(VLOOKUP(E3890,BD!$L$2:$Q$66,6,0),0)</f>
        <v>420</v>
      </c>
      <c r="I3890" s="96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7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7">
        <v>251151</v>
      </c>
      <c r="F3891" s="3" t="str">
        <f>IFERROR(VLOOKUP(E3891,BD!$L$2:$Q$66,2,0),0)</f>
        <v>COCA COLA PET 500MLX6</v>
      </c>
      <c r="G3891" s="424">
        <v>1750</v>
      </c>
      <c r="H3891" s="3">
        <f>+IFERROR(VLOOKUP(E3891,BD!$L$2:$Q$66,6,0),0)</f>
        <v>250</v>
      </c>
      <c r="I3891" s="96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7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7">
        <v>256721</v>
      </c>
      <c r="F3892" s="3" t="str">
        <f>IFERROR(VLOOKUP(E3892,BD!$L$2:$Q$66,2,0),0)</f>
        <v>SPRITE PET 500MLX6 BRANDEADO MOD</v>
      </c>
      <c r="G3892" s="424">
        <v>1000</v>
      </c>
      <c r="H3892" s="3">
        <f>+IFERROR(VLOOKUP(E3892,BD!$L$2:$Q$66,6,0),0)</f>
        <v>420</v>
      </c>
      <c r="I3892" s="96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7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7">
        <v>256753</v>
      </c>
      <c r="F3893" s="3" t="str">
        <f>IFERROR(VLOOKUP(E3893,BD!$L$2:$Q$66,2,0),0)</f>
        <v>PACK-2 FT NAR+FT KI+FT PIÑA+SP RP 1.5LX8</v>
      </c>
      <c r="G3893" s="424">
        <v>600</v>
      </c>
      <c r="H3893" s="3">
        <f>+IFERROR(VLOOKUP(E3893,BD!$L$2:$Q$66,6,0),0)</f>
        <v>30</v>
      </c>
      <c r="I3893" s="96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7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7">
        <v>256383</v>
      </c>
      <c r="F3894" s="3" t="str">
        <f>IFERROR(VLOOKUP(E3894,BD!$L$2:$Q$66,2,0),0)</f>
        <v>COCA COLA VR 1.5LX8 - STICKER</v>
      </c>
      <c r="G3894" s="424">
        <v>360</v>
      </c>
      <c r="H3894" s="3">
        <f>+IFERROR(VLOOKUP(E3894,BD!$L$2:$Q$66,6,0),0)</f>
        <v>30</v>
      </c>
      <c r="I3894" s="96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7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7">
        <v>256382</v>
      </c>
      <c r="F3895" s="3" t="str">
        <f>IFERROR(VLOOKUP(E3895,BD!$L$2:$Q$66,2,0),0)</f>
        <v>COCA COLA VR 296MLX24 - STICKER</v>
      </c>
      <c r="G3895" s="424">
        <v>120</v>
      </c>
      <c r="H3895" s="3">
        <f>+IFERROR(VLOOKUP(E3895,BD!$L$2:$Q$66,6,0),0)</f>
        <v>40</v>
      </c>
      <c r="I3895" s="96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7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7">
        <v>256381</v>
      </c>
      <c r="F3896" s="3" t="str">
        <f>IFERROR(VLOOKUP(E3896,BD!$L$2:$Q$66,2,0),0)</f>
        <v>INCA KOLA VR 1.5LX8 - STICKER</v>
      </c>
      <c r="G3896" s="424">
        <v>390</v>
      </c>
      <c r="H3896" s="3">
        <f>+IFERROR(VLOOKUP(E3896,BD!$L$2:$Q$66,6,0),0)</f>
        <v>30</v>
      </c>
      <c r="I3896" s="96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7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7">
        <v>256380</v>
      </c>
      <c r="F3897" s="3" t="str">
        <f>IFERROR(VLOOKUP(E3897,BD!$L$2:$Q$66,2,0),0)</f>
        <v>INCA KOLA VR 296MLX24 - STICKER</v>
      </c>
      <c r="G3897" s="424">
        <v>600</v>
      </c>
      <c r="H3897" s="3">
        <f>+IFERROR(VLOOKUP(E3897,BD!$L$2:$Q$66,6,0),0)</f>
        <v>40</v>
      </c>
      <c r="I3897" s="96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7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7">
        <v>256379</v>
      </c>
      <c r="F3898" s="3" t="str">
        <f>IFERROR(VLOOKUP(E3898,BD!$L$2:$Q$66,2,0),0)</f>
        <v>INCA KOLA VR 625MLX12 - STICKER</v>
      </c>
      <c r="G3898" s="424">
        <v>500</v>
      </c>
      <c r="H3898" s="3">
        <f>+IFERROR(VLOOKUP(E3898,BD!$L$2:$Q$66,6,0),0)</f>
        <v>50</v>
      </c>
      <c r="I3898" s="96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7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7">
        <v>252436</v>
      </c>
      <c r="F3899" s="3" t="str">
        <f>IFERROR(VLOOKUP(E3899,BD!$L$2:$Q$66,2,0),0)</f>
        <v>SAN LUIS SIN GAS PET 625MLX15 C/STICKER</v>
      </c>
      <c r="G3899" s="424">
        <v>450</v>
      </c>
      <c r="H3899" s="3">
        <f>+IFERROR(VLOOKUP(E3899,BD!$L$2:$Q$66,6,0),0)</f>
        <v>90</v>
      </c>
      <c r="I3899" s="96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7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7">
        <v>251429</v>
      </c>
      <c r="F3900" s="3" t="str">
        <f>IFERROR(VLOOKUP(E3900,BD!$L$2:$Q$66,2,0),0)</f>
        <v>SAN LUIS SIN GAS PET2500X6 STICKER</v>
      </c>
      <c r="G3900" s="424">
        <v>1344</v>
      </c>
      <c r="H3900" s="3">
        <f>+IFERROR(VLOOKUP(E3900,BD!$L$2:$Q$66,6,0),0)</f>
        <v>48</v>
      </c>
      <c r="I3900" s="96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7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7">
        <v>751544</v>
      </c>
      <c r="F3901" s="3" t="str">
        <f>IFERROR(VLOOKUP(E3901,BD!$L$2:$Q$66,2,0),0)</f>
        <v>MONSTER ENERGY ZERO 473MLX4</v>
      </c>
      <c r="G3901" s="424">
        <v>2520</v>
      </c>
      <c r="H3901" s="3">
        <f>+IFERROR(VLOOKUP(E3901,BD!$L$2:$Q$66,6,0),0)</f>
        <v>420</v>
      </c>
      <c r="I3901" s="96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7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7">
        <v>256548</v>
      </c>
      <c r="F3902" s="3" t="str">
        <f>IFERROR(VLOOKUP(E3902,BD!$L$2:$Q$66,2,0),0)</f>
        <v>TWO PACK CC PET 1.5LX2 - CRC</v>
      </c>
      <c r="G3902" s="424">
        <v>216</v>
      </c>
      <c r="H3902" s="3">
        <f>+IFERROR(VLOOKUP(E3902,BD!$L$2:$Q$66,6,0),0)</f>
        <v>198</v>
      </c>
      <c r="I3902" s="96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7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7">
        <v>256549</v>
      </c>
      <c r="F3903" s="3" t="str">
        <f>IFERROR(VLOOKUP(E3903,BD!$L$2:$Q$66,2,0),0)</f>
        <v>TWO PACK IK PET 1.5LX2 - CRCG</v>
      </c>
      <c r="G3903" s="424">
        <v>432</v>
      </c>
      <c r="H3903" s="3">
        <f>+IFERROR(VLOOKUP(E3903,BD!$L$2:$Q$66,6,0),0)</f>
        <v>198</v>
      </c>
      <c r="I3903" s="96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7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7">
        <v>256680</v>
      </c>
      <c r="F3904" s="3" t="str">
        <f>IFERROR(VLOOKUP(E3904,BD!$L$2:$Q$66,2,0),0)</f>
        <v>TRIPACK CC+CC+IK PFM 3LX3 - RFNN</v>
      </c>
      <c r="G3904" s="424">
        <v>900</v>
      </c>
      <c r="H3904" s="3">
        <f>+IFERROR(VLOOKUP(E3904,BD!$L$2:$Q$66,6,0),0)</f>
        <v>90</v>
      </c>
      <c r="I3904" s="96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7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7">
        <v>256708</v>
      </c>
      <c r="F3905" s="3" t="str">
        <f>IFERROR(VLOOKUP(E3905,BD!$L$2:$Q$66,2,0),0)</f>
        <v>POWERADE ION4 FRUTA PET473X6 MOD (STICK)</v>
      </c>
      <c r="G3905" s="424">
        <v>900</v>
      </c>
      <c r="H3905" s="3">
        <f>+IFERROR(VLOOKUP(E3905,BD!$L$2:$Q$66,6,0),0)</f>
        <v>225</v>
      </c>
      <c r="I3905" s="96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7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7">
        <v>256709</v>
      </c>
      <c r="F3906" s="3" t="str">
        <f>IFERROR(VLOOKUP(E3906,BD!$L$2:$Q$66,2,0),0)</f>
        <v>POWERADE ION4 MORA AZ PET473X6 MOD(STCK)</v>
      </c>
      <c r="G3906" s="424">
        <v>450</v>
      </c>
      <c r="H3906" s="3">
        <f>+IFERROR(VLOOKUP(E3906,BD!$L$2:$Q$66,6,0),0)</f>
        <v>225</v>
      </c>
      <c r="I3906" s="96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7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7">
        <v>251151</v>
      </c>
      <c r="F3907" s="3" t="str">
        <f>IFERROR(VLOOKUP(E3907,BD!$L$2:$Q$66,2,0),0)</f>
        <v>COCA COLA PET 500MLX6</v>
      </c>
      <c r="G3907" s="424">
        <v>1750</v>
      </c>
      <c r="H3907" s="3">
        <f>+IFERROR(VLOOKUP(E3907,BD!$L$2:$Q$66,6,0),0)</f>
        <v>250</v>
      </c>
      <c r="I3907" s="96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7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7">
        <v>256720</v>
      </c>
      <c r="F3908" s="3" t="str">
        <f>IFERROR(VLOOKUP(E3908,BD!$L$2:$Q$66,2,0),0)</f>
        <v>FANTA NARANJA PET 500MLX6 BRANDEADO MOD</v>
      </c>
      <c r="G3908" s="424">
        <v>1000</v>
      </c>
      <c r="H3908" s="3">
        <f>+IFERROR(VLOOKUP(E3908,BD!$L$2:$Q$66,6,0),0)</f>
        <v>420</v>
      </c>
      <c r="I3908" s="96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7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7">
        <v>251151</v>
      </c>
      <c r="F3909" s="3" t="str">
        <f>IFERROR(VLOOKUP(E3909,BD!$L$2:$Q$66,2,0),0)</f>
        <v>COCA COLA PET 500MLX6</v>
      </c>
      <c r="G3909" s="424">
        <v>1250</v>
      </c>
      <c r="H3909" s="3">
        <f>+IFERROR(VLOOKUP(E3909,BD!$L$2:$Q$66,6,0),0)</f>
        <v>250</v>
      </c>
      <c r="I3909" s="96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7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7">
        <v>256753</v>
      </c>
      <c r="F3910" s="3" t="str">
        <f>IFERROR(VLOOKUP(E3910,BD!$L$2:$Q$66,2,0),0)</f>
        <v>PACK-2 FT NAR+FT KI+FT PIÑA+SP RP 1.5LX8</v>
      </c>
      <c r="G3910" s="424">
        <v>240</v>
      </c>
      <c r="H3910" s="3">
        <f>+IFERROR(VLOOKUP(E3910,BD!$L$2:$Q$66,6,0),0)</f>
        <v>30</v>
      </c>
      <c r="I3910" s="96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7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7">
        <v>256381</v>
      </c>
      <c r="F3911" s="3" t="str">
        <f>IFERROR(VLOOKUP(E3911,BD!$L$2:$Q$66,2,0),0)</f>
        <v>INCA KOLA VR 1.5LX8 - STICKER</v>
      </c>
      <c r="G3911" s="424">
        <v>300</v>
      </c>
      <c r="H3911" s="3">
        <f>+IFERROR(VLOOKUP(E3911,BD!$L$2:$Q$66,6,0),0)</f>
        <v>30</v>
      </c>
      <c r="I3911" s="96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7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7">
        <v>252436</v>
      </c>
      <c r="F3912" s="3" t="str">
        <f>IFERROR(VLOOKUP(E3912,BD!$L$2:$Q$66,2,0),0)</f>
        <v>SAN LUIS SIN GAS PET 625MLX15 C/STICKER</v>
      </c>
      <c r="G3912" s="425">
        <v>180</v>
      </c>
      <c r="H3912" s="3">
        <f>+IFERROR(VLOOKUP(E3912,BD!$L$2:$Q$66,6,0),0)</f>
        <v>90</v>
      </c>
      <c r="I3912" s="96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7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7">
        <v>251429</v>
      </c>
      <c r="F3913" s="3" t="str">
        <f>IFERROR(VLOOKUP(E3913,BD!$L$2:$Q$66,2,0),0)</f>
        <v>SAN LUIS SIN GAS PET2500X6 STICKER</v>
      </c>
      <c r="G3913" s="424">
        <v>240</v>
      </c>
      <c r="H3913" s="3">
        <f>+IFERROR(VLOOKUP(E3913,BD!$L$2:$Q$66,6,0),0)</f>
        <v>48</v>
      </c>
      <c r="I3913" s="96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7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7">
        <v>251633</v>
      </c>
      <c r="F3914" s="3" t="str">
        <f>IFERROR(VLOOKUP(E3914,BD!$L$2:$Q$66,2,0),0)</f>
        <v>SAN LUIS CON GAS PET 625MLX6</v>
      </c>
      <c r="G3914" s="424">
        <v>180</v>
      </c>
      <c r="H3914" s="3">
        <f>+IFERROR(VLOOKUP(E3914,BD!$L$2:$Q$66,6,0),0)</f>
        <v>180</v>
      </c>
      <c r="I3914" s="96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7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7">
        <v>254853</v>
      </c>
      <c r="F3915" s="3" t="str">
        <f>IFERROR(VLOOKUP(E3915,BD!$L$2:$Q$66,2,0),0)</f>
        <v>INCA KOLA SIN AZUCAR PET 1.5LX2</v>
      </c>
      <c r="G3915" s="424">
        <v>1080</v>
      </c>
      <c r="H3915" s="3">
        <f>+IFERROR(VLOOKUP(E3915,BD!$L$2:$Q$66,6,0),0)</f>
        <v>198</v>
      </c>
      <c r="I3915" s="96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7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7">
        <v>256616</v>
      </c>
      <c r="F3916" s="3" t="str">
        <f>IFERROR(VLOOKUP(E3916,BD!$L$2:$Q$66,2,0),0)</f>
        <v>TWO PACK SCHWEPPES CITRUS PET 1.5LX2</v>
      </c>
      <c r="G3916" s="424">
        <v>1188</v>
      </c>
      <c r="H3916" s="3">
        <f>+IFERROR(VLOOKUP(E3916,BD!$L$2:$Q$66,6,0),0)</f>
        <v>198</v>
      </c>
      <c r="I3916" s="96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7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7">
        <v>256617</v>
      </c>
      <c r="F3917" s="3" t="str">
        <f>IFERROR(VLOOKUP(E3917,BD!$L$2:$Q$66,2,0),0)</f>
        <v>TWO PACK SCHWEPPES GINGER ALE PET 1.5LX2</v>
      </c>
      <c r="G3917" s="424">
        <v>396</v>
      </c>
      <c r="H3917" s="3">
        <f>+IFERROR(VLOOKUP(E3917,BD!$L$2:$Q$66,6,0),0)</f>
        <v>198</v>
      </c>
      <c r="I3917" s="96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7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7">
        <v>256675</v>
      </c>
      <c r="F3918" s="3" t="str">
        <f>IFERROR(VLOOKUP(E3918,BD!$L$2:$Q$66,2,0),0)</f>
        <v>INCA KOLA PET 1.5LX2 RF</v>
      </c>
      <c r="G3918" s="424">
        <v>1728</v>
      </c>
      <c r="H3918" s="3">
        <f>+IFERROR(VLOOKUP(E3918,BD!$L$2:$Q$66,6,0),0)</f>
        <v>198</v>
      </c>
      <c r="I3918" s="96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7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7">
        <v>256677</v>
      </c>
      <c r="F3919" s="3" t="str">
        <f>IFERROR(VLOOKUP(E3919,BD!$L$2:$Q$66,2,0),0)</f>
        <v>TWO PACK CC + IK PFM 3LX2 - RFNN</v>
      </c>
      <c r="G3919" s="425">
        <v>5760</v>
      </c>
      <c r="H3919" s="3">
        <f>+IFERROR(VLOOKUP(E3919,BD!$L$2:$Q$66,6,0),0)</f>
        <v>120</v>
      </c>
      <c r="I3919" s="96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7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7">
        <v>256679</v>
      </c>
      <c r="F3920" s="3" t="str">
        <f>IFERROR(VLOOKUP(E3920,BD!$L$2:$Q$66,2,0),0)</f>
        <v>TRIPACK CC+IK+IK PFM 3LX3 - RFNN</v>
      </c>
      <c r="G3920" s="424">
        <v>270</v>
      </c>
      <c r="H3920" s="3">
        <f>+IFERROR(VLOOKUP(E3920,BD!$L$2:$Q$66,6,0),0)</f>
        <v>90</v>
      </c>
      <c r="I3920" s="96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7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7">
        <v>256678</v>
      </c>
      <c r="F3921" s="3" t="str">
        <f>IFERROR(VLOOKUP(E3921,BD!$L$2:$Q$66,2,0),0)</f>
        <v>TRIPACK (CC+IK)PFM+FT PET 3LX3 - RFNN</v>
      </c>
      <c r="G3921" s="424">
        <v>540</v>
      </c>
      <c r="H3921" s="3">
        <f>+IFERROR(VLOOKUP(E3921,BD!$L$2:$Q$66,6,0),0)</f>
        <v>90</v>
      </c>
      <c r="I3921" s="96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7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7">
        <v>256695</v>
      </c>
      <c r="F3922" s="3" t="str">
        <f>IFERROR(VLOOKUP(E3922,BD!$L$2:$Q$66,2,0),0)</f>
        <v>POWERADE 3MORA+3FRUT PET 473MLX6</v>
      </c>
      <c r="G3922" s="425">
        <v>900</v>
      </c>
      <c r="H3922" s="3">
        <f>+IFERROR(VLOOKUP(E3922,BD!$L$2:$Q$66,6,0),0)</f>
        <v>225</v>
      </c>
      <c r="I3922" s="96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7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7">
        <v>251151</v>
      </c>
      <c r="F3923" s="3" t="str">
        <f>IFERROR(VLOOKUP(E3923,BD!$L$2:$Q$66,2,0),0)</f>
        <v>COCA COLA PET 500MLX6</v>
      </c>
      <c r="G3923" s="424">
        <v>1750</v>
      </c>
      <c r="H3923" s="3">
        <f>+IFERROR(VLOOKUP(E3923,BD!$L$2:$Q$66,6,0),0)</f>
        <v>250</v>
      </c>
      <c r="I3923" s="96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7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7">
        <v>256720</v>
      </c>
      <c r="F3924" s="3" t="str">
        <f>IFERROR(VLOOKUP(E3924,BD!$L$2:$Q$66,2,0),0)</f>
        <v>FANTA NARANJA PET 500MLX6 BRANDEADO MOD</v>
      </c>
      <c r="G3924" s="424">
        <v>500</v>
      </c>
      <c r="H3924" s="3">
        <f>+IFERROR(VLOOKUP(E3924,BD!$L$2:$Q$66,6,0),0)</f>
        <v>420</v>
      </c>
      <c r="I3924" s="96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7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7">
        <v>256721</v>
      </c>
      <c r="F3925" s="3" t="str">
        <f>IFERROR(VLOOKUP(E3925,BD!$L$2:$Q$66,2,0),0)</f>
        <v>SPRITE PET 500MLX6 BRANDEADO MOD</v>
      </c>
      <c r="G3925" s="424">
        <v>500</v>
      </c>
      <c r="H3925" s="3">
        <f>+IFERROR(VLOOKUP(E3925,BD!$L$2:$Q$66,6,0),0)</f>
        <v>420</v>
      </c>
      <c r="I3925" s="96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7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7">
        <v>256753</v>
      </c>
      <c r="F3926" s="3" t="str">
        <f>IFERROR(VLOOKUP(E3926,BD!$L$2:$Q$66,2,0),0)</f>
        <v>PACK-2 FT NAR+FT KI+FT PIÑA+SP RP 1.5LX8</v>
      </c>
      <c r="G3926" s="424">
        <v>1410</v>
      </c>
      <c r="H3926" s="3">
        <f>+IFERROR(VLOOKUP(E3926,BD!$L$2:$Q$66,6,0),0)</f>
        <v>30</v>
      </c>
      <c r="I3926" s="96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7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7">
        <v>256383</v>
      </c>
      <c r="F3927" s="3" t="str">
        <f>IFERROR(VLOOKUP(E3927,BD!$L$2:$Q$66,2,0),0)</f>
        <v>COCA COLA VR 1.5LX8 - STICKER</v>
      </c>
      <c r="G3927" s="424">
        <v>300</v>
      </c>
      <c r="H3927" s="3">
        <f>+IFERROR(VLOOKUP(E3927,BD!$L$2:$Q$66,6,0),0)</f>
        <v>30</v>
      </c>
      <c r="I3927" s="96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7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7">
        <v>256382</v>
      </c>
      <c r="F3928" s="3" t="str">
        <f>IFERROR(VLOOKUP(E3928,BD!$L$2:$Q$66,2,0),0)</f>
        <v>COCA COLA VR 296MLX24 - STICKER</v>
      </c>
      <c r="G3928" s="424">
        <v>120</v>
      </c>
      <c r="H3928" s="3">
        <f>+IFERROR(VLOOKUP(E3928,BD!$L$2:$Q$66,6,0),0)</f>
        <v>40</v>
      </c>
      <c r="I3928" s="96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7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7">
        <v>256381</v>
      </c>
      <c r="F3929" s="3" t="str">
        <f>IFERROR(VLOOKUP(E3929,BD!$L$2:$Q$66,2,0),0)</f>
        <v>INCA KOLA VR 1.5LX8 - STICKER</v>
      </c>
      <c r="G3929" s="424">
        <v>450</v>
      </c>
      <c r="H3929" s="3">
        <f>+IFERROR(VLOOKUP(E3929,BD!$L$2:$Q$66,6,0),0)</f>
        <v>30</v>
      </c>
      <c r="I3929" s="96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7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7">
        <v>256379</v>
      </c>
      <c r="F3930" s="3" t="str">
        <f>IFERROR(VLOOKUP(E3930,BD!$L$2:$Q$66,2,0),0)</f>
        <v>INCA KOLA VR 625MLX12 - STICKER</v>
      </c>
      <c r="G3930" s="424">
        <v>350</v>
      </c>
      <c r="H3930" s="3">
        <f>+IFERROR(VLOOKUP(E3930,BD!$L$2:$Q$66,6,0),0)</f>
        <v>50</v>
      </c>
      <c r="I3930" s="96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7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7">
        <v>252436</v>
      </c>
      <c r="F3931" s="3" t="str">
        <f>IFERROR(VLOOKUP(E3931,BD!$L$2:$Q$66,2,0),0)</f>
        <v>SAN LUIS SIN GAS PET 625MLX15 C/STICKER</v>
      </c>
      <c r="G3931" s="424">
        <v>900</v>
      </c>
      <c r="H3931" s="3">
        <f>+IFERROR(VLOOKUP(E3931,BD!$L$2:$Q$66,6,0),0)</f>
        <v>90</v>
      </c>
      <c r="I3931" s="96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7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7">
        <v>254762</v>
      </c>
      <c r="F3932" s="3" t="str">
        <f>IFERROR(VLOOKUP(E3932,BD!$L$2:$Q$66,2,0),0)</f>
        <v xml:space="preserve">SAN LUIS SPORT S/G 10 Lt x6 </v>
      </c>
      <c r="G3932" s="424">
        <v>112</v>
      </c>
      <c r="H3932" s="3">
        <f>+IFERROR(VLOOKUP(E3932,BD!$L$2:$Q$66,6,0),0)</f>
        <v>240</v>
      </c>
      <c r="I3932" s="96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7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7">
        <v>256685</v>
      </c>
      <c r="F3933" s="3" t="str">
        <f>IFERROR(VLOOKUP(E3933,BD!$L$2:$Q$66,2,0),0)</f>
        <v>SL S/G TAPA PLANA 1LT</v>
      </c>
      <c r="G3933" s="424">
        <v>336</v>
      </c>
      <c r="H3933" s="3">
        <f>+IFERROR(VLOOKUP(E3933,BD!$L$2:$Q$66,6,0),0)</f>
        <v>112</v>
      </c>
      <c r="I3933" s="96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7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7">
        <v>251429</v>
      </c>
      <c r="F3934" s="3" t="str">
        <f>IFERROR(VLOOKUP(E3934,BD!$L$2:$Q$66,2,0),0)</f>
        <v>SAN LUIS SIN GAS PET2500X6 STICKER</v>
      </c>
      <c r="G3934" s="424">
        <v>1632</v>
      </c>
      <c r="H3934" s="3">
        <f>+IFERROR(VLOOKUP(E3934,BD!$L$2:$Q$66,6,0),0)</f>
        <v>48</v>
      </c>
      <c r="I3934" s="96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7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7">
        <v>254853</v>
      </c>
      <c r="F3935" s="3" t="str">
        <f>IFERROR(VLOOKUP(E3935,BD!$L$2:$Q$66,2,0),0)</f>
        <v>INCA KOLA SIN AZUCAR PET 1.5LX2</v>
      </c>
      <c r="G3935" s="424">
        <v>2160</v>
      </c>
      <c r="H3935" s="3">
        <f>+IFERROR(VLOOKUP(E3935,BD!$L$2:$Q$66,6,0),0)</f>
        <v>198</v>
      </c>
      <c r="I3935" s="96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7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7">
        <v>256675</v>
      </c>
      <c r="F3936" s="3" t="str">
        <f>IFERROR(VLOOKUP(E3936,BD!$L$2:$Q$66,2,0),0)</f>
        <v>INCA KOLA PET 1.5LX2 RF</v>
      </c>
      <c r="G3936" s="424">
        <v>1080</v>
      </c>
      <c r="H3936" s="3">
        <f>+IFERROR(VLOOKUP(E3936,BD!$L$2:$Q$66,6,0),0)</f>
        <v>198</v>
      </c>
      <c r="I3936" s="96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7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7">
        <v>256680</v>
      </c>
      <c r="F3937" s="3" t="str">
        <f>IFERROR(VLOOKUP(E3937,BD!$L$2:$Q$66,2,0),0)</f>
        <v>TRIPACK CC+CC+IK PFM 3LX3 - RFNN</v>
      </c>
      <c r="G3937" s="424">
        <v>450</v>
      </c>
      <c r="H3937" s="3">
        <f>+IFERROR(VLOOKUP(E3937,BD!$L$2:$Q$66,6,0),0)</f>
        <v>90</v>
      </c>
      <c r="I3937" s="96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7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7">
        <v>256678</v>
      </c>
      <c r="F3938" s="3" t="str">
        <f>IFERROR(VLOOKUP(E3938,BD!$L$2:$Q$66,2,0),0)</f>
        <v>TRIPACK (CC+IK)PFM+FT PET 3LX3 - RFNN</v>
      </c>
      <c r="G3938" s="424">
        <v>720</v>
      </c>
      <c r="H3938" s="3">
        <f>+IFERROR(VLOOKUP(E3938,BD!$L$2:$Q$66,6,0),0)</f>
        <v>90</v>
      </c>
      <c r="I3938" s="96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7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7">
        <v>256695</v>
      </c>
      <c r="F3939" s="3" t="str">
        <f>IFERROR(VLOOKUP(E3939,BD!$L$2:$Q$66,2,0),0)</f>
        <v>POWERADE 3MORA+3FRUT PET 473MLX6</v>
      </c>
      <c r="G3939" s="424">
        <v>1350</v>
      </c>
      <c r="H3939" s="3">
        <f>+IFERROR(VLOOKUP(E3939,BD!$L$2:$Q$66,6,0),0)</f>
        <v>225</v>
      </c>
      <c r="I3939" s="96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7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7">
        <v>256720</v>
      </c>
      <c r="F3940" s="3" t="str">
        <f>IFERROR(VLOOKUP(E3940,BD!$L$2:$Q$66,2,0),0)</f>
        <v>FANTA NARANJA PET 500MLX6 BRANDEADO MOD</v>
      </c>
      <c r="G3940" s="424">
        <v>500</v>
      </c>
      <c r="H3940" s="3">
        <f>+IFERROR(VLOOKUP(E3940,BD!$L$2:$Q$66,6,0),0)</f>
        <v>420</v>
      </c>
      <c r="I3940" s="96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7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7">
        <v>256721</v>
      </c>
      <c r="F3941" s="3" t="str">
        <f>IFERROR(VLOOKUP(E3941,BD!$L$2:$Q$66,2,0),0)</f>
        <v>SPRITE PET 500MLX6 BRANDEADO MOD</v>
      </c>
      <c r="G3941" s="424">
        <v>250</v>
      </c>
      <c r="H3941" s="3">
        <f>+IFERROR(VLOOKUP(E3941,BD!$L$2:$Q$66,6,0),0)</f>
        <v>420</v>
      </c>
      <c r="I3941" s="96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7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7">
        <v>256753</v>
      </c>
      <c r="F3942" s="3" t="str">
        <f>IFERROR(VLOOKUP(E3942,BD!$L$2:$Q$66,2,0),0)</f>
        <v>PACK-2 FT NAR+FT KI+FT PIÑA+SP RP 1.5LX8</v>
      </c>
      <c r="G3942" s="424">
        <v>390</v>
      </c>
      <c r="H3942" s="3">
        <f>+IFERROR(VLOOKUP(E3942,BD!$L$2:$Q$66,6,0),0)</f>
        <v>30</v>
      </c>
      <c r="I3942" s="96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7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7">
        <v>256720</v>
      </c>
      <c r="F3943" s="3" t="str">
        <f>IFERROR(VLOOKUP(E3943,BD!$L$2:$Q$66,2,0),0)</f>
        <v>FANTA NARANJA PET 500MLX6 BRANDEADO MOD</v>
      </c>
      <c r="G3943" s="424">
        <v>500</v>
      </c>
      <c r="H3943" s="3">
        <f>+IFERROR(VLOOKUP(E3943,BD!$L$2:$Q$66,6,0),0)</f>
        <v>420</v>
      </c>
      <c r="I3943" s="96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7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7">
        <v>256721</v>
      </c>
      <c r="F3944" s="3" t="str">
        <f>IFERROR(VLOOKUP(E3944,BD!$L$2:$Q$66,2,0),0)</f>
        <v>SPRITE PET 500MLX6 BRANDEADO MOD</v>
      </c>
      <c r="G3944" s="424">
        <v>1000</v>
      </c>
      <c r="H3944" s="3">
        <f>+IFERROR(VLOOKUP(E3944,BD!$L$2:$Q$66,6,0),0)</f>
        <v>420</v>
      </c>
      <c r="I3944" s="96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7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7">
        <v>256753</v>
      </c>
      <c r="F3945" s="3" t="str">
        <f>IFERROR(VLOOKUP(E3945,BD!$L$2:$Q$66,2,0),0)</f>
        <v>PACK-2 FT NAR+FT KI+FT PIÑA+SP RP 1.5LX8</v>
      </c>
      <c r="G3945" s="424">
        <v>1560</v>
      </c>
      <c r="H3945" s="3">
        <f>+IFERROR(VLOOKUP(E3945,BD!$L$2:$Q$66,6,0),0)</f>
        <v>30</v>
      </c>
      <c r="I3945" s="96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7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7">
        <v>256383</v>
      </c>
      <c r="F3946" s="3" t="str">
        <f>IFERROR(VLOOKUP(E3946,BD!$L$2:$Q$66,2,0),0)</f>
        <v>COCA COLA VR 1.5LX8 - STICKER</v>
      </c>
      <c r="G3946" s="424">
        <v>150</v>
      </c>
      <c r="H3946" s="3">
        <f>+IFERROR(VLOOKUP(E3946,BD!$L$2:$Q$66,6,0),0)</f>
        <v>30</v>
      </c>
      <c r="I3946" s="96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7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7">
        <v>256381</v>
      </c>
      <c r="F3947" s="3" t="str">
        <f>IFERROR(VLOOKUP(E3947,BD!$L$2:$Q$66,2,0),0)</f>
        <v>INCA KOLA VR 1.5LX8 - STICKER</v>
      </c>
      <c r="G3947" s="424">
        <v>150</v>
      </c>
      <c r="H3947" s="3">
        <f>+IFERROR(VLOOKUP(E3947,BD!$L$2:$Q$66,6,0),0)</f>
        <v>30</v>
      </c>
      <c r="I3947" s="96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7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7">
        <v>256380</v>
      </c>
      <c r="F3948" s="3" t="str">
        <f>IFERROR(VLOOKUP(E3948,BD!$L$2:$Q$66,2,0),0)</f>
        <v>INCA KOLA VR 296MLX24 - STICKER</v>
      </c>
      <c r="G3948" s="424">
        <v>400</v>
      </c>
      <c r="H3948" s="3">
        <f>+IFERROR(VLOOKUP(E3948,BD!$L$2:$Q$66,6,0),0)</f>
        <v>40</v>
      </c>
      <c r="I3948" s="96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7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7">
        <v>252436</v>
      </c>
      <c r="F3949" s="3" t="str">
        <f>IFERROR(VLOOKUP(E3949,BD!$L$2:$Q$66,2,0),0)</f>
        <v>SAN LUIS SIN GAS PET 625MLX15 C/STICKER</v>
      </c>
      <c r="G3949" s="425">
        <v>1170</v>
      </c>
      <c r="H3949" s="3">
        <f>+IFERROR(VLOOKUP(E3949,BD!$L$2:$Q$66,6,0),0)</f>
        <v>90</v>
      </c>
      <c r="I3949" s="96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7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7">
        <v>251429</v>
      </c>
      <c r="F3950" s="3" t="str">
        <f>IFERROR(VLOOKUP(E3950,BD!$L$2:$Q$66,2,0),0)</f>
        <v>SAN LUIS SIN GAS PET2500X6 STICKER</v>
      </c>
      <c r="G3950" s="425">
        <v>2400</v>
      </c>
      <c r="H3950" s="3">
        <f>+IFERROR(VLOOKUP(E3950,BD!$L$2:$Q$66,6,0),0)</f>
        <v>48</v>
      </c>
      <c r="I3950" s="96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7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7">
        <v>251633</v>
      </c>
      <c r="F3951" s="3" t="str">
        <f>IFERROR(VLOOKUP(E3951,BD!$L$2:$Q$66,2,0),0)</f>
        <v>SAN LUIS CON GAS PET 625MLX6</v>
      </c>
      <c r="G3951" s="424">
        <v>900</v>
      </c>
      <c r="H3951" s="3">
        <f>+IFERROR(VLOOKUP(E3951,BD!$L$2:$Q$66,6,0),0)</f>
        <v>180</v>
      </c>
      <c r="I3951" s="96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7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7">
        <v>256616</v>
      </c>
      <c r="F3952" s="3" t="str">
        <f>IFERROR(VLOOKUP(E3952,BD!$L$2:$Q$66,2,0),0)</f>
        <v>TWO PACK SCHWEPPES CITRUS PET 1.5LX2</v>
      </c>
      <c r="G3952" s="424">
        <v>990</v>
      </c>
      <c r="H3952" s="3">
        <f>+IFERROR(VLOOKUP(E3952,BD!$L$2:$Q$66,6,0),0)</f>
        <v>198</v>
      </c>
      <c r="I3952" s="96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7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7">
        <v>256617</v>
      </c>
      <c r="F3953" s="3" t="str">
        <f>IFERROR(VLOOKUP(E3953,BD!$L$2:$Q$66,2,0),0)</f>
        <v>TWO PACK SCHWEPPES GINGER ALE PET 1.5LX2</v>
      </c>
      <c r="G3953" s="425">
        <v>990</v>
      </c>
      <c r="H3953" s="3">
        <f>+IFERROR(VLOOKUP(E3953,BD!$L$2:$Q$66,6,0),0)</f>
        <v>198</v>
      </c>
      <c r="I3953" s="96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7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7">
        <v>256666</v>
      </c>
      <c r="F3954" s="3" t="str">
        <f>IFERROR(VLOOKUP(E3954,BD!$L$2:$Q$66,2,0),0)</f>
        <v>COCA-COLA PET 2.25LX2 RF</v>
      </c>
      <c r="G3954" s="424">
        <v>648</v>
      </c>
      <c r="H3954" s="3">
        <f>+IFERROR(VLOOKUP(E3954,BD!$L$2:$Q$66,6,0),0)</f>
        <v>162</v>
      </c>
      <c r="I3954" s="96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7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7">
        <v>256601</v>
      </c>
      <c r="F3955" s="3" t="str">
        <f>IFERROR(VLOOKUP(E3955,BD!$L$2:$Q$66,2,0),0)</f>
        <v>INCA KOLA PET 2.25LX2 RF</v>
      </c>
      <c r="G3955" s="424">
        <v>324</v>
      </c>
      <c r="H3955" s="3">
        <f>+IFERROR(VLOOKUP(E3955,BD!$L$2:$Q$66,6,0),0)</f>
        <v>162</v>
      </c>
      <c r="I3955" s="96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7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7">
        <v>256677</v>
      </c>
      <c r="F3956" s="3" t="str">
        <f>IFERROR(VLOOKUP(E3956,BD!$L$2:$Q$66,2,0),0)</f>
        <v>TWO PACK CC + IK PFM 3LX2 - RFNN</v>
      </c>
      <c r="G3956" s="424">
        <v>3360</v>
      </c>
      <c r="H3956" s="3">
        <f>+IFERROR(VLOOKUP(E3956,BD!$L$2:$Q$66,6,0),0)</f>
        <v>120</v>
      </c>
      <c r="I3956" s="96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7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7">
        <v>256678</v>
      </c>
      <c r="F3957" s="3" t="str">
        <f>IFERROR(VLOOKUP(E3957,BD!$L$2:$Q$66,2,0),0)</f>
        <v>TRIPACK (CC+IK)PFM+FT PET 3LX3 - RFNN</v>
      </c>
      <c r="G3957" s="424">
        <v>900</v>
      </c>
      <c r="H3957" s="3">
        <f>+IFERROR(VLOOKUP(E3957,BD!$L$2:$Q$66,6,0),0)</f>
        <v>90</v>
      </c>
      <c r="I3957" s="96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7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7">
        <v>256708</v>
      </c>
      <c r="F3958" s="3" t="str">
        <f>IFERROR(VLOOKUP(E3958,BD!$L$2:$Q$66,2,0),0)</f>
        <v>POWERADE ION4 FRUTA PET473X6 MOD (STICK)</v>
      </c>
      <c r="G3958" s="424">
        <v>900</v>
      </c>
      <c r="H3958" s="3">
        <f>+IFERROR(VLOOKUP(E3958,BD!$L$2:$Q$66,6,0),0)</f>
        <v>225</v>
      </c>
      <c r="I3958" s="96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7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7">
        <v>256709</v>
      </c>
      <c r="F3959" s="3" t="str">
        <f>IFERROR(VLOOKUP(E3959,BD!$L$2:$Q$66,2,0),0)</f>
        <v>POWERADE ION4 MORA AZ PET473X6 MOD(STCK)</v>
      </c>
      <c r="G3959" s="425">
        <v>450</v>
      </c>
      <c r="H3959" s="3">
        <f>+IFERROR(VLOOKUP(E3959,BD!$L$2:$Q$66,6,0),0)</f>
        <v>225</v>
      </c>
      <c r="I3959" s="96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7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7">
        <v>251151</v>
      </c>
      <c r="F3960" s="3" t="str">
        <f>IFERROR(VLOOKUP(E3960,BD!$L$2:$Q$66,2,0),0)</f>
        <v>COCA COLA PET 500MLX6</v>
      </c>
      <c r="G3960" s="424">
        <v>2500</v>
      </c>
      <c r="H3960" s="3">
        <f>+IFERROR(VLOOKUP(E3960,BD!$L$2:$Q$66,6,0),0)</f>
        <v>250</v>
      </c>
      <c r="I3960" s="96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7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7">
        <v>251151</v>
      </c>
      <c r="F3961" s="3" t="str">
        <f>IFERROR(VLOOKUP(E3961,BD!$L$2:$Q$66,2,0),0)</f>
        <v>COCA COLA PET 500MLX6</v>
      </c>
      <c r="G3961" s="424">
        <v>1250</v>
      </c>
      <c r="H3961" s="3">
        <f>+IFERROR(VLOOKUP(E3961,BD!$L$2:$Q$66,6,0),0)</f>
        <v>250</v>
      </c>
      <c r="I3961" s="96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7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7">
        <v>256753</v>
      </c>
      <c r="F3962" s="3" t="str">
        <f>IFERROR(VLOOKUP(E3962,BD!$L$2:$Q$66,2,0),0)</f>
        <v>PACK-2 FT NAR+FT KI+FT PIÑA+SP RP 1.5LX8</v>
      </c>
      <c r="G3962" s="424">
        <v>960</v>
      </c>
      <c r="H3962" s="3">
        <f>+IFERROR(VLOOKUP(E3962,BD!$L$2:$Q$66,6,0),0)</f>
        <v>30</v>
      </c>
      <c r="I3962" s="96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7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7">
        <v>256381</v>
      </c>
      <c r="F3963" s="3" t="str">
        <f>IFERROR(VLOOKUP(E3963,BD!$L$2:$Q$66,2,0),0)</f>
        <v>INCA KOLA VR 1.5LX8 - STICKER</v>
      </c>
      <c r="G3963" s="424">
        <v>150</v>
      </c>
      <c r="H3963" s="3">
        <f>+IFERROR(VLOOKUP(E3963,BD!$L$2:$Q$66,6,0),0)</f>
        <v>30</v>
      </c>
      <c r="I3963" s="96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7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7">
        <v>256380</v>
      </c>
      <c r="F3964" s="3" t="str">
        <f>IFERROR(VLOOKUP(E3964,BD!$L$2:$Q$66,2,0),0)</f>
        <v>INCA KOLA VR 296MLX24 - STICKER</v>
      </c>
      <c r="G3964" s="424">
        <v>400</v>
      </c>
      <c r="H3964" s="3">
        <f>+IFERROR(VLOOKUP(E3964,BD!$L$2:$Q$66,6,0),0)</f>
        <v>40</v>
      </c>
      <c r="I3964" s="96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7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7">
        <v>256379</v>
      </c>
      <c r="F3965" s="3" t="str">
        <f>IFERROR(VLOOKUP(E3965,BD!$L$2:$Q$66,2,0),0)</f>
        <v>INCA KOLA VR 625MLX12 - STICKER</v>
      </c>
      <c r="G3965" s="424">
        <v>300</v>
      </c>
      <c r="H3965" s="3">
        <f>+IFERROR(VLOOKUP(E3965,BD!$L$2:$Q$66,6,0),0)</f>
        <v>50</v>
      </c>
      <c r="I3965" s="96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7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7">
        <v>252436</v>
      </c>
      <c r="F3966" s="3" t="str">
        <f>IFERROR(VLOOKUP(E3966,BD!$L$2:$Q$66,2,0),0)</f>
        <v>SAN LUIS SIN GAS PET 625MLX15 C/STICKER</v>
      </c>
      <c r="G3966" s="424">
        <v>1350</v>
      </c>
      <c r="H3966" s="3">
        <f>+IFERROR(VLOOKUP(E3966,BD!$L$2:$Q$66,6,0),0)</f>
        <v>90</v>
      </c>
      <c r="I3966" s="96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7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7">
        <v>254762</v>
      </c>
      <c r="F3967" s="3" t="str">
        <f>IFERROR(VLOOKUP(E3967,BD!$L$2:$Q$66,2,0),0)</f>
        <v xml:space="preserve">SAN LUIS SPORT S/G 10 Lt x6 </v>
      </c>
      <c r="G3967" s="424">
        <v>560</v>
      </c>
      <c r="H3967" s="3">
        <f>+IFERROR(VLOOKUP(E3967,BD!$L$2:$Q$66,6,0),0)</f>
        <v>240</v>
      </c>
      <c r="I3967" s="96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7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7">
        <v>256685</v>
      </c>
      <c r="F3968" s="3" t="str">
        <f>IFERROR(VLOOKUP(E3968,BD!$L$2:$Q$66,2,0),0)</f>
        <v>SL S/G TAPA PLANA 1LT</v>
      </c>
      <c r="G3968" s="424">
        <v>560</v>
      </c>
      <c r="H3968" s="3">
        <f>+IFERROR(VLOOKUP(E3968,BD!$L$2:$Q$66,6,0),0)</f>
        <v>112</v>
      </c>
      <c r="I3968" s="96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7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7">
        <v>251429</v>
      </c>
      <c r="F3969" s="3" t="str">
        <f>IFERROR(VLOOKUP(E3969,BD!$L$2:$Q$66,2,0),0)</f>
        <v>SAN LUIS SIN GAS PET2500X6 STICKER</v>
      </c>
      <c r="G3969" s="424">
        <v>1920</v>
      </c>
      <c r="H3969" s="3">
        <f>+IFERROR(VLOOKUP(E3969,BD!$L$2:$Q$66,6,0),0)</f>
        <v>48</v>
      </c>
      <c r="I3969" s="96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7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7">
        <v>256617</v>
      </c>
      <c r="F3970" s="3" t="str">
        <f>IFERROR(VLOOKUP(E3970,BD!$L$2:$Q$66,2,0),0)</f>
        <v>TWO PACK SCHWEPPES GINGER ALE PET 1.5LX2</v>
      </c>
      <c r="G3970" s="424">
        <v>792</v>
      </c>
      <c r="H3970" s="3">
        <f>+IFERROR(VLOOKUP(E3970,BD!$L$2:$Q$66,6,0),0)</f>
        <v>198</v>
      </c>
      <c r="I3970" s="96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7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7">
        <v>256601</v>
      </c>
      <c r="F3971" s="3" t="str">
        <f>IFERROR(VLOOKUP(E3971,BD!$L$2:$Q$66,2,0),0)</f>
        <v>INCA KOLA PET 2.25LX2 RF</v>
      </c>
      <c r="G3971" s="424">
        <v>648</v>
      </c>
      <c r="H3971" s="3">
        <f>+IFERROR(VLOOKUP(E3971,BD!$L$2:$Q$66,6,0),0)</f>
        <v>162</v>
      </c>
      <c r="I3971" s="96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7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7">
        <v>256652</v>
      </c>
      <c r="F3972" s="3" t="str">
        <f>IFERROR(VLOOKUP(E3972,BD!$L$2:$Q$66,2,0),0)</f>
        <v>TRIPACK FT NAR+FT KI+SP PET 3L</v>
      </c>
      <c r="G3972" s="424">
        <v>1440</v>
      </c>
      <c r="H3972" s="3">
        <f>+IFERROR(VLOOKUP(E3972,BD!$L$2:$Q$66,6,0),0)</f>
        <v>90</v>
      </c>
      <c r="I3972" s="96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7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7">
        <v>256695</v>
      </c>
      <c r="F3973" s="3" t="str">
        <f>IFERROR(VLOOKUP(E3973,BD!$L$2:$Q$66,2,0),0)</f>
        <v>POWERADE 3MORA+3FRUT PET 473MLX6</v>
      </c>
      <c r="G3973" s="424">
        <v>1350</v>
      </c>
      <c r="H3973" s="3">
        <f>+IFERROR(VLOOKUP(E3973,BD!$L$2:$Q$66,6,0),0)</f>
        <v>225</v>
      </c>
      <c r="I3973" s="96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7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7">
        <v>256708</v>
      </c>
      <c r="F3974" s="3" t="str">
        <f>IFERROR(VLOOKUP(E3974,BD!$L$2:$Q$66,2,0),0)</f>
        <v>POWERADE ION4 FRUTA PET473X6 MOD (STICK)</v>
      </c>
      <c r="G3974" s="424">
        <v>450</v>
      </c>
      <c r="H3974" s="3">
        <f>+IFERROR(VLOOKUP(E3974,BD!$L$2:$Q$66,6,0),0)</f>
        <v>225</v>
      </c>
      <c r="I3974" s="96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7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7">
        <v>256709</v>
      </c>
      <c r="F3975" s="3" t="str">
        <f>IFERROR(VLOOKUP(E3975,BD!$L$2:$Q$66,2,0),0)</f>
        <v>POWERADE ION4 MORA AZ PET473X6 MOD(STCK)</v>
      </c>
      <c r="G3975" s="424">
        <v>450</v>
      </c>
      <c r="H3975" s="3">
        <f>+IFERROR(VLOOKUP(E3975,BD!$L$2:$Q$66,6,0),0)</f>
        <v>225</v>
      </c>
      <c r="I3975" s="96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7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7">
        <v>251151</v>
      </c>
      <c r="F3976" s="3" t="str">
        <f>IFERROR(VLOOKUP(E3976,BD!$L$2:$Q$66,2,0),0)</f>
        <v>COCA COLA PET 500MLX6</v>
      </c>
      <c r="G3976" s="424">
        <v>1500</v>
      </c>
      <c r="H3976" s="3">
        <f>+IFERROR(VLOOKUP(E3976,BD!$L$2:$Q$66,6,0),0)</f>
        <v>250</v>
      </c>
      <c r="I3976" s="96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7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7">
        <v>256720</v>
      </c>
      <c r="F3977" s="3" t="str">
        <f>IFERROR(VLOOKUP(E3977,BD!$L$2:$Q$66,2,0),0)</f>
        <v>FANTA NARANJA PET 500MLX6 BRANDEADO MOD</v>
      </c>
      <c r="G3977" s="424">
        <v>500</v>
      </c>
      <c r="H3977" s="3">
        <f>+IFERROR(VLOOKUP(E3977,BD!$L$2:$Q$66,6,0),0)</f>
        <v>420</v>
      </c>
      <c r="I3977" s="96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7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7">
        <v>256709</v>
      </c>
      <c r="F3978" s="3" t="str">
        <f>IFERROR(VLOOKUP(E3978,BD!$L$2:$Q$66,2,0),0)</f>
        <v>POWERADE ION4 MORA AZ PET473X6 MOD(STCK)</v>
      </c>
      <c r="G3978" s="424">
        <v>450</v>
      </c>
      <c r="H3978" s="3">
        <f>+IFERROR(VLOOKUP(E3978,BD!$L$2:$Q$66,6,0),0)</f>
        <v>225</v>
      </c>
      <c r="I3978" s="96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7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7">
        <v>251151</v>
      </c>
      <c r="F3979" s="3" t="str">
        <f>IFERROR(VLOOKUP(E3979,BD!$L$2:$Q$66,2,0),0)</f>
        <v>COCA COLA PET 500MLX6</v>
      </c>
      <c r="G3979" s="424">
        <v>500</v>
      </c>
      <c r="H3979" s="3">
        <f>+IFERROR(VLOOKUP(E3979,BD!$L$2:$Q$66,6,0),0)</f>
        <v>250</v>
      </c>
      <c r="I3979" s="96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7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7">
        <v>256720</v>
      </c>
      <c r="F3980" s="3" t="str">
        <f>IFERROR(VLOOKUP(E3980,BD!$L$2:$Q$66,2,0),0)</f>
        <v>FANTA NARANJA PET 500MLX6 BRANDEADO MOD</v>
      </c>
      <c r="G3980" s="424">
        <v>250</v>
      </c>
      <c r="H3980" s="3">
        <f>+IFERROR(VLOOKUP(E3980,BD!$L$2:$Q$66,6,0),0)</f>
        <v>420</v>
      </c>
      <c r="I3980" s="96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7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7">
        <v>256721</v>
      </c>
      <c r="F3981" s="3" t="str">
        <f>IFERROR(VLOOKUP(E3981,BD!$L$2:$Q$66,2,0),0)</f>
        <v>SPRITE PET 500MLX6 BRANDEADO MOD</v>
      </c>
      <c r="G3981" s="424">
        <v>500</v>
      </c>
      <c r="H3981" s="3">
        <f>+IFERROR(VLOOKUP(E3981,BD!$L$2:$Q$66,6,0),0)</f>
        <v>420</v>
      </c>
      <c r="I3981" s="96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7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7">
        <v>256381</v>
      </c>
      <c r="F3982" s="3" t="str">
        <f>IFERROR(VLOOKUP(E3982,BD!$L$2:$Q$66,2,0),0)</f>
        <v>INCA KOLA VR 1.5LX8 - STICKER</v>
      </c>
      <c r="G3982" s="424">
        <v>150</v>
      </c>
      <c r="H3982" s="3">
        <f>+IFERROR(VLOOKUP(E3982,BD!$L$2:$Q$66,6,0),0)</f>
        <v>30</v>
      </c>
      <c r="I3982" s="96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7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7">
        <v>256379</v>
      </c>
      <c r="F3983" s="3" t="str">
        <f>IFERROR(VLOOKUP(E3983,BD!$L$2:$Q$66,2,0),0)</f>
        <v>INCA KOLA VR 625MLX12 - STICKER</v>
      </c>
      <c r="G3983" s="424">
        <v>200</v>
      </c>
      <c r="H3983" s="3">
        <f>+IFERROR(VLOOKUP(E3983,BD!$L$2:$Q$66,6,0),0)</f>
        <v>50</v>
      </c>
      <c r="I3983" s="96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7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7">
        <v>252436</v>
      </c>
      <c r="F3984" s="3" t="str">
        <f>IFERROR(VLOOKUP(E3984,BD!$L$2:$Q$66,2,0),0)</f>
        <v>SAN LUIS SIN GAS PET 625MLX15 C/STICKER</v>
      </c>
      <c r="G3984" s="424">
        <v>540</v>
      </c>
      <c r="H3984" s="3">
        <f>+IFERROR(VLOOKUP(E3984,BD!$L$2:$Q$66,6,0),0)</f>
        <v>90</v>
      </c>
      <c r="I3984" s="96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7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7">
        <v>256685</v>
      </c>
      <c r="F3985" s="3" t="str">
        <f>IFERROR(VLOOKUP(E3985,BD!$L$2:$Q$66,2,0),0)</f>
        <v>SL S/G TAPA PLANA 1LT</v>
      </c>
      <c r="G3985" s="424">
        <v>224</v>
      </c>
      <c r="H3985" s="3">
        <f>+IFERROR(VLOOKUP(E3985,BD!$L$2:$Q$66,6,0),0)</f>
        <v>112</v>
      </c>
      <c r="I3985" s="96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7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7">
        <v>751315</v>
      </c>
      <c r="F3986" s="3" t="str">
        <f>IFERROR(VLOOKUP(E3986,BD!$L$2:$Q$66,2,0),0)</f>
        <v>MONSTER ENERGY 473MLX4</v>
      </c>
      <c r="G3986" s="424">
        <v>840</v>
      </c>
      <c r="H3986" s="3">
        <f>+IFERROR(VLOOKUP(E3986,BD!$L$2:$Q$66,6,0),0)</f>
        <v>420</v>
      </c>
      <c r="I3986" s="96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7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7">
        <v>751544</v>
      </c>
      <c r="F3987" s="3" t="str">
        <f>IFERROR(VLOOKUP(E3987,BD!$L$2:$Q$66,2,0),0)</f>
        <v>MONSTER ENERGY ZERO 473MLX4</v>
      </c>
      <c r="G3987" s="424">
        <v>4200</v>
      </c>
      <c r="H3987" s="3">
        <f>+IFERROR(VLOOKUP(E3987,BD!$L$2:$Q$66,6,0),0)</f>
        <v>420</v>
      </c>
      <c r="I3987" s="96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7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7">
        <v>251633</v>
      </c>
      <c r="F3988" s="3" t="str">
        <f>IFERROR(VLOOKUP(E3988,BD!$L$2:$Q$66,2,0),0)</f>
        <v>SAN LUIS CON GAS PET 625MLX6</v>
      </c>
      <c r="G3988" s="424">
        <v>1080</v>
      </c>
      <c r="H3988" s="3">
        <f>+IFERROR(VLOOKUP(E3988,BD!$L$2:$Q$66,6,0),0)</f>
        <v>180</v>
      </c>
      <c r="I3988" s="96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7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7">
        <v>251406</v>
      </c>
      <c r="F3989" s="3" t="str">
        <f>IFERROR(VLOOKUP(E3989,BD!$L$2:$Q$66,2,0),0)</f>
        <v>COCA-COLA SIN AZUCAR PET 1.5LX2</v>
      </c>
      <c r="G3989" s="425">
        <v>1080</v>
      </c>
      <c r="H3989" s="3">
        <f>+IFERROR(VLOOKUP(E3989,BD!$L$2:$Q$66,6,0),0)</f>
        <v>198</v>
      </c>
      <c r="I3989" s="96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7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7">
        <v>256616</v>
      </c>
      <c r="F3990" s="3" t="str">
        <f>IFERROR(VLOOKUP(E3990,BD!$L$2:$Q$66,2,0),0)</f>
        <v>TWO PACK SCHWEPPES CITRUS PET 1.5LX2</v>
      </c>
      <c r="G3990" s="424">
        <v>990</v>
      </c>
      <c r="H3990" s="3">
        <f>+IFERROR(VLOOKUP(E3990,BD!$L$2:$Q$66,6,0),0)</f>
        <v>198</v>
      </c>
      <c r="I3990" s="96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7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7">
        <v>256666</v>
      </c>
      <c r="F3991" s="3" t="str">
        <f>IFERROR(VLOOKUP(E3991,BD!$L$2:$Q$66,2,0),0)</f>
        <v>COCA-COLA PET 2.25LX2 RF</v>
      </c>
      <c r="G3991" s="425">
        <v>810</v>
      </c>
      <c r="H3991" s="3">
        <f>+IFERROR(VLOOKUP(E3991,BD!$L$2:$Q$66,6,0),0)</f>
        <v>162</v>
      </c>
      <c r="I3991" s="96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7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7">
        <v>256488</v>
      </c>
      <c r="F3992" s="3" t="str">
        <f>IFERROR(VLOOKUP(E3992,BD!$L$2:$Q$66,2,0),0)</f>
        <v>INCA KOLA PET 3LX2 - RF</v>
      </c>
      <c r="G3992" s="424">
        <v>6600</v>
      </c>
      <c r="H3992" s="3">
        <f>+IFERROR(VLOOKUP(E3992,BD!$L$2:$Q$66,6,0),0)</f>
        <v>120</v>
      </c>
      <c r="I3992" s="96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7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7">
        <v>256677</v>
      </c>
      <c r="F3993" s="3" t="str">
        <f>IFERROR(VLOOKUP(E3993,BD!$L$2:$Q$66,2,0),0)</f>
        <v>TWO PACK CC + IK PFM 3LX2 - RFNN</v>
      </c>
      <c r="G3993" s="425">
        <v>5520</v>
      </c>
      <c r="H3993" s="3">
        <f>+IFERROR(VLOOKUP(E3993,BD!$L$2:$Q$66,6,0),0)</f>
        <v>120</v>
      </c>
      <c r="I3993" s="96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7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7">
        <v>256680</v>
      </c>
      <c r="F3994" s="3" t="str">
        <f>IFERROR(VLOOKUP(E3994,BD!$L$2:$Q$66,2,0),0)</f>
        <v>TRIPACK CC+CC+IK PFM 3LX3 - RFNN</v>
      </c>
      <c r="G3994" s="424">
        <v>900</v>
      </c>
      <c r="H3994" s="3">
        <f>+IFERROR(VLOOKUP(E3994,BD!$L$2:$Q$66,6,0),0)</f>
        <v>90</v>
      </c>
      <c r="I3994" s="96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7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7">
        <v>256679</v>
      </c>
      <c r="F3995" s="3" t="str">
        <f>IFERROR(VLOOKUP(E3995,BD!$L$2:$Q$66,2,0),0)</f>
        <v>TRIPACK CC+IK+IK PFM 3LX3 - RFNN</v>
      </c>
      <c r="G3995" s="424">
        <v>1440</v>
      </c>
      <c r="H3995" s="3">
        <f>+IFERROR(VLOOKUP(E3995,BD!$L$2:$Q$66,6,0),0)</f>
        <v>90</v>
      </c>
      <c r="I3995" s="96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7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7">
        <v>256708</v>
      </c>
      <c r="F3996" s="3" t="str">
        <f>IFERROR(VLOOKUP(E3996,BD!$L$2:$Q$66,2,0),0)</f>
        <v>POWERADE ION4 FRUTA PET473X6 MOD (STICK)</v>
      </c>
      <c r="G3996" s="424">
        <v>225</v>
      </c>
      <c r="H3996" s="3">
        <f>+IFERROR(VLOOKUP(E3996,BD!$L$2:$Q$66,6,0),0)</f>
        <v>225</v>
      </c>
      <c r="I3996" s="96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7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7">
        <v>252436</v>
      </c>
      <c r="F3997" s="3" t="str">
        <f>IFERROR(VLOOKUP(E3997,BD!$L$2:$Q$66,2,0),0)</f>
        <v>SAN LUIS SIN GAS PET 625MLX15 C/STICKER</v>
      </c>
      <c r="G3997" s="424">
        <v>1260</v>
      </c>
      <c r="H3997" s="3">
        <f>+IFERROR(VLOOKUP(E3997,BD!$L$2:$Q$66,6,0),0)</f>
        <v>90</v>
      </c>
      <c r="I3997" s="96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7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7">
        <v>256685</v>
      </c>
      <c r="F3998" s="3" t="str">
        <f>IFERROR(VLOOKUP(E3998,BD!$L$2:$Q$66,2,0),0)</f>
        <v>SL S/G TAPA PLANA 1LT</v>
      </c>
      <c r="G3998" s="424">
        <v>336</v>
      </c>
      <c r="H3998" s="3">
        <f>+IFERROR(VLOOKUP(E3998,BD!$L$2:$Q$66,6,0),0)</f>
        <v>112</v>
      </c>
      <c r="I3998" s="96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7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7">
        <v>251429</v>
      </c>
      <c r="F3999" s="3" t="str">
        <f>IFERROR(VLOOKUP(E3999,BD!$L$2:$Q$66,2,0),0)</f>
        <v>SAN LUIS SIN GAS PET2500X6 STICKER</v>
      </c>
      <c r="G3999" s="424">
        <v>1296</v>
      </c>
      <c r="H3999" s="3">
        <f>+IFERROR(VLOOKUP(E3999,BD!$L$2:$Q$66,6,0),0)</f>
        <v>48</v>
      </c>
      <c r="I3999" s="96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7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7">
        <v>751315</v>
      </c>
      <c r="F4000" s="3" t="str">
        <f>IFERROR(VLOOKUP(E4000,BD!$L$2:$Q$66,2,0),0)</f>
        <v>MONSTER ENERGY 473MLX4</v>
      </c>
      <c r="G4000" s="424">
        <v>1260</v>
      </c>
      <c r="H4000" s="3">
        <f>+IFERROR(VLOOKUP(E4000,BD!$L$2:$Q$66,6,0),0)</f>
        <v>420</v>
      </c>
      <c r="I4000" s="96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7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7">
        <v>751544</v>
      </c>
      <c r="F4001" s="3" t="str">
        <f>IFERROR(VLOOKUP(E4001,BD!$L$2:$Q$66,2,0),0)</f>
        <v>MONSTER ENERGY ZERO 473MLX4</v>
      </c>
      <c r="G4001" s="425">
        <v>2100</v>
      </c>
      <c r="H4001" s="3">
        <f>+IFERROR(VLOOKUP(E4001,BD!$L$2:$Q$66,6,0),0)</f>
        <v>420</v>
      </c>
      <c r="I4001" s="96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7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7">
        <v>251633</v>
      </c>
      <c r="F4002" s="3" t="str">
        <f>IFERROR(VLOOKUP(E4002,BD!$L$2:$Q$66,2,0),0)</f>
        <v>SAN LUIS CON GAS PET 625MLX6</v>
      </c>
      <c r="G4002" s="424">
        <v>900</v>
      </c>
      <c r="H4002" s="3">
        <f>+IFERROR(VLOOKUP(E4002,BD!$L$2:$Q$66,6,0),0)</f>
        <v>180</v>
      </c>
      <c r="I4002" s="96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7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7">
        <v>251406</v>
      </c>
      <c r="F4003" s="3" t="str">
        <f>IFERROR(VLOOKUP(E4003,BD!$L$2:$Q$66,2,0),0)</f>
        <v>COCA-COLA SIN AZUCAR PET 1.5LX2</v>
      </c>
      <c r="G4003" s="425">
        <v>2160</v>
      </c>
      <c r="H4003" s="3">
        <f>+IFERROR(VLOOKUP(E4003,BD!$L$2:$Q$66,6,0),0)</f>
        <v>198</v>
      </c>
      <c r="I4003" s="96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7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7">
        <v>256676</v>
      </c>
      <c r="F4004" s="3" t="str">
        <f>IFERROR(VLOOKUP(E4004,BD!$L$2:$Q$66,2,0),0)</f>
        <v>TWO PACK CC PFM 3LX2 - RFCC</v>
      </c>
      <c r="G4004" s="424">
        <v>4200</v>
      </c>
      <c r="H4004" s="3">
        <f>+IFERROR(VLOOKUP(E4004,BD!$L$2:$Q$66,6,0),0)</f>
        <v>120</v>
      </c>
      <c r="I4004" s="96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7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7">
        <v>256677</v>
      </c>
      <c r="F4005" s="3" t="str">
        <f>IFERROR(VLOOKUP(E4005,BD!$L$2:$Q$66,2,0),0)</f>
        <v>TWO PACK CC + IK PFM 3LX2 - RFNN</v>
      </c>
      <c r="G4005" s="424">
        <v>2400</v>
      </c>
      <c r="H4005" s="3">
        <f>+IFERROR(VLOOKUP(E4005,BD!$L$2:$Q$66,6,0),0)</f>
        <v>120</v>
      </c>
      <c r="I4005" s="96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7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7">
        <v>256679</v>
      </c>
      <c r="F4006" s="3" t="str">
        <f>IFERROR(VLOOKUP(E4006,BD!$L$2:$Q$66,2,0),0)</f>
        <v>TRIPACK CC+IK+IK PFM 3LX3 - RFNN</v>
      </c>
      <c r="G4006" s="424">
        <v>720</v>
      </c>
      <c r="H4006" s="3">
        <f>+IFERROR(VLOOKUP(E4006,BD!$L$2:$Q$66,6,0),0)</f>
        <v>90</v>
      </c>
      <c r="I4006" s="96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7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7">
        <v>256678</v>
      </c>
      <c r="F4007" s="3" t="str">
        <f>IFERROR(VLOOKUP(E4007,BD!$L$2:$Q$66,2,0),0)</f>
        <v>TRIPACK (CC+IK)PFM+FT PET 3LX3 - RFNN</v>
      </c>
      <c r="G4007" s="424">
        <v>2160</v>
      </c>
      <c r="H4007" s="3">
        <f>+IFERROR(VLOOKUP(E4007,BD!$L$2:$Q$66,6,0),0)</f>
        <v>90</v>
      </c>
      <c r="I4007" s="96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7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7">
        <v>256708</v>
      </c>
      <c r="F4008" s="3" t="str">
        <f>IFERROR(VLOOKUP(E4008,BD!$L$2:$Q$66,2,0),0)</f>
        <v>POWERADE ION4 FRUTA PET473X6 MOD (STICK)</v>
      </c>
      <c r="G4008" s="425">
        <v>900</v>
      </c>
      <c r="H4008" s="3">
        <f>+IFERROR(VLOOKUP(E4008,BD!$L$2:$Q$66,6,0),0)</f>
        <v>225</v>
      </c>
      <c r="I4008" s="96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7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7">
        <v>256709</v>
      </c>
      <c r="F4009" s="3" t="str">
        <f>IFERROR(VLOOKUP(E4009,BD!$L$2:$Q$66,2,0),0)</f>
        <v>POWERADE ION4 MORA AZ PET473X6 MOD(STCK)</v>
      </c>
      <c r="G4009" s="424">
        <v>450</v>
      </c>
      <c r="H4009" s="3">
        <f>+IFERROR(VLOOKUP(E4009,BD!$L$2:$Q$66,6,0),0)</f>
        <v>225</v>
      </c>
      <c r="I4009" s="96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7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7">
        <v>256721</v>
      </c>
      <c r="F4010" s="3" t="str">
        <f>IFERROR(VLOOKUP(E4010,BD!$L$2:$Q$66,2,0),0)</f>
        <v>SPRITE PET 500MLX6 BRANDEADO MOD</v>
      </c>
      <c r="G4010" s="424">
        <v>250</v>
      </c>
      <c r="H4010" s="3">
        <f>+IFERROR(VLOOKUP(E4010,BD!$L$2:$Q$66,6,0),0)</f>
        <v>420</v>
      </c>
      <c r="I4010" s="96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7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7">
        <v>252436</v>
      </c>
      <c r="F4011" s="3" t="str">
        <f>IFERROR(VLOOKUP(E4011,BD!$L$2:$Q$66,2,0),0)</f>
        <v>SAN LUIS SIN GAS PET 625MLX15 C/STICKER</v>
      </c>
      <c r="G4011" s="424">
        <v>900</v>
      </c>
      <c r="H4011" s="3">
        <f>+IFERROR(VLOOKUP(E4011,BD!$L$2:$Q$66,6,0),0)</f>
        <v>90</v>
      </c>
      <c r="I4011" s="96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7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7">
        <v>251429</v>
      </c>
      <c r="F4012" s="3" t="str">
        <f>IFERROR(VLOOKUP(E4012,BD!$L$2:$Q$66,2,0),0)</f>
        <v>SAN LUIS SIN GAS PET2500X6 STICKER</v>
      </c>
      <c r="G4012" s="424">
        <v>2400</v>
      </c>
      <c r="H4012" s="3">
        <f>+IFERROR(VLOOKUP(E4012,BD!$L$2:$Q$66,6,0),0)</f>
        <v>48</v>
      </c>
      <c r="I4012" s="96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7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7">
        <v>751315</v>
      </c>
      <c r="F4013" s="3" t="str">
        <f>IFERROR(VLOOKUP(E4013,BD!$L$2:$Q$66,2,0),0)</f>
        <v>MONSTER ENERGY 473MLX4</v>
      </c>
      <c r="G4013" s="424">
        <v>840</v>
      </c>
      <c r="H4013" s="3">
        <f>+IFERROR(VLOOKUP(E4013,BD!$L$2:$Q$66,6,0),0)</f>
        <v>420</v>
      </c>
      <c r="I4013" s="96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7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7">
        <v>251633</v>
      </c>
      <c r="F4014" s="3" t="str">
        <f>IFERROR(VLOOKUP(E4014,BD!$L$2:$Q$66,2,0),0)</f>
        <v>SAN LUIS CON GAS PET 625MLX6</v>
      </c>
      <c r="G4014" s="424">
        <v>1800</v>
      </c>
      <c r="H4014" s="3">
        <f>+IFERROR(VLOOKUP(E4014,BD!$L$2:$Q$66,6,0),0)</f>
        <v>180</v>
      </c>
      <c r="I4014" s="96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7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7">
        <v>251406</v>
      </c>
      <c r="F4015" s="3" t="str">
        <f>IFERROR(VLOOKUP(E4015,BD!$L$2:$Q$66,2,0),0)</f>
        <v>COCA-COLA SIN AZUCAR PET 1.5LX2</v>
      </c>
      <c r="G4015" s="424">
        <v>1296</v>
      </c>
      <c r="H4015" s="3">
        <f>+IFERROR(VLOOKUP(E4015,BD!$L$2:$Q$66,6,0),0)</f>
        <v>198</v>
      </c>
      <c r="I4015" s="96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7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7">
        <v>254853</v>
      </c>
      <c r="F4016" s="3" t="str">
        <f>IFERROR(VLOOKUP(E4016,BD!$L$2:$Q$66,2,0),0)</f>
        <v>INCA KOLA SIN AZUCAR PET 1.5LX2</v>
      </c>
      <c r="G4016" s="424">
        <v>216</v>
      </c>
      <c r="H4016" s="3">
        <f>+IFERROR(VLOOKUP(E4016,BD!$L$2:$Q$66,6,0),0)</f>
        <v>198</v>
      </c>
      <c r="I4016" s="96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7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7">
        <v>256548</v>
      </c>
      <c r="F4017" s="3" t="str">
        <f>IFERROR(VLOOKUP(E4017,BD!$L$2:$Q$66,2,0),0)</f>
        <v>TWO PACK CC PET 1.5LX2 - CRC</v>
      </c>
      <c r="G4017" s="424">
        <v>432</v>
      </c>
      <c r="H4017" s="3">
        <f>+IFERROR(VLOOKUP(E4017,BD!$L$2:$Q$66,6,0),0)</f>
        <v>198</v>
      </c>
      <c r="I4017" s="96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7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7">
        <v>256617</v>
      </c>
      <c r="F4018" s="3" t="str">
        <f>IFERROR(VLOOKUP(E4018,BD!$L$2:$Q$66,2,0),0)</f>
        <v>TWO PACK SCHWEPPES GINGER ALE PET 1.5LX2</v>
      </c>
      <c r="G4018" s="424">
        <v>990</v>
      </c>
      <c r="H4018" s="3">
        <f>+IFERROR(VLOOKUP(E4018,BD!$L$2:$Q$66,6,0),0)</f>
        <v>198</v>
      </c>
      <c r="I4018" s="96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7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7">
        <v>256601</v>
      </c>
      <c r="F4019" s="3" t="str">
        <f>IFERROR(VLOOKUP(E4019,BD!$L$2:$Q$66,2,0),0)</f>
        <v>INCA KOLA PET 2.25LX2 RF</v>
      </c>
      <c r="G4019" s="424">
        <v>324</v>
      </c>
      <c r="H4019" s="3">
        <f>+IFERROR(VLOOKUP(E4019,BD!$L$2:$Q$66,6,0),0)</f>
        <v>162</v>
      </c>
      <c r="I4019" s="96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7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7">
        <v>256676</v>
      </c>
      <c r="F4020" s="3" t="str">
        <f>IFERROR(VLOOKUP(E4020,BD!$L$2:$Q$66,2,0),0)</f>
        <v>TWO PACK CC PFM 3LX2 - RFCC</v>
      </c>
      <c r="G4020" s="424">
        <v>4320</v>
      </c>
      <c r="H4020" s="3">
        <f>+IFERROR(VLOOKUP(E4020,BD!$L$2:$Q$66,6,0),0)</f>
        <v>120</v>
      </c>
      <c r="I4020" s="96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7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7">
        <v>256674</v>
      </c>
      <c r="F4021" s="3" t="str">
        <f>IFERROR(VLOOKUP(E4021,BD!$L$2:$Q$66,2,0),0)</f>
        <v>COCA-COLA PET 1.5LX2 RF</v>
      </c>
      <c r="G4021" s="424">
        <v>2376</v>
      </c>
      <c r="H4021" s="3">
        <f>+IFERROR(VLOOKUP(E4021,BD!$L$2:$Q$66,6,0),0)</f>
        <v>198</v>
      </c>
      <c r="I4021" s="96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7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7">
        <v>256675</v>
      </c>
      <c r="F4022" s="3" t="str">
        <f>IFERROR(VLOOKUP(E4022,BD!$L$2:$Q$66,2,0),0)</f>
        <v>INCA KOLA PET 1.5LX2 RF</v>
      </c>
      <c r="G4022" s="424">
        <v>1080</v>
      </c>
      <c r="H4022" s="3">
        <f>+IFERROR(VLOOKUP(E4022,BD!$L$2:$Q$66,6,0),0)</f>
        <v>198</v>
      </c>
      <c r="I4022" s="96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7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7">
        <v>256652</v>
      </c>
      <c r="F4023" s="3" t="str">
        <f>IFERROR(VLOOKUP(E4023,BD!$L$2:$Q$66,2,0),0)</f>
        <v>TRIPACK FT NAR+FT KI+SP PET 3L</v>
      </c>
      <c r="G4023" s="424">
        <v>900</v>
      </c>
      <c r="H4023" s="3">
        <f>+IFERROR(VLOOKUP(E4023,BD!$L$2:$Q$66,6,0),0)</f>
        <v>90</v>
      </c>
      <c r="I4023" s="96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7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7">
        <v>256678</v>
      </c>
      <c r="F4024" s="3" t="str">
        <f>IFERROR(VLOOKUP(E4024,BD!$L$2:$Q$66,2,0),0)</f>
        <v>TRIPACK (CC+IK)PFM+FT PET 3LX3 - RFNN</v>
      </c>
      <c r="G4024" s="424">
        <v>3600</v>
      </c>
      <c r="H4024" s="3">
        <f>+IFERROR(VLOOKUP(E4024,BD!$L$2:$Q$66,6,0),0)</f>
        <v>90</v>
      </c>
      <c r="I4024" s="96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7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7">
        <v>256682</v>
      </c>
      <c r="F4025" s="3" t="str">
        <f>IFERROR(VLOOKUP(E4025,BD!$L$2:$Q$66,2,0),0)</f>
        <v>TRIPACK (FT NAR+SP)PET+IK RF PFM 3L</v>
      </c>
      <c r="G4025" s="424">
        <v>900</v>
      </c>
      <c r="H4025" s="3">
        <f>+IFERROR(VLOOKUP(E4025,BD!$L$2:$Q$66,6,0),0)</f>
        <v>90</v>
      </c>
      <c r="I4025" s="96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7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7">
        <v>256695</v>
      </c>
      <c r="F4026" s="3" t="str">
        <f>IFERROR(VLOOKUP(E4026,BD!$L$2:$Q$66,2,0),0)</f>
        <v>POWERADE 3MORA+3FRUT PET 473MLX6</v>
      </c>
      <c r="G4026" s="424">
        <v>1350</v>
      </c>
      <c r="H4026" s="3">
        <f>+IFERROR(VLOOKUP(E4026,BD!$L$2:$Q$66,6,0),0)</f>
        <v>225</v>
      </c>
      <c r="I4026" s="96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7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7">
        <v>256708</v>
      </c>
      <c r="F4027" s="3" t="str">
        <f>IFERROR(VLOOKUP(E4027,BD!$L$2:$Q$66,2,0),0)</f>
        <v>POWERADE ION4 FRUTA PET473X6 MOD (STICK)</v>
      </c>
      <c r="G4027" s="424">
        <v>450</v>
      </c>
      <c r="H4027" s="3">
        <f>+IFERROR(VLOOKUP(E4027,BD!$L$2:$Q$66,6,0),0)</f>
        <v>225</v>
      </c>
      <c r="I4027" s="96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7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7">
        <v>252436</v>
      </c>
      <c r="F4028" s="3" t="str">
        <f>IFERROR(VLOOKUP(E4028,BD!$L$2:$Q$66,2,0),0)</f>
        <v>SAN LUIS SIN GAS PET 625MLX15 C/STICKER</v>
      </c>
      <c r="G4028" s="424">
        <v>450</v>
      </c>
      <c r="H4028" s="3">
        <f>+IFERROR(VLOOKUP(E4028,BD!$L$2:$Q$66,6,0),0)</f>
        <v>90</v>
      </c>
      <c r="I4028" s="96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7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7">
        <v>256685</v>
      </c>
      <c r="F4029" s="3" t="str">
        <f>IFERROR(VLOOKUP(E4029,BD!$L$2:$Q$66,2,0),0)</f>
        <v>SL S/G TAPA PLANA 1LT</v>
      </c>
      <c r="G4029" s="424">
        <v>224</v>
      </c>
      <c r="H4029" s="3">
        <f>+IFERROR(VLOOKUP(E4029,BD!$L$2:$Q$66,6,0),0)</f>
        <v>112</v>
      </c>
      <c r="I4029" s="96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7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7">
        <v>251429</v>
      </c>
      <c r="F4030" s="3" t="str">
        <f>IFERROR(VLOOKUP(E4030,BD!$L$2:$Q$66,2,0),0)</f>
        <v>SAN LUIS SIN GAS PET2500X6 STICKER</v>
      </c>
      <c r="G4030" s="424">
        <v>1440</v>
      </c>
      <c r="H4030" s="3">
        <f>+IFERROR(VLOOKUP(E4030,BD!$L$2:$Q$66,6,0),0)</f>
        <v>48</v>
      </c>
      <c r="I4030" s="96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7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7">
        <v>751544</v>
      </c>
      <c r="F4031" s="3" t="str">
        <f>IFERROR(VLOOKUP(E4031,BD!$L$2:$Q$66,2,0),0)</f>
        <v>MONSTER ENERGY ZERO 473MLX4</v>
      </c>
      <c r="G4031" s="424">
        <v>2100</v>
      </c>
      <c r="H4031" s="3">
        <f>+IFERROR(VLOOKUP(E4031,BD!$L$2:$Q$66,6,0),0)</f>
        <v>420</v>
      </c>
      <c r="I4031" s="96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7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7">
        <v>256616</v>
      </c>
      <c r="F4032" s="3" t="str">
        <f>IFERROR(VLOOKUP(E4032,BD!$L$2:$Q$66,2,0),0)</f>
        <v>TWO PACK SCHWEPPES CITRUS PET 1.5LX2</v>
      </c>
      <c r="G4032" s="424">
        <v>792</v>
      </c>
      <c r="H4032" s="3">
        <f>+IFERROR(VLOOKUP(E4032,BD!$L$2:$Q$66,6,0),0)</f>
        <v>198</v>
      </c>
      <c r="I4032" s="96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7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7">
        <v>256488</v>
      </c>
      <c r="F4033" s="3" t="str">
        <f>IFERROR(VLOOKUP(E4033,BD!$L$2:$Q$66,2,0),0)</f>
        <v>INCA KOLA PET 3LX2 - RF</v>
      </c>
      <c r="G4033" s="424">
        <v>360</v>
      </c>
      <c r="H4033" s="3">
        <f>+IFERROR(VLOOKUP(E4033,BD!$L$2:$Q$66,6,0),0)</f>
        <v>120</v>
      </c>
      <c r="I4033" s="96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7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7">
        <v>256652</v>
      </c>
      <c r="F4034" s="3" t="str">
        <f>IFERROR(VLOOKUP(E4034,BD!$L$2:$Q$66,2,0),0)</f>
        <v>TRIPACK FT NAR+FT KI+SP PET 3L</v>
      </c>
      <c r="G4034" s="424">
        <v>720</v>
      </c>
      <c r="H4034" s="3">
        <f>+IFERROR(VLOOKUP(E4034,BD!$L$2:$Q$66,6,0),0)</f>
        <v>90</v>
      </c>
      <c r="I4034" s="96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7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7">
        <v>256679</v>
      </c>
      <c r="F4035" s="3" t="str">
        <f>IFERROR(VLOOKUP(E4035,BD!$L$2:$Q$66,2,0),0)</f>
        <v>TRIPACK CC+IK+IK PFM 3LX3 - RFNN</v>
      </c>
      <c r="G4035" s="424">
        <v>720</v>
      </c>
      <c r="H4035" s="3">
        <f>+IFERROR(VLOOKUP(E4035,BD!$L$2:$Q$66,6,0),0)</f>
        <v>90</v>
      </c>
      <c r="I4035" s="96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7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7">
        <v>256678</v>
      </c>
      <c r="F4036" s="3" t="str">
        <f>IFERROR(VLOOKUP(E4036,BD!$L$2:$Q$66,2,0),0)</f>
        <v>TRIPACK (CC+IK)PFM+FT PET 3LX3 - RFNN</v>
      </c>
      <c r="G4036" s="424">
        <v>2160</v>
      </c>
      <c r="H4036" s="3">
        <f>+IFERROR(VLOOKUP(E4036,BD!$L$2:$Q$66,6,0),0)</f>
        <v>90</v>
      </c>
      <c r="I4036" s="96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7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7">
        <v>256695</v>
      </c>
      <c r="F4037" s="3" t="str">
        <f>IFERROR(VLOOKUP(E4037,BD!$L$2:$Q$66,2,0),0)</f>
        <v>POWERADE 3MORA+3FRUT PET 473MLX6</v>
      </c>
      <c r="G4037" s="424">
        <v>2250</v>
      </c>
      <c r="H4037" s="3">
        <f>+IFERROR(VLOOKUP(E4037,BD!$L$2:$Q$66,6,0),0)</f>
        <v>225</v>
      </c>
      <c r="I4037" s="96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7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7">
        <v>256708</v>
      </c>
      <c r="F4038" s="3" t="str">
        <f>IFERROR(VLOOKUP(E4038,BD!$L$2:$Q$66,2,0),0)</f>
        <v>POWERADE ION4 FRUTA PET473X6 MOD (STICK)</v>
      </c>
      <c r="G4038" s="424">
        <v>675</v>
      </c>
      <c r="H4038" s="3">
        <f>+IFERROR(VLOOKUP(E4038,BD!$L$2:$Q$66,6,0),0)</f>
        <v>225</v>
      </c>
      <c r="I4038" s="96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7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7">
        <v>256709</v>
      </c>
      <c r="F4039" s="3" t="str">
        <f>IFERROR(VLOOKUP(E4039,BD!$L$2:$Q$66,2,0),0)</f>
        <v>POWERADE ION4 MORA AZ PET473X6 MOD(STCK)</v>
      </c>
      <c r="G4039" s="424">
        <v>225</v>
      </c>
      <c r="H4039" s="3">
        <f>+IFERROR(VLOOKUP(E4039,BD!$L$2:$Q$66,6,0),0)</f>
        <v>225</v>
      </c>
      <c r="I4039" s="96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7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7">
        <v>254852</v>
      </c>
      <c r="F4040" s="3" t="str">
        <f>IFERROR(VLOOKUP(E4040,BD!$L$2:$Q$66,2,0),0)</f>
        <v>INCA KOLA PET 500MLX6</v>
      </c>
      <c r="G4040" s="425">
        <v>1250</v>
      </c>
      <c r="H4040" s="3">
        <f>+IFERROR(VLOOKUP(E4040,BD!$L$2:$Q$66,6,0),0)</f>
        <v>225</v>
      </c>
      <c r="I4040" s="96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7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7">
        <v>256753</v>
      </c>
      <c r="F4041" s="3" t="str">
        <f>IFERROR(VLOOKUP(E4041,BD!$L$2:$Q$66,2,0),0)</f>
        <v>PACK-2 FT NAR+FT KI+FT PIÑA+SP RP 1.5LX8</v>
      </c>
      <c r="G4041" s="424">
        <v>600</v>
      </c>
      <c r="H4041" s="3">
        <f>+IFERROR(VLOOKUP(E4041,BD!$L$2:$Q$66,6,0),0)</f>
        <v>30</v>
      </c>
      <c r="I4041" s="96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7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7">
        <v>256753</v>
      </c>
      <c r="F4042" s="3" t="str">
        <f>IFERROR(VLOOKUP(E4042,BD!$L$2:$Q$66,2,0),0)</f>
        <v>PACK-2 FT NAR+FT KI+FT PIÑA+SP RP 1.5LX8</v>
      </c>
      <c r="G4042" s="425">
        <v>600</v>
      </c>
      <c r="H4042" s="3">
        <f>+IFERROR(VLOOKUP(E4042,BD!$L$2:$Q$66,6,0),0)</f>
        <v>30</v>
      </c>
      <c r="I4042" s="96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7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7">
        <v>251429</v>
      </c>
      <c r="F4043" s="3" t="str">
        <f>IFERROR(VLOOKUP(E4043,BD!$L$2:$Q$66,2,0),0)</f>
        <v>SAN LUIS SIN GAS PET2500X6 STICKER</v>
      </c>
      <c r="G4043" s="424">
        <v>1200</v>
      </c>
      <c r="H4043" s="3">
        <f>+IFERROR(VLOOKUP(E4043,BD!$L$2:$Q$66,6,0),0)</f>
        <v>48</v>
      </c>
      <c r="I4043" s="96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7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7">
        <v>751544</v>
      </c>
      <c r="F4044" s="3" t="str">
        <f>IFERROR(VLOOKUP(E4044,BD!$L$2:$Q$66,2,0),0)</f>
        <v>MONSTER ENERGY ZERO 473MLX4</v>
      </c>
      <c r="G4044" s="424">
        <v>2100</v>
      </c>
      <c r="H4044" s="3">
        <f>+IFERROR(VLOOKUP(E4044,BD!$L$2:$Q$66,6,0),0)</f>
        <v>420</v>
      </c>
      <c r="I4044" s="96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7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7">
        <v>251406</v>
      </c>
      <c r="F4045" s="3" t="str">
        <f>IFERROR(VLOOKUP(E4045,BD!$L$2:$Q$66,2,0),0)</f>
        <v>COCA-COLA SIN AZUCAR PET 1.5LX2</v>
      </c>
      <c r="G4045" s="424">
        <v>4320</v>
      </c>
      <c r="H4045" s="3">
        <f>+IFERROR(VLOOKUP(E4045,BD!$L$2:$Q$66,6,0),0)</f>
        <v>198</v>
      </c>
      <c r="I4045" s="96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7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7">
        <v>254853</v>
      </c>
      <c r="F4046" s="3" t="str">
        <f>IFERROR(VLOOKUP(E4046,BD!$L$2:$Q$66,2,0),0)</f>
        <v>INCA KOLA SIN AZUCAR PET 1.5LX2</v>
      </c>
      <c r="G4046" s="424">
        <v>1728</v>
      </c>
      <c r="H4046" s="3">
        <f>+IFERROR(VLOOKUP(E4046,BD!$L$2:$Q$66,6,0),0)</f>
        <v>198</v>
      </c>
      <c r="I4046" s="96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7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7">
        <v>256616</v>
      </c>
      <c r="F4047" s="3" t="str">
        <f>IFERROR(VLOOKUP(E4047,BD!$L$2:$Q$66,2,0),0)</f>
        <v>TWO PACK SCHWEPPES CITRUS PET 1.5LX2</v>
      </c>
      <c r="G4047" s="424">
        <v>990</v>
      </c>
      <c r="H4047" s="3">
        <f>+IFERROR(VLOOKUP(E4047,BD!$L$2:$Q$66,6,0),0)</f>
        <v>198</v>
      </c>
      <c r="I4047" s="96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7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7">
        <v>256488</v>
      </c>
      <c r="F4048" s="3" t="str">
        <f>IFERROR(VLOOKUP(E4048,BD!$L$2:$Q$66,2,0),0)</f>
        <v>INCA KOLA PET 3LX2 - RF</v>
      </c>
      <c r="G4048" s="424">
        <v>2520</v>
      </c>
      <c r="H4048" s="3">
        <f>+IFERROR(VLOOKUP(E4048,BD!$L$2:$Q$66,6,0),0)</f>
        <v>120</v>
      </c>
      <c r="I4048" s="96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7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7">
        <v>256676</v>
      </c>
      <c r="F4049" s="3" t="str">
        <f>IFERROR(VLOOKUP(E4049,BD!$L$2:$Q$66,2,0),0)</f>
        <v>TWO PACK CC PFM 3LX2 - RFCC</v>
      </c>
      <c r="G4049" s="424">
        <v>120</v>
      </c>
      <c r="H4049" s="3">
        <f>+IFERROR(VLOOKUP(E4049,BD!$L$2:$Q$66,6,0),0)</f>
        <v>120</v>
      </c>
      <c r="I4049" s="96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7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7">
        <v>256674</v>
      </c>
      <c r="F4050" s="3" t="str">
        <f>IFERROR(VLOOKUP(E4050,BD!$L$2:$Q$66,2,0),0)</f>
        <v>COCA-COLA PET 1.5LX2 RF</v>
      </c>
      <c r="G4050" s="424">
        <v>2160</v>
      </c>
      <c r="H4050" s="3">
        <f>+IFERROR(VLOOKUP(E4050,BD!$L$2:$Q$66,6,0),0)</f>
        <v>198</v>
      </c>
      <c r="I4050" s="96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7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7">
        <v>256675</v>
      </c>
      <c r="F4051" s="3" t="str">
        <f>IFERROR(VLOOKUP(E4051,BD!$L$2:$Q$66,2,0),0)</f>
        <v>INCA KOLA PET 1.5LX2 RF</v>
      </c>
      <c r="G4051" s="424">
        <v>1080</v>
      </c>
      <c r="H4051" s="3">
        <f>+IFERROR(VLOOKUP(E4051,BD!$L$2:$Q$66,6,0),0)</f>
        <v>198</v>
      </c>
      <c r="I4051" s="96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7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7">
        <v>256652</v>
      </c>
      <c r="F4052" s="3" t="str">
        <f>IFERROR(VLOOKUP(E4052,BD!$L$2:$Q$66,2,0),0)</f>
        <v>TRIPACK FT NAR+FT KI+SP PET 3L</v>
      </c>
      <c r="G4052" s="424">
        <v>900</v>
      </c>
      <c r="H4052" s="3">
        <f>+IFERROR(VLOOKUP(E4052,BD!$L$2:$Q$66,6,0),0)</f>
        <v>90</v>
      </c>
      <c r="I4052" s="96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7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7">
        <v>256679</v>
      </c>
      <c r="F4053" s="3" t="str">
        <f>IFERROR(VLOOKUP(E4053,BD!$L$2:$Q$66,2,0),0)</f>
        <v>TRIPACK CC+IK+IK PFM 3LX3 - RFNN</v>
      </c>
      <c r="G4053" s="424">
        <v>900</v>
      </c>
      <c r="H4053" s="3">
        <f>+IFERROR(VLOOKUP(E4053,BD!$L$2:$Q$66,6,0),0)</f>
        <v>90</v>
      </c>
      <c r="I4053" s="96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7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7">
        <v>256678</v>
      </c>
      <c r="F4054" s="3" t="str">
        <f>IFERROR(VLOOKUP(E4054,BD!$L$2:$Q$66,2,0),0)</f>
        <v>TRIPACK (CC+IK)PFM+FT PET 3LX3 - RFNN</v>
      </c>
      <c r="G4054" s="424">
        <v>900</v>
      </c>
      <c r="H4054" s="3">
        <f>+IFERROR(VLOOKUP(E4054,BD!$L$2:$Q$66,6,0),0)</f>
        <v>90</v>
      </c>
      <c r="I4054" s="96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7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7">
        <v>256695</v>
      </c>
      <c r="F4055" s="3" t="str">
        <f>IFERROR(VLOOKUP(E4055,BD!$L$2:$Q$66,2,0),0)</f>
        <v>POWERADE 3MORA+3FRUT PET 473MLX6</v>
      </c>
      <c r="G4055" s="424">
        <v>1350</v>
      </c>
      <c r="H4055" s="3">
        <f>+IFERROR(VLOOKUP(E4055,BD!$L$2:$Q$66,6,0),0)</f>
        <v>225</v>
      </c>
      <c r="I4055" s="96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7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7">
        <v>256708</v>
      </c>
      <c r="F4056" s="3" t="str">
        <f>IFERROR(VLOOKUP(E4056,BD!$L$2:$Q$66,2,0),0)</f>
        <v>POWERADE ION4 FRUTA PET473X6 MOD (STICK)</v>
      </c>
      <c r="G4056" s="424">
        <v>675</v>
      </c>
      <c r="H4056" s="3">
        <f>+IFERROR(VLOOKUP(E4056,BD!$L$2:$Q$66,6,0),0)</f>
        <v>225</v>
      </c>
      <c r="I4056" s="96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7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7">
        <v>256720</v>
      </c>
      <c r="F4057" s="3" t="str">
        <f>IFERROR(VLOOKUP(E4057,BD!$L$2:$Q$66,2,0),0)</f>
        <v>FANTA NARANJA PET 500MLX6 BRANDEADO MOD</v>
      </c>
      <c r="G4057" s="424">
        <v>500</v>
      </c>
      <c r="H4057" s="3">
        <f>+IFERROR(VLOOKUP(E4057,BD!$L$2:$Q$66,6,0),0)</f>
        <v>420</v>
      </c>
      <c r="I4057" s="96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7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7">
        <v>256721</v>
      </c>
      <c r="F4058" s="3" t="str">
        <f>IFERROR(VLOOKUP(E4058,BD!$L$2:$Q$66,2,0),0)</f>
        <v>SPRITE PET 500MLX6 BRANDEADO MOD</v>
      </c>
      <c r="G4058" s="424">
        <v>500</v>
      </c>
      <c r="H4058" s="3">
        <f>+IFERROR(VLOOKUP(E4058,BD!$L$2:$Q$66,6,0),0)</f>
        <v>420</v>
      </c>
      <c r="I4058" s="96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7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7">
        <v>256383</v>
      </c>
      <c r="F4059" s="3" t="str">
        <f>IFERROR(VLOOKUP(E4059,BD!$L$2:$Q$66,2,0),0)</f>
        <v>COCA COLA VR 1.5LX8 - STICKER</v>
      </c>
      <c r="G4059" s="424">
        <v>210</v>
      </c>
      <c r="H4059" s="3">
        <f>+IFERROR(VLOOKUP(E4059,BD!$L$2:$Q$66,6,0),0)</f>
        <v>30</v>
      </c>
      <c r="I4059" s="96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7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7">
        <v>256381</v>
      </c>
      <c r="F4060" s="3" t="str">
        <f>IFERROR(VLOOKUP(E4060,BD!$L$2:$Q$66,2,0),0)</f>
        <v>INCA KOLA VR 1.5LX8 - STICKER</v>
      </c>
      <c r="G4060" s="424">
        <v>200</v>
      </c>
      <c r="H4060" s="3">
        <f>+IFERROR(VLOOKUP(E4060,BD!$L$2:$Q$66,6,0),0)</f>
        <v>30</v>
      </c>
      <c r="I4060" s="96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7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7">
        <v>256379</v>
      </c>
      <c r="F4061" s="3" t="str">
        <f>IFERROR(VLOOKUP(E4061,BD!$L$2:$Q$66,2,0),0)</f>
        <v>INCA KOLA VR 625MLX12 - STICKER</v>
      </c>
      <c r="G4061" s="424">
        <v>200</v>
      </c>
      <c r="H4061" s="3">
        <f>+IFERROR(VLOOKUP(E4061,BD!$L$2:$Q$66,6,0),0)</f>
        <v>50</v>
      </c>
      <c r="I4061" s="96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7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7">
        <v>252436</v>
      </c>
      <c r="F4062" s="3" t="str">
        <f>IFERROR(VLOOKUP(E4062,BD!$L$2:$Q$66,2,0),0)</f>
        <v>SAN LUIS SIN GAS PET 625MLX15 C/STICKER</v>
      </c>
      <c r="G4062" s="424">
        <v>900</v>
      </c>
      <c r="H4062" s="3">
        <f>+IFERROR(VLOOKUP(E4062,BD!$L$2:$Q$66,6,0),0)</f>
        <v>90</v>
      </c>
      <c r="I4062" s="96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7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7">
        <v>256685</v>
      </c>
      <c r="F4063" s="3" t="str">
        <f>IFERROR(VLOOKUP(E4063,BD!$L$2:$Q$66,2,0),0)</f>
        <v>SL S/G TAPA PLANA 1LT</v>
      </c>
      <c r="G4063" s="424">
        <v>336</v>
      </c>
      <c r="H4063" s="3">
        <f>+IFERROR(VLOOKUP(E4063,BD!$L$2:$Q$66,6,0),0)</f>
        <v>112</v>
      </c>
      <c r="I4063" s="96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7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7">
        <v>251429</v>
      </c>
      <c r="F4064" s="3" t="str">
        <f>IFERROR(VLOOKUP(E4064,BD!$L$2:$Q$66,2,0),0)</f>
        <v>SAN LUIS SIN GAS PET2500X6 STICKER</v>
      </c>
      <c r="G4064" s="424">
        <v>1440</v>
      </c>
      <c r="H4064" s="3">
        <f>+IFERROR(VLOOKUP(E4064,BD!$L$2:$Q$66,6,0),0)</f>
        <v>48</v>
      </c>
      <c r="I4064" s="96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7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7">
        <v>751315</v>
      </c>
      <c r="F4065" s="3" t="str">
        <f>IFERROR(VLOOKUP(E4065,BD!$L$2:$Q$66,2,0),0)</f>
        <v>MONSTER ENERGY 473MLX4</v>
      </c>
      <c r="G4065" s="424">
        <v>3360</v>
      </c>
      <c r="H4065" s="3">
        <f>+IFERROR(VLOOKUP(E4065,BD!$L$2:$Q$66,6,0),0)</f>
        <v>420</v>
      </c>
      <c r="I4065" s="96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7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7">
        <v>751468</v>
      </c>
      <c r="F4066" s="3" t="str">
        <f>IFERROR(VLOOKUP(E4066,BD!$L$2:$Q$66,2,0),0)</f>
        <v>MONSTER ENERGY ULTRA 473MLX4</v>
      </c>
      <c r="G4066" s="424">
        <v>4200</v>
      </c>
      <c r="H4066" s="3">
        <f>+IFERROR(VLOOKUP(E4066,BD!$L$2:$Q$66,6,0),0)</f>
        <v>420</v>
      </c>
      <c r="I4066" s="96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7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7">
        <v>256617</v>
      </c>
      <c r="F4067" s="3" t="str">
        <f>IFERROR(VLOOKUP(E4067,BD!$L$2:$Q$66,2,0),0)</f>
        <v>TWO PACK SCHWEPPES GINGER ALE PET 1.5LX2</v>
      </c>
      <c r="G4067" s="424">
        <v>990</v>
      </c>
      <c r="H4067" s="3">
        <f>+IFERROR(VLOOKUP(E4067,BD!$L$2:$Q$66,6,0),0)</f>
        <v>198</v>
      </c>
      <c r="I4067" s="96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7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7">
        <v>256488</v>
      </c>
      <c r="F4068" s="3" t="str">
        <f>IFERROR(VLOOKUP(E4068,BD!$L$2:$Q$66,2,0),0)</f>
        <v>INCA KOLA PET 3LX2 - RF</v>
      </c>
      <c r="G4068" s="424">
        <v>3000</v>
      </c>
      <c r="H4068" s="3">
        <f>+IFERROR(VLOOKUP(E4068,BD!$L$2:$Q$66,6,0),0)</f>
        <v>120</v>
      </c>
      <c r="I4068" s="96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7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7">
        <v>256675</v>
      </c>
      <c r="F4069" s="3" t="str">
        <f>IFERROR(VLOOKUP(E4069,BD!$L$2:$Q$66,2,0),0)</f>
        <v>INCA KOLA PET 1.5LX2 RF</v>
      </c>
      <c r="G4069" s="424">
        <v>1512</v>
      </c>
      <c r="H4069" s="3">
        <f>+IFERROR(VLOOKUP(E4069,BD!$L$2:$Q$66,6,0),0)</f>
        <v>198</v>
      </c>
      <c r="I4069" s="96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7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7">
        <v>256678</v>
      </c>
      <c r="F4070" s="3" t="str">
        <f>IFERROR(VLOOKUP(E4070,BD!$L$2:$Q$66,2,0),0)</f>
        <v>TRIPACK (CC+IK)PFM+FT PET 3LX3 - RFNN</v>
      </c>
      <c r="G4070" s="424">
        <v>2880</v>
      </c>
      <c r="H4070" s="3">
        <f>+IFERROR(VLOOKUP(E4070,BD!$L$2:$Q$66,6,0),0)</f>
        <v>90</v>
      </c>
      <c r="I4070" s="96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7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7">
        <v>256682</v>
      </c>
      <c r="F4071" s="3" t="str">
        <f>IFERROR(VLOOKUP(E4071,BD!$L$2:$Q$66,2,0),0)</f>
        <v>TRIPACK (FT NAR+SP)PET+IK RF PFM 3L</v>
      </c>
      <c r="G4071" s="424">
        <v>450</v>
      </c>
      <c r="H4071" s="3">
        <f>+IFERROR(VLOOKUP(E4071,BD!$L$2:$Q$66,6,0),0)</f>
        <v>90</v>
      </c>
      <c r="I4071" s="96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7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7">
        <v>256709</v>
      </c>
      <c r="F4072" s="3" t="str">
        <f>IFERROR(VLOOKUP(E4072,BD!$L$2:$Q$66,2,0),0)</f>
        <v>POWERADE ION4 MORA AZ PET473X6 MOD(STCK)</v>
      </c>
      <c r="G4072" s="424">
        <v>450</v>
      </c>
      <c r="H4072" s="3">
        <f>+IFERROR(VLOOKUP(E4072,BD!$L$2:$Q$66,6,0),0)</f>
        <v>225</v>
      </c>
      <c r="I4072" s="96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7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7">
        <v>256720</v>
      </c>
      <c r="F4073" s="3" t="str">
        <f>IFERROR(VLOOKUP(E4073,BD!$L$2:$Q$66,2,0),0)</f>
        <v>FANTA NARANJA PET 500MLX6 BRANDEADO MOD</v>
      </c>
      <c r="G4073" s="424">
        <v>500</v>
      </c>
      <c r="H4073" s="3">
        <f>+IFERROR(VLOOKUP(E4073,BD!$L$2:$Q$66,6,0),0)</f>
        <v>420</v>
      </c>
      <c r="I4073" s="96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7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7">
        <v>254762</v>
      </c>
      <c r="F4074" s="3" t="str">
        <f>IFERROR(VLOOKUP(E4074,BD!$L$2:$Q$66,2,0),0)</f>
        <v xml:space="preserve">SAN LUIS SPORT S/G 10 Lt x6 </v>
      </c>
      <c r="G4074" s="424">
        <v>112</v>
      </c>
      <c r="H4074" s="3">
        <f>+IFERROR(VLOOKUP(E4074,BD!$L$2:$Q$66,6,0),0)</f>
        <v>240</v>
      </c>
      <c r="I4074" s="96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7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7">
        <v>751315</v>
      </c>
      <c r="F4075" s="3" t="str">
        <f>IFERROR(VLOOKUP(E4075,BD!$L$2:$Q$66,2,0),0)</f>
        <v>MONSTER ENERGY 473MLX4</v>
      </c>
      <c r="G4075" s="424">
        <v>840</v>
      </c>
      <c r="H4075" s="3">
        <f>+IFERROR(VLOOKUP(E4075,BD!$L$2:$Q$66,6,0),0)</f>
        <v>420</v>
      </c>
      <c r="I4075" s="96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7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7">
        <v>251633</v>
      </c>
      <c r="F4076" s="3" t="str">
        <f>IFERROR(VLOOKUP(E4076,BD!$L$2:$Q$66,2,0),0)</f>
        <v>SAN LUIS CON GAS PET 625MLX6</v>
      </c>
      <c r="G4076" s="424">
        <v>900</v>
      </c>
      <c r="H4076" s="3">
        <f>+IFERROR(VLOOKUP(E4076,BD!$L$2:$Q$66,6,0),0)</f>
        <v>180</v>
      </c>
      <c r="I4076" s="96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7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7">
        <v>751315</v>
      </c>
      <c r="F4077" s="3" t="str">
        <f>IFERROR(VLOOKUP(E4077,BD!$L$2:$Q$66,2,0),0)</f>
        <v>MONSTER ENERGY 473MLX4</v>
      </c>
      <c r="G4077" s="424">
        <v>2940</v>
      </c>
      <c r="H4077" s="3">
        <f>+IFERROR(VLOOKUP(E4077,BD!$L$2:$Q$66,6,0),0)</f>
        <v>420</v>
      </c>
      <c r="I4077" s="96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7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7">
        <v>751468</v>
      </c>
      <c r="F4078" s="3" t="str">
        <f>IFERROR(VLOOKUP(E4078,BD!$L$2:$Q$66,2,0),0)</f>
        <v>MONSTER ENERGY ULTRA 473MLX4</v>
      </c>
      <c r="G4078" s="424">
        <v>2940</v>
      </c>
      <c r="H4078" s="3">
        <f>+IFERROR(VLOOKUP(E4078,BD!$L$2:$Q$66,6,0),0)</f>
        <v>420</v>
      </c>
      <c r="I4078" s="96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7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7">
        <v>256383</v>
      </c>
      <c r="F4079" s="3" t="str">
        <f>IFERROR(VLOOKUP(E4079,BD!$L$2:$Q$66,2,0),0)</f>
        <v>COCA COLA VR 1.5LX8 - STICKER</v>
      </c>
      <c r="G4079" s="424">
        <v>180</v>
      </c>
      <c r="H4079" s="3">
        <f>+IFERROR(VLOOKUP(E4079,BD!$L$2:$Q$66,6,0),0)</f>
        <v>30</v>
      </c>
      <c r="I4079" s="96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7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7">
        <v>256381</v>
      </c>
      <c r="F4080" s="3" t="str">
        <f>IFERROR(VLOOKUP(E4080,BD!$L$2:$Q$66,2,0),0)</f>
        <v>INCA KOLA VR 1.5LX8 - STICKER</v>
      </c>
      <c r="G4080" s="424">
        <v>150</v>
      </c>
      <c r="H4080" s="3">
        <f>+IFERROR(VLOOKUP(E4080,BD!$L$2:$Q$66,6,0),0)</f>
        <v>30</v>
      </c>
      <c r="I4080" s="96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7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7">
        <v>256379</v>
      </c>
      <c r="F4081" s="3" t="str">
        <f>IFERROR(VLOOKUP(E4081,BD!$L$2:$Q$66,2,0),0)</f>
        <v>INCA KOLA VR 625MLX12 - STICKER</v>
      </c>
      <c r="G4081" s="424">
        <v>250</v>
      </c>
      <c r="H4081" s="3">
        <f>+IFERROR(VLOOKUP(E4081,BD!$L$2:$Q$66,6,0),0)</f>
        <v>50</v>
      </c>
      <c r="I4081" s="96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7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7">
        <v>252436</v>
      </c>
      <c r="F4082" s="3" t="str">
        <f>IFERROR(VLOOKUP(E4082,BD!$L$2:$Q$66,2,0),0)</f>
        <v>SAN LUIS SIN GAS PET 625MLX15 C/STICKER</v>
      </c>
      <c r="G4082" s="424">
        <v>450</v>
      </c>
      <c r="H4082" s="3">
        <f>+IFERROR(VLOOKUP(E4082,BD!$L$2:$Q$66,6,0),0)</f>
        <v>90</v>
      </c>
      <c r="I4082" s="96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7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7">
        <v>256685</v>
      </c>
      <c r="F4083" s="3" t="str">
        <f>IFERROR(VLOOKUP(E4083,BD!$L$2:$Q$66,2,0),0)</f>
        <v>SL S/G TAPA PLANA 1LT</v>
      </c>
      <c r="G4083" s="424">
        <v>224</v>
      </c>
      <c r="H4083" s="3">
        <f>+IFERROR(VLOOKUP(E4083,BD!$L$2:$Q$66,6,0),0)</f>
        <v>112</v>
      </c>
      <c r="I4083" s="96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7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7">
        <v>751315</v>
      </c>
      <c r="F4084" s="3" t="str">
        <f>IFERROR(VLOOKUP(E4084,BD!$L$2:$Q$66,2,0),0)</f>
        <v>MONSTER ENERGY 473MLX4</v>
      </c>
      <c r="G4084" s="424">
        <v>5880</v>
      </c>
      <c r="H4084" s="3">
        <f>+IFERROR(VLOOKUP(E4084,BD!$L$2:$Q$66,6,0),0)</f>
        <v>420</v>
      </c>
      <c r="I4084" s="96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7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7">
        <v>751468</v>
      </c>
      <c r="F4085" s="3" t="str">
        <f>IFERROR(VLOOKUP(E4085,BD!$L$2:$Q$66,2,0),0)</f>
        <v>MONSTER ENERGY ULTRA 473MLX4</v>
      </c>
      <c r="G4085" s="424">
        <v>3360</v>
      </c>
      <c r="H4085" s="3">
        <f>+IFERROR(VLOOKUP(E4085,BD!$L$2:$Q$66,6,0),0)</f>
        <v>420</v>
      </c>
      <c r="I4085" s="96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7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7">
        <v>251633</v>
      </c>
      <c r="F4086" s="3" t="str">
        <f>IFERROR(VLOOKUP(E4086,BD!$L$2:$Q$66,2,0),0)</f>
        <v>SAN LUIS CON GAS PET 625MLX6</v>
      </c>
      <c r="G4086" s="424">
        <v>540</v>
      </c>
      <c r="H4086" s="3">
        <f>+IFERROR(VLOOKUP(E4086,BD!$L$2:$Q$66,6,0),0)</f>
        <v>180</v>
      </c>
      <c r="I4086" s="96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7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7">
        <v>256617</v>
      </c>
      <c r="F4087" s="3" t="str">
        <f>IFERROR(VLOOKUP(E4087,BD!$L$2:$Q$66,2,0),0)</f>
        <v>TWO PACK SCHWEPPES GINGER ALE PET 1.5LX2</v>
      </c>
      <c r="G4087" s="424">
        <v>990</v>
      </c>
      <c r="H4087" s="3">
        <f>+IFERROR(VLOOKUP(E4087,BD!$L$2:$Q$66,6,0),0)</f>
        <v>198</v>
      </c>
      <c r="I4087" s="96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7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7">
        <v>256666</v>
      </c>
      <c r="F4088" s="3" t="str">
        <f>IFERROR(VLOOKUP(E4088,BD!$L$2:$Q$66,2,0),0)</f>
        <v>COCA-COLA PET 2.25LX2 RF</v>
      </c>
      <c r="G4088" s="424">
        <v>1296</v>
      </c>
      <c r="H4088" s="3">
        <f>+IFERROR(VLOOKUP(E4088,BD!$L$2:$Q$66,6,0),0)</f>
        <v>162</v>
      </c>
      <c r="I4088" s="96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7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7">
        <v>256601</v>
      </c>
      <c r="F4089" s="3" t="str">
        <f>IFERROR(VLOOKUP(E4089,BD!$L$2:$Q$66,2,0),0)</f>
        <v>INCA KOLA PET 2.25LX2 RF</v>
      </c>
      <c r="G4089" s="424">
        <v>648</v>
      </c>
      <c r="H4089" s="3">
        <f>+IFERROR(VLOOKUP(E4089,BD!$L$2:$Q$66,6,0),0)</f>
        <v>162</v>
      </c>
      <c r="I4089" s="96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7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7">
        <v>256488</v>
      </c>
      <c r="F4090" s="3" t="str">
        <f>IFERROR(VLOOKUP(E4090,BD!$L$2:$Q$66,2,0),0)</f>
        <v>INCA KOLA PET 3LX2 - RF</v>
      </c>
      <c r="G4090" s="424">
        <v>2400</v>
      </c>
      <c r="H4090" s="3">
        <f>+IFERROR(VLOOKUP(E4090,BD!$L$2:$Q$66,6,0),0)</f>
        <v>120</v>
      </c>
      <c r="I4090" s="96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7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7">
        <v>256676</v>
      </c>
      <c r="F4091" s="3" t="str">
        <f>IFERROR(VLOOKUP(E4091,BD!$L$2:$Q$66,2,0),0)</f>
        <v>TWO PACK CC PFM 3LX2 - RFCC</v>
      </c>
      <c r="G4091" s="424">
        <v>2400</v>
      </c>
      <c r="H4091" s="3">
        <f>+IFERROR(VLOOKUP(E4091,BD!$L$2:$Q$66,6,0),0)</f>
        <v>120</v>
      </c>
      <c r="I4091" s="96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7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7">
        <v>256674</v>
      </c>
      <c r="F4092" s="3" t="str">
        <f>IFERROR(VLOOKUP(E4092,BD!$L$2:$Q$66,2,0),0)</f>
        <v>COCA-COLA PET 1.5LX2 RF</v>
      </c>
      <c r="G4092" s="424">
        <v>1080</v>
      </c>
      <c r="H4092" s="3">
        <f>+IFERROR(VLOOKUP(E4092,BD!$L$2:$Q$66,6,0),0)</f>
        <v>198</v>
      </c>
      <c r="I4092" s="96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7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7">
        <v>256678</v>
      </c>
      <c r="F4093" s="3" t="str">
        <f>IFERROR(VLOOKUP(E4093,BD!$L$2:$Q$66,2,0),0)</f>
        <v>TRIPACK (CC+IK)PFM+FT PET 3LX3 - RFNN</v>
      </c>
      <c r="G4093" s="424">
        <v>900</v>
      </c>
      <c r="H4093" s="3">
        <f>+IFERROR(VLOOKUP(E4093,BD!$L$2:$Q$66,6,0),0)</f>
        <v>90</v>
      </c>
      <c r="I4093" s="96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7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7">
        <v>256682</v>
      </c>
      <c r="F4094" s="3" t="str">
        <f>IFERROR(VLOOKUP(E4094,BD!$L$2:$Q$66,2,0),0)</f>
        <v>TRIPACK (FT NAR+SP)PET+IK RF PFM 3L</v>
      </c>
      <c r="G4094" s="424">
        <v>450</v>
      </c>
      <c r="H4094" s="3">
        <f>+IFERROR(VLOOKUP(E4094,BD!$L$2:$Q$66,6,0),0)</f>
        <v>90</v>
      </c>
      <c r="I4094" s="96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7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7">
        <v>256695</v>
      </c>
      <c r="F4095" s="3" t="str">
        <f>IFERROR(VLOOKUP(E4095,BD!$L$2:$Q$66,2,0),0)</f>
        <v>POWERADE 3MORA+3FRUT PET 473MLX6</v>
      </c>
      <c r="G4095" s="424">
        <v>1350</v>
      </c>
      <c r="H4095" s="3">
        <f>+IFERROR(VLOOKUP(E4095,BD!$L$2:$Q$66,6,0),0)</f>
        <v>225</v>
      </c>
      <c r="I4095" s="96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7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7">
        <v>256720</v>
      </c>
      <c r="F4096" s="3" t="str">
        <f>IFERROR(VLOOKUP(E4096,BD!$L$2:$Q$66,2,0),0)</f>
        <v>FANTA NARANJA PET 500MLX6 BRANDEADO MOD</v>
      </c>
      <c r="G4096" s="424">
        <v>250</v>
      </c>
      <c r="H4096" s="3">
        <f>+IFERROR(VLOOKUP(E4096,BD!$L$2:$Q$66,6,0),0)</f>
        <v>420</v>
      </c>
      <c r="I4096" s="96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7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7">
        <v>256721</v>
      </c>
      <c r="F4097" s="3" t="str">
        <f>IFERROR(VLOOKUP(E4097,BD!$L$2:$Q$66,2,0),0)</f>
        <v>SPRITE PET 500MLX6 BRANDEADO MOD</v>
      </c>
      <c r="G4097" s="424">
        <v>500</v>
      </c>
      <c r="H4097" s="3">
        <f>+IFERROR(VLOOKUP(E4097,BD!$L$2:$Q$66,6,0),0)</f>
        <v>420</v>
      </c>
      <c r="I4097" s="96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7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7">
        <v>751468</v>
      </c>
      <c r="F4098" s="3" t="str">
        <f>IFERROR(VLOOKUP(E4098,BD!$L$2:$Q$66,2,0),0)</f>
        <v>MONSTER ENERGY ULTRA 473MLX4</v>
      </c>
      <c r="G4098" s="424">
        <v>2940</v>
      </c>
      <c r="H4098" s="3">
        <f>+IFERROR(VLOOKUP(E4098,BD!$L$2:$Q$66,6,0),0)</f>
        <v>420</v>
      </c>
      <c r="I4098" s="96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7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7">
        <v>251406</v>
      </c>
      <c r="F4099" s="3" t="str">
        <f>IFERROR(VLOOKUP(E4099,BD!$L$2:$Q$66,2,0),0)</f>
        <v>COCA-COLA SIN AZUCAR PET 1.5LX2</v>
      </c>
      <c r="G4099" s="424">
        <v>864</v>
      </c>
      <c r="H4099" s="3">
        <f>+IFERROR(VLOOKUP(E4099,BD!$L$2:$Q$66,6,0),0)</f>
        <v>198</v>
      </c>
      <c r="I4099" s="96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7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7">
        <v>256616</v>
      </c>
      <c r="F4100" s="3" t="str">
        <f>IFERROR(VLOOKUP(E4100,BD!$L$2:$Q$66,2,0),0)</f>
        <v>TWO PACK SCHWEPPES CITRUS PET 1.5LX2</v>
      </c>
      <c r="G4100" s="424">
        <v>396</v>
      </c>
      <c r="H4100" s="3">
        <f>+IFERROR(VLOOKUP(E4100,BD!$L$2:$Q$66,6,0),0)</f>
        <v>198</v>
      </c>
      <c r="I4100" s="96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7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7">
        <v>256721</v>
      </c>
      <c r="F4101" s="3" t="str">
        <f>IFERROR(VLOOKUP(E4101,BD!$L$2:$Q$66,2,0),0)</f>
        <v>SPRITE PET 500MLX6 BRANDEADO MOD</v>
      </c>
      <c r="G4101" s="424">
        <v>500</v>
      </c>
      <c r="H4101" s="3">
        <f>+IFERROR(VLOOKUP(E4101,BD!$L$2:$Q$66,6,0),0)</f>
        <v>420</v>
      </c>
      <c r="I4101" s="96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7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7">
        <v>255429</v>
      </c>
      <c r="F4102" s="3" t="str">
        <f>IFERROR(VLOOKUP(E4102,BD!$L$2:$Q$66,2,0),0)</f>
        <v>COCA COLA SA PET 500MLX6 - C/STICKER</v>
      </c>
      <c r="G4102" s="424">
        <v>2000</v>
      </c>
      <c r="H4102" s="3">
        <f>+IFERROR(VLOOKUP(E4102,BD!$L$2:$Q$66,6,0),0)</f>
        <v>250</v>
      </c>
      <c r="I4102" s="96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7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7">
        <v>252436</v>
      </c>
      <c r="F4103" s="3" t="str">
        <f>IFERROR(VLOOKUP(E4103,BD!$L$2:$Q$66,2,0),0)</f>
        <v>SAN LUIS SIN GAS PET 625MLX15 C/STICKER</v>
      </c>
      <c r="G4103" s="424">
        <v>450</v>
      </c>
      <c r="H4103" s="3">
        <f>+IFERROR(VLOOKUP(E4103,BD!$L$2:$Q$66,6,0),0)</f>
        <v>90</v>
      </c>
      <c r="I4103" s="96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7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7">
        <v>254762</v>
      </c>
      <c r="F4104" s="3" t="str">
        <f>IFERROR(VLOOKUP(E4104,BD!$L$2:$Q$66,2,0),0)</f>
        <v xml:space="preserve">SAN LUIS SPORT S/G 10 Lt x6 </v>
      </c>
      <c r="G4104" s="424">
        <v>224</v>
      </c>
      <c r="H4104" s="3">
        <f>+IFERROR(VLOOKUP(E4104,BD!$L$2:$Q$66,6,0),0)</f>
        <v>240</v>
      </c>
      <c r="I4104" s="96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7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7">
        <v>251429</v>
      </c>
      <c r="F4105" s="3" t="str">
        <f>IFERROR(VLOOKUP(E4105,BD!$L$2:$Q$66,2,0),0)</f>
        <v>SAN LUIS SIN GAS PET2500X6 STICKER</v>
      </c>
      <c r="G4105" s="424">
        <v>1920</v>
      </c>
      <c r="H4105" s="3">
        <f>+IFERROR(VLOOKUP(E4105,BD!$L$2:$Q$66,6,0),0)</f>
        <v>48</v>
      </c>
      <c r="I4105" s="96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7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7">
        <v>751315</v>
      </c>
      <c r="F4106" s="3" t="str">
        <f>IFERROR(VLOOKUP(E4106,BD!$L$2:$Q$66,2,0),0)</f>
        <v>MONSTER ENERGY 473MLX4</v>
      </c>
      <c r="G4106" s="424">
        <v>3360</v>
      </c>
      <c r="H4106" s="3">
        <f>+IFERROR(VLOOKUP(E4106,BD!$L$2:$Q$66,6,0),0)</f>
        <v>420</v>
      </c>
      <c r="I4106" s="96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7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7">
        <v>251406</v>
      </c>
      <c r="F4107" s="3" t="str">
        <f>IFERROR(VLOOKUP(E4107,BD!$L$2:$Q$66,2,0),0)</f>
        <v>COCA-COLA SIN AZUCAR PET 1.5LX2</v>
      </c>
      <c r="G4107" s="424">
        <v>1296</v>
      </c>
      <c r="H4107" s="3">
        <f>+IFERROR(VLOOKUP(E4107,BD!$L$2:$Q$66,6,0),0)</f>
        <v>198</v>
      </c>
      <c r="I4107" s="96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7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7">
        <v>254853</v>
      </c>
      <c r="F4108" s="3" t="str">
        <f>IFERROR(VLOOKUP(E4108,BD!$L$2:$Q$66,2,0),0)</f>
        <v>INCA KOLA SIN AZUCAR PET 1.5LX2</v>
      </c>
      <c r="G4108" s="425">
        <v>2160</v>
      </c>
      <c r="H4108" s="3">
        <f>+IFERROR(VLOOKUP(E4108,BD!$L$2:$Q$66,6,0),0)</f>
        <v>198</v>
      </c>
      <c r="I4108" s="96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7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7">
        <v>256616</v>
      </c>
      <c r="F4109" s="3" t="str">
        <f>IFERROR(VLOOKUP(E4109,BD!$L$2:$Q$66,2,0),0)</f>
        <v>TWO PACK SCHWEPPES CITRUS PET 1.5LX2</v>
      </c>
      <c r="G4109" s="424">
        <v>594</v>
      </c>
      <c r="H4109" s="3">
        <f>+IFERROR(VLOOKUP(E4109,BD!$L$2:$Q$66,6,0),0)</f>
        <v>198</v>
      </c>
      <c r="I4109" s="96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7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7">
        <v>256488</v>
      </c>
      <c r="F4110" s="3" t="str">
        <f>IFERROR(VLOOKUP(E4110,BD!$L$2:$Q$66,2,0),0)</f>
        <v>INCA KOLA PET 3LX2 - RF</v>
      </c>
      <c r="G4110" s="424">
        <v>6000</v>
      </c>
      <c r="H4110" s="3">
        <f>+IFERROR(VLOOKUP(E4110,BD!$L$2:$Q$66,6,0),0)</f>
        <v>120</v>
      </c>
      <c r="I4110" s="96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7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7">
        <v>256675</v>
      </c>
      <c r="F4111" s="3" t="str">
        <f>IFERROR(VLOOKUP(E4111,BD!$L$2:$Q$66,2,0),0)</f>
        <v>INCA KOLA PET 1.5LX2 RF</v>
      </c>
      <c r="G4111" s="424">
        <v>2160</v>
      </c>
      <c r="H4111" s="3">
        <f>+IFERROR(VLOOKUP(E4111,BD!$L$2:$Q$66,6,0),0)</f>
        <v>198</v>
      </c>
      <c r="I4111" s="96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7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7">
        <v>256652</v>
      </c>
      <c r="F4112" s="3" t="str">
        <f>IFERROR(VLOOKUP(E4112,BD!$L$2:$Q$66,2,0),0)</f>
        <v>TRIPACK FT NAR+FT KI+SP PET 3L</v>
      </c>
      <c r="G4112" s="424">
        <v>1440</v>
      </c>
      <c r="H4112" s="3">
        <f>+IFERROR(VLOOKUP(E4112,BD!$L$2:$Q$66,6,0),0)</f>
        <v>90</v>
      </c>
      <c r="I4112" s="96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7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7">
        <v>256679</v>
      </c>
      <c r="F4113" s="3" t="str">
        <f>IFERROR(VLOOKUP(E4113,BD!$L$2:$Q$66,2,0),0)</f>
        <v>TRIPACK CC+IK+IK PFM 3LX3 - RFNN</v>
      </c>
      <c r="G4113" s="424">
        <v>1440</v>
      </c>
      <c r="H4113" s="3">
        <f>+IFERROR(VLOOKUP(E4113,BD!$L$2:$Q$66,6,0),0)</f>
        <v>90</v>
      </c>
      <c r="I4113" s="96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7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7">
        <v>256695</v>
      </c>
      <c r="F4114" s="3" t="str">
        <f>IFERROR(VLOOKUP(E4114,BD!$L$2:$Q$66,2,0),0)</f>
        <v>POWERADE 3MORA+3FRUT PET 473MLX6</v>
      </c>
      <c r="G4114" s="424">
        <v>1800</v>
      </c>
      <c r="H4114" s="3">
        <f>+IFERROR(VLOOKUP(E4114,BD!$L$2:$Q$66,6,0),0)</f>
        <v>225</v>
      </c>
      <c r="I4114" s="96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7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7">
        <v>256708</v>
      </c>
      <c r="F4115" s="3" t="str">
        <f>IFERROR(VLOOKUP(E4115,BD!$L$2:$Q$66,2,0),0)</f>
        <v>POWERADE ION4 FRUTA PET473X6 MOD (STICK)</v>
      </c>
      <c r="G4115" s="424">
        <v>900</v>
      </c>
      <c r="H4115" s="3">
        <f>+IFERROR(VLOOKUP(E4115,BD!$L$2:$Q$66,6,0),0)</f>
        <v>225</v>
      </c>
      <c r="I4115" s="96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7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7">
        <v>256709</v>
      </c>
      <c r="F4116" s="3" t="str">
        <f>IFERROR(VLOOKUP(E4116,BD!$L$2:$Q$66,2,0),0)</f>
        <v>POWERADE ION4 MORA AZ PET473X6 MOD(STCK)</v>
      </c>
      <c r="G4116" s="424">
        <v>675</v>
      </c>
      <c r="H4116" s="3">
        <f>+IFERROR(VLOOKUP(E4116,BD!$L$2:$Q$66,6,0),0)</f>
        <v>225</v>
      </c>
      <c r="I4116" s="96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7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7">
        <v>256720</v>
      </c>
      <c r="F4117" s="3" t="str">
        <f>IFERROR(VLOOKUP(E4117,BD!$L$2:$Q$66,2,0),0)</f>
        <v>FANTA NARANJA PET 500MLX6 BRANDEADO MOD</v>
      </c>
      <c r="G4117" s="424">
        <v>500</v>
      </c>
      <c r="H4117" s="3">
        <f>+IFERROR(VLOOKUP(E4117,BD!$L$2:$Q$66,6,0),0)</f>
        <v>420</v>
      </c>
      <c r="I4117" s="96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20">
        <v>44590</v>
      </c>
      <c r="B4118" s="621" t="str">
        <f t="shared" si="266"/>
        <v>ENERO</v>
      </c>
      <c r="C4118" s="621">
        <f t="shared" si="267"/>
        <v>5</v>
      </c>
      <c r="D4118" s="622" t="str">
        <f t="shared" si="268"/>
        <v>SÁBADO</v>
      </c>
      <c r="E4118" s="623">
        <v>256383</v>
      </c>
      <c r="F4118" s="622" t="str">
        <f>IFERROR(VLOOKUP(E4118,BD!$L$2:$Q$120,2,0),0)</f>
        <v>COCA COLA VR 1.5LX8 - STICKER</v>
      </c>
      <c r="G4118" s="624">
        <v>120</v>
      </c>
      <c r="H4118" s="622">
        <f>+IFERROR(VLOOKUP(E4118,BD!$L$2:$Q$120,6,0),0)</f>
        <v>30</v>
      </c>
      <c r="I4118" s="625">
        <f>IFERROR(G4118*VLOOKUP($E4118,BD!$L$2:$Q$120,5,0),0)</f>
        <v>27.6</v>
      </c>
      <c r="J4118" s="622">
        <f t="shared" si="269"/>
        <v>2022</v>
      </c>
    </row>
    <row r="4119" spans="1:10" s="9" customFormat="1" x14ac:dyDescent="0.25">
      <c r="A4119" s="447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7">
        <v>252436</v>
      </c>
      <c r="F4119" s="31" t="str">
        <f>IFERROR(VLOOKUP(E4119,BD!$L$2:$Q$120,2,0),0)</f>
        <v>SAN LUIS SIN GAS PET 625MLX15 C/STICKER</v>
      </c>
      <c r="G4119" s="424">
        <v>540</v>
      </c>
      <c r="H4119" s="31">
        <f>+IFERROR(VLOOKUP(E4119,BD!$L$2:$Q$120,6,0),0)</f>
        <v>90</v>
      </c>
      <c r="I4119" s="62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7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7">
        <v>256488</v>
      </c>
      <c r="F4120" s="31" t="str">
        <f>IFERROR(VLOOKUP(E4120,BD!$L$2:$Q$120,2,0),0)</f>
        <v>INCA KOLA PET 3LX2 - RF</v>
      </c>
      <c r="G4120" s="424">
        <v>4800</v>
      </c>
      <c r="H4120" s="31">
        <f>+IFERROR(VLOOKUP(E4120,BD!$L$2:$Q$120,6,0),0)</f>
        <v>120</v>
      </c>
      <c r="I4120" s="62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7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7">
        <v>256676</v>
      </c>
      <c r="F4121" s="31" t="str">
        <f>IFERROR(VLOOKUP(E4121,BD!$L$2:$Q$120,2,0),0)</f>
        <v>TWO PACK CC PFM 3LX2 - RFCC</v>
      </c>
      <c r="G4121" s="424">
        <v>4080</v>
      </c>
      <c r="H4121" s="31">
        <f>+IFERROR(VLOOKUP(E4121,BD!$L$2:$Q$120,6,0),0)</f>
        <v>120</v>
      </c>
      <c r="I4121" s="62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7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7">
        <v>256652</v>
      </c>
      <c r="F4122" s="31" t="str">
        <f>IFERROR(VLOOKUP(E4122,BD!$L$2:$Q$120,2,0),0)</f>
        <v>TRIPACK FT NAR+FT KI+SP PET 3L</v>
      </c>
      <c r="G4122" s="424">
        <v>720</v>
      </c>
      <c r="H4122" s="31">
        <f>+IFERROR(VLOOKUP(E4122,BD!$L$2:$Q$120,6,0),0)</f>
        <v>90</v>
      </c>
      <c r="I4122" s="62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7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7">
        <v>256677</v>
      </c>
      <c r="F4123" s="31" t="str">
        <f>IFERROR(VLOOKUP(E4123,BD!$L$2:$Q$120,2,0),0)</f>
        <v>TWO PACK CC + IK PFM 3LX2 - RFNN</v>
      </c>
      <c r="G4123" s="424">
        <v>480</v>
      </c>
      <c r="H4123" s="31">
        <f>+IFERROR(VLOOKUP(E4123,BD!$L$2:$Q$120,6,0),0)</f>
        <v>120</v>
      </c>
      <c r="I4123" s="62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7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7">
        <v>256695</v>
      </c>
      <c r="F4124" s="31" t="str">
        <f>IFERROR(VLOOKUP(E4124,BD!$L$2:$Q$120,2,0),0)</f>
        <v>POWERADE 3MORA+3FRUT PET 473MLX6</v>
      </c>
      <c r="G4124" s="424">
        <v>1350</v>
      </c>
      <c r="H4124" s="31">
        <f>+IFERROR(VLOOKUP(E4124,BD!$L$2:$Q$120,6,0),0)</f>
        <v>225</v>
      </c>
      <c r="I4124" s="62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7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7">
        <v>256708</v>
      </c>
      <c r="F4125" s="31" t="str">
        <f>IFERROR(VLOOKUP(E4125,BD!$L$2:$Q$120,2,0),0)</f>
        <v>POWERADE ION4 FRUTA PET473X6 MOD (STICK)</v>
      </c>
      <c r="G4125" s="424">
        <v>450</v>
      </c>
      <c r="H4125" s="31">
        <f>+IFERROR(VLOOKUP(E4125,BD!$L$2:$Q$120,6,0),0)</f>
        <v>225</v>
      </c>
      <c r="I4125" s="62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7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7">
        <v>256720</v>
      </c>
      <c r="F4126" s="31" t="str">
        <f>IFERROR(VLOOKUP(E4126,BD!$L$2:$Q$120,2,0),0)</f>
        <v>FANTA NARANJA PET 500MLX6 BRANDEADO MOD</v>
      </c>
      <c r="G4126" s="424">
        <v>500</v>
      </c>
      <c r="H4126" s="31">
        <f>+IFERROR(VLOOKUP(E4126,BD!$L$2:$Q$120,6,0),0)</f>
        <v>420</v>
      </c>
      <c r="I4126" s="62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7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7">
        <v>255430</v>
      </c>
      <c r="F4127" s="31" t="str">
        <f>IFERROR(VLOOKUP(E4127,BD!$L$2:$Q$120,2,0),0)</f>
        <v>INCA KOLA SA PET 500MLX6 - C/STICKER</v>
      </c>
      <c r="G4127" s="424">
        <v>1500</v>
      </c>
      <c r="H4127" s="31">
        <f>+IFERROR(VLOOKUP(E4127,BD!$L$2:$Q$120,6,0),0)</f>
        <v>250</v>
      </c>
      <c r="I4127" s="62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7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7" t="s">
        <v>263</v>
      </c>
      <c r="F4128" s="31" t="str">
        <f>IFERROR(VLOOKUP(E4128,BD!$L$2:$Q$120,2,0),0)</f>
        <v>3CC SA + 3IK SA 600ML X 6 PUC</v>
      </c>
      <c r="G4128" s="424">
        <v>800</v>
      </c>
      <c r="H4128" s="31">
        <f>+IFERROR(VLOOKUP(E4128,BD!$L$2:$Q$120,6,0),0)</f>
        <v>200</v>
      </c>
      <c r="I4128" s="62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7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7" t="s">
        <v>268</v>
      </c>
      <c r="F4129" s="31" t="str">
        <f>IFERROR(VLOOKUP(E4129,BD!$L$2:$Q$120,2,0),0)</f>
        <v>SL X 6 BOTELLAS X 625ML PUC</v>
      </c>
      <c r="G4129" s="424">
        <v>360</v>
      </c>
      <c r="H4129" s="31">
        <f>+IFERROR(VLOOKUP(E4129,BD!$L$2:$Q$120,6,0),0)</f>
        <v>180</v>
      </c>
      <c r="I4129" s="62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7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7">
        <v>256368</v>
      </c>
      <c r="F4130" s="31" t="str">
        <f>IFERROR(VLOOKUP(E4130,BD!$L$2:$Q$120,2,0),0)</f>
        <v>COCA COLA VNR 300ML X 6 PUC</v>
      </c>
      <c r="G4130" s="424">
        <v>1000</v>
      </c>
      <c r="H4130" s="31">
        <f>+IFERROR(VLOOKUP(E4130,BD!$L$2:$Q$120,6,0),0)</f>
        <v>250</v>
      </c>
      <c r="I4130" s="62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7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7" t="s">
        <v>265</v>
      </c>
      <c r="F4131" s="31" t="str">
        <f>IFERROR(VLOOKUP(E4131,BD!$L$2:$Q$120,2,0),0)</f>
        <v>1FTP + 1FTN + 1CC + 1IK PACK x 3000ML PUC</v>
      </c>
      <c r="G4131" s="424">
        <v>240</v>
      </c>
      <c r="H4131" s="31">
        <f>+IFERROR(VLOOKUP(E4131,BD!$L$2:$Q$120,6,0),0)</f>
        <v>60</v>
      </c>
      <c r="I4131" s="62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7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7" t="s">
        <v>275</v>
      </c>
      <c r="F4132" s="31" t="str">
        <f>IFERROR(VLOOKUP(E4132,BD!$L$2:$Q$120,2,0),0)</f>
        <v>BND X 6 BOTELLAS X 600ML PUC</v>
      </c>
      <c r="G4132" s="424">
        <v>360</v>
      </c>
      <c r="H4132" s="31">
        <f>+IFERROR(VLOOKUP(E4132,BD!$L$2:$Q$120,6,0),0)</f>
        <v>180</v>
      </c>
      <c r="I4132" s="62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7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7" t="s">
        <v>264</v>
      </c>
      <c r="F4133" s="31" t="str">
        <f>IFERROR(VLOOKUP(E4133,BD!$L$2:$Q$120,2,0),0)</f>
        <v>3IK SO + 1 IK SA X 3000ML PUC</v>
      </c>
      <c r="G4133" s="424">
        <v>180</v>
      </c>
      <c r="H4133" s="31">
        <f>+IFERROR(VLOOKUP(E4133,BD!$L$2:$Q$120,6,0),0)</f>
        <v>60</v>
      </c>
      <c r="I4133" s="62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7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7" t="s">
        <v>266</v>
      </c>
      <c r="F4134" s="31" t="str">
        <f>IFERROR(VLOOKUP(E4134,BD!$L$2:$Q$120,2,0),0)</f>
        <v>2FTKI + 2FTN + 1FTP + 1SP PACK x 500ML</v>
      </c>
      <c r="G4134" s="424">
        <v>250</v>
      </c>
      <c r="H4134" s="31">
        <f>+IFERROR(VLOOKUP(E4134,BD!$L$2:$Q$120,6,0),0)</f>
        <v>250</v>
      </c>
      <c r="I4134" s="62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7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7" t="s">
        <v>265</v>
      </c>
      <c r="F4135" s="31" t="str">
        <f>IFERROR(VLOOKUP(E4135,BD!$L$2:$Q$120,2,0),0)</f>
        <v>1FTP + 1FTN + 1CC + 1IK PACK x 3000ML PUC</v>
      </c>
      <c r="G4135" s="424">
        <v>240</v>
      </c>
      <c r="H4135" s="31">
        <f>+IFERROR(VLOOKUP(E4135,BD!$L$2:$Q$120,6,0),0)</f>
        <v>60</v>
      </c>
      <c r="I4135" s="62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7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7" t="s">
        <v>266</v>
      </c>
      <c r="F4136" s="31" t="str">
        <f>IFERROR(VLOOKUP(E4136,BD!$L$2:$Q$120,2,0),0)</f>
        <v>2FTKI + 2FTN + 1FTP + 1SP PACK x 500ML</v>
      </c>
      <c r="G4136" s="424">
        <v>500</v>
      </c>
      <c r="H4136" s="31">
        <f>+IFERROR(VLOOKUP(E4136,BD!$L$2:$Q$120,6,0),0)</f>
        <v>250</v>
      </c>
      <c r="I4136" s="62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7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7">
        <v>256379</v>
      </c>
      <c r="F4137" s="31" t="str">
        <f>IFERROR(VLOOKUP(E4137,BD!$L$2:$Q$120,2,0),0)</f>
        <v>INCA KOLA VR 625MLX12 - STICKER</v>
      </c>
      <c r="G4137" s="424">
        <v>250</v>
      </c>
      <c r="H4137" s="31">
        <f>+IFERROR(VLOOKUP(E4137,BD!$L$2:$Q$120,6,0),0)</f>
        <v>50</v>
      </c>
      <c r="I4137" s="62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7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7">
        <v>252436</v>
      </c>
      <c r="F4138" s="31" t="str">
        <f>IFERROR(VLOOKUP(E4138,BD!$L$2:$Q$120,2,0),0)</f>
        <v>SAN LUIS SIN GAS PET 625MLX15 C/STICKER</v>
      </c>
      <c r="G4138" s="424">
        <v>450</v>
      </c>
      <c r="H4138" s="31">
        <f>+IFERROR(VLOOKUP(E4138,BD!$L$2:$Q$120,6,0),0)</f>
        <v>90</v>
      </c>
      <c r="I4138" s="62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7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7">
        <v>256685</v>
      </c>
      <c r="F4139" s="31" t="str">
        <f>IFERROR(VLOOKUP(E4139,BD!$L$2:$Q$120,2,0),0)</f>
        <v>SL S/G TAPA PLANA 1LT</v>
      </c>
      <c r="G4139" s="424">
        <v>448</v>
      </c>
      <c r="H4139" s="31">
        <f>+IFERROR(VLOOKUP(E4139,BD!$L$2:$Q$120,6,0),0)</f>
        <v>112</v>
      </c>
      <c r="I4139" s="62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7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7">
        <v>251429</v>
      </c>
      <c r="F4140" s="31" t="str">
        <f>IFERROR(VLOOKUP(E4140,BD!$L$2:$Q$120,2,0),0)</f>
        <v>SAN LUIS SIN GAS PET2500X6 STICKER</v>
      </c>
      <c r="G4140" s="424">
        <v>1440</v>
      </c>
      <c r="H4140" s="31">
        <f>+IFERROR(VLOOKUP(E4140,BD!$L$2:$Q$120,6,0),0)</f>
        <v>48</v>
      </c>
      <c r="I4140" s="62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7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7">
        <v>251633</v>
      </c>
      <c r="F4141" s="31" t="str">
        <f>IFERROR(VLOOKUP(E4141,BD!$L$2:$Q$120,2,0),0)</f>
        <v>SAN LUIS CON GAS PET 625MLX6</v>
      </c>
      <c r="G4141" s="424">
        <v>720</v>
      </c>
      <c r="H4141" s="31">
        <f>+IFERROR(VLOOKUP(E4141,BD!$L$2:$Q$120,6,0),0)</f>
        <v>180</v>
      </c>
      <c r="I4141" s="62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7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7">
        <v>251406</v>
      </c>
      <c r="F4142" s="31" t="str">
        <f>IFERROR(VLOOKUP(E4142,BD!$L$2:$Q$120,2,0),0)</f>
        <v>COCA-COLA SIN AZUCAR PET 1.5LX2</v>
      </c>
      <c r="G4142" s="424">
        <v>2592</v>
      </c>
      <c r="H4142" s="31">
        <f>+IFERROR(VLOOKUP(E4142,BD!$L$2:$Q$120,6,0),0)</f>
        <v>198</v>
      </c>
      <c r="I4142" s="62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7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7">
        <v>256616</v>
      </c>
      <c r="F4143" s="31" t="str">
        <f>IFERROR(VLOOKUP(E4143,BD!$L$2:$Q$120,2,0),0)</f>
        <v>TWO PACK SCHWEPPES CITRUS PET 1.5LX2</v>
      </c>
      <c r="G4143" s="424">
        <v>198</v>
      </c>
      <c r="H4143" s="31">
        <f>+IFERROR(VLOOKUP(E4143,BD!$L$2:$Q$120,6,0),0)</f>
        <v>198</v>
      </c>
      <c r="I4143" s="62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7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7">
        <v>256488</v>
      </c>
      <c r="F4144" s="31" t="str">
        <f>IFERROR(VLOOKUP(E4144,BD!$L$2:$Q$120,2,0),0)</f>
        <v>INCA KOLA PET 3LX2 - RF</v>
      </c>
      <c r="G4144" s="424">
        <v>2400</v>
      </c>
      <c r="H4144" s="31">
        <f>+IFERROR(VLOOKUP(E4144,BD!$L$2:$Q$120,6,0),0)</f>
        <v>120</v>
      </c>
      <c r="I4144" s="62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7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7">
        <v>256676</v>
      </c>
      <c r="F4145" s="31" t="str">
        <f>IFERROR(VLOOKUP(E4145,BD!$L$2:$Q$120,2,0),0)</f>
        <v>TWO PACK CC PFM 3LX2 - RFCC</v>
      </c>
      <c r="G4145" s="424">
        <v>840</v>
      </c>
      <c r="H4145" s="31">
        <f>+IFERROR(VLOOKUP(E4145,BD!$L$2:$Q$120,6,0),0)</f>
        <v>120</v>
      </c>
      <c r="I4145" s="62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7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7">
        <v>256675</v>
      </c>
      <c r="F4146" s="31" t="str">
        <f>IFERROR(VLOOKUP(E4146,BD!$L$2:$Q$120,2,0),0)</f>
        <v>INCA KOLA PET 1.5LX2 RF</v>
      </c>
      <c r="G4146" s="424">
        <v>1080</v>
      </c>
      <c r="H4146" s="31">
        <f>+IFERROR(VLOOKUP(E4146,BD!$L$2:$Q$120,6,0),0)</f>
        <v>198</v>
      </c>
      <c r="I4146" s="62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7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7">
        <v>256652</v>
      </c>
      <c r="F4147" s="31" t="str">
        <f>IFERROR(VLOOKUP(E4147,BD!$L$2:$Q$120,2,0),0)</f>
        <v>TRIPACK FT NAR+FT KI+SP PET 3L</v>
      </c>
      <c r="G4147" s="424">
        <v>450</v>
      </c>
      <c r="H4147" s="31">
        <f>+IFERROR(VLOOKUP(E4147,BD!$L$2:$Q$120,6,0),0)</f>
        <v>90</v>
      </c>
      <c r="I4147" s="62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7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7">
        <v>256677</v>
      </c>
      <c r="F4148" s="31" t="str">
        <f>IFERROR(VLOOKUP(E4148,BD!$L$2:$Q$120,2,0),0)</f>
        <v>TWO PACK CC + IK PFM 3LX2 - RFNN</v>
      </c>
      <c r="G4148" s="424">
        <v>240</v>
      </c>
      <c r="H4148" s="31">
        <f>+IFERROR(VLOOKUP(E4148,BD!$L$2:$Q$120,6,0),0)</f>
        <v>120</v>
      </c>
      <c r="I4148" s="62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7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7">
        <v>256695</v>
      </c>
      <c r="F4149" s="31" t="str">
        <f>IFERROR(VLOOKUP(E4149,BD!$L$2:$Q$120,2,0),0)</f>
        <v>POWERADE 3MORA+3FRUT PET 473MLX6</v>
      </c>
      <c r="G4149" s="424">
        <v>1350</v>
      </c>
      <c r="H4149" s="31">
        <f>+IFERROR(VLOOKUP(E4149,BD!$L$2:$Q$120,6,0),0)</f>
        <v>225</v>
      </c>
      <c r="I4149" s="62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7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7">
        <v>256721</v>
      </c>
      <c r="F4150" s="31" t="str">
        <f>IFERROR(VLOOKUP(E4150,BD!$L$2:$Q$120,2,0),0)</f>
        <v>SPRITE PET 500MLX6 BRANDEADO MOD</v>
      </c>
      <c r="G4150" s="424">
        <v>750</v>
      </c>
      <c r="H4150" s="31">
        <f>+IFERROR(VLOOKUP(E4150,BD!$L$2:$Q$120,6,0),0)</f>
        <v>420</v>
      </c>
      <c r="I4150" s="62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7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7">
        <v>255430</v>
      </c>
      <c r="F4151" s="31" t="str">
        <f>IFERROR(VLOOKUP(E4151,BD!$L$2:$Q$120,2,0),0)</f>
        <v>INCA KOLA SA PET 500MLX6 - C/STICKER</v>
      </c>
      <c r="G4151" s="424">
        <v>2000</v>
      </c>
      <c r="H4151" s="31">
        <f>+IFERROR(VLOOKUP(E4151,BD!$L$2:$Q$120,6,0),0)</f>
        <v>250</v>
      </c>
      <c r="I4151" s="62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7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7">
        <v>256358</v>
      </c>
      <c r="F4152" s="31" t="str">
        <f>IFERROR(VLOOKUP(E4152,BD!$L$2:$Q$120,2,0),0)</f>
        <v>COCA-COLA SIN AZUCAR PET300MLX6-C/STICKE</v>
      </c>
      <c r="G4152" s="424">
        <v>5250</v>
      </c>
      <c r="H4152" s="31">
        <f>+IFERROR(VLOOKUP(E4152,BD!$L$2:$Q$120,6,0),0)</f>
        <v>350</v>
      </c>
      <c r="I4152" s="62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7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7">
        <v>256368</v>
      </c>
      <c r="F4153" s="31" t="str">
        <f>IFERROR(VLOOKUP(E4153,BD!$L$2:$Q$120,2,0),0)</f>
        <v>COCA COLA VNR 300ML X 6 PUC</v>
      </c>
      <c r="G4153" s="424">
        <v>2500</v>
      </c>
      <c r="H4153" s="31">
        <f>+IFERROR(VLOOKUP(E4153,BD!$L$2:$Q$120,6,0),0)</f>
        <v>250</v>
      </c>
      <c r="I4153" s="62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7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7" t="s">
        <v>263</v>
      </c>
      <c r="F4154" s="31" t="str">
        <f>IFERROR(VLOOKUP(E4154,BD!$L$2:$Q$120,2,0),0)</f>
        <v>3CC SA + 3IK SA 600ML X 6 PUC</v>
      </c>
      <c r="G4154" s="424">
        <v>800</v>
      </c>
      <c r="H4154" s="31">
        <f>+IFERROR(VLOOKUP(E4154,BD!$L$2:$Q$120,6,0),0)</f>
        <v>200</v>
      </c>
      <c r="I4154" s="62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7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7" t="s">
        <v>264</v>
      </c>
      <c r="F4155" s="31" t="str">
        <f>IFERROR(VLOOKUP(E4155,BD!$L$2:$Q$120,2,0),0)</f>
        <v>3IK SO + 1 IK SA X 3000ML PUC</v>
      </c>
      <c r="G4155" s="424">
        <v>240</v>
      </c>
      <c r="H4155" s="31">
        <f>+IFERROR(VLOOKUP(E4155,BD!$L$2:$Q$120,6,0),0)</f>
        <v>60</v>
      </c>
      <c r="I4155" s="62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7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7" t="s">
        <v>265</v>
      </c>
      <c r="F4156" s="31" t="str">
        <f>IFERROR(VLOOKUP(E4156,BD!$L$2:$Q$120,2,0),0)</f>
        <v>1FTP + 1FTN + 1CC + 1IK PACK x 3000ML PUC</v>
      </c>
      <c r="G4156" s="424">
        <v>360</v>
      </c>
      <c r="H4156" s="31">
        <f>+IFERROR(VLOOKUP(E4156,BD!$L$2:$Q$120,6,0),0)</f>
        <v>60</v>
      </c>
      <c r="I4156" s="62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7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7">
        <v>251632</v>
      </c>
      <c r="F4157" s="31" t="str">
        <f>IFERROR(VLOOKUP(E4157,BD!$L$2:$Q$120,2,0),0)</f>
        <v>SAN LUIS SIN GAS PET 625MLX06 MOD</v>
      </c>
      <c r="G4157" s="424">
        <v>1080</v>
      </c>
      <c r="H4157" s="31">
        <f>+IFERROR(VLOOKUP(E4157,BD!$L$2:$Q$120,6,0),0)</f>
        <v>180</v>
      </c>
      <c r="I4157" s="62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7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7" t="s">
        <v>265</v>
      </c>
      <c r="F4158" s="31" t="str">
        <f>IFERROR(VLOOKUP(E4158,BD!$L$2:$Q$120,2,0),0)</f>
        <v>1FTP + 1FTN + 1CC + 1IK PACK x 3000ML PUC</v>
      </c>
      <c r="G4158" s="424">
        <v>120</v>
      </c>
      <c r="H4158" s="31">
        <f>+IFERROR(VLOOKUP(E4158,BD!$L$2:$Q$120,6,0),0)</f>
        <v>60</v>
      </c>
      <c r="I4158" s="62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7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7" t="s">
        <v>266</v>
      </c>
      <c r="F4159" s="31" t="str">
        <f>IFERROR(VLOOKUP(E4159,BD!$L$2:$Q$120,2,0),0)</f>
        <v>2FTKI + 2FTN + 1FTP + 1SP PACK x 500ML</v>
      </c>
      <c r="G4159" s="424">
        <v>750</v>
      </c>
      <c r="H4159" s="31">
        <f>+IFERROR(VLOOKUP(E4159,BD!$L$2:$Q$120,6,0),0)</f>
        <v>250</v>
      </c>
      <c r="I4159" s="62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7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7" t="s">
        <v>268</v>
      </c>
      <c r="F4160" s="31" t="str">
        <f>IFERROR(VLOOKUP(E4160,BD!$L$2:$Q$120,2,0),0)</f>
        <v>SL X 6 BOTELLAS X 625ML PUC</v>
      </c>
      <c r="G4160" s="424">
        <v>360</v>
      </c>
      <c r="H4160" s="31">
        <f>+IFERROR(VLOOKUP(E4160,BD!$L$2:$Q$120,6,0),0)</f>
        <v>180</v>
      </c>
      <c r="I4160" s="62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7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7" t="s">
        <v>267</v>
      </c>
      <c r="F4161" s="31" t="str">
        <f>IFERROR(VLOOKUP(E4161,BD!$L$2:$Q$120,2,0),0)</f>
        <v>PW 4FRU + 4MOR 473ML X 8 PUC</v>
      </c>
      <c r="G4161" s="424">
        <v>350</v>
      </c>
      <c r="H4161" s="31">
        <f>+IFERROR(VLOOKUP(E4161,BD!$L$2:$Q$120,6,0),0)</f>
        <v>175</v>
      </c>
      <c r="I4161" s="62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7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7">
        <v>255430</v>
      </c>
      <c r="F4162" s="31" t="str">
        <f>IFERROR(VLOOKUP(E4162,BD!$L$2:$Q$120,2,0),0)</f>
        <v>INCA KOLA SA PET 500MLX6 - C/STICKER</v>
      </c>
      <c r="G4162" s="424">
        <v>1250</v>
      </c>
      <c r="H4162" s="31">
        <f>+IFERROR(VLOOKUP(E4162,BD!$L$2:$Q$120,6,0),0)</f>
        <v>250</v>
      </c>
      <c r="I4162" s="62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7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7">
        <v>256358</v>
      </c>
      <c r="F4163" s="31" t="str">
        <f>IFERROR(VLOOKUP(E4163,BD!$L$2:$Q$120,2,0),0)</f>
        <v>COCA-COLA SIN AZUCAR PET300MLX6-C/STICKE</v>
      </c>
      <c r="G4163" s="424">
        <v>1750</v>
      </c>
      <c r="H4163" s="31">
        <f>+IFERROR(VLOOKUP(E4163,BD!$L$2:$Q$120,6,0),0)</f>
        <v>350</v>
      </c>
      <c r="I4163" s="62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7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7">
        <v>251429</v>
      </c>
      <c r="F4164" s="31" t="str">
        <f>IFERROR(VLOOKUP(E4164,BD!$L$2:$Q$120,2,0),0)</f>
        <v>SAN LUIS SIN GAS PET2500X6 STICKER</v>
      </c>
      <c r="G4164" s="424">
        <v>480</v>
      </c>
      <c r="H4164" s="31">
        <f>+IFERROR(VLOOKUP(E4164,BD!$L$2:$Q$120,6,0),0)</f>
        <v>48</v>
      </c>
      <c r="I4164" s="62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7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7">
        <v>751315</v>
      </c>
      <c r="F4165" s="31" t="str">
        <f>IFERROR(VLOOKUP(E4165,BD!$L$2:$Q$120,2,0),0)</f>
        <v>MONSTER ENERGY 473MLX4</v>
      </c>
      <c r="G4165" s="424">
        <v>2000</v>
      </c>
      <c r="H4165" s="31">
        <f>+IFERROR(VLOOKUP(E4165,BD!$L$2:$Q$120,6,0),0)</f>
        <v>420</v>
      </c>
      <c r="I4165" s="62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7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7">
        <v>751544</v>
      </c>
      <c r="F4166" s="31" t="str">
        <f>IFERROR(VLOOKUP(E4166,BD!$L$2:$Q$120,2,0),0)</f>
        <v>MONSTER ENERGY ZERO 473MLX4</v>
      </c>
      <c r="G4166" s="424">
        <v>2000</v>
      </c>
      <c r="H4166" s="31">
        <f>+IFERROR(VLOOKUP(E4166,BD!$L$2:$Q$120,6,0),0)</f>
        <v>420</v>
      </c>
      <c r="I4166" s="62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7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7">
        <v>254853</v>
      </c>
      <c r="F4167" s="31" t="str">
        <f>IFERROR(VLOOKUP(E4167,BD!$L$2:$Q$120,2,0),0)</f>
        <v>INCA KOLA SIN AZUCAR PET 1.5LX2</v>
      </c>
      <c r="G4167" s="424">
        <v>1080</v>
      </c>
      <c r="H4167" s="31">
        <f>+IFERROR(VLOOKUP(E4167,BD!$L$2:$Q$120,6,0),0)</f>
        <v>198</v>
      </c>
      <c r="I4167" s="62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7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7">
        <v>256676</v>
      </c>
      <c r="F4168" s="31" t="str">
        <f>IFERROR(VLOOKUP(E4168,BD!$L$2:$Q$120,2,0),0)</f>
        <v>TWO PACK CC PFM 3LX2 - RFCC</v>
      </c>
      <c r="G4168" s="424">
        <v>2400</v>
      </c>
      <c r="H4168" s="31">
        <f>+IFERROR(VLOOKUP(E4168,BD!$L$2:$Q$120,6,0),0)</f>
        <v>120</v>
      </c>
      <c r="I4168" s="62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7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7">
        <v>256674</v>
      </c>
      <c r="F4169" s="31" t="str">
        <f>IFERROR(VLOOKUP(E4169,BD!$L$2:$Q$120,2,0),0)</f>
        <v>COCA-COLA PET 1.5LX2 RF</v>
      </c>
      <c r="G4169" s="424">
        <v>864</v>
      </c>
      <c r="H4169" s="31">
        <f>+IFERROR(VLOOKUP(E4169,BD!$L$2:$Q$120,6,0),0)</f>
        <v>198</v>
      </c>
      <c r="I4169" s="62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7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7">
        <v>256675</v>
      </c>
      <c r="F4170" s="31" t="str">
        <f>IFERROR(VLOOKUP(E4170,BD!$L$2:$Q$120,2,0),0)</f>
        <v>INCA KOLA PET 1.5LX2 RF</v>
      </c>
      <c r="G4170" s="424">
        <v>216</v>
      </c>
      <c r="H4170" s="31">
        <f>+IFERROR(VLOOKUP(E4170,BD!$L$2:$Q$120,6,0),0)</f>
        <v>198</v>
      </c>
      <c r="I4170" s="62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7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7">
        <v>256652</v>
      </c>
      <c r="F4171" s="31" t="str">
        <f>IFERROR(VLOOKUP(E4171,BD!$L$2:$Q$120,2,0),0)</f>
        <v>TRIPACK FT NAR+FT KI+SP PET 3L</v>
      </c>
      <c r="G4171" s="424">
        <v>1170</v>
      </c>
      <c r="H4171" s="31">
        <f>+IFERROR(VLOOKUP(E4171,BD!$L$2:$Q$120,6,0),0)</f>
        <v>90</v>
      </c>
      <c r="I4171" s="62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7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7">
        <v>256679</v>
      </c>
      <c r="F4172" s="31" t="str">
        <f>IFERROR(VLOOKUP(E4172,BD!$L$2:$Q$120,2,0),0)</f>
        <v>TRIPACK CC+IK+IK PFM 3LX3 - RFNN</v>
      </c>
      <c r="G4172" s="424">
        <v>360</v>
      </c>
      <c r="H4172" s="31">
        <f>+IFERROR(VLOOKUP(E4172,BD!$L$2:$Q$120,6,0),0)</f>
        <v>90</v>
      </c>
      <c r="I4172" s="62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7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7">
        <v>256678</v>
      </c>
      <c r="F4173" s="31" t="str">
        <f>IFERROR(VLOOKUP(E4173,BD!$L$2:$Q$120,2,0),0)</f>
        <v>TRIPACK (CC+IK)PFM+FT PET 3LX3 - RFNN</v>
      </c>
      <c r="G4173" s="424">
        <v>3060</v>
      </c>
      <c r="H4173" s="31">
        <f>+IFERROR(VLOOKUP(E4173,BD!$L$2:$Q$120,6,0),0)</f>
        <v>90</v>
      </c>
      <c r="I4173" s="62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7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7">
        <v>256682</v>
      </c>
      <c r="F4174" s="31" t="str">
        <f>IFERROR(VLOOKUP(E4174,BD!$L$2:$Q$120,2,0),0)</f>
        <v>TRIPACK (FT NAR+SP)PET+IK RF PFM 3L</v>
      </c>
      <c r="G4174" s="424">
        <v>180</v>
      </c>
      <c r="H4174" s="31">
        <f>+IFERROR(VLOOKUP(E4174,BD!$L$2:$Q$120,6,0),0)</f>
        <v>90</v>
      </c>
      <c r="I4174" s="62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7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7">
        <v>256695</v>
      </c>
      <c r="F4175" s="31" t="str">
        <f>IFERROR(VLOOKUP(E4175,BD!$L$2:$Q$120,2,0),0)</f>
        <v>POWERADE 3MORA+3FRUT PET 473MLX6</v>
      </c>
      <c r="G4175" s="424">
        <v>2250</v>
      </c>
      <c r="H4175" s="31">
        <f>+IFERROR(VLOOKUP(E4175,BD!$L$2:$Q$120,6,0),0)</f>
        <v>225</v>
      </c>
      <c r="I4175" s="62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7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7">
        <v>256708</v>
      </c>
      <c r="F4176" s="31" t="str">
        <f>IFERROR(VLOOKUP(E4176,BD!$L$2:$Q$120,2,0),0)</f>
        <v>POWERADE ION4 FRUTA PET473X6 MOD (STICK)</v>
      </c>
      <c r="G4176" s="424">
        <v>1350</v>
      </c>
      <c r="H4176" s="31">
        <f>+IFERROR(VLOOKUP(E4176,BD!$L$2:$Q$120,6,0),0)</f>
        <v>225</v>
      </c>
      <c r="I4176" s="62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7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7">
        <v>256709</v>
      </c>
      <c r="F4177" s="31" t="str">
        <f>IFERROR(VLOOKUP(E4177,BD!$L$2:$Q$120,2,0),0)</f>
        <v>POWERADE ION4 MORA AZ PET473X6 MOD(STCK)</v>
      </c>
      <c r="G4177" s="424">
        <v>675</v>
      </c>
      <c r="H4177" s="31">
        <f>+IFERROR(VLOOKUP(E4177,BD!$L$2:$Q$120,6,0),0)</f>
        <v>225</v>
      </c>
      <c r="I4177" s="62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7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7">
        <v>256720</v>
      </c>
      <c r="F4178" s="31" t="str">
        <f>IFERROR(VLOOKUP(E4178,BD!$L$2:$Q$120,2,0),0)</f>
        <v>FANTA NARANJA PET 500MLX6 BRANDEADO MOD</v>
      </c>
      <c r="G4178" s="424">
        <v>250</v>
      </c>
      <c r="H4178" s="31">
        <f>+IFERROR(VLOOKUP(E4178,BD!$L$2:$Q$120,6,0),0)</f>
        <v>420</v>
      </c>
      <c r="I4178" s="62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7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7">
        <v>252436</v>
      </c>
      <c r="F4179" s="31" t="str">
        <f>IFERROR(VLOOKUP(E4179,BD!$L$2:$Q$120,2,0),0)</f>
        <v>SAN LUIS SIN GAS PET 625MLX15 C/STICKER</v>
      </c>
      <c r="G4179" s="424">
        <v>540</v>
      </c>
      <c r="H4179" s="31">
        <f>+IFERROR(VLOOKUP(E4179,BD!$L$2:$Q$120,6,0),0)</f>
        <v>90</v>
      </c>
      <c r="I4179" s="62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7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7">
        <v>251633</v>
      </c>
      <c r="F4180" s="31" t="str">
        <f>IFERROR(VLOOKUP(E4180,BD!$L$2:$Q$120,2,0),0)</f>
        <v>SAN LUIS CON GAS PET 625MLX6</v>
      </c>
      <c r="G4180" s="424">
        <v>1080</v>
      </c>
      <c r="H4180" s="31">
        <f>+IFERROR(VLOOKUP(E4180,BD!$L$2:$Q$120,6,0),0)</f>
        <v>180</v>
      </c>
      <c r="I4180" s="62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7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7">
        <v>256695</v>
      </c>
      <c r="F4181" s="31" t="str">
        <f>IFERROR(VLOOKUP(E4181,BD!$L$2:$Q$120,2,0),0)</f>
        <v>POWERADE 3MORA+3FRUT PET 473MLX6</v>
      </c>
      <c r="G4181" s="424">
        <v>450</v>
      </c>
      <c r="H4181" s="31">
        <f>+IFERROR(VLOOKUP(E4181,BD!$L$2:$Q$120,6,0),0)</f>
        <v>225</v>
      </c>
      <c r="I4181" s="62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7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7">
        <v>251632</v>
      </c>
      <c r="F4182" s="31" t="str">
        <f>IFERROR(VLOOKUP(E4182,BD!$L$2:$Q$120,2,0),0)</f>
        <v>SAN LUIS SIN GAS PET 625MLX06 MOD</v>
      </c>
      <c r="G4182" s="424">
        <v>720</v>
      </c>
      <c r="H4182" s="31">
        <f>+IFERROR(VLOOKUP(E4182,BD!$L$2:$Q$120,6,0),0)</f>
        <v>180</v>
      </c>
      <c r="I4182" s="62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7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7">
        <v>255430</v>
      </c>
      <c r="F4183" s="31" t="str">
        <f>IFERROR(VLOOKUP(E4183,BD!$L$2:$Q$120,2,0),0)</f>
        <v>INCA KOLA SA PET 500MLX6 - C/STICKER</v>
      </c>
      <c r="G4183" s="424">
        <v>750</v>
      </c>
      <c r="H4183" s="31">
        <f>+IFERROR(VLOOKUP(E4183,BD!$L$2:$Q$120,6,0),0)</f>
        <v>250</v>
      </c>
      <c r="I4183" s="62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7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7">
        <v>256383</v>
      </c>
      <c r="F4184" s="31" t="str">
        <f>IFERROR(VLOOKUP(E4184,BD!$L$2:$Q$120,2,0),0)</f>
        <v>COCA COLA VR 1.5LX8 - STICKER</v>
      </c>
      <c r="G4184" s="424">
        <v>150</v>
      </c>
      <c r="H4184" s="31">
        <f>+IFERROR(VLOOKUP(E4184,BD!$L$2:$Q$120,6,0),0)</f>
        <v>30</v>
      </c>
      <c r="I4184" s="62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7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7">
        <v>256381</v>
      </c>
      <c r="F4185" s="31" t="str">
        <f>IFERROR(VLOOKUP(E4185,BD!$L$2:$Q$120,2,0),0)</f>
        <v>INCA KOLA VR 1.5LX8 - STICKER</v>
      </c>
      <c r="G4185" s="424">
        <v>150</v>
      </c>
      <c r="H4185" s="31">
        <f>+IFERROR(VLOOKUP(E4185,BD!$L$2:$Q$120,6,0),0)</f>
        <v>30</v>
      </c>
      <c r="I4185" s="62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7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7">
        <v>256379</v>
      </c>
      <c r="F4186" s="31" t="str">
        <f>IFERROR(VLOOKUP(E4186,BD!$L$2:$Q$120,2,0),0)</f>
        <v>INCA KOLA VR 625MLX12 - STICKER</v>
      </c>
      <c r="G4186" s="424">
        <v>200</v>
      </c>
      <c r="H4186" s="31">
        <f>+IFERROR(VLOOKUP(E4186,BD!$L$2:$Q$120,6,0),0)</f>
        <v>50</v>
      </c>
      <c r="I4186" s="62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7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7">
        <v>256685</v>
      </c>
      <c r="F4187" s="31" t="str">
        <f>IFERROR(VLOOKUP(E4187,BD!$L$2:$Q$120,2,0),0)</f>
        <v>SL S/G TAPA PLANA 1LT</v>
      </c>
      <c r="G4187" s="424">
        <v>448</v>
      </c>
      <c r="H4187" s="31">
        <f>+IFERROR(VLOOKUP(E4187,BD!$L$2:$Q$120,6,0),0)</f>
        <v>112</v>
      </c>
      <c r="I4187" s="62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7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7">
        <v>251429</v>
      </c>
      <c r="F4188" s="31" t="str">
        <f>IFERROR(VLOOKUP(E4188,BD!$L$2:$Q$120,2,0),0)</f>
        <v>SAN LUIS SIN GAS PET2500X6 STICKER</v>
      </c>
      <c r="G4188" s="424">
        <v>2400</v>
      </c>
      <c r="H4188" s="31">
        <f>+IFERROR(VLOOKUP(E4188,BD!$L$2:$Q$120,6,0),0)</f>
        <v>48</v>
      </c>
      <c r="I4188" s="62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7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7">
        <v>751315</v>
      </c>
      <c r="F4189" s="31" t="str">
        <f>IFERROR(VLOOKUP(E4189,BD!$L$2:$Q$120,2,0),0)</f>
        <v>MONSTER ENERGY 473MLX4</v>
      </c>
      <c r="G4189" s="424">
        <v>2100</v>
      </c>
      <c r="H4189" s="31">
        <f>+IFERROR(VLOOKUP(E4189,BD!$L$2:$Q$120,6,0),0)</f>
        <v>420</v>
      </c>
      <c r="I4189" s="62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7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7">
        <v>751468</v>
      </c>
      <c r="F4190" s="31" t="str">
        <f>IFERROR(VLOOKUP(E4190,BD!$L$2:$Q$120,2,0),0)</f>
        <v>MONSTER ENERGY ULTRA 473MLX4</v>
      </c>
      <c r="G4190" s="424">
        <v>840</v>
      </c>
      <c r="H4190" s="31">
        <f>+IFERROR(VLOOKUP(E4190,BD!$L$2:$Q$120,6,0),0)</f>
        <v>420</v>
      </c>
      <c r="I4190" s="62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7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7">
        <v>251633</v>
      </c>
      <c r="F4191" s="31" t="str">
        <f>IFERROR(VLOOKUP(E4191,BD!$L$2:$Q$120,2,0),0)</f>
        <v>SAN LUIS CON GAS PET 625MLX6</v>
      </c>
      <c r="G4191" s="424">
        <v>720</v>
      </c>
      <c r="H4191" s="31">
        <f>+IFERROR(VLOOKUP(E4191,BD!$L$2:$Q$120,6,0),0)</f>
        <v>180</v>
      </c>
      <c r="I4191" s="62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7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7">
        <v>256695</v>
      </c>
      <c r="F4192" s="31" t="str">
        <f>IFERROR(VLOOKUP(E4192,BD!$L$2:$Q$120,2,0),0)</f>
        <v>POWERADE 3MORA+3FRUT PET 473MLX6</v>
      </c>
      <c r="G4192" s="424">
        <v>1350</v>
      </c>
      <c r="H4192" s="31">
        <f>+IFERROR(VLOOKUP(E4192,BD!$L$2:$Q$120,6,0),0)</f>
        <v>225</v>
      </c>
      <c r="I4192" s="62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7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7">
        <v>256709</v>
      </c>
      <c r="F4193" s="31" t="str">
        <f>IFERROR(VLOOKUP(E4193,BD!$L$2:$Q$120,2,0),0)</f>
        <v>POWERADE ION4 MORA AZ PET473X6 MOD(STCK)</v>
      </c>
      <c r="G4193" s="424">
        <v>450</v>
      </c>
      <c r="H4193" s="31">
        <f>+IFERROR(VLOOKUP(E4193,BD!$L$2:$Q$120,6,0),0)</f>
        <v>225</v>
      </c>
      <c r="I4193" s="62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7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7">
        <v>256721</v>
      </c>
      <c r="F4194" s="31" t="str">
        <f>IFERROR(VLOOKUP(E4194,BD!$L$2:$Q$120,2,0),0)</f>
        <v>SPRITE PET 500MLX6 BRANDEADO MOD</v>
      </c>
      <c r="G4194" s="424">
        <v>500</v>
      </c>
      <c r="H4194" s="31">
        <f>+IFERROR(VLOOKUP(E4194,BD!$L$2:$Q$120,6,0),0)</f>
        <v>420</v>
      </c>
      <c r="I4194" s="62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7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7" t="s">
        <v>265</v>
      </c>
      <c r="F4195" s="31" t="str">
        <f>IFERROR(VLOOKUP(E4195,BD!$L$2:$Q$120,2,0),0)</f>
        <v>1FTP + 1FTN + 1CC + 1IK PACK x 3000ML PUC</v>
      </c>
      <c r="G4195" s="424">
        <v>420</v>
      </c>
      <c r="H4195" s="31">
        <f>+IFERROR(VLOOKUP(E4195,BD!$L$2:$Q$120,6,0),0)</f>
        <v>60</v>
      </c>
      <c r="I4195" s="62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7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7" t="s">
        <v>266</v>
      </c>
      <c r="F4196" s="31" t="str">
        <f>IFERROR(VLOOKUP(E4196,BD!$L$2:$Q$120,2,0),0)</f>
        <v>2FTKI + 2FTN + 1FTP + 1SP PACK x 500ML</v>
      </c>
      <c r="G4196" s="424">
        <v>500</v>
      </c>
      <c r="H4196" s="31">
        <f>+IFERROR(VLOOKUP(E4196,BD!$L$2:$Q$120,6,0),0)</f>
        <v>250</v>
      </c>
      <c r="I4196" s="62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7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7">
        <v>252436</v>
      </c>
      <c r="F4197" s="31" t="str">
        <f>IFERROR(VLOOKUP(E4197,BD!$L$2:$Q$120,2,0),0)</f>
        <v>SAN LUIS SIN GAS PET 625MLX15 C/STICKER</v>
      </c>
      <c r="G4197" s="424">
        <v>720</v>
      </c>
      <c r="H4197" s="31">
        <f>+IFERROR(VLOOKUP(E4197,BD!$L$2:$Q$120,6,0),0)</f>
        <v>90</v>
      </c>
      <c r="I4197" s="62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7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7">
        <v>251632</v>
      </c>
      <c r="F4198" s="31" t="str">
        <f>IFERROR(VLOOKUP(E4198,BD!$L$2:$Q$120,2,0),0)</f>
        <v>SAN LUIS SIN GAS PET 625MLX06 MOD</v>
      </c>
      <c r="G4198" s="424">
        <v>720</v>
      </c>
      <c r="H4198" s="31">
        <f>+IFERROR(VLOOKUP(E4198,BD!$L$2:$Q$120,6,0),0)</f>
        <v>180</v>
      </c>
      <c r="I4198" s="62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7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7">
        <v>255430</v>
      </c>
      <c r="F4199" s="31" t="str">
        <f>IFERROR(VLOOKUP(E4199,BD!$L$2:$Q$120,2,0),0)</f>
        <v>INCA KOLA SA PET 500MLX6 - C/STICKER</v>
      </c>
      <c r="G4199" s="424">
        <v>500</v>
      </c>
      <c r="H4199" s="31">
        <f>+IFERROR(VLOOKUP(E4199,BD!$L$2:$Q$120,6,0),0)</f>
        <v>250</v>
      </c>
      <c r="I4199" s="62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7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7">
        <v>256358</v>
      </c>
      <c r="F4200" s="31" t="str">
        <f>IFERROR(VLOOKUP(E4200,BD!$L$2:$Q$120,2,0),0)</f>
        <v>COCA-COLA SIN AZUCAR PET300MLX6-C/STICKE</v>
      </c>
      <c r="G4200" s="424">
        <v>1750</v>
      </c>
      <c r="H4200" s="31">
        <f>+IFERROR(VLOOKUP(E4200,BD!$L$2:$Q$120,6,0),0)</f>
        <v>350</v>
      </c>
      <c r="I4200" s="62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7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7" t="s">
        <v>263</v>
      </c>
      <c r="F4201" s="31" t="str">
        <f>IFERROR(VLOOKUP(E4201,BD!$L$2:$Q$120,2,0),0)</f>
        <v>3CC SA + 3IK SA 600ML X 6 PUC</v>
      </c>
      <c r="G4201" s="424">
        <v>800</v>
      </c>
      <c r="H4201" s="31">
        <f>+IFERROR(VLOOKUP(E4201,BD!$L$2:$Q$120,6,0),0)</f>
        <v>200</v>
      </c>
      <c r="I4201" s="62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7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7" t="s">
        <v>264</v>
      </c>
      <c r="F4202" s="31" t="str">
        <f>IFERROR(VLOOKUP(E4202,BD!$L$2:$Q$120,2,0),0)</f>
        <v>3IK SO + 1 IK SA X 3000ML PUC</v>
      </c>
      <c r="G4202" s="424">
        <v>180</v>
      </c>
      <c r="H4202" s="31">
        <f>+IFERROR(VLOOKUP(E4202,BD!$L$2:$Q$120,6,0),0)</f>
        <v>60</v>
      </c>
      <c r="I4202" s="62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7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7" t="s">
        <v>265</v>
      </c>
      <c r="F4203" s="31" t="str">
        <f>IFERROR(VLOOKUP(E4203,BD!$L$2:$Q$120,2,0),0)</f>
        <v>1FTP + 1FTN + 1CC + 1IK PACK x 3000ML PUC</v>
      </c>
      <c r="G4203" s="424">
        <v>60</v>
      </c>
      <c r="H4203" s="31">
        <f>+IFERROR(VLOOKUP(E4203,BD!$L$2:$Q$120,6,0),0)</f>
        <v>60</v>
      </c>
      <c r="I4203" s="62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7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7" t="s">
        <v>266</v>
      </c>
      <c r="F4204" s="31" t="str">
        <f>IFERROR(VLOOKUP(E4204,BD!$L$2:$Q$120,2,0),0)</f>
        <v>2FTKI + 2FTN + 1FTP + 1SP PACK x 500ML</v>
      </c>
      <c r="G4204" s="424">
        <v>250</v>
      </c>
      <c r="H4204" s="31">
        <f>+IFERROR(VLOOKUP(E4204,BD!$L$2:$Q$120,6,0),0)</f>
        <v>250</v>
      </c>
      <c r="I4204" s="62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7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7" t="s">
        <v>268</v>
      </c>
      <c r="F4205" s="31" t="str">
        <f>IFERROR(VLOOKUP(E4205,BD!$L$2:$Q$120,2,0),0)</f>
        <v>SL X 6 BOTELLAS X 625ML PUC</v>
      </c>
      <c r="G4205" s="424">
        <v>360</v>
      </c>
      <c r="H4205" s="31">
        <f>+IFERROR(VLOOKUP(E4205,BD!$L$2:$Q$120,6,0),0)</f>
        <v>180</v>
      </c>
      <c r="I4205" s="62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7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7" t="s">
        <v>267</v>
      </c>
      <c r="F4206" s="31" t="str">
        <f>IFERROR(VLOOKUP(E4206,BD!$L$2:$Q$120,2,0),0)</f>
        <v>PW 4FRU + 4MOR 473ML X 8 PUC</v>
      </c>
      <c r="G4206" s="424">
        <v>350</v>
      </c>
      <c r="H4206" s="31">
        <f>+IFERROR(VLOOKUP(E4206,BD!$L$2:$Q$120,6,0),0)</f>
        <v>175</v>
      </c>
      <c r="I4206" s="62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7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7" t="s">
        <v>263</v>
      </c>
      <c r="F4207" s="31" t="str">
        <f>IFERROR(VLOOKUP(E4207,BD!$L$2:$Q$120,2,0),0)</f>
        <v>3CC SA + 3IK SA 600ML X 6 PUC</v>
      </c>
      <c r="G4207" s="424">
        <v>800</v>
      </c>
      <c r="H4207" s="31">
        <f>+IFERROR(VLOOKUP(E4207,BD!$L$2:$Q$120,6,0),0)</f>
        <v>200</v>
      </c>
      <c r="I4207" s="62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7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7" t="s">
        <v>264</v>
      </c>
      <c r="F4208" s="31" t="str">
        <f>IFERROR(VLOOKUP(E4208,BD!$L$2:$Q$120,2,0),0)</f>
        <v>3IK SO + 1 IK SA X 3000ML PUC</v>
      </c>
      <c r="G4208" s="424">
        <v>180</v>
      </c>
      <c r="H4208" s="31">
        <f>+IFERROR(VLOOKUP(E4208,BD!$L$2:$Q$120,6,0),0)</f>
        <v>60</v>
      </c>
      <c r="I4208" s="62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7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7" t="s">
        <v>265</v>
      </c>
      <c r="F4209" s="31" t="str">
        <f>IFERROR(VLOOKUP(E4209,BD!$L$2:$Q$120,2,0),0)</f>
        <v>1FTP + 1FTN + 1CC + 1IK PACK x 3000ML PUC</v>
      </c>
      <c r="G4209" s="424">
        <v>480</v>
      </c>
      <c r="H4209" s="31">
        <f>+IFERROR(VLOOKUP(E4209,BD!$L$2:$Q$120,6,0),0)</f>
        <v>60</v>
      </c>
      <c r="I4209" s="62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7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7" t="s">
        <v>266</v>
      </c>
      <c r="F4210" s="31" t="str">
        <f>IFERROR(VLOOKUP(E4210,BD!$L$2:$Q$120,2,0),0)</f>
        <v>2FTKI + 2FTN + 1FTP + 1SP PACK x 500ML</v>
      </c>
      <c r="G4210" s="424">
        <v>750</v>
      </c>
      <c r="H4210" s="31">
        <f>+IFERROR(VLOOKUP(E4210,BD!$L$2:$Q$120,6,0),0)</f>
        <v>250</v>
      </c>
      <c r="I4210" s="62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7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7" t="s">
        <v>268</v>
      </c>
      <c r="F4211" s="31" t="str">
        <f>IFERROR(VLOOKUP(E4211,BD!$L$2:$Q$120,2,0),0)</f>
        <v>SL X 6 BOTELLAS X 625ML PUC</v>
      </c>
      <c r="G4211" s="424">
        <v>360</v>
      </c>
      <c r="H4211" s="31">
        <f>+IFERROR(VLOOKUP(E4211,BD!$L$2:$Q$120,6,0),0)</f>
        <v>180</v>
      </c>
      <c r="I4211" s="62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7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7" t="s">
        <v>267</v>
      </c>
      <c r="F4212" s="31" t="str">
        <f>IFERROR(VLOOKUP(E4212,BD!$L$2:$Q$120,2,0),0)</f>
        <v>PW 4FRU + 4MOR 473ML X 8 PUC</v>
      </c>
      <c r="G4212" s="424">
        <v>350</v>
      </c>
      <c r="H4212" s="31">
        <f>+IFERROR(VLOOKUP(E4212,BD!$L$2:$Q$120,6,0),0)</f>
        <v>175</v>
      </c>
      <c r="I4212" s="62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7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7" t="s">
        <v>264</v>
      </c>
      <c r="F4213" s="31" t="str">
        <f>IFERROR(VLOOKUP(E4213,BD!$L$2:$Q$244,2,0),0)</f>
        <v>3IK SO + 1 IK SA X 3000ML PUC</v>
      </c>
      <c r="G4213" s="424">
        <v>60</v>
      </c>
      <c r="H4213" s="31">
        <f>+IFERROR(VLOOKUP(E4213,BD!$L$2:$Q$244,6,0),0)</f>
        <v>60</v>
      </c>
      <c r="I4213" s="62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7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7">
        <v>256383</v>
      </c>
      <c r="F4214" s="31" t="str">
        <f>IFERROR(VLOOKUP(E4214,BD!$L$2:$Q$244,2,0),0)</f>
        <v>COCA COLA VR 1.5LX8 - STICKER</v>
      </c>
      <c r="G4214" s="424">
        <v>120</v>
      </c>
      <c r="H4214" s="31">
        <f>+IFERROR(VLOOKUP(E4214,BD!$L$2:$Q$244,6,0),0)</f>
        <v>30</v>
      </c>
      <c r="I4214" s="62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7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7">
        <v>256382</v>
      </c>
      <c r="F4215" s="31" t="str">
        <f>IFERROR(VLOOKUP(E4215,BD!$L$2:$Q$244,2,0),0)</f>
        <v>COCA COLA VR 296MLX24 - STICKER</v>
      </c>
      <c r="G4215" s="424">
        <v>150</v>
      </c>
      <c r="H4215" s="31">
        <f>+IFERROR(VLOOKUP(E4215,BD!$L$2:$Q$244,6,0),0)</f>
        <v>40</v>
      </c>
      <c r="I4215" s="62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7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7">
        <v>256379</v>
      </c>
      <c r="F4216" s="31" t="str">
        <f>IFERROR(VLOOKUP(E4216,BD!$L$2:$Q$244,2,0),0)</f>
        <v>INCA KOLA VR 625MLX12 - STICKER</v>
      </c>
      <c r="G4216" s="424">
        <v>300</v>
      </c>
      <c r="H4216" s="31">
        <f>+IFERROR(VLOOKUP(E4216,BD!$L$2:$Q$244,6,0),0)</f>
        <v>50</v>
      </c>
      <c r="I4216" s="62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7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7">
        <v>254762</v>
      </c>
      <c r="F4217" s="31" t="str">
        <f>IFERROR(VLOOKUP(E4217,BD!$L$2:$Q$244,2,0),0)</f>
        <v xml:space="preserve">SAN LUIS SPORT S/G 10 Lt x6 </v>
      </c>
      <c r="G4217" s="424">
        <v>224</v>
      </c>
      <c r="H4217" s="31">
        <f>+IFERROR(VLOOKUP(E4217,BD!$L$2:$Q$244,6,0),0)</f>
        <v>240</v>
      </c>
      <c r="I4217" s="62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7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7">
        <v>256685</v>
      </c>
      <c r="F4218" s="31" t="str">
        <f>IFERROR(VLOOKUP(E4218,BD!$L$2:$Q$244,2,0),0)</f>
        <v>SL S/G TAPA PLANA 1LT</v>
      </c>
      <c r="G4218" s="424">
        <v>448</v>
      </c>
      <c r="H4218" s="31">
        <f>+IFERROR(VLOOKUP(E4218,BD!$L$2:$Q$244,6,0),0)</f>
        <v>112</v>
      </c>
      <c r="I4218" s="62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7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7">
        <v>251429</v>
      </c>
      <c r="F4219" s="31" t="str">
        <f>IFERROR(VLOOKUP(E4219,BD!$L$2:$Q$244,2,0),0)</f>
        <v>SAN LUIS SIN GAS PET2500X6 STICKER</v>
      </c>
      <c r="G4219" s="424">
        <v>2400</v>
      </c>
      <c r="H4219" s="31">
        <f>+IFERROR(VLOOKUP(E4219,BD!$L$2:$Q$244,6,0),0)</f>
        <v>48</v>
      </c>
      <c r="I4219" s="62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7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7">
        <v>751315</v>
      </c>
      <c r="F4220" s="31" t="str">
        <f>IFERROR(VLOOKUP(E4220,BD!$L$2:$Q$244,2,0),0)</f>
        <v>MONSTER ENERGY 473MLX4</v>
      </c>
      <c r="G4220" s="424">
        <v>2100</v>
      </c>
      <c r="H4220" s="31">
        <f>+IFERROR(VLOOKUP(E4220,BD!$L$2:$Q$244,6,0),0)</f>
        <v>420</v>
      </c>
      <c r="I4220" s="62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7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7">
        <v>256695</v>
      </c>
      <c r="F4221" s="31" t="str">
        <f>IFERROR(VLOOKUP(E4221,BD!$L$2:$Q$244,2,0),0)</f>
        <v>POWERADE 3MORA+3FRUT PET 473MLX6</v>
      </c>
      <c r="G4221" s="424">
        <v>900</v>
      </c>
      <c r="H4221" s="31">
        <f>+IFERROR(VLOOKUP(E4221,BD!$L$2:$Q$244,6,0),0)</f>
        <v>225</v>
      </c>
      <c r="I4221" s="62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7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7">
        <v>256709</v>
      </c>
      <c r="F4222" s="31" t="str">
        <f>IFERROR(VLOOKUP(E4222,BD!$L$2:$Q$244,2,0),0)</f>
        <v>POWERADE ION4 MORA AZ PET473X6 MOD(STCK)</v>
      </c>
      <c r="G4222" s="424">
        <v>675</v>
      </c>
      <c r="H4222" s="31">
        <f>+IFERROR(VLOOKUP(E4222,BD!$L$2:$Q$244,6,0),0)</f>
        <v>225</v>
      </c>
      <c r="I4222" s="62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7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7">
        <v>256720</v>
      </c>
      <c r="F4223" s="31" t="str">
        <f>IFERROR(VLOOKUP(E4223,BD!$L$2:$Q$244,2,0),0)</f>
        <v>FANTA NARANJA PET 500MLX6 BRANDEADO MOD</v>
      </c>
      <c r="G4223" s="424">
        <v>500</v>
      </c>
      <c r="H4223" s="31">
        <f>+IFERROR(VLOOKUP(E4223,BD!$L$2:$Q$244,6,0),0)</f>
        <v>420</v>
      </c>
      <c r="I4223" s="62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7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7">
        <v>256355</v>
      </c>
      <c r="F4224" s="31" t="str">
        <f>IFERROR(VLOOKUP(E4224,BD!$L$2:$Q$244,2,0),0)</f>
        <v>INCA KOLA SIN AZUCAR PET300MLX6-C/STICK</v>
      </c>
      <c r="G4224" s="424">
        <v>5250</v>
      </c>
      <c r="H4224" s="31">
        <f>+IFERROR(VLOOKUP(E4224,BD!$L$2:$Q$244,6,0),0)</f>
        <v>350</v>
      </c>
      <c r="I4224" s="62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7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7">
        <v>256765</v>
      </c>
      <c r="F4225" s="31" t="str">
        <f>IFERROR(VLOOKUP(E4225,BD!$L$2:$Q$244,2,0),0)</f>
        <v>POWERADE 2MORA+4FRUT PET 473MLX6 (TRAD) PUC</v>
      </c>
      <c r="G4225" s="424">
        <v>900</v>
      </c>
      <c r="H4225" s="31">
        <f>+IFERROR(VLOOKUP(E4225,BD!$L$2:$Q$244,6,0),0)</f>
        <v>225</v>
      </c>
      <c r="I4225" s="62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7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7" t="s">
        <v>267</v>
      </c>
      <c r="F4226" s="31" t="str">
        <f>IFERROR(VLOOKUP(E4226,BD!$L$2:$Q$244,2,0),0)</f>
        <v>PW 4FRU + 4MOR 473ML X 8 PUC</v>
      </c>
      <c r="G4226" s="424">
        <v>175</v>
      </c>
      <c r="H4226" s="31">
        <f>+IFERROR(VLOOKUP(E4226,BD!$L$2:$Q$244,6,0),0)</f>
        <v>175</v>
      </c>
      <c r="I4226" s="626">
        <f>IFERROR(G4226*VLOOKUP($E4226,BD!$L$2:$Q$244,5,0),0)</f>
        <v>154</v>
      </c>
      <c r="J4226" s="3">
        <f t="shared" si="277"/>
        <v>2022</v>
      </c>
      <c r="K4226" s="9" t="s">
        <v>282</v>
      </c>
    </row>
    <row r="4227" spans="1:11" s="9" customFormat="1" x14ac:dyDescent="0.25">
      <c r="A4227" s="447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7">
        <v>252436</v>
      </c>
      <c r="F4227" s="31" t="str">
        <f>IFERROR(VLOOKUP(E4227,BD!$L$2:$Q$244,2,0),0)</f>
        <v>SAN LUIS SIN GAS PET 625MLX15 C/STICKER</v>
      </c>
      <c r="G4227" s="424">
        <v>540</v>
      </c>
      <c r="H4227" s="31">
        <f>+IFERROR(VLOOKUP(E4227,BD!$L$2:$Q$244,6,0),0)</f>
        <v>90</v>
      </c>
      <c r="I4227" s="62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7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7">
        <v>251632</v>
      </c>
      <c r="F4228" s="31" t="str">
        <f>IFERROR(VLOOKUP(E4228,BD!$L$2:$Q$244,2,0),0)</f>
        <v>SAN LUIS SIN GAS PET 625MLX06 MOD</v>
      </c>
      <c r="G4228" s="424">
        <v>720</v>
      </c>
      <c r="H4228" s="31">
        <f>+IFERROR(VLOOKUP(E4228,BD!$L$2:$Q$244,6,0),0)</f>
        <v>180</v>
      </c>
      <c r="I4228" s="62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7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7">
        <v>256764</v>
      </c>
      <c r="F4229" s="31" t="str">
        <f>IFERROR(VLOOKUP(E4229,BD!$L$2:$Q$244,2,0),0)</f>
        <v>SAN LUIS SIN GAS PET 625MLX06 PUC</v>
      </c>
      <c r="G4229" s="424">
        <v>360</v>
      </c>
      <c r="H4229" s="31">
        <f>+IFERROR(VLOOKUP(E4229,BD!$L$2:$Q$244,6,0),0)</f>
        <v>180</v>
      </c>
      <c r="I4229" s="62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7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7" t="s">
        <v>275</v>
      </c>
      <c r="F4230" s="31" t="str">
        <f>IFERROR(VLOOKUP(E4230,BD!$L$2:$Q$244,2,0),0)</f>
        <v>BND X 6 BOTELLAS X 600ML PUC</v>
      </c>
      <c r="G4230" s="424">
        <v>360</v>
      </c>
      <c r="H4230" s="31">
        <f>+IFERROR(VLOOKUP(E4230,BD!$L$2:$Q$244,6,0),0)</f>
        <v>180</v>
      </c>
      <c r="I4230" s="626">
        <f>IFERROR(G4230*VLOOKUP($E4230,BD!$L$2:$Q$244,5,0),0)</f>
        <v>151.19999999999999</v>
      </c>
      <c r="J4230" s="3">
        <f t="shared" si="277"/>
        <v>2022</v>
      </c>
      <c r="K4230" s="9" t="s">
        <v>282</v>
      </c>
    </row>
    <row r="4231" spans="1:11" s="9" customFormat="1" x14ac:dyDescent="0.25">
      <c r="A4231" s="447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7" t="s">
        <v>267</v>
      </c>
      <c r="F4231" s="31" t="str">
        <f>IFERROR(VLOOKUP(E4231,BD!$L$2:$Q$244,2,0),0)</f>
        <v>PW 4FRU + 4MOR 473ML X 8 PUC</v>
      </c>
      <c r="G4231" s="424">
        <v>175</v>
      </c>
      <c r="H4231" s="31">
        <f>+IFERROR(VLOOKUP(E4231,BD!$L$2:$Q$244,6,0),0)</f>
        <v>175</v>
      </c>
      <c r="I4231" s="626">
        <f>IFERROR(G4231*VLOOKUP($E4231,BD!$L$2:$Q$244,5,0),0)</f>
        <v>154</v>
      </c>
      <c r="J4231" s="3">
        <f t="shared" si="277"/>
        <v>2022</v>
      </c>
      <c r="K4231" s="9" t="s">
        <v>282</v>
      </c>
    </row>
    <row r="4232" spans="1:11" s="9" customFormat="1" x14ac:dyDescent="0.25">
      <c r="A4232" s="447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7">
        <v>256767</v>
      </c>
      <c r="F4232" s="31" t="str">
        <f>IFERROR(VLOOKUP(E4232,BD!$L$2:$Q$244,2,0),0)</f>
        <v>FRUGOS VAL-FRESH 4NAR+4FP+4MZ PET 500X12 PUC</v>
      </c>
      <c r="G4232" s="424">
        <v>500</v>
      </c>
      <c r="H4232" s="31">
        <f>+IFERROR(VLOOKUP(E4232,BD!$L$2:$Q$244,6,0),0)</f>
        <v>125</v>
      </c>
      <c r="I4232" s="62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7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7">
        <v>256709</v>
      </c>
      <c r="F4233" s="31" t="str">
        <f>IFERROR(VLOOKUP(E4233,BD!$L$2:$Q$244,2,0),0)</f>
        <v>POWERADE ION4 MORA AZ PET473X6 MOD(STCK)</v>
      </c>
      <c r="G4233" s="424">
        <v>225</v>
      </c>
      <c r="H4233" s="31">
        <f>+IFERROR(VLOOKUP(E4233,BD!$L$2:$Q$244,6,0),0)</f>
        <v>225</v>
      </c>
      <c r="I4233" s="62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7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7">
        <v>256382</v>
      </c>
      <c r="F4234" s="31" t="str">
        <f>IFERROR(VLOOKUP(E4234,BD!$L$2:$Q$244,2,0),0)</f>
        <v>COCA COLA VR 296MLX24 - STICKER</v>
      </c>
      <c r="G4234" s="424">
        <v>80</v>
      </c>
      <c r="H4234" s="31">
        <f>+IFERROR(VLOOKUP(E4234,BD!$L$2:$Q$244,6,0),0)</f>
        <v>40</v>
      </c>
      <c r="I4234" s="62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7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7">
        <v>256381</v>
      </c>
      <c r="F4235" s="31" t="str">
        <f>IFERROR(VLOOKUP(E4235,BD!$L$2:$Q$244,2,0),0)</f>
        <v>INCA KOLA VR 1.5LX8 - STICKER</v>
      </c>
      <c r="G4235" s="424">
        <v>120</v>
      </c>
      <c r="H4235" s="31">
        <f>+IFERROR(VLOOKUP(E4235,BD!$L$2:$Q$244,6,0),0)</f>
        <v>30</v>
      </c>
      <c r="I4235" s="62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7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7">
        <v>252436</v>
      </c>
      <c r="F4236" s="31" t="str">
        <f>IFERROR(VLOOKUP(E4236,BD!$L$2:$Q$244,2,0),0)</f>
        <v>SAN LUIS SIN GAS PET 625MLX15 C/STICKER</v>
      </c>
      <c r="G4236" s="424">
        <v>1440</v>
      </c>
      <c r="H4236" s="31">
        <f>+IFERROR(VLOOKUP(E4236,BD!$L$2:$Q$244,6,0),0)</f>
        <v>90</v>
      </c>
      <c r="I4236" s="62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7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7">
        <v>256685</v>
      </c>
      <c r="F4237" s="31" t="str">
        <f>IFERROR(VLOOKUP(E4237,BD!$L$2:$Q$244,2,0),0)</f>
        <v>SL S/G TAPA PLANA 1LT</v>
      </c>
      <c r="G4237" s="424">
        <v>224</v>
      </c>
      <c r="H4237" s="31">
        <f>+IFERROR(VLOOKUP(E4237,BD!$L$2:$Q$244,6,0),0)</f>
        <v>112</v>
      </c>
      <c r="I4237" s="62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7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7">
        <v>251429</v>
      </c>
      <c r="F4238" s="31" t="str">
        <f>IFERROR(VLOOKUP(E4238,BD!$L$2:$Q$244,2,0),0)</f>
        <v>SAN LUIS SIN GAS PET2500X6 STICKER</v>
      </c>
      <c r="G4238" s="424">
        <v>1584</v>
      </c>
      <c r="H4238" s="31">
        <f>+IFERROR(VLOOKUP(E4238,BD!$L$2:$Q$244,6,0),0)</f>
        <v>48</v>
      </c>
      <c r="I4238" s="62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7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7">
        <v>751315</v>
      </c>
      <c r="F4239" s="31" t="str">
        <f>IFERROR(VLOOKUP(E4239,BD!$L$2:$Q$244,2,0),0)</f>
        <v>MONSTER ENERGY 473MLX4</v>
      </c>
      <c r="G4239" s="424">
        <v>4200</v>
      </c>
      <c r="H4239" s="31">
        <f>+IFERROR(VLOOKUP(E4239,BD!$L$2:$Q$244,6,0),0)</f>
        <v>420</v>
      </c>
      <c r="I4239" s="62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7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7">
        <v>751544</v>
      </c>
      <c r="F4240" s="31" t="str">
        <f>IFERROR(VLOOKUP(E4240,BD!$L$2:$Q$244,2,0),0)</f>
        <v>MONSTER ENERGY ZERO 473MLX4</v>
      </c>
      <c r="G4240" s="424">
        <v>1260</v>
      </c>
      <c r="H4240" s="31">
        <f>+IFERROR(VLOOKUP(E4240,BD!$L$2:$Q$244,6,0),0)</f>
        <v>420</v>
      </c>
      <c r="I4240" s="62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7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7">
        <v>256548</v>
      </c>
      <c r="F4241" s="31" t="str">
        <f>IFERROR(VLOOKUP(E4241,BD!$L$2:$Q$244,2,0),0)</f>
        <v>TWO PACK CC PET 1.5LX2 - CRC</v>
      </c>
      <c r="G4241" s="424">
        <v>216</v>
      </c>
      <c r="H4241" s="31">
        <f>+IFERROR(VLOOKUP(E4241,BD!$L$2:$Q$244,6,0),0)</f>
        <v>198</v>
      </c>
      <c r="I4241" s="62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7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7">
        <v>256616</v>
      </c>
      <c r="F4242" s="31" t="str">
        <f>IFERROR(VLOOKUP(E4242,BD!$L$2:$Q$244,2,0),0)</f>
        <v>TWO PACK SCHWEPPES CITRUS PET 1.5LX2</v>
      </c>
      <c r="G4242" s="424">
        <v>792</v>
      </c>
      <c r="H4242" s="31">
        <f>+IFERROR(VLOOKUP(E4242,BD!$L$2:$Q$244,6,0),0)</f>
        <v>198</v>
      </c>
      <c r="I4242" s="62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7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7">
        <v>256617</v>
      </c>
      <c r="F4243" s="31" t="str">
        <f>IFERROR(VLOOKUP(E4243,BD!$L$2:$Q$244,2,0),0)</f>
        <v>TWO PACK SCHWEPPES GINGER ALE PET 1.5LX2</v>
      </c>
      <c r="G4243" s="424">
        <v>1188</v>
      </c>
      <c r="H4243" s="31">
        <f>+IFERROR(VLOOKUP(E4243,BD!$L$2:$Q$244,6,0),0)</f>
        <v>198</v>
      </c>
      <c r="I4243" s="62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7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7">
        <v>256488</v>
      </c>
      <c r="F4244" s="31" t="str">
        <f>IFERROR(VLOOKUP(E4244,BD!$L$2:$Q$244,2,0),0)</f>
        <v>INCA KOLA PET 3LX2 - RF</v>
      </c>
      <c r="G4244" s="424">
        <v>3120</v>
      </c>
      <c r="H4244" s="31">
        <f>+IFERROR(VLOOKUP(E4244,BD!$L$2:$Q$244,6,0),0)</f>
        <v>120</v>
      </c>
      <c r="I4244" s="62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7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7">
        <v>256652</v>
      </c>
      <c r="F4245" s="31" t="str">
        <f>IFERROR(VLOOKUP(E4245,BD!$L$2:$Q$244,2,0),0)</f>
        <v>TRIPACK FT NAR+FT KI+SP PET 3L</v>
      </c>
      <c r="G4245" s="424">
        <v>1440</v>
      </c>
      <c r="H4245" s="31">
        <f>+IFERROR(VLOOKUP(E4245,BD!$L$2:$Q$244,6,0),0)</f>
        <v>90</v>
      </c>
      <c r="I4245" s="62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7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7">
        <v>256682</v>
      </c>
      <c r="F4246" s="31" t="str">
        <f>IFERROR(VLOOKUP(E4246,BD!$L$2:$Q$244,2,0),0)</f>
        <v>TRIPACK (FT NAR+SP)PET+IK RF PFM 3L</v>
      </c>
      <c r="G4246" s="424">
        <v>450</v>
      </c>
      <c r="H4246" s="31">
        <f>+IFERROR(VLOOKUP(E4246,BD!$L$2:$Q$244,6,0),0)</f>
        <v>90</v>
      </c>
      <c r="I4246" s="62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7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7">
        <v>256695</v>
      </c>
      <c r="F4247" s="31" t="str">
        <f>IFERROR(VLOOKUP(E4247,BD!$L$2:$Q$244,2,0),0)</f>
        <v>POWERADE 3MORA+3FRUT PET 473MLX6</v>
      </c>
      <c r="G4247" s="424">
        <v>900</v>
      </c>
      <c r="H4247" s="31">
        <f>+IFERROR(VLOOKUP(E4247,BD!$L$2:$Q$244,6,0),0)</f>
        <v>225</v>
      </c>
      <c r="I4247" s="62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7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7">
        <v>256708</v>
      </c>
      <c r="F4248" s="31" t="str">
        <f>IFERROR(VLOOKUP(E4248,BD!$L$2:$Q$244,2,0),0)</f>
        <v>POWERADE ION4 FRUTA PET473X6 MOD (STICK)</v>
      </c>
      <c r="G4248" s="424">
        <v>450</v>
      </c>
      <c r="H4248" s="31">
        <f>+IFERROR(VLOOKUP(E4248,BD!$L$2:$Q$244,6,0),0)</f>
        <v>225</v>
      </c>
      <c r="I4248" s="62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7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7">
        <v>256679</v>
      </c>
      <c r="F4249" s="31" t="str">
        <f>IFERROR(VLOOKUP(E4249,BD!$L$2:$Q$244,2,0),0)</f>
        <v>TRIPACK CC+IK+IK PFM 3LX3 - RFNN</v>
      </c>
      <c r="G4249" s="424">
        <v>900</v>
      </c>
      <c r="H4249" s="31">
        <f>+IFERROR(VLOOKUP(E4249,BD!$L$2:$Q$244,6,0),0)</f>
        <v>90</v>
      </c>
      <c r="I4249" s="62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7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7">
        <v>256678</v>
      </c>
      <c r="F4250" s="31" t="str">
        <f>IFERROR(VLOOKUP(E4250,BD!$L$2:$Q$244,2,0),0)</f>
        <v>TRIPACK (CC+IK)PFM+FT PET 3LX3 - RFNN</v>
      </c>
      <c r="G4250" s="424">
        <v>1800</v>
      </c>
      <c r="H4250" s="31">
        <f>+IFERROR(VLOOKUP(E4250,BD!$L$2:$Q$244,6,0),0)</f>
        <v>90</v>
      </c>
      <c r="I4250" s="62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7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7">
        <v>256695</v>
      </c>
      <c r="F4251" s="31" t="str">
        <f>IFERROR(VLOOKUP(E4251,BD!$L$2:$Q$244,2,0),0)</f>
        <v>POWERADE 3MORA+3FRUT PET 473MLX6</v>
      </c>
      <c r="G4251" s="424">
        <v>1350</v>
      </c>
      <c r="H4251" s="31">
        <f>+IFERROR(VLOOKUP(E4251,BD!$L$2:$Q$244,6,0),0)</f>
        <v>225</v>
      </c>
      <c r="I4251" s="62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7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7">
        <v>256708</v>
      </c>
      <c r="F4252" s="31" t="str">
        <f>IFERROR(VLOOKUP(E4252,BD!$L$2:$Q$244,2,0),0)</f>
        <v>POWERADE ION4 FRUTA PET473X6 MOD (STICK)</v>
      </c>
      <c r="G4252" s="424">
        <v>1125</v>
      </c>
      <c r="H4252" s="31">
        <f>+IFERROR(VLOOKUP(E4252,BD!$L$2:$Q$244,6,0),0)</f>
        <v>225</v>
      </c>
      <c r="I4252" s="62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7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7">
        <v>256709</v>
      </c>
      <c r="F4253" s="31" t="str">
        <f>IFERROR(VLOOKUP(E4253,BD!$L$2:$Q$244,2,0),0)</f>
        <v>POWERADE ION4 MORA AZ PET473X6 MOD(STCK)</v>
      </c>
      <c r="G4253" s="424">
        <v>450</v>
      </c>
      <c r="H4253" s="31">
        <f>+IFERROR(VLOOKUP(E4253,BD!$L$2:$Q$244,6,0),0)</f>
        <v>225</v>
      </c>
      <c r="I4253" s="62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7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7">
        <v>256720</v>
      </c>
      <c r="F4254" s="31" t="str">
        <f>IFERROR(VLOOKUP(E4254,BD!$L$2:$Q$244,2,0),0)</f>
        <v>FANTA NARANJA PET 500MLX6 BRANDEADO MOD</v>
      </c>
      <c r="G4254" s="424">
        <v>750</v>
      </c>
      <c r="H4254" s="31">
        <f>+IFERROR(VLOOKUP(E4254,BD!$L$2:$Q$244,6,0),0)</f>
        <v>420</v>
      </c>
      <c r="I4254" s="62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7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7">
        <v>256721</v>
      </c>
      <c r="F4255" s="31" t="str">
        <f>IFERROR(VLOOKUP(E4255,BD!$L$2:$Q$244,2,0),0)</f>
        <v>SPRITE PET 500MLX6 BRANDEADO MOD</v>
      </c>
      <c r="G4255" s="424">
        <v>750</v>
      </c>
      <c r="H4255" s="31">
        <f>+IFERROR(VLOOKUP(E4255,BD!$L$2:$Q$244,6,0),0)</f>
        <v>420</v>
      </c>
      <c r="I4255" s="62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7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7">
        <v>256383</v>
      </c>
      <c r="F4256" s="31" t="str">
        <f>IFERROR(VLOOKUP(E4256,BD!$L$2:$Q$244,2,0),0)</f>
        <v>COCA COLA VR 1.5LX8 - STICKER</v>
      </c>
      <c r="G4256" s="424">
        <v>180</v>
      </c>
      <c r="H4256" s="31">
        <f>+IFERROR(VLOOKUP(E4256,BD!$L$2:$Q$244,6,0),0)</f>
        <v>30</v>
      </c>
      <c r="I4256" s="62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7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7">
        <v>256381</v>
      </c>
      <c r="F4257" s="31" t="str">
        <f>IFERROR(VLOOKUP(E4257,BD!$L$2:$Q$244,2,0),0)</f>
        <v>INCA KOLA VR 1.5LX8 - STICKER</v>
      </c>
      <c r="G4257" s="424">
        <v>240</v>
      </c>
      <c r="H4257" s="31">
        <f>+IFERROR(VLOOKUP(E4257,BD!$L$2:$Q$244,6,0),0)</f>
        <v>30</v>
      </c>
      <c r="I4257" s="62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7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7">
        <v>252436</v>
      </c>
      <c r="F4258" s="31" t="str">
        <f>IFERROR(VLOOKUP(E4258,BD!$L$2:$Q$244,2,0),0)</f>
        <v>SAN LUIS SIN GAS PET 625MLX15 C/STICKER</v>
      </c>
      <c r="G4258" s="424">
        <v>900</v>
      </c>
      <c r="H4258" s="31">
        <f>+IFERROR(VLOOKUP(E4258,BD!$L$2:$Q$244,6,0),0)</f>
        <v>90</v>
      </c>
      <c r="I4258" s="62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7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7">
        <v>254762</v>
      </c>
      <c r="F4259" s="31" t="str">
        <f>IFERROR(VLOOKUP(E4259,BD!$L$2:$Q$244,2,0),0)</f>
        <v xml:space="preserve">SAN LUIS SPORT S/G 10 Lt x6 </v>
      </c>
      <c r="G4259" s="424">
        <v>336</v>
      </c>
      <c r="H4259" s="31">
        <f>+IFERROR(VLOOKUP(E4259,BD!$L$2:$Q$244,6,0),0)</f>
        <v>240</v>
      </c>
      <c r="I4259" s="62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7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7">
        <v>256685</v>
      </c>
      <c r="F4260" s="31" t="str">
        <f>IFERROR(VLOOKUP(E4260,BD!$L$2:$Q$244,2,0),0)</f>
        <v>SL S/G TAPA PLANA 1LT</v>
      </c>
      <c r="G4260" s="424">
        <v>336</v>
      </c>
      <c r="H4260" s="31">
        <f>+IFERROR(VLOOKUP(E4260,BD!$L$2:$Q$244,6,0),0)</f>
        <v>112</v>
      </c>
      <c r="I4260" s="62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7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7">
        <v>251429</v>
      </c>
      <c r="F4261" s="31" t="str">
        <f>IFERROR(VLOOKUP(E4261,BD!$L$2:$Q$244,2,0),0)</f>
        <v>SAN LUIS SIN GAS PET2500X6 STICKER</v>
      </c>
      <c r="G4261" s="424">
        <v>1920</v>
      </c>
      <c r="H4261" s="31">
        <f>+IFERROR(VLOOKUP(E4261,BD!$L$2:$Q$244,6,0),0)</f>
        <v>48</v>
      </c>
      <c r="I4261" s="62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7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7">
        <v>751315</v>
      </c>
      <c r="F4262" s="31" t="str">
        <f>IFERROR(VLOOKUP(E4262,BD!$L$2:$Q$244,2,0),0)</f>
        <v>MONSTER ENERGY 473MLX4</v>
      </c>
      <c r="G4262" s="424">
        <v>2100</v>
      </c>
      <c r="H4262" s="31">
        <f>+IFERROR(VLOOKUP(E4262,BD!$L$2:$Q$244,6,0),0)</f>
        <v>420</v>
      </c>
      <c r="I4262" s="62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7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7">
        <v>251633</v>
      </c>
      <c r="F4263" s="31" t="str">
        <f>IFERROR(VLOOKUP(E4263,BD!$L$2:$Q$244,2,0),0)</f>
        <v>SAN LUIS CON GAS PET 625MLX6</v>
      </c>
      <c r="G4263" s="424">
        <v>1080</v>
      </c>
      <c r="H4263" s="31">
        <f>+IFERROR(VLOOKUP(E4263,BD!$L$2:$Q$244,6,0),0)</f>
        <v>180</v>
      </c>
      <c r="I4263" s="62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7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7">
        <v>251406</v>
      </c>
      <c r="F4264" s="31" t="str">
        <f>IFERROR(VLOOKUP(E4264,BD!$L$2:$Q$244,2,0),0)</f>
        <v>COCA-COLA SIN AZUCAR PET 1.5LX2</v>
      </c>
      <c r="G4264" s="424">
        <v>864</v>
      </c>
      <c r="H4264" s="31">
        <f>+IFERROR(VLOOKUP(E4264,BD!$L$2:$Q$244,6,0),0)</f>
        <v>198</v>
      </c>
      <c r="I4264" s="62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7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7">
        <v>256666</v>
      </c>
      <c r="F4265" s="31" t="str">
        <f>IFERROR(VLOOKUP(E4265,BD!$L$2:$Q$244,2,0),0)</f>
        <v>COCA-COLA PET 2.25LX2 RF</v>
      </c>
      <c r="G4265" s="424">
        <v>648</v>
      </c>
      <c r="H4265" s="31">
        <f>+IFERROR(VLOOKUP(E4265,BD!$L$2:$Q$244,6,0),0)</f>
        <v>162</v>
      </c>
      <c r="I4265" s="62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7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7">
        <v>256601</v>
      </c>
      <c r="F4266" s="31" t="str">
        <f>IFERROR(VLOOKUP(E4266,BD!$L$2:$Q$244,2,0),0)</f>
        <v>INCA KOLA PET 2.25LX2 RF</v>
      </c>
      <c r="G4266" s="424">
        <v>810</v>
      </c>
      <c r="H4266" s="31">
        <f>+IFERROR(VLOOKUP(E4266,BD!$L$2:$Q$244,6,0),0)</f>
        <v>162</v>
      </c>
      <c r="I4266" s="62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7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7">
        <v>256676</v>
      </c>
      <c r="F4267" s="31" t="str">
        <f>IFERROR(VLOOKUP(E4267,BD!$L$2:$Q$244,2,0),0)</f>
        <v>TWO PACK CC PFM 3LX2 - RFCC</v>
      </c>
      <c r="G4267" s="424">
        <v>2400</v>
      </c>
      <c r="H4267" s="31">
        <f>+IFERROR(VLOOKUP(E4267,BD!$L$2:$Q$244,6,0),0)</f>
        <v>120</v>
      </c>
      <c r="I4267" s="62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7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7">
        <v>256674</v>
      </c>
      <c r="F4268" s="31" t="str">
        <f>IFERROR(VLOOKUP(E4268,BD!$L$2:$Q$244,2,0),0)</f>
        <v>COCA-COLA PET 1.5LX2 RF</v>
      </c>
      <c r="G4268" s="424">
        <v>1296</v>
      </c>
      <c r="H4268" s="31">
        <f>+IFERROR(VLOOKUP(E4268,BD!$L$2:$Q$244,6,0),0)</f>
        <v>198</v>
      </c>
      <c r="I4268" s="62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7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7">
        <v>256652</v>
      </c>
      <c r="F4269" s="31" t="str">
        <f>IFERROR(VLOOKUP(E4269,BD!$L$2:$Q$244,2,0),0)</f>
        <v>TRIPACK FT NAR+FT KI+SP PET 3L</v>
      </c>
      <c r="G4269" s="424">
        <v>900</v>
      </c>
      <c r="H4269" s="31">
        <f>+IFERROR(VLOOKUP(E4269,BD!$L$2:$Q$244,6,0),0)</f>
        <v>90</v>
      </c>
      <c r="I4269" s="62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7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7">
        <v>256680</v>
      </c>
      <c r="F4270" s="31" t="str">
        <f>IFERROR(VLOOKUP(E4270,BD!$L$2:$Q$244,2,0),0)</f>
        <v>TRIPACK CC+CC+IK PFM 3LX3 - RFNN</v>
      </c>
      <c r="G4270" s="424">
        <v>720</v>
      </c>
      <c r="H4270" s="31">
        <f>+IFERROR(VLOOKUP(E4270,BD!$L$2:$Q$244,6,0),0)</f>
        <v>90</v>
      </c>
      <c r="I4270" s="62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7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7">
        <v>251429</v>
      </c>
      <c r="F4271" s="31" t="str">
        <f>IFERROR(VLOOKUP(E4271,BD!$L$2:$Q$244,2,0),0)</f>
        <v>SAN LUIS SIN GAS PET2500X6 STICKER</v>
      </c>
      <c r="G4271" s="424">
        <v>1440</v>
      </c>
      <c r="H4271" s="31">
        <f>+IFERROR(VLOOKUP(E4271,BD!$L$2:$Q$244,6,0),0)</f>
        <v>48</v>
      </c>
      <c r="I4271" s="62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7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7">
        <v>256708</v>
      </c>
      <c r="F4272" s="31" t="str">
        <f>IFERROR(VLOOKUP(E4272,BD!$L$2:$Q$244,2,0),0)</f>
        <v>POWERADE ION4 FRUTA PET473X6 MOD (STICK)</v>
      </c>
      <c r="G4272" s="424">
        <v>225</v>
      </c>
      <c r="H4272" s="31">
        <f>+IFERROR(VLOOKUP(E4272,BD!$L$2:$Q$244,6,0),0)</f>
        <v>225</v>
      </c>
      <c r="I4272" s="62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7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7">
        <v>256677</v>
      </c>
      <c r="F4273" s="31" t="str">
        <f>IFERROR(VLOOKUP(E4273,BD!$L$2:$Q$244,2,0),0)</f>
        <v>TWO PACK CC + IK PFM 3LX2 - RFNN</v>
      </c>
      <c r="G4273" s="424">
        <v>3600</v>
      </c>
      <c r="H4273" s="31">
        <f>+IFERROR(VLOOKUP(E4273,BD!$L$2:$Q$244,6,0),0)</f>
        <v>120</v>
      </c>
      <c r="I4273" s="62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7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7">
        <v>256679</v>
      </c>
      <c r="F4274" s="31" t="str">
        <f>IFERROR(VLOOKUP(E4274,BD!$L$2:$Q$244,2,0),0)</f>
        <v>TRIPACK CC+IK+IK PFM 3LX3 - RFNN</v>
      </c>
      <c r="G4274" s="424">
        <v>720</v>
      </c>
      <c r="H4274" s="31">
        <f>+IFERROR(VLOOKUP(E4274,BD!$L$2:$Q$244,6,0),0)</f>
        <v>90</v>
      </c>
      <c r="I4274" s="62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7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7">
        <v>256678</v>
      </c>
      <c r="F4275" s="31" t="str">
        <f>IFERROR(VLOOKUP(E4275,BD!$L$2:$Q$244,2,0),0)</f>
        <v>TRIPACK (CC+IK)PFM+FT PET 3LX3 - RFNN</v>
      </c>
      <c r="G4275" s="424">
        <v>2160</v>
      </c>
      <c r="H4275" s="31">
        <f>+IFERROR(VLOOKUP(E4275,BD!$L$2:$Q$244,6,0),0)</f>
        <v>90</v>
      </c>
      <c r="I4275" s="62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7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7">
        <v>251151</v>
      </c>
      <c r="F4276" s="31" t="str">
        <f>IFERROR(VLOOKUP(E4276,BD!$L$2:$Q$244,2,0),0)</f>
        <v>COCA COLA PET 500MLX6</v>
      </c>
      <c r="G4276" s="424">
        <v>250</v>
      </c>
      <c r="H4276" s="31">
        <f>+IFERROR(VLOOKUP(E4276,BD!$L$2:$Q$244,6,0),0)</f>
        <v>250</v>
      </c>
      <c r="I4276" s="62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7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7">
        <v>256720</v>
      </c>
      <c r="F4277" s="31" t="str">
        <f>IFERROR(VLOOKUP(E4277,BD!$L$2:$Q$244,2,0),0)</f>
        <v>FANTA NARANJA PET 500MLX6 BRANDEADO MOD</v>
      </c>
      <c r="G4277" s="424">
        <v>750</v>
      </c>
      <c r="H4277" s="31">
        <f>+IFERROR(VLOOKUP(E4277,BD!$L$2:$Q$244,6,0),0)</f>
        <v>420</v>
      </c>
      <c r="I4277" s="62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7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7">
        <v>256721</v>
      </c>
      <c r="F4278" s="31" t="str">
        <f>IFERROR(VLOOKUP(E4278,BD!$L$2:$Q$244,2,0),0)</f>
        <v>SPRITE PET 500MLX6 BRANDEADO MOD</v>
      </c>
      <c r="G4278" s="424">
        <v>750</v>
      </c>
      <c r="H4278" s="31">
        <f>+IFERROR(VLOOKUP(E4278,BD!$L$2:$Q$244,6,0),0)</f>
        <v>420</v>
      </c>
      <c r="I4278" s="62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7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7">
        <v>256383</v>
      </c>
      <c r="F4279" s="31" t="str">
        <f>IFERROR(VLOOKUP(E4279,BD!$L$2:$Q$244,2,0),0)</f>
        <v>COCA COLA VR 1.5LX8 - STICKER</v>
      </c>
      <c r="G4279" s="424">
        <v>120</v>
      </c>
      <c r="H4279" s="31">
        <f>+IFERROR(VLOOKUP(E4279,BD!$L$2:$Q$244,6,0),0)</f>
        <v>30</v>
      </c>
      <c r="I4279" s="62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7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7">
        <v>256382</v>
      </c>
      <c r="F4280" s="31" t="str">
        <f>IFERROR(VLOOKUP(E4280,BD!$L$2:$Q$244,2,0),0)</f>
        <v>COCA COLA VR 296MLX24 - STICKER</v>
      </c>
      <c r="G4280" s="424">
        <v>160</v>
      </c>
      <c r="H4280" s="31">
        <f>+IFERROR(VLOOKUP(E4280,BD!$L$2:$Q$244,6,0),0)</f>
        <v>40</v>
      </c>
      <c r="I4280" s="62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7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7">
        <v>256381</v>
      </c>
      <c r="F4281" s="31" t="str">
        <f>IFERROR(VLOOKUP(E4281,BD!$L$2:$Q$244,2,0),0)</f>
        <v>INCA KOLA VR 1.5LX8 - STICKER</v>
      </c>
      <c r="G4281" s="424">
        <v>120</v>
      </c>
      <c r="H4281" s="31">
        <f>+IFERROR(VLOOKUP(E4281,BD!$L$2:$Q$244,6,0),0)</f>
        <v>30</v>
      </c>
      <c r="I4281" s="62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7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7">
        <v>256379</v>
      </c>
      <c r="F4282" s="31" t="str">
        <f>IFERROR(VLOOKUP(E4282,BD!$L$2:$Q$244,2,0),0)</f>
        <v>INCA KOLA VR 625MLX12 - STICKER</v>
      </c>
      <c r="G4282" s="424">
        <v>200</v>
      </c>
      <c r="H4282" s="31">
        <f>+IFERROR(VLOOKUP(E4282,BD!$L$2:$Q$244,6,0),0)</f>
        <v>50</v>
      </c>
      <c r="I4282" s="62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7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7">
        <v>252436</v>
      </c>
      <c r="F4283" s="31" t="str">
        <f>IFERROR(VLOOKUP(E4283,BD!$L$2:$Q$244,2,0),0)</f>
        <v>SAN LUIS SIN GAS PET 625MLX15 C/STICKER</v>
      </c>
      <c r="G4283" s="424">
        <v>450</v>
      </c>
      <c r="H4283" s="31">
        <f>+IFERROR(VLOOKUP(E4283,BD!$L$2:$Q$244,6,0),0)</f>
        <v>90</v>
      </c>
      <c r="I4283" s="62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7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7">
        <v>256685</v>
      </c>
      <c r="F4284" s="31" t="str">
        <f>IFERROR(VLOOKUP(E4284,BD!$L$2:$Q$244,2,0),0)</f>
        <v>SL S/G TAPA PLANA 1LT</v>
      </c>
      <c r="G4284" s="424">
        <v>336</v>
      </c>
      <c r="H4284" s="31">
        <f>+IFERROR(VLOOKUP(E4284,BD!$L$2:$Q$244,6,0),0)</f>
        <v>112</v>
      </c>
      <c r="I4284" s="62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7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7">
        <v>751315</v>
      </c>
      <c r="F4285" s="31" t="str">
        <f>IFERROR(VLOOKUP(E4285,BD!$L$2:$Q$244,2,0),0)</f>
        <v>MONSTER ENERGY 473MLX4</v>
      </c>
      <c r="G4285" s="424">
        <v>4200</v>
      </c>
      <c r="H4285" s="31">
        <f>+IFERROR(VLOOKUP(E4285,BD!$L$2:$Q$244,6,0),0)</f>
        <v>420</v>
      </c>
      <c r="I4285" s="62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7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7">
        <v>251633</v>
      </c>
      <c r="F4286" s="31" t="str">
        <f>IFERROR(VLOOKUP(E4286,BD!$L$2:$Q$244,2,0),0)</f>
        <v>SAN LUIS CON GAS PET 625MLX6</v>
      </c>
      <c r="G4286" s="424">
        <v>900</v>
      </c>
      <c r="H4286" s="31">
        <f>+IFERROR(VLOOKUP(E4286,BD!$L$2:$Q$244,6,0),0)</f>
        <v>180</v>
      </c>
      <c r="I4286" s="62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7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7">
        <v>251406</v>
      </c>
      <c r="F4287" s="31" t="str">
        <f>IFERROR(VLOOKUP(E4287,BD!$L$2:$Q$244,2,0),0)</f>
        <v>COCA-COLA SIN AZUCAR PET 1.5LX2</v>
      </c>
      <c r="G4287" s="424">
        <v>3240</v>
      </c>
      <c r="H4287" s="31">
        <f>+IFERROR(VLOOKUP(E4287,BD!$L$2:$Q$244,6,0),0)</f>
        <v>198</v>
      </c>
      <c r="I4287" s="62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7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7">
        <v>254853</v>
      </c>
      <c r="F4288" s="31" t="str">
        <f>IFERROR(VLOOKUP(E4288,BD!$L$2:$Q$244,2,0),0)</f>
        <v>INCA KOLA SIN AZUCAR PET 1.5LX2</v>
      </c>
      <c r="G4288" s="424">
        <v>3240</v>
      </c>
      <c r="H4288" s="31">
        <f>+IFERROR(VLOOKUP(E4288,BD!$L$2:$Q$244,6,0),0)</f>
        <v>198</v>
      </c>
      <c r="I4288" s="62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7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7">
        <v>256601</v>
      </c>
      <c r="F4289" s="31" t="str">
        <f>IFERROR(VLOOKUP(E4289,BD!$L$2:$Q$244,2,0),0)</f>
        <v>INCA KOLA PET 2.25LX2 RF</v>
      </c>
      <c r="G4289" s="424">
        <v>810</v>
      </c>
      <c r="H4289" s="31">
        <f>+IFERROR(VLOOKUP(E4289,BD!$L$2:$Q$244,6,0),0)</f>
        <v>162</v>
      </c>
      <c r="I4289" s="62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7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7">
        <v>256488</v>
      </c>
      <c r="F4290" s="31" t="str">
        <f>IFERROR(VLOOKUP(E4290,BD!$L$2:$Q$244,2,0),0)</f>
        <v>INCA KOLA PET 3LX2 - RF</v>
      </c>
      <c r="G4290" s="424">
        <v>3600</v>
      </c>
      <c r="H4290" s="31">
        <f>+IFERROR(VLOOKUP(E4290,BD!$L$2:$Q$244,6,0),0)</f>
        <v>120</v>
      </c>
      <c r="I4290" s="62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7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7">
        <v>256676</v>
      </c>
      <c r="F4291" s="31" t="str">
        <f>IFERROR(VLOOKUP(E4291,BD!$L$2:$Q$244,2,0),0)</f>
        <v>TWO PACK CC PFM 3LX2 - RFCC</v>
      </c>
      <c r="G4291" s="424">
        <v>1800</v>
      </c>
      <c r="H4291" s="31">
        <f>+IFERROR(VLOOKUP(E4291,BD!$L$2:$Q$244,6,0),0)</f>
        <v>120</v>
      </c>
      <c r="I4291" s="62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7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7">
        <v>256674</v>
      </c>
      <c r="F4292" s="31" t="str">
        <f>IFERROR(VLOOKUP(E4292,BD!$L$2:$Q$244,2,0),0)</f>
        <v>COCA-COLA PET 1.5LX2 RF</v>
      </c>
      <c r="G4292" s="424">
        <v>2100</v>
      </c>
      <c r="H4292" s="31">
        <f>+IFERROR(VLOOKUP(E4292,BD!$L$2:$Q$244,6,0),0)</f>
        <v>198</v>
      </c>
      <c r="I4292" s="62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7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7">
        <v>256675</v>
      </c>
      <c r="F4293" s="31" t="str">
        <f>IFERROR(VLOOKUP(E4293,BD!$L$2:$Q$244,2,0),0)</f>
        <v>INCA KOLA PET 1.5LX2 RF</v>
      </c>
      <c r="G4293" s="424">
        <v>1050</v>
      </c>
      <c r="H4293" s="31">
        <f>+IFERROR(VLOOKUP(E4293,BD!$L$2:$Q$244,6,0),0)</f>
        <v>198</v>
      </c>
      <c r="I4293" s="62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7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7">
        <v>254905</v>
      </c>
      <c r="F4294" s="31" t="str">
        <f>IFERROR(VLOOKUP(E4294,BD!$L$2:$Q$244,2,0),0)</f>
        <v>IK ZERO PET 500ML X 6 PUC (LAMINA - HORNO)</v>
      </c>
      <c r="G4294" s="424">
        <v>3750</v>
      </c>
      <c r="H4294" s="31">
        <f>+IFERROR(VLOOKUP(E4294,BD!$L$2:$Q$244,6,0),0)</f>
        <v>250</v>
      </c>
      <c r="I4294" s="62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7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7">
        <v>251429</v>
      </c>
      <c r="F4295" s="31" t="str">
        <f>IFERROR(VLOOKUP(E4295,BD!$L$2:$Q$244,2,0),0)</f>
        <v>SAN LUIS SIN GAS PET2500X6 STICKER</v>
      </c>
      <c r="G4295" s="424">
        <v>2400</v>
      </c>
      <c r="H4295" s="31">
        <f>+IFERROR(VLOOKUP(E4295,BD!$L$2:$Q$244,6,0),0)</f>
        <v>48</v>
      </c>
      <c r="I4295" s="62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7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7">
        <v>751315</v>
      </c>
      <c r="F4296" s="31" t="str">
        <f>IFERROR(VLOOKUP(E4296,BD!$L$2:$Q$244,2,0),0)</f>
        <v>MONSTER ENERGY 473MLX4</v>
      </c>
      <c r="G4296" s="424">
        <v>4200</v>
      </c>
      <c r="H4296" s="31">
        <f>+IFERROR(VLOOKUP(E4296,BD!$L$2:$Q$244,6,0),0)</f>
        <v>420</v>
      </c>
      <c r="I4296" s="62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7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7">
        <v>751544</v>
      </c>
      <c r="F4297" s="31" t="str">
        <f>IFERROR(VLOOKUP(E4297,BD!$L$2:$Q$244,2,0),0)</f>
        <v>MONSTER ENERGY ZERO 473MLX4</v>
      </c>
      <c r="G4297" s="424">
        <v>2100</v>
      </c>
      <c r="H4297" s="31">
        <f>+IFERROR(VLOOKUP(E4297,BD!$L$2:$Q$244,6,0),0)</f>
        <v>420</v>
      </c>
      <c r="I4297" s="62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7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7">
        <v>251406</v>
      </c>
      <c r="F4298" s="31" t="str">
        <f>IFERROR(VLOOKUP(E4298,BD!$L$2:$Q$244,2,0),0)</f>
        <v>COCA-COLA SIN AZUCAR PET 1.5LX2</v>
      </c>
      <c r="G4298" s="424">
        <v>3240</v>
      </c>
      <c r="H4298" s="31">
        <f>+IFERROR(VLOOKUP(E4298,BD!$L$2:$Q$244,6,0),0)</f>
        <v>198</v>
      </c>
      <c r="I4298" s="62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7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7">
        <v>256548</v>
      </c>
      <c r="F4299" s="31" t="str">
        <f>IFERROR(VLOOKUP(E4299,BD!$L$2:$Q$244,2,0),0)</f>
        <v>TWO PACK CC PET 1.5LX2 - CRC</v>
      </c>
      <c r="G4299" s="424">
        <v>216</v>
      </c>
      <c r="H4299" s="31">
        <f>+IFERROR(VLOOKUP(E4299,BD!$L$2:$Q$244,6,0),0)</f>
        <v>198</v>
      </c>
      <c r="I4299" s="62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7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7">
        <v>256652</v>
      </c>
      <c r="F4300" s="31" t="str">
        <f>IFERROR(VLOOKUP(E4300,BD!$L$2:$Q$244,2,0),0)</f>
        <v>TRIPACK FT NAR+FT KI+SP PET 3L</v>
      </c>
      <c r="G4300" s="424">
        <v>1440</v>
      </c>
      <c r="H4300" s="31">
        <f>+IFERROR(VLOOKUP(E4300,BD!$L$2:$Q$244,6,0),0)</f>
        <v>90</v>
      </c>
      <c r="I4300" s="62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7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7">
        <v>256677</v>
      </c>
      <c r="F4301" s="31" t="str">
        <f>IFERROR(VLOOKUP(E4301,BD!$L$2:$Q$244,2,0),0)</f>
        <v>TWO PACK CC + IK PFM 3LX2 - RFNN</v>
      </c>
      <c r="G4301" s="424">
        <v>3600</v>
      </c>
      <c r="H4301" s="31">
        <f>+IFERROR(VLOOKUP(E4301,BD!$L$2:$Q$244,6,0),0)</f>
        <v>120</v>
      </c>
      <c r="I4301" s="62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7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7">
        <v>256678</v>
      </c>
      <c r="F4302" s="31" t="str">
        <f>IFERROR(VLOOKUP(E4302,BD!$L$2:$Q$244,2,0),0)</f>
        <v>TRIPACK (CC+IK)PFM+FT PET 3LX3 - RFNN</v>
      </c>
      <c r="G4302" s="424">
        <v>1440</v>
      </c>
      <c r="H4302" s="31">
        <f>+IFERROR(VLOOKUP(E4302,BD!$L$2:$Q$244,6,0),0)</f>
        <v>90</v>
      </c>
      <c r="I4302" s="62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7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7">
        <v>256695</v>
      </c>
      <c r="F4303" s="31" t="str">
        <f>IFERROR(VLOOKUP(E4303,BD!$L$2:$Q$244,2,0),0)</f>
        <v>POWERADE 3MORA+3FRUT PET 473MLX6</v>
      </c>
      <c r="G4303" s="424">
        <v>1350</v>
      </c>
      <c r="H4303" s="31">
        <f>+IFERROR(VLOOKUP(E4303,BD!$L$2:$Q$244,6,0),0)</f>
        <v>225</v>
      </c>
      <c r="I4303" s="62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7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7">
        <v>256709</v>
      </c>
      <c r="F4304" s="31" t="str">
        <f>IFERROR(VLOOKUP(E4304,BD!$L$2:$Q$244,2,0),0)</f>
        <v>POWERADE ION4 MORA AZ PET473X6 MOD(STCK)</v>
      </c>
      <c r="G4304" s="424">
        <v>450</v>
      </c>
      <c r="H4304" s="31">
        <f>+IFERROR(VLOOKUP(E4304,BD!$L$2:$Q$244,6,0),0)</f>
        <v>225</v>
      </c>
      <c r="I4304" s="62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7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7">
        <v>256368</v>
      </c>
      <c r="F4305" s="31" t="str">
        <f>IFERROR(VLOOKUP(E4305,BD!$L$2:$Q$244,2,0),0)</f>
        <v>COCA COLA VNR 300ML X 6 PUC</v>
      </c>
      <c r="G4305" s="424">
        <v>1250</v>
      </c>
      <c r="H4305" s="31">
        <f>+IFERROR(VLOOKUP(E4305,BD!$L$2:$Q$244,6,0),0)</f>
        <v>250</v>
      </c>
      <c r="I4305" s="62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7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7">
        <v>256767</v>
      </c>
      <c r="F4306" s="31" t="str">
        <f>IFERROR(VLOOKUP(E4306,BD!$L$2:$Q$244,2,0),0)</f>
        <v>FRUGOS VAL-FRESH 4NAR+4FP+4MZ PET 500X12 PUC</v>
      </c>
      <c r="G4306" s="424">
        <v>125</v>
      </c>
      <c r="H4306" s="31">
        <f>+IFERROR(VLOOKUP(E4306,BD!$L$2:$Q$244,6,0),0)</f>
        <v>125</v>
      </c>
      <c r="I4306" s="62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7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7">
        <v>254852</v>
      </c>
      <c r="F4307" s="31" t="str">
        <f>IFERROR(VLOOKUP(E4307,BD!$L$2:$Q$244,2,0),0)</f>
        <v>INCA KOLA PET 500MLX6</v>
      </c>
      <c r="G4307" s="424">
        <v>1250</v>
      </c>
      <c r="H4307" s="31">
        <f>+IFERROR(VLOOKUP(E4307,BD!$L$2:$Q$244,6,0),0)</f>
        <v>225</v>
      </c>
      <c r="I4307" s="62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7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7">
        <v>256383</v>
      </c>
      <c r="F4308" s="31" t="str">
        <f>IFERROR(VLOOKUP(E4308,BD!$L$2:$Q$244,2,0),0)</f>
        <v>COCA COLA VR 1.5LX8 - STICKER</v>
      </c>
      <c r="G4308" s="424">
        <v>150</v>
      </c>
      <c r="H4308" s="31">
        <f>+IFERROR(VLOOKUP(E4308,BD!$L$2:$Q$244,6,0),0)</f>
        <v>30</v>
      </c>
      <c r="I4308" s="62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7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7">
        <v>256381</v>
      </c>
      <c r="F4309" s="31" t="str">
        <f>IFERROR(VLOOKUP(E4309,BD!$L$2:$Q$244,2,0),0)</f>
        <v>INCA KOLA VR 1.5LX8 - STICKER</v>
      </c>
      <c r="G4309" s="424">
        <v>150</v>
      </c>
      <c r="H4309" s="31">
        <f>+IFERROR(VLOOKUP(E4309,BD!$L$2:$Q$244,6,0),0)</f>
        <v>30</v>
      </c>
      <c r="I4309" s="62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7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7">
        <v>256379</v>
      </c>
      <c r="F4310" s="31" t="str">
        <f>IFERROR(VLOOKUP(E4310,BD!$L$2:$Q$244,2,0),0)</f>
        <v>INCA KOLA VR 625MLX12 - STICKER</v>
      </c>
      <c r="G4310" s="424">
        <v>350</v>
      </c>
      <c r="H4310" s="31">
        <f>+IFERROR(VLOOKUP(E4310,BD!$L$2:$Q$244,6,0),0)</f>
        <v>50</v>
      </c>
      <c r="I4310" s="62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7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7">
        <v>751544</v>
      </c>
      <c r="F4311" s="31" t="str">
        <f>IFERROR(VLOOKUP(E4311,BD!$L$2:$Q$244,2,0),0)</f>
        <v>MONSTER ENERGY ZERO 473MLX4</v>
      </c>
      <c r="G4311" s="424">
        <v>3360</v>
      </c>
      <c r="H4311" s="31">
        <f>+IFERROR(VLOOKUP(E4311,BD!$L$2:$Q$244,6,0),0)</f>
        <v>420</v>
      </c>
      <c r="I4311" s="62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7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7">
        <v>251633</v>
      </c>
      <c r="F4312" s="31" t="str">
        <f>IFERROR(VLOOKUP(E4312,BD!$L$2:$Q$244,2,0),0)</f>
        <v>SAN LUIS CON GAS PET 625MLX6</v>
      </c>
      <c r="G4312" s="424">
        <v>900</v>
      </c>
      <c r="H4312" s="31">
        <f>+IFERROR(VLOOKUP(E4312,BD!$L$2:$Q$244,6,0),0)</f>
        <v>180</v>
      </c>
      <c r="I4312" s="62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7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7">
        <v>251406</v>
      </c>
      <c r="F4313" s="31" t="str">
        <f>IFERROR(VLOOKUP(E4313,BD!$L$2:$Q$244,2,0),0)</f>
        <v>COCA-COLA SIN AZUCAR PET 1.5LX2</v>
      </c>
      <c r="G4313" s="424">
        <v>2160</v>
      </c>
      <c r="H4313" s="31">
        <f>+IFERROR(VLOOKUP(E4313,BD!$L$2:$Q$244,6,0),0)</f>
        <v>198</v>
      </c>
      <c r="I4313" s="62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7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7">
        <v>254853</v>
      </c>
      <c r="F4314" s="31" t="str">
        <f>IFERROR(VLOOKUP(E4314,BD!$L$2:$Q$244,2,0),0)</f>
        <v>INCA KOLA SIN AZUCAR PET 1.5LX2</v>
      </c>
      <c r="G4314" s="424">
        <v>2160</v>
      </c>
      <c r="H4314" s="31">
        <f>+IFERROR(VLOOKUP(E4314,BD!$L$2:$Q$244,6,0),0)</f>
        <v>198</v>
      </c>
      <c r="I4314" s="62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7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7">
        <v>256549</v>
      </c>
      <c r="F4315" s="31" t="str">
        <f>IFERROR(VLOOKUP(E4315,BD!$L$2:$Q$244,2,0),0)</f>
        <v>TWO PACK IK PET 1.5LX2 - CRCG</v>
      </c>
      <c r="G4315" s="424">
        <v>216</v>
      </c>
      <c r="H4315" s="31">
        <f>+IFERROR(VLOOKUP(E4315,BD!$L$2:$Q$244,6,0),0)</f>
        <v>198</v>
      </c>
      <c r="I4315" s="62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7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7">
        <v>256616</v>
      </c>
      <c r="F4316" s="31" t="str">
        <f>IFERROR(VLOOKUP(E4316,BD!$L$2:$Q$244,2,0),0)</f>
        <v>TWO PACK SCHWEPPES CITRUS PET 1.5LX2</v>
      </c>
      <c r="G4316" s="424">
        <v>1386</v>
      </c>
      <c r="H4316" s="31">
        <f>+IFERROR(VLOOKUP(E4316,BD!$L$2:$Q$244,6,0),0)</f>
        <v>198</v>
      </c>
      <c r="I4316" s="62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7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7">
        <v>256488</v>
      </c>
      <c r="F4317" s="31" t="str">
        <f>IFERROR(VLOOKUP(E4317,BD!$L$2:$Q$244,2,0),0)</f>
        <v>INCA KOLA PET 3LX2 - RF</v>
      </c>
      <c r="G4317" s="424">
        <v>3600</v>
      </c>
      <c r="H4317" s="31">
        <f>+IFERROR(VLOOKUP(E4317,BD!$L$2:$Q$244,6,0),0)</f>
        <v>120</v>
      </c>
      <c r="I4317" s="62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7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7">
        <v>256676</v>
      </c>
      <c r="F4318" s="31" t="str">
        <f>IFERROR(VLOOKUP(E4318,BD!$L$2:$Q$244,2,0),0)</f>
        <v>TWO PACK CC PFM 3LX2 - RFCC</v>
      </c>
      <c r="G4318" s="424">
        <v>1800</v>
      </c>
      <c r="H4318" s="31">
        <f>+IFERROR(VLOOKUP(E4318,BD!$L$2:$Q$244,6,0),0)</f>
        <v>120</v>
      </c>
      <c r="I4318" s="62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7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7">
        <v>256674</v>
      </c>
      <c r="F4319" s="31" t="str">
        <f>IFERROR(VLOOKUP(E4319,BD!$L$2:$Q$244,2,0),0)</f>
        <v>COCA-COLA PET 1.5LX2 RF</v>
      </c>
      <c r="G4319" s="424">
        <v>3240</v>
      </c>
      <c r="H4319" s="31">
        <f>+IFERROR(VLOOKUP(E4319,BD!$L$2:$Q$244,6,0),0)</f>
        <v>198</v>
      </c>
      <c r="I4319" s="62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7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7">
        <v>256675</v>
      </c>
      <c r="F4320" s="31" t="str">
        <f>IFERROR(VLOOKUP(E4320,BD!$L$2:$Q$244,2,0),0)</f>
        <v>INCA KOLA PET 1.5LX2 RF</v>
      </c>
      <c r="G4320" s="424">
        <v>2160</v>
      </c>
      <c r="H4320" s="31">
        <f>+IFERROR(VLOOKUP(E4320,BD!$L$2:$Q$244,6,0),0)</f>
        <v>198</v>
      </c>
      <c r="I4320" s="62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7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7">
        <v>256677</v>
      </c>
      <c r="F4321" s="31" t="str">
        <f>IFERROR(VLOOKUP(E4321,BD!$L$2:$Q$244,2,0),0)</f>
        <v>TWO PACK CC + IK PFM 3LX2 - RFNN</v>
      </c>
      <c r="G4321" s="424">
        <v>6000</v>
      </c>
      <c r="H4321" s="31">
        <f>+IFERROR(VLOOKUP(E4321,BD!$L$2:$Q$244,6,0),0)</f>
        <v>120</v>
      </c>
      <c r="I4321" s="62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7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7">
        <v>256678</v>
      </c>
      <c r="F4322" s="31" t="str">
        <f>IFERROR(VLOOKUP(E4322,BD!$L$2:$Q$244,2,0),0)</f>
        <v>TRIPACK (CC+IK)PFM+FT PET 3LX3 - RFNN</v>
      </c>
      <c r="G4322" s="424">
        <v>2160</v>
      </c>
      <c r="H4322" s="31">
        <f>+IFERROR(VLOOKUP(E4322,BD!$L$2:$Q$244,6,0),0)</f>
        <v>90</v>
      </c>
      <c r="I4322" s="62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7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7">
        <v>256695</v>
      </c>
      <c r="F4323" s="31" t="str">
        <f>IFERROR(VLOOKUP(E4323,BD!$L$2:$Q$244,2,0),0)</f>
        <v>POWERADE 3MORA+3FRUT PET 473MLX6</v>
      </c>
      <c r="G4323" s="424">
        <v>1350</v>
      </c>
      <c r="H4323" s="31">
        <f>+IFERROR(VLOOKUP(E4323,BD!$L$2:$Q$244,6,0),0)</f>
        <v>225</v>
      </c>
      <c r="I4323" s="62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7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7">
        <v>256709</v>
      </c>
      <c r="F4324" s="31" t="str">
        <f>IFERROR(VLOOKUP(E4324,BD!$L$2:$Q$244,2,0),0)</f>
        <v>POWERADE ION4 MORA AZ PET473X6 MOD(STCK)</v>
      </c>
      <c r="G4324" s="424">
        <v>450</v>
      </c>
      <c r="H4324" s="31">
        <f>+IFERROR(VLOOKUP(E4324,BD!$L$2:$Q$244,6,0),0)</f>
        <v>225</v>
      </c>
      <c r="I4324" s="62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7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7">
        <v>254852</v>
      </c>
      <c r="F4325" s="31" t="str">
        <f>IFERROR(VLOOKUP(E4325,BD!$L$2:$Q$244,2,0),0)</f>
        <v>INCA KOLA PET 500MLX6</v>
      </c>
      <c r="G4325" s="424">
        <v>1250</v>
      </c>
      <c r="H4325" s="31">
        <f>+IFERROR(VLOOKUP(E4325,BD!$L$2:$Q$244,6,0),0)</f>
        <v>225</v>
      </c>
      <c r="I4325" s="62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7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7">
        <v>256720</v>
      </c>
      <c r="F4326" s="31" t="str">
        <f>IFERROR(VLOOKUP(E4326,BD!$L$2:$Q$244,2,0),0)</f>
        <v>FANTA NARANJA PET 500MLX6 BRANDEADO MOD</v>
      </c>
      <c r="G4326" s="424">
        <v>500</v>
      </c>
      <c r="H4326" s="31">
        <f>+IFERROR(VLOOKUP(E4326,BD!$L$2:$Q$244,6,0),0)</f>
        <v>420</v>
      </c>
      <c r="I4326" s="62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7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7">
        <v>256721</v>
      </c>
      <c r="F4327" s="31" t="str">
        <f>IFERROR(VLOOKUP(E4327,BD!$L$2:$Q$244,2,0),0)</f>
        <v>SPRITE PET 500MLX6 BRANDEADO MOD</v>
      </c>
      <c r="G4327" s="424">
        <v>750</v>
      </c>
      <c r="H4327" s="31">
        <f>+IFERROR(VLOOKUP(E4327,BD!$L$2:$Q$244,6,0),0)</f>
        <v>420</v>
      </c>
      <c r="I4327" s="62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7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7">
        <v>256767</v>
      </c>
      <c r="F4328" s="31" t="str">
        <f>IFERROR(VLOOKUP(E4328,BD!$L$2:$Q$244,2,0),0)</f>
        <v>FRUGOS VAL-FRESH 4NAR+4FP+4MZ PET 500X12 PUC</v>
      </c>
      <c r="G4328" s="424">
        <v>500</v>
      </c>
      <c r="H4328" s="31">
        <f>+IFERROR(VLOOKUP(E4328,BD!$L$2:$Q$244,6,0),0)</f>
        <v>125</v>
      </c>
      <c r="I4328" s="62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7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7">
        <v>256708</v>
      </c>
      <c r="F4329" s="31" t="str">
        <f>IFERROR(VLOOKUP(E4329,BD!$L$2:$Q$244,2,0),0)</f>
        <v>POWERADE ION4 FRUTA PET473X6 MOD (STICK)</v>
      </c>
      <c r="G4329" s="424">
        <v>1125</v>
      </c>
      <c r="H4329" s="31">
        <f>+IFERROR(VLOOKUP(E4329,BD!$L$2:$Q$244,6,0),0)</f>
        <v>225</v>
      </c>
      <c r="I4329" s="62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7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7">
        <v>254852</v>
      </c>
      <c r="F4330" s="31" t="str">
        <f>IFERROR(VLOOKUP(E4330,BD!$L$2:$Q$244,2,0),0)</f>
        <v>INCA KOLA PET 500MLX6</v>
      </c>
      <c r="G4330" s="424">
        <v>1250</v>
      </c>
      <c r="H4330" s="31">
        <f>+IFERROR(VLOOKUP(E4330,BD!$L$2:$Q$244,6,0),0)</f>
        <v>225</v>
      </c>
      <c r="I4330" s="62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7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7">
        <v>256720</v>
      </c>
      <c r="F4331" s="31" t="str">
        <f>IFERROR(VLOOKUP(E4331,BD!$L$2:$Q$244,2,0),0)</f>
        <v>FANTA NARANJA PET 500MLX6 BRANDEADO MOD</v>
      </c>
      <c r="G4331" s="424">
        <v>500</v>
      </c>
      <c r="H4331" s="31">
        <f>+IFERROR(VLOOKUP(E4331,BD!$L$2:$Q$244,6,0),0)</f>
        <v>420</v>
      </c>
      <c r="I4331" s="62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7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7">
        <v>256721</v>
      </c>
      <c r="F4332" s="31" t="str">
        <f>IFERROR(VLOOKUP(E4332,BD!$L$2:$Q$244,2,0),0)</f>
        <v>SPRITE PET 500MLX6 BRANDEADO MOD</v>
      </c>
      <c r="G4332" s="424">
        <v>1000</v>
      </c>
      <c r="H4332" s="31">
        <f>+IFERROR(VLOOKUP(E4332,BD!$L$2:$Q$244,6,0),0)</f>
        <v>420</v>
      </c>
      <c r="I4332" s="62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7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7">
        <v>256767</v>
      </c>
      <c r="F4333" s="31" t="str">
        <f>IFERROR(VLOOKUP(E4333,BD!$L$2:$Q$244,2,0),0)</f>
        <v>FRUGOS VAL-FRESH 4NAR+4FP+4MZ PET 500X12 PUC</v>
      </c>
      <c r="G4333" s="424">
        <v>750</v>
      </c>
      <c r="H4333" s="31">
        <f>+IFERROR(VLOOKUP(E4333,BD!$L$2:$Q$244,6,0),0)</f>
        <v>125</v>
      </c>
      <c r="I4333" s="62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7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7">
        <v>256379</v>
      </c>
      <c r="F4334" s="31" t="str">
        <f>IFERROR(VLOOKUP(E4334,BD!$L$2:$Q$244,2,0),0)</f>
        <v>INCA KOLA VR 625MLX12 - STICKER</v>
      </c>
      <c r="G4334" s="424">
        <v>250</v>
      </c>
      <c r="H4334" s="31">
        <f>+IFERROR(VLOOKUP(E4334,BD!$L$2:$Q$244,6,0),0)</f>
        <v>50</v>
      </c>
      <c r="I4334" s="62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7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7">
        <v>254762</v>
      </c>
      <c r="F4335" s="31" t="str">
        <f>IFERROR(VLOOKUP(E4335,BD!$L$2:$Q$244,2,0),0)</f>
        <v xml:space="preserve">SAN LUIS SPORT S/G 10 Lt x6 </v>
      </c>
      <c r="G4335" s="424">
        <v>112</v>
      </c>
      <c r="H4335" s="31">
        <f>+IFERROR(VLOOKUP(E4335,BD!$L$2:$Q$244,6,0),0)</f>
        <v>240</v>
      </c>
      <c r="I4335" s="62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7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7">
        <v>251429</v>
      </c>
      <c r="F4336" s="31" t="str">
        <f>IFERROR(VLOOKUP(E4336,BD!$L$2:$Q$244,2,0),0)</f>
        <v>SAN LUIS SIN GAS PET2500X6 STICKER</v>
      </c>
      <c r="G4336" s="424">
        <v>960</v>
      </c>
      <c r="H4336" s="31">
        <f>+IFERROR(VLOOKUP(E4336,BD!$L$2:$Q$244,6,0),0)</f>
        <v>48</v>
      </c>
      <c r="I4336" s="62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7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7">
        <v>751315</v>
      </c>
      <c r="F4337" s="31" t="str">
        <f>IFERROR(VLOOKUP(E4337,BD!$L$2:$Q$244,2,0),0)</f>
        <v>MONSTER ENERGY 473MLX4</v>
      </c>
      <c r="G4337" s="424">
        <v>2100</v>
      </c>
      <c r="H4337" s="31">
        <f>+IFERROR(VLOOKUP(E4337,BD!$L$2:$Q$244,6,0),0)</f>
        <v>420</v>
      </c>
      <c r="I4337" s="62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7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7">
        <v>251633</v>
      </c>
      <c r="F4338" s="31" t="str">
        <f>IFERROR(VLOOKUP(E4338,BD!$L$2:$Q$244,2,0),0)</f>
        <v>SAN LUIS CON GAS PET 625MLX6</v>
      </c>
      <c r="G4338" s="424">
        <v>900</v>
      </c>
      <c r="H4338" s="31">
        <f>+IFERROR(VLOOKUP(E4338,BD!$L$2:$Q$244,6,0),0)</f>
        <v>180</v>
      </c>
      <c r="I4338" s="62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7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7">
        <v>256549</v>
      </c>
      <c r="F4339" s="31" t="str">
        <f>IFERROR(VLOOKUP(E4339,BD!$L$2:$Q$244,2,0),0)</f>
        <v>TWO PACK IK PET 1.5LX2 - CRCG</v>
      </c>
      <c r="G4339" s="424">
        <v>216</v>
      </c>
      <c r="H4339" s="31">
        <f>+IFERROR(VLOOKUP(E4339,BD!$L$2:$Q$244,6,0),0)</f>
        <v>198</v>
      </c>
      <c r="I4339" s="62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7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7">
        <v>256617</v>
      </c>
      <c r="F4340" s="31" t="str">
        <f>IFERROR(VLOOKUP(E4340,BD!$L$2:$Q$244,2,0),0)</f>
        <v>TWO PACK SCHWEPPES GINGER ALE PET 1.5LX2</v>
      </c>
      <c r="G4340" s="424">
        <v>990</v>
      </c>
      <c r="H4340" s="31">
        <f>+IFERROR(VLOOKUP(E4340,BD!$L$2:$Q$244,6,0),0)</f>
        <v>198</v>
      </c>
      <c r="I4340" s="62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7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7">
        <v>256666</v>
      </c>
      <c r="F4341" s="31" t="str">
        <f>IFERROR(VLOOKUP(E4341,BD!$L$2:$Q$244,2,0),0)</f>
        <v>COCA-COLA PET 2.25LX2 RF</v>
      </c>
      <c r="G4341" s="424">
        <v>648</v>
      </c>
      <c r="H4341" s="31">
        <f>+IFERROR(VLOOKUP(E4341,BD!$L$2:$Q$244,6,0),0)</f>
        <v>162</v>
      </c>
      <c r="I4341" s="62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7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7">
        <v>256488</v>
      </c>
      <c r="F4342" s="31" t="str">
        <f>IFERROR(VLOOKUP(E4342,BD!$L$2:$Q$244,2,0),0)</f>
        <v>INCA KOLA PET 3LX2 - RF</v>
      </c>
      <c r="G4342" s="424">
        <v>3600</v>
      </c>
      <c r="H4342" s="31">
        <f>+IFERROR(VLOOKUP(E4342,BD!$L$2:$Q$244,6,0),0)</f>
        <v>120</v>
      </c>
      <c r="I4342" s="62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7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7">
        <v>256676</v>
      </c>
      <c r="F4343" s="31" t="str">
        <f>IFERROR(VLOOKUP(E4343,BD!$L$2:$Q$244,2,0),0)</f>
        <v>TWO PACK CC PFM 3LX2 - RFCC</v>
      </c>
      <c r="G4343" s="424">
        <v>2400</v>
      </c>
      <c r="H4343" s="31">
        <f>+IFERROR(VLOOKUP(E4343,BD!$L$2:$Q$244,6,0),0)</f>
        <v>120</v>
      </c>
      <c r="I4343" s="62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7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7">
        <v>256652</v>
      </c>
      <c r="F4344" s="31" t="str">
        <f>IFERROR(VLOOKUP(E4344,BD!$L$2:$Q$244,2,0),0)</f>
        <v>TRIPACK FT NAR+FT KI+SP PET 3L</v>
      </c>
      <c r="G4344" s="424">
        <v>900</v>
      </c>
      <c r="H4344" s="31">
        <f>+IFERROR(VLOOKUP(E4344,BD!$L$2:$Q$244,6,0),0)</f>
        <v>90</v>
      </c>
      <c r="I4344" s="62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7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7">
        <v>256677</v>
      </c>
      <c r="F4345" s="31" t="str">
        <f>IFERROR(VLOOKUP(E4345,BD!$L$2:$Q$244,2,0),0)</f>
        <v>TWO PACK CC + IK PFM 3LX2 - RFNN</v>
      </c>
      <c r="G4345" s="424">
        <v>6000</v>
      </c>
      <c r="H4345" s="31">
        <f>+IFERROR(VLOOKUP(E4345,BD!$L$2:$Q$244,6,0),0)</f>
        <v>120</v>
      </c>
      <c r="I4345" s="62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7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7">
        <v>256679</v>
      </c>
      <c r="F4346" s="31" t="str">
        <f>IFERROR(VLOOKUP(E4346,BD!$L$2:$Q$244,2,0),0)</f>
        <v>TRIPACK CC+IK+IK PFM 3LX3 - RFNN</v>
      </c>
      <c r="G4346" s="424">
        <v>900</v>
      </c>
      <c r="H4346" s="31">
        <f>+IFERROR(VLOOKUP(E4346,BD!$L$2:$Q$244,6,0),0)</f>
        <v>90</v>
      </c>
      <c r="I4346" s="62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7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7">
        <v>256682</v>
      </c>
      <c r="F4347" s="31" t="str">
        <f>IFERROR(VLOOKUP(E4347,BD!$L$2:$Q$244,2,0),0)</f>
        <v>TRIPACK (FT NAR+SP)PET+IK RF PFM 3L</v>
      </c>
      <c r="G4347" s="424">
        <v>720</v>
      </c>
      <c r="H4347" s="31">
        <f>+IFERROR(VLOOKUP(E4347,BD!$L$2:$Q$244,6,0),0)</f>
        <v>90</v>
      </c>
      <c r="I4347" s="62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7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7">
        <v>256695</v>
      </c>
      <c r="F4348" s="31" t="str">
        <f>IFERROR(VLOOKUP(E4348,BD!$L$2:$Q$244,2,0),0)</f>
        <v>POWERADE 3MORA+3FRUT PET 473MLX6</v>
      </c>
      <c r="G4348" s="424">
        <v>900</v>
      </c>
      <c r="H4348" s="31">
        <f>+IFERROR(VLOOKUP(E4348,BD!$L$2:$Q$244,6,0),0)</f>
        <v>225</v>
      </c>
      <c r="I4348" s="62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7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7">
        <v>256382</v>
      </c>
      <c r="F4349" s="31" t="str">
        <f>IFERROR(VLOOKUP(E4349,BD!$L$2:$Q$244,2,0),0)</f>
        <v>COCA COLA VR 296MLX24 - STICKER</v>
      </c>
      <c r="G4349" s="424">
        <v>40</v>
      </c>
      <c r="H4349" s="31">
        <f>+IFERROR(VLOOKUP(E4349,BD!$L$2:$Q$244,6,0),0)</f>
        <v>40</v>
      </c>
      <c r="I4349" s="62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7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7">
        <v>256685</v>
      </c>
      <c r="F4350" s="31" t="str">
        <f>IFERROR(VLOOKUP(E4350,BD!$L$2:$Q$244,2,0),0)</f>
        <v>SL S/G TAPA PLANA 1LT</v>
      </c>
      <c r="G4350" s="424">
        <v>336</v>
      </c>
      <c r="H4350" s="31">
        <f>+IFERROR(VLOOKUP(E4350,BD!$L$2:$Q$244,6,0),0)</f>
        <v>112</v>
      </c>
      <c r="I4350" s="62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7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7">
        <v>751315</v>
      </c>
      <c r="F4351" s="31" t="str">
        <f>IFERROR(VLOOKUP(E4351,BD!$L$2:$Q$244,2,0),0)</f>
        <v>MONSTER ENERGY 473MLX4</v>
      </c>
      <c r="G4351" s="424">
        <v>2100</v>
      </c>
      <c r="H4351" s="31">
        <f>+IFERROR(VLOOKUP(E4351,BD!$L$2:$Q$244,6,0),0)</f>
        <v>420</v>
      </c>
      <c r="I4351" s="62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7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7">
        <v>251406</v>
      </c>
      <c r="F4352" s="31" t="str">
        <f>IFERROR(VLOOKUP(E4352,BD!$L$2:$Q$244,2,0),0)</f>
        <v>COCA-COLA SIN AZUCAR PET 1.5LX2</v>
      </c>
      <c r="G4352" s="424">
        <v>3240</v>
      </c>
      <c r="H4352" s="31">
        <f>+IFERROR(VLOOKUP(E4352,BD!$L$2:$Q$244,6,0),0)</f>
        <v>198</v>
      </c>
      <c r="I4352" s="62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7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7">
        <v>254853</v>
      </c>
      <c r="F4353" s="31" t="str">
        <f>IFERROR(VLOOKUP(E4353,BD!$L$2:$Q$244,2,0),0)</f>
        <v>INCA KOLA SIN AZUCAR PET 1.5LX2</v>
      </c>
      <c r="G4353" s="424">
        <v>1512</v>
      </c>
      <c r="H4353" s="31">
        <f>+IFERROR(VLOOKUP(E4353,BD!$L$2:$Q$244,6,0),0)</f>
        <v>198</v>
      </c>
      <c r="I4353" s="62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7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7">
        <v>256677</v>
      </c>
      <c r="F4354" s="31" t="str">
        <f>IFERROR(VLOOKUP(E4354,BD!$L$2:$Q$244,2,0),0)</f>
        <v>TWO PACK CC + IK PFM 3LX2 - RFNN</v>
      </c>
      <c r="G4354" s="424">
        <v>7200</v>
      </c>
      <c r="H4354" s="31">
        <f>+IFERROR(VLOOKUP(E4354,BD!$L$2:$Q$244,6,0),0)</f>
        <v>120</v>
      </c>
      <c r="I4354" s="62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7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7">
        <v>256679</v>
      </c>
      <c r="F4355" s="31" t="str">
        <f>IFERROR(VLOOKUP(E4355,BD!$L$2:$Q$244,2,0),0)</f>
        <v>TRIPACK CC+IK+IK PFM 3LX3 - RFNN</v>
      </c>
      <c r="G4355" s="424">
        <v>720</v>
      </c>
      <c r="H4355" s="31">
        <f>+IFERROR(VLOOKUP(E4355,BD!$L$2:$Q$244,6,0),0)</f>
        <v>90</v>
      </c>
      <c r="I4355" s="62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7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7">
        <v>256678</v>
      </c>
      <c r="F4356" s="31" t="str">
        <f>IFERROR(VLOOKUP(E4356,BD!$L$2:$Q$244,2,0),0)</f>
        <v>TRIPACK (CC+IK)PFM+FT PET 3LX3 - RFNN</v>
      </c>
      <c r="G4356" s="424">
        <v>2880</v>
      </c>
      <c r="H4356" s="31">
        <f>+IFERROR(VLOOKUP(E4356,BD!$L$2:$Q$244,6,0),0)</f>
        <v>90</v>
      </c>
      <c r="I4356" s="62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7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7">
        <v>256695</v>
      </c>
      <c r="F4357" s="31" t="str">
        <f>IFERROR(VLOOKUP(E4357,BD!$L$2:$Q$244,2,0),0)</f>
        <v>POWERADE 3MORA+3FRUT PET 473MLX6</v>
      </c>
      <c r="G4357" s="424">
        <v>1350</v>
      </c>
      <c r="H4357" s="31">
        <f>+IFERROR(VLOOKUP(E4357,BD!$L$2:$Q$244,6,0),0)</f>
        <v>225</v>
      </c>
      <c r="I4357" s="62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7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7">
        <v>256767</v>
      </c>
      <c r="F4358" s="31" t="str">
        <f>IFERROR(VLOOKUP(E4358,BD!$L$2:$Q$244,2,0),0)</f>
        <v>FRUGOS VAL-FRESH 4NAR+4FP+4MZ PET 500X12 PUC</v>
      </c>
      <c r="G4358" s="424">
        <v>750</v>
      </c>
      <c r="H4358" s="31">
        <f>+IFERROR(VLOOKUP(E4358,BD!$L$2:$Q$244,6,0),0)</f>
        <v>125</v>
      </c>
      <c r="I4358" s="62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7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7">
        <v>256381</v>
      </c>
      <c r="F4359" s="31" t="str">
        <f>IFERROR(VLOOKUP(E4359,BD!$L$2:$Q$244,2,0),0)</f>
        <v>INCA KOLA VR 1.5LX8 - STICKER</v>
      </c>
      <c r="G4359" s="424">
        <v>150</v>
      </c>
      <c r="H4359" s="31">
        <f>+IFERROR(VLOOKUP(E4359,BD!$L$2:$Q$244,6,0),0)</f>
        <v>30</v>
      </c>
      <c r="I4359" s="62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7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7">
        <v>254762</v>
      </c>
      <c r="F4360" s="31" t="str">
        <f>IFERROR(VLOOKUP(E4360,BD!$L$2:$Q$244,2,0),0)</f>
        <v xml:space="preserve">SAN LUIS SPORT S/G 10 Lt x6 </v>
      </c>
      <c r="G4360" s="424">
        <v>112</v>
      </c>
      <c r="H4360" s="31">
        <f>+IFERROR(VLOOKUP(E4360,BD!$L$2:$Q$244,6,0),0)</f>
        <v>240</v>
      </c>
      <c r="I4360" s="62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7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7">
        <v>256685</v>
      </c>
      <c r="F4361" s="31" t="str">
        <f>IFERROR(VLOOKUP(E4361,BD!$L$2:$Q$244,2,0),0)</f>
        <v>SL S/G TAPA PLANA 1LT</v>
      </c>
      <c r="G4361" s="424">
        <v>448</v>
      </c>
      <c r="H4361" s="31">
        <f>+IFERROR(VLOOKUP(E4361,BD!$L$2:$Q$244,6,0),0)</f>
        <v>112</v>
      </c>
      <c r="I4361" s="62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7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7">
        <v>251429</v>
      </c>
      <c r="F4362" s="31" t="str">
        <f>IFERROR(VLOOKUP(E4362,BD!$L$2:$Q$244,2,0),0)</f>
        <v>SAN LUIS SIN GAS PET2500X6 STICKER</v>
      </c>
      <c r="G4362" s="424">
        <v>1920</v>
      </c>
      <c r="H4362" s="31">
        <f>+IFERROR(VLOOKUP(E4362,BD!$L$2:$Q$244,6,0),0)</f>
        <v>48</v>
      </c>
      <c r="I4362" s="62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7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7">
        <v>256616</v>
      </c>
      <c r="F4363" s="31" t="str">
        <f>IFERROR(VLOOKUP(E4363,BD!$L$2:$Q$244,2,0),0)</f>
        <v>TWO PACK SCHWEPPES CITRUS PET 1.5LX2</v>
      </c>
      <c r="G4363" s="424">
        <v>1584</v>
      </c>
      <c r="H4363" s="31">
        <f>+IFERROR(VLOOKUP(E4363,BD!$L$2:$Q$244,6,0),0)</f>
        <v>198</v>
      </c>
      <c r="I4363" s="62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7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7">
        <v>256488</v>
      </c>
      <c r="F4364" s="31" t="str">
        <f>IFERROR(VLOOKUP(E4364,BD!$L$2:$Q$244,2,0),0)</f>
        <v>INCA KOLA PET 3LX2 - RF</v>
      </c>
      <c r="G4364" s="424">
        <v>6000</v>
      </c>
      <c r="H4364" s="31">
        <f>+IFERROR(VLOOKUP(E4364,BD!$L$2:$Q$244,6,0),0)</f>
        <v>120</v>
      </c>
      <c r="I4364" s="62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7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7">
        <v>256676</v>
      </c>
      <c r="F4365" s="31" t="str">
        <f>IFERROR(VLOOKUP(E4365,BD!$L$2:$Q$244,2,0),0)</f>
        <v>TWO PACK CC PFM 3LX2 - RFCC</v>
      </c>
      <c r="G4365" s="424">
        <v>2400</v>
      </c>
      <c r="H4365" s="31">
        <f>+IFERROR(VLOOKUP(E4365,BD!$L$2:$Q$244,6,0),0)</f>
        <v>120</v>
      </c>
      <c r="I4365" s="62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7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7">
        <v>256677</v>
      </c>
      <c r="F4366" s="31" t="str">
        <f>IFERROR(VLOOKUP(E4366,BD!$L$2:$Q$244,2,0),0)</f>
        <v>TWO PACK CC + IK PFM 3LX2 - RFNN</v>
      </c>
      <c r="G4366" s="424">
        <v>3600</v>
      </c>
      <c r="H4366" s="31">
        <f>+IFERROR(VLOOKUP(E4366,BD!$L$2:$Q$244,6,0),0)</f>
        <v>120</v>
      </c>
      <c r="I4366" s="62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7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7">
        <v>256679</v>
      </c>
      <c r="F4367" s="31" t="str">
        <f>IFERROR(VLOOKUP(E4367,BD!$L$2:$Q$244,2,0),0)</f>
        <v>TRIPACK CC+IK+IK PFM 3LX3 - RFNN</v>
      </c>
      <c r="G4367" s="424">
        <v>720</v>
      </c>
      <c r="H4367" s="31">
        <f>+IFERROR(VLOOKUP(E4367,BD!$L$2:$Q$244,6,0),0)</f>
        <v>90</v>
      </c>
      <c r="I4367" s="62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7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7">
        <v>256708</v>
      </c>
      <c r="F4368" s="31" t="str">
        <f>IFERROR(VLOOKUP(E4368,BD!$L$2:$Q$244,2,0),0)</f>
        <v>POWERADE ION4 FRUTA PET473X6 MOD (STICK)</v>
      </c>
      <c r="G4368" s="424">
        <v>675</v>
      </c>
      <c r="H4368" s="31">
        <f>+IFERROR(VLOOKUP(E4368,BD!$L$2:$Q$244,6,0),0)</f>
        <v>225</v>
      </c>
      <c r="I4368" s="62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7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7">
        <v>256709</v>
      </c>
      <c r="F4369" s="31" t="str">
        <f>IFERROR(VLOOKUP(E4369,BD!$L$2:$Q$244,2,0),0)</f>
        <v>POWERADE ION4 MORA AZ PET473X6 MOD(STCK)</v>
      </c>
      <c r="G4369" s="424">
        <v>225</v>
      </c>
      <c r="H4369" s="31">
        <f>+IFERROR(VLOOKUP(E4369,BD!$L$2:$Q$244,6,0),0)</f>
        <v>225</v>
      </c>
      <c r="I4369" s="62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7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7">
        <v>251151</v>
      </c>
      <c r="F4370" s="31" t="str">
        <f>IFERROR(VLOOKUP(E4370,BD!$L$2:$Q$244,2,0),0)</f>
        <v>COCA COLA PET 500MLX6</v>
      </c>
      <c r="G4370" s="424">
        <v>3000</v>
      </c>
      <c r="H4370" s="31">
        <f>+IFERROR(VLOOKUP(E4370,BD!$L$2:$Q$244,6,0),0)</f>
        <v>250</v>
      </c>
      <c r="I4370" s="62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7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7">
        <v>256720</v>
      </c>
      <c r="F4371" s="31" t="str">
        <f>IFERROR(VLOOKUP(E4371,BD!$L$2:$Q$244,2,0),0)</f>
        <v>FANTA NARANJA PET 500MLX6 BRANDEADO MOD</v>
      </c>
      <c r="G4371" s="424">
        <v>500</v>
      </c>
      <c r="H4371" s="31">
        <f>+IFERROR(VLOOKUP(E4371,BD!$L$2:$Q$244,6,0),0)</f>
        <v>420</v>
      </c>
      <c r="I4371" s="62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7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7">
        <v>256721</v>
      </c>
      <c r="F4372" s="31" t="str">
        <f>IFERROR(VLOOKUP(E4372,BD!$L$2:$Q$244,2,0),0)</f>
        <v>SPRITE PET 500MLX6 BRANDEADO MOD</v>
      </c>
      <c r="G4372" s="424">
        <v>500</v>
      </c>
      <c r="H4372" s="31">
        <f>+IFERROR(VLOOKUP(E4372,BD!$L$2:$Q$244,6,0),0)</f>
        <v>420</v>
      </c>
      <c r="I4372" s="62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7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7">
        <v>255430</v>
      </c>
      <c r="F4373" s="31" t="str">
        <f>IFERROR(VLOOKUP(E4373,BD!$L$2:$Q$244,2,0),0)</f>
        <v>INCA KOLA SA PET 500MLX6 - C/STICKER</v>
      </c>
      <c r="G4373" s="424">
        <v>750</v>
      </c>
      <c r="H4373" s="31">
        <f>+IFERROR(VLOOKUP(E4373,BD!$L$2:$Q$244,6,0),0)</f>
        <v>250</v>
      </c>
      <c r="I4373" s="62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7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7">
        <v>256677</v>
      </c>
      <c r="F4374" s="31" t="str">
        <f>IFERROR(VLOOKUP(E4374,BD!$L$2:$Q$244,2,0),0)</f>
        <v>TWO PACK CC + IK PFM 3LX2 - RFNN</v>
      </c>
      <c r="G4374" s="424">
        <v>3360</v>
      </c>
      <c r="H4374" s="31">
        <f>+IFERROR(VLOOKUP(E4374,BD!$L$2:$Q$244,6,0),0)</f>
        <v>120</v>
      </c>
      <c r="I4374" s="62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7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7">
        <v>256680</v>
      </c>
      <c r="F4375" s="31" t="str">
        <f>IFERROR(VLOOKUP(E4375,BD!$L$2:$Q$244,2,0),0)</f>
        <v>TRIPACK CC+CC+IK PFM 3LX3 - RFNN</v>
      </c>
      <c r="G4375" s="424">
        <v>450</v>
      </c>
      <c r="H4375" s="31">
        <f>+IFERROR(VLOOKUP(E4375,BD!$L$2:$Q$244,6,0),0)</f>
        <v>90</v>
      </c>
      <c r="I4375" s="62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7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7">
        <v>256679</v>
      </c>
      <c r="F4376" s="31" t="str">
        <f>IFERROR(VLOOKUP(E4376,BD!$L$2:$Q$244,2,0),0)</f>
        <v>TRIPACK CC+IK+IK PFM 3LX3 - RFNN</v>
      </c>
      <c r="G4376" s="425">
        <v>900</v>
      </c>
      <c r="H4376" s="31">
        <f>+IFERROR(VLOOKUP(E4376,BD!$L$2:$Q$244,6,0),0)</f>
        <v>90</v>
      </c>
      <c r="I4376" s="62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7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7">
        <v>256678</v>
      </c>
      <c r="F4377" s="31" t="str">
        <f>IFERROR(VLOOKUP(E4377,BD!$L$2:$Q$244,2,0),0)</f>
        <v>TRIPACK (CC+IK)PFM+FT PET 3LX3 - RFNN</v>
      </c>
      <c r="G4377" s="424">
        <v>2880</v>
      </c>
      <c r="H4377" s="31">
        <f>+IFERROR(VLOOKUP(E4377,BD!$L$2:$Q$244,6,0),0)</f>
        <v>90</v>
      </c>
      <c r="I4377" s="62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7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7">
        <v>256682</v>
      </c>
      <c r="F4378" s="31" t="str">
        <f>IFERROR(VLOOKUP(E4378,BD!$L$2:$Q$244,2,0),0)</f>
        <v>TRIPACK (FT NAR+SP)PET+IK RF PFM 3L</v>
      </c>
      <c r="G4378" s="424">
        <v>450</v>
      </c>
      <c r="H4378" s="31">
        <f>+IFERROR(VLOOKUP(E4378,BD!$L$2:$Q$244,6,0),0)</f>
        <v>90</v>
      </c>
      <c r="I4378" s="62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7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7">
        <v>256695</v>
      </c>
      <c r="F4379" s="31" t="str">
        <f>IFERROR(VLOOKUP(E4379,BD!$L$2:$Q$244,2,0),0)</f>
        <v>POWERADE 3MORA+3FRUT PET 473MLX6</v>
      </c>
      <c r="G4379" s="424">
        <v>2250</v>
      </c>
      <c r="H4379" s="31">
        <f>+IFERROR(VLOOKUP(E4379,BD!$L$2:$Q$244,6,0),0)</f>
        <v>225</v>
      </c>
      <c r="I4379" s="62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7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7">
        <v>256720</v>
      </c>
      <c r="F4380" s="31" t="str">
        <f>IFERROR(VLOOKUP(E4380,BD!$L$2:$Q$244,2,0),0)</f>
        <v>FANTA NARANJA PET 500MLX6 BRANDEADO MOD</v>
      </c>
      <c r="G4380" s="424">
        <v>250</v>
      </c>
      <c r="H4380" s="31">
        <f>+IFERROR(VLOOKUP(E4380,BD!$L$2:$Q$244,6,0),0)</f>
        <v>420</v>
      </c>
      <c r="I4380" s="62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7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7">
        <v>256721</v>
      </c>
      <c r="F4381" s="31" t="str">
        <f>IFERROR(VLOOKUP(E4381,BD!$L$2:$Q$244,2,0),0)</f>
        <v>SPRITE PET 500MLX6 BRANDEADO MOD</v>
      </c>
      <c r="G4381" s="424">
        <v>500</v>
      </c>
      <c r="H4381" s="31">
        <f>+IFERROR(VLOOKUP(E4381,BD!$L$2:$Q$244,6,0),0)</f>
        <v>420</v>
      </c>
      <c r="I4381" s="62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7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7">
        <v>256767</v>
      </c>
      <c r="F4382" s="31" t="str">
        <f>IFERROR(VLOOKUP(E4382,BD!$L$2:$Q$244,2,0),0)</f>
        <v>FRUGOS VAL-FRESH 4NAR+4FP+4MZ PET 500X12 PUC</v>
      </c>
      <c r="G4382" s="424">
        <v>750</v>
      </c>
      <c r="H4382" s="31">
        <f>+IFERROR(VLOOKUP(E4382,BD!$L$2:$Q$244,6,0),0)</f>
        <v>125</v>
      </c>
      <c r="I4382" s="62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7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7">
        <v>256383</v>
      </c>
      <c r="F4383" s="31" t="str">
        <f>IFERROR(VLOOKUP(E4383,BD!$L$2:$Q$244,2,0),0)</f>
        <v>COCA COLA VR 1.5LX8 - STICKER</v>
      </c>
      <c r="G4383" s="424">
        <v>270</v>
      </c>
      <c r="H4383" s="31">
        <f>+IFERROR(VLOOKUP(E4383,BD!$L$2:$Q$244,6,0),0)</f>
        <v>30</v>
      </c>
      <c r="I4383" s="62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7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7">
        <v>256382</v>
      </c>
      <c r="F4384" s="31" t="str">
        <f>IFERROR(VLOOKUP(E4384,BD!$L$2:$Q$244,2,0),0)</f>
        <v>COCA COLA VR 296MLX24 - STICKER</v>
      </c>
      <c r="G4384" s="424">
        <v>120</v>
      </c>
      <c r="H4384" s="31">
        <f>+IFERROR(VLOOKUP(E4384,BD!$L$2:$Q$244,6,0),0)</f>
        <v>40</v>
      </c>
      <c r="I4384" s="62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7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7">
        <v>256381</v>
      </c>
      <c r="F4385" s="31" t="str">
        <f>IFERROR(VLOOKUP(E4385,BD!$L$2:$Q$244,2,0),0)</f>
        <v>INCA KOLA VR 1.5LX8 - STICKER</v>
      </c>
      <c r="G4385" s="424">
        <v>300</v>
      </c>
      <c r="H4385" s="31">
        <f>+IFERROR(VLOOKUP(E4385,BD!$L$2:$Q$244,6,0),0)</f>
        <v>30</v>
      </c>
      <c r="I4385" s="62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7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7">
        <v>256379</v>
      </c>
      <c r="F4386" s="31" t="str">
        <f>IFERROR(VLOOKUP(E4386,BD!$L$2:$Q$244,2,0),0)</f>
        <v>INCA KOLA VR 625MLX12 - STICKER</v>
      </c>
      <c r="G4386" s="424">
        <v>400</v>
      </c>
      <c r="H4386" s="31">
        <f>+IFERROR(VLOOKUP(E4386,BD!$L$2:$Q$244,6,0),0)</f>
        <v>50</v>
      </c>
      <c r="I4386" s="62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7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7">
        <v>251429</v>
      </c>
      <c r="F4387" s="31" t="str">
        <f>IFERROR(VLOOKUP(E4387,BD!$L$2:$Q$244,2,0),0)</f>
        <v>SAN LUIS SIN GAS PET2500X6 STICKER</v>
      </c>
      <c r="G4387" s="424">
        <v>1920</v>
      </c>
      <c r="H4387" s="31">
        <f>+IFERROR(VLOOKUP(E4387,BD!$L$2:$Q$244,6,0),0)</f>
        <v>48</v>
      </c>
      <c r="I4387" s="62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7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7">
        <v>751315</v>
      </c>
      <c r="F4388" s="31" t="str">
        <f>IFERROR(VLOOKUP(E4388,BD!$L$2:$Q$244,2,0),0)</f>
        <v>MONSTER ENERGY 473MLX4</v>
      </c>
      <c r="G4388" s="424">
        <v>2520</v>
      </c>
      <c r="H4388" s="31">
        <f>+IFERROR(VLOOKUP(E4388,BD!$L$2:$Q$244,6,0),0)</f>
        <v>420</v>
      </c>
      <c r="I4388" s="62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7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7">
        <v>251633</v>
      </c>
      <c r="F4389" s="31" t="str">
        <f>IFERROR(VLOOKUP(E4389,BD!$L$2:$Q$244,2,0),0)</f>
        <v>SAN LUIS CON GAS PET 625MLX6</v>
      </c>
      <c r="G4389" s="424">
        <v>1080</v>
      </c>
      <c r="H4389" s="31">
        <f>+IFERROR(VLOOKUP(E4389,BD!$L$2:$Q$244,6,0),0)</f>
        <v>180</v>
      </c>
      <c r="I4389" s="62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7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7">
        <v>251406</v>
      </c>
      <c r="F4390" s="31" t="str">
        <f>IFERROR(VLOOKUP(E4390,BD!$L$2:$Q$244,2,0),0)</f>
        <v>COCA-COLA SIN AZUCAR PET 1.5LX2</v>
      </c>
      <c r="G4390" s="424">
        <v>4320</v>
      </c>
      <c r="H4390" s="31">
        <f>+IFERROR(VLOOKUP(E4390,BD!$L$2:$Q$244,6,0),0)</f>
        <v>198</v>
      </c>
      <c r="I4390" s="62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7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7">
        <v>256548</v>
      </c>
      <c r="F4391" s="31" t="str">
        <f>IFERROR(VLOOKUP(E4391,BD!$L$2:$Q$244,2,0),0)</f>
        <v>TWO PACK CC PET 1.5LX2 - CRC</v>
      </c>
      <c r="G4391" s="424">
        <v>216</v>
      </c>
      <c r="H4391" s="31">
        <f>+IFERROR(VLOOKUP(E4391,BD!$L$2:$Q$244,6,0),0)</f>
        <v>198</v>
      </c>
      <c r="I4391" s="62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7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7">
        <v>256549</v>
      </c>
      <c r="F4392" s="31" t="str">
        <f>IFERROR(VLOOKUP(E4392,BD!$L$2:$Q$244,2,0),0)</f>
        <v>TWO PACK IK PET 1.5LX2 - CRCG</v>
      </c>
      <c r="G4392" s="424">
        <v>216</v>
      </c>
      <c r="H4392" s="31">
        <f>+IFERROR(VLOOKUP(E4392,BD!$L$2:$Q$244,6,0),0)</f>
        <v>198</v>
      </c>
      <c r="I4392" s="62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7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7">
        <v>256617</v>
      </c>
      <c r="F4393" s="31" t="str">
        <f>IFERROR(VLOOKUP(E4393,BD!$L$2:$Q$244,2,0),0)</f>
        <v>TWO PACK SCHWEPPES GINGER ALE PET 1.5LX2</v>
      </c>
      <c r="G4393" s="424">
        <v>990</v>
      </c>
      <c r="H4393" s="31">
        <f>+IFERROR(VLOOKUP(E4393,BD!$L$2:$Q$244,6,0),0)</f>
        <v>198</v>
      </c>
      <c r="I4393" s="62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7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7">
        <v>256666</v>
      </c>
      <c r="F4394" s="31" t="str">
        <f>IFERROR(VLOOKUP(E4394,BD!$L$2:$Q$244,2,0),0)</f>
        <v>COCA-COLA PET 2.25LX2 RF</v>
      </c>
      <c r="G4394" s="424">
        <v>810</v>
      </c>
      <c r="H4394" s="31">
        <f>+IFERROR(VLOOKUP(E4394,BD!$L$2:$Q$244,6,0),0)</f>
        <v>162</v>
      </c>
      <c r="I4394" s="62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7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7">
        <v>256601</v>
      </c>
      <c r="F4395" s="31" t="str">
        <f>IFERROR(VLOOKUP(E4395,BD!$L$2:$Q$244,2,0),0)</f>
        <v>INCA KOLA PET 2.25LX2 RF</v>
      </c>
      <c r="G4395" s="424">
        <v>486</v>
      </c>
      <c r="H4395" s="31">
        <f>+IFERROR(VLOOKUP(E4395,BD!$L$2:$Q$244,6,0),0)</f>
        <v>162</v>
      </c>
      <c r="I4395" s="62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7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7">
        <v>256488</v>
      </c>
      <c r="F4396" s="31" t="str">
        <f>IFERROR(VLOOKUP(E4396,BD!$L$2:$Q$244,2,0),0)</f>
        <v>INCA KOLA PET 3LX2 - RF</v>
      </c>
      <c r="G4396" s="424">
        <v>2400</v>
      </c>
      <c r="H4396" s="31">
        <f>+IFERROR(VLOOKUP(E4396,BD!$L$2:$Q$244,6,0),0)</f>
        <v>120</v>
      </c>
      <c r="I4396" s="62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7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7">
        <v>256674</v>
      </c>
      <c r="F4397" s="31" t="str">
        <f>IFERROR(VLOOKUP(E4397,BD!$L$2:$Q$244,2,0),0)</f>
        <v>COCA-COLA PET 1.5LX2 RF</v>
      </c>
      <c r="G4397" s="424">
        <v>2160</v>
      </c>
      <c r="H4397" s="31">
        <f>+IFERROR(VLOOKUP(E4397,BD!$L$2:$Q$244,6,0),0)</f>
        <v>198</v>
      </c>
      <c r="I4397" s="62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7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7">
        <v>256383</v>
      </c>
      <c r="F4398" s="31" t="str">
        <f>IFERROR(VLOOKUP(E4398,BD!$L$2:$Q$244,2,0),0)</f>
        <v>COCA COLA VR 1.5LX8 - STICKER</v>
      </c>
      <c r="G4398" s="424">
        <v>120</v>
      </c>
      <c r="H4398" s="31">
        <f>+IFERROR(VLOOKUP(E4398,BD!$L$2:$Q$244,6,0),0)</f>
        <v>30</v>
      </c>
      <c r="I4398" s="62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7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7">
        <v>256381</v>
      </c>
      <c r="F4399" s="31" t="str">
        <f>IFERROR(VLOOKUP(E4399,BD!$L$2:$Q$244,2,0),0)</f>
        <v>INCA KOLA VR 1.5LX8 - STICKER</v>
      </c>
      <c r="G4399" s="424">
        <v>150</v>
      </c>
      <c r="H4399" s="31">
        <f>+IFERROR(VLOOKUP(E4399,BD!$L$2:$Q$244,6,0),0)</f>
        <v>30</v>
      </c>
      <c r="I4399" s="62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7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7">
        <v>256379</v>
      </c>
      <c r="F4400" s="31" t="str">
        <f>IFERROR(VLOOKUP(E4400,BD!$L$2:$Q$244,2,0),0)</f>
        <v>INCA KOLA VR 625MLX12 - STICKER</v>
      </c>
      <c r="G4400" s="424">
        <v>200</v>
      </c>
      <c r="H4400" s="31">
        <f>+IFERROR(VLOOKUP(E4400,BD!$L$2:$Q$244,6,0),0)</f>
        <v>50</v>
      </c>
      <c r="I4400" s="62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7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7">
        <v>256685</v>
      </c>
      <c r="F4401" s="31" t="str">
        <f>IFERROR(VLOOKUP(E4401,BD!$L$2:$Q$244,2,0),0)</f>
        <v>SL S/G TAPA PLANA 1LT</v>
      </c>
      <c r="G4401" s="424">
        <v>672</v>
      </c>
      <c r="H4401" s="31">
        <f>+IFERROR(VLOOKUP(E4401,BD!$L$2:$Q$244,6,0),0)</f>
        <v>112</v>
      </c>
      <c r="I4401" s="62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7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7">
        <v>251429</v>
      </c>
      <c r="F4402" s="31" t="str">
        <f>IFERROR(VLOOKUP(E4402,BD!$L$2:$Q$244,2,0),0)</f>
        <v>SAN LUIS SIN GAS PET2500X6 STICKER</v>
      </c>
      <c r="G4402" s="424">
        <v>2400</v>
      </c>
      <c r="H4402" s="31">
        <f>+IFERROR(VLOOKUP(E4402,BD!$L$2:$Q$244,6,0),0)</f>
        <v>48</v>
      </c>
      <c r="I4402" s="62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7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7">
        <v>751315</v>
      </c>
      <c r="F4403" s="31" t="str">
        <f>IFERROR(VLOOKUP(E4403,BD!$L$2:$Q$244,2,0),0)</f>
        <v>MONSTER ENERGY 473MLX4</v>
      </c>
      <c r="G4403" s="424">
        <v>2520</v>
      </c>
      <c r="H4403" s="31">
        <f>+IFERROR(VLOOKUP(E4403,BD!$L$2:$Q$244,6,0),0)</f>
        <v>420</v>
      </c>
      <c r="I4403" s="62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7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7">
        <v>251406</v>
      </c>
      <c r="F4404" s="31" t="str">
        <f>IFERROR(VLOOKUP(E4404,BD!$L$2:$Q$244,2,0),0)</f>
        <v>COCA-COLA SIN AZUCAR PET 1.5LX2</v>
      </c>
      <c r="G4404" s="424">
        <v>2160</v>
      </c>
      <c r="H4404" s="31">
        <f>+IFERROR(VLOOKUP(E4404,BD!$L$2:$Q$244,6,0),0)</f>
        <v>198</v>
      </c>
      <c r="I4404" s="62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7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7">
        <v>256601</v>
      </c>
      <c r="F4405" s="31" t="str">
        <f>IFERROR(VLOOKUP(E4405,BD!$L$2:$Q$244,2,0),0)</f>
        <v>INCA KOLA PET 2.25LX2 RF</v>
      </c>
      <c r="G4405" s="424">
        <v>648</v>
      </c>
      <c r="H4405" s="31">
        <f>+IFERROR(VLOOKUP(E4405,BD!$L$2:$Q$244,6,0),0)</f>
        <v>162</v>
      </c>
      <c r="I4405" s="62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7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7">
        <v>256488</v>
      </c>
      <c r="F4406" s="31" t="str">
        <f>IFERROR(VLOOKUP(E4406,BD!$L$2:$Q$244,2,0),0)</f>
        <v>INCA KOLA PET 3LX2 - RF</v>
      </c>
      <c r="G4406" s="424">
        <v>2400</v>
      </c>
      <c r="H4406" s="31">
        <f>+IFERROR(VLOOKUP(E4406,BD!$L$2:$Q$244,6,0),0)</f>
        <v>120</v>
      </c>
      <c r="I4406" s="62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7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7">
        <v>256676</v>
      </c>
      <c r="F4407" s="31" t="str">
        <f>IFERROR(VLOOKUP(E4407,BD!$L$2:$Q$244,2,0),0)</f>
        <v>TWO PACK CC PFM 3LX2 - RFCC</v>
      </c>
      <c r="G4407" s="424">
        <v>2400</v>
      </c>
      <c r="H4407" s="31">
        <f>+IFERROR(VLOOKUP(E4407,BD!$L$2:$Q$244,6,0),0)</f>
        <v>120</v>
      </c>
      <c r="I4407" s="62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7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7">
        <v>256674</v>
      </c>
      <c r="F4408" s="31" t="str">
        <f>IFERROR(VLOOKUP(E4408,BD!$L$2:$Q$244,2,0),0)</f>
        <v>COCA-COLA PET 1.5LX2 RF</v>
      </c>
      <c r="G4408" s="424">
        <v>2160</v>
      </c>
      <c r="H4408" s="31">
        <f>+IFERROR(VLOOKUP(E4408,BD!$L$2:$Q$244,6,0),0)</f>
        <v>198</v>
      </c>
      <c r="I4408" s="62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7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7">
        <v>256675</v>
      </c>
      <c r="F4409" s="31" t="str">
        <f>IFERROR(VLOOKUP(E4409,BD!$L$2:$Q$244,2,0),0)</f>
        <v>INCA KOLA PET 1.5LX2 RF</v>
      </c>
      <c r="G4409" s="424">
        <v>1728</v>
      </c>
      <c r="H4409" s="31">
        <f>+IFERROR(VLOOKUP(E4409,BD!$L$2:$Q$244,6,0),0)</f>
        <v>198</v>
      </c>
      <c r="I4409" s="62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7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7">
        <v>256652</v>
      </c>
      <c r="F4410" s="31" t="str">
        <f>IFERROR(VLOOKUP(E4410,BD!$L$2:$Q$244,2,0),0)</f>
        <v>TRIPACK FT NAR+FT KI+SP PET 3L</v>
      </c>
      <c r="G4410" s="424">
        <v>900</v>
      </c>
      <c r="H4410" s="31">
        <f>+IFERROR(VLOOKUP(E4410,BD!$L$2:$Q$244,6,0),0)</f>
        <v>90</v>
      </c>
      <c r="I4410" s="62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7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7">
        <v>256677</v>
      </c>
      <c r="F4411" s="31" t="str">
        <f>IFERROR(VLOOKUP(E4411,BD!$L$2:$Q$244,2,0),0)</f>
        <v>TWO PACK CC + IK PFM 3LX2 - RFNN</v>
      </c>
      <c r="G4411" s="424">
        <v>2880</v>
      </c>
      <c r="H4411" s="31">
        <f>+IFERROR(VLOOKUP(E4411,BD!$L$2:$Q$244,6,0),0)</f>
        <v>120</v>
      </c>
      <c r="I4411" s="62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7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7">
        <v>256679</v>
      </c>
      <c r="F4412" s="31" t="str">
        <f>IFERROR(VLOOKUP(E4412,BD!$L$2:$Q$244,2,0),0)</f>
        <v>TRIPACK CC+IK+IK PFM 3LX3 - RFNN</v>
      </c>
      <c r="G4412" s="424">
        <v>450</v>
      </c>
      <c r="H4412" s="31">
        <f>+IFERROR(VLOOKUP(E4412,BD!$L$2:$Q$244,6,0),0)</f>
        <v>90</v>
      </c>
      <c r="I4412" s="62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7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7">
        <v>252436</v>
      </c>
      <c r="F4413" s="31" t="str">
        <f>IFERROR(VLOOKUP(E4413,BD!$L$2:$Q$244,2,0),0)</f>
        <v>SAN LUIS SIN GAS PET 625MLX15 C/STICKER</v>
      </c>
      <c r="G4413" s="424">
        <v>1350</v>
      </c>
      <c r="H4413" s="31">
        <f>+IFERROR(VLOOKUP(E4413,BD!$L$2:$Q$244,6,0),0)</f>
        <v>90</v>
      </c>
      <c r="I4413" s="62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7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7">
        <v>256678</v>
      </c>
      <c r="F4414" s="31" t="str">
        <f>IFERROR(VLOOKUP(E4414,BD!$L$2:$Q$244,2,0),0)</f>
        <v>TRIPACK (CC+IK)PFM+FT PET 3LX3 - RFNN</v>
      </c>
      <c r="G4414" s="424">
        <v>1890</v>
      </c>
      <c r="H4414" s="31">
        <f>+IFERROR(VLOOKUP(E4414,BD!$L$2:$Q$244,6,0),0)</f>
        <v>90</v>
      </c>
      <c r="I4414" s="62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7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7">
        <v>256695</v>
      </c>
      <c r="F4415" s="31" t="str">
        <f>IFERROR(VLOOKUP(E4415,BD!$L$2:$Q$244,2,0),0)</f>
        <v>POWERADE 3MORA+3FRUT PET 473MLX6</v>
      </c>
      <c r="G4415" s="424">
        <v>1350</v>
      </c>
      <c r="H4415" s="31">
        <f>+IFERROR(VLOOKUP(E4415,BD!$L$2:$Q$244,6,0),0)</f>
        <v>225</v>
      </c>
      <c r="I4415" s="62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7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7">
        <v>256708</v>
      </c>
      <c r="F4416" s="31" t="str">
        <f>IFERROR(VLOOKUP(E4416,BD!$L$2:$Q$244,2,0),0)</f>
        <v>POWERADE ION4 FRUTA PET473X6 MOD (STICK)</v>
      </c>
      <c r="G4416" s="424">
        <v>450</v>
      </c>
      <c r="H4416" s="31">
        <f>+IFERROR(VLOOKUP(E4416,BD!$L$2:$Q$244,6,0),0)</f>
        <v>225</v>
      </c>
      <c r="I4416" s="62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7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7">
        <v>256720</v>
      </c>
      <c r="F4417" s="31" t="str">
        <f>IFERROR(VLOOKUP(E4417,BD!$L$2:$Q$244,2,0),0)</f>
        <v>FANTA NARANJA PET 500MLX6 BRANDEADO MOD</v>
      </c>
      <c r="G4417" s="424">
        <v>250</v>
      </c>
      <c r="H4417" s="31">
        <f>+IFERROR(VLOOKUP(E4417,BD!$L$2:$Q$244,6,0),0)</f>
        <v>420</v>
      </c>
      <c r="I4417" s="62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7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7">
        <v>256721</v>
      </c>
      <c r="F4418" s="31" t="str">
        <f>IFERROR(VLOOKUP(E4418,BD!$L$2:$Q$244,2,0),0)</f>
        <v>SPRITE PET 500MLX6 BRANDEADO MOD</v>
      </c>
      <c r="G4418" s="424">
        <v>250</v>
      </c>
      <c r="H4418" s="31">
        <f>+IFERROR(VLOOKUP(E4418,BD!$L$2:$Q$244,6,0),0)</f>
        <v>420</v>
      </c>
      <c r="I4418" s="62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7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7">
        <v>751468</v>
      </c>
      <c r="F4419" s="31" t="str">
        <f>IFERROR(VLOOKUP(E4419,BD!$L$2:$Q$244,2,0),0)</f>
        <v>MONSTER ENERGY ULTRA 473MLX4</v>
      </c>
      <c r="G4419" s="424">
        <v>4200</v>
      </c>
      <c r="H4419" s="31">
        <f>+IFERROR(VLOOKUP(E4419,BD!$L$2:$Q$244,6,0),0)</f>
        <v>420</v>
      </c>
      <c r="I4419" s="62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7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7">
        <v>256383</v>
      </c>
      <c r="F4420" s="31" t="str">
        <f>IFERROR(VLOOKUP(E4420,BD!$L$2:$Q$244,2,0),0)</f>
        <v>COCA COLA VR 1.5LX8 - STICKER</v>
      </c>
      <c r="G4420" s="424">
        <v>270</v>
      </c>
      <c r="H4420" s="31">
        <f>+IFERROR(VLOOKUP(E4420,BD!$L$2:$Q$244,6,0),0)</f>
        <v>30</v>
      </c>
      <c r="I4420" s="62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7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7">
        <v>256382</v>
      </c>
      <c r="F4421" s="31" t="str">
        <f>IFERROR(VLOOKUP(E4421,BD!$L$2:$Q$244,2,0),0)</f>
        <v>COCA COLA VR 296MLX24 - STICKER</v>
      </c>
      <c r="G4421" s="424">
        <v>40</v>
      </c>
      <c r="H4421" s="31">
        <f>+IFERROR(VLOOKUP(E4421,BD!$L$2:$Q$244,6,0),0)</f>
        <v>40</v>
      </c>
      <c r="I4421" s="62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7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7">
        <v>252436</v>
      </c>
      <c r="F4422" s="31" t="str">
        <f>IFERROR(VLOOKUP(E4422,BD!$L$2:$Q$244,2,0),0)</f>
        <v>SAN LUIS SIN GAS PET 625MLX15 C/STICKER</v>
      </c>
      <c r="G4422" s="424">
        <v>1350</v>
      </c>
      <c r="H4422" s="31">
        <f>+IFERROR(VLOOKUP(E4422,BD!$L$2:$Q$244,6,0),0)</f>
        <v>90</v>
      </c>
      <c r="I4422" s="62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7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7">
        <v>254762</v>
      </c>
      <c r="F4423" s="31" t="str">
        <f>IFERROR(VLOOKUP(E4423,BD!$L$2:$Q$244,2,0),0)</f>
        <v xml:space="preserve">SAN LUIS SPORT S/G 10 Lt x6 </v>
      </c>
      <c r="G4423" s="424">
        <v>336</v>
      </c>
      <c r="H4423" s="31">
        <f>+IFERROR(VLOOKUP(E4423,BD!$L$2:$Q$244,6,0),0)</f>
        <v>240</v>
      </c>
      <c r="I4423" s="62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7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7">
        <v>251429</v>
      </c>
      <c r="F4424" s="31" t="str">
        <f>IFERROR(VLOOKUP(E4424,BD!$L$2:$Q$244,2,0),0)</f>
        <v>SAN LUIS SIN GAS PET2500X6 STICKER</v>
      </c>
      <c r="G4424" s="424">
        <v>2400</v>
      </c>
      <c r="H4424" s="31">
        <f>+IFERROR(VLOOKUP(E4424,BD!$L$2:$Q$244,6,0),0)</f>
        <v>48</v>
      </c>
      <c r="I4424" s="62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7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7">
        <v>751468</v>
      </c>
      <c r="F4425" s="31" t="str">
        <f>IFERROR(VLOOKUP(E4425,BD!$L$2:$Q$244,2,0),0)</f>
        <v>MONSTER ENERGY ULTRA 473MLX4</v>
      </c>
      <c r="G4425" s="424">
        <v>4200</v>
      </c>
      <c r="H4425" s="31">
        <f>+IFERROR(VLOOKUP(E4425,BD!$L$2:$Q$244,6,0),0)</f>
        <v>420</v>
      </c>
      <c r="I4425" s="62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7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7">
        <v>751544</v>
      </c>
      <c r="F4426" s="31" t="str">
        <f>IFERROR(VLOOKUP(E4426,BD!$L$2:$Q$244,2,0),0)</f>
        <v>MONSTER ENERGY ZERO 473MLX4</v>
      </c>
      <c r="G4426" s="424">
        <v>2100</v>
      </c>
      <c r="H4426" s="31">
        <f>+IFERROR(VLOOKUP(E4426,BD!$L$2:$Q$244,6,0),0)</f>
        <v>420</v>
      </c>
      <c r="I4426" s="62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7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7">
        <v>254853</v>
      </c>
      <c r="F4427" s="31" t="str">
        <f>IFERROR(VLOOKUP(E4427,BD!$L$2:$Q$244,2,0),0)</f>
        <v>INCA KOLA SIN AZUCAR PET 1.5LX2</v>
      </c>
      <c r="G4427" s="424">
        <v>864</v>
      </c>
      <c r="H4427" s="31">
        <f>+IFERROR(VLOOKUP(E4427,BD!$L$2:$Q$244,6,0),0)</f>
        <v>198</v>
      </c>
      <c r="I4427" s="62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7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7">
        <v>256616</v>
      </c>
      <c r="F4428" s="31" t="str">
        <f>IFERROR(VLOOKUP(E4428,BD!$L$2:$Q$244,2,0),0)</f>
        <v>TWO PACK SCHWEPPES CITRUS PET 1.5LX2</v>
      </c>
      <c r="G4428" s="424">
        <v>990</v>
      </c>
      <c r="H4428" s="31">
        <f>+IFERROR(VLOOKUP(E4428,BD!$L$2:$Q$244,6,0),0)</f>
        <v>198</v>
      </c>
      <c r="I4428" s="62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7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7">
        <v>256666</v>
      </c>
      <c r="F4429" s="31" t="str">
        <f>IFERROR(VLOOKUP(E4429,BD!$L$2:$Q$244,2,0),0)</f>
        <v>COCA-COLA PET 2.25LX2 RF</v>
      </c>
      <c r="G4429" s="424">
        <v>648</v>
      </c>
      <c r="H4429" s="31">
        <f>+IFERROR(VLOOKUP(E4429,BD!$L$2:$Q$244,6,0),0)</f>
        <v>162</v>
      </c>
      <c r="I4429" s="62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7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7">
        <v>256674</v>
      </c>
      <c r="F4430" s="31" t="str">
        <f>IFERROR(VLOOKUP(E4430,BD!$L$2:$Q$244,2,0),0)</f>
        <v>COCA-COLA PET 1.5LX2 RF</v>
      </c>
      <c r="G4430" s="424">
        <v>2160</v>
      </c>
      <c r="H4430" s="31">
        <f>+IFERROR(VLOOKUP(E4430,BD!$L$2:$Q$244,6,0),0)</f>
        <v>198</v>
      </c>
      <c r="I4430" s="62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7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7">
        <v>256675</v>
      </c>
      <c r="F4431" s="31" t="str">
        <f>IFERROR(VLOOKUP(E4431,BD!$L$2:$Q$244,2,0),0)</f>
        <v>INCA KOLA PET 1.5LX2 RF</v>
      </c>
      <c r="G4431" s="424">
        <v>1080</v>
      </c>
      <c r="H4431" s="31">
        <f>+IFERROR(VLOOKUP(E4431,BD!$L$2:$Q$244,6,0),0)</f>
        <v>198</v>
      </c>
      <c r="I4431" s="62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7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7">
        <v>256652</v>
      </c>
      <c r="F4432" s="31" t="str">
        <f>IFERROR(VLOOKUP(E4432,BD!$L$2:$Q$244,2,0),0)</f>
        <v>TRIPACK FT NAR+FT KI+SP PET 3L</v>
      </c>
      <c r="G4432" s="424">
        <v>900</v>
      </c>
      <c r="H4432" s="31">
        <f>+IFERROR(VLOOKUP(E4432,BD!$L$2:$Q$244,6,0),0)</f>
        <v>90</v>
      </c>
      <c r="I4432" s="62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7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7">
        <v>256678</v>
      </c>
      <c r="F4433" s="31" t="str">
        <f>IFERROR(VLOOKUP(E4433,BD!$L$2:$Q$244,2,0),0)</f>
        <v>TRIPACK (CC+IK)PFM+FT PET 3LX3 - RFNN</v>
      </c>
      <c r="G4433" s="424">
        <v>1440</v>
      </c>
      <c r="H4433" s="31">
        <f>+IFERROR(VLOOKUP(E4433,BD!$L$2:$Q$244,6,0),0)</f>
        <v>90</v>
      </c>
      <c r="I4433" s="62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7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7">
        <v>256682</v>
      </c>
      <c r="F4434" s="31" t="str">
        <f>IFERROR(VLOOKUP(E4434,BD!$L$2:$Q$244,2,0),0)</f>
        <v>TRIPACK (FT NAR+SP)PET+IK RF PFM 3L</v>
      </c>
      <c r="G4434" s="424">
        <v>180</v>
      </c>
      <c r="H4434" s="31">
        <f>+IFERROR(VLOOKUP(E4434,BD!$L$2:$Q$244,6,0),0)</f>
        <v>90</v>
      </c>
      <c r="I4434" s="62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7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7">
        <v>256695</v>
      </c>
      <c r="F4435" s="31" t="str">
        <f>IFERROR(VLOOKUP(E4435,BD!$L$2:$Q$244,2,0),0)</f>
        <v>POWERADE 3MORA+3FRUT PET 473MLX6</v>
      </c>
      <c r="G4435" s="424">
        <v>1350</v>
      </c>
      <c r="H4435" s="31">
        <f>+IFERROR(VLOOKUP(E4435,BD!$L$2:$Q$244,6,0),0)</f>
        <v>225</v>
      </c>
      <c r="I4435" s="62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7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7">
        <v>256721</v>
      </c>
      <c r="F4436" s="31" t="str">
        <f>IFERROR(VLOOKUP(E4436,BD!$L$2:$Q$244,2,0),0)</f>
        <v>SPRITE PET 500MLX6 BRANDEADO MOD</v>
      </c>
      <c r="G4436" s="424">
        <v>250</v>
      </c>
      <c r="H4436" s="31">
        <f>+IFERROR(VLOOKUP(E4436,BD!$L$2:$Q$244,6,0),0)</f>
        <v>420</v>
      </c>
      <c r="I4436" s="62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7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7">
        <v>256682</v>
      </c>
      <c r="F4437" s="31" t="str">
        <f>IFERROR(VLOOKUP(E4437,BD!$L$2:$Q$244,2,0),0)</f>
        <v>TRIPACK (FT NAR+SP)PET+IK RF PFM 3L</v>
      </c>
      <c r="G4437" s="424">
        <v>450</v>
      </c>
      <c r="H4437" s="31">
        <f>+IFERROR(VLOOKUP(E4437,BD!$L$2:$Q$244,6,0),0)</f>
        <v>90</v>
      </c>
      <c r="I4437" s="62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7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7">
        <v>256695</v>
      </c>
      <c r="F4438" s="31" t="str">
        <f>IFERROR(VLOOKUP(E4438,BD!$L$2:$Q$244,2,0),0)</f>
        <v>POWERADE 3MORA+3FRUT PET 473MLX6</v>
      </c>
      <c r="G4438" s="424">
        <v>675</v>
      </c>
      <c r="H4438" s="31">
        <f>+IFERROR(VLOOKUP(E4438,BD!$L$2:$Q$244,6,0),0)</f>
        <v>225</v>
      </c>
      <c r="I4438" s="62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7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7">
        <v>256720</v>
      </c>
      <c r="F4439" s="31" t="str">
        <f>IFERROR(VLOOKUP(E4439,BD!$L$2:$Q$244,2,0),0)</f>
        <v>FANTA NARANJA PET 500MLX6 BRANDEADO MOD</v>
      </c>
      <c r="G4439" s="424">
        <v>250</v>
      </c>
      <c r="H4439" s="31">
        <f>+IFERROR(VLOOKUP(E4439,BD!$L$2:$Q$244,6,0),0)</f>
        <v>420</v>
      </c>
      <c r="I4439" s="62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7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7">
        <v>256753</v>
      </c>
      <c r="F4440" s="31" t="str">
        <f>IFERROR(VLOOKUP(E4440,BD!$L$2:$Q$244,2,0),0)</f>
        <v>PACK-2 FT NAR+FT KI+FT PIÑA+SP RP 1.5LX8</v>
      </c>
      <c r="G4440" s="424">
        <v>600</v>
      </c>
      <c r="H4440" s="31">
        <f>+IFERROR(VLOOKUP(E4440,BD!$L$2:$Q$244,6,0),0)</f>
        <v>30</v>
      </c>
      <c r="I4440" s="62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7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7">
        <v>256381</v>
      </c>
      <c r="F4441" s="31" t="str">
        <f>IFERROR(VLOOKUP(E4441,BD!$L$2:$Q$244,2,0),0)</f>
        <v>INCA KOLA VR 1.5LX8 - STICKER</v>
      </c>
      <c r="G4441" s="424">
        <v>300</v>
      </c>
      <c r="H4441" s="31">
        <f>+IFERROR(VLOOKUP(E4441,BD!$L$2:$Q$244,6,0),0)</f>
        <v>30</v>
      </c>
      <c r="I4441" s="62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7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7">
        <v>256379</v>
      </c>
      <c r="F4442" s="31" t="str">
        <f>IFERROR(VLOOKUP(E4442,BD!$L$2:$Q$244,2,0),0)</f>
        <v>INCA KOLA VR 625MLX12 - STICKER</v>
      </c>
      <c r="G4442" s="424">
        <v>400</v>
      </c>
      <c r="H4442" s="31">
        <f>+IFERROR(VLOOKUP(E4442,BD!$L$2:$Q$244,6,0),0)</f>
        <v>50</v>
      </c>
      <c r="I4442" s="62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7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7">
        <v>252436</v>
      </c>
      <c r="F4443" s="31" t="str">
        <f>IFERROR(VLOOKUP(E4443,BD!$L$2:$Q$244,2,0),0)</f>
        <v>SAN LUIS SIN GAS PET 625MLX15 C/STICKER</v>
      </c>
      <c r="G4443" s="424">
        <v>5400</v>
      </c>
      <c r="H4443" s="31">
        <f>+IFERROR(VLOOKUP(E4443,BD!$L$2:$Q$244,6,0),0)</f>
        <v>90</v>
      </c>
      <c r="I4443" s="62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7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7">
        <v>256685</v>
      </c>
      <c r="F4444" s="31" t="str">
        <f>IFERROR(VLOOKUP(E4444,BD!$L$2:$Q$244,2,0),0)</f>
        <v>SL S/G TAPA PLANA 1LT</v>
      </c>
      <c r="G4444" s="424">
        <v>448</v>
      </c>
      <c r="H4444" s="31">
        <f>+IFERROR(VLOOKUP(E4444,BD!$L$2:$Q$244,6,0),0)</f>
        <v>112</v>
      </c>
      <c r="I4444" s="62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7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7">
        <v>251429</v>
      </c>
      <c r="F4445" s="31" t="str">
        <f>IFERROR(VLOOKUP(E4445,BD!$L$2:$Q$244,2,0),0)</f>
        <v>SAN LUIS SIN GAS PET2500X6 STICKER</v>
      </c>
      <c r="G4445" s="424">
        <v>1920</v>
      </c>
      <c r="H4445" s="31">
        <f>+IFERROR(VLOOKUP(E4445,BD!$L$2:$Q$244,6,0),0)</f>
        <v>48</v>
      </c>
      <c r="I4445" s="62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7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7">
        <v>256548</v>
      </c>
      <c r="F4446" s="31" t="str">
        <f>IFERROR(VLOOKUP(E4446,BD!$L$2:$Q$244,2,0),0)</f>
        <v>TWO PACK CC PET 1.5LX2 - CRC</v>
      </c>
      <c r="G4446" s="424">
        <v>432</v>
      </c>
      <c r="H4446" s="31">
        <f>+IFERROR(VLOOKUP(E4446,BD!$L$2:$Q$244,6,0),0)</f>
        <v>198</v>
      </c>
      <c r="I4446" s="62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7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7">
        <v>256617</v>
      </c>
      <c r="F4447" s="31" t="str">
        <f>IFERROR(VLOOKUP(E4447,BD!$L$2:$Q$244,2,0),0)</f>
        <v>TWO PACK SCHWEPPES GINGER ALE PET 1.5LX2</v>
      </c>
      <c r="G4447" s="424">
        <v>1782</v>
      </c>
      <c r="H4447" s="31">
        <f>+IFERROR(VLOOKUP(E4447,BD!$L$2:$Q$244,6,0),0)</f>
        <v>198</v>
      </c>
      <c r="I4447" s="62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7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7">
        <v>256488</v>
      </c>
      <c r="F4448" s="31" t="str">
        <f>IFERROR(VLOOKUP(E4448,BD!$L$2:$Q$244,2,0),0)</f>
        <v>INCA KOLA PET 3LX2 - RF</v>
      </c>
      <c r="G4448" s="424">
        <v>4800</v>
      </c>
      <c r="H4448" s="31">
        <f>+IFERROR(VLOOKUP(E4448,BD!$L$2:$Q$244,6,0),0)</f>
        <v>120</v>
      </c>
      <c r="I4448" s="62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7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7">
        <v>256676</v>
      </c>
      <c r="F4449" s="31" t="str">
        <f>IFERROR(VLOOKUP(E4449,BD!$L$2:$Q$244,2,0),0)</f>
        <v>TWO PACK CC PFM 3LX2 - RFCC</v>
      </c>
      <c r="G4449" s="424">
        <v>2400</v>
      </c>
      <c r="H4449" s="31">
        <f>+IFERROR(VLOOKUP(E4449,BD!$L$2:$Q$244,6,0),0)</f>
        <v>120</v>
      </c>
      <c r="I4449" s="62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7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7">
        <v>256674</v>
      </c>
      <c r="F4450" s="31" t="str">
        <f>IFERROR(VLOOKUP(E4450,BD!$L$2:$Q$244,2,0),0)</f>
        <v>COCA-COLA PET 1.5LX2 RF</v>
      </c>
      <c r="G4450" s="424">
        <v>1080</v>
      </c>
      <c r="H4450" s="31">
        <f>+IFERROR(VLOOKUP(E4450,BD!$L$2:$Q$244,6,0),0)</f>
        <v>198</v>
      </c>
      <c r="I4450" s="62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7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7">
        <v>256652</v>
      </c>
      <c r="F4451" s="31" t="str">
        <f>IFERROR(VLOOKUP(E4451,BD!$L$2:$Q$244,2,0),0)</f>
        <v>TRIPACK FT NAR+FT KI+SP PET 3L</v>
      </c>
      <c r="G4451" s="424">
        <v>900</v>
      </c>
      <c r="H4451" s="31">
        <f>+IFERROR(VLOOKUP(E4451,BD!$L$2:$Q$244,6,0),0)</f>
        <v>90</v>
      </c>
      <c r="I4451" s="62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7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7">
        <v>256677</v>
      </c>
      <c r="F4452" s="31" t="str">
        <f>IFERROR(VLOOKUP(E4452,BD!$L$2:$Q$244,2,0),0)</f>
        <v>TWO PACK CC + IK PFM 3LX2 - RFNN</v>
      </c>
      <c r="G4452" s="424">
        <v>9120</v>
      </c>
      <c r="H4452" s="31">
        <f>+IFERROR(VLOOKUP(E4452,BD!$L$2:$Q$244,6,0),0)</f>
        <v>120</v>
      </c>
      <c r="I4452" s="62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7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7">
        <v>256680</v>
      </c>
      <c r="F4453" s="31" t="str">
        <f>IFERROR(VLOOKUP(E4453,BD!$L$2:$Q$244,2,0),0)</f>
        <v>TRIPACK CC+CC+IK PFM 3LX3 - RFNN</v>
      </c>
      <c r="G4453" s="424">
        <v>900</v>
      </c>
      <c r="H4453" s="31">
        <f>+IFERROR(VLOOKUP(E4453,BD!$L$2:$Q$244,6,0),0)</f>
        <v>90</v>
      </c>
      <c r="I4453" s="62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7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7">
        <v>256679</v>
      </c>
      <c r="F4454" s="31" t="str">
        <f>IFERROR(VLOOKUP(E4454,BD!$L$2:$Q$244,2,0),0)</f>
        <v>TRIPACK CC+IK+IK PFM 3LX3 - RFNN</v>
      </c>
      <c r="G4454" s="424">
        <v>2160</v>
      </c>
      <c r="H4454" s="31">
        <f>+IFERROR(VLOOKUP(E4454,BD!$L$2:$Q$244,6,0),0)</f>
        <v>90</v>
      </c>
      <c r="I4454" s="62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7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7">
        <v>256678</v>
      </c>
      <c r="F4455" s="31" t="str">
        <f>IFERROR(VLOOKUP(E4455,BD!$L$2:$Q$244,2,0),0)</f>
        <v>TRIPACK (CC+IK)PFM+FT PET 3LX3 - RFNN</v>
      </c>
      <c r="G4455" s="424">
        <v>3600</v>
      </c>
      <c r="H4455" s="31">
        <f>+IFERROR(VLOOKUP(E4455,BD!$L$2:$Q$244,6,0),0)</f>
        <v>90</v>
      </c>
      <c r="I4455" s="62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7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7">
        <v>251406</v>
      </c>
      <c r="F4456" s="31" t="str">
        <f>IFERROR(VLOOKUP(E4456,BD!$L$2:$Q$244,2,0),0)</f>
        <v>COCA-COLA SIN AZUCAR PET 1.5LX2</v>
      </c>
      <c r="G4456" s="424">
        <v>3240</v>
      </c>
      <c r="H4456" s="31">
        <f>+IFERROR(VLOOKUP(E4456,BD!$L$2:$Q$244,6,0),0)</f>
        <v>198</v>
      </c>
      <c r="I4456" s="62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7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7">
        <v>254853</v>
      </c>
      <c r="F4457" s="31" t="str">
        <f>IFERROR(VLOOKUP(E4457,BD!$L$2:$Q$244,2,0),0)</f>
        <v>INCA KOLA SIN AZUCAR PET 1.5LX2</v>
      </c>
      <c r="G4457" s="424">
        <v>1296</v>
      </c>
      <c r="H4457" s="31">
        <f>+IFERROR(VLOOKUP(E4457,BD!$L$2:$Q$244,6,0),0)</f>
        <v>198</v>
      </c>
      <c r="I4457" s="62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7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7">
        <v>751315</v>
      </c>
      <c r="F4458" s="31" t="str">
        <f>IFERROR(VLOOKUP(E4458,BD!$L$2:$Q$244,2,0),0)</f>
        <v>MONSTER ENERGY 473MLX4</v>
      </c>
      <c r="G4458" s="424">
        <v>2100</v>
      </c>
      <c r="H4458" s="31">
        <f>+IFERROR(VLOOKUP(E4458,BD!$L$2:$Q$244,6,0),0)</f>
        <v>420</v>
      </c>
      <c r="I4458" s="62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7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7">
        <v>256720</v>
      </c>
      <c r="F4459" s="31" t="str">
        <f>IFERROR(VLOOKUP(E4459,BD!$L$2:$Q$244,2,0),0)</f>
        <v>FANTA NARANJA PET 500MLX6 BRANDEADO MOD</v>
      </c>
      <c r="G4459" s="424">
        <v>750</v>
      </c>
      <c r="H4459" s="31">
        <f>+IFERROR(VLOOKUP(E4459,BD!$L$2:$Q$244,6,0),0)</f>
        <v>420</v>
      </c>
      <c r="I4459" s="62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7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7">
        <v>256695</v>
      </c>
      <c r="F4460" s="31" t="str">
        <f>IFERROR(VLOOKUP(E4460,BD!$L$2:$Q$244,2,0),0)</f>
        <v>POWERADE 3MORA+3FRUT PET 473MLX6</v>
      </c>
      <c r="G4460" s="424">
        <v>675</v>
      </c>
      <c r="H4460" s="31">
        <f>+IFERROR(VLOOKUP(E4460,BD!$L$2:$Q$244,6,0),0)</f>
        <v>225</v>
      </c>
      <c r="I4460" s="62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7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7">
        <v>256680</v>
      </c>
      <c r="F4461" s="31" t="str">
        <f>IFERROR(VLOOKUP(E4461,BD!$L$2:$Q$244,2,0),0)</f>
        <v>TRIPACK CC+CC+IK PFM 3LX3 - RFNN</v>
      </c>
      <c r="G4461" s="424">
        <v>720</v>
      </c>
      <c r="H4461" s="31">
        <f>+IFERROR(VLOOKUP(E4461,BD!$L$2:$Q$244,6,0),0)</f>
        <v>90</v>
      </c>
      <c r="I4461" s="62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7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7">
        <v>256679</v>
      </c>
      <c r="F4462" s="31" t="str">
        <f>IFERROR(VLOOKUP(E4462,BD!$L$2:$Q$244,2,0),0)</f>
        <v>TRIPACK CC+IK+IK PFM 3LX3 - RFNN</v>
      </c>
      <c r="G4462" s="424">
        <v>2160</v>
      </c>
      <c r="H4462" s="31">
        <f>+IFERROR(VLOOKUP(E4462,BD!$L$2:$Q$244,6,0),0)</f>
        <v>90</v>
      </c>
      <c r="I4462" s="62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7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7">
        <v>256682</v>
      </c>
      <c r="F4463" s="31" t="str">
        <f>IFERROR(VLOOKUP(E4463,BD!$L$2:$Q$244,2,0),0)</f>
        <v>TRIPACK (FT NAR+SP)PET+IK RF PFM 3L</v>
      </c>
      <c r="G4463" s="424">
        <v>450</v>
      </c>
      <c r="H4463" s="31">
        <f>+IFERROR(VLOOKUP(E4463,BD!$L$2:$Q$244,6,0),0)</f>
        <v>90</v>
      </c>
      <c r="I4463" s="62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7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7">
        <v>256695</v>
      </c>
      <c r="F4464" s="31" t="str">
        <f>IFERROR(VLOOKUP(E4464,BD!$L$2:$Q$244,2,0),0)</f>
        <v>POWERADE 3MORA+3FRUT PET 473MLX6</v>
      </c>
      <c r="G4464" s="424">
        <v>1350</v>
      </c>
      <c r="H4464" s="31">
        <f>+IFERROR(VLOOKUP(E4464,BD!$L$2:$Q$244,6,0),0)</f>
        <v>225</v>
      </c>
      <c r="I4464" s="62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7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7">
        <v>256708</v>
      </c>
      <c r="F4465" s="31" t="str">
        <f>IFERROR(VLOOKUP(E4465,BD!$L$2:$Q$244,2,0),0)</f>
        <v>POWERADE ION4 FRUTA PET473X6 MOD (STICK)</v>
      </c>
      <c r="G4465" s="424">
        <v>450</v>
      </c>
      <c r="H4465" s="31">
        <f>+IFERROR(VLOOKUP(E4465,BD!$L$2:$Q$244,6,0),0)</f>
        <v>225</v>
      </c>
      <c r="I4465" s="62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7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7">
        <v>256721</v>
      </c>
      <c r="F4466" s="31" t="str">
        <f>IFERROR(VLOOKUP(E4466,BD!$L$2:$Q$244,2,0),0)</f>
        <v>SPRITE PET 500MLX6 BRANDEADO MOD</v>
      </c>
      <c r="G4466" s="424">
        <v>1000</v>
      </c>
      <c r="H4466" s="31">
        <f>+IFERROR(VLOOKUP(E4466,BD!$L$2:$Q$244,6,0),0)</f>
        <v>420</v>
      </c>
      <c r="I4466" s="62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7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7">
        <v>256753</v>
      </c>
      <c r="F4467" s="31" t="str">
        <f>IFERROR(VLOOKUP(E4467,BD!$L$2:$Q$244,2,0),0)</f>
        <v>PACK-2 FT NAR+FT KI+FT PIÑA+SP RP 1.5LX8</v>
      </c>
      <c r="G4467" s="424">
        <v>600</v>
      </c>
      <c r="H4467" s="31">
        <f>+IFERROR(VLOOKUP(E4467,BD!$L$2:$Q$244,6,0),0)</f>
        <v>30</v>
      </c>
      <c r="I4467" s="62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7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7">
        <v>256383</v>
      </c>
      <c r="F4468" s="31" t="str">
        <f>IFERROR(VLOOKUP(E4468,BD!$L$2:$Q$244,2,0),0)</f>
        <v>COCA COLA VR 1.5LX8 - STICKER</v>
      </c>
      <c r="G4468" s="424">
        <v>300</v>
      </c>
      <c r="H4468" s="31">
        <f>+IFERROR(VLOOKUP(E4468,BD!$L$2:$Q$244,6,0),0)</f>
        <v>30</v>
      </c>
      <c r="I4468" s="62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7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7">
        <v>256382</v>
      </c>
      <c r="F4469" s="31" t="str">
        <f>IFERROR(VLOOKUP(E4469,BD!$L$2:$Q$244,2,0),0)</f>
        <v>COCA COLA VR 296MLX24 - STICKER</v>
      </c>
      <c r="G4469" s="424">
        <v>80</v>
      </c>
      <c r="H4469" s="31">
        <f>+IFERROR(VLOOKUP(E4469,BD!$L$2:$Q$244,6,0),0)</f>
        <v>40</v>
      </c>
      <c r="I4469" s="62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7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7">
        <v>256379</v>
      </c>
      <c r="F4470" s="31" t="str">
        <f>IFERROR(VLOOKUP(E4470,BD!$L$2:$Q$244,2,0),0)</f>
        <v>INCA KOLA VR 625MLX12 - STICKER</v>
      </c>
      <c r="G4470" s="424">
        <v>250</v>
      </c>
      <c r="H4470" s="31">
        <f>+IFERROR(VLOOKUP(E4470,BD!$L$2:$Q$244,6,0),0)</f>
        <v>50</v>
      </c>
      <c r="I4470" s="62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7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7">
        <v>252436</v>
      </c>
      <c r="F4471" s="31" t="str">
        <f>IFERROR(VLOOKUP(E4471,BD!$L$2:$Q$244,2,0),0)</f>
        <v>SAN LUIS SIN GAS PET 625MLX15 C/STICKER</v>
      </c>
      <c r="G4471" s="424">
        <v>900</v>
      </c>
      <c r="H4471" s="31">
        <f>+IFERROR(VLOOKUP(E4471,BD!$L$2:$Q$244,6,0),0)</f>
        <v>90</v>
      </c>
      <c r="I4471" s="62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7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7">
        <v>254762</v>
      </c>
      <c r="F4472" s="31" t="str">
        <f>IFERROR(VLOOKUP(E4472,BD!$L$2:$Q$244,2,0),0)</f>
        <v xml:space="preserve">SAN LUIS SPORT S/G 10 Lt x6 </v>
      </c>
      <c r="G4472" s="424">
        <v>112</v>
      </c>
      <c r="H4472" s="31">
        <f>+IFERROR(VLOOKUP(E4472,BD!$L$2:$Q$244,6,0),0)</f>
        <v>240</v>
      </c>
      <c r="I4472" s="62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7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7">
        <v>751315</v>
      </c>
      <c r="F4473" s="31" t="str">
        <f>IFERROR(VLOOKUP(E4473,BD!$L$2:$Q$244,2,0),0)</f>
        <v>MONSTER ENERGY 473MLX4</v>
      </c>
      <c r="G4473" s="424">
        <v>4200</v>
      </c>
      <c r="H4473" s="31">
        <f>+IFERROR(VLOOKUP(E4473,BD!$L$2:$Q$244,6,0),0)</f>
        <v>420</v>
      </c>
      <c r="I4473" s="62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7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7">
        <v>751544</v>
      </c>
      <c r="F4474" s="31" t="str">
        <f>IFERROR(VLOOKUP(E4474,BD!$L$2:$Q$244,2,0),0)</f>
        <v>MONSTER ENERGY ZERO 473MLX4</v>
      </c>
      <c r="G4474" s="424">
        <v>2100</v>
      </c>
      <c r="H4474" s="31">
        <f>+IFERROR(VLOOKUP(E4474,BD!$L$2:$Q$244,6,0),0)</f>
        <v>420</v>
      </c>
      <c r="I4474" s="62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7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7">
        <v>251633</v>
      </c>
      <c r="F4475" s="31" t="str">
        <f>IFERROR(VLOOKUP(E4475,BD!$L$2:$Q$244,2,0),0)</f>
        <v>SAN LUIS CON GAS PET 625MLX6</v>
      </c>
      <c r="G4475" s="424">
        <v>900</v>
      </c>
      <c r="H4475" s="31">
        <f>+IFERROR(VLOOKUP(E4475,BD!$L$2:$Q$244,6,0),0)</f>
        <v>180</v>
      </c>
      <c r="I4475" s="62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7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7">
        <v>251406</v>
      </c>
      <c r="F4476" s="31" t="str">
        <f>IFERROR(VLOOKUP(E4476,BD!$L$2:$Q$244,2,0),0)</f>
        <v>COCA-COLA SIN AZUCAR PET 1.5LX2</v>
      </c>
      <c r="G4476" s="424">
        <v>2160</v>
      </c>
      <c r="H4476" s="31">
        <f>+IFERROR(VLOOKUP(E4476,BD!$L$2:$Q$244,6,0),0)</f>
        <v>198</v>
      </c>
      <c r="I4476" s="62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7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7">
        <v>254853</v>
      </c>
      <c r="F4477" s="31" t="str">
        <f>IFERROR(VLOOKUP(E4477,BD!$L$2:$Q$244,2,0),0)</f>
        <v>INCA KOLA SIN AZUCAR PET 1.5LX2</v>
      </c>
      <c r="G4477" s="424">
        <v>3240</v>
      </c>
      <c r="H4477" s="31">
        <f>+IFERROR(VLOOKUP(E4477,BD!$L$2:$Q$244,6,0),0)</f>
        <v>198</v>
      </c>
      <c r="I4477" s="62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7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7">
        <v>256601</v>
      </c>
      <c r="F4478" s="31" t="str">
        <f>IFERROR(VLOOKUP(E4478,BD!$L$2:$Q$244,2,0),0)</f>
        <v>INCA KOLA PET 2.25LX2 RF</v>
      </c>
      <c r="G4478" s="424">
        <v>324</v>
      </c>
      <c r="H4478" s="31">
        <f>+IFERROR(VLOOKUP(E4478,BD!$L$2:$Q$244,6,0),0)</f>
        <v>162</v>
      </c>
      <c r="I4478" s="62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7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7">
        <v>256674</v>
      </c>
      <c r="F4479" s="31" t="str">
        <f>IFERROR(VLOOKUP(E4479,BD!$L$2:$Q$244,2,0),0)</f>
        <v>COCA-COLA PET 1.5LX2 RF</v>
      </c>
      <c r="G4479" s="424">
        <v>3240</v>
      </c>
      <c r="H4479" s="31">
        <f>+IFERROR(VLOOKUP(E4479,BD!$L$2:$Q$244,6,0),0)</f>
        <v>198</v>
      </c>
      <c r="I4479" s="62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7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7">
        <v>256675</v>
      </c>
      <c r="F4480" s="31" t="str">
        <f>IFERROR(VLOOKUP(E4480,BD!$L$2:$Q$244,2,0),0)</f>
        <v>INCA KOLA PET 1.5LX2 RF</v>
      </c>
      <c r="G4480" s="424">
        <v>1728</v>
      </c>
      <c r="H4480" s="31">
        <f>+IFERROR(VLOOKUP(E4480,BD!$L$2:$Q$244,6,0),0)</f>
        <v>198</v>
      </c>
      <c r="I4480" s="62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7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7">
        <v>256652</v>
      </c>
      <c r="F4481" s="31" t="str">
        <f>IFERROR(VLOOKUP(E4481,BD!$L$2:$Q$244,2,0),0)</f>
        <v>TRIPACK FT NAR+FT KI+SP PET 3L</v>
      </c>
      <c r="G4481" s="424">
        <v>1440</v>
      </c>
      <c r="H4481" s="31">
        <f>+IFERROR(VLOOKUP(E4481,BD!$L$2:$Q$244,6,0),0)</f>
        <v>90</v>
      </c>
      <c r="I4481" s="62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7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7">
        <v>256677</v>
      </c>
      <c r="F4482" s="31" t="str">
        <f>IFERROR(VLOOKUP(E4482,BD!$L$2:$Q$244,2,0),0)</f>
        <v>TWO PACK CC + IK PFM 3LX2 - RFNN</v>
      </c>
      <c r="G4482" s="424">
        <v>3600</v>
      </c>
      <c r="H4482" s="31">
        <f>+IFERROR(VLOOKUP(E4482,BD!$L$2:$Q$244,6,0),0)</f>
        <v>120</v>
      </c>
      <c r="I4482" s="62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7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7">
        <v>256720</v>
      </c>
      <c r="F4483" s="31" t="str">
        <f>IFERROR(VLOOKUP(E4483,BD!$L$2:$Q$244,2,0),0)</f>
        <v>FANTA NARANJA PET 500MLX6 BRANDEADO MOD</v>
      </c>
      <c r="G4483" s="424">
        <v>500</v>
      </c>
      <c r="H4483" s="31">
        <f>+IFERROR(VLOOKUP(E4483,BD!$L$2:$Q$244,6,0),0)</f>
        <v>420</v>
      </c>
      <c r="I4483" s="62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7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7">
        <v>256383</v>
      </c>
      <c r="F4484" s="31" t="str">
        <f>IFERROR(VLOOKUP(E4484,BD!$L$2:$Q$244,2,0),0)</f>
        <v>COCA COLA VR 1.5LX8 - STICKER</v>
      </c>
      <c r="G4484" s="424">
        <v>150</v>
      </c>
      <c r="H4484" s="31">
        <f>+IFERROR(VLOOKUP(E4484,BD!$L$2:$Q$244,6,0),0)</f>
        <v>30</v>
      </c>
      <c r="I4484" s="62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7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7">
        <v>256381</v>
      </c>
      <c r="F4485" s="31" t="str">
        <f>IFERROR(VLOOKUP(E4485,BD!$L$2:$Q$244,2,0),0)</f>
        <v>INCA KOLA VR 1.5LX8 - STICKER</v>
      </c>
      <c r="G4485" s="424">
        <v>300</v>
      </c>
      <c r="H4485" s="31">
        <f>+IFERROR(VLOOKUP(E4485,BD!$L$2:$Q$244,6,0),0)</f>
        <v>30</v>
      </c>
      <c r="I4485" s="62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7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7">
        <v>751315</v>
      </c>
      <c r="F4486" s="31" t="str">
        <f>IFERROR(VLOOKUP(E4486,BD!$L$2:$Q$244,2,0),0)</f>
        <v>MONSTER ENERGY 473MLX4</v>
      </c>
      <c r="G4486" s="424">
        <v>4200</v>
      </c>
      <c r="H4486" s="31">
        <f>+IFERROR(VLOOKUP(E4486,BD!$L$2:$Q$244,6,0),0)</f>
        <v>420</v>
      </c>
      <c r="I4486" s="62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7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7">
        <v>256616</v>
      </c>
      <c r="F4487" s="31" t="str">
        <f>IFERROR(VLOOKUP(E4487,BD!$L$2:$Q$244,2,0),0)</f>
        <v>TWO PACK SCHWEPPES CITRUS PET 1.5LX2</v>
      </c>
      <c r="G4487" s="424">
        <v>396</v>
      </c>
      <c r="H4487" s="31">
        <f>+IFERROR(VLOOKUP(E4487,BD!$L$2:$Q$244,6,0),0)</f>
        <v>198</v>
      </c>
      <c r="I4487" s="62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7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7">
        <v>256617</v>
      </c>
      <c r="F4488" s="31" t="str">
        <f>IFERROR(VLOOKUP(E4488,BD!$L$2:$Q$244,2,0),0)</f>
        <v>TWO PACK SCHWEPPES GINGER ALE PET 1.5LX2</v>
      </c>
      <c r="G4488" s="424">
        <v>1188</v>
      </c>
      <c r="H4488" s="31">
        <f>+IFERROR(VLOOKUP(E4488,BD!$L$2:$Q$244,6,0),0)</f>
        <v>198</v>
      </c>
      <c r="I4488" s="62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7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7">
        <v>256666</v>
      </c>
      <c r="F4489" s="31" t="str">
        <f>IFERROR(VLOOKUP(E4489,BD!$L$2:$Q$244,2,0),0)</f>
        <v>COCA-COLA PET 2.25LX2 RF</v>
      </c>
      <c r="G4489" s="424">
        <v>972</v>
      </c>
      <c r="H4489" s="31">
        <f>+IFERROR(VLOOKUP(E4489,BD!$L$2:$Q$244,6,0),0)</f>
        <v>162</v>
      </c>
      <c r="I4489" s="62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7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7">
        <v>256601</v>
      </c>
      <c r="F4490" s="31" t="str">
        <f>IFERROR(VLOOKUP(E4490,BD!$L$2:$Q$244,2,0),0)</f>
        <v>INCA KOLA PET 2.25LX2 RF</v>
      </c>
      <c r="G4490" s="424">
        <v>324</v>
      </c>
      <c r="H4490" s="31">
        <f>+IFERROR(VLOOKUP(E4490,BD!$L$2:$Q$244,6,0),0)</f>
        <v>162</v>
      </c>
      <c r="I4490" s="62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7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7">
        <v>256488</v>
      </c>
      <c r="F4491" s="31" t="str">
        <f>IFERROR(VLOOKUP(E4491,BD!$L$2:$Q$244,2,0),0)</f>
        <v>INCA KOLA PET 3LX2 - RF</v>
      </c>
      <c r="G4491" s="424">
        <v>2400</v>
      </c>
      <c r="H4491" s="31">
        <f>+IFERROR(VLOOKUP(E4491,BD!$L$2:$Q$244,6,0),0)</f>
        <v>120</v>
      </c>
      <c r="I4491" s="62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7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7">
        <v>256675</v>
      </c>
      <c r="F4492" s="31" t="str">
        <f>IFERROR(VLOOKUP(E4492,BD!$L$2:$Q$244,2,0),0)</f>
        <v>INCA KOLA PET 1.5LX2 RF</v>
      </c>
      <c r="G4492" s="424">
        <v>2160</v>
      </c>
      <c r="H4492" s="31">
        <f>+IFERROR(VLOOKUP(E4492,BD!$L$2:$Q$244,6,0),0)</f>
        <v>198</v>
      </c>
      <c r="I4492" s="62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7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7">
        <v>256677</v>
      </c>
      <c r="F4493" s="31" t="str">
        <f>IFERROR(VLOOKUP(E4493,BD!$L$2:$Q$244,2,0),0)</f>
        <v>TWO PACK CC + IK PFM 3LX2 - RFNN</v>
      </c>
      <c r="G4493" s="424">
        <v>12000</v>
      </c>
      <c r="H4493" s="31">
        <f>+IFERROR(VLOOKUP(E4493,BD!$L$2:$Q$244,6,0),0)</f>
        <v>120</v>
      </c>
      <c r="I4493" s="62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7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7">
        <v>256679</v>
      </c>
      <c r="F4494" s="31" t="str">
        <f>IFERROR(VLOOKUP(E4494,BD!$L$2:$Q$244,2,0),0)</f>
        <v>TRIPACK CC+IK+IK PFM 3LX3 - RFNN</v>
      </c>
      <c r="G4494" s="424">
        <v>2160</v>
      </c>
      <c r="H4494" s="31">
        <f>+IFERROR(VLOOKUP(E4494,BD!$L$2:$Q$244,6,0),0)</f>
        <v>90</v>
      </c>
      <c r="I4494" s="62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7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7">
        <v>256678</v>
      </c>
      <c r="F4495" s="31" t="str">
        <f>IFERROR(VLOOKUP(E4495,BD!$L$2:$Q$244,2,0),0)</f>
        <v>TRIPACK (CC+IK)PFM+FT PET 3LX3 - RFNN</v>
      </c>
      <c r="G4495" s="424">
        <v>900</v>
      </c>
      <c r="H4495" s="31">
        <f>+IFERROR(VLOOKUP(E4495,BD!$L$2:$Q$244,6,0),0)</f>
        <v>90</v>
      </c>
      <c r="I4495" s="62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7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7">
        <v>256695</v>
      </c>
      <c r="F4496" s="31" t="str">
        <f>IFERROR(VLOOKUP(E4496,BD!$L$2:$Q$244,2,0),0)</f>
        <v>POWERADE 3MORA+3FRUT PET 473MLX6</v>
      </c>
      <c r="G4496" s="424">
        <v>450</v>
      </c>
      <c r="H4496" s="31">
        <f>+IFERROR(VLOOKUP(E4496,BD!$L$2:$Q$244,6,0),0)</f>
        <v>225</v>
      </c>
      <c r="I4496" s="62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7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7">
        <v>256709</v>
      </c>
      <c r="F4497" s="31" t="str">
        <f>IFERROR(VLOOKUP(E4497,BD!$L$2:$Q$244,2,0),0)</f>
        <v>POWERADE ION4 MORA AZ PET473X6 MOD(STCK)</v>
      </c>
      <c r="G4497" s="424">
        <v>450</v>
      </c>
      <c r="H4497" s="31">
        <f>+IFERROR(VLOOKUP(E4497,BD!$L$2:$Q$244,6,0),0)</f>
        <v>225</v>
      </c>
      <c r="I4497" s="62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7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7">
        <v>254852</v>
      </c>
      <c r="F4498" s="31" t="str">
        <f>IFERROR(VLOOKUP(E4498,BD!$L$2:$Q$244,2,0),0)</f>
        <v>INCA KOLA PET 500MLX6</v>
      </c>
      <c r="G4498" s="424">
        <v>1500</v>
      </c>
      <c r="H4498" s="31">
        <f>+IFERROR(VLOOKUP(E4498,BD!$L$2:$Q$244,6,0),0)</f>
        <v>225</v>
      </c>
      <c r="I4498" s="62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7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7">
        <v>256383</v>
      </c>
      <c r="F4499" s="31" t="str">
        <f>IFERROR(VLOOKUP(E4499,BD!$L$2:$Q$244,2,0),0)</f>
        <v>COCA COLA VR 1.5LX8 - STICKER</v>
      </c>
      <c r="G4499" s="424">
        <v>210</v>
      </c>
      <c r="H4499" s="31">
        <f>+IFERROR(VLOOKUP(E4499,BD!$L$2:$Q$244,6,0),0)</f>
        <v>30</v>
      </c>
      <c r="I4499" s="62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7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7">
        <v>256381</v>
      </c>
      <c r="F4500" s="31" t="str">
        <f>IFERROR(VLOOKUP(E4500,BD!$L$2:$Q$244,2,0),0)</f>
        <v>INCA KOLA VR 1.5LX8 - STICKER</v>
      </c>
      <c r="G4500" s="424">
        <v>150</v>
      </c>
      <c r="H4500" s="31">
        <f>+IFERROR(VLOOKUP(E4500,BD!$L$2:$Q$244,6,0),0)</f>
        <v>30</v>
      </c>
      <c r="I4500" s="62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7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7">
        <v>256382</v>
      </c>
      <c r="F4501" s="31" t="str">
        <f>IFERROR(VLOOKUP(E4501,BD!$L$2:$Q$244,2,0),0)</f>
        <v>COCA COLA VR 296MLX24 - STICKER</v>
      </c>
      <c r="G4501" s="424">
        <v>120</v>
      </c>
      <c r="H4501" s="31">
        <f>+IFERROR(VLOOKUP(E4501,BD!$L$2:$Q$244,6,0),0)</f>
        <v>40</v>
      </c>
      <c r="I4501" s="62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7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7">
        <v>254762</v>
      </c>
      <c r="F4502" s="31" t="str">
        <f>IFERROR(VLOOKUP(E4502,BD!$L$2:$Q$244,2,0),0)</f>
        <v xml:space="preserve">SAN LUIS SPORT S/G 10 Lt x6 </v>
      </c>
      <c r="G4502" s="424">
        <v>224</v>
      </c>
      <c r="H4502" s="31">
        <f>+IFERROR(VLOOKUP(E4502,BD!$L$2:$Q$244,6,0),0)</f>
        <v>240</v>
      </c>
      <c r="I4502" s="62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7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7">
        <v>256685</v>
      </c>
      <c r="F4503" s="31" t="str">
        <f>IFERROR(VLOOKUP(E4503,BD!$L$2:$Q$244,2,0),0)</f>
        <v>SL S/G TAPA PLANA 1LT</v>
      </c>
      <c r="G4503" s="424">
        <v>224</v>
      </c>
      <c r="H4503" s="31">
        <f>+IFERROR(VLOOKUP(E4503,BD!$L$2:$Q$244,6,0),0)</f>
        <v>112</v>
      </c>
      <c r="I4503" s="62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7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7">
        <v>751544</v>
      </c>
      <c r="F4504" s="31" t="str">
        <f>IFERROR(VLOOKUP(E4504,BD!$L$2:$Q$244,2,0),0)</f>
        <v>MONSTER ENERGY ZERO 473MLX4</v>
      </c>
      <c r="G4504" s="424">
        <v>2100</v>
      </c>
      <c r="H4504" s="31">
        <f>+IFERROR(VLOOKUP(E4504,BD!$L$2:$Q$244,6,0),0)</f>
        <v>420</v>
      </c>
      <c r="I4504" s="62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7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7">
        <v>251633</v>
      </c>
      <c r="F4505" s="31" t="str">
        <f>IFERROR(VLOOKUP(E4505,BD!$L$2:$Q$244,2,0),0)</f>
        <v>SAN LUIS CON GAS PET 625MLX6</v>
      </c>
      <c r="G4505" s="424">
        <v>1440</v>
      </c>
      <c r="H4505" s="31">
        <f>+IFERROR(VLOOKUP(E4505,BD!$L$2:$Q$244,6,0),0)</f>
        <v>180</v>
      </c>
      <c r="I4505" s="62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7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7">
        <v>251406</v>
      </c>
      <c r="F4506" s="31" t="str">
        <f>IFERROR(VLOOKUP(E4506,BD!$L$2:$Q$244,2,0),0)</f>
        <v>COCA-COLA SIN AZUCAR PET 1.5LX2</v>
      </c>
      <c r="G4506" s="424">
        <v>4320</v>
      </c>
      <c r="H4506" s="31">
        <f>+IFERROR(VLOOKUP(E4506,BD!$L$2:$Q$244,6,0),0)</f>
        <v>198</v>
      </c>
      <c r="I4506" s="62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7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7">
        <v>254853</v>
      </c>
      <c r="F4507" s="31" t="str">
        <f>IFERROR(VLOOKUP(E4507,BD!$L$2:$Q$244,2,0),0)</f>
        <v>INCA KOLA SIN AZUCAR PET 1.5LX2</v>
      </c>
      <c r="G4507" s="424">
        <v>5400</v>
      </c>
      <c r="H4507" s="31">
        <f>+IFERROR(VLOOKUP(E4507,BD!$L$2:$Q$244,6,0),0)</f>
        <v>198</v>
      </c>
      <c r="I4507" s="62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7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7">
        <v>256616</v>
      </c>
      <c r="F4508" s="31" t="str">
        <f>IFERROR(VLOOKUP(E4508,BD!$L$2:$Q$244,2,0),0)</f>
        <v>TWO PACK SCHWEPPES CITRUS PET 1.5LX2</v>
      </c>
      <c r="G4508" s="424">
        <v>1980</v>
      </c>
      <c r="H4508" s="31">
        <f>+IFERROR(VLOOKUP(E4508,BD!$L$2:$Q$244,6,0),0)</f>
        <v>198</v>
      </c>
      <c r="I4508" s="62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7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7">
        <v>256617</v>
      </c>
      <c r="F4509" s="31" t="str">
        <f>IFERROR(VLOOKUP(E4509,BD!$L$2:$Q$244,2,0),0)</f>
        <v>TWO PACK SCHWEPPES GINGER ALE PET 1.5LX2</v>
      </c>
      <c r="G4509" s="424">
        <v>1980</v>
      </c>
      <c r="H4509" s="31">
        <f>+IFERROR(VLOOKUP(E4509,BD!$L$2:$Q$244,6,0),0)</f>
        <v>198</v>
      </c>
      <c r="I4509" s="62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7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7">
        <v>256488</v>
      </c>
      <c r="F4510" s="31" t="str">
        <f>IFERROR(VLOOKUP(E4510,BD!$L$2:$Q$244,2,0),0)</f>
        <v>INCA KOLA PET 3LX2 - RF</v>
      </c>
      <c r="G4510" s="424">
        <v>3600</v>
      </c>
      <c r="H4510" s="31">
        <f>+IFERROR(VLOOKUP(E4510,BD!$L$2:$Q$244,6,0),0)</f>
        <v>120</v>
      </c>
      <c r="I4510" s="62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7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7">
        <v>256674</v>
      </c>
      <c r="F4511" s="31" t="str">
        <f>IFERROR(VLOOKUP(E4511,BD!$L$2:$Q$244,2,0),0)</f>
        <v>COCA-COLA PET 1.5LX2 RF</v>
      </c>
      <c r="G4511" s="424">
        <v>3240</v>
      </c>
      <c r="H4511" s="31">
        <f>+IFERROR(VLOOKUP(E4511,BD!$L$2:$Q$244,6,0),0)</f>
        <v>198</v>
      </c>
      <c r="I4511" s="62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7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7">
        <v>256652</v>
      </c>
      <c r="F4512" s="31" t="str">
        <f>IFERROR(VLOOKUP(E4512,BD!$L$2:$Q$244,2,0),0)</f>
        <v>TRIPACK FT NAR+FT KI+SP PET 3L</v>
      </c>
      <c r="G4512" s="424">
        <v>900</v>
      </c>
      <c r="H4512" s="31">
        <f>+IFERROR(VLOOKUP(E4512,BD!$L$2:$Q$244,6,0),0)</f>
        <v>90</v>
      </c>
      <c r="I4512" s="62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7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7">
        <v>256677</v>
      </c>
      <c r="F4513" s="31" t="str">
        <f>IFERROR(VLOOKUP(E4513,BD!$L$2:$Q$244,2,0),0)</f>
        <v>TWO PACK CC + IK PFM 3LX2 - RFNN</v>
      </c>
      <c r="G4513" s="424">
        <v>12000</v>
      </c>
      <c r="H4513" s="31">
        <f>+IFERROR(VLOOKUP(E4513,BD!$L$2:$Q$244,6,0),0)</f>
        <v>120</v>
      </c>
      <c r="I4513" s="62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7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7">
        <v>256680</v>
      </c>
      <c r="F4514" s="31" t="str">
        <f>IFERROR(VLOOKUP(E4514,BD!$L$2:$Q$244,2,0),0)</f>
        <v>TRIPACK CC+CC+IK PFM 3LX3 - RFNN</v>
      </c>
      <c r="G4514" s="424">
        <v>900</v>
      </c>
      <c r="H4514" s="31">
        <f>+IFERROR(VLOOKUP(E4514,BD!$L$2:$Q$244,6,0),0)</f>
        <v>90</v>
      </c>
      <c r="I4514" s="62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7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7">
        <v>256678</v>
      </c>
      <c r="F4515" s="31" t="str">
        <f>IFERROR(VLOOKUP(E4515,BD!$L$2:$Q$244,2,0),0)</f>
        <v>TRIPACK (CC+IK)PFM+FT PET 3LX3 - RFNN</v>
      </c>
      <c r="G4515" s="424">
        <v>1800</v>
      </c>
      <c r="H4515" s="31">
        <f>+IFERROR(VLOOKUP(E4515,BD!$L$2:$Q$244,6,0),0)</f>
        <v>90</v>
      </c>
      <c r="I4515" s="62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7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7">
        <v>256682</v>
      </c>
      <c r="F4516" s="31" t="str">
        <f>IFERROR(VLOOKUP(E4516,BD!$L$2:$Q$244,2,0),0)</f>
        <v>TRIPACK (FT NAR+SP)PET+IK RF PFM 3L</v>
      </c>
      <c r="G4516" s="424">
        <v>720</v>
      </c>
      <c r="H4516" s="31">
        <f>+IFERROR(VLOOKUP(E4516,BD!$L$2:$Q$244,6,0),0)</f>
        <v>90</v>
      </c>
      <c r="I4516" s="62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7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7">
        <v>256695</v>
      </c>
      <c r="F4517" s="31" t="str">
        <f>IFERROR(VLOOKUP(E4517,BD!$L$2:$Q$244,2,0),0)</f>
        <v>POWERADE 3MORA+3FRUT PET 473MLX6</v>
      </c>
      <c r="G4517" s="424">
        <v>1350</v>
      </c>
      <c r="H4517" s="31">
        <f>+IFERROR(VLOOKUP(E4517,BD!$L$2:$Q$244,6,0),0)</f>
        <v>225</v>
      </c>
      <c r="I4517" s="62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7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7">
        <v>256708</v>
      </c>
      <c r="F4518" s="31" t="str">
        <f>IFERROR(VLOOKUP(E4518,BD!$L$2:$Q$244,2,0),0)</f>
        <v>POWERADE ION4 FRUTA PET473X6 MOD (STICK)</v>
      </c>
      <c r="G4518" s="424">
        <v>1125</v>
      </c>
      <c r="H4518" s="31">
        <f>+IFERROR(VLOOKUP(E4518,BD!$L$2:$Q$244,6,0),0)</f>
        <v>225</v>
      </c>
      <c r="I4518" s="62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7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7">
        <v>256721</v>
      </c>
      <c r="F4519" s="31" t="str">
        <f>IFERROR(VLOOKUP(E4519,BD!$L$2:$Q$244,2,0),0)</f>
        <v>SPRITE PET 500MLX6 BRANDEADO MOD</v>
      </c>
      <c r="G4519" s="424">
        <v>500</v>
      </c>
      <c r="H4519" s="31">
        <f>+IFERROR(VLOOKUP(E4519,BD!$L$2:$Q$244,6,0),0)</f>
        <v>420</v>
      </c>
      <c r="I4519" s="62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7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7">
        <v>256753</v>
      </c>
      <c r="F4520" s="31" t="str">
        <f>IFERROR(VLOOKUP(E4520,BD!$L$2:$Q$244,2,0),0)</f>
        <v>PACK-2 FT NAR+FT KI+FT PIÑA+SP RP 1.5LX8</v>
      </c>
      <c r="G4520" s="424">
        <v>330</v>
      </c>
      <c r="H4520" s="31">
        <f>+IFERROR(VLOOKUP(E4520,BD!$L$2:$Q$244,6,0),0)</f>
        <v>30</v>
      </c>
      <c r="I4520" s="62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7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7">
        <v>256616</v>
      </c>
      <c r="F4521" s="31" t="str">
        <f>IFERROR(VLOOKUP(E4521,BD!$L$2:$Q$244,2,0),0)</f>
        <v>TWO PACK SCHWEPPES CITRUS PET 1.5LX2</v>
      </c>
      <c r="G4521" s="424">
        <v>990</v>
      </c>
      <c r="H4521" s="31">
        <f>+IFERROR(VLOOKUP(E4521,BD!$L$2:$Q$244,6,0),0)</f>
        <v>198</v>
      </c>
      <c r="I4521" s="62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7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7">
        <v>256617</v>
      </c>
      <c r="F4522" s="31" t="str">
        <f>IFERROR(VLOOKUP(E4522,BD!$L$2:$Q$244,2,0),0)</f>
        <v>TWO PACK SCHWEPPES GINGER ALE PET 1.5LX2</v>
      </c>
      <c r="G4522" s="424">
        <v>990</v>
      </c>
      <c r="H4522" s="31">
        <f>+IFERROR(VLOOKUP(E4522,BD!$L$2:$Q$244,6,0),0)</f>
        <v>198</v>
      </c>
      <c r="I4522" s="62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7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7">
        <v>256674</v>
      </c>
      <c r="F4523" s="31" t="str">
        <f>IFERROR(VLOOKUP(E4523,BD!$L$2:$Q$244,2,0),0)</f>
        <v>COCA-COLA PET 1.5LX2 RF</v>
      </c>
      <c r="G4523" s="424">
        <v>3456</v>
      </c>
      <c r="H4523" s="31">
        <f>+IFERROR(VLOOKUP(E4523,BD!$L$2:$Q$244,6,0),0)</f>
        <v>198</v>
      </c>
      <c r="I4523" s="62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7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7">
        <v>256679</v>
      </c>
      <c r="F4524" s="31" t="str">
        <f>IFERROR(VLOOKUP(E4524,BD!$L$2:$Q$244,2,0),0)</f>
        <v>TRIPACK CC+IK+IK PFM 3LX3 - RFNN</v>
      </c>
      <c r="G4524" s="424">
        <v>900</v>
      </c>
      <c r="H4524" s="31">
        <f>+IFERROR(VLOOKUP(E4524,BD!$L$2:$Q$244,6,0),0)</f>
        <v>90</v>
      </c>
      <c r="I4524" s="62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7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7">
        <v>256695</v>
      </c>
      <c r="F4525" s="31" t="str">
        <f>IFERROR(VLOOKUP(E4525,BD!$L$2:$Q$244,2,0),0)</f>
        <v>POWERADE 3MORA+3FRUT PET 473MLX6</v>
      </c>
      <c r="G4525" s="424">
        <v>4050</v>
      </c>
      <c r="H4525" s="31">
        <f>+IFERROR(VLOOKUP(E4525,BD!$L$2:$Q$244,6,0),0)</f>
        <v>225</v>
      </c>
      <c r="I4525" s="62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7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7">
        <v>256379</v>
      </c>
      <c r="F4526" s="31" t="str">
        <f>IFERROR(VLOOKUP(E4526,BD!$L$2:$Q$244,2,0),0)</f>
        <v>INCA KOLA VR 625MLX12 - STICKER</v>
      </c>
      <c r="G4526" s="424">
        <v>250</v>
      </c>
      <c r="H4526" s="31">
        <f>+IFERROR(VLOOKUP(E4526,BD!$L$2:$Q$244,6,0),0)</f>
        <v>50</v>
      </c>
      <c r="I4526" s="62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7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7">
        <v>252436</v>
      </c>
      <c r="F4527" s="31" t="str">
        <f>IFERROR(VLOOKUP(E4527,BD!$L$2:$Q$244,2,0),0)</f>
        <v>SAN LUIS SIN GAS PET 625MLX15 C/STICKER</v>
      </c>
      <c r="G4527" s="424">
        <v>900</v>
      </c>
      <c r="H4527" s="31">
        <f>+IFERROR(VLOOKUP(E4527,BD!$L$2:$Q$244,6,0),0)</f>
        <v>90</v>
      </c>
      <c r="I4527" s="62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7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7">
        <v>251429</v>
      </c>
      <c r="F4528" s="31" t="str">
        <f>IFERROR(VLOOKUP(E4528,BD!$L$2:$Q$244,2,0),0)</f>
        <v>SAN LUIS SIN GAS PET2500X6 STICKER</v>
      </c>
      <c r="G4528" s="424">
        <v>1440</v>
      </c>
      <c r="H4528" s="31">
        <f>+IFERROR(VLOOKUP(E4528,BD!$L$2:$Q$244,6,0),0)</f>
        <v>48</v>
      </c>
      <c r="I4528" s="62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7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7">
        <v>251406</v>
      </c>
      <c r="F4529" s="31" t="str">
        <f>IFERROR(VLOOKUP(E4529,BD!$L$2:$Q$244,2,0),0)</f>
        <v>COCA-COLA SIN AZUCAR PET 1.5LX2</v>
      </c>
      <c r="G4529" s="424">
        <v>1728</v>
      </c>
      <c r="H4529" s="31">
        <f>+IFERROR(VLOOKUP(E4529,BD!$L$2:$Q$244,6,0),0)</f>
        <v>198</v>
      </c>
      <c r="I4529" s="62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7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7">
        <v>256666</v>
      </c>
      <c r="F4530" s="31" t="str">
        <f>IFERROR(VLOOKUP(E4530,BD!$L$2:$Q$244,2,0),0)</f>
        <v>COCA-COLA PET 2.25LX2 RF</v>
      </c>
      <c r="G4530" s="424">
        <v>648</v>
      </c>
      <c r="H4530" s="31">
        <f>+IFERROR(VLOOKUP(E4530,BD!$L$2:$Q$244,6,0),0)</f>
        <v>162</v>
      </c>
      <c r="I4530" s="62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7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7">
        <v>256488</v>
      </c>
      <c r="F4531" s="31" t="str">
        <f>IFERROR(VLOOKUP(E4531,BD!$L$2:$Q$244,2,0),0)</f>
        <v>INCA KOLA PET 3LX2 - RF</v>
      </c>
      <c r="G4531" s="424">
        <v>10800</v>
      </c>
      <c r="H4531" s="31">
        <f>+IFERROR(VLOOKUP(E4531,BD!$L$2:$Q$244,6,0),0)</f>
        <v>120</v>
      </c>
      <c r="I4531" s="62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7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7">
        <v>256676</v>
      </c>
      <c r="F4532" s="31" t="str">
        <f>IFERROR(VLOOKUP(E4532,BD!$L$2:$Q$244,2,0),0)</f>
        <v>TWO PACK CC PFM 3LX2 - RFCC</v>
      </c>
      <c r="G4532" s="424">
        <v>4800</v>
      </c>
      <c r="H4532" s="31">
        <f>+IFERROR(VLOOKUP(E4532,BD!$L$2:$Q$244,6,0),0)</f>
        <v>120</v>
      </c>
      <c r="I4532" s="62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7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7">
        <v>256677</v>
      </c>
      <c r="F4533" s="31" t="str">
        <f>IFERROR(VLOOKUP(E4533,BD!$L$2:$Q$244,2,0),0)</f>
        <v>TWO PACK CC + IK PFM 3LX2 - RFNN</v>
      </c>
      <c r="G4533" s="424">
        <v>9600</v>
      </c>
      <c r="H4533" s="31">
        <f>+IFERROR(VLOOKUP(E4533,BD!$L$2:$Q$244,6,0),0)</f>
        <v>120</v>
      </c>
      <c r="I4533" s="62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7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7">
        <v>256679</v>
      </c>
      <c r="F4534" s="31" t="str">
        <f>IFERROR(VLOOKUP(E4534,BD!$L$2:$Q$244,2,0),0)</f>
        <v>TRIPACK CC+IK+IK PFM 3LX3 - RFNN</v>
      </c>
      <c r="G4534" s="424">
        <v>2160</v>
      </c>
      <c r="H4534" s="31">
        <f>+IFERROR(VLOOKUP(E4534,BD!$L$2:$Q$244,6,0),0)</f>
        <v>90</v>
      </c>
      <c r="I4534" s="62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7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7">
        <v>256678</v>
      </c>
      <c r="F4535" s="31" t="str">
        <f>IFERROR(VLOOKUP(E4535,BD!$L$2:$Q$244,2,0),0)</f>
        <v>TRIPACK (CC+IK)PFM+FT PET 3LX3 - RFNN</v>
      </c>
      <c r="G4535" s="424">
        <v>2880</v>
      </c>
      <c r="H4535" s="31">
        <f>+IFERROR(VLOOKUP(E4535,BD!$L$2:$Q$244,6,0),0)</f>
        <v>90</v>
      </c>
      <c r="I4535" s="62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7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7">
        <v>256682</v>
      </c>
      <c r="F4536" s="31" t="str">
        <f>IFERROR(VLOOKUP(E4536,BD!$L$2:$Q$244,2,0),0)</f>
        <v>TRIPACK (FT NAR+SP)PET+IK RF PFM 3L</v>
      </c>
      <c r="G4536" s="424">
        <v>180</v>
      </c>
      <c r="H4536" s="31">
        <f>+IFERROR(VLOOKUP(E4536,BD!$L$2:$Q$244,6,0),0)</f>
        <v>90</v>
      </c>
      <c r="I4536" s="62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7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7">
        <v>256708</v>
      </c>
      <c r="F4537" s="31" t="str">
        <f>IFERROR(VLOOKUP(E4537,BD!$L$2:$Q$244,2,0),0)</f>
        <v>POWERADE ION4 FRUTA PET473X6 MOD (STICK)</v>
      </c>
      <c r="G4537" s="424">
        <v>450</v>
      </c>
      <c r="H4537" s="31">
        <f>+IFERROR(VLOOKUP(E4537,BD!$L$2:$Q$244,6,0),0)</f>
        <v>225</v>
      </c>
      <c r="I4537" s="62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7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7">
        <v>256709</v>
      </c>
      <c r="F4538" s="31" t="str">
        <f>IFERROR(VLOOKUP(E4538,BD!$L$2:$Q$244,2,0),0)</f>
        <v>POWERADE ION4 MORA AZ PET473X6 MOD(STCK)</v>
      </c>
      <c r="G4538" s="424">
        <v>225</v>
      </c>
      <c r="H4538" s="31">
        <f>+IFERROR(VLOOKUP(E4538,BD!$L$2:$Q$244,6,0),0)</f>
        <v>225</v>
      </c>
      <c r="I4538" s="62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7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7">
        <v>256721</v>
      </c>
      <c r="F4539" s="31" t="str">
        <f>IFERROR(VLOOKUP(E4539,BD!$L$2:$Q$244,2,0),0)</f>
        <v>SPRITE PET 500MLX6 BRANDEADO MOD</v>
      </c>
      <c r="G4539" s="424">
        <v>250</v>
      </c>
      <c r="H4539" s="31">
        <f>+IFERROR(VLOOKUP(E4539,BD!$L$2:$Q$244,6,0),0)</f>
        <v>420</v>
      </c>
      <c r="I4539" s="62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7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7">
        <v>256721</v>
      </c>
      <c r="F4540" s="31" t="str">
        <f>IFERROR(VLOOKUP(E4540,BD!$L$2:$Q$244,2,0),0)</f>
        <v>SPRITE PET 500MLX6 BRANDEADO MOD</v>
      </c>
      <c r="G4540" s="424">
        <v>750</v>
      </c>
      <c r="H4540" s="31">
        <f>+IFERROR(VLOOKUP(E4540,BD!$L$2:$Q$244,6,0),0)</f>
        <v>420</v>
      </c>
      <c r="I4540" s="62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7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7">
        <v>256382</v>
      </c>
      <c r="F4541" s="31" t="str">
        <f>IFERROR(VLOOKUP(E4541,BD!$L$2:$Q$244,2,0),0)</f>
        <v>COCA COLA VR 296MLX24 - STICKER</v>
      </c>
      <c r="G4541" s="424">
        <v>160</v>
      </c>
      <c r="H4541" s="31">
        <f>+IFERROR(VLOOKUP(E4541,BD!$L$2:$Q$244,6,0),0)</f>
        <v>40</v>
      </c>
      <c r="I4541" s="62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7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7">
        <v>256381</v>
      </c>
      <c r="F4542" s="31" t="str">
        <f>IFERROR(VLOOKUP(E4542,BD!$L$2:$Q$244,2,0),0)</f>
        <v>INCA KOLA VR 1.5LX8 - STICKER</v>
      </c>
      <c r="G4542" s="424">
        <v>300</v>
      </c>
      <c r="H4542" s="31">
        <f>+IFERROR(VLOOKUP(E4542,BD!$L$2:$Q$244,6,0),0)</f>
        <v>30</v>
      </c>
      <c r="I4542" s="62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7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7">
        <v>256380</v>
      </c>
      <c r="F4543" s="31" t="str">
        <f>IFERROR(VLOOKUP(E4543,BD!$L$2:$Q$244,2,0),0)</f>
        <v>INCA KOLA VR 296MLX24 - STICKER</v>
      </c>
      <c r="G4543" s="424">
        <v>120</v>
      </c>
      <c r="H4543" s="31">
        <f>+IFERROR(VLOOKUP(E4543,BD!$L$2:$Q$244,6,0),0)</f>
        <v>40</v>
      </c>
      <c r="I4543" s="62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7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7">
        <v>254762</v>
      </c>
      <c r="F4544" s="31" t="str">
        <f>IFERROR(VLOOKUP(E4544,BD!$L$2:$Q$244,2,0),0)</f>
        <v xml:space="preserve">SAN LUIS SPORT S/G 10 Lt x6 </v>
      </c>
      <c r="G4544" s="424">
        <v>224</v>
      </c>
      <c r="H4544" s="31">
        <f>+IFERROR(VLOOKUP(E4544,BD!$L$2:$Q$244,6,0),0)</f>
        <v>240</v>
      </c>
      <c r="I4544" s="62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7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7">
        <v>751315</v>
      </c>
      <c r="F4545" s="31" t="str">
        <f>IFERROR(VLOOKUP(E4545,BD!$L$2:$Q$244,2,0),0)</f>
        <v>MONSTER ENERGY 473MLX4</v>
      </c>
      <c r="G4545" s="424">
        <v>2940</v>
      </c>
      <c r="H4545" s="31">
        <f>+IFERROR(VLOOKUP(E4545,BD!$L$2:$Q$244,6,0),0)</f>
        <v>420</v>
      </c>
      <c r="I4545" s="62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7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7">
        <v>251633</v>
      </c>
      <c r="F4546" s="31" t="str">
        <f>IFERROR(VLOOKUP(E4546,BD!$L$2:$Q$244,2,0),0)</f>
        <v>SAN LUIS CON GAS PET 625MLX6</v>
      </c>
      <c r="G4546" s="424">
        <v>900</v>
      </c>
      <c r="H4546" s="31">
        <f>+IFERROR(VLOOKUP(E4546,BD!$L$2:$Q$244,6,0),0)</f>
        <v>180</v>
      </c>
      <c r="I4546" s="62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7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7">
        <v>254853</v>
      </c>
      <c r="F4547" s="31" t="str">
        <f>IFERROR(VLOOKUP(E4547,BD!$L$2:$Q$244,2,0),0)</f>
        <v>INCA KOLA SIN AZUCAR PET 1.5LX2</v>
      </c>
      <c r="G4547" s="424">
        <v>2160</v>
      </c>
      <c r="H4547" s="31">
        <f>+IFERROR(VLOOKUP(E4547,BD!$L$2:$Q$244,6,0),0)</f>
        <v>198</v>
      </c>
      <c r="I4547" s="62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7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7">
        <v>256601</v>
      </c>
      <c r="F4548" s="31" t="str">
        <f>IFERROR(VLOOKUP(E4548,BD!$L$2:$Q$244,2,0),0)</f>
        <v>INCA KOLA PET 2.25LX2 RF</v>
      </c>
      <c r="G4548" s="424">
        <v>324</v>
      </c>
      <c r="H4548" s="31">
        <f>+IFERROR(VLOOKUP(E4548,BD!$L$2:$Q$244,6,0),0)</f>
        <v>162</v>
      </c>
      <c r="I4548" s="62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7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7">
        <v>256676</v>
      </c>
      <c r="F4549" s="31" t="str">
        <f>IFERROR(VLOOKUP(E4549,BD!$L$2:$Q$244,2,0),0)</f>
        <v>TWO PACK CC PFM 3LX2 - RFCC</v>
      </c>
      <c r="G4549" s="424">
        <v>1800</v>
      </c>
      <c r="H4549" s="31">
        <f>+IFERROR(VLOOKUP(E4549,BD!$L$2:$Q$244,6,0),0)</f>
        <v>120</v>
      </c>
      <c r="I4549" s="62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7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7">
        <v>256675</v>
      </c>
      <c r="F4550" s="31" t="str">
        <f>IFERROR(VLOOKUP(E4550,BD!$L$2:$Q$244,2,0),0)</f>
        <v>INCA KOLA PET 1.5LX2 RF</v>
      </c>
      <c r="G4550" s="424">
        <v>2160</v>
      </c>
      <c r="H4550" s="31">
        <f>+IFERROR(VLOOKUP(E4550,BD!$L$2:$Q$244,6,0),0)</f>
        <v>198</v>
      </c>
      <c r="I4550" s="62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7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7">
        <v>256652</v>
      </c>
      <c r="F4551" s="31" t="str">
        <f>IFERROR(VLOOKUP(E4551,BD!$L$2:$Q$244,2,0),0)</f>
        <v>TRIPACK FT NAR+FT KI+SP PET 3L</v>
      </c>
      <c r="G4551" s="424">
        <v>450</v>
      </c>
      <c r="H4551" s="31">
        <f>+IFERROR(VLOOKUP(E4551,BD!$L$2:$Q$244,6,0),0)</f>
        <v>90</v>
      </c>
      <c r="I4551" s="62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7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7">
        <v>256677</v>
      </c>
      <c r="F4552" s="31" t="str">
        <f>IFERROR(VLOOKUP(E4552,BD!$L$2:$Q$244,2,0),0)</f>
        <v>TWO PACK CC + IK PFM 3LX2 - RFNN</v>
      </c>
      <c r="G4552" s="424">
        <v>12000</v>
      </c>
      <c r="H4552" s="31">
        <f>+IFERROR(VLOOKUP(E4552,BD!$L$2:$Q$244,6,0),0)</f>
        <v>120</v>
      </c>
      <c r="I4552" s="62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7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7">
        <v>256680</v>
      </c>
      <c r="F4553" s="31" t="str">
        <f>IFERROR(VLOOKUP(E4553,BD!$L$2:$Q$244,2,0),0)</f>
        <v>TRIPACK CC+CC+IK PFM 3LX3 - RFNN</v>
      </c>
      <c r="G4553" s="424">
        <v>900</v>
      </c>
      <c r="H4553" s="31">
        <f>+IFERROR(VLOOKUP(E4553,BD!$L$2:$Q$244,6,0),0)</f>
        <v>90</v>
      </c>
      <c r="I4553" s="62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7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7">
        <v>256678</v>
      </c>
      <c r="F4554" s="31" t="str">
        <f>IFERROR(VLOOKUP(E4554,BD!$L$2:$Q$244,2,0),0)</f>
        <v>TRIPACK (CC+IK)PFM+FT PET 3LX3 - RFNN</v>
      </c>
      <c r="G4554" s="424">
        <v>3600</v>
      </c>
      <c r="H4554" s="31">
        <f>+IFERROR(VLOOKUP(E4554,BD!$L$2:$Q$244,6,0),0)</f>
        <v>90</v>
      </c>
      <c r="I4554" s="62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7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7">
        <v>256720</v>
      </c>
      <c r="F4555" s="31" t="str">
        <f>IFERROR(VLOOKUP(E4555,BD!$L$2:$Q$244,2,0),0)</f>
        <v>FANTA NARANJA PET 500MLX6 BRANDEADO MOD</v>
      </c>
      <c r="G4555" s="424">
        <v>500</v>
      </c>
      <c r="H4555" s="31">
        <f>+IFERROR(VLOOKUP(E4555,BD!$L$2:$Q$244,6,0),0)</f>
        <v>420</v>
      </c>
      <c r="I4555" s="62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7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7">
        <v>256383</v>
      </c>
      <c r="F4556" s="31" t="str">
        <f>IFERROR(VLOOKUP(E4556,BD!$L$2:$Q$244,2,0),0)</f>
        <v>COCA COLA VR 1.5LX8 - STICKER</v>
      </c>
      <c r="G4556" s="424">
        <v>210</v>
      </c>
      <c r="H4556" s="31">
        <f>+IFERROR(VLOOKUP(E4556,BD!$L$2:$Q$244,6,0),0)</f>
        <v>30</v>
      </c>
      <c r="I4556" s="62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7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7">
        <v>256381</v>
      </c>
      <c r="F4557" s="31" t="str">
        <f>IFERROR(VLOOKUP(E4557,BD!$L$2:$Q$244,2,0),0)</f>
        <v>INCA KOLA VR 1.5LX8 - STICKER</v>
      </c>
      <c r="G4557" s="424">
        <v>60</v>
      </c>
      <c r="H4557" s="31">
        <f>+IFERROR(VLOOKUP(E4557,BD!$L$2:$Q$244,6,0),0)</f>
        <v>30</v>
      </c>
      <c r="I4557" s="62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7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7">
        <v>256379</v>
      </c>
      <c r="F4558" s="31" t="str">
        <f>IFERROR(VLOOKUP(E4558,BD!$L$2:$Q$244,2,0),0)</f>
        <v>INCA KOLA VR 625MLX12 - STICKER</v>
      </c>
      <c r="G4558" s="424">
        <v>450</v>
      </c>
      <c r="H4558" s="31">
        <f>+IFERROR(VLOOKUP(E4558,BD!$L$2:$Q$244,6,0),0)</f>
        <v>50</v>
      </c>
      <c r="I4558" s="62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7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7">
        <v>751315</v>
      </c>
      <c r="F4559" s="31" t="str">
        <f>IFERROR(VLOOKUP(E4559,BD!$L$2:$Q$244,2,0),0)</f>
        <v>MONSTER ENERGY 473MLX4</v>
      </c>
      <c r="G4559" s="424">
        <v>840</v>
      </c>
      <c r="H4559" s="31">
        <f>+IFERROR(VLOOKUP(E4559,BD!$L$2:$Q$244,6,0),0)</f>
        <v>420</v>
      </c>
      <c r="I4559" s="62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7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7">
        <v>254853</v>
      </c>
      <c r="F4560" s="31" t="str">
        <f>IFERROR(VLOOKUP(E4560,BD!$L$2:$Q$244,2,0),0)</f>
        <v>INCA KOLA SIN AZUCAR PET 1.5LX2</v>
      </c>
      <c r="G4560" s="424">
        <v>1296</v>
      </c>
      <c r="H4560" s="31">
        <f>+IFERROR(VLOOKUP(E4560,BD!$L$2:$Q$244,6,0),0)</f>
        <v>198</v>
      </c>
      <c r="I4560" s="62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7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7">
        <v>256488</v>
      </c>
      <c r="F4561" s="31" t="str">
        <f>IFERROR(VLOOKUP(E4561,BD!$L$2:$Q$244,2,0),0)</f>
        <v>INCA KOLA PET 3LX2 - RF</v>
      </c>
      <c r="G4561" s="424">
        <v>3600</v>
      </c>
      <c r="H4561" s="31">
        <f>+IFERROR(VLOOKUP(E4561,BD!$L$2:$Q$244,6,0),0)</f>
        <v>120</v>
      </c>
      <c r="I4561" s="62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7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7">
        <v>256676</v>
      </c>
      <c r="F4562" s="31" t="str">
        <f>IFERROR(VLOOKUP(E4562,BD!$L$2:$Q$244,2,0),0)</f>
        <v>TWO PACK CC PFM 3LX2 - RFCC</v>
      </c>
      <c r="G4562" s="424">
        <v>2400</v>
      </c>
      <c r="H4562" s="31">
        <f>+IFERROR(VLOOKUP(E4562,BD!$L$2:$Q$244,6,0),0)</f>
        <v>120</v>
      </c>
      <c r="I4562" s="62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7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7">
        <v>256652</v>
      </c>
      <c r="F4563" s="31" t="str">
        <f>IFERROR(VLOOKUP(E4563,BD!$L$2:$Q$244,2,0),0)</f>
        <v>TRIPACK FT NAR+FT KI+SP PET 3L</v>
      </c>
      <c r="G4563" s="424">
        <v>720</v>
      </c>
      <c r="H4563" s="31">
        <f>+IFERROR(VLOOKUP(E4563,BD!$L$2:$Q$244,6,0),0)</f>
        <v>90</v>
      </c>
      <c r="I4563" s="62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7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7">
        <v>256677</v>
      </c>
      <c r="F4564" s="31" t="str">
        <f>IFERROR(VLOOKUP(E4564,BD!$L$2:$Q$244,2,0),0)</f>
        <v>TWO PACK CC + IK PFM 3LX2 - RFNN</v>
      </c>
      <c r="G4564" s="424">
        <v>12000</v>
      </c>
      <c r="H4564" s="31">
        <f>+IFERROR(VLOOKUP(E4564,BD!$L$2:$Q$244,6,0),0)</f>
        <v>120</v>
      </c>
      <c r="I4564" s="62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7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7">
        <v>256768</v>
      </c>
      <c r="F4565" s="31" t="str">
        <f>IFERROR(VLOOKUP(E4565,BD!$L$2:$Q$244,2,0),0)</f>
        <v>PW 2MOR + 6FRU 473ML X 8 PUC</v>
      </c>
      <c r="G4565" s="424">
        <v>1925</v>
      </c>
      <c r="H4565" s="31">
        <f>+IFERROR(VLOOKUP(E4565,BD!$L$2:$Q$244,6,0),0)</f>
        <v>175</v>
      </c>
      <c r="I4565" s="62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7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7">
        <v>256695</v>
      </c>
      <c r="F4566" s="31" t="str">
        <f>IFERROR(VLOOKUP(E4566,BD!$L$2:$Q$244,2,0),0)</f>
        <v>POWERADE 3MORA+3FRUT PET 473MLX6</v>
      </c>
      <c r="G4566" s="424">
        <v>1350</v>
      </c>
      <c r="H4566" s="31">
        <f>+IFERROR(VLOOKUP(E4566,BD!$L$2:$Q$244,6,0),0)</f>
        <v>225</v>
      </c>
      <c r="I4566" s="62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7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7">
        <v>251429</v>
      </c>
      <c r="F4567" s="31" t="str">
        <f>IFERROR(VLOOKUP(E4567,BD!$L$2:$Q$244,2,0),0)</f>
        <v>SAN LUIS SIN GAS PET2500X6 STICKER</v>
      </c>
      <c r="G4567" s="424">
        <v>1440</v>
      </c>
      <c r="H4567" s="31">
        <f>+IFERROR(VLOOKUP(E4567,BD!$L$2:$Q$244,6,0),0)</f>
        <v>48</v>
      </c>
      <c r="I4567" s="62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7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7">
        <v>751315</v>
      </c>
      <c r="F4568" s="31" t="str">
        <f>IFERROR(VLOOKUP(E4568,BD!$L$2:$Q$244,2,0),0)</f>
        <v>MONSTER ENERGY 473MLX4</v>
      </c>
      <c r="G4568" s="424">
        <v>1260</v>
      </c>
      <c r="H4568" s="31">
        <f>+IFERROR(VLOOKUP(E4568,BD!$L$2:$Q$244,6,0),0)</f>
        <v>420</v>
      </c>
      <c r="I4568" s="62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7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7">
        <v>751468</v>
      </c>
      <c r="F4569" s="31" t="str">
        <f>IFERROR(VLOOKUP(E4569,BD!$L$2:$Q$244,2,0),0)</f>
        <v>MONSTER ENERGY ULTRA 473MLX4</v>
      </c>
      <c r="G4569" s="424">
        <v>840</v>
      </c>
      <c r="H4569" s="31">
        <f>+IFERROR(VLOOKUP(E4569,BD!$L$2:$Q$244,6,0),0)</f>
        <v>420</v>
      </c>
      <c r="I4569" s="62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7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7">
        <v>254853</v>
      </c>
      <c r="F4570" s="31" t="str">
        <f>IFERROR(VLOOKUP(E4570,BD!$L$2:$Q$244,2,0),0)</f>
        <v>INCA KOLA SIN AZUCAR PET 1.5LX2</v>
      </c>
      <c r="G4570" s="424">
        <v>864</v>
      </c>
      <c r="H4570" s="31">
        <f>+IFERROR(VLOOKUP(E4570,BD!$L$2:$Q$244,6,0),0)</f>
        <v>198</v>
      </c>
      <c r="I4570" s="62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7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7">
        <v>256488</v>
      </c>
      <c r="F4571" s="31" t="str">
        <f>IFERROR(VLOOKUP(E4571,BD!$L$2:$Q$244,2,0),0)</f>
        <v>INCA KOLA PET 3LX2 - RF</v>
      </c>
      <c r="G4571" s="424">
        <v>2400</v>
      </c>
      <c r="H4571" s="31">
        <f>+IFERROR(VLOOKUP(E4571,BD!$L$2:$Q$244,6,0),0)</f>
        <v>120</v>
      </c>
      <c r="I4571" s="62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7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7">
        <v>256680</v>
      </c>
      <c r="F4572" s="31" t="str">
        <f>IFERROR(VLOOKUP(E4572,BD!$L$2:$Q$244,2,0),0)</f>
        <v>TRIPACK CC+CC+IK PFM 3LX3 - RFNN</v>
      </c>
      <c r="G4572" s="424">
        <v>450</v>
      </c>
      <c r="H4572" s="31">
        <f>+IFERROR(VLOOKUP(E4572,BD!$L$2:$Q$244,6,0),0)</f>
        <v>90</v>
      </c>
      <c r="I4572" s="62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7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7">
        <v>256682</v>
      </c>
      <c r="F4573" s="31" t="str">
        <f>IFERROR(VLOOKUP(E4573,BD!$L$2:$Q$244,2,0),0)</f>
        <v>TRIPACK (FT NAR+SP)PET+IK RF PFM 3L</v>
      </c>
      <c r="G4573" s="424">
        <v>450</v>
      </c>
      <c r="H4573" s="31">
        <f>+IFERROR(VLOOKUP(E4573,BD!$L$2:$Q$244,6,0),0)</f>
        <v>90</v>
      </c>
      <c r="I4573" s="62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7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7">
        <v>256695</v>
      </c>
      <c r="F4574" s="31" t="str">
        <f>IFERROR(VLOOKUP(E4574,BD!$L$2:$Q$244,2,0),0)</f>
        <v>POWERADE 3MORA+3FRUT PET 473MLX6</v>
      </c>
      <c r="G4574" s="424">
        <v>675</v>
      </c>
      <c r="H4574" s="31">
        <f>+IFERROR(VLOOKUP(E4574,BD!$L$2:$Q$244,6,0),0)</f>
        <v>225</v>
      </c>
      <c r="I4574" s="62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7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7">
        <v>256720</v>
      </c>
      <c r="F4575" s="31" t="str">
        <f>IFERROR(VLOOKUP(E4575,BD!$L$2:$Q$244,2,0),0)</f>
        <v>FANTA NARANJA PET 500MLX6 BRANDEADO MOD</v>
      </c>
      <c r="G4575" s="424">
        <v>500</v>
      </c>
      <c r="H4575" s="31">
        <f>+IFERROR(VLOOKUP(E4575,BD!$L$2:$Q$244,6,0),0)</f>
        <v>420</v>
      </c>
      <c r="I4575" s="62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7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7">
        <v>256721</v>
      </c>
      <c r="F4576" s="31" t="str">
        <f>IFERROR(VLOOKUP(E4576,BD!$L$2:$Q$244,2,0),0)</f>
        <v>SPRITE PET 500MLX6 BRANDEADO MOD</v>
      </c>
      <c r="G4576" s="424">
        <v>250</v>
      </c>
      <c r="H4576" s="31">
        <f>+IFERROR(VLOOKUP(E4576,BD!$L$2:$Q$244,6,0),0)</f>
        <v>420</v>
      </c>
      <c r="I4576" s="62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7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7">
        <v>256381</v>
      </c>
      <c r="F4577" s="31" t="str">
        <f>IFERROR(VLOOKUP(E4577,BD!$L$2:$Q$244,2,0),0)</f>
        <v>INCA KOLA VR 1.5LX8 - STICKER</v>
      </c>
      <c r="G4577" s="424">
        <v>150</v>
      </c>
      <c r="H4577" s="31">
        <f>+IFERROR(VLOOKUP(E4577,BD!$L$2:$Q$244,6,0),0)</f>
        <v>30</v>
      </c>
      <c r="I4577" s="62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7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7">
        <v>256380</v>
      </c>
      <c r="F4578" s="31" t="str">
        <f>IFERROR(VLOOKUP(E4578,BD!$L$2:$Q$244,2,0),0)</f>
        <v>INCA KOLA VR 296MLX24 - STICKER</v>
      </c>
      <c r="G4578" s="424">
        <v>80</v>
      </c>
      <c r="H4578" s="31">
        <f>+IFERROR(VLOOKUP(E4578,BD!$L$2:$Q$244,6,0),0)</f>
        <v>40</v>
      </c>
      <c r="I4578" s="62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7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7">
        <v>256379</v>
      </c>
      <c r="F4579" s="31" t="str">
        <f>IFERROR(VLOOKUP(E4579,BD!$L$2:$Q$244,2,0),0)</f>
        <v>INCA KOLA VR 625MLX12 - STICKER</v>
      </c>
      <c r="G4579" s="424">
        <v>350</v>
      </c>
      <c r="H4579" s="31">
        <f>+IFERROR(VLOOKUP(E4579,BD!$L$2:$Q$244,6,0),0)</f>
        <v>50</v>
      </c>
      <c r="I4579" s="62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7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7">
        <v>256616</v>
      </c>
      <c r="F4580" s="31" t="str">
        <f>IFERROR(VLOOKUP(E4580,BD!$L$2:$Q$244,2,0),0)</f>
        <v>TWO PACK SCHWEPPES CITRUS PET 1.5LX2</v>
      </c>
      <c r="G4580" s="424">
        <v>1386</v>
      </c>
      <c r="H4580" s="31">
        <f>+IFERROR(VLOOKUP(E4580,BD!$L$2:$Q$244,6,0),0)</f>
        <v>198</v>
      </c>
      <c r="I4580" s="62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7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7">
        <v>256617</v>
      </c>
      <c r="F4581" s="31" t="str">
        <f>IFERROR(VLOOKUP(E4581,BD!$L$2:$Q$244,2,0),0)</f>
        <v>TWO PACK SCHWEPPES GINGER ALE PET 1.5LX2</v>
      </c>
      <c r="G4581" s="424">
        <v>396</v>
      </c>
      <c r="H4581" s="31">
        <f>+IFERROR(VLOOKUP(E4581,BD!$L$2:$Q$244,6,0),0)</f>
        <v>198</v>
      </c>
      <c r="I4581" s="62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7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7">
        <v>256674</v>
      </c>
      <c r="F4582" s="31" t="str">
        <f>IFERROR(VLOOKUP(E4582,BD!$L$2:$Q$244,2,0),0)</f>
        <v>COCA-COLA PET 1.5LX2 RF</v>
      </c>
      <c r="G4582" s="424">
        <v>2376</v>
      </c>
      <c r="H4582" s="31">
        <f>+IFERROR(VLOOKUP(E4582,BD!$L$2:$Q$244,6,0),0)</f>
        <v>198</v>
      </c>
      <c r="I4582" s="62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7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7">
        <v>256675</v>
      </c>
      <c r="F4583" s="31" t="str">
        <f>IFERROR(VLOOKUP(E4583,BD!$L$2:$Q$244,2,0),0)</f>
        <v>INCA KOLA PET 1.5LX2 RF</v>
      </c>
      <c r="G4583" s="424">
        <v>1944</v>
      </c>
      <c r="H4583" s="31">
        <f>+IFERROR(VLOOKUP(E4583,BD!$L$2:$Q$244,6,0),0)</f>
        <v>198</v>
      </c>
      <c r="I4583" s="62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7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7">
        <v>256652</v>
      </c>
      <c r="F4584" s="31" t="str">
        <f>IFERROR(VLOOKUP(E4584,BD!$L$2:$Q$244,2,0),0)</f>
        <v>TRIPACK FT NAR+FT KI+SP PET 3L</v>
      </c>
      <c r="G4584" s="424">
        <v>360</v>
      </c>
      <c r="H4584" s="31">
        <f>+IFERROR(VLOOKUP(E4584,BD!$L$2:$Q$244,6,0),0)</f>
        <v>90</v>
      </c>
      <c r="I4584" s="62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7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7">
        <v>256677</v>
      </c>
      <c r="F4585" s="31" t="str">
        <f>IFERROR(VLOOKUP(E4585,BD!$L$2:$Q$244,2,0),0)</f>
        <v>TWO PACK CC + IK PFM 3LX2 - RFNN</v>
      </c>
      <c r="G4585" s="424">
        <v>12000</v>
      </c>
      <c r="H4585" s="31">
        <f>+IFERROR(VLOOKUP(E4585,BD!$L$2:$Q$244,6,0),0)</f>
        <v>120</v>
      </c>
      <c r="I4585" s="62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7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7">
        <v>256680</v>
      </c>
      <c r="F4586" s="31" t="str">
        <f>IFERROR(VLOOKUP(E4586,BD!$L$2:$Q$244,2,0),0)</f>
        <v>TRIPACK CC+CC+IK PFM 3LX3 - RFNN</v>
      </c>
      <c r="G4586" s="424">
        <v>450</v>
      </c>
      <c r="H4586" s="31">
        <f>+IFERROR(VLOOKUP(E4586,BD!$L$2:$Q$244,6,0),0)</f>
        <v>90</v>
      </c>
      <c r="I4586" s="62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7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7">
        <v>256678</v>
      </c>
      <c r="F4587" s="31" t="str">
        <f>IFERROR(VLOOKUP(E4587,BD!$L$2:$Q$244,2,0),0)</f>
        <v>TRIPACK (CC+IK)PFM+FT PET 3LX3 - RFNN</v>
      </c>
      <c r="G4587" s="424">
        <v>1800</v>
      </c>
      <c r="H4587" s="31">
        <f>+IFERROR(VLOOKUP(E4587,BD!$L$2:$Q$244,6,0),0)</f>
        <v>90</v>
      </c>
      <c r="I4587" s="62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7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7">
        <v>256695</v>
      </c>
      <c r="F4588" s="31" t="str">
        <f>IFERROR(VLOOKUP(E4588,BD!$L$2:$Q$244,2,0),0)</f>
        <v>POWERADE 3MORA+3FRUT PET 473MLX6</v>
      </c>
      <c r="G4588" s="424">
        <v>2025</v>
      </c>
      <c r="H4588" s="31">
        <f>+IFERROR(VLOOKUP(E4588,BD!$L$2:$Q$244,6,0),0)</f>
        <v>225</v>
      </c>
      <c r="I4588" s="62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7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7">
        <v>256708</v>
      </c>
      <c r="F4589" s="31" t="str">
        <f>IFERROR(VLOOKUP(E4589,BD!$L$2:$Q$244,2,0),0)</f>
        <v>POWERADE ION4 FRUTA PET473X6 MOD (STICK)</v>
      </c>
      <c r="G4589" s="424">
        <v>225</v>
      </c>
      <c r="H4589" s="31">
        <f>+IFERROR(VLOOKUP(E4589,BD!$L$2:$Q$244,6,0),0)</f>
        <v>225</v>
      </c>
      <c r="I4589" s="62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7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7">
        <v>256768</v>
      </c>
      <c r="F4590" s="31" t="str">
        <f>IFERROR(VLOOKUP(E4590,BD!$L$2:$Q$244,2,0),0)</f>
        <v>PW 2MOR + 6FRU 473ML X 8 PUC</v>
      </c>
      <c r="G4590" s="424">
        <v>1750</v>
      </c>
      <c r="H4590" s="31">
        <f>+IFERROR(VLOOKUP(E4590,BD!$L$2:$Q$244,6,0),0)</f>
        <v>175</v>
      </c>
      <c r="I4590" s="62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7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7">
        <v>251633</v>
      </c>
      <c r="F4591" s="31" t="str">
        <f>IFERROR(VLOOKUP(E4591,BD!$L$2:$Q$244,2,0),0)</f>
        <v>SAN LUIS CON GAS PET 625MLX6</v>
      </c>
      <c r="G4591" s="424">
        <v>900</v>
      </c>
      <c r="H4591" s="31">
        <f>+IFERROR(VLOOKUP(E4591,BD!$L$2:$Q$244,6,0),0)</f>
        <v>180</v>
      </c>
      <c r="I4591" s="62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7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7">
        <v>256617</v>
      </c>
      <c r="F4592" s="31" t="str">
        <f>IFERROR(VLOOKUP(E4592,BD!$L$2:$Q$244,2,0),0)</f>
        <v>TWO PACK SCHWEPPES GINGER ALE PET 1.5LX2</v>
      </c>
      <c r="G4592" s="424">
        <v>1386</v>
      </c>
      <c r="H4592" s="31">
        <f>+IFERROR(VLOOKUP(E4592,BD!$L$2:$Q$244,6,0),0)</f>
        <v>198</v>
      </c>
      <c r="I4592" s="62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7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7">
        <v>256666</v>
      </c>
      <c r="F4593" s="31" t="str">
        <f>IFERROR(VLOOKUP(E4593,BD!$L$2:$Q$244,2,0),0)</f>
        <v>COCA-COLA PET 2.25LX2 RF</v>
      </c>
      <c r="G4593" s="424">
        <v>648</v>
      </c>
      <c r="H4593" s="31">
        <f>+IFERROR(VLOOKUP(E4593,BD!$L$2:$Q$244,6,0),0)</f>
        <v>162</v>
      </c>
      <c r="I4593" s="62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7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7">
        <v>256601</v>
      </c>
      <c r="F4594" s="31" t="str">
        <f>IFERROR(VLOOKUP(E4594,BD!$L$2:$Q$244,2,0),0)</f>
        <v>INCA KOLA PET 2.25LX2 RF</v>
      </c>
      <c r="G4594" s="424">
        <v>486</v>
      </c>
      <c r="H4594" s="31">
        <f>+IFERROR(VLOOKUP(E4594,BD!$L$2:$Q$244,6,0),0)</f>
        <v>162</v>
      </c>
      <c r="I4594" s="62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7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7">
        <v>256488</v>
      </c>
      <c r="F4595" s="31" t="str">
        <f>IFERROR(VLOOKUP(E4595,BD!$L$2:$Q$244,2,0),0)</f>
        <v>INCA KOLA PET 3LX2 - RF</v>
      </c>
      <c r="G4595" s="424">
        <v>2400</v>
      </c>
      <c r="H4595" s="31">
        <f>+IFERROR(VLOOKUP(E4595,BD!$L$2:$Q$244,6,0),0)</f>
        <v>120</v>
      </c>
      <c r="I4595" s="62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7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7">
        <v>256674</v>
      </c>
      <c r="F4596" s="31" t="str">
        <f>IFERROR(VLOOKUP(E4596,BD!$L$2:$Q$244,2,0),0)</f>
        <v>COCA-COLA PET 1.5LX2 RF</v>
      </c>
      <c r="G4596" s="424">
        <v>864</v>
      </c>
      <c r="H4596" s="31">
        <f>+IFERROR(VLOOKUP(E4596,BD!$L$2:$Q$244,6,0),0)</f>
        <v>198</v>
      </c>
      <c r="I4596" s="62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7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7">
        <v>256652</v>
      </c>
      <c r="F4597" s="31" t="str">
        <f>IFERROR(VLOOKUP(E4597,BD!$L$2:$Q$244,2,0),0)</f>
        <v>TRIPACK FT NAR+FT KI+SP PET 3L</v>
      </c>
      <c r="G4597" s="424">
        <v>540</v>
      </c>
      <c r="H4597" s="31">
        <f>+IFERROR(VLOOKUP(E4597,BD!$L$2:$Q$244,6,0),0)</f>
        <v>90</v>
      </c>
      <c r="I4597" s="62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7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7">
        <v>256674</v>
      </c>
      <c r="F4598" s="31" t="str">
        <f>IFERROR(VLOOKUP(E4598,BD!$L$2:$Q$244,2,0),0)</f>
        <v>COCA-COLA PET 1.5LX2 RF</v>
      </c>
      <c r="G4598" s="424">
        <v>900</v>
      </c>
      <c r="H4598" s="31">
        <f>+IFERROR(VLOOKUP(E4598,BD!$L$2:$Q$244,6,0),0)</f>
        <v>198</v>
      </c>
      <c r="I4598" s="62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7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7">
        <v>256695</v>
      </c>
      <c r="F4599" s="31" t="str">
        <f>IFERROR(VLOOKUP(E4599,BD!$L$2:$Q$244,2,0),0)</f>
        <v>POWERADE 3MORA+3FRUT PET 473MLX6</v>
      </c>
      <c r="G4599" s="424">
        <v>1575</v>
      </c>
      <c r="H4599" s="31">
        <f>+IFERROR(VLOOKUP(E4599,BD!$L$2:$Q$244,6,0),0)</f>
        <v>225</v>
      </c>
      <c r="I4599" s="62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7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7">
        <v>256708</v>
      </c>
      <c r="F4600" s="31" t="str">
        <f>IFERROR(VLOOKUP(E4600,BD!$L$2:$Q$244,2,0),0)</f>
        <v>POWERADE ION4 FRUTA PET473X6 MOD (STICK)</v>
      </c>
      <c r="G4600" s="424">
        <v>1350</v>
      </c>
      <c r="H4600" s="31">
        <f>+IFERROR(VLOOKUP(E4600,BD!$L$2:$Q$244,6,0),0)</f>
        <v>225</v>
      </c>
      <c r="I4600" s="62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7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7">
        <v>256720</v>
      </c>
      <c r="F4601" s="31" t="str">
        <f>IFERROR(VLOOKUP(E4601,BD!$L$2:$Q$244,2,0),0)</f>
        <v>FANTA NARANJA PET 500MLX6 BRANDEADO MOD</v>
      </c>
      <c r="G4601" s="424">
        <v>500</v>
      </c>
      <c r="H4601" s="31">
        <f>+IFERROR(VLOOKUP(E4601,BD!$L$2:$Q$244,6,0),0)</f>
        <v>420</v>
      </c>
      <c r="I4601" s="62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7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7">
        <v>251429</v>
      </c>
      <c r="F4602" s="31" t="str">
        <f>IFERROR(VLOOKUP(E4602,BD!$L$2:$Q$244,2,0),0)</f>
        <v>SAN LUIS SIN GAS PET2500X6 STICKER</v>
      </c>
      <c r="G4602" s="424">
        <v>960</v>
      </c>
      <c r="H4602" s="31">
        <f>+IFERROR(VLOOKUP(E4602,BD!$L$2:$Q$244,6,0),0)</f>
        <v>48</v>
      </c>
      <c r="I4602" s="62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7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7">
        <v>251406</v>
      </c>
      <c r="F4603" s="31" t="str">
        <f>IFERROR(VLOOKUP(E4603,BD!$L$2:$Q$244,2,0),0)</f>
        <v>COCA-COLA SIN AZUCAR PET 1.5LX2</v>
      </c>
      <c r="G4603" s="424">
        <v>3240</v>
      </c>
      <c r="H4603" s="31">
        <f>+IFERROR(VLOOKUP(E4603,BD!$L$2:$Q$244,6,0),0)</f>
        <v>198</v>
      </c>
      <c r="I4603" s="62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7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7">
        <v>254853</v>
      </c>
      <c r="F4604" s="31" t="str">
        <f>IFERROR(VLOOKUP(E4604,BD!$L$2:$Q$244,2,0),0)</f>
        <v>INCA KOLA SIN AZUCAR PET 1.5LX2</v>
      </c>
      <c r="G4604" s="424">
        <v>432</v>
      </c>
      <c r="H4604" s="31">
        <f>+IFERROR(VLOOKUP(E4604,BD!$L$2:$Q$244,6,0),0)</f>
        <v>198</v>
      </c>
      <c r="I4604" s="62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7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7">
        <v>256677</v>
      </c>
      <c r="F4605" s="31" t="str">
        <f>IFERROR(VLOOKUP(E4605,BD!$L$2:$Q$244,2,0),0)</f>
        <v>TWO PACK CC + IK PFM 3LX2 - RFNN</v>
      </c>
      <c r="G4605" s="424">
        <v>720</v>
      </c>
      <c r="H4605" s="31">
        <f>+IFERROR(VLOOKUP(E4605,BD!$L$2:$Q$244,6,0),0)</f>
        <v>120</v>
      </c>
      <c r="I4605" s="62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7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7">
        <v>256679</v>
      </c>
      <c r="F4606" s="31" t="str">
        <f>IFERROR(VLOOKUP(E4606,BD!$L$2:$Q$244,2,0),0)</f>
        <v>TRIPACK CC+IK+IK PFM 3LX3 - RFNN</v>
      </c>
      <c r="G4606" s="424">
        <v>2160</v>
      </c>
      <c r="H4606" s="31">
        <f>+IFERROR(VLOOKUP(E4606,BD!$L$2:$Q$244,6,0),0)</f>
        <v>90</v>
      </c>
      <c r="I4606" s="62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7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7">
        <v>256381</v>
      </c>
      <c r="F4607" s="31" t="str">
        <f>IFERROR(VLOOKUP(E4607,BD!$L$2:$Q$244,2,0),0)</f>
        <v>INCA KOLA VR 1.5LX8 - STICKER</v>
      </c>
      <c r="G4607" s="424">
        <v>150</v>
      </c>
      <c r="H4607" s="31">
        <f>+IFERROR(VLOOKUP(E4607,BD!$L$2:$Q$244,6,0),0)</f>
        <v>30</v>
      </c>
      <c r="I4607" s="62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7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7">
        <v>256379</v>
      </c>
      <c r="F4608" s="31" t="str">
        <f>IFERROR(VLOOKUP(E4608,BD!$L$2:$Q$244,2,0),0)</f>
        <v>INCA KOLA VR 625MLX12 - STICKER</v>
      </c>
      <c r="G4608" s="424">
        <v>200</v>
      </c>
      <c r="H4608" s="31">
        <f>+IFERROR(VLOOKUP(E4608,BD!$L$2:$Q$244,6,0),0)</f>
        <v>50</v>
      </c>
      <c r="I4608" s="62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7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7">
        <v>254762</v>
      </c>
      <c r="F4609" s="31" t="str">
        <f>IFERROR(VLOOKUP(E4609,BD!$L$2:$Q$244,2,0),0)</f>
        <v xml:space="preserve">SAN LUIS SPORT S/G 10 Lt x6 </v>
      </c>
      <c r="G4609" s="424">
        <v>112</v>
      </c>
      <c r="H4609" s="31">
        <f>+IFERROR(VLOOKUP(E4609,BD!$L$2:$Q$244,6,0),0)</f>
        <v>240</v>
      </c>
      <c r="I4609" s="62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7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7">
        <v>256685</v>
      </c>
      <c r="F4610" s="31" t="str">
        <f>IFERROR(VLOOKUP(E4610,BD!$L$2:$Q$244,2,0),0)</f>
        <v>SL S/G TAPA PLANA 1LT</v>
      </c>
      <c r="G4610" s="424">
        <v>448</v>
      </c>
      <c r="H4610" s="31">
        <f>+IFERROR(VLOOKUP(E4610,BD!$L$2:$Q$244,6,0),0)</f>
        <v>112</v>
      </c>
      <c r="I4610" s="62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7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7">
        <v>751315</v>
      </c>
      <c r="F4611" s="31" t="str">
        <f>IFERROR(VLOOKUP(E4611,BD!$L$2:$Q$244,2,0),0)</f>
        <v>MONSTER ENERGY 473MLX4</v>
      </c>
      <c r="G4611" s="424">
        <v>2940</v>
      </c>
      <c r="H4611" s="31">
        <f>+IFERROR(VLOOKUP(E4611,BD!$L$2:$Q$244,6,0),0)</f>
        <v>420</v>
      </c>
      <c r="I4611" s="62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7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7">
        <v>254853</v>
      </c>
      <c r="F4612" s="31" t="str">
        <f>IFERROR(VLOOKUP(E4612,BD!$L$2:$Q$244,2,0),0)</f>
        <v>INCA KOLA SIN AZUCAR PET 1.5LX2</v>
      </c>
      <c r="G4612" s="424">
        <v>1728</v>
      </c>
      <c r="H4612" s="31">
        <f>+IFERROR(VLOOKUP(E4612,BD!$L$2:$Q$244,6,0),0)</f>
        <v>198</v>
      </c>
      <c r="I4612" s="62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7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7">
        <v>256676</v>
      </c>
      <c r="F4613" s="31" t="str">
        <f>IFERROR(VLOOKUP(E4613,BD!$L$2:$Q$244,2,0),0)</f>
        <v>TWO PACK CC PFM 3LX2 - RFCC</v>
      </c>
      <c r="G4613" s="424">
        <v>2400</v>
      </c>
      <c r="H4613" s="31">
        <f>+IFERROR(VLOOKUP(E4613,BD!$L$2:$Q$244,6,0),0)</f>
        <v>120</v>
      </c>
      <c r="I4613" s="62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7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7">
        <v>256674</v>
      </c>
      <c r="F4614" s="31" t="str">
        <f>IFERROR(VLOOKUP(E4614,BD!$L$2:$Q$244,2,0),0)</f>
        <v>COCA-COLA PET 1.5LX2 RF</v>
      </c>
      <c r="G4614" s="424">
        <v>1080</v>
      </c>
      <c r="H4614" s="31">
        <f>+IFERROR(VLOOKUP(E4614,BD!$L$2:$Q$244,6,0),0)</f>
        <v>198</v>
      </c>
      <c r="I4614" s="62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7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7">
        <v>256652</v>
      </c>
      <c r="F4615" s="31" t="str">
        <f>IFERROR(VLOOKUP(E4615,BD!$L$2:$Q$244,2,0),0)</f>
        <v>TRIPACK FT NAR+FT KI+SP PET 3L</v>
      </c>
      <c r="G4615" s="424">
        <v>450</v>
      </c>
      <c r="H4615" s="31">
        <f>+IFERROR(VLOOKUP(E4615,BD!$L$2:$Q$244,6,0),0)</f>
        <v>90</v>
      </c>
      <c r="I4615" s="62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7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7">
        <v>256677</v>
      </c>
      <c r="F4616" s="31" t="str">
        <f>IFERROR(VLOOKUP(E4616,BD!$L$2:$Q$244,2,0),0)</f>
        <v>TWO PACK CC + IK PFM 3LX2 - RFNN</v>
      </c>
      <c r="G4616" s="424">
        <v>5040</v>
      </c>
      <c r="H4616" s="31">
        <f>+IFERROR(VLOOKUP(E4616,BD!$L$2:$Q$244,6,0),0)</f>
        <v>120</v>
      </c>
      <c r="I4616" s="62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7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7">
        <v>256679</v>
      </c>
      <c r="F4617" s="31" t="str">
        <f>IFERROR(VLOOKUP(E4617,BD!$L$2:$Q$244,2,0),0)</f>
        <v>TRIPACK CC+IK+IK PFM 3LX3 - RFNN</v>
      </c>
      <c r="G4617" s="424">
        <v>720</v>
      </c>
      <c r="H4617" s="31">
        <f>+IFERROR(VLOOKUP(E4617,BD!$L$2:$Q$244,6,0),0)</f>
        <v>90</v>
      </c>
      <c r="I4617" s="62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7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7">
        <v>256680</v>
      </c>
      <c r="F4618" s="31" t="str">
        <f>IFERROR(VLOOKUP(E4618,BD!$L$2:$Q$244,2,0),0)</f>
        <v>TRIPACK CC+CC+IK PFM 3LX3 - RFNN</v>
      </c>
      <c r="G4618" s="424">
        <v>1440</v>
      </c>
      <c r="H4618" s="31">
        <f>+IFERROR(VLOOKUP(E4618,BD!$L$2:$Q$244,6,0),0)</f>
        <v>90</v>
      </c>
      <c r="I4618" s="62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7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7">
        <v>256682</v>
      </c>
      <c r="F4619" s="31" t="str">
        <f>IFERROR(VLOOKUP(E4619,BD!$L$2:$Q$244,2,0),0)</f>
        <v>TRIPACK (FT NAR+SP)PET+IK RF PFM 3L</v>
      </c>
      <c r="G4619" s="424">
        <v>450</v>
      </c>
      <c r="H4619" s="31">
        <f>+IFERROR(VLOOKUP(E4619,BD!$L$2:$Q$244,6,0),0)</f>
        <v>90</v>
      </c>
      <c r="I4619" s="62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7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7">
        <v>256695</v>
      </c>
      <c r="F4620" s="31" t="str">
        <f>IFERROR(VLOOKUP(E4620,BD!$L$2:$Q$244,2,0),0)</f>
        <v>POWERADE 3MORA+3FRUT PET 473MLX6</v>
      </c>
      <c r="G4620" s="424">
        <v>3600</v>
      </c>
      <c r="H4620" s="31">
        <f>+IFERROR(VLOOKUP(E4620,BD!$L$2:$Q$244,6,0),0)</f>
        <v>225</v>
      </c>
      <c r="I4620" s="62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7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7">
        <v>256709</v>
      </c>
      <c r="F4621" s="31" t="str">
        <f>IFERROR(VLOOKUP(E4621,BD!$L$2:$Q$244,2,0),0)</f>
        <v>POWERADE ION4 MORA AZ PET473X6 MOD(STCK)</v>
      </c>
      <c r="G4621" s="424">
        <v>450</v>
      </c>
      <c r="H4621" s="31">
        <f>+IFERROR(VLOOKUP(E4621,BD!$L$2:$Q$244,6,0),0)</f>
        <v>225</v>
      </c>
      <c r="I4621" s="62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7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7">
        <v>256768</v>
      </c>
      <c r="F4622" s="31" t="str">
        <f>IFERROR(VLOOKUP(E4622,BD!$L$2:$Q$244,2,0),0)</f>
        <v>PW 2MOR + 6FRU 473ML X 8 PUC</v>
      </c>
      <c r="G4622" s="424">
        <v>1750</v>
      </c>
      <c r="H4622" s="31">
        <f>+IFERROR(VLOOKUP(E4622,BD!$L$2:$Q$244,6,0),0)</f>
        <v>175</v>
      </c>
      <c r="I4622" s="62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7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7">
        <v>256685</v>
      </c>
      <c r="F4623" s="31" t="str">
        <f>IFERROR(VLOOKUP(E4623,BD!$L$2:$Q$244,2,0),0)</f>
        <v>SL S/G TAPA PLANA 1LT</v>
      </c>
      <c r="G4623" s="424">
        <v>448</v>
      </c>
      <c r="H4623" s="31">
        <f>+IFERROR(VLOOKUP(E4623,BD!$L$2:$Q$244,6,0),0)</f>
        <v>112</v>
      </c>
      <c r="I4623" s="62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7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7">
        <v>256601</v>
      </c>
      <c r="F4624" s="31" t="str">
        <f>IFERROR(VLOOKUP(E4624,BD!$L$2:$Q$244,2,0),0)</f>
        <v>INCA KOLA PET 2.25LX2 RF</v>
      </c>
      <c r="G4624" s="424">
        <v>648</v>
      </c>
      <c r="H4624" s="31">
        <f>+IFERROR(VLOOKUP(E4624,BD!$L$2:$Q$244,6,0),0)</f>
        <v>162</v>
      </c>
      <c r="I4624" s="62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7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7">
        <v>256488</v>
      </c>
      <c r="F4625" s="31" t="str">
        <f>IFERROR(VLOOKUP(E4625,BD!$L$2:$Q$244,2,0),0)</f>
        <v>INCA KOLA PET 3LX2 - RF</v>
      </c>
      <c r="G4625" s="424">
        <v>2400</v>
      </c>
      <c r="H4625" s="31">
        <f>+IFERROR(VLOOKUP(E4625,BD!$L$2:$Q$244,6,0),0)</f>
        <v>120</v>
      </c>
      <c r="I4625" s="62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7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7">
        <v>256652</v>
      </c>
      <c r="F4626" s="31" t="str">
        <f>IFERROR(VLOOKUP(E4626,BD!$L$2:$Q$244,2,0),0)</f>
        <v>TRIPACK FT NAR+FT KI+SP PET 3L</v>
      </c>
      <c r="G4626" s="424">
        <v>180</v>
      </c>
      <c r="H4626" s="31">
        <f>+IFERROR(VLOOKUP(E4626,BD!$L$2:$Q$244,6,0),0)</f>
        <v>90</v>
      </c>
      <c r="I4626" s="62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7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7">
        <v>256680</v>
      </c>
      <c r="F4627" s="31" t="str">
        <f>IFERROR(VLOOKUP(E4627,BD!$L$2:$Q$244,2,0),0)</f>
        <v>TRIPACK CC+CC+IK PFM 3LX3 - RFNN</v>
      </c>
      <c r="G4627" s="424">
        <v>720</v>
      </c>
      <c r="H4627" s="31">
        <f>+IFERROR(VLOOKUP(E4627,BD!$L$2:$Q$244,6,0),0)</f>
        <v>90</v>
      </c>
      <c r="I4627" s="62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7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7">
        <v>256679</v>
      </c>
      <c r="F4628" s="31" t="str">
        <f>IFERROR(VLOOKUP(E4628,BD!$L$2:$Q$244,2,0),0)</f>
        <v>TRIPACK CC+IK+IK PFM 3LX3 - RFNN</v>
      </c>
      <c r="G4628" s="424">
        <v>1890</v>
      </c>
      <c r="H4628" s="31">
        <f>+IFERROR(VLOOKUP(E4628,BD!$L$2:$Q$244,6,0),0)</f>
        <v>90</v>
      </c>
      <c r="I4628" s="62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7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7">
        <v>256682</v>
      </c>
      <c r="F4629" s="31" t="str">
        <f>IFERROR(VLOOKUP(E4629,BD!$L$2:$Q$244,2,0),0)</f>
        <v>TRIPACK (FT NAR+SP)PET+IK RF PFM 3L</v>
      </c>
      <c r="G4629" s="424">
        <v>180</v>
      </c>
      <c r="H4629" s="31">
        <f>+IFERROR(VLOOKUP(E4629,BD!$L$2:$Q$244,6,0),0)</f>
        <v>90</v>
      </c>
      <c r="I4629" s="62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7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7">
        <v>256709</v>
      </c>
      <c r="F4630" s="31" t="str">
        <f>IFERROR(VLOOKUP(E4630,BD!$L$2:$Q$244,2,0),0)</f>
        <v>POWERADE ION4 MORA AZ PET473X6 MOD(STCK)</v>
      </c>
      <c r="G4630" s="424">
        <v>450</v>
      </c>
      <c r="H4630" s="31">
        <f>+IFERROR(VLOOKUP(E4630,BD!$L$2:$Q$244,6,0),0)</f>
        <v>225</v>
      </c>
      <c r="I4630" s="62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7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7">
        <v>256720</v>
      </c>
      <c r="F4631" s="31" t="str">
        <f>IFERROR(VLOOKUP(E4631,BD!$L$2:$Q$244,2,0),0)</f>
        <v>FANTA NARANJA PET 500MLX6 BRANDEADO MOD</v>
      </c>
      <c r="G4631" s="424">
        <v>500</v>
      </c>
      <c r="H4631" s="31">
        <f>+IFERROR(VLOOKUP(E4631,BD!$L$2:$Q$244,6,0),0)</f>
        <v>420</v>
      </c>
      <c r="I4631" s="62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7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7">
        <v>256721</v>
      </c>
      <c r="F4632" s="31" t="str">
        <f>IFERROR(VLOOKUP(E4632,BD!$L$2:$Q$244,2,0),0)</f>
        <v>SPRITE PET 500MLX6 BRANDEADO MOD</v>
      </c>
      <c r="G4632" s="424">
        <v>1000</v>
      </c>
      <c r="H4632" s="31">
        <f>+IFERROR(VLOOKUP(E4632,BD!$L$2:$Q$244,6,0),0)</f>
        <v>420</v>
      </c>
      <c r="I4632" s="62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7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7">
        <v>256383</v>
      </c>
      <c r="F4633" s="31" t="str">
        <f>IFERROR(VLOOKUP(E4633,BD!$L$2:$Q$244,2,0),0)</f>
        <v>COCA COLA VR 1.5LX8 - STICKER</v>
      </c>
      <c r="G4633" s="424">
        <v>210</v>
      </c>
      <c r="H4633" s="31">
        <f>+IFERROR(VLOOKUP(E4633,BD!$L$2:$Q$244,6,0),0)</f>
        <v>30</v>
      </c>
      <c r="I4633" s="62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7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7">
        <v>256381</v>
      </c>
      <c r="F4634" s="31" t="str">
        <f>IFERROR(VLOOKUP(E4634,BD!$L$2:$Q$244,2,0),0)</f>
        <v>INCA KOLA VR 1.5LX8 - STICKER</v>
      </c>
      <c r="G4634" s="424">
        <v>210</v>
      </c>
      <c r="H4634" s="31">
        <f>+IFERROR(VLOOKUP(E4634,BD!$L$2:$Q$244,6,0),0)</f>
        <v>30</v>
      </c>
      <c r="I4634" s="62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7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7">
        <v>254762</v>
      </c>
      <c r="F4635" s="31" t="str">
        <f>IFERROR(VLOOKUP(E4635,BD!$L$2:$Q$244,2,0),0)</f>
        <v xml:space="preserve">SAN LUIS SPORT S/G 10 Lt x6 </v>
      </c>
      <c r="G4635" s="424">
        <v>224</v>
      </c>
      <c r="H4635" s="31">
        <f>+IFERROR(VLOOKUP(E4635,BD!$L$2:$Q$244,6,0),0)</f>
        <v>240</v>
      </c>
      <c r="I4635" s="62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7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7">
        <v>256685</v>
      </c>
      <c r="F4636" s="31" t="str">
        <f>IFERROR(VLOOKUP(E4636,BD!$L$2:$Q$244,2,0),0)</f>
        <v>SL S/G TAPA PLANA 1LT</v>
      </c>
      <c r="G4636" s="424">
        <v>112</v>
      </c>
      <c r="H4636" s="31">
        <f>+IFERROR(VLOOKUP(E4636,BD!$L$2:$Q$244,6,0),0)</f>
        <v>112</v>
      </c>
      <c r="I4636" s="62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7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7">
        <v>251633</v>
      </c>
      <c r="F4637" s="31" t="str">
        <f>IFERROR(VLOOKUP(E4637,BD!$L$2:$Q$244,2,0),0)</f>
        <v>SAN LUIS CON GAS PET 625MLX6</v>
      </c>
      <c r="G4637" s="424">
        <v>900</v>
      </c>
      <c r="H4637" s="31">
        <f>+IFERROR(VLOOKUP(E4637,BD!$L$2:$Q$244,6,0),0)</f>
        <v>180</v>
      </c>
      <c r="I4637" s="62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7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7">
        <v>251406</v>
      </c>
      <c r="F4638" s="31" t="str">
        <f>IFERROR(VLOOKUP(E4638,BD!$L$2:$Q$244,2,0),0)</f>
        <v>COCA-COLA SIN AZUCAR PET 1.5LX2</v>
      </c>
      <c r="G4638" s="424">
        <v>2160</v>
      </c>
      <c r="H4638" s="31">
        <f>+IFERROR(VLOOKUP(E4638,BD!$L$2:$Q$244,6,0),0)</f>
        <v>198</v>
      </c>
      <c r="I4638" s="62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7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7">
        <v>256666</v>
      </c>
      <c r="F4639" s="31" t="str">
        <f>IFERROR(VLOOKUP(E4639,BD!$L$2:$Q$244,2,0),0)</f>
        <v>COCA-COLA PET 2.25LX2 RF</v>
      </c>
      <c r="G4639" s="424">
        <v>1296</v>
      </c>
      <c r="H4639" s="31">
        <f>+IFERROR(VLOOKUP(E4639,BD!$L$2:$Q$244,6,0),0)</f>
        <v>162</v>
      </c>
      <c r="I4639" s="62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7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7">
        <v>256488</v>
      </c>
      <c r="F4640" s="31" t="str">
        <f>IFERROR(VLOOKUP(E4640,BD!$L$2:$Q$244,2,0),0)</f>
        <v>INCA KOLA PET 3LX2 - RF</v>
      </c>
      <c r="G4640" s="424">
        <v>1200</v>
      </c>
      <c r="H4640" s="31">
        <f>+IFERROR(VLOOKUP(E4640,BD!$L$2:$Q$244,6,0),0)</f>
        <v>120</v>
      </c>
      <c r="I4640" s="62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7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7">
        <v>256676</v>
      </c>
      <c r="F4641" s="31" t="str">
        <f>IFERROR(VLOOKUP(E4641,BD!$L$2:$Q$244,2,0),0)</f>
        <v>TWO PACK CC PFM 3LX2 - RFCC</v>
      </c>
      <c r="G4641" s="424">
        <v>1800</v>
      </c>
      <c r="H4641" s="31">
        <f>+IFERROR(VLOOKUP(E4641,BD!$L$2:$Q$244,6,0),0)</f>
        <v>120</v>
      </c>
      <c r="I4641" s="62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7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7">
        <v>256674</v>
      </c>
      <c r="F4642" s="31" t="str">
        <f>IFERROR(VLOOKUP(E4642,BD!$L$2:$Q$244,2,0),0)</f>
        <v>COCA-COLA PET 1.5LX2 RF</v>
      </c>
      <c r="G4642" s="424">
        <v>2160</v>
      </c>
      <c r="H4642" s="31">
        <f>+IFERROR(VLOOKUP(E4642,BD!$L$2:$Q$244,6,0),0)</f>
        <v>198</v>
      </c>
      <c r="I4642" s="62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7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7">
        <v>256675</v>
      </c>
      <c r="F4643" s="31" t="str">
        <f>IFERROR(VLOOKUP(E4643,BD!$L$2:$Q$244,2,0),0)</f>
        <v>INCA KOLA PET 1.5LX2 RF</v>
      </c>
      <c r="G4643" s="424">
        <v>2160</v>
      </c>
      <c r="H4643" s="31">
        <f>+IFERROR(VLOOKUP(E4643,BD!$L$2:$Q$244,6,0),0)</f>
        <v>198</v>
      </c>
      <c r="I4643" s="62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7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7">
        <v>256652</v>
      </c>
      <c r="F4644" s="31" t="str">
        <f>IFERROR(VLOOKUP(E4644,BD!$L$2:$Q$244,2,0),0)</f>
        <v>TRIPACK FT NAR+FT KI+SP PET 3L</v>
      </c>
      <c r="G4644" s="424">
        <v>540</v>
      </c>
      <c r="H4644" s="31">
        <f>+IFERROR(VLOOKUP(E4644,BD!$L$2:$Q$244,6,0),0)</f>
        <v>90</v>
      </c>
      <c r="I4644" s="62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7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7">
        <v>256677</v>
      </c>
      <c r="F4645" s="31" t="str">
        <f>IFERROR(VLOOKUP(E4645,BD!$L$2:$Q$244,2,0),0)</f>
        <v>TWO PACK CC + IK PFM 3LX2 - RFNN</v>
      </c>
      <c r="G4645" s="424">
        <v>12000</v>
      </c>
      <c r="H4645" s="31">
        <f>+IFERROR(VLOOKUP(E4645,BD!$L$2:$Q$244,6,0),0)</f>
        <v>120</v>
      </c>
      <c r="I4645" s="62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7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7">
        <v>256678</v>
      </c>
      <c r="F4646" s="31" t="str">
        <f>IFERROR(VLOOKUP(E4646,BD!$L$2:$Q$244,2,0),0)</f>
        <v>TRIPACK (CC+IK)PFM+FT PET 3LX3 - RFNN</v>
      </c>
      <c r="G4646" s="424">
        <v>1440</v>
      </c>
      <c r="H4646" s="31">
        <f>+IFERROR(VLOOKUP(E4646,BD!$L$2:$Q$244,6,0),0)</f>
        <v>90</v>
      </c>
      <c r="I4646" s="62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7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7">
        <v>256768</v>
      </c>
      <c r="F4647" s="31" t="str">
        <f>IFERROR(VLOOKUP(E4647,BD!$L$2:$Q$244,2,0),0)</f>
        <v>PW 2MOR + 6FRU 473ML X 8 PUC</v>
      </c>
      <c r="G4647" s="424">
        <v>1750</v>
      </c>
      <c r="H4647" s="31">
        <f>+IFERROR(VLOOKUP(E4647,BD!$L$2:$Q$244,6,0),0)</f>
        <v>175</v>
      </c>
      <c r="I4647" s="62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7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7">
        <v>254853</v>
      </c>
      <c r="F4648" s="31" t="str">
        <f>IFERROR(VLOOKUP(E4648,BD!$L$2:$Q$244,2,0),0)</f>
        <v>INCA KOLA SIN AZUCAR PET 1.5LX2</v>
      </c>
      <c r="G4648" s="424">
        <v>2160</v>
      </c>
      <c r="H4648" s="31">
        <f>+IFERROR(VLOOKUP(E4648,BD!$L$2:$Q$244,6,0),0)</f>
        <v>198</v>
      </c>
      <c r="I4648" s="62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7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7">
        <v>256548</v>
      </c>
      <c r="F4649" s="31" t="str">
        <f>IFERROR(VLOOKUP(E4649,BD!$L$2:$Q$244,2,0),0)</f>
        <v>TWO PACK CC PET 1.5LX2 - CRC</v>
      </c>
      <c r="G4649" s="424">
        <v>432</v>
      </c>
      <c r="H4649" s="31">
        <f>+IFERROR(VLOOKUP(E4649,BD!$L$2:$Q$244,6,0),0)</f>
        <v>198</v>
      </c>
      <c r="I4649" s="62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7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7">
        <v>256549</v>
      </c>
      <c r="F4650" s="31" t="str">
        <f>IFERROR(VLOOKUP(E4650,BD!$L$2:$Q$244,2,0),0)</f>
        <v>TWO PACK IK PET 1.5LX2 - CRCG</v>
      </c>
      <c r="G4650" s="424">
        <v>432</v>
      </c>
      <c r="H4650" s="31">
        <f>+IFERROR(VLOOKUP(E4650,BD!$L$2:$Q$244,6,0),0)</f>
        <v>198</v>
      </c>
      <c r="I4650" s="62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7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7">
        <v>254762</v>
      </c>
      <c r="F4651" s="31" t="str">
        <f>IFERROR(VLOOKUP(E4651,BD!$L$2:$Q$244,2,0),0)</f>
        <v xml:space="preserve">SAN LUIS SPORT S/G 10 Lt x6 </v>
      </c>
      <c r="G4651" s="424">
        <v>224</v>
      </c>
      <c r="H4651" s="31">
        <f>+IFERROR(VLOOKUP(E4651,BD!$L$2:$Q$244,6,0),0)</f>
        <v>240</v>
      </c>
      <c r="I4651" s="62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7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7">
        <v>256685</v>
      </c>
      <c r="F4652" s="31" t="str">
        <f>IFERROR(VLOOKUP(E4652,BD!$L$2:$Q$244,2,0),0)</f>
        <v>SL S/G TAPA PLANA 1LT</v>
      </c>
      <c r="G4652" s="424">
        <v>448</v>
      </c>
      <c r="H4652" s="31">
        <f>+IFERROR(VLOOKUP(E4652,BD!$L$2:$Q$244,6,0),0)</f>
        <v>112</v>
      </c>
      <c r="I4652" s="62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7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7">
        <v>251633</v>
      </c>
      <c r="F4653" s="31" t="str">
        <f>IFERROR(VLOOKUP(E4653,BD!$L$2:$Q$244,2,0),0)</f>
        <v>SAN LUIS CON GAS PET 625MLX6</v>
      </c>
      <c r="G4653" s="424">
        <v>540</v>
      </c>
      <c r="H4653" s="31">
        <f>+IFERROR(VLOOKUP(E4653,BD!$L$2:$Q$244,6,0),0)</f>
        <v>180</v>
      </c>
      <c r="I4653" s="62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7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7">
        <v>251406</v>
      </c>
      <c r="F4654" s="31" t="str">
        <f>IFERROR(VLOOKUP(E4654,BD!$L$2:$Q$244,2,0),0)</f>
        <v>COCA-COLA SIN AZUCAR PET 1.5LX2</v>
      </c>
      <c r="G4654" s="424">
        <v>2160</v>
      </c>
      <c r="H4654" s="31">
        <f>+IFERROR(VLOOKUP(E4654,BD!$L$2:$Q$244,6,0),0)</f>
        <v>198</v>
      </c>
      <c r="I4654" s="62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7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7">
        <v>256616</v>
      </c>
      <c r="F4655" s="31" t="str">
        <f>IFERROR(VLOOKUP(E4655,BD!$L$2:$Q$244,2,0),0)</f>
        <v>TWO PACK SCHWEPPES CITRUS PET 1.5LX2</v>
      </c>
      <c r="G4655" s="424">
        <v>792</v>
      </c>
      <c r="H4655" s="31">
        <f>+IFERROR(VLOOKUP(E4655,BD!$L$2:$Q$244,6,0),0)</f>
        <v>198</v>
      </c>
      <c r="I4655" s="62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7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7">
        <v>256617</v>
      </c>
      <c r="F4656" s="31" t="str">
        <f>IFERROR(VLOOKUP(E4656,BD!$L$2:$Q$244,2,0),0)</f>
        <v>TWO PACK SCHWEPPES GINGER ALE PET 1.5LX2</v>
      </c>
      <c r="G4656" s="424">
        <v>990</v>
      </c>
      <c r="H4656" s="31">
        <f>+IFERROR(VLOOKUP(E4656,BD!$L$2:$Q$244,6,0),0)</f>
        <v>198</v>
      </c>
      <c r="I4656" s="62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7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7">
        <v>256666</v>
      </c>
      <c r="F4657" s="31" t="str">
        <f>IFERROR(VLOOKUP(E4657,BD!$L$2:$Q$244,2,0),0)</f>
        <v>COCA-COLA PET 2.25LX2 RF</v>
      </c>
      <c r="G4657" s="424">
        <v>324</v>
      </c>
      <c r="H4657" s="31">
        <f>+IFERROR(VLOOKUP(E4657,BD!$L$2:$Q$244,6,0),0)</f>
        <v>162</v>
      </c>
      <c r="I4657" s="62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7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7">
        <v>256676</v>
      </c>
      <c r="F4658" s="31" t="str">
        <f>IFERROR(VLOOKUP(E4658,BD!$L$2:$Q$244,2,0),0)</f>
        <v>TWO PACK CC PFM 3LX2 - RFCC</v>
      </c>
      <c r="G4658" s="424">
        <v>1440</v>
      </c>
      <c r="H4658" s="31">
        <f>+IFERROR(VLOOKUP(E4658,BD!$L$2:$Q$244,6,0),0)</f>
        <v>120</v>
      </c>
      <c r="I4658" s="62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7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7">
        <v>256674</v>
      </c>
      <c r="F4659" s="31" t="str">
        <f>IFERROR(VLOOKUP(E4659,BD!$L$2:$Q$244,2,0),0)</f>
        <v>COCA-COLA PET 1.5LX2 RF</v>
      </c>
      <c r="G4659" s="424">
        <v>1080</v>
      </c>
      <c r="H4659" s="31">
        <f>+IFERROR(VLOOKUP(E4659,BD!$L$2:$Q$244,6,0),0)</f>
        <v>198</v>
      </c>
      <c r="I4659" s="62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7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7">
        <v>256675</v>
      </c>
      <c r="F4660" s="31" t="str">
        <f>IFERROR(VLOOKUP(E4660,BD!$L$2:$Q$244,2,0),0)</f>
        <v>INCA KOLA PET 1.5LX2 RF</v>
      </c>
      <c r="G4660" s="424">
        <v>864</v>
      </c>
      <c r="H4660" s="31">
        <f>+IFERROR(VLOOKUP(E4660,BD!$L$2:$Q$244,6,0),0)</f>
        <v>198</v>
      </c>
      <c r="I4660" s="62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7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7">
        <v>256721</v>
      </c>
      <c r="F4661" s="31" t="str">
        <f>IFERROR(VLOOKUP(E4661,BD!$L$2:$Q$244,2,0),0)</f>
        <v>SPRITE PET 500MLX6 BRANDEADO MOD</v>
      </c>
      <c r="G4661" s="424">
        <v>250</v>
      </c>
      <c r="H4661" s="31">
        <f>+IFERROR(VLOOKUP(E4661,BD!$L$2:$Q$244,6,0),0)</f>
        <v>420</v>
      </c>
      <c r="I4661" s="62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7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7">
        <v>256368</v>
      </c>
      <c r="F4662" s="31" t="str">
        <f>IFERROR(VLOOKUP(E4662,BD!$L$2:$Q$244,2,0),0)</f>
        <v>COCA COLA VNR 300ML X 6 PUC</v>
      </c>
      <c r="G4662" s="424">
        <v>1000</v>
      </c>
      <c r="H4662" s="31">
        <f>+IFERROR(VLOOKUP(E4662,BD!$L$2:$Q$244,6,0),0)</f>
        <v>250</v>
      </c>
      <c r="I4662" s="62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7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7">
        <v>256767</v>
      </c>
      <c r="F4663" s="31" t="str">
        <f>IFERROR(VLOOKUP(E4663,BD!$L$2:$Q$244,2,0),0)</f>
        <v>FRUGOS VAL-FRESH 4NAR+4FP+4MZ PET 500X12 PUC</v>
      </c>
      <c r="G4663" s="424">
        <v>125</v>
      </c>
      <c r="H4663" s="31">
        <f>+IFERROR(VLOOKUP(E4663,BD!$L$2:$Q$244,6,0),0)</f>
        <v>125</v>
      </c>
      <c r="I4663" s="62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7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7">
        <v>256666</v>
      </c>
      <c r="F4664" s="31" t="str">
        <f>IFERROR(VLOOKUP(E4664,BD!$L$2:$Q$244,2,0),0)</f>
        <v>COCA-COLA PET 2.25LX2 RF</v>
      </c>
      <c r="G4664" s="424">
        <v>324</v>
      </c>
      <c r="H4664" s="31">
        <f>+IFERROR(VLOOKUP(E4664,BD!$L$2:$Q$244,6,0),0)</f>
        <v>162</v>
      </c>
      <c r="I4664" s="62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7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7">
        <v>256675</v>
      </c>
      <c r="F4665" s="31" t="str">
        <f>IFERROR(VLOOKUP(E4665,BD!$L$2:$Q$244,2,0),0)</f>
        <v>INCA KOLA PET 1.5LX2 RF</v>
      </c>
      <c r="G4665" s="424">
        <v>1296</v>
      </c>
      <c r="H4665" s="31">
        <f>+IFERROR(VLOOKUP(E4665,BD!$L$2:$Q$244,6,0),0)</f>
        <v>198</v>
      </c>
      <c r="I4665" s="62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7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7">
        <v>256652</v>
      </c>
      <c r="F4666" s="31" t="str">
        <f>IFERROR(VLOOKUP(E4666,BD!$L$2:$Q$244,2,0),0)</f>
        <v>TRIPACK FT NAR+FT KI+SP PET 3L</v>
      </c>
      <c r="G4666" s="424">
        <v>450</v>
      </c>
      <c r="H4666" s="31">
        <f>+IFERROR(VLOOKUP(E4666,BD!$L$2:$Q$244,6,0),0)</f>
        <v>90</v>
      </c>
      <c r="I4666" s="62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7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7">
        <v>256677</v>
      </c>
      <c r="F4667" s="31" t="str">
        <f>IFERROR(VLOOKUP(E4667,BD!$L$2:$Q$244,2,0),0)</f>
        <v>TWO PACK CC + IK PFM 3LX2 - RFNN</v>
      </c>
      <c r="G4667" s="424">
        <v>3840</v>
      </c>
      <c r="H4667" s="31">
        <f>+IFERROR(VLOOKUP(E4667,BD!$L$2:$Q$244,6,0),0)</f>
        <v>120</v>
      </c>
      <c r="I4667" s="62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7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7">
        <v>256680</v>
      </c>
      <c r="F4668" s="31" t="str">
        <f>IFERROR(VLOOKUP(E4668,BD!$L$2:$Q$244,2,0),0)</f>
        <v>TRIPACK CC+CC+IK PFM 3LX3 - RFNN</v>
      </c>
      <c r="G4668" s="424">
        <v>720</v>
      </c>
      <c r="H4668" s="31">
        <f>+IFERROR(VLOOKUP(E4668,BD!$L$2:$Q$244,6,0),0)</f>
        <v>90</v>
      </c>
      <c r="I4668" s="62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7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7">
        <v>256678</v>
      </c>
      <c r="F4669" s="31" t="str">
        <f>IFERROR(VLOOKUP(E4669,BD!$L$2:$Q$244,2,0),0)</f>
        <v>TRIPACK (CC+IK)PFM+FT PET 3LX3 - RFNN</v>
      </c>
      <c r="G4669" s="424">
        <v>2880</v>
      </c>
      <c r="H4669" s="31">
        <f>+IFERROR(VLOOKUP(E4669,BD!$L$2:$Q$244,6,0),0)</f>
        <v>90</v>
      </c>
      <c r="I4669" s="62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7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7">
        <v>256682</v>
      </c>
      <c r="F4670" s="31" t="str">
        <f>IFERROR(VLOOKUP(E4670,BD!$L$2:$Q$244,2,0),0)</f>
        <v>TRIPACK (FT NAR+SP)PET+IK RF PFM 3L</v>
      </c>
      <c r="G4670" s="424">
        <v>450</v>
      </c>
      <c r="H4670" s="31">
        <f>+IFERROR(VLOOKUP(E4670,BD!$L$2:$Q$244,6,0),0)</f>
        <v>90</v>
      </c>
      <c r="I4670" s="62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7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7">
        <v>256753</v>
      </c>
      <c r="F4671" s="31" t="str">
        <f>IFERROR(VLOOKUP(E4671,BD!$L$2:$Q$244,2,0),0)</f>
        <v>PACK-2 FT NAR+FT KI+FT PIÑA+SP RP 1.5LX8</v>
      </c>
      <c r="G4671" s="424">
        <v>360</v>
      </c>
      <c r="H4671" s="31">
        <f>+IFERROR(VLOOKUP(E4671,BD!$L$2:$Q$244,6,0),0)</f>
        <v>30</v>
      </c>
      <c r="I4671" s="62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7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7">
        <v>256767</v>
      </c>
      <c r="F4672" s="31" t="str">
        <f>IFERROR(VLOOKUP(E4672,BD!$L$2:$Q$244,2,0),0)</f>
        <v>FRUGOS VAL-FRESH 4NAR+4FP+4MZ PET 500X12 PUC</v>
      </c>
      <c r="G4672" s="424">
        <v>625</v>
      </c>
      <c r="H4672" s="31">
        <f>+IFERROR(VLOOKUP(E4672,BD!$L$2:$Q$244,6,0),0)</f>
        <v>125</v>
      </c>
      <c r="I4672" s="62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7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7">
        <v>256383</v>
      </c>
      <c r="F4673" s="31" t="str">
        <f>IFERROR(VLOOKUP(E4673,BD!$L$2:$Q$244,2,0),0)</f>
        <v>COCA COLA VR 1.5LX8 - STICKER</v>
      </c>
      <c r="G4673" s="424">
        <v>150</v>
      </c>
      <c r="H4673" s="31">
        <f>+IFERROR(VLOOKUP(E4673,BD!$L$2:$Q$244,6,0),0)</f>
        <v>30</v>
      </c>
      <c r="I4673" s="62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7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7">
        <v>256488</v>
      </c>
      <c r="F4674" s="31" t="str">
        <f>IFERROR(VLOOKUP(E4674,BD!$L$2:$Q$244,2,0),0)</f>
        <v>INCA KOLA PET 3LX2 - RF</v>
      </c>
      <c r="G4674" s="424">
        <v>4800</v>
      </c>
      <c r="H4674" s="31">
        <f>+IFERROR(VLOOKUP(E4674,BD!$L$2:$Q$244,6,0),0)</f>
        <v>120</v>
      </c>
      <c r="I4674" s="62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7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7">
        <v>256676</v>
      </c>
      <c r="F4675" s="31" t="str">
        <f>IFERROR(VLOOKUP(E4675,BD!$L$2:$Q$244,2,0),0)</f>
        <v>TWO PACK CC PFM 3LX2 - RFCC</v>
      </c>
      <c r="G4675" s="424">
        <v>960</v>
      </c>
      <c r="H4675" s="31">
        <f>+IFERROR(VLOOKUP(E4675,BD!$L$2:$Q$244,6,0),0)</f>
        <v>120</v>
      </c>
      <c r="I4675" s="62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7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7">
        <v>256652</v>
      </c>
      <c r="F4676" s="31" t="str">
        <f>IFERROR(VLOOKUP(E4676,BD!$L$2:$Q$244,2,0),0)</f>
        <v>TRIPACK FT NAR+FT KI+SP PET 3L</v>
      </c>
      <c r="G4676" s="424">
        <v>450</v>
      </c>
      <c r="H4676" s="31">
        <f>+IFERROR(VLOOKUP(E4676,BD!$L$2:$Q$244,6,0),0)</f>
        <v>90</v>
      </c>
      <c r="I4676" s="62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7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7">
        <v>256677</v>
      </c>
      <c r="F4677" s="31" t="str">
        <f>IFERROR(VLOOKUP(E4677,BD!$L$2:$Q$244,2,0),0)</f>
        <v>TWO PACK CC + IK PFM 3LX2 - RFNN</v>
      </c>
      <c r="G4677" s="424">
        <v>3360</v>
      </c>
      <c r="H4677" s="31">
        <f>+IFERROR(VLOOKUP(E4677,BD!$L$2:$Q$244,6,0),0)</f>
        <v>120</v>
      </c>
      <c r="I4677" s="62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7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7">
        <v>256753</v>
      </c>
      <c r="F4678" s="31" t="str">
        <f>IFERROR(VLOOKUP(E4678,BD!$L$2:$Q$244,2,0),0)</f>
        <v>PACK-2 FT NAR+FT KI+FT PIÑA+SP RP 1.5LX8</v>
      </c>
      <c r="G4678" s="424">
        <v>120</v>
      </c>
      <c r="H4678" s="31">
        <f>+IFERROR(VLOOKUP(E4678,BD!$L$2:$Q$244,6,0),0)</f>
        <v>30</v>
      </c>
      <c r="I4678" s="62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7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7">
        <v>256767</v>
      </c>
      <c r="F4679" s="31" t="str">
        <f>IFERROR(VLOOKUP(E4679,BD!$L$2:$Q$244,2,0),0)</f>
        <v>FRUGOS VAL-FRESH 4NAR+4FP+4MZ PET 500X12 PUC</v>
      </c>
      <c r="G4679" s="424">
        <v>500</v>
      </c>
      <c r="H4679" s="31">
        <f>+IFERROR(VLOOKUP(E4679,BD!$L$2:$Q$244,6,0),0)</f>
        <v>125</v>
      </c>
      <c r="I4679" s="62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7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7">
        <v>256767</v>
      </c>
      <c r="F4680" s="31" t="str">
        <f>IFERROR(VLOOKUP(E4680,BD!$L$2:$Q$244,2,0),0)</f>
        <v>FRUGOS VAL-FRESH 4NAR+4FP+4MZ PET 500X12 PUC</v>
      </c>
      <c r="G4680" s="424">
        <v>250</v>
      </c>
      <c r="H4680" s="31">
        <f>+IFERROR(VLOOKUP(E4680,BD!$L$2:$Q$244,6,0),0)</f>
        <v>125</v>
      </c>
      <c r="I4680" s="62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7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7">
        <v>256737</v>
      </c>
      <c r="F4681" s="31" t="str">
        <f>IFERROR(VLOOKUP(E4681,BD!$L$2:$Q$244,2,0),0)</f>
        <v>INCA KOLA SA ALUMINIO-3 DISEÑOS 330MLX12</v>
      </c>
      <c r="G4681" s="424">
        <v>1750</v>
      </c>
      <c r="H4681" s="31">
        <f>+IFERROR(VLOOKUP(E4681,BD!$L$2:$Q$244,6,0),0)</f>
        <v>420</v>
      </c>
      <c r="I4681" s="62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7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7">
        <v>251406</v>
      </c>
      <c r="F4682" s="31" t="str">
        <f>IFERROR(VLOOKUP(E4682,BD!$L$2:$Q$244,2,0),0)</f>
        <v>COCA-COLA SIN AZUCAR PET 1.5LX2</v>
      </c>
      <c r="G4682" s="424">
        <v>2808</v>
      </c>
      <c r="H4682" s="31">
        <f>+IFERROR(VLOOKUP(E4682,BD!$L$2:$Q$244,6,0),0)</f>
        <v>198</v>
      </c>
      <c r="I4682" s="62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7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7">
        <v>256678</v>
      </c>
      <c r="F4683" s="31" t="str">
        <f>IFERROR(VLOOKUP(E4683,BD!$L$2:$Q$244,2,0),0)</f>
        <v>TRIPACK (CC+IK)PFM+FT PET 3LX3 - RFNN</v>
      </c>
      <c r="G4683" s="424">
        <v>720</v>
      </c>
      <c r="H4683" s="31">
        <f>+IFERROR(VLOOKUP(E4683,BD!$L$2:$Q$244,6,0),0)</f>
        <v>90</v>
      </c>
      <c r="I4683" s="62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7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7">
        <v>256617</v>
      </c>
      <c r="F4684" s="31" t="str">
        <f>IFERROR(VLOOKUP(E4684,BD!$L$2:$Q$244,2,0),0)</f>
        <v>TWO PACK SCHWEPPES GINGER ALE PET 1.5LX2</v>
      </c>
      <c r="G4684" s="424">
        <v>396</v>
      </c>
      <c r="H4684" s="31">
        <f>+IFERROR(VLOOKUP(E4684,BD!$L$2:$Q$244,6,0),0)</f>
        <v>198</v>
      </c>
      <c r="I4684" s="62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7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7">
        <v>256682</v>
      </c>
      <c r="F4685" s="31" t="str">
        <f>IFERROR(VLOOKUP(E4685,BD!$L$2:$Q$244,2,0),0)</f>
        <v>TRIPACK (FT NAR+SP)PET+IK RF PFM 3L</v>
      </c>
      <c r="G4685" s="424">
        <v>450</v>
      </c>
      <c r="H4685" s="31">
        <f>+IFERROR(VLOOKUP(E4685,BD!$L$2:$Q$244,6,0),0)</f>
        <v>90</v>
      </c>
      <c r="I4685" s="62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7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7">
        <v>254853</v>
      </c>
      <c r="F4686" s="31" t="str">
        <f>IFERROR(VLOOKUP(E4686,BD!$L$2:$Q$244,2,0),0)</f>
        <v>INCA KOLA SIN AZUCAR PET 1.5LX2</v>
      </c>
      <c r="G4686" s="424">
        <v>1512</v>
      </c>
      <c r="H4686" s="31">
        <f>+IFERROR(VLOOKUP(E4686,BD!$L$2:$Q$244,6,0),0)</f>
        <v>198</v>
      </c>
      <c r="I4686" s="62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7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7">
        <v>256652</v>
      </c>
      <c r="F4687" s="31" t="str">
        <f>IFERROR(VLOOKUP(E4687,BD!$L$2:$Q$244,2,0),0)</f>
        <v>TRIPACK FT NAR+FT KI+SP PET 3L</v>
      </c>
      <c r="G4687" s="424">
        <v>180</v>
      </c>
      <c r="H4687" s="31">
        <f>+IFERROR(VLOOKUP(E4687,BD!$L$2:$Q$244,6,0),0)</f>
        <v>90</v>
      </c>
      <c r="I4687" s="62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7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7">
        <v>256679</v>
      </c>
      <c r="F4688" s="31" t="str">
        <f>IFERROR(VLOOKUP(E4688,BD!$L$2:$Q$244,2,0),0)</f>
        <v>TRIPACK CC+IK+IK PFM 3LX3 - RFNN</v>
      </c>
      <c r="G4688" s="424">
        <v>180</v>
      </c>
      <c r="H4688" s="31">
        <f>+IFERROR(VLOOKUP(E4688,BD!$L$2:$Q$244,6,0),0)</f>
        <v>90</v>
      </c>
      <c r="I4688" s="62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7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7">
        <v>251429</v>
      </c>
      <c r="F4689" s="31" t="str">
        <f>IFERROR(VLOOKUP(E4689,BD!$L$2:$Q$244,2,0),0)</f>
        <v>SAN LUIS SIN GAS PET2500X6 STICKER</v>
      </c>
      <c r="G4689" s="424">
        <v>1392</v>
      </c>
      <c r="H4689" s="31">
        <f>+IFERROR(VLOOKUP(E4689,BD!$L$2:$Q$244,6,0),0)</f>
        <v>48</v>
      </c>
      <c r="I4689" s="62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7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7">
        <v>251406</v>
      </c>
      <c r="F4690" s="31" t="str">
        <f>IFERROR(VLOOKUP(E4690,BD!$L$2:$Q$244,2,0),0)</f>
        <v>COCA-COLA SIN AZUCAR PET 1.5LX2</v>
      </c>
      <c r="G4690" s="424">
        <v>432</v>
      </c>
      <c r="H4690" s="31">
        <f>+IFERROR(VLOOKUP(E4690,BD!$L$2:$Q$244,6,0),0)</f>
        <v>198</v>
      </c>
      <c r="I4690" s="62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7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7">
        <v>256617</v>
      </c>
      <c r="F4691" s="31" t="str">
        <f>IFERROR(VLOOKUP(E4691,BD!$L$2:$Q$244,2,0),0)</f>
        <v>TWO PACK SCHWEPPES GINGER ALE PET 1.5LX2</v>
      </c>
      <c r="G4691" s="424">
        <v>396</v>
      </c>
      <c r="H4691" s="31">
        <f>+IFERROR(VLOOKUP(E4691,BD!$L$2:$Q$244,6,0),0)</f>
        <v>198</v>
      </c>
      <c r="I4691" s="62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7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7">
        <v>256601</v>
      </c>
      <c r="F4692" s="31" t="str">
        <f>IFERROR(VLOOKUP(E4692,BD!$L$2:$Q$244,2,0),0)</f>
        <v>INCA KOLA PET 2.25LX2 RF</v>
      </c>
      <c r="G4692" s="424">
        <v>810</v>
      </c>
      <c r="H4692" s="31">
        <f>+IFERROR(VLOOKUP(E4692,BD!$L$2:$Q$244,6,0),0)</f>
        <v>162</v>
      </c>
      <c r="I4692" s="62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7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7">
        <v>256674</v>
      </c>
      <c r="F4693" s="31" t="str">
        <f>IFERROR(VLOOKUP(E4693,BD!$L$2:$Q$244,2,0),0)</f>
        <v>COCA-COLA PET 1.5LX2 RF</v>
      </c>
      <c r="G4693" s="424">
        <v>1080</v>
      </c>
      <c r="H4693" s="31">
        <f>+IFERROR(VLOOKUP(E4693,BD!$L$2:$Q$244,6,0),0)</f>
        <v>198</v>
      </c>
      <c r="I4693" s="62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7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7">
        <v>256677</v>
      </c>
      <c r="F4694" s="31" t="str">
        <f>IFERROR(VLOOKUP(E4694,BD!$L$2:$Q$244,2,0),0)</f>
        <v>TWO PACK CC + IK PFM 3LX2 - RFNN</v>
      </c>
      <c r="G4694" s="424">
        <v>5280</v>
      </c>
      <c r="H4694" s="31">
        <f>+IFERROR(VLOOKUP(E4694,BD!$L$2:$Q$244,6,0),0)</f>
        <v>120</v>
      </c>
      <c r="I4694" s="62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7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7">
        <v>256679</v>
      </c>
      <c r="F4695" s="31" t="str">
        <f>IFERROR(VLOOKUP(E4695,BD!$L$2:$Q$244,2,0),0)</f>
        <v>TRIPACK CC+IK+IK PFM 3LX3 - RFNN</v>
      </c>
      <c r="G4695" s="424">
        <v>270</v>
      </c>
      <c r="H4695" s="31">
        <f>+IFERROR(VLOOKUP(E4695,BD!$L$2:$Q$244,6,0),0)</f>
        <v>90</v>
      </c>
      <c r="I4695" s="62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7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7">
        <v>256678</v>
      </c>
      <c r="F4696" s="31" t="str">
        <f>IFERROR(VLOOKUP(E4696,BD!$L$2:$Q$244,2,0),0)</f>
        <v>TRIPACK (CC+IK)PFM+FT PET 3LX3 - RFNN</v>
      </c>
      <c r="G4696" s="424">
        <v>720</v>
      </c>
      <c r="H4696" s="31">
        <f>+IFERROR(VLOOKUP(E4696,BD!$L$2:$Q$244,6,0),0)</f>
        <v>90</v>
      </c>
      <c r="I4696" s="62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7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7">
        <v>256695</v>
      </c>
      <c r="F4697" s="31" t="str">
        <f>IFERROR(VLOOKUP(E4697,BD!$L$2:$Q$244,2,0),0)</f>
        <v>POWERADE 3MORA+3FRUT PET 473MLX6</v>
      </c>
      <c r="G4697" s="424">
        <v>900</v>
      </c>
      <c r="H4697" s="31">
        <f>+IFERROR(VLOOKUP(E4697,BD!$L$2:$Q$244,6,0),0)</f>
        <v>225</v>
      </c>
      <c r="I4697" s="62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7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7">
        <v>256720</v>
      </c>
      <c r="F4698" s="31" t="str">
        <f>IFERROR(VLOOKUP(E4698,BD!$L$2:$Q$244,2,0),0)</f>
        <v>FANTA NARANJA PET 500MLX6 BRANDEADO MOD</v>
      </c>
      <c r="G4698" s="424">
        <v>250</v>
      </c>
      <c r="H4698" s="31">
        <f>+IFERROR(VLOOKUP(E4698,BD!$L$2:$Q$244,6,0),0)</f>
        <v>420</v>
      </c>
      <c r="I4698" s="62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7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7">
        <v>256721</v>
      </c>
      <c r="F4699" s="31" t="str">
        <f>IFERROR(VLOOKUP(E4699,BD!$L$2:$Q$244,2,0),0)</f>
        <v>SPRITE PET 500MLX6 BRANDEADO MOD</v>
      </c>
      <c r="G4699" s="424">
        <v>1000</v>
      </c>
      <c r="H4699" s="31">
        <f>+IFERROR(VLOOKUP(E4699,BD!$L$2:$Q$244,6,0),0)</f>
        <v>420</v>
      </c>
      <c r="I4699" s="62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7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7">
        <v>256737</v>
      </c>
      <c r="F4700" s="31" t="str">
        <f>IFERROR(VLOOKUP(E4700,BD!$L$2:$Q$244,2,0),0)</f>
        <v>INCA KOLA SA ALUMINIO-3 DISEÑOS 330MLX12</v>
      </c>
      <c r="G4700" s="424">
        <v>125</v>
      </c>
      <c r="H4700" s="31">
        <f>+IFERROR(VLOOKUP(E4700,BD!$L$2:$Q$244,6,0),0)</f>
        <v>420</v>
      </c>
      <c r="I4700" s="62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7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7">
        <v>256383</v>
      </c>
      <c r="F4701" s="31" t="str">
        <f>IFERROR(VLOOKUP(E4701,BD!$L$2:$Q$244,2,0),0)</f>
        <v>COCA COLA VR 1.5LX8 - STICKER</v>
      </c>
      <c r="G4701" s="424">
        <v>150</v>
      </c>
      <c r="H4701" s="31">
        <f>+IFERROR(VLOOKUP(E4701,BD!$L$2:$Q$244,6,0),0)</f>
        <v>30</v>
      </c>
      <c r="I4701" s="62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7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7">
        <v>256382</v>
      </c>
      <c r="F4702" s="31" t="str">
        <f>IFERROR(VLOOKUP(E4702,BD!$L$2:$Q$244,2,0),0)</f>
        <v>COCA COLA VR 296MLX24 - STICKER</v>
      </c>
      <c r="G4702" s="424">
        <v>200</v>
      </c>
      <c r="H4702" s="31">
        <f>+IFERROR(VLOOKUP(E4702,BD!$L$2:$Q$244,6,0),0)</f>
        <v>40</v>
      </c>
      <c r="I4702" s="62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7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7">
        <v>256380</v>
      </c>
      <c r="F4703" s="31" t="str">
        <f>IFERROR(VLOOKUP(E4703,BD!$L$2:$Q$244,2,0),0)</f>
        <v>INCA KOLA VR 296MLX24 - STICKER</v>
      </c>
      <c r="G4703" s="424">
        <v>80</v>
      </c>
      <c r="H4703" s="31">
        <f>+IFERROR(VLOOKUP(E4703,BD!$L$2:$Q$244,6,0),0)</f>
        <v>40</v>
      </c>
      <c r="I4703" s="62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7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7">
        <v>256379</v>
      </c>
      <c r="F4704" s="31" t="str">
        <f>IFERROR(VLOOKUP(E4704,BD!$L$2:$Q$244,2,0),0)</f>
        <v>INCA KOLA VR 625MLX12 - STICKER</v>
      </c>
      <c r="G4704" s="424">
        <v>500</v>
      </c>
      <c r="H4704" s="31">
        <f>+IFERROR(VLOOKUP(E4704,BD!$L$2:$Q$244,6,0),0)</f>
        <v>50</v>
      </c>
      <c r="I4704" s="62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7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7">
        <v>251429</v>
      </c>
      <c r="F4705" s="31" t="str">
        <f>IFERROR(VLOOKUP(E4705,BD!$L$2:$Q$244,2,0),0)</f>
        <v>SAN LUIS SIN GAS PET2500X6 STICKER</v>
      </c>
      <c r="G4705" s="424">
        <v>528</v>
      </c>
      <c r="H4705" s="31">
        <f>+IFERROR(VLOOKUP(E4705,BD!$L$2:$Q$244,6,0),0)</f>
        <v>48</v>
      </c>
      <c r="I4705" s="62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7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7">
        <v>256677</v>
      </c>
      <c r="F4706" s="31" t="str">
        <f>IFERROR(VLOOKUP(E4706,BD!$L$2:$Q$244,2,0),0)</f>
        <v>TWO PACK CC + IK PFM 3LX2 - RFNN</v>
      </c>
      <c r="G4706" s="424">
        <v>6720</v>
      </c>
      <c r="H4706" s="31">
        <f>+IFERROR(VLOOKUP(E4706,BD!$L$2:$Q$244,6,0),0)</f>
        <v>120</v>
      </c>
      <c r="I4706" s="62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7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7">
        <v>256767</v>
      </c>
      <c r="F4707" s="31" t="str">
        <f>IFERROR(VLOOKUP(E4707,BD!$L$2:$Q$244,2,0),0)</f>
        <v>FRUGOS VAL-FRESH 4NAR+4FP+4MZ PET 500X12 PUC</v>
      </c>
      <c r="G4707" s="424">
        <v>2625</v>
      </c>
      <c r="H4707" s="31">
        <f>+IFERROR(VLOOKUP(E4707,BD!$L$2:$Q$244,6,0),0)</f>
        <v>125</v>
      </c>
      <c r="I4707" s="62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7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7">
        <v>751315</v>
      </c>
      <c r="F4708" s="31" t="str">
        <f>IFERROR(VLOOKUP(E4708,BD!$L$2:$Q$244,2,0),0)</f>
        <v>MONSTER ENERGY 473MLX4</v>
      </c>
      <c r="G4708" s="424">
        <v>840</v>
      </c>
      <c r="H4708" s="31">
        <f>+IFERROR(VLOOKUP(E4708,BD!$L$2:$Q$244,6,0),0)</f>
        <v>420</v>
      </c>
      <c r="I4708" s="62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7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7">
        <v>256652</v>
      </c>
      <c r="F4709" s="31" t="str">
        <f>IFERROR(VLOOKUP(E4709,BD!$L$2:$Q$244,2,0),0)</f>
        <v>TRIPACK FT NAR+FT KI+SP PET 3L</v>
      </c>
      <c r="G4709" s="424">
        <v>180</v>
      </c>
      <c r="H4709" s="31">
        <f>+IFERROR(VLOOKUP(E4709,BD!$L$2:$Q$244,6,0),0)</f>
        <v>90</v>
      </c>
      <c r="I4709" s="62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7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7">
        <v>256677</v>
      </c>
      <c r="F4710" s="31" t="str">
        <f>IFERROR(VLOOKUP(E4710,BD!$L$2:$Q$244,2,0),0)</f>
        <v>TWO PACK CC + IK PFM 3LX2 - RFNN</v>
      </c>
      <c r="G4710" s="424">
        <v>8880</v>
      </c>
      <c r="H4710" s="31">
        <f>+IFERROR(VLOOKUP(E4710,BD!$L$2:$Q$244,6,0),0)</f>
        <v>120</v>
      </c>
      <c r="I4710" s="62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7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7">
        <v>256678</v>
      </c>
      <c r="F4711" s="31" t="str">
        <f>IFERROR(VLOOKUP(E4711,BD!$L$2:$Q$244,2,0),0)</f>
        <v>TRIPACK (CC+IK)PFM+FT PET 3LX3 - RFNN</v>
      </c>
      <c r="G4711" s="424">
        <v>1440</v>
      </c>
      <c r="H4711" s="31">
        <f>+IFERROR(VLOOKUP(E4711,BD!$L$2:$Q$244,6,0),0)</f>
        <v>90</v>
      </c>
      <c r="I4711" s="62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7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7">
        <v>256721</v>
      </c>
      <c r="F4712" s="31" t="str">
        <f>IFERROR(VLOOKUP(E4712,BD!$L$2:$Q$244,2,0),0)</f>
        <v>SPRITE PET 500MLX6 BRANDEADO MOD</v>
      </c>
      <c r="G4712" s="424">
        <v>500</v>
      </c>
      <c r="H4712" s="31">
        <f>+IFERROR(VLOOKUP(E4712,BD!$L$2:$Q$244,6,0),0)</f>
        <v>420</v>
      </c>
      <c r="I4712" s="62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7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7">
        <v>256708</v>
      </c>
      <c r="F4713" s="31" t="str">
        <f>IFERROR(VLOOKUP(E4713,BD!$L$2:$Q$244,2,0),0)</f>
        <v>POWERADE ION4 FRUTA PET473X6 MOD (STICK)</v>
      </c>
      <c r="G4713" s="424">
        <v>225</v>
      </c>
      <c r="H4713" s="31">
        <f>+IFERROR(VLOOKUP(E4713,BD!$L$2:$Q$244,6,0),0)</f>
        <v>225</v>
      </c>
      <c r="I4713" s="62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7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7">
        <v>256709</v>
      </c>
      <c r="F4714" s="31" t="str">
        <f>IFERROR(VLOOKUP(E4714,BD!$L$2:$Q$244,2,0),0)</f>
        <v>POWERADE ION4 MORA AZ PET473X6 MOD(STCK)</v>
      </c>
      <c r="G4714" s="424">
        <v>225</v>
      </c>
      <c r="H4714" s="31">
        <f>+IFERROR(VLOOKUP(E4714,BD!$L$2:$Q$244,6,0),0)</f>
        <v>225</v>
      </c>
      <c r="I4714" s="62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7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7">
        <v>751315</v>
      </c>
      <c r="F4715" s="31" t="str">
        <f>IFERROR(VLOOKUP(E4715,BD!$L$2:$Q$244,2,0),0)</f>
        <v>MONSTER ENERGY 473MLX4</v>
      </c>
      <c r="G4715" s="424">
        <v>1680</v>
      </c>
      <c r="H4715" s="31">
        <f>+IFERROR(VLOOKUP(E4715,BD!$L$2:$Q$244,6,0),0)</f>
        <v>420</v>
      </c>
      <c r="I4715" s="62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7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7">
        <v>256674</v>
      </c>
      <c r="F4716" s="31" t="str">
        <f>IFERROR(VLOOKUP(E4716,BD!$L$2:$Q$244,2,0),0)</f>
        <v>COCA-COLA PET 1.5LX2 RF</v>
      </c>
      <c r="G4716" s="424">
        <v>1080</v>
      </c>
      <c r="H4716" s="31">
        <f>+IFERROR(VLOOKUP(E4716,BD!$L$2:$Q$244,6,0),0)</f>
        <v>198</v>
      </c>
      <c r="I4716" s="62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7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7">
        <v>256676</v>
      </c>
      <c r="F4717" s="31" t="str">
        <f>IFERROR(VLOOKUP(E4717,BD!$L$2:$Q$244,2,0),0)</f>
        <v>TWO PACK CC PFM 3LX2 - RFCC</v>
      </c>
      <c r="G4717" s="424">
        <v>2400</v>
      </c>
      <c r="H4717" s="31">
        <f>+IFERROR(VLOOKUP(E4717,BD!$L$2:$Q$244,6,0),0)</f>
        <v>120</v>
      </c>
      <c r="I4717" s="62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7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7">
        <v>256488</v>
      </c>
      <c r="F4718" s="31" t="str">
        <f>IFERROR(VLOOKUP(E4718,BD!$L$2:$Q$244,2,0),0)</f>
        <v>INCA KOLA PET 3LX2 - RF</v>
      </c>
      <c r="G4718" s="424">
        <v>2400</v>
      </c>
      <c r="H4718" s="31">
        <f>+IFERROR(VLOOKUP(E4718,BD!$L$2:$Q$244,6,0),0)</f>
        <v>120</v>
      </c>
      <c r="I4718" s="62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7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7">
        <v>251406</v>
      </c>
      <c r="F4719" s="31" t="str">
        <f>IFERROR(VLOOKUP(E4719,BD!$L$2:$Q$244,2,0),0)</f>
        <v>COCA-COLA SIN AZUCAR PET 1.5LX2</v>
      </c>
      <c r="G4719" s="424">
        <v>1080</v>
      </c>
      <c r="H4719" s="31">
        <f>+IFERROR(VLOOKUP(E4719,BD!$L$2:$Q$244,6,0),0)</f>
        <v>198</v>
      </c>
      <c r="I4719" s="62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7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7">
        <v>256675</v>
      </c>
      <c r="F4720" s="31" t="str">
        <f>IFERROR(VLOOKUP(E4720,BD!$L$2:$Q$244,2,0),0)</f>
        <v>INCA KOLA PET 1.5LX2 RF</v>
      </c>
      <c r="G4720" s="424">
        <v>864</v>
      </c>
      <c r="H4720" s="31">
        <f>+IFERROR(VLOOKUP(E4720,BD!$L$2:$Q$244,6,0),0)</f>
        <v>198</v>
      </c>
      <c r="I4720" s="62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7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7">
        <v>254853</v>
      </c>
      <c r="F4721" s="31" t="str">
        <f>IFERROR(VLOOKUP(E4721,BD!$L$2:$Q$244,2,0),0)</f>
        <v>INCA KOLA SIN AZUCAR PET 1.5LX2</v>
      </c>
      <c r="G4721" s="425">
        <v>1080</v>
      </c>
      <c r="H4721" s="31">
        <f>+IFERROR(VLOOKUP(E4721,BD!$L$2:$Q$244,6,0),0)</f>
        <v>198</v>
      </c>
      <c r="I4721" s="62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7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7">
        <v>256677</v>
      </c>
      <c r="F4722" s="31" t="str">
        <f>IFERROR(VLOOKUP(E4722,BD!$L$2:$Q$244,2,0),0)</f>
        <v>TWO PACK CC + IK PFM 3LX2 - RFNN</v>
      </c>
      <c r="G4722" s="424">
        <v>240</v>
      </c>
      <c r="H4722" s="31">
        <f>+IFERROR(VLOOKUP(E4722,BD!$L$2:$Q$244,6,0),0)</f>
        <v>120</v>
      </c>
      <c r="I4722" s="62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7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7">
        <v>256381</v>
      </c>
      <c r="F4723" s="31" t="str">
        <f>IFERROR(VLOOKUP(E4723,BD!$L$2:$Q$244,2,0),0)</f>
        <v>INCA KOLA VR 1.5LX8 - STICKER</v>
      </c>
      <c r="G4723" s="424">
        <v>120</v>
      </c>
      <c r="H4723" s="31">
        <f>+IFERROR(VLOOKUP(E4723,BD!$L$2:$Q$244,6,0),0)</f>
        <v>30</v>
      </c>
      <c r="I4723" s="62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7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7">
        <v>256379</v>
      </c>
      <c r="F4724" s="31" t="str">
        <f>IFERROR(VLOOKUP(E4724,BD!$L$2:$Q$244,2,0),0)</f>
        <v>INCA KOLA VR 625MLX12 - STICKER</v>
      </c>
      <c r="G4724" s="424">
        <v>200</v>
      </c>
      <c r="H4724" s="31">
        <f>+IFERROR(VLOOKUP(E4724,BD!$L$2:$Q$244,6,0),0)</f>
        <v>50</v>
      </c>
      <c r="I4724" s="62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7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7">
        <v>256685</v>
      </c>
      <c r="F4725" s="31" t="str">
        <f>IFERROR(VLOOKUP(E4725,BD!$L$2:$Q$244,2,0),0)</f>
        <v>SL S/G TAPA PLANA 1LT</v>
      </c>
      <c r="G4725" s="424">
        <v>560</v>
      </c>
      <c r="H4725" s="31">
        <f>+IFERROR(VLOOKUP(E4725,BD!$L$2:$Q$244,6,0),0)</f>
        <v>112</v>
      </c>
      <c r="I4725" s="62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7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7">
        <v>751315</v>
      </c>
      <c r="F4726" s="31" t="str">
        <f>IFERROR(VLOOKUP(E4726,BD!$L$2:$Q$244,2,0),0)</f>
        <v>MONSTER ENERGY 473MLX4</v>
      </c>
      <c r="G4726" s="424">
        <v>1680</v>
      </c>
      <c r="H4726" s="31">
        <f>+IFERROR(VLOOKUP(E4726,BD!$L$2:$Q$244,6,0),0)</f>
        <v>420</v>
      </c>
      <c r="I4726" s="62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7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7">
        <v>256488</v>
      </c>
      <c r="F4727" s="31" t="str">
        <f>IFERROR(VLOOKUP(E4727,BD!$L$2:$Q$244,2,0),0)</f>
        <v>INCA KOLA PET 3LX2 - RF</v>
      </c>
      <c r="G4727" s="424">
        <v>2640</v>
      </c>
      <c r="H4727" s="31">
        <f>+IFERROR(VLOOKUP(E4727,BD!$L$2:$Q$244,6,0),0)</f>
        <v>120</v>
      </c>
      <c r="I4727" s="62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7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7">
        <v>256677</v>
      </c>
      <c r="F4728" s="31" t="str">
        <f>IFERROR(VLOOKUP(E4728,BD!$L$2:$Q$244,2,0),0)</f>
        <v>TWO PACK CC + IK PFM 3LX2 - RFNN</v>
      </c>
      <c r="G4728" s="424">
        <v>2880</v>
      </c>
      <c r="H4728" s="31">
        <f>+IFERROR(VLOOKUP(E4728,BD!$L$2:$Q$244,6,0),0)</f>
        <v>120</v>
      </c>
      <c r="I4728" s="62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7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7">
        <v>256680</v>
      </c>
      <c r="F4729" s="31" t="str">
        <f>IFERROR(VLOOKUP(E4729,BD!$L$2:$Q$244,2,0),0)</f>
        <v>TRIPACK CC+CC+IK PFM 3LX3 - RFNN</v>
      </c>
      <c r="G4729" s="424">
        <v>1440</v>
      </c>
      <c r="H4729" s="31">
        <f>+IFERROR(VLOOKUP(E4729,BD!$L$2:$Q$244,6,0),0)</f>
        <v>90</v>
      </c>
      <c r="I4729" s="62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7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7">
        <v>256679</v>
      </c>
      <c r="F4730" s="31" t="str">
        <f>IFERROR(VLOOKUP(E4730,BD!$L$2:$Q$244,2,0),0)</f>
        <v>TRIPACK CC+IK+IK PFM 3LX3 - RFNN</v>
      </c>
      <c r="G4730" s="424">
        <v>2880</v>
      </c>
      <c r="H4730" s="31">
        <f>+IFERROR(VLOOKUP(E4730,BD!$L$2:$Q$244,6,0),0)</f>
        <v>90</v>
      </c>
      <c r="I4730" s="62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7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7">
        <v>256678</v>
      </c>
      <c r="F4731" s="31" t="str">
        <f>IFERROR(VLOOKUP(E4731,BD!$L$2:$Q$244,2,0),0)</f>
        <v>TRIPACK (CC+IK)PFM+FT PET 3LX3 - RFNN</v>
      </c>
      <c r="G4731" s="424">
        <v>720</v>
      </c>
      <c r="H4731" s="31">
        <f>+IFERROR(VLOOKUP(E4731,BD!$L$2:$Q$244,6,0),0)</f>
        <v>90</v>
      </c>
      <c r="I4731" s="62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7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7">
        <v>256695</v>
      </c>
      <c r="F4732" s="31" t="str">
        <f>IFERROR(VLOOKUP(E4732,BD!$L$2:$Q$244,2,0),0)</f>
        <v>POWERADE 3MORA+3FRUT PET 473MLX6</v>
      </c>
      <c r="G4732" s="424">
        <v>1350</v>
      </c>
      <c r="H4732" s="31">
        <f>+IFERROR(VLOOKUP(E4732,BD!$L$2:$Q$244,6,0),0)</f>
        <v>225</v>
      </c>
      <c r="I4732" s="62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7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7">
        <v>751315</v>
      </c>
      <c r="F4733" s="31" t="str">
        <f>IFERROR(VLOOKUP(E4733,BD!$L$2:$Q$244,2,0),0)</f>
        <v>MONSTER ENERGY 473MLX4</v>
      </c>
      <c r="G4733" s="424">
        <v>4200</v>
      </c>
      <c r="H4733" s="31">
        <f>+IFERROR(VLOOKUP(E4733,BD!$L$2:$Q$244,6,0),0)</f>
        <v>420</v>
      </c>
      <c r="I4733" s="62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7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7">
        <v>251406</v>
      </c>
      <c r="F4734" s="31" t="str">
        <f>IFERROR(VLOOKUP(E4734,BD!$L$2:$Q$244,2,0),0)</f>
        <v>COCA-COLA SIN AZUCAR PET 1.5LX2</v>
      </c>
      <c r="G4734" s="424">
        <v>4320</v>
      </c>
      <c r="H4734" s="31">
        <f>+IFERROR(VLOOKUP(E4734,BD!$L$2:$Q$244,6,0),0)</f>
        <v>198</v>
      </c>
      <c r="I4734" s="62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7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7">
        <v>256675</v>
      </c>
      <c r="F4735" s="31" t="str">
        <f>IFERROR(VLOOKUP(E4735,BD!$L$2:$Q$244,2,0),0)</f>
        <v>INCA KOLA PET 1.5LX2 RF</v>
      </c>
      <c r="G4735" s="424">
        <v>1080</v>
      </c>
      <c r="H4735" s="31">
        <f>+IFERROR(VLOOKUP(E4735,BD!$L$2:$Q$244,6,0),0)</f>
        <v>198</v>
      </c>
      <c r="I4735" s="62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7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7">
        <v>256652</v>
      </c>
      <c r="F4736" s="31" t="str">
        <f>IFERROR(VLOOKUP(E4736,BD!$L$2:$Q$244,2,0),0)</f>
        <v>TRIPACK FT NAR+FT KI+SP PET 3L</v>
      </c>
      <c r="G4736" s="424">
        <v>450</v>
      </c>
      <c r="H4736" s="31">
        <f>+IFERROR(VLOOKUP(E4736,BD!$L$2:$Q$244,6,0),0)</f>
        <v>90</v>
      </c>
      <c r="I4736" s="62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7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7">
        <v>256677</v>
      </c>
      <c r="F4737" s="31" t="str">
        <f>IFERROR(VLOOKUP(E4737,BD!$L$2:$Q$244,2,0),0)</f>
        <v>TWO PACK CC + IK PFM 3LX2 - RFNN</v>
      </c>
      <c r="G4737" s="424">
        <v>3840</v>
      </c>
      <c r="H4737" s="31">
        <f>+IFERROR(VLOOKUP(E4737,BD!$L$2:$Q$244,6,0),0)</f>
        <v>120</v>
      </c>
      <c r="I4737" s="62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7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7">
        <v>256680</v>
      </c>
      <c r="F4738" s="31" t="str">
        <f>IFERROR(VLOOKUP(E4738,BD!$L$2:$Q$244,2,0),0)</f>
        <v>TRIPACK CC+CC+IK PFM 3LX3 - RFNN</v>
      </c>
      <c r="G4738" s="424">
        <v>450</v>
      </c>
      <c r="H4738" s="31">
        <f>+IFERROR(VLOOKUP(E4738,BD!$L$2:$Q$244,6,0),0)</f>
        <v>90</v>
      </c>
      <c r="I4738" s="62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7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7">
        <v>256679</v>
      </c>
      <c r="F4739" s="31" t="str">
        <f>IFERROR(VLOOKUP(E4739,BD!$L$2:$Q$244,2,0),0)</f>
        <v>TRIPACK CC+IK+IK PFM 3LX3 - RFNN</v>
      </c>
      <c r="G4739" s="424">
        <v>720</v>
      </c>
      <c r="H4739" s="31">
        <f>+IFERROR(VLOOKUP(E4739,BD!$L$2:$Q$244,6,0),0)</f>
        <v>90</v>
      </c>
      <c r="I4739" s="62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7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7">
        <v>256678</v>
      </c>
      <c r="F4740" s="31" t="str">
        <f>IFERROR(VLOOKUP(E4740,BD!$L$2:$Q$244,2,0),0)</f>
        <v>TRIPACK (CC+IK)PFM+FT PET 3LX3 - RFNN</v>
      </c>
      <c r="G4740" s="424">
        <v>3600</v>
      </c>
      <c r="H4740" s="31">
        <f>+IFERROR(VLOOKUP(E4740,BD!$L$2:$Q$244,6,0),0)</f>
        <v>90</v>
      </c>
      <c r="I4740" s="62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7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7">
        <v>256720</v>
      </c>
      <c r="F4741" s="31" t="str">
        <f>IFERROR(VLOOKUP(E4741,BD!$L$2:$Q$244,2,0),0)</f>
        <v>FANTA NARANJA PET 500MLX6 BRANDEADO MOD</v>
      </c>
      <c r="G4741" s="424">
        <v>750</v>
      </c>
      <c r="H4741" s="31">
        <f>+IFERROR(VLOOKUP(E4741,BD!$L$2:$Q$244,6,0),0)</f>
        <v>420</v>
      </c>
      <c r="I4741" s="62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7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7">
        <v>256616</v>
      </c>
      <c r="F4742" s="31" t="str">
        <f>IFERROR(VLOOKUP(E4742,BD!$L$2:$Q$244,2,0),0)</f>
        <v>TWO PACK SCHWEPPES CITRUS PET 1.5LX2</v>
      </c>
      <c r="G4742" s="424">
        <v>990</v>
      </c>
      <c r="H4742" s="31">
        <f>+IFERROR(VLOOKUP(E4742,BD!$L$2:$Q$244,6,0),0)</f>
        <v>198</v>
      </c>
      <c r="I4742" s="62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7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7">
        <v>256617</v>
      </c>
      <c r="F4743" s="31" t="str">
        <f>IFERROR(VLOOKUP(E4743,BD!$L$2:$Q$244,2,0),0)</f>
        <v>TWO PACK SCHWEPPES GINGER ALE PET 1.5LX2</v>
      </c>
      <c r="G4743" s="424">
        <v>990</v>
      </c>
      <c r="H4743" s="31">
        <f>+IFERROR(VLOOKUP(E4743,BD!$L$2:$Q$244,6,0),0)</f>
        <v>198</v>
      </c>
      <c r="I4743" s="62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7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7">
        <v>256488</v>
      </c>
      <c r="F4744" s="31" t="str">
        <f>IFERROR(VLOOKUP(E4744,BD!$L$2:$Q$244,2,0),0)</f>
        <v>INCA KOLA PET 3LX2 - RF</v>
      </c>
      <c r="G4744" s="424">
        <v>2400</v>
      </c>
      <c r="H4744" s="31">
        <f>+IFERROR(VLOOKUP(E4744,BD!$L$2:$Q$244,6,0),0)</f>
        <v>120</v>
      </c>
      <c r="I4744" s="62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7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7">
        <v>256674</v>
      </c>
      <c r="F4745" s="31" t="str">
        <f>IFERROR(VLOOKUP(E4745,BD!$L$2:$Q$244,2,0),0)</f>
        <v>COCA-COLA PET 1.5LX2 RF</v>
      </c>
      <c r="G4745" s="424">
        <v>2160</v>
      </c>
      <c r="H4745" s="31">
        <f>+IFERROR(VLOOKUP(E4745,BD!$L$2:$Q$244,6,0),0)</f>
        <v>198</v>
      </c>
      <c r="I4745" s="62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7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7">
        <v>256679</v>
      </c>
      <c r="F4746" s="31" t="str">
        <f>IFERROR(VLOOKUP(E4746,BD!$L$2:$Q$244,2,0),0)</f>
        <v>TRIPACK CC+IK+IK PFM 3LX3 - RFNN</v>
      </c>
      <c r="G4746" s="424">
        <v>180</v>
      </c>
      <c r="H4746" s="31">
        <f>+IFERROR(VLOOKUP(E4746,BD!$L$2:$Q$244,6,0),0)</f>
        <v>90</v>
      </c>
      <c r="I4746" s="62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7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7">
        <v>256737</v>
      </c>
      <c r="F4747" s="31" t="str">
        <f>IFERROR(VLOOKUP(E4747,BD!$L$2:$Q$244,2,0),0)</f>
        <v>INCA KOLA SA ALUMINIO-3 DISEÑOS 330MLX12</v>
      </c>
      <c r="G4747" s="424">
        <v>125</v>
      </c>
      <c r="H4747" s="31">
        <f>+IFERROR(VLOOKUP(E4747,BD!$L$2:$Q$244,6,0),0)</f>
        <v>420</v>
      </c>
      <c r="I4747" s="62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7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7">
        <v>256737</v>
      </c>
      <c r="F4748" s="31" t="str">
        <f>IFERROR(VLOOKUP(E4748,BD!$L$2:$Q$244,2,0),0)</f>
        <v>INCA KOLA SA ALUMINIO-3 DISEÑOS 330MLX12</v>
      </c>
      <c r="G4748" s="424">
        <v>1875</v>
      </c>
      <c r="H4748" s="31">
        <f>+IFERROR(VLOOKUP(E4748,BD!$L$2:$Q$244,6,0),0)</f>
        <v>420</v>
      </c>
      <c r="I4748" s="62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7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7">
        <v>256737</v>
      </c>
      <c r="F4749" s="31" t="str">
        <f>IFERROR(VLOOKUP(E4749,BD!$L$2:$Q$244,2,0),0)</f>
        <v>INCA KOLA SA ALUMINIO-3 DISEÑOS 330MLX12</v>
      </c>
      <c r="G4749" s="424">
        <v>875</v>
      </c>
      <c r="H4749" s="31">
        <f>+IFERROR(VLOOKUP(E4749,BD!$L$2:$Q$244,6,0),0)</f>
        <v>420</v>
      </c>
      <c r="I4749" s="62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7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7">
        <v>256677</v>
      </c>
      <c r="F4750" s="31" t="str">
        <f>IFERROR(VLOOKUP(E4750,BD!$L$2:$Q$244,2,0),0)</f>
        <v>TWO PACK CC + IK PFM 3LX2 - RFNN</v>
      </c>
      <c r="G4750" s="424">
        <v>4560</v>
      </c>
      <c r="H4750" s="31">
        <f>+IFERROR(VLOOKUP(E4750,BD!$L$2:$Q$244,6,0),0)</f>
        <v>120</v>
      </c>
      <c r="I4750" s="62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7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7">
        <v>256695</v>
      </c>
      <c r="F4751" s="31" t="str">
        <f>IFERROR(VLOOKUP(E4751,BD!$L$2:$Q$244,2,0),0)</f>
        <v>POWERADE 3MORA+3FRUT PET 473MLX6</v>
      </c>
      <c r="G4751" s="424">
        <v>1350</v>
      </c>
      <c r="H4751" s="31">
        <f>+IFERROR(VLOOKUP(E4751,BD!$L$2:$Q$244,6,0),0)</f>
        <v>225</v>
      </c>
      <c r="I4751" s="62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7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7">
        <v>256737</v>
      </c>
      <c r="F4752" s="31" t="str">
        <f>IFERROR(VLOOKUP(E4752,BD!$L$2:$Q$244,2,0),0)</f>
        <v>INCA KOLA SA ALUMINIO-3 DISEÑOS 330MLX12</v>
      </c>
      <c r="G4752" s="424">
        <v>875</v>
      </c>
      <c r="H4752" s="31">
        <f>+IFERROR(VLOOKUP(E4752,BD!$L$2:$Q$244,6,0),0)</f>
        <v>420</v>
      </c>
      <c r="I4752" s="62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7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7">
        <v>256383</v>
      </c>
      <c r="F4753" s="31" t="str">
        <f>IFERROR(VLOOKUP(E4753,BD!$L$2:$Q$244,2,0),0)</f>
        <v>COCA COLA VR 1.5LX8 - STICKER</v>
      </c>
      <c r="G4753" s="424">
        <v>120</v>
      </c>
      <c r="H4753" s="31">
        <f>+IFERROR(VLOOKUP(E4753,BD!$L$2:$Q$244,6,0),0)</f>
        <v>30</v>
      </c>
      <c r="I4753" s="62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7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7">
        <v>256381</v>
      </c>
      <c r="F4754" s="31" t="str">
        <f>IFERROR(VLOOKUP(E4754,BD!$L$2:$Q$244,2,0),0)</f>
        <v>INCA KOLA VR 1.5LX8 - STICKER</v>
      </c>
      <c r="G4754" s="424">
        <v>300</v>
      </c>
      <c r="H4754" s="31">
        <f>+IFERROR(VLOOKUP(E4754,BD!$L$2:$Q$244,6,0),0)</f>
        <v>30</v>
      </c>
      <c r="I4754" s="62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7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7">
        <v>256379</v>
      </c>
      <c r="F4755" s="31" t="str">
        <f>IFERROR(VLOOKUP(E4755,BD!$L$2:$Q$244,2,0),0)</f>
        <v>INCA KOLA VR 625MLX12 - STICKER</v>
      </c>
      <c r="G4755" s="424">
        <v>150</v>
      </c>
      <c r="H4755" s="31">
        <f>+IFERROR(VLOOKUP(E4755,BD!$L$2:$Q$244,6,0),0)</f>
        <v>50</v>
      </c>
      <c r="I4755" s="62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7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7">
        <v>751315</v>
      </c>
      <c r="F4756" s="31" t="str">
        <f>IFERROR(VLOOKUP(E4756,BD!$L$2:$Q$244,2,0),0)</f>
        <v>MONSTER ENERGY 473MLX4</v>
      </c>
      <c r="G4756" s="424">
        <v>2100</v>
      </c>
      <c r="H4756" s="31">
        <f>+IFERROR(VLOOKUP(E4756,BD!$L$2:$Q$244,6,0),0)</f>
        <v>420</v>
      </c>
      <c r="I4756" s="62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7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7">
        <v>751468</v>
      </c>
      <c r="F4757" s="31" t="str">
        <f>IFERROR(VLOOKUP(E4757,BD!$L$2:$Q$244,2,0),0)</f>
        <v>MONSTER ENERGY ULTRA 473MLX4</v>
      </c>
      <c r="G4757" s="424">
        <v>1260</v>
      </c>
      <c r="H4757" s="31">
        <f>+IFERROR(VLOOKUP(E4757,BD!$L$2:$Q$244,6,0),0)</f>
        <v>420</v>
      </c>
      <c r="I4757" s="62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7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7">
        <v>254853</v>
      </c>
      <c r="F4758" s="31" t="str">
        <f>IFERROR(VLOOKUP(E4758,BD!$L$2:$Q$244,2,0),0)</f>
        <v>INCA KOLA SIN AZUCAR PET 1.5LX2</v>
      </c>
      <c r="G4758" s="424">
        <v>1296</v>
      </c>
      <c r="H4758" s="31">
        <f>+IFERROR(VLOOKUP(E4758,BD!$L$2:$Q$244,6,0),0)</f>
        <v>198</v>
      </c>
      <c r="I4758" s="62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7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7">
        <v>256666</v>
      </c>
      <c r="F4759" s="31" t="str">
        <f>IFERROR(VLOOKUP(E4759,BD!$L$2:$Q$244,2,0),0)</f>
        <v>COCA-COLA PET 2.25LX2 RF</v>
      </c>
      <c r="G4759" s="424">
        <v>810</v>
      </c>
      <c r="H4759" s="31">
        <f>+IFERROR(VLOOKUP(E4759,BD!$L$2:$Q$244,6,0),0)</f>
        <v>162</v>
      </c>
      <c r="I4759" s="62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7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7">
        <v>256601</v>
      </c>
      <c r="F4760" s="31" t="str">
        <f>IFERROR(VLOOKUP(E4760,BD!$L$2:$Q$244,2,0),0)</f>
        <v>INCA KOLA PET 2.25LX2 RF</v>
      </c>
      <c r="G4760" s="424">
        <v>486</v>
      </c>
      <c r="H4760" s="31">
        <f>+IFERROR(VLOOKUP(E4760,BD!$L$2:$Q$244,6,0),0)</f>
        <v>162</v>
      </c>
      <c r="I4760" s="62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7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7">
        <v>256676</v>
      </c>
      <c r="F4761" s="31" t="str">
        <f>IFERROR(VLOOKUP(E4761,BD!$L$2:$Q$244,2,0),0)</f>
        <v>TWO PACK CC PFM 3LX2 - RFCC</v>
      </c>
      <c r="G4761" s="424">
        <v>720</v>
      </c>
      <c r="H4761" s="31">
        <f>+IFERROR(VLOOKUP(E4761,BD!$L$2:$Q$244,6,0),0)</f>
        <v>120</v>
      </c>
      <c r="I4761" s="62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7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7">
        <v>256675</v>
      </c>
      <c r="F4762" s="31" t="str">
        <f>IFERROR(VLOOKUP(E4762,BD!$L$2:$Q$244,2,0),0)</f>
        <v>INCA KOLA PET 1.5LX2 RF</v>
      </c>
      <c r="G4762" s="424">
        <v>1296</v>
      </c>
      <c r="H4762" s="31">
        <f>+IFERROR(VLOOKUP(E4762,BD!$L$2:$Q$244,6,0),0)</f>
        <v>198</v>
      </c>
      <c r="I4762" s="62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7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7">
        <v>256652</v>
      </c>
      <c r="F4763" s="31" t="str">
        <f>IFERROR(VLOOKUP(E4763,BD!$L$2:$Q$244,2,0),0)</f>
        <v>TRIPACK FT NAR+FT KI+SP PET 3L</v>
      </c>
      <c r="G4763" s="424">
        <v>450</v>
      </c>
      <c r="H4763" s="31">
        <f>+IFERROR(VLOOKUP(E4763,BD!$L$2:$Q$244,6,0),0)</f>
        <v>90</v>
      </c>
      <c r="I4763" s="62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7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7">
        <v>256677</v>
      </c>
      <c r="F4764" s="31" t="str">
        <f>IFERROR(VLOOKUP(E4764,BD!$L$2:$Q$244,2,0),0)</f>
        <v>TWO PACK CC + IK PFM 3LX2 - RFNN</v>
      </c>
      <c r="G4764" s="424">
        <v>7920</v>
      </c>
      <c r="H4764" s="31">
        <f>+IFERROR(VLOOKUP(E4764,BD!$L$2:$Q$244,6,0),0)</f>
        <v>120</v>
      </c>
      <c r="I4764" s="62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7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7">
        <v>256708</v>
      </c>
      <c r="F4765" s="31" t="str">
        <f>IFERROR(VLOOKUP(E4765,BD!$L$2:$Q$244,2,0),0)</f>
        <v>POWERADE ION4 FRUTA PET473X6 MOD (STICK)</v>
      </c>
      <c r="G4765" s="424">
        <v>675</v>
      </c>
      <c r="H4765" s="31">
        <f>+IFERROR(VLOOKUP(E4765,BD!$L$2:$Q$244,6,0),0)</f>
        <v>225</v>
      </c>
      <c r="I4765" s="62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7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7">
        <v>256709</v>
      </c>
      <c r="F4766" s="31" t="str">
        <f>IFERROR(VLOOKUP(E4766,BD!$L$2:$Q$244,2,0),0)</f>
        <v>POWERADE ION4 MORA AZ PET473X6 MOD(STCK)</v>
      </c>
      <c r="G4766" s="424">
        <v>450</v>
      </c>
      <c r="H4766" s="31">
        <f>+IFERROR(VLOOKUP(E4766,BD!$L$2:$Q$244,6,0),0)</f>
        <v>225</v>
      </c>
      <c r="I4766" s="62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7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7">
        <v>256720</v>
      </c>
      <c r="F4767" s="31" t="str">
        <f>IFERROR(VLOOKUP(E4767,BD!$L$2:$Q$244,2,0),0)</f>
        <v>FANTA NARANJA PET 500MLX6 BRANDEADO MOD</v>
      </c>
      <c r="G4767" s="424">
        <v>500</v>
      </c>
      <c r="H4767" s="31">
        <f>+IFERROR(VLOOKUP(E4767,BD!$L$2:$Q$244,6,0),0)</f>
        <v>420</v>
      </c>
      <c r="I4767" s="62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7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7">
        <v>256675</v>
      </c>
      <c r="F4768" s="31" t="str">
        <f>IFERROR(VLOOKUP(E4768,BD!$L$2:$Q$244,2,0),0)</f>
        <v>INCA KOLA PET 1.5LX2 RF</v>
      </c>
      <c r="G4768" s="424">
        <v>864</v>
      </c>
      <c r="H4768" s="31">
        <f>+IFERROR(VLOOKUP(E4768,BD!$L$2:$Q$244,6,0),0)</f>
        <v>198</v>
      </c>
      <c r="I4768" s="62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7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7">
        <v>256676</v>
      </c>
      <c r="F4769" s="31" t="str">
        <f>IFERROR(VLOOKUP(E4769,BD!$L$2:$Q$244,2,0),0)</f>
        <v>TWO PACK CC PFM 3LX2 - RFCC</v>
      </c>
      <c r="G4769" s="424">
        <v>1680</v>
      </c>
      <c r="H4769" s="31">
        <f>+IFERROR(VLOOKUP(E4769,BD!$L$2:$Q$244,6,0),0)</f>
        <v>120</v>
      </c>
      <c r="I4769" s="62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7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7">
        <v>256682</v>
      </c>
      <c r="F4770" s="31" t="str">
        <f>IFERROR(VLOOKUP(E4770,BD!$L$2:$Q$244,2,0),0)</f>
        <v>TRIPACK (FT NAR+SP)PET+IK RF PFM 3L</v>
      </c>
      <c r="G4770" s="424">
        <v>450</v>
      </c>
      <c r="H4770" s="31">
        <f>+IFERROR(VLOOKUP(E4770,BD!$L$2:$Q$244,6,0),0)</f>
        <v>90</v>
      </c>
      <c r="I4770" s="62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7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7">
        <v>254853</v>
      </c>
      <c r="F4771" s="31" t="str">
        <f>IFERROR(VLOOKUP(E4771,BD!$L$2:$Q$244,2,0),0)</f>
        <v>INCA KOLA SIN AZUCAR PET 1.5LX2</v>
      </c>
      <c r="G4771" s="424">
        <v>1944</v>
      </c>
      <c r="H4771" s="31">
        <f>+IFERROR(VLOOKUP(E4771,BD!$L$2:$Q$244,6,0),0)</f>
        <v>198</v>
      </c>
      <c r="I4771" s="62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7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7">
        <v>256737</v>
      </c>
      <c r="F4772" s="31" t="str">
        <f>IFERROR(VLOOKUP(E4772,BD!$L$2:$Q$244,2,0),0)</f>
        <v>INCA KOLA SA ALUMINIO-3 DISEÑOS 330MLX12</v>
      </c>
      <c r="G4772" s="424">
        <v>750</v>
      </c>
      <c r="H4772" s="31">
        <f>+IFERROR(VLOOKUP(E4772,BD!$L$2:$Q$244,6,0),0)</f>
        <v>420</v>
      </c>
      <c r="I4772" s="62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7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7">
        <v>256617</v>
      </c>
      <c r="F4773" s="31" t="str">
        <f>IFERROR(VLOOKUP(E4773,BD!$L$2:$Q$244,2,0),0)</f>
        <v>TWO PACK SCHWEPPES GINGER ALE PET 1.5LX2</v>
      </c>
      <c r="G4773" s="424">
        <v>554</v>
      </c>
      <c r="H4773" s="31">
        <f>+IFERROR(VLOOKUP(E4773,BD!$L$2:$Q$244,6,0),0)</f>
        <v>198</v>
      </c>
      <c r="I4773" s="62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7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7">
        <v>256721</v>
      </c>
      <c r="F4774" s="31" t="str">
        <f>IFERROR(VLOOKUP(E4774,BD!$L$2:$Q$244,2,0),0)</f>
        <v>SPRITE PET 500MLX6 BRANDEADO MOD</v>
      </c>
      <c r="G4774" s="424">
        <v>250</v>
      </c>
      <c r="H4774" s="31">
        <f>+IFERROR(VLOOKUP(E4774,BD!$L$2:$Q$244,6,0),0)</f>
        <v>420</v>
      </c>
      <c r="I4774" s="62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7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7">
        <v>254762</v>
      </c>
      <c r="F4775" s="31" t="str">
        <f>IFERROR(VLOOKUP(E4775,BD!$L$2:$Q$244,2,0),0)</f>
        <v xml:space="preserve">SAN LUIS SPORT S/G 10 Lt x6 </v>
      </c>
      <c r="G4775" s="424">
        <v>224</v>
      </c>
      <c r="H4775" s="31">
        <f>+IFERROR(VLOOKUP(E4775,BD!$L$2:$Q$244,6,0),0)</f>
        <v>240</v>
      </c>
      <c r="I4775" s="62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7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7">
        <v>256685</v>
      </c>
      <c r="F4776" s="31" t="str">
        <f>IFERROR(VLOOKUP(E4776,BD!$L$2:$Q$244,2,0),0)</f>
        <v>SL S/G TAPA PLANA 1LT</v>
      </c>
      <c r="G4776" s="424">
        <v>336</v>
      </c>
      <c r="H4776" s="31">
        <f>+IFERROR(VLOOKUP(E4776,BD!$L$2:$Q$244,6,0),0)</f>
        <v>112</v>
      </c>
      <c r="I4776" s="62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7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7">
        <v>251633</v>
      </c>
      <c r="F4777" s="31" t="str">
        <f>IFERROR(VLOOKUP(E4777,BD!$L$2:$Q$244,2,0),0)</f>
        <v>SAN LUIS CON GAS PET 625MLX6</v>
      </c>
      <c r="G4777" s="424">
        <v>540</v>
      </c>
      <c r="H4777" s="31">
        <f>+IFERROR(VLOOKUP(E4777,BD!$L$2:$Q$244,6,0),0)</f>
        <v>180</v>
      </c>
      <c r="I4777" s="62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7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7">
        <v>256616</v>
      </c>
      <c r="F4778" s="31" t="str">
        <f>IFERROR(VLOOKUP(E4778,BD!$L$2:$Q$244,2,0),0)</f>
        <v>TWO PACK SCHWEPPES CITRUS PET 1.5LX2</v>
      </c>
      <c r="G4778" s="424">
        <v>1782</v>
      </c>
      <c r="H4778" s="31">
        <f>+IFERROR(VLOOKUP(E4778,BD!$L$2:$Q$244,6,0),0)</f>
        <v>198</v>
      </c>
      <c r="I4778" s="62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7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7">
        <v>256617</v>
      </c>
      <c r="F4779" s="31" t="str">
        <f>IFERROR(VLOOKUP(E4779,BD!$L$2:$Q$244,2,0),0)</f>
        <v>TWO PACK SCHWEPPES GINGER ALE PET 1.5LX2</v>
      </c>
      <c r="G4779" s="424">
        <v>1980</v>
      </c>
      <c r="H4779" s="31">
        <f>+IFERROR(VLOOKUP(E4779,BD!$L$2:$Q$244,6,0),0)</f>
        <v>198</v>
      </c>
      <c r="I4779" s="62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7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7">
        <v>256666</v>
      </c>
      <c r="F4780" s="31" t="str">
        <f>IFERROR(VLOOKUP(E4780,BD!$L$2:$Q$244,2,0),0)</f>
        <v>COCA-COLA PET 2.25LX2 RF</v>
      </c>
      <c r="G4780" s="424">
        <v>1134</v>
      </c>
      <c r="H4780" s="31">
        <f>+IFERROR(VLOOKUP(E4780,BD!$L$2:$Q$244,6,0),0)</f>
        <v>162</v>
      </c>
      <c r="I4780" s="62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7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7">
        <v>256601</v>
      </c>
      <c r="F4781" s="31" t="str">
        <f>IFERROR(VLOOKUP(E4781,BD!$L$2:$Q$244,2,0),0)</f>
        <v>INCA KOLA PET 2.25LX2 RF</v>
      </c>
      <c r="G4781" s="424">
        <v>810</v>
      </c>
      <c r="H4781" s="31">
        <f>+IFERROR(VLOOKUP(E4781,BD!$L$2:$Q$244,6,0),0)</f>
        <v>162</v>
      </c>
      <c r="I4781" s="62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7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7">
        <v>256488</v>
      </c>
      <c r="F4782" s="31" t="str">
        <f>IFERROR(VLOOKUP(E4782,BD!$L$2:$Q$244,2,0),0)</f>
        <v>INCA KOLA PET 3LX2 - RF</v>
      </c>
      <c r="G4782" s="424">
        <v>480</v>
      </c>
      <c r="H4782" s="31">
        <f>+IFERROR(VLOOKUP(E4782,BD!$L$2:$Q$244,6,0),0)</f>
        <v>120</v>
      </c>
      <c r="I4782" s="62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7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7">
        <v>256676</v>
      </c>
      <c r="F4783" s="31" t="str">
        <f>IFERROR(VLOOKUP(E4783,BD!$L$2:$Q$244,2,0),0)</f>
        <v>TWO PACK CC PFM 3LX2 - RFCC</v>
      </c>
      <c r="G4783" s="424">
        <v>1080</v>
      </c>
      <c r="H4783" s="31">
        <f>+IFERROR(VLOOKUP(E4783,BD!$L$2:$Q$244,6,0),0)</f>
        <v>120</v>
      </c>
      <c r="I4783" s="62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7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7">
        <v>256674</v>
      </c>
      <c r="F4784" s="31" t="str">
        <f>IFERROR(VLOOKUP(E4784,BD!$L$2:$Q$244,2,0),0)</f>
        <v>COCA-COLA PET 1.5LX2 RF</v>
      </c>
      <c r="G4784" s="424">
        <v>432</v>
      </c>
      <c r="H4784" s="31">
        <f>+IFERROR(VLOOKUP(E4784,BD!$L$2:$Q$244,6,0),0)</f>
        <v>198</v>
      </c>
      <c r="I4784" s="62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7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7">
        <v>256675</v>
      </c>
      <c r="F4785" s="31" t="str">
        <f>IFERROR(VLOOKUP(E4785,BD!$L$2:$Q$244,2,0),0)</f>
        <v>INCA KOLA PET 1.5LX2 RF</v>
      </c>
      <c r="G4785" s="424">
        <v>2376</v>
      </c>
      <c r="H4785" s="31">
        <f>+IFERROR(VLOOKUP(E4785,BD!$L$2:$Q$244,6,0),0)</f>
        <v>198</v>
      </c>
      <c r="I4785" s="62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7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7">
        <v>256652</v>
      </c>
      <c r="F4786" s="31" t="str">
        <f>IFERROR(VLOOKUP(E4786,BD!$L$2:$Q$244,2,0),0)</f>
        <v>TRIPACK FT NAR+FT KI+SP PET 3L</v>
      </c>
      <c r="G4786" s="424">
        <v>630</v>
      </c>
      <c r="H4786" s="31">
        <f>+IFERROR(VLOOKUP(E4786,BD!$L$2:$Q$244,6,0),0)</f>
        <v>90</v>
      </c>
      <c r="I4786" s="62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7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7">
        <v>256695</v>
      </c>
      <c r="F4787" s="31" t="str">
        <f>IFERROR(VLOOKUP(E4787,BD!$L$2:$Q$244,2,0),0)</f>
        <v>POWERADE 3MORA+3FRUT PET 473MLX6</v>
      </c>
      <c r="G4787" s="424">
        <v>1350</v>
      </c>
      <c r="H4787" s="31">
        <f>+IFERROR(VLOOKUP(E4787,BD!$L$2:$Q$244,6,0),0)</f>
        <v>225</v>
      </c>
      <c r="I4787" s="62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7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7">
        <v>256708</v>
      </c>
      <c r="F4788" s="31" t="str">
        <f>IFERROR(VLOOKUP(E4788,BD!$L$2:$Q$244,2,0),0)</f>
        <v>POWERADE ION4 FRUTA PET473X6 MOD (STICK)</v>
      </c>
      <c r="G4788" s="425">
        <v>225</v>
      </c>
      <c r="H4788" s="31">
        <f>+IFERROR(VLOOKUP(E4788,BD!$L$2:$Q$244,6,0),0)</f>
        <v>225</v>
      </c>
      <c r="I4788" s="62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7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7">
        <v>256720</v>
      </c>
      <c r="F4789" s="31" t="str">
        <f>IFERROR(VLOOKUP(E4789,BD!$L$2:$Q$244,2,0),0)</f>
        <v>FANTA NARANJA PET 500MLX6 BRANDEADO MOD</v>
      </c>
      <c r="G4789" s="424">
        <v>500</v>
      </c>
      <c r="H4789" s="31">
        <f>+IFERROR(VLOOKUP(E4789,BD!$L$2:$Q$244,6,0),0)</f>
        <v>420</v>
      </c>
      <c r="I4789" s="62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7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7">
        <v>256381</v>
      </c>
      <c r="F4790" s="31" t="str">
        <f>IFERROR(VLOOKUP(E4790,BD!$L$2:$Q$244,2,0),0)</f>
        <v>INCA KOLA VR 1.5LX8 - STICKER</v>
      </c>
      <c r="G4790" s="424">
        <v>150</v>
      </c>
      <c r="H4790" s="31">
        <f>+IFERROR(VLOOKUP(E4790,BD!$L$2:$Q$244,6,0),0)</f>
        <v>30</v>
      </c>
      <c r="I4790" s="62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7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7">
        <v>256379</v>
      </c>
      <c r="F4791" s="31" t="str">
        <f>IFERROR(VLOOKUP(E4791,BD!$L$2:$Q$244,2,0),0)</f>
        <v>INCA KOLA VR 625MLX12 - STICKER</v>
      </c>
      <c r="G4791" s="424">
        <v>50</v>
      </c>
      <c r="H4791" s="31">
        <f>+IFERROR(VLOOKUP(E4791,BD!$L$2:$Q$244,6,0),0)</f>
        <v>50</v>
      </c>
      <c r="I4791" s="62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7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7">
        <v>256677</v>
      </c>
      <c r="F4792" s="31" t="str">
        <f>IFERROR(VLOOKUP(E4792,BD!$L$2:$Q$244,2,0),0)</f>
        <v>TWO PACK CC + IK PFM 3LX2 - RFNN</v>
      </c>
      <c r="G4792" s="424">
        <v>4320</v>
      </c>
      <c r="H4792" s="31">
        <f>+IFERROR(VLOOKUP(E4792,BD!$L$2:$Q$244,6,0),0)</f>
        <v>120</v>
      </c>
      <c r="I4792" s="62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7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7" t="s">
        <v>266</v>
      </c>
      <c r="F4793" s="31" t="str">
        <f>IFERROR(VLOOKUP(E4793,BD!$L$2:$Q$244,2,0),0)</f>
        <v>2FTKI + 2FTN + 1FTP + 1SP PACK x 500ML</v>
      </c>
      <c r="G4793" s="424">
        <v>500</v>
      </c>
      <c r="H4793" s="31">
        <f>+IFERROR(VLOOKUP(E4793,BD!$L$2:$Q$244,6,0),0)</f>
        <v>250</v>
      </c>
      <c r="I4793" s="62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7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7">
        <v>256383</v>
      </c>
      <c r="F4794" s="31" t="str">
        <f>IFERROR(VLOOKUP(E4794,BD!$L$2:$Q$244,2,0),0)</f>
        <v>COCA COLA VR 1.5LX8 - STICKER</v>
      </c>
      <c r="G4794" s="424">
        <v>240</v>
      </c>
      <c r="H4794" s="31">
        <f>+IFERROR(VLOOKUP(E4794,BD!$L$2:$Q$244,6,0),0)</f>
        <v>30</v>
      </c>
      <c r="I4794" s="62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7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7">
        <v>256379</v>
      </c>
      <c r="F4795" s="31" t="str">
        <f>IFERROR(VLOOKUP(E4795,BD!$L$2:$Q$244,2,0),0)</f>
        <v>INCA KOLA VR 625MLX12 - STICKER</v>
      </c>
      <c r="G4795" s="424">
        <v>200</v>
      </c>
      <c r="H4795" s="31">
        <f>+IFERROR(VLOOKUP(E4795,BD!$L$2:$Q$244,6,0),0)</f>
        <v>50</v>
      </c>
      <c r="I4795" s="62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7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7">
        <v>254853</v>
      </c>
      <c r="F4796" s="31" t="str">
        <f>IFERROR(VLOOKUP(E4796,BD!$L$2:$Q$244,2,0),0)</f>
        <v>INCA KOLA SIN AZUCAR PET 1.5LX2</v>
      </c>
      <c r="G4796" s="424">
        <v>432</v>
      </c>
      <c r="H4796" s="31">
        <f>+IFERROR(VLOOKUP(E4796,BD!$L$2:$Q$244,6,0),0)</f>
        <v>198</v>
      </c>
      <c r="I4796" s="62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7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7">
        <v>256677</v>
      </c>
      <c r="F4797" s="31" t="str">
        <f>IFERROR(VLOOKUP(E4797,BD!$L$2:$Q$244,2,0),0)</f>
        <v>TWO PACK CC + IK PFM 3LX2 - RFNN</v>
      </c>
      <c r="G4797" s="424">
        <v>6480</v>
      </c>
      <c r="H4797" s="31">
        <f>+IFERROR(VLOOKUP(E4797,BD!$L$2:$Q$244,6,0),0)</f>
        <v>120</v>
      </c>
      <c r="I4797" s="62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7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7">
        <v>256678</v>
      </c>
      <c r="F4798" s="31" t="str">
        <f>IFERROR(VLOOKUP(E4798,BD!$L$2:$Q$244,2,0),0)</f>
        <v>TRIPACK (CC+IK)PFM+FT PET 3LX3 - RFNN</v>
      </c>
      <c r="G4798" s="424">
        <v>1440</v>
      </c>
      <c r="H4798" s="31">
        <f>+IFERROR(VLOOKUP(E4798,BD!$L$2:$Q$244,6,0),0)</f>
        <v>90</v>
      </c>
      <c r="I4798" s="62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7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7">
        <v>256708</v>
      </c>
      <c r="F4799" s="31" t="str">
        <f>IFERROR(VLOOKUP(E4799,BD!$L$2:$Q$244,2,0),0)</f>
        <v>POWERADE ION4 FRUTA PET473X6 MOD (STICK)</v>
      </c>
      <c r="G4799" s="424">
        <v>450</v>
      </c>
      <c r="H4799" s="31">
        <f>+IFERROR(VLOOKUP(E4799,BD!$L$2:$Q$244,6,0),0)</f>
        <v>225</v>
      </c>
      <c r="I4799" s="62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7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7" t="s">
        <v>263</v>
      </c>
      <c r="F4800" s="31" t="str">
        <f>IFERROR(VLOOKUP(E4800,BD!$L$2:$Q$244,2,0),0)</f>
        <v>3CC SA + 3IK SA 600ML X 6 PUC</v>
      </c>
      <c r="G4800" s="424">
        <v>800</v>
      </c>
      <c r="H4800" s="31">
        <f>+IFERROR(VLOOKUP(E4800,BD!$L$2:$Q$244,6,0),0)</f>
        <v>200</v>
      </c>
      <c r="I4800" s="62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7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7">
        <v>256737</v>
      </c>
      <c r="F4801" s="31" t="str">
        <f>IFERROR(VLOOKUP(E4801,BD!$L$2:$Q$244,2,0),0)</f>
        <v>INCA KOLA SA ALUMINIO-3 DISEÑOS 330MLX12</v>
      </c>
      <c r="G4801" s="424">
        <v>750</v>
      </c>
      <c r="H4801" s="31">
        <f>+IFERROR(VLOOKUP(E4801,BD!$L$2:$Q$244,6,0),0)</f>
        <v>420</v>
      </c>
      <c r="I4801" s="62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7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7">
        <v>251633</v>
      </c>
      <c r="F4802" s="31" t="str">
        <f>IFERROR(VLOOKUP(E4802,BD!$L$2:$Q$244,2,0),0)</f>
        <v>SAN LUIS CON GAS PET 625MLX6</v>
      </c>
      <c r="G4802" s="424">
        <v>1080</v>
      </c>
      <c r="H4802" s="31">
        <f>+IFERROR(VLOOKUP(E4802,BD!$L$2:$Q$244,6,0),0)</f>
        <v>180</v>
      </c>
      <c r="I4802" s="62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7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7">
        <v>251406</v>
      </c>
      <c r="F4803" s="31" t="str">
        <f>IFERROR(VLOOKUP(E4803,BD!$L$2:$Q$244,2,0),0)</f>
        <v>COCA-COLA SIN AZUCAR PET 1.5LX2</v>
      </c>
      <c r="G4803" s="424">
        <v>2160</v>
      </c>
      <c r="H4803" s="31">
        <f>+IFERROR(VLOOKUP(E4803,BD!$L$2:$Q$244,6,0),0)</f>
        <v>198</v>
      </c>
      <c r="I4803" s="62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7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7">
        <v>254853</v>
      </c>
      <c r="F4804" s="31" t="str">
        <f>IFERROR(VLOOKUP(E4804,BD!$L$2:$Q$244,2,0),0)</f>
        <v>INCA KOLA SIN AZUCAR PET 1.5LX2</v>
      </c>
      <c r="G4804" s="424">
        <v>648</v>
      </c>
      <c r="H4804" s="31">
        <f>+IFERROR(VLOOKUP(E4804,BD!$L$2:$Q$244,6,0),0)</f>
        <v>198</v>
      </c>
      <c r="I4804" s="62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7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7">
        <v>256677</v>
      </c>
      <c r="F4805" s="31" t="str">
        <f>IFERROR(VLOOKUP(E4805,BD!$L$2:$Q$244,2,0),0)</f>
        <v>TWO PACK CC + IK PFM 3LX2 - RFNN</v>
      </c>
      <c r="G4805" s="424">
        <v>1200</v>
      </c>
      <c r="H4805" s="31">
        <f>+IFERROR(VLOOKUP(E4805,BD!$L$2:$Q$244,6,0),0)</f>
        <v>120</v>
      </c>
      <c r="I4805" s="62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7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7">
        <v>256678</v>
      </c>
      <c r="F4806" s="31" t="str">
        <f>IFERROR(VLOOKUP(E4806,BD!$L$2:$Q$244,2,0),0)</f>
        <v>TRIPACK (CC+IK)PFM+FT PET 3LX3 - RFNN</v>
      </c>
      <c r="G4806" s="424">
        <v>720</v>
      </c>
      <c r="H4806" s="31">
        <f>+IFERROR(VLOOKUP(E4806,BD!$L$2:$Q$244,6,0),0)</f>
        <v>90</v>
      </c>
      <c r="I4806" s="62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7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7">
        <v>256708</v>
      </c>
      <c r="F4807" s="31" t="str">
        <f>IFERROR(VLOOKUP(E4807,BD!$L$2:$Q$244,2,0),0)</f>
        <v>POWERADE ION4 FRUTA PET473X6 MOD (STICK)</v>
      </c>
      <c r="G4807" s="424">
        <v>225</v>
      </c>
      <c r="H4807" s="31">
        <f>+IFERROR(VLOOKUP(E4807,BD!$L$2:$Q$244,6,0),0)</f>
        <v>225</v>
      </c>
      <c r="I4807" s="62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7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7">
        <v>256720</v>
      </c>
      <c r="F4808" s="31" t="str">
        <f>IFERROR(VLOOKUP(E4808,BD!$L$2:$Q$244,2,0),0)</f>
        <v>FANTA NARANJA PET 500MLX6 BRANDEADO MOD</v>
      </c>
      <c r="G4808" s="424">
        <v>250</v>
      </c>
      <c r="H4808" s="31">
        <f>+IFERROR(VLOOKUP(E4808,BD!$L$2:$Q$244,6,0),0)</f>
        <v>420</v>
      </c>
      <c r="I4808" s="62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7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7">
        <v>256721</v>
      </c>
      <c r="F4809" s="31" t="str">
        <f>IFERROR(VLOOKUP(E4809,BD!$L$2:$Q$244,2,0),0)</f>
        <v>SPRITE PET 500MLX6 BRANDEADO MOD</v>
      </c>
      <c r="G4809" s="424">
        <v>750</v>
      </c>
      <c r="H4809" s="31">
        <f>+IFERROR(VLOOKUP(E4809,BD!$L$2:$Q$244,6,0),0)</f>
        <v>420</v>
      </c>
      <c r="I4809" s="62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7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7">
        <v>251633</v>
      </c>
      <c r="F4810" s="31" t="str">
        <f>IFERROR(VLOOKUP(E4810,BD!$L$2:$Q$244,2,0),0)</f>
        <v>SAN LUIS CON GAS PET 625MLX6</v>
      </c>
      <c r="G4810" s="424">
        <v>720</v>
      </c>
      <c r="H4810" s="31">
        <f>+IFERROR(VLOOKUP(E4810,BD!$L$2:$Q$244,6,0),0)</f>
        <v>180</v>
      </c>
      <c r="I4810" s="62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7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7">
        <v>256677</v>
      </c>
      <c r="F4811" s="31" t="str">
        <f>IFERROR(VLOOKUP(E4811,BD!$L$2:$Q$244,2,0),0)</f>
        <v>TWO PACK CC + IK PFM 3LX2 - RFNN</v>
      </c>
      <c r="G4811" s="424">
        <v>2880</v>
      </c>
      <c r="H4811" s="31">
        <f>+IFERROR(VLOOKUP(E4811,BD!$L$2:$Q$244,6,0),0)</f>
        <v>120</v>
      </c>
      <c r="I4811" s="62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7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7">
        <v>256737</v>
      </c>
      <c r="F4812" s="31" t="str">
        <f>IFERROR(VLOOKUP(E4812,BD!$L$2:$Q$244,2,0),0)</f>
        <v>INCA KOLA SA ALUMINIO-3 DISEÑOS 330MLX12</v>
      </c>
      <c r="G4812" s="424">
        <v>1125</v>
      </c>
      <c r="H4812" s="31">
        <f>+IFERROR(VLOOKUP(E4812,BD!$L$2:$Q$244,6,0),0)</f>
        <v>420</v>
      </c>
      <c r="I4812" s="62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7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7">
        <v>256677</v>
      </c>
      <c r="F4813" s="31" t="str">
        <f>IFERROR(VLOOKUP(E4813,BD!$L$2:$Q$244,2,0),0)</f>
        <v>TWO PACK CC + IK PFM 3LX2 - RFNN</v>
      </c>
      <c r="G4813" s="424">
        <v>3600</v>
      </c>
      <c r="H4813" s="31">
        <f>+IFERROR(VLOOKUP(E4813,BD!$L$2:$Q$244,6,0),0)</f>
        <v>120</v>
      </c>
      <c r="I4813" s="62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7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7" t="s">
        <v>266</v>
      </c>
      <c r="F4814" s="31" t="str">
        <f>IFERROR(VLOOKUP(E4814,BD!$L$2:$Q$244,2,0),0)</f>
        <v>2FTKI + 2FTN + 1FTP + 1SP PACK x 500ML</v>
      </c>
      <c r="G4814" s="424">
        <v>500</v>
      </c>
      <c r="H4814" s="31">
        <f>+IFERROR(VLOOKUP(E4814,BD!$L$2:$Q$244,6,0),0)</f>
        <v>250</v>
      </c>
      <c r="I4814" s="62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7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7">
        <v>256382</v>
      </c>
      <c r="F4815" s="31" t="str">
        <f>IFERROR(VLOOKUP(E4815,BD!$L$2:$Q$244,2,0),0)</f>
        <v>COCA COLA VR 296MLX24 - STICKER</v>
      </c>
      <c r="G4815" s="424">
        <v>80</v>
      </c>
      <c r="H4815" s="31">
        <f>+IFERROR(VLOOKUP(E4815,BD!$L$2:$Q$244,6,0),0)</f>
        <v>40</v>
      </c>
      <c r="I4815" s="62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7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7">
        <v>256381</v>
      </c>
      <c r="F4816" s="31" t="str">
        <f>IFERROR(VLOOKUP(E4816,BD!$L$2:$Q$244,2,0),0)</f>
        <v>INCA KOLA VR 1.5LX8 - STICKER</v>
      </c>
      <c r="G4816" s="424">
        <v>150</v>
      </c>
      <c r="H4816" s="31">
        <f>+IFERROR(VLOOKUP(E4816,BD!$L$2:$Q$244,6,0),0)</f>
        <v>30</v>
      </c>
      <c r="I4816" s="62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7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7">
        <v>256488</v>
      </c>
      <c r="F4817" s="31" t="str">
        <f>IFERROR(VLOOKUP(E4817,BD!$L$2:$Q$244,2,0),0)</f>
        <v>INCA KOLA PET 3LX2 - RF</v>
      </c>
      <c r="G4817" s="424">
        <v>4320</v>
      </c>
      <c r="H4817" s="31">
        <f>+IFERROR(VLOOKUP(E4817,BD!$L$2:$Q$244,6,0),0)</f>
        <v>120</v>
      </c>
      <c r="I4817" s="62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7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7">
        <v>256676</v>
      </c>
      <c r="F4818" s="31" t="str">
        <f>IFERROR(VLOOKUP(E4818,BD!$L$2:$Q$244,2,0),0)</f>
        <v>TWO PACK CC PFM 3LX2 - RFCC</v>
      </c>
      <c r="G4818" s="424">
        <v>1320</v>
      </c>
      <c r="H4818" s="31">
        <f>+IFERROR(VLOOKUP(E4818,BD!$L$2:$Q$244,6,0),0)</f>
        <v>120</v>
      </c>
      <c r="I4818" s="62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7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7">
        <v>256674</v>
      </c>
      <c r="F4819" s="31" t="str">
        <f>IFERROR(VLOOKUP(E4819,BD!$L$2:$Q$244,2,0),0)</f>
        <v>COCA-COLA PET 1.5LX2 RF</v>
      </c>
      <c r="G4819" s="424">
        <v>2808</v>
      </c>
      <c r="H4819" s="31">
        <f>+IFERROR(VLOOKUP(E4819,BD!$L$2:$Q$244,6,0),0)</f>
        <v>198</v>
      </c>
      <c r="I4819" s="62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7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7">
        <v>256675</v>
      </c>
      <c r="F4820" s="31" t="str">
        <f>IFERROR(VLOOKUP(E4820,BD!$L$2:$Q$244,2,0),0)</f>
        <v>INCA KOLA PET 1.5LX2 RF</v>
      </c>
      <c r="G4820" s="424">
        <v>864</v>
      </c>
      <c r="H4820" s="31">
        <f>+IFERROR(VLOOKUP(E4820,BD!$L$2:$Q$244,6,0),0)</f>
        <v>198</v>
      </c>
      <c r="I4820" s="62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7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7">
        <v>256652</v>
      </c>
      <c r="F4821" s="31" t="str">
        <f>IFERROR(VLOOKUP(E4821,BD!$L$2:$Q$244,2,0),0)</f>
        <v>TRIPACK FT NAR+FT KI+SP PET 3L</v>
      </c>
      <c r="G4821" s="424">
        <v>810</v>
      </c>
      <c r="H4821" s="31">
        <f>+IFERROR(VLOOKUP(E4821,BD!$L$2:$Q$244,6,0),0)</f>
        <v>90</v>
      </c>
      <c r="I4821" s="62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7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7">
        <v>256677</v>
      </c>
      <c r="F4822" s="31" t="str">
        <f>IFERROR(VLOOKUP(E4822,BD!$L$2:$Q$244,2,0),0)</f>
        <v>TWO PACK CC + IK PFM 3LX2 - RFNN</v>
      </c>
      <c r="G4822" s="424">
        <v>10800</v>
      </c>
      <c r="H4822" s="31">
        <f>+IFERROR(VLOOKUP(E4822,BD!$L$2:$Q$244,6,0),0)</f>
        <v>120</v>
      </c>
      <c r="I4822" s="62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7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7">
        <v>751315</v>
      </c>
      <c r="F4823" s="31" t="str">
        <f>IFERROR(VLOOKUP(E4823,BD!$L$2:$Q$244,2,0),0)</f>
        <v>MONSTER ENERGY 473MLX4</v>
      </c>
      <c r="G4823" s="424">
        <v>1680</v>
      </c>
      <c r="H4823" s="31">
        <f>+IFERROR(VLOOKUP(E4823,BD!$L$2:$Q$244,6,0),0)</f>
        <v>420</v>
      </c>
      <c r="I4823" s="62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7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7">
        <v>251406</v>
      </c>
      <c r="F4824" s="31" t="str">
        <f>IFERROR(VLOOKUP(E4824,BD!$L$2:$Q$244,2,0),0)</f>
        <v>COCA-COLA SIN AZUCAR PET 1.5LX2</v>
      </c>
      <c r="G4824" s="424">
        <v>216</v>
      </c>
      <c r="H4824" s="31">
        <f>+IFERROR(VLOOKUP(E4824,BD!$L$2:$Q$244,6,0),0)</f>
        <v>198</v>
      </c>
      <c r="I4824" s="62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7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7">
        <v>254853</v>
      </c>
      <c r="F4825" s="31" t="str">
        <f>IFERROR(VLOOKUP(E4825,BD!$L$2:$Q$244,2,0),0)</f>
        <v>INCA KOLA SIN AZUCAR PET 1.5LX2</v>
      </c>
      <c r="G4825" s="424">
        <v>432</v>
      </c>
      <c r="H4825" s="31">
        <f>+IFERROR(VLOOKUP(E4825,BD!$L$2:$Q$244,6,0),0)</f>
        <v>198</v>
      </c>
      <c r="I4825" s="62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7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7">
        <v>256548</v>
      </c>
      <c r="F4826" s="31" t="str">
        <f>IFERROR(VLOOKUP(E4826,BD!$L$2:$Q$244,2,0),0)</f>
        <v>TWO PACK CC PET 1.5LX2 - CRC</v>
      </c>
      <c r="G4826" s="424">
        <v>432</v>
      </c>
      <c r="H4826" s="31">
        <f>+IFERROR(VLOOKUP(E4826,BD!$L$2:$Q$244,6,0),0)</f>
        <v>198</v>
      </c>
      <c r="I4826" s="62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7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7">
        <v>256549</v>
      </c>
      <c r="F4827" s="31" t="str">
        <f>IFERROR(VLOOKUP(E4827,BD!$L$2:$Q$244,2,0),0)</f>
        <v>TWO PACK IK PET 1.5LX2 - CRCG</v>
      </c>
      <c r="G4827" s="424">
        <v>432</v>
      </c>
      <c r="H4827" s="31">
        <f>+IFERROR(VLOOKUP(E4827,BD!$L$2:$Q$244,6,0),0)</f>
        <v>198</v>
      </c>
      <c r="I4827" s="62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7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7">
        <v>256488</v>
      </c>
      <c r="F4828" s="31" t="str">
        <f>IFERROR(VLOOKUP(E4828,BD!$L$2:$Q$244,2,0),0)</f>
        <v>INCA KOLA PET 3LX2 - RF</v>
      </c>
      <c r="G4828" s="424">
        <v>3600</v>
      </c>
      <c r="H4828" s="31">
        <f>+IFERROR(VLOOKUP(E4828,BD!$L$2:$Q$244,6,0),0)</f>
        <v>120</v>
      </c>
      <c r="I4828" s="62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7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7">
        <v>256674</v>
      </c>
      <c r="F4829" s="31" t="str">
        <f>IFERROR(VLOOKUP(E4829,BD!$L$2:$Q$244,2,0),0)</f>
        <v>COCA-COLA PET 1.5LX2 RF</v>
      </c>
      <c r="G4829" s="424">
        <v>1728</v>
      </c>
      <c r="H4829" s="31">
        <f>+IFERROR(VLOOKUP(E4829,BD!$L$2:$Q$244,6,0),0)</f>
        <v>198</v>
      </c>
      <c r="I4829" s="62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7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7">
        <v>256678</v>
      </c>
      <c r="F4830" s="31" t="str">
        <f>IFERROR(VLOOKUP(E4830,BD!$L$2:$Q$244,2,0),0)</f>
        <v>TRIPACK (CC+IK)PFM+FT PET 3LX3 - RFNN</v>
      </c>
      <c r="G4830" s="424">
        <v>900</v>
      </c>
      <c r="H4830" s="31">
        <f>+IFERROR(VLOOKUP(E4830,BD!$L$2:$Q$244,6,0),0)</f>
        <v>90</v>
      </c>
      <c r="I4830" s="62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7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7">
        <v>256695</v>
      </c>
      <c r="F4831" s="31" t="str">
        <f>IFERROR(VLOOKUP(E4831,BD!$L$2:$Q$244,2,0),0)</f>
        <v>POWERADE 3MORA+3FRUT PET 473MLX6</v>
      </c>
      <c r="G4831" s="424">
        <v>1350</v>
      </c>
      <c r="H4831" s="31">
        <f>+IFERROR(VLOOKUP(E4831,BD!$L$2:$Q$244,6,0),0)</f>
        <v>225</v>
      </c>
      <c r="I4831" s="62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7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7">
        <v>256709</v>
      </c>
      <c r="F4832" s="31" t="str">
        <f>IFERROR(VLOOKUP(E4832,BD!$L$2:$Q$244,2,0),0)</f>
        <v>POWERADE ION4 MORA AZ PET473X6 MOD(STCK)</v>
      </c>
      <c r="G4832" s="424">
        <v>225</v>
      </c>
      <c r="H4832" s="31">
        <f>+IFERROR(VLOOKUP(E4832,BD!$L$2:$Q$244,6,0),0)</f>
        <v>225</v>
      </c>
      <c r="I4832" s="62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7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7">
        <v>256682</v>
      </c>
      <c r="F4833" s="31" t="str">
        <f>IFERROR(VLOOKUP(E4833,BD!$L$2:$Q$244,2,0),0)</f>
        <v>TRIPACK (FT NAR+SP)PET+IK RF PFM 3L</v>
      </c>
      <c r="G4833" s="424">
        <v>360</v>
      </c>
      <c r="H4833" s="31">
        <f>+IFERROR(VLOOKUP(E4833,BD!$L$2:$Q$244,6,0),0)</f>
        <v>90</v>
      </c>
      <c r="I4833" s="62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7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7">
        <v>256382</v>
      </c>
      <c r="F4834" s="31" t="str">
        <f>IFERROR(VLOOKUP(E4834,BD!$L$2:$Q$244,2,0),0)</f>
        <v>COCA COLA VR 296MLX24 - STICKER</v>
      </c>
      <c r="G4834" s="424">
        <v>80</v>
      </c>
      <c r="H4834" s="31">
        <f>+IFERROR(VLOOKUP(E4834,BD!$L$2:$Q$244,6,0),0)</f>
        <v>40</v>
      </c>
      <c r="I4834" s="62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7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7">
        <v>256380</v>
      </c>
      <c r="F4835" s="31" t="str">
        <f>IFERROR(VLOOKUP(E4835,BD!$L$2:$Q$244,2,0),0)</f>
        <v>INCA KOLA VR 296MLX24 - STICKER</v>
      </c>
      <c r="G4835" s="424">
        <v>120</v>
      </c>
      <c r="H4835" s="31">
        <f>+IFERROR(VLOOKUP(E4835,BD!$L$2:$Q$244,6,0),0)</f>
        <v>40</v>
      </c>
      <c r="I4835" s="62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7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7">
        <v>256379</v>
      </c>
      <c r="F4836" s="31" t="str">
        <f>IFERROR(VLOOKUP(E4836,BD!$L$2:$Q$244,2,0),0)</f>
        <v>INCA KOLA VR 625MLX12 - STICKER</v>
      </c>
      <c r="G4836" s="424">
        <v>250</v>
      </c>
      <c r="H4836" s="31">
        <f>+IFERROR(VLOOKUP(E4836,BD!$L$2:$Q$244,6,0),0)</f>
        <v>50</v>
      </c>
      <c r="I4836" s="62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7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7">
        <v>251406</v>
      </c>
      <c r="F4837" s="31" t="str">
        <f>IFERROR(VLOOKUP(E4837,BD!$L$2:$Q$244,2,0),0)</f>
        <v>COCA-COLA SIN AZUCAR PET 1.5LX2</v>
      </c>
      <c r="G4837" s="424">
        <v>3024</v>
      </c>
      <c r="H4837" s="31">
        <f>+IFERROR(VLOOKUP(E4837,BD!$L$2:$Q$244,6,0),0)</f>
        <v>198</v>
      </c>
      <c r="I4837" s="62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7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7">
        <v>254853</v>
      </c>
      <c r="F4838" s="31" t="str">
        <f>IFERROR(VLOOKUP(E4838,BD!$L$2:$Q$244,2,0),0)</f>
        <v>INCA KOLA SIN AZUCAR PET 1.5LX2</v>
      </c>
      <c r="G4838" s="424">
        <v>1728</v>
      </c>
      <c r="H4838" s="31">
        <f>+IFERROR(VLOOKUP(E4838,BD!$L$2:$Q$244,6,0),0)</f>
        <v>198</v>
      </c>
      <c r="I4838" s="62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7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7">
        <v>256488</v>
      </c>
      <c r="F4839" s="31" t="str">
        <f>IFERROR(VLOOKUP(E4839,BD!$L$2:$Q$244,2,0),0)</f>
        <v>INCA KOLA PET 3LX2 - RF</v>
      </c>
      <c r="G4839" s="424">
        <v>2400</v>
      </c>
      <c r="H4839" s="31">
        <f>+IFERROR(VLOOKUP(E4839,BD!$L$2:$Q$244,6,0),0)</f>
        <v>120</v>
      </c>
      <c r="I4839" s="62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7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7">
        <v>256676</v>
      </c>
      <c r="F4840" s="31" t="str">
        <f>IFERROR(VLOOKUP(E4840,BD!$L$2:$Q$244,2,0),0)</f>
        <v>TWO PACK CC PFM 3LX2 - RFCC</v>
      </c>
      <c r="G4840" s="424">
        <v>1200</v>
      </c>
      <c r="H4840" s="31">
        <f>+IFERROR(VLOOKUP(E4840,BD!$L$2:$Q$244,6,0),0)</f>
        <v>120</v>
      </c>
      <c r="I4840" s="62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7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7">
        <v>256674</v>
      </c>
      <c r="F4841" s="31" t="str">
        <f>IFERROR(VLOOKUP(E4841,BD!$L$2:$Q$244,2,0),0)</f>
        <v>COCA-COLA PET 1.5LX2 RF</v>
      </c>
      <c r="G4841" s="424">
        <v>432</v>
      </c>
      <c r="H4841" s="31">
        <f>+IFERROR(VLOOKUP(E4841,BD!$L$2:$Q$244,6,0),0)</f>
        <v>198</v>
      </c>
      <c r="I4841" s="62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7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7">
        <v>256677</v>
      </c>
      <c r="F4842" s="31" t="str">
        <f>IFERROR(VLOOKUP(E4842,BD!$L$2:$Q$244,2,0),0)</f>
        <v>TWO PACK CC + IK PFM 3LX2 - RFNN</v>
      </c>
      <c r="G4842" s="424">
        <v>10080</v>
      </c>
      <c r="H4842" s="31">
        <f>+IFERROR(VLOOKUP(E4842,BD!$L$2:$Q$244,6,0),0)</f>
        <v>120</v>
      </c>
      <c r="I4842" s="62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7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7">
        <v>256678</v>
      </c>
      <c r="F4843" s="31" t="str">
        <f>IFERROR(VLOOKUP(E4843,BD!$L$2:$Q$244,2,0),0)</f>
        <v>TRIPACK (CC+IK)PFM+FT PET 3LX3 - RFNN</v>
      </c>
      <c r="G4843" s="424">
        <v>1260</v>
      </c>
      <c r="H4843" s="31">
        <f>+IFERROR(VLOOKUP(E4843,BD!$L$2:$Q$244,6,0),0)</f>
        <v>90</v>
      </c>
      <c r="I4843" s="62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7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7">
        <v>256682</v>
      </c>
      <c r="F4844" s="31" t="str">
        <f>IFERROR(VLOOKUP(E4844,BD!$L$2:$Q$244,2,0),0)</f>
        <v>TRIPACK (FT NAR+SP)PET+IK RF PFM 3L</v>
      </c>
      <c r="G4844" s="424">
        <v>360</v>
      </c>
      <c r="H4844" s="31">
        <f>+IFERROR(VLOOKUP(E4844,BD!$L$2:$Q$244,6,0),0)</f>
        <v>90</v>
      </c>
      <c r="I4844" s="62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7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7">
        <v>254853</v>
      </c>
      <c r="F4845" s="31" t="str">
        <f>IFERROR(VLOOKUP(E4845,BD!$L$2:$Q$244,2,0),0)</f>
        <v>INCA KOLA SIN AZUCAR PET 1.5LX2</v>
      </c>
      <c r="G4845" s="424">
        <v>864</v>
      </c>
      <c r="H4845" s="31">
        <f>+IFERROR(VLOOKUP(E4845,BD!$L$2:$Q$244,6,0),0)</f>
        <v>198</v>
      </c>
      <c r="I4845" s="62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7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7">
        <v>256601</v>
      </c>
      <c r="F4846" s="31" t="str">
        <f>IFERROR(VLOOKUP(E4846,BD!$L$2:$Q$244,2,0),0)</f>
        <v>INCA KOLA PET 2.25LX2 RF</v>
      </c>
      <c r="G4846" s="424">
        <v>972</v>
      </c>
      <c r="H4846" s="31">
        <f>+IFERROR(VLOOKUP(E4846,BD!$L$2:$Q$244,6,0),0)</f>
        <v>162</v>
      </c>
      <c r="I4846" s="62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7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7">
        <v>256488</v>
      </c>
      <c r="F4847" s="31" t="str">
        <f>IFERROR(VLOOKUP(E4847,BD!$L$2:$Q$244,2,0),0)</f>
        <v>INCA KOLA PET 3LX2 - RF</v>
      </c>
      <c r="G4847" s="424">
        <v>2400</v>
      </c>
      <c r="H4847" s="31">
        <f>+IFERROR(VLOOKUP(E4847,BD!$L$2:$Q$244,6,0),0)</f>
        <v>120</v>
      </c>
      <c r="I4847" s="62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7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7">
        <v>256676</v>
      </c>
      <c r="F4848" s="31" t="str">
        <f>IFERROR(VLOOKUP(E4848,BD!$L$2:$Q$244,2,0),0)</f>
        <v>TWO PACK CC PFM 3LX2 - RFCC</v>
      </c>
      <c r="G4848" s="424">
        <v>1200</v>
      </c>
      <c r="H4848" s="31">
        <f>+IFERROR(VLOOKUP(E4848,BD!$L$2:$Q$244,6,0),0)</f>
        <v>120</v>
      </c>
      <c r="I4848" s="62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7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7">
        <v>256674</v>
      </c>
      <c r="F4849" s="31" t="str">
        <f>IFERROR(VLOOKUP(E4849,BD!$L$2:$Q$244,2,0),0)</f>
        <v>COCA-COLA PET 1.5LX2 RF</v>
      </c>
      <c r="G4849" s="424">
        <v>1080</v>
      </c>
      <c r="H4849" s="31">
        <f>+IFERROR(VLOOKUP(E4849,BD!$L$2:$Q$244,6,0),0)</f>
        <v>198</v>
      </c>
      <c r="I4849" s="62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7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7">
        <v>256675</v>
      </c>
      <c r="F4850" s="31" t="str">
        <f>IFERROR(VLOOKUP(E4850,BD!$L$2:$Q$244,2,0),0)</f>
        <v>INCA KOLA PET 1.5LX2 RF</v>
      </c>
      <c r="G4850" s="424">
        <v>1512</v>
      </c>
      <c r="H4850" s="31">
        <f>+IFERROR(VLOOKUP(E4850,BD!$L$2:$Q$244,6,0),0)</f>
        <v>198</v>
      </c>
      <c r="I4850" s="62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7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7">
        <v>256652</v>
      </c>
      <c r="F4851" s="31" t="str">
        <f>IFERROR(VLOOKUP(E4851,BD!$L$2:$Q$244,2,0),0)</f>
        <v>TRIPACK FT NAR+FT KI+SP PET 3L</v>
      </c>
      <c r="G4851" s="424">
        <v>450</v>
      </c>
      <c r="H4851" s="31">
        <f>+IFERROR(VLOOKUP(E4851,BD!$L$2:$Q$244,6,0),0)</f>
        <v>90</v>
      </c>
      <c r="I4851" s="62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7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7">
        <v>256679</v>
      </c>
      <c r="F4852" s="31" t="str">
        <f>IFERROR(VLOOKUP(E4852,BD!$L$2:$Q$244,2,0),0)</f>
        <v>TRIPACK CC+IK+IK PFM 3LX3 - RFNN</v>
      </c>
      <c r="G4852" s="424">
        <v>1440</v>
      </c>
      <c r="H4852" s="31">
        <f>+IFERROR(VLOOKUP(E4852,BD!$L$2:$Q$244,6,0),0)</f>
        <v>90</v>
      </c>
      <c r="I4852" s="62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7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7">
        <v>256753</v>
      </c>
      <c r="F4853" s="31" t="str">
        <f>IFERROR(VLOOKUP(E4853,BD!$L$2:$Q$244,2,0),0)</f>
        <v>PACK-2 FT NAR+FT KI+FT PIÑA+SP RP 1.5LX8</v>
      </c>
      <c r="G4853" s="424">
        <v>960</v>
      </c>
      <c r="H4853" s="31">
        <f>+IFERROR(VLOOKUP(E4853,BD!$L$2:$Q$244,6,0),0)</f>
        <v>30</v>
      </c>
      <c r="I4853" s="62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7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7">
        <v>251406</v>
      </c>
      <c r="F4854" s="31" t="str">
        <f>IFERROR(VLOOKUP(E4854,BD!$L$2:$Q$244,2,0),0)</f>
        <v>COCA-COLA SIN AZUCAR PET 1.5LX2</v>
      </c>
      <c r="G4854" s="424">
        <v>432</v>
      </c>
      <c r="H4854" s="31">
        <f>+IFERROR(VLOOKUP(E4854,BD!$L$2:$Q$244,6,0),0)</f>
        <v>198</v>
      </c>
      <c r="I4854" s="62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7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7">
        <v>254853</v>
      </c>
      <c r="F4855" s="31" t="str">
        <f>IFERROR(VLOOKUP(E4855,BD!$L$2:$Q$244,2,0),0)</f>
        <v>INCA KOLA SIN AZUCAR PET 1.5LX2</v>
      </c>
      <c r="G4855" s="424">
        <v>1080</v>
      </c>
      <c r="H4855" s="31">
        <f>+IFERROR(VLOOKUP(E4855,BD!$L$2:$Q$244,6,0),0)</f>
        <v>198</v>
      </c>
      <c r="I4855" s="62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7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7">
        <v>256548</v>
      </c>
      <c r="F4856" s="31" t="str">
        <f>IFERROR(VLOOKUP(E4856,BD!$L$2:$Q$244,2,0),0)</f>
        <v>TWO PACK CC PET 1.5LX2 - CRC</v>
      </c>
      <c r="G4856" s="424">
        <v>432</v>
      </c>
      <c r="H4856" s="31">
        <f>+IFERROR(VLOOKUP(E4856,BD!$L$2:$Q$244,6,0),0)</f>
        <v>198</v>
      </c>
      <c r="I4856" s="62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7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7">
        <v>256616</v>
      </c>
      <c r="F4857" s="31" t="str">
        <f>IFERROR(VLOOKUP(E4857,BD!$L$2:$Q$244,2,0),0)</f>
        <v>TWO PACK SCHWEPPES CITRUS PET 1.5LX2</v>
      </c>
      <c r="G4857" s="424">
        <v>792</v>
      </c>
      <c r="H4857" s="31">
        <f>+IFERROR(VLOOKUP(E4857,BD!$L$2:$Q$244,6,0),0)</f>
        <v>198</v>
      </c>
      <c r="I4857" s="62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7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7">
        <v>256617</v>
      </c>
      <c r="F4858" s="31" t="str">
        <f>IFERROR(VLOOKUP(E4858,BD!$L$2:$Q$244,2,0),0)</f>
        <v>TWO PACK SCHWEPPES GINGER ALE PET 1.5LX2</v>
      </c>
      <c r="G4858" s="424">
        <v>990</v>
      </c>
      <c r="H4858" s="31">
        <f>+IFERROR(VLOOKUP(E4858,BD!$L$2:$Q$244,6,0),0)</f>
        <v>198</v>
      </c>
      <c r="I4858" s="62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7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7">
        <v>256666</v>
      </c>
      <c r="F4859" s="31" t="str">
        <f>IFERROR(VLOOKUP(E4859,BD!$L$2:$Q$244,2,0),0)</f>
        <v>COCA-COLA PET 2.25LX2 RF</v>
      </c>
      <c r="G4859" s="424">
        <v>972</v>
      </c>
      <c r="H4859" s="31">
        <f>+IFERROR(VLOOKUP(E4859,BD!$L$2:$Q$244,6,0),0)</f>
        <v>162</v>
      </c>
      <c r="I4859" s="62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7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7">
        <v>256488</v>
      </c>
      <c r="F4860" s="31" t="str">
        <f>IFERROR(VLOOKUP(E4860,BD!$L$2:$Q$244,2,0),0)</f>
        <v>INCA KOLA PET 3LX2 - RF</v>
      </c>
      <c r="G4860" s="424">
        <v>2400</v>
      </c>
      <c r="H4860" s="31">
        <f>+IFERROR(VLOOKUP(E4860,BD!$L$2:$Q$244,6,0),0)</f>
        <v>120</v>
      </c>
      <c r="I4860" s="62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7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7">
        <v>256676</v>
      </c>
      <c r="F4861" s="31" t="str">
        <f>IFERROR(VLOOKUP(E4861,BD!$L$2:$Q$244,2,0),0)</f>
        <v>TWO PACK CC PFM 3LX2 - RFCC</v>
      </c>
      <c r="G4861" s="424">
        <v>1800</v>
      </c>
      <c r="H4861" s="31">
        <f>+IFERROR(VLOOKUP(E4861,BD!$L$2:$Q$244,6,0),0)</f>
        <v>120</v>
      </c>
      <c r="I4861" s="62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7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7">
        <v>256677</v>
      </c>
      <c r="F4862" s="31" t="str">
        <f>IFERROR(VLOOKUP(E4862,BD!$L$2:$Q$244,2,0),0)</f>
        <v>TWO PACK CC + IK PFM 3LX2 - RFNN</v>
      </c>
      <c r="G4862" s="424">
        <v>2160</v>
      </c>
      <c r="H4862" s="31">
        <f>+IFERROR(VLOOKUP(E4862,BD!$L$2:$Q$244,6,0),0)</f>
        <v>120</v>
      </c>
      <c r="I4862" s="62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7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7">
        <v>256680</v>
      </c>
      <c r="F4863" s="31" t="str">
        <f>IFERROR(VLOOKUP(E4863,BD!$L$2:$Q$244,2,0),0)</f>
        <v>TRIPACK CC+CC+IK PFM 3LX3 - RFNN</v>
      </c>
      <c r="G4863" s="424">
        <v>900</v>
      </c>
      <c r="H4863" s="31">
        <f>+IFERROR(VLOOKUP(E4863,BD!$L$2:$Q$244,6,0),0)</f>
        <v>90</v>
      </c>
      <c r="I4863" s="62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7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7">
        <v>256682</v>
      </c>
      <c r="F4864" s="31" t="str">
        <f>IFERROR(VLOOKUP(E4864,BD!$L$2:$Q$244,2,0),0)</f>
        <v>TRIPACK (FT NAR+SP)PET+IK RF PFM 3L</v>
      </c>
      <c r="G4864" s="424">
        <v>450</v>
      </c>
      <c r="H4864" s="31">
        <f>+IFERROR(VLOOKUP(E4864,BD!$L$2:$Q$244,6,0),0)</f>
        <v>90</v>
      </c>
      <c r="I4864" s="62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7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7">
        <v>256383</v>
      </c>
      <c r="F4865" s="31" t="str">
        <f>IFERROR(VLOOKUP(E4865,BD!$L$2:$Q$244,2,0),0)</f>
        <v>COCA COLA VR 1.5LX8 - STICKER</v>
      </c>
      <c r="G4865" s="424">
        <v>150</v>
      </c>
      <c r="H4865" s="31">
        <f>+IFERROR(VLOOKUP(E4865,BD!$L$2:$Q$244,6,0),0)</f>
        <v>30</v>
      </c>
      <c r="I4865" s="62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7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7">
        <v>256382</v>
      </c>
      <c r="F4866" s="31" t="str">
        <f>IFERROR(VLOOKUP(E4866,BD!$L$2:$Q$244,2,0),0)</f>
        <v>COCA COLA VR 296MLX24 - STICKER</v>
      </c>
      <c r="G4866" s="424">
        <v>160</v>
      </c>
      <c r="H4866" s="31">
        <f>+IFERROR(VLOOKUP(E4866,BD!$L$2:$Q$244,6,0),0)</f>
        <v>40</v>
      </c>
      <c r="I4866" s="62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7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7">
        <v>256380</v>
      </c>
      <c r="F4867" s="31" t="str">
        <f>IFERROR(VLOOKUP(E4867,BD!$L$2:$Q$244,2,0),0)</f>
        <v>INCA KOLA VR 296MLX24 - STICKER</v>
      </c>
      <c r="G4867" s="424">
        <v>160</v>
      </c>
      <c r="H4867" s="31">
        <f>+IFERROR(VLOOKUP(E4867,BD!$L$2:$Q$244,6,0),0)</f>
        <v>40</v>
      </c>
      <c r="I4867" s="62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7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7">
        <v>751468</v>
      </c>
      <c r="F4868" s="31" t="str">
        <f>IFERROR(VLOOKUP(E4868,BD!$L$2:$Q$244,2,0),0)</f>
        <v>MONSTER ENERGY ULTRA 473MLX4</v>
      </c>
      <c r="G4868" s="424">
        <v>840</v>
      </c>
      <c r="H4868" s="31">
        <f>+IFERROR(VLOOKUP(E4868,BD!$L$2:$Q$244,6,0),0)</f>
        <v>420</v>
      </c>
      <c r="I4868" s="62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7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7">
        <v>254853</v>
      </c>
      <c r="F4869" s="31" t="str">
        <f>IFERROR(VLOOKUP(E4869,BD!$L$2:$Q$244,2,0),0)</f>
        <v>INCA KOLA SIN AZUCAR PET 1.5LX2</v>
      </c>
      <c r="G4869" s="424">
        <v>864</v>
      </c>
      <c r="H4869" s="31">
        <f>+IFERROR(VLOOKUP(E4869,BD!$L$2:$Q$244,6,0),0)</f>
        <v>198</v>
      </c>
      <c r="I4869" s="62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7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7">
        <v>256616</v>
      </c>
      <c r="F4870" s="31" t="str">
        <f>IFERROR(VLOOKUP(E4870,BD!$L$2:$Q$244,2,0),0)</f>
        <v>TWO PACK SCHWEPPES CITRUS PET 1.5LX2</v>
      </c>
      <c r="G4870" s="425">
        <v>396</v>
      </c>
      <c r="H4870" s="31">
        <f>+IFERROR(VLOOKUP(E4870,BD!$L$2:$Q$244,6,0),0)</f>
        <v>198</v>
      </c>
      <c r="I4870" s="62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7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7">
        <v>256617</v>
      </c>
      <c r="F4871" s="31" t="str">
        <f>IFERROR(VLOOKUP(E4871,BD!$L$2:$Q$244,2,0),0)</f>
        <v>TWO PACK SCHWEPPES GINGER ALE PET 1.5LX2</v>
      </c>
      <c r="G4871" s="424">
        <v>1188</v>
      </c>
      <c r="H4871" s="31">
        <f>+IFERROR(VLOOKUP(E4871,BD!$L$2:$Q$244,6,0),0)</f>
        <v>198</v>
      </c>
      <c r="I4871" s="62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7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7">
        <v>256677</v>
      </c>
      <c r="F4872" s="31" t="str">
        <f>IFERROR(VLOOKUP(E4872,BD!$L$2:$Q$244,2,0),0)</f>
        <v>TWO PACK CC + IK PFM 3LX2 - RFNN</v>
      </c>
      <c r="G4872" s="424">
        <v>480</v>
      </c>
      <c r="H4872" s="31">
        <f>+IFERROR(VLOOKUP(E4872,BD!$L$2:$Q$244,6,0),0)</f>
        <v>120</v>
      </c>
      <c r="I4872" s="62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7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7">
        <v>256721</v>
      </c>
      <c r="F4873" s="31" t="str">
        <f>IFERROR(VLOOKUP(E4873,BD!$L$2:$Q$244,2,0),0)</f>
        <v>SPRITE PET 500MLX6 BRANDEADO MOD</v>
      </c>
      <c r="G4873" s="424">
        <v>750</v>
      </c>
      <c r="H4873" s="31">
        <f>+IFERROR(VLOOKUP(E4873,BD!$L$2:$Q$244,6,0),0)</f>
        <v>420</v>
      </c>
      <c r="I4873" s="62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7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7" t="s">
        <v>275</v>
      </c>
      <c r="F4874" s="31" t="str">
        <f>IFERROR(VLOOKUP(E4874,BD!$L$2:$Q$244,2,0),0)</f>
        <v>BND X 6 BOTELLAS X 600ML PUC</v>
      </c>
      <c r="G4874" s="424">
        <v>360</v>
      </c>
      <c r="H4874" s="31">
        <f>+IFERROR(VLOOKUP(E4874,BD!$L$2:$Q$244,6,0),0)</f>
        <v>180</v>
      </c>
      <c r="I4874" s="62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7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7">
        <v>256381</v>
      </c>
      <c r="F4875" s="31" t="str">
        <f>IFERROR(VLOOKUP(E4875,BD!$L$2:$Q$244,2,0),0)</f>
        <v>INCA KOLA VR 1.5LX8 - STICKER</v>
      </c>
      <c r="G4875" s="424">
        <v>300</v>
      </c>
      <c r="H4875" s="31">
        <f>+IFERROR(VLOOKUP(E4875,BD!$L$2:$Q$244,6,0),0)</f>
        <v>30</v>
      </c>
      <c r="I4875" s="62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7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7">
        <v>256379</v>
      </c>
      <c r="F4876" s="31" t="str">
        <f>IFERROR(VLOOKUP(E4876,BD!$L$2:$Q$244,2,0),0)</f>
        <v>INCA KOLA VR 625MLX12 - STICKER</v>
      </c>
      <c r="G4876" s="424">
        <v>150</v>
      </c>
      <c r="H4876" s="31">
        <f>+IFERROR(VLOOKUP(E4876,BD!$L$2:$Q$244,6,0),0)</f>
        <v>50</v>
      </c>
      <c r="I4876" s="62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7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7">
        <v>751315</v>
      </c>
      <c r="F4877" s="31" t="str">
        <f>IFERROR(VLOOKUP(E4877,BD!$L$2:$Q$244,2,0),0)</f>
        <v>MONSTER ENERGY 473MLX4</v>
      </c>
      <c r="G4877" s="424">
        <v>2100</v>
      </c>
      <c r="H4877" s="31">
        <f>+IFERROR(VLOOKUP(E4877,BD!$L$2:$Q$244,6,0),0)</f>
        <v>420</v>
      </c>
      <c r="I4877" s="62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7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7">
        <v>751468</v>
      </c>
      <c r="F4878" s="31" t="str">
        <f>IFERROR(VLOOKUP(E4878,BD!$L$2:$Q$244,2,0),0)</f>
        <v>MONSTER ENERGY ULTRA 473MLX4</v>
      </c>
      <c r="G4878" s="424">
        <v>420</v>
      </c>
      <c r="H4878" s="31">
        <f>+IFERROR(VLOOKUP(E4878,BD!$L$2:$Q$244,6,0),0)</f>
        <v>420</v>
      </c>
      <c r="I4878" s="62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7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7">
        <v>251406</v>
      </c>
      <c r="F4879" s="31" t="str">
        <f>IFERROR(VLOOKUP(E4879,BD!$L$2:$Q$244,2,0),0)</f>
        <v>COCA-COLA SIN AZUCAR PET 1.5LX2</v>
      </c>
      <c r="G4879" s="424">
        <v>432</v>
      </c>
      <c r="H4879" s="31">
        <f>+IFERROR(VLOOKUP(E4879,BD!$L$2:$Q$244,6,0),0)</f>
        <v>198</v>
      </c>
      <c r="I4879" s="62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7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7">
        <v>254853</v>
      </c>
      <c r="F4880" s="31" t="str">
        <f>IFERROR(VLOOKUP(E4880,BD!$L$2:$Q$244,2,0),0)</f>
        <v>INCA KOLA SIN AZUCAR PET 1.5LX2</v>
      </c>
      <c r="G4880" s="425">
        <v>1296</v>
      </c>
      <c r="H4880" s="31">
        <f>+IFERROR(VLOOKUP(E4880,BD!$L$2:$Q$244,6,0),0)</f>
        <v>198</v>
      </c>
      <c r="I4880" s="62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7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7">
        <v>256488</v>
      </c>
      <c r="F4881" s="31" t="str">
        <f>IFERROR(VLOOKUP(E4881,BD!$L$2:$Q$244,2,0),0)</f>
        <v>INCA KOLA PET 3LX2 - RF</v>
      </c>
      <c r="G4881" s="424">
        <v>2400</v>
      </c>
      <c r="H4881" s="31">
        <f>+IFERROR(VLOOKUP(E4881,BD!$L$2:$Q$244,6,0),0)</f>
        <v>120</v>
      </c>
      <c r="I4881" s="62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7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7">
        <v>256674</v>
      </c>
      <c r="F4882" s="31" t="str">
        <f>IFERROR(VLOOKUP(E4882,BD!$L$2:$Q$244,2,0),0)</f>
        <v>COCA-COLA PET 1.5LX2 RF</v>
      </c>
      <c r="G4882" s="424">
        <v>2596</v>
      </c>
      <c r="H4882" s="31">
        <f>+IFERROR(VLOOKUP(E4882,BD!$L$2:$Q$244,6,0),0)</f>
        <v>198</v>
      </c>
      <c r="I4882" s="62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7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7">
        <v>256675</v>
      </c>
      <c r="F4883" s="31" t="str">
        <f>IFERROR(VLOOKUP(E4883,BD!$L$2:$Q$244,2,0),0)</f>
        <v>INCA KOLA PET 1.5LX2 RF</v>
      </c>
      <c r="G4883" s="424">
        <v>1728</v>
      </c>
      <c r="H4883" s="31">
        <f>+IFERROR(VLOOKUP(E4883,BD!$L$2:$Q$244,6,0),0)</f>
        <v>198</v>
      </c>
      <c r="I4883" s="62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7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7">
        <v>256677</v>
      </c>
      <c r="F4884" s="31" t="str">
        <f>IFERROR(VLOOKUP(E4884,BD!$L$2:$Q$244,2,0),0)</f>
        <v>TWO PACK CC + IK PFM 3LX2 - RFNN</v>
      </c>
      <c r="G4884" s="424">
        <v>1440</v>
      </c>
      <c r="H4884" s="31">
        <f>+IFERROR(VLOOKUP(E4884,BD!$L$2:$Q$244,6,0),0)</f>
        <v>120</v>
      </c>
      <c r="I4884" s="62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7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7">
        <v>256678</v>
      </c>
      <c r="F4885" s="31" t="str">
        <f>IFERROR(VLOOKUP(E4885,BD!$L$2:$Q$244,2,0),0)</f>
        <v>TRIPACK (CC+IK)PFM+FT PET 3LX3 - RFNN</v>
      </c>
      <c r="G4885" s="424">
        <v>3240</v>
      </c>
      <c r="H4885" s="31">
        <f>+IFERROR(VLOOKUP(E4885,BD!$L$2:$Q$244,6,0),0)</f>
        <v>90</v>
      </c>
      <c r="I4885" s="62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7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7">
        <v>251429</v>
      </c>
      <c r="F4886" s="31" t="str">
        <f>IFERROR(VLOOKUP(E4886,BD!$L$2:$Q$244,2,0),0)</f>
        <v>SAN LUIS SIN GAS PET2500X6 STICKER</v>
      </c>
      <c r="G4886" s="424">
        <v>144</v>
      </c>
      <c r="H4886" s="31">
        <f>+IFERROR(VLOOKUP(E4886,BD!$L$2:$Q$244,6,0),0)</f>
        <v>48</v>
      </c>
      <c r="I4886" s="62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7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7">
        <v>251406</v>
      </c>
      <c r="F4887" s="31" t="str">
        <f>IFERROR(VLOOKUP(E4887,BD!$L$2:$Q$244,2,0),0)</f>
        <v>COCA-COLA SIN AZUCAR PET 1.5LX2</v>
      </c>
      <c r="G4887" s="424">
        <v>1728</v>
      </c>
      <c r="H4887" s="31">
        <f>+IFERROR(VLOOKUP(E4887,BD!$L$2:$Q$244,6,0),0)</f>
        <v>198</v>
      </c>
      <c r="I4887" s="62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7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7">
        <v>254853</v>
      </c>
      <c r="F4888" s="31" t="str">
        <f>IFERROR(VLOOKUP(E4888,BD!$L$2:$Q$244,2,0),0)</f>
        <v>INCA KOLA SIN AZUCAR PET 1.5LX2</v>
      </c>
      <c r="G4888" s="424">
        <v>1080</v>
      </c>
      <c r="H4888" s="31">
        <f>+IFERROR(VLOOKUP(E4888,BD!$L$2:$Q$244,6,0),0)</f>
        <v>198</v>
      </c>
      <c r="I4888" s="62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7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7">
        <v>256674</v>
      </c>
      <c r="F4889" s="31" t="str">
        <f>IFERROR(VLOOKUP(E4889,BD!$L$2:$Q$244,2,0),0)</f>
        <v>COCA-COLA PET 1.5LX2 RF</v>
      </c>
      <c r="G4889" s="424">
        <v>1728</v>
      </c>
      <c r="H4889" s="31">
        <f>+IFERROR(VLOOKUP(E4889,BD!$L$2:$Q$244,6,0),0)</f>
        <v>198</v>
      </c>
      <c r="I4889" s="62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7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7">
        <v>256675</v>
      </c>
      <c r="F4890" s="31" t="str">
        <f>IFERROR(VLOOKUP(E4890,BD!$L$2:$Q$244,2,0),0)</f>
        <v>INCA KOLA PET 1.5LX2 RF</v>
      </c>
      <c r="G4890" s="424">
        <v>432</v>
      </c>
      <c r="H4890" s="31">
        <f>+IFERROR(VLOOKUP(E4890,BD!$L$2:$Q$244,6,0),0)</f>
        <v>198</v>
      </c>
      <c r="I4890" s="62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7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7">
        <v>256652</v>
      </c>
      <c r="F4891" s="31" t="str">
        <f>IFERROR(VLOOKUP(E4891,BD!$L$2:$Q$244,2,0),0)</f>
        <v>TRIPACK FT NAR+FT KI+SP PET 3L</v>
      </c>
      <c r="G4891" s="424">
        <v>900</v>
      </c>
      <c r="H4891" s="31">
        <f>+IFERROR(VLOOKUP(E4891,BD!$L$2:$Q$244,6,0),0)</f>
        <v>90</v>
      </c>
      <c r="I4891" s="62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7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7">
        <v>256679</v>
      </c>
      <c r="F4892" s="31" t="str">
        <f>IFERROR(VLOOKUP(E4892,BD!$L$2:$Q$244,2,0),0)</f>
        <v>TRIPACK CC+IK+IK PFM 3LX3 - RFNN</v>
      </c>
      <c r="G4892" s="424">
        <v>500</v>
      </c>
      <c r="H4892" s="31">
        <f>+IFERROR(VLOOKUP(E4892,BD!$L$2:$Q$244,6,0),0)</f>
        <v>90</v>
      </c>
      <c r="I4892" s="62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7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7">
        <v>256678</v>
      </c>
      <c r="F4893" s="31" t="str">
        <f>IFERROR(VLOOKUP(E4893,BD!$L$2:$Q$244,2,0),0)</f>
        <v>TRIPACK (CC+IK)PFM+FT PET 3LX3 - RFNN</v>
      </c>
      <c r="G4893" s="424">
        <v>1260</v>
      </c>
      <c r="H4893" s="31">
        <f>+IFERROR(VLOOKUP(E4893,BD!$L$2:$Q$244,6,0),0)</f>
        <v>90</v>
      </c>
      <c r="I4893" s="62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7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7">
        <v>256379</v>
      </c>
      <c r="F4894" s="31" t="str">
        <f>IFERROR(VLOOKUP(E4894,BD!$L$2:$Q$244,2,0),0)</f>
        <v>INCA KOLA VR 625MLX12 - STICKER</v>
      </c>
      <c r="G4894" s="424">
        <v>250</v>
      </c>
      <c r="H4894" s="31">
        <f>+IFERROR(VLOOKUP(E4894,BD!$L$2:$Q$244,6,0),0)</f>
        <v>50</v>
      </c>
      <c r="I4894" s="62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7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7">
        <v>251406</v>
      </c>
      <c r="F4895" s="31" t="str">
        <f>IFERROR(VLOOKUP(E4895,BD!$L$2:$Q$244,2,0),0)</f>
        <v>COCA-COLA SIN AZUCAR PET 1.5LX2</v>
      </c>
      <c r="G4895" s="424">
        <v>864</v>
      </c>
      <c r="H4895" s="31">
        <f>+IFERROR(VLOOKUP(E4895,BD!$L$2:$Q$244,6,0),0)</f>
        <v>198</v>
      </c>
      <c r="I4895" s="62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7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7">
        <v>256616</v>
      </c>
      <c r="F4896" s="31" t="str">
        <f>IFERROR(VLOOKUP(E4896,BD!$L$2:$Q$244,2,0),0)</f>
        <v>TWO PACK SCHWEPPES CITRUS PET 1.5LX2</v>
      </c>
      <c r="G4896" s="424">
        <v>594</v>
      </c>
      <c r="H4896" s="31">
        <f>+IFERROR(VLOOKUP(E4896,BD!$L$2:$Q$244,6,0),0)</f>
        <v>198</v>
      </c>
      <c r="I4896" s="62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7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7">
        <v>256617</v>
      </c>
      <c r="F4897" s="31" t="str">
        <f>IFERROR(VLOOKUP(E4897,BD!$L$2:$Q$244,2,0),0)</f>
        <v>TWO PACK SCHWEPPES GINGER ALE PET 1.5LX2</v>
      </c>
      <c r="G4897" s="424">
        <v>198</v>
      </c>
      <c r="H4897" s="31">
        <f>+IFERROR(VLOOKUP(E4897,BD!$L$2:$Q$244,6,0),0)</f>
        <v>198</v>
      </c>
      <c r="I4897" s="62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7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7">
        <v>256674</v>
      </c>
      <c r="F4898" s="31" t="str">
        <f>IFERROR(VLOOKUP(E4898,BD!$L$2:$Q$244,2,0),0)</f>
        <v>COCA-COLA PET 1.5LX2 RF</v>
      </c>
      <c r="G4898" s="424">
        <v>648</v>
      </c>
      <c r="H4898" s="31">
        <f>+IFERROR(VLOOKUP(E4898,BD!$L$2:$Q$244,6,0),0)</f>
        <v>198</v>
      </c>
      <c r="I4898" s="62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7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7">
        <v>256652</v>
      </c>
      <c r="F4899" s="31" t="str">
        <f>IFERROR(VLOOKUP(E4899,BD!$L$2:$Q$244,2,0),0)</f>
        <v>TRIPACK FT NAR+FT KI+SP PET 3L</v>
      </c>
      <c r="G4899" s="424">
        <v>450</v>
      </c>
      <c r="H4899" s="31">
        <f>+IFERROR(VLOOKUP(E4899,BD!$L$2:$Q$244,6,0),0)</f>
        <v>90</v>
      </c>
      <c r="I4899" s="62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7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7">
        <v>256695</v>
      </c>
      <c r="F4900" s="31" t="str">
        <f>IFERROR(VLOOKUP(E4900,BD!$L$2:$Q$244,2,0),0)</f>
        <v>POWERADE 3MORA+3FRUT PET 473MLX6</v>
      </c>
      <c r="G4900" s="424">
        <v>1800</v>
      </c>
      <c r="H4900" s="31">
        <f>+IFERROR(VLOOKUP(E4900,BD!$L$2:$Q$244,6,0),0)</f>
        <v>225</v>
      </c>
      <c r="I4900" s="62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7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7">
        <v>256383</v>
      </c>
      <c r="F4901" s="31" t="str">
        <f>IFERROR(VLOOKUP(E4901,BD!$L$2:$Q$244,2,0),0)</f>
        <v>COCA COLA VR 1.5LX8 - STICKER</v>
      </c>
      <c r="G4901" s="424">
        <v>150</v>
      </c>
      <c r="H4901" s="31">
        <f>+IFERROR(VLOOKUP(E4901,BD!$L$2:$Q$244,6,0),0)</f>
        <v>30</v>
      </c>
      <c r="I4901" s="62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7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7">
        <v>256382</v>
      </c>
      <c r="F4902" s="31" t="str">
        <f>IFERROR(VLOOKUP(E4902,BD!$L$2:$Q$244,2,0),0)</f>
        <v>COCA COLA VR 296MLX24 - STICKER</v>
      </c>
      <c r="G4902" s="424">
        <v>80</v>
      </c>
      <c r="H4902" s="31">
        <f>+IFERROR(VLOOKUP(E4902,BD!$L$2:$Q$244,6,0),0)</f>
        <v>40</v>
      </c>
      <c r="I4902" s="62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7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7">
        <v>256380</v>
      </c>
      <c r="F4903" s="31" t="str">
        <f>IFERROR(VLOOKUP(E4903,BD!$L$2:$Q$244,2,0),0)</f>
        <v>INCA KOLA VR 296MLX24 - STICKER</v>
      </c>
      <c r="G4903" s="424">
        <v>80</v>
      </c>
      <c r="H4903" s="31">
        <f>+IFERROR(VLOOKUP(E4903,BD!$L$2:$Q$244,6,0),0)</f>
        <v>40</v>
      </c>
      <c r="I4903" s="62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7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7">
        <v>254762</v>
      </c>
      <c r="F4904" s="31" t="str">
        <f>IFERROR(VLOOKUP(E4904,BD!$L$2:$Q$244,2,0),0)</f>
        <v xml:space="preserve">SAN LUIS SPORT S/G 10 Lt x6 </v>
      </c>
      <c r="G4904" s="424">
        <v>336</v>
      </c>
      <c r="H4904" s="31">
        <f>+IFERROR(VLOOKUP(E4904,BD!$L$2:$Q$244,6,0),0)</f>
        <v>240</v>
      </c>
      <c r="I4904" s="62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7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7">
        <v>256685</v>
      </c>
      <c r="F4905" s="31" t="str">
        <f>IFERROR(VLOOKUP(E4905,BD!$L$2:$Q$244,2,0),0)</f>
        <v>SL S/G TAPA PLANA 1LT</v>
      </c>
      <c r="G4905" s="424">
        <v>224</v>
      </c>
      <c r="H4905" s="31">
        <f>+IFERROR(VLOOKUP(E4905,BD!$L$2:$Q$244,6,0),0)</f>
        <v>112</v>
      </c>
      <c r="I4905" s="62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7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7">
        <v>751468</v>
      </c>
      <c r="F4906" s="31" t="str">
        <f>IFERROR(VLOOKUP(E4906,BD!$L$2:$Q$244,2,0),0)</f>
        <v>MONSTER ENERGY ULTRA 473MLX4</v>
      </c>
      <c r="G4906" s="424">
        <v>1680</v>
      </c>
      <c r="H4906" s="31">
        <f>+IFERROR(VLOOKUP(E4906,BD!$L$2:$Q$244,6,0),0)</f>
        <v>420</v>
      </c>
      <c r="I4906" s="62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7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7">
        <v>251406</v>
      </c>
      <c r="F4907" s="31" t="str">
        <f>IFERROR(VLOOKUP(E4907,BD!$L$2:$Q$244,2,0),0)</f>
        <v>COCA-COLA SIN AZUCAR PET 1.5LX2</v>
      </c>
      <c r="G4907" s="424">
        <v>1080</v>
      </c>
      <c r="H4907" s="31">
        <f>+IFERROR(VLOOKUP(E4907,BD!$L$2:$Q$244,6,0),0)</f>
        <v>198</v>
      </c>
      <c r="I4907" s="62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7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7">
        <v>254853</v>
      </c>
      <c r="F4908" s="31" t="str">
        <f>IFERROR(VLOOKUP(E4908,BD!$L$2:$Q$244,2,0),0)</f>
        <v>INCA KOLA SIN AZUCAR PET 1.5LX2</v>
      </c>
      <c r="G4908" s="424">
        <v>432</v>
      </c>
      <c r="H4908" s="31">
        <f>+IFERROR(VLOOKUP(E4908,BD!$L$2:$Q$244,6,0),0)</f>
        <v>198</v>
      </c>
      <c r="I4908" s="62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7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7">
        <v>256617</v>
      </c>
      <c r="F4909" s="31" t="str">
        <f>IFERROR(VLOOKUP(E4909,BD!$L$2:$Q$244,2,0),0)</f>
        <v>TWO PACK SCHWEPPES GINGER ALE PET 1.5LX2</v>
      </c>
      <c r="G4909" s="424">
        <v>396</v>
      </c>
      <c r="H4909" s="31">
        <f>+IFERROR(VLOOKUP(E4909,BD!$L$2:$Q$244,6,0),0)</f>
        <v>198</v>
      </c>
      <c r="I4909" s="62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7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7">
        <v>256666</v>
      </c>
      <c r="F4910" s="31" t="str">
        <f>IFERROR(VLOOKUP(E4910,BD!$L$2:$Q$244,2,0),0)</f>
        <v>COCA-COLA PET 2.25LX2 RF</v>
      </c>
      <c r="G4910" s="424">
        <v>486</v>
      </c>
      <c r="H4910" s="31">
        <f>+IFERROR(VLOOKUP(E4910,BD!$L$2:$Q$244,6,0),0)</f>
        <v>162</v>
      </c>
      <c r="I4910" s="62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7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7">
        <v>256677</v>
      </c>
      <c r="F4911" s="31" t="str">
        <f>IFERROR(VLOOKUP(E4911,BD!$L$2:$Q$244,2,0),0)</f>
        <v>TWO PACK CC + IK PFM 3LX2 - RFNN</v>
      </c>
      <c r="G4911" s="424">
        <v>12000</v>
      </c>
      <c r="H4911" s="31">
        <f>+IFERROR(VLOOKUP(E4911,BD!$L$2:$Q$244,6,0),0)</f>
        <v>120</v>
      </c>
      <c r="I4911" s="62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7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7">
        <v>256708</v>
      </c>
      <c r="F4912" s="31" t="str">
        <f>IFERROR(VLOOKUP(E4912,BD!$L$2:$Q$244,2,0),0)</f>
        <v>POWERADE ION4 FRUTA PET473X6 MOD (STICK)</v>
      </c>
      <c r="G4912" s="424">
        <v>450</v>
      </c>
      <c r="H4912" s="31">
        <f>+IFERROR(VLOOKUP(E4912,BD!$L$2:$Q$244,6,0),0)</f>
        <v>225</v>
      </c>
      <c r="I4912" s="62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7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7">
        <v>256709</v>
      </c>
      <c r="F4913" s="31" t="str">
        <f>IFERROR(VLOOKUP(E4913,BD!$L$2:$Q$244,2,0),0)</f>
        <v>POWERADE ION4 MORA AZ PET473X6 MOD(STCK)</v>
      </c>
      <c r="G4913" s="424">
        <v>675</v>
      </c>
      <c r="H4913" s="31">
        <f>+IFERROR(VLOOKUP(E4913,BD!$L$2:$Q$244,6,0),0)</f>
        <v>225</v>
      </c>
      <c r="I4913" s="62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7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7">
        <v>256720</v>
      </c>
      <c r="F4914" s="31" t="str">
        <f>IFERROR(VLOOKUP(E4914,BD!$L$2:$Q$244,2,0),0)</f>
        <v>FANTA NARANJA PET 500MLX6 BRANDEADO MOD</v>
      </c>
      <c r="G4914" s="424">
        <v>500</v>
      </c>
      <c r="H4914" s="31">
        <f>+IFERROR(VLOOKUP(E4914,BD!$L$2:$Q$244,6,0),0)</f>
        <v>420</v>
      </c>
      <c r="I4914" s="62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7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7">
        <v>256381</v>
      </c>
      <c r="F4915" s="31" t="str">
        <f>IFERROR(VLOOKUP(E4915,BD!$L$2:$Q$244,2,0),0)</f>
        <v>INCA KOLA VR 1.5LX8 - STICKER</v>
      </c>
      <c r="G4915" s="424">
        <v>300</v>
      </c>
      <c r="H4915" s="31">
        <f>+IFERROR(VLOOKUP(E4915,BD!$L$2:$Q$244,6,0),0)</f>
        <v>30</v>
      </c>
      <c r="I4915" s="62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7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7">
        <v>751315</v>
      </c>
      <c r="F4916" s="31" t="str">
        <f>IFERROR(VLOOKUP(E4916,BD!$L$2:$Q$244,2,0),0)</f>
        <v>MONSTER ENERGY 473MLX4</v>
      </c>
      <c r="G4916" s="424">
        <v>840</v>
      </c>
      <c r="H4916" s="31">
        <f>+IFERROR(VLOOKUP(E4916,BD!$L$2:$Q$244,6,0),0)</f>
        <v>420</v>
      </c>
      <c r="I4916" s="62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7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7">
        <v>751468</v>
      </c>
      <c r="F4917" s="31" t="str">
        <f>IFERROR(VLOOKUP(E4917,BD!$L$2:$Q$244,2,0),0)</f>
        <v>MONSTER ENERGY ULTRA 473MLX4</v>
      </c>
      <c r="G4917" s="424">
        <v>2100</v>
      </c>
      <c r="H4917" s="31">
        <f>+IFERROR(VLOOKUP(E4917,BD!$L$2:$Q$244,6,0),0)</f>
        <v>420</v>
      </c>
      <c r="I4917" s="62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7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7">
        <v>251406</v>
      </c>
      <c r="F4918" s="31" t="str">
        <f>IFERROR(VLOOKUP(E4918,BD!$L$2:$Q$244,2,0),0)</f>
        <v>COCA-COLA SIN AZUCAR PET 1.5LX2</v>
      </c>
      <c r="G4918" s="425">
        <v>1728</v>
      </c>
      <c r="H4918" s="31">
        <f>+IFERROR(VLOOKUP(E4918,BD!$L$2:$Q$244,6,0),0)</f>
        <v>198</v>
      </c>
      <c r="I4918" s="62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7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7">
        <v>256601</v>
      </c>
      <c r="F4919" s="31" t="str">
        <f>IFERROR(VLOOKUP(E4919,BD!$L$2:$Q$244,2,0),0)</f>
        <v>INCA KOLA PET 2.25LX2 RF</v>
      </c>
      <c r="G4919" s="425">
        <v>648</v>
      </c>
      <c r="H4919" s="31">
        <f>+IFERROR(VLOOKUP(E4919,BD!$L$2:$Q$244,6,0),0)</f>
        <v>162</v>
      </c>
      <c r="I4919" s="62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7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7">
        <v>256677</v>
      </c>
      <c r="F4920" s="31" t="str">
        <f>IFERROR(VLOOKUP(E4920,BD!$L$2:$Q$244,2,0),0)</f>
        <v>TWO PACK CC + IK PFM 3LX2 - RFNN</v>
      </c>
      <c r="G4920" s="424">
        <v>12960</v>
      </c>
      <c r="H4920" s="31">
        <f>+IFERROR(VLOOKUP(E4920,BD!$L$2:$Q$244,6,0),0)</f>
        <v>120</v>
      </c>
      <c r="I4920" s="62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7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7">
        <v>256708</v>
      </c>
      <c r="F4921" s="31" t="str">
        <f>IFERROR(VLOOKUP(E4921,BD!$L$2:$Q$244,2,0),0)</f>
        <v>POWERADE ION4 FRUTA PET473X6 MOD (STICK)</v>
      </c>
      <c r="G4921" s="424">
        <v>900</v>
      </c>
      <c r="H4921" s="31">
        <f>+IFERROR(VLOOKUP(E4921,BD!$L$2:$Q$244,6,0),0)</f>
        <v>225</v>
      </c>
      <c r="I4921" s="62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7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7">
        <v>256709</v>
      </c>
      <c r="F4922" s="31" t="str">
        <f>IFERROR(VLOOKUP(E4922,BD!$L$2:$Q$244,2,0),0)</f>
        <v>POWERADE ION4 MORA AZ PET473X6 MOD(STCK)</v>
      </c>
      <c r="G4922" s="424">
        <v>450</v>
      </c>
      <c r="H4922" s="31">
        <f>+IFERROR(VLOOKUP(E4922,BD!$L$2:$Q$244,6,0),0)</f>
        <v>225</v>
      </c>
      <c r="I4922" s="62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7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7">
        <v>254762</v>
      </c>
      <c r="F4923" s="31" t="str">
        <f>IFERROR(VLOOKUP(E4923,BD!$L$2:$Q$244,2,0),0)</f>
        <v xml:space="preserve">SAN LUIS SPORT S/G 10 Lt x6 </v>
      </c>
      <c r="G4923" s="424">
        <v>336</v>
      </c>
      <c r="H4923" s="31">
        <f>+IFERROR(VLOOKUP(E4923,BD!$L$2:$Q$244,6,0),0)</f>
        <v>240</v>
      </c>
      <c r="I4923" s="62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7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7">
        <v>256685</v>
      </c>
      <c r="F4924" s="31" t="str">
        <f>IFERROR(VLOOKUP(E4924,BD!$L$2:$Q$244,2,0),0)</f>
        <v>SL S/G TAPA PLANA 1LT</v>
      </c>
      <c r="G4924" s="424">
        <v>448</v>
      </c>
      <c r="H4924" s="31">
        <f>+IFERROR(VLOOKUP(E4924,BD!$L$2:$Q$244,6,0),0)</f>
        <v>112</v>
      </c>
      <c r="I4924" s="62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7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7">
        <v>751315</v>
      </c>
      <c r="F4925" s="31" t="str">
        <f>IFERROR(VLOOKUP(E4925,BD!$L$2:$Q$244,2,0),0)</f>
        <v>MONSTER ENERGY 473MLX4</v>
      </c>
      <c r="G4925" s="424">
        <v>1260</v>
      </c>
      <c r="H4925" s="31">
        <f>+IFERROR(VLOOKUP(E4925,BD!$L$2:$Q$244,6,0),0)</f>
        <v>420</v>
      </c>
      <c r="I4925" s="62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7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7">
        <v>251633</v>
      </c>
      <c r="F4926" s="31" t="str">
        <f>IFERROR(VLOOKUP(E4926,BD!$L$2:$Q$244,2,0),0)</f>
        <v>SAN LUIS CON GAS PET 625MLX6</v>
      </c>
      <c r="G4926" s="424">
        <v>1260</v>
      </c>
      <c r="H4926" s="31">
        <f>+IFERROR(VLOOKUP(E4926,BD!$L$2:$Q$244,6,0),0)</f>
        <v>180</v>
      </c>
      <c r="I4926" s="62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7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7">
        <v>256677</v>
      </c>
      <c r="F4927" s="31" t="str">
        <f>IFERROR(VLOOKUP(E4927,BD!$L$2:$Q$244,2,0),0)</f>
        <v>TWO PACK CC + IK PFM 3LX2 - RFNN</v>
      </c>
      <c r="G4927" s="424">
        <v>2880</v>
      </c>
      <c r="H4927" s="31">
        <f>+IFERROR(VLOOKUP(E4927,BD!$L$2:$Q$244,6,0),0)</f>
        <v>120</v>
      </c>
      <c r="I4927" s="62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7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7">
        <v>256721</v>
      </c>
      <c r="F4928" s="31" t="str">
        <f>IFERROR(VLOOKUP(E4928,BD!$L$2:$Q$244,2,0),0)</f>
        <v>SPRITE PET 500MLX6 BRANDEADO MOD</v>
      </c>
      <c r="G4928" s="424">
        <v>500</v>
      </c>
      <c r="H4928" s="31">
        <f>+IFERROR(VLOOKUP(E4928,BD!$L$2:$Q$244,6,0),0)</f>
        <v>420</v>
      </c>
      <c r="I4928" s="62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7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7">
        <v>256685</v>
      </c>
      <c r="F4929" s="31" t="str">
        <f>IFERROR(VLOOKUP(E4929,BD!$L$2:$Q$244,2,0),0)</f>
        <v>SL S/G TAPA PLANA 1LT</v>
      </c>
      <c r="G4929" s="424">
        <v>448</v>
      </c>
      <c r="H4929" s="31">
        <f>+IFERROR(VLOOKUP(E4929,BD!$L$2:$Q$244,6,0),0)</f>
        <v>112</v>
      </c>
      <c r="I4929" s="62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7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7">
        <v>251633</v>
      </c>
      <c r="F4930" s="31" t="str">
        <f>IFERROR(VLOOKUP(E4930,BD!$L$2:$Q$244,2,0),0)</f>
        <v>SAN LUIS CON GAS PET 625MLX6</v>
      </c>
      <c r="G4930" s="424">
        <v>540</v>
      </c>
      <c r="H4930" s="31">
        <f>+IFERROR(VLOOKUP(E4930,BD!$L$2:$Q$244,6,0),0)</f>
        <v>180</v>
      </c>
      <c r="I4930" s="62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7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7">
        <v>251406</v>
      </c>
      <c r="F4931" s="31" t="str">
        <f>IFERROR(VLOOKUP(E4931,BD!$L$2:$Q$244,2,0),0)</f>
        <v>COCA-COLA SIN AZUCAR PET 1.5LX2</v>
      </c>
      <c r="G4931" s="424">
        <v>2160</v>
      </c>
      <c r="H4931" s="31">
        <f>+IFERROR(VLOOKUP(E4931,BD!$L$2:$Q$244,6,0),0)</f>
        <v>198</v>
      </c>
      <c r="I4931" s="62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7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7">
        <v>254853</v>
      </c>
      <c r="F4932" s="31" t="str">
        <f>IFERROR(VLOOKUP(E4932,BD!$L$2:$Q$244,2,0),0)</f>
        <v>INCA KOLA SIN AZUCAR PET 1.5LX2</v>
      </c>
      <c r="G4932" s="424">
        <v>2160</v>
      </c>
      <c r="H4932" s="31">
        <f>+IFERROR(VLOOKUP(E4932,BD!$L$2:$Q$244,6,0),0)</f>
        <v>198</v>
      </c>
      <c r="I4932" s="62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7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7">
        <v>256616</v>
      </c>
      <c r="F4933" s="31" t="str">
        <f>IFERROR(VLOOKUP(E4933,BD!$L$2:$Q$244,2,0),0)</f>
        <v>TWO PACK SCHWEPPES CITRUS PET 1.5LX2</v>
      </c>
      <c r="G4933" s="424">
        <v>792</v>
      </c>
      <c r="H4933" s="31">
        <f>+IFERROR(VLOOKUP(E4933,BD!$L$2:$Q$244,6,0),0)</f>
        <v>198</v>
      </c>
      <c r="I4933" s="62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7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7">
        <v>256617</v>
      </c>
      <c r="F4934" s="31" t="str">
        <f>IFERROR(VLOOKUP(E4934,BD!$L$2:$Q$244,2,0),0)</f>
        <v>TWO PACK SCHWEPPES GINGER ALE PET 1.5LX2</v>
      </c>
      <c r="G4934" s="424">
        <v>792</v>
      </c>
      <c r="H4934" s="31">
        <f>+IFERROR(VLOOKUP(E4934,BD!$L$2:$Q$244,6,0),0)</f>
        <v>198</v>
      </c>
      <c r="I4934" s="62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7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7">
        <v>256666</v>
      </c>
      <c r="F4935" s="31" t="str">
        <f>IFERROR(VLOOKUP(E4935,BD!$L$2:$Q$244,2,0),0)</f>
        <v>COCA-COLA PET 2.25LX2 RF</v>
      </c>
      <c r="G4935" s="424">
        <v>324</v>
      </c>
      <c r="H4935" s="31">
        <f>+IFERROR(VLOOKUP(E4935,BD!$L$2:$Q$244,6,0),0)</f>
        <v>162</v>
      </c>
      <c r="I4935" s="62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7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7">
        <v>256488</v>
      </c>
      <c r="F4936" s="31" t="str">
        <f>IFERROR(VLOOKUP(E4936,BD!$L$2:$Q$244,2,0),0)</f>
        <v>INCA KOLA PET 3LX2 - RF</v>
      </c>
      <c r="G4936" s="424">
        <v>4800</v>
      </c>
      <c r="H4936" s="31">
        <f>+IFERROR(VLOOKUP(E4936,BD!$L$2:$Q$244,6,0),0)</f>
        <v>120</v>
      </c>
      <c r="I4936" s="62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7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7">
        <v>256676</v>
      </c>
      <c r="F4937" s="31" t="str">
        <f>IFERROR(VLOOKUP(E4937,BD!$L$2:$Q$244,2,0),0)</f>
        <v>TWO PACK CC PFM 3LX2 - RFCC</v>
      </c>
      <c r="G4937" s="424">
        <v>840</v>
      </c>
      <c r="H4937" s="31">
        <f>+IFERROR(VLOOKUP(E4937,BD!$L$2:$Q$244,6,0),0)</f>
        <v>120</v>
      </c>
      <c r="I4937" s="62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7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7">
        <v>256674</v>
      </c>
      <c r="F4938" s="31" t="str">
        <f>IFERROR(VLOOKUP(E4938,BD!$L$2:$Q$244,2,0),0)</f>
        <v>COCA-COLA PET 1.5LX2 RF</v>
      </c>
      <c r="G4938" s="424">
        <v>1080</v>
      </c>
      <c r="H4938" s="31">
        <f>+IFERROR(VLOOKUP(E4938,BD!$L$2:$Q$244,6,0),0)</f>
        <v>198</v>
      </c>
      <c r="I4938" s="62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7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7">
        <v>256675</v>
      </c>
      <c r="F4939" s="31" t="str">
        <f>IFERROR(VLOOKUP(E4939,BD!$L$2:$Q$244,2,0),0)</f>
        <v>INCA KOLA PET 1.5LX2 RF</v>
      </c>
      <c r="G4939" s="424">
        <v>1512</v>
      </c>
      <c r="H4939" s="31">
        <f>+IFERROR(VLOOKUP(E4939,BD!$L$2:$Q$244,6,0),0)</f>
        <v>198</v>
      </c>
      <c r="I4939" s="62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7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7">
        <v>256679</v>
      </c>
      <c r="F4940" s="31" t="str">
        <f>IFERROR(VLOOKUP(E4940,BD!$L$2:$Q$244,2,0),0)</f>
        <v>TRIPACK CC+IK+IK PFM 3LX3 - RFNN</v>
      </c>
      <c r="G4940" s="424">
        <v>900</v>
      </c>
      <c r="H4940" s="31">
        <f>+IFERROR(VLOOKUP(E4940,BD!$L$2:$Q$244,6,0),0)</f>
        <v>90</v>
      </c>
      <c r="I4940" s="62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7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7">
        <v>256695</v>
      </c>
      <c r="F4941" s="31" t="str">
        <f>IFERROR(VLOOKUP(E4941,BD!$L$2:$Q$244,2,0),0)</f>
        <v>POWERADE 3MORA+3FRUT PET 473MLX6</v>
      </c>
      <c r="G4941" s="424">
        <v>1800</v>
      </c>
      <c r="H4941" s="31">
        <f>+IFERROR(VLOOKUP(E4941,BD!$L$2:$Q$244,6,0),0)</f>
        <v>225</v>
      </c>
      <c r="I4941" s="62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7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7">
        <v>256721</v>
      </c>
      <c r="F4942" s="31" t="str">
        <f>IFERROR(VLOOKUP(E4942,BD!$L$2:$Q$244,2,0),0)</f>
        <v>SPRITE PET 500MLX6 BRANDEADO MOD</v>
      </c>
      <c r="G4942" s="424">
        <v>1000</v>
      </c>
      <c r="H4942" s="31">
        <f>+IFERROR(VLOOKUP(E4942,BD!$L$2:$Q$244,6,0),0)</f>
        <v>420</v>
      </c>
      <c r="I4942" s="62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7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7">
        <v>751315</v>
      </c>
      <c r="F4943" s="31" t="str">
        <f>IFERROR(VLOOKUP(E4943,BD!$L$2:$Q$244,2,0),0)</f>
        <v>MONSTER ENERGY 473MLX4</v>
      </c>
      <c r="G4943" s="424">
        <v>1260</v>
      </c>
      <c r="H4943" s="31">
        <f>+IFERROR(VLOOKUP(E4943,BD!$L$2:$Q$244,6,0),0)</f>
        <v>420</v>
      </c>
      <c r="I4943" s="62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7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7">
        <v>256695</v>
      </c>
      <c r="F4944" s="31" t="str">
        <f>IFERROR(VLOOKUP(E4944,BD!$L$2:$Q$244,2,0),0)</f>
        <v>POWERADE 3MORA+3FRUT PET 473MLX6</v>
      </c>
      <c r="G4944" s="424">
        <v>2250</v>
      </c>
      <c r="H4944" s="31">
        <f>+IFERROR(VLOOKUP(E4944,BD!$L$2:$Q$244,6,0),0)</f>
        <v>225</v>
      </c>
      <c r="I4944" s="62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7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7">
        <v>256383</v>
      </c>
      <c r="F4945" s="31" t="str">
        <f>IFERROR(VLOOKUP(E4945,BD!$L$2:$Q$244,2,0),0)</f>
        <v>COCA COLA VR 1.5LX8 - STICKER</v>
      </c>
      <c r="G4945" s="424">
        <v>240</v>
      </c>
      <c r="H4945" s="31">
        <f>+IFERROR(VLOOKUP(E4945,BD!$L$2:$Q$244,6,0),0)</f>
        <v>30</v>
      </c>
      <c r="I4945" s="62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7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7">
        <v>256379</v>
      </c>
      <c r="F4946" s="31" t="str">
        <f>IFERROR(VLOOKUP(E4946,BD!$L$2:$Q$244,2,0),0)</f>
        <v>INCA KOLA VR 625MLX12 - STICKER</v>
      </c>
      <c r="G4946" s="424">
        <v>300</v>
      </c>
      <c r="H4946" s="31">
        <f>+IFERROR(VLOOKUP(E4946,BD!$L$2:$Q$244,6,0),0)</f>
        <v>50</v>
      </c>
      <c r="I4946" s="62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7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7">
        <v>251429</v>
      </c>
      <c r="F4947" s="31" t="str">
        <f>IFERROR(VLOOKUP(E4947,BD!$L$2:$Q$244,2,0),0)</f>
        <v>SAN LUIS SIN GAS PET2500X6 STICKER</v>
      </c>
      <c r="G4947" s="424">
        <v>960</v>
      </c>
      <c r="H4947" s="31">
        <f>+IFERROR(VLOOKUP(E4947,BD!$L$2:$Q$244,6,0),0)</f>
        <v>48</v>
      </c>
      <c r="I4947" s="62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7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7">
        <v>751315</v>
      </c>
      <c r="F4948" s="31" t="str">
        <f>IFERROR(VLOOKUP(E4948,BD!$L$2:$Q$244,2,0),0)</f>
        <v>MONSTER ENERGY 473MLX4</v>
      </c>
      <c r="G4948" s="424">
        <v>840</v>
      </c>
      <c r="H4948" s="31">
        <f>+IFERROR(VLOOKUP(E4948,BD!$L$2:$Q$244,6,0),0)</f>
        <v>420</v>
      </c>
      <c r="I4948" s="62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7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7">
        <v>256676</v>
      </c>
      <c r="F4949" s="31" t="str">
        <f>IFERROR(VLOOKUP(E4949,BD!$L$2:$Q$244,2,0),0)</f>
        <v>TWO PACK CC PFM 3LX2 - RFCC</v>
      </c>
      <c r="G4949" s="424">
        <v>360</v>
      </c>
      <c r="H4949" s="31">
        <f>+IFERROR(VLOOKUP(E4949,BD!$L$2:$Q$244,6,0),0)</f>
        <v>120</v>
      </c>
      <c r="I4949" s="62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7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7">
        <v>256675</v>
      </c>
      <c r="F4950" s="31" t="str">
        <f>IFERROR(VLOOKUP(E4950,BD!$L$2:$Q$244,2,0),0)</f>
        <v>INCA KOLA PET 1.5LX2 RF</v>
      </c>
      <c r="G4950" s="424">
        <v>648</v>
      </c>
      <c r="H4950" s="31">
        <f>+IFERROR(VLOOKUP(E4950,BD!$L$2:$Q$244,6,0),0)</f>
        <v>198</v>
      </c>
      <c r="I4950" s="62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7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7">
        <v>256677</v>
      </c>
      <c r="F4951" s="31" t="str">
        <f>IFERROR(VLOOKUP(E4951,BD!$L$2:$Q$244,2,0),0)</f>
        <v>TWO PACK CC + IK PFM 3LX2 - RFNN</v>
      </c>
      <c r="G4951" s="424">
        <v>3360</v>
      </c>
      <c r="H4951" s="31">
        <f>+IFERROR(VLOOKUP(E4951,BD!$L$2:$Q$244,6,0),0)</f>
        <v>120</v>
      </c>
      <c r="I4951" s="62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7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7">
        <v>256679</v>
      </c>
      <c r="F4952" s="31" t="str">
        <f>IFERROR(VLOOKUP(E4952,BD!$L$2:$Q$244,2,0),0)</f>
        <v>TRIPACK CC+IK+IK PFM 3LX3 - RFNN</v>
      </c>
      <c r="G4952" s="424">
        <v>900</v>
      </c>
      <c r="H4952" s="31">
        <f>+IFERROR(VLOOKUP(E4952,BD!$L$2:$Q$244,6,0),0)</f>
        <v>90</v>
      </c>
      <c r="I4952" s="62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7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7">
        <v>256678</v>
      </c>
      <c r="F4953" s="31" t="str">
        <f>IFERROR(VLOOKUP(E4953,BD!$L$2:$Q$244,2,0),0)</f>
        <v>TRIPACK (CC+IK)PFM+FT PET 3LX3 - RFNN</v>
      </c>
      <c r="G4953" s="424">
        <v>3690</v>
      </c>
      <c r="H4953" s="31">
        <f>+IFERROR(VLOOKUP(E4953,BD!$L$2:$Q$244,6,0),0)</f>
        <v>90</v>
      </c>
      <c r="I4953" s="62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7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7">
        <v>256652</v>
      </c>
      <c r="F4954" s="31" t="str">
        <f>IFERROR(VLOOKUP(E4954,BD!$L$2:$Q$244,2,0),0)</f>
        <v>TRIPACK FT NAR+FT KI+SP PET 3L</v>
      </c>
      <c r="G4954" s="424">
        <v>900</v>
      </c>
      <c r="H4954" s="31">
        <f>+IFERROR(VLOOKUP(E4954,BD!$L$2:$Q$244,6,0),0)</f>
        <v>90</v>
      </c>
      <c r="I4954" s="62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7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7">
        <v>256677</v>
      </c>
      <c r="F4955" s="31" t="str">
        <f>IFERROR(VLOOKUP(E4955,BD!$L$2:$Q$244,2,0),0)</f>
        <v>TWO PACK CC + IK PFM 3LX2 - RFNN</v>
      </c>
      <c r="G4955" s="424">
        <v>5760</v>
      </c>
      <c r="H4955" s="31">
        <f>+IFERROR(VLOOKUP(E4955,BD!$L$2:$Q$244,6,0),0)</f>
        <v>120</v>
      </c>
      <c r="I4955" s="62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7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7">
        <v>256678</v>
      </c>
      <c r="F4956" s="31" t="str">
        <f>IFERROR(VLOOKUP(E4956,BD!$L$2:$Q$244,2,0),0)</f>
        <v>TRIPACK (CC+IK)PFM+FT PET 3LX3 - RFNN</v>
      </c>
      <c r="G4956" s="424">
        <v>2160</v>
      </c>
      <c r="H4956" s="31">
        <f>+IFERROR(VLOOKUP(E4956,BD!$L$2:$Q$244,6,0),0)</f>
        <v>90</v>
      </c>
      <c r="I4956" s="62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7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7">
        <v>256720</v>
      </c>
      <c r="F4957" s="31" t="str">
        <f>IFERROR(VLOOKUP(E4957,BD!$L$2:$Q$244,2,0),0)</f>
        <v>FANTA NARANJA PET 500MLX6 BRANDEADO MOD</v>
      </c>
      <c r="G4957" s="424">
        <v>250</v>
      </c>
      <c r="H4957" s="31">
        <f>+IFERROR(VLOOKUP(E4957,BD!$L$2:$Q$244,6,0),0)</f>
        <v>420</v>
      </c>
      <c r="I4957" s="62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7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7">
        <v>256678</v>
      </c>
      <c r="F4958" s="31" t="str">
        <f>IFERROR(VLOOKUP(E4958,BD!$L$2:$Q$244,2,0),0)</f>
        <v>TRIPACK (CC+IK)PFM+FT PET 3LX3 - RFNN</v>
      </c>
      <c r="G4958" s="424">
        <v>360</v>
      </c>
      <c r="H4958" s="31">
        <f>+IFERROR(VLOOKUP(E4958,BD!$L$2:$Q$244,6,0),0)</f>
        <v>90</v>
      </c>
      <c r="I4958" s="62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7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7">
        <v>256695</v>
      </c>
      <c r="F4959" s="31" t="str">
        <f>IFERROR(VLOOKUP(E4959,BD!$L$2:$Q$244,2,0),0)</f>
        <v>POWERADE 3MORA+3FRUT PET 473MLX6</v>
      </c>
      <c r="G4959" s="424">
        <v>225</v>
      </c>
      <c r="H4959" s="31">
        <f>+IFERROR(VLOOKUP(E4959,BD!$L$2:$Q$244,6,0),0)</f>
        <v>225</v>
      </c>
      <c r="I4959" s="62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7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7">
        <v>254762</v>
      </c>
      <c r="F4960" s="31" t="str">
        <f>IFERROR(VLOOKUP(E4960,BD!$L$2:$Q$244,2,0),0)</f>
        <v xml:space="preserve">SAN LUIS SPORT S/G 10 Lt x6 </v>
      </c>
      <c r="G4960" s="424">
        <v>224</v>
      </c>
      <c r="H4960" s="31">
        <f>+IFERROR(VLOOKUP(E4960,BD!$L$2:$Q$244,6,0),0)</f>
        <v>240</v>
      </c>
      <c r="I4960" s="62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7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7">
        <v>256666</v>
      </c>
      <c r="F4961" s="31" t="str">
        <f>IFERROR(VLOOKUP(E4961,BD!$L$2:$Q$244,2,0),0)</f>
        <v>COCA-COLA PET 2.25LX2 RF</v>
      </c>
      <c r="G4961" s="424">
        <v>648</v>
      </c>
      <c r="H4961" s="31">
        <f>+IFERROR(VLOOKUP(E4961,BD!$L$2:$Q$244,6,0),0)</f>
        <v>162</v>
      </c>
      <c r="I4961" s="62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7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7">
        <v>256601</v>
      </c>
      <c r="F4962" s="31" t="str">
        <f>IFERROR(VLOOKUP(E4962,BD!$L$2:$Q$244,2,0),0)</f>
        <v>INCA KOLA PET 2.25LX2 RF</v>
      </c>
      <c r="G4962" s="424">
        <v>810</v>
      </c>
      <c r="H4962" s="31">
        <f>+IFERROR(VLOOKUP(E4962,BD!$L$2:$Q$244,6,0),0)</f>
        <v>162</v>
      </c>
      <c r="I4962" s="62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7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7">
        <v>256488</v>
      </c>
      <c r="F4963" s="31" t="str">
        <f>IFERROR(VLOOKUP(E4963,BD!$L$2:$Q$244,2,0),0)</f>
        <v>INCA KOLA PET 3LX2 - RF</v>
      </c>
      <c r="G4963" s="424">
        <v>3000</v>
      </c>
      <c r="H4963" s="31">
        <f>+IFERROR(VLOOKUP(E4963,BD!$L$2:$Q$244,6,0),0)</f>
        <v>120</v>
      </c>
      <c r="I4963" s="62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7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7">
        <v>256676</v>
      </c>
      <c r="F4964" s="31" t="str">
        <f>IFERROR(VLOOKUP(E4964,BD!$L$2:$Q$244,2,0),0)</f>
        <v>TWO PACK CC PFM 3LX2 - RFCC</v>
      </c>
      <c r="G4964" s="424">
        <v>1800</v>
      </c>
      <c r="H4964" s="31">
        <f>+IFERROR(VLOOKUP(E4964,BD!$L$2:$Q$244,6,0),0)</f>
        <v>120</v>
      </c>
      <c r="I4964" s="62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7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7">
        <v>256675</v>
      </c>
      <c r="F4965" s="31" t="str">
        <f>IFERROR(VLOOKUP(E4965,BD!$L$2:$Q$244,2,0),0)</f>
        <v>INCA KOLA PET 1.5LX2 RF</v>
      </c>
      <c r="G4965" s="424">
        <v>1080</v>
      </c>
      <c r="H4965" s="31">
        <f>+IFERROR(VLOOKUP(E4965,BD!$L$2:$Q$244,6,0),0)</f>
        <v>198</v>
      </c>
      <c r="I4965" s="62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7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7">
        <v>256652</v>
      </c>
      <c r="F4966" s="31" t="str">
        <f>IFERROR(VLOOKUP(E4966,BD!$L$2:$Q$244,2,0),0)</f>
        <v>TRIPACK FT NAR+FT KI+SP PET 3L</v>
      </c>
      <c r="G4966" s="424">
        <v>450</v>
      </c>
      <c r="H4966" s="31">
        <f>+IFERROR(VLOOKUP(E4966,BD!$L$2:$Q$244,6,0),0)</f>
        <v>90</v>
      </c>
      <c r="I4966" s="62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7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7">
        <v>256679</v>
      </c>
      <c r="F4967" s="31" t="str">
        <f>IFERROR(VLOOKUP(E4967,BD!$L$2:$Q$244,2,0),0)</f>
        <v>TRIPACK CC+IK+IK PFM 3LX3 - RFNN</v>
      </c>
      <c r="G4967" s="424">
        <v>720</v>
      </c>
      <c r="H4967" s="31">
        <f>+IFERROR(VLOOKUP(E4967,BD!$L$2:$Q$244,6,0),0)</f>
        <v>90</v>
      </c>
      <c r="I4967" s="62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7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7">
        <v>256678</v>
      </c>
      <c r="F4968" s="31" t="str">
        <f>IFERROR(VLOOKUP(E4968,BD!$L$2:$Q$244,2,0),0)</f>
        <v>TRIPACK (CC+IK)PFM+FT PET 3LX3 - RFNN</v>
      </c>
      <c r="G4968" s="424">
        <v>900</v>
      </c>
      <c r="H4968" s="31">
        <f>+IFERROR(VLOOKUP(E4968,BD!$L$2:$Q$244,6,0),0)</f>
        <v>90</v>
      </c>
      <c r="I4968" s="62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7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7">
        <v>256383</v>
      </c>
      <c r="F4969" s="31" t="str">
        <f>IFERROR(VLOOKUP(E4969,BD!$L$2:$Q$244,2,0),0)</f>
        <v>COCA COLA VR 1.5LX8 - STICKER</v>
      </c>
      <c r="G4969" s="424">
        <v>240</v>
      </c>
      <c r="H4969" s="31">
        <f>+IFERROR(VLOOKUP(E4969,BD!$L$2:$Q$244,6,0),0)</f>
        <v>30</v>
      </c>
      <c r="I4969" s="62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7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7">
        <v>256381</v>
      </c>
      <c r="F4970" s="31" t="str">
        <f>IFERROR(VLOOKUP(E4970,BD!$L$2:$Q$244,2,0),0)</f>
        <v>INCA KOLA VR 1.5LX8 - STICKER</v>
      </c>
      <c r="G4970" s="424">
        <v>300</v>
      </c>
      <c r="H4970" s="31">
        <f>+IFERROR(VLOOKUP(E4970,BD!$L$2:$Q$244,6,0),0)</f>
        <v>30</v>
      </c>
      <c r="I4970" s="62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7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7">
        <v>254762</v>
      </c>
      <c r="F4971" s="31" t="str">
        <f>IFERROR(VLOOKUP(E4971,BD!$L$2:$Q$244,2,0),0)</f>
        <v xml:space="preserve">SAN LUIS SPORT S/G 10 Lt x6 </v>
      </c>
      <c r="G4971" s="424">
        <v>112</v>
      </c>
      <c r="H4971" s="31">
        <f>+IFERROR(VLOOKUP(E4971,BD!$L$2:$Q$244,6,0),0)</f>
        <v>240</v>
      </c>
      <c r="I4971" s="62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7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7">
        <v>251429</v>
      </c>
      <c r="F4972" s="31" t="str">
        <f>IFERROR(VLOOKUP(E4972,BD!$L$2:$Q$244,2,0),0)</f>
        <v>SAN LUIS SIN GAS PET2500X6 STICKER</v>
      </c>
      <c r="G4972" s="424">
        <v>480</v>
      </c>
      <c r="H4972" s="31">
        <f>+IFERROR(VLOOKUP(E4972,BD!$L$2:$Q$244,6,0),0)</f>
        <v>48</v>
      </c>
      <c r="I4972" s="62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7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7">
        <v>751315</v>
      </c>
      <c r="F4973" s="31" t="str">
        <f>IFERROR(VLOOKUP(E4973,BD!$L$2:$Q$244,2,0),0)</f>
        <v>MONSTER ENERGY 473MLX4</v>
      </c>
      <c r="G4973" s="424">
        <v>3360</v>
      </c>
      <c r="H4973" s="31">
        <f>+IFERROR(VLOOKUP(E4973,BD!$L$2:$Q$244,6,0),0)</f>
        <v>420</v>
      </c>
      <c r="I4973" s="62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7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7">
        <v>256652</v>
      </c>
      <c r="F4974" s="31" t="str">
        <f>IFERROR(VLOOKUP(E4974,BD!$L$2:$Q$244,2,0),0)</f>
        <v>TRIPACK FT NAR+FT KI+SP PET 3L</v>
      </c>
      <c r="G4974" s="425">
        <v>270</v>
      </c>
      <c r="H4974" s="31">
        <f>+IFERROR(VLOOKUP(E4974,BD!$L$2:$Q$244,6,0),0)</f>
        <v>90</v>
      </c>
      <c r="I4974" s="62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7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7">
        <v>256677</v>
      </c>
      <c r="F4975" s="31" t="str">
        <f>IFERROR(VLOOKUP(E4975,BD!$L$2:$Q$244,2,0),0)</f>
        <v>TWO PACK CC + IK PFM 3LX2 - RFNN</v>
      </c>
      <c r="G4975" s="425">
        <v>4800</v>
      </c>
      <c r="H4975" s="31">
        <f>+IFERROR(VLOOKUP(E4975,BD!$L$2:$Q$244,6,0),0)</f>
        <v>120</v>
      </c>
      <c r="I4975" s="62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7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7">
        <v>751315</v>
      </c>
      <c r="F4976" s="31" t="str">
        <f>IFERROR(VLOOKUP(E4976,BD!$L$2:$Q$244,2,0),0)</f>
        <v>MONSTER ENERGY 473MLX4</v>
      </c>
      <c r="G4976" s="424">
        <v>2940</v>
      </c>
      <c r="H4976" s="31">
        <f>+IFERROR(VLOOKUP(E4976,BD!$L$2:$Q$244,6,0),0)</f>
        <v>420</v>
      </c>
      <c r="I4976" s="62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7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7">
        <v>256677</v>
      </c>
      <c r="F4977" s="31" t="str">
        <f>IFERROR(VLOOKUP(E4977,BD!$L$2:$Q$244,2,0),0)</f>
        <v>TWO PACK CC + IK PFM 3LX2 - RFNN</v>
      </c>
      <c r="G4977" s="424">
        <v>7200</v>
      </c>
      <c r="H4977" s="31">
        <f>+IFERROR(VLOOKUP(E4977,BD!$L$2:$Q$244,6,0),0)</f>
        <v>120</v>
      </c>
      <c r="I4977" s="62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7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7">
        <v>256708</v>
      </c>
      <c r="F4978" s="31" t="str">
        <f>IFERROR(VLOOKUP(E4978,BD!$L$2:$Q$244,2,0),0)</f>
        <v>POWERADE ION4 FRUTA PET473X6 MOD (STICK)</v>
      </c>
      <c r="G4978" s="424">
        <v>450</v>
      </c>
      <c r="H4978" s="31">
        <f>+IFERROR(VLOOKUP(E4978,BD!$L$2:$Q$244,6,0),0)</f>
        <v>225</v>
      </c>
      <c r="I4978" s="62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7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7">
        <v>256709</v>
      </c>
      <c r="F4979" s="31" t="str">
        <f>IFERROR(VLOOKUP(E4979,BD!$L$2:$Q$244,2,0),0)</f>
        <v>POWERADE ION4 MORA AZ PET473X6 MOD(STCK)</v>
      </c>
      <c r="G4979" s="425">
        <v>225</v>
      </c>
      <c r="H4979" s="31">
        <f>+IFERROR(VLOOKUP(E4979,BD!$L$2:$Q$244,6,0),0)</f>
        <v>225</v>
      </c>
      <c r="I4979" s="62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7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7" t="s">
        <v>275</v>
      </c>
      <c r="F4980" s="31" t="str">
        <f>IFERROR(VLOOKUP(E4980,BD!$L$2:$Q$244,2,0),0)</f>
        <v>BND X 6 BOTELLAS X 600ML PUC</v>
      </c>
      <c r="G4980" s="424">
        <v>540</v>
      </c>
      <c r="H4980" s="31">
        <f>+IFERROR(VLOOKUP(E4980,BD!$L$2:$Q$244,6,0),0)</f>
        <v>180</v>
      </c>
      <c r="I4980" s="62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7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7">
        <v>256720</v>
      </c>
      <c r="F4981" s="31" t="str">
        <f>IFERROR(VLOOKUP(E4981,BD!$L$2:$Q$244,2,0),0)</f>
        <v>FANTA NARANJA PET 500MLX6 BRANDEADO MOD</v>
      </c>
      <c r="G4981" s="424">
        <v>250</v>
      </c>
      <c r="H4981" s="31">
        <f>+IFERROR(VLOOKUP(E4981,BD!$L$2:$Q$244,6,0),0)</f>
        <v>420</v>
      </c>
      <c r="I4981" s="62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7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7">
        <v>252436</v>
      </c>
      <c r="F4982" s="31" t="str">
        <f>IFERROR(VLOOKUP(E4982,BD!$L$2:$Q$244,2,0),0)</f>
        <v>SAN LUIS SIN GAS PET 625MLX15 C/STICKER</v>
      </c>
      <c r="G4982" s="424">
        <v>720</v>
      </c>
      <c r="H4982" s="31">
        <f>+IFERROR(VLOOKUP(E4982,BD!$L$2:$Q$244,6,0),0)</f>
        <v>90</v>
      </c>
      <c r="I4982" s="62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7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7">
        <v>256685</v>
      </c>
      <c r="F4983" s="31" t="str">
        <f>IFERROR(VLOOKUP(E4983,BD!$L$2:$Q$244,2,0),0)</f>
        <v>SL S/G TAPA PLANA 1LT</v>
      </c>
      <c r="G4983" s="424">
        <v>336</v>
      </c>
      <c r="H4983" s="31">
        <f>+IFERROR(VLOOKUP(E4983,BD!$L$2:$Q$244,6,0),0)</f>
        <v>112</v>
      </c>
      <c r="I4983" s="62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7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7">
        <v>256548</v>
      </c>
      <c r="F4984" s="31" t="str">
        <f>IFERROR(VLOOKUP(E4984,BD!$L$2:$Q$244,2,0),0)</f>
        <v>TWO PACK CC PET 1.5LX2 - CRC</v>
      </c>
      <c r="G4984" s="424">
        <v>216</v>
      </c>
      <c r="H4984" s="31">
        <f>+IFERROR(VLOOKUP(E4984,BD!$L$2:$Q$244,6,0),0)</f>
        <v>198</v>
      </c>
      <c r="I4984" s="62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7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7">
        <v>256616</v>
      </c>
      <c r="F4985" s="31" t="str">
        <f>IFERROR(VLOOKUP(E4985,BD!$L$2:$Q$244,2,0),0)</f>
        <v>TWO PACK SCHWEPPES CITRUS PET 1.5LX2</v>
      </c>
      <c r="G4985" s="424">
        <v>990</v>
      </c>
      <c r="H4985" s="31">
        <f>+IFERROR(VLOOKUP(E4985,BD!$L$2:$Q$244,6,0),0)</f>
        <v>198</v>
      </c>
      <c r="I4985" s="62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7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7">
        <v>256617</v>
      </c>
      <c r="F4986" s="31" t="str">
        <f>IFERROR(VLOOKUP(E4986,BD!$L$2:$Q$244,2,0),0)</f>
        <v>TWO PACK SCHWEPPES GINGER ALE PET 1.5LX2</v>
      </c>
      <c r="G4986" s="424">
        <v>990</v>
      </c>
      <c r="H4986" s="31">
        <f>+IFERROR(VLOOKUP(E4986,BD!$L$2:$Q$244,6,0),0)</f>
        <v>198</v>
      </c>
      <c r="I4986" s="62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7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7">
        <v>256488</v>
      </c>
      <c r="F4987" s="31" t="str">
        <f>IFERROR(VLOOKUP(E4987,BD!$L$2:$Q$244,2,0),0)</f>
        <v>INCA KOLA PET 3LX2 - RF</v>
      </c>
      <c r="G4987" s="424">
        <v>2400</v>
      </c>
      <c r="H4987" s="31">
        <f>+IFERROR(VLOOKUP(E4987,BD!$L$2:$Q$244,6,0),0)</f>
        <v>120</v>
      </c>
      <c r="I4987" s="62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7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7">
        <v>256674</v>
      </c>
      <c r="F4988" s="31" t="str">
        <f>IFERROR(VLOOKUP(E4988,BD!$L$2:$Q$244,2,0),0)</f>
        <v>COCA-COLA PET 1.5LX2 RF</v>
      </c>
      <c r="G4988" s="424">
        <v>3240</v>
      </c>
      <c r="H4988" s="31">
        <f>+IFERROR(VLOOKUP(E4988,BD!$L$2:$Q$244,6,0),0)</f>
        <v>198</v>
      </c>
      <c r="I4988" s="62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7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7">
        <v>256675</v>
      </c>
      <c r="F4989" s="31" t="str">
        <f>IFERROR(VLOOKUP(E4989,BD!$L$2:$Q$244,2,0),0)</f>
        <v>INCA KOLA PET 1.5LX2 RF</v>
      </c>
      <c r="G4989" s="424">
        <v>1296</v>
      </c>
      <c r="H4989" s="31">
        <f>+IFERROR(VLOOKUP(E4989,BD!$L$2:$Q$244,6,0),0)</f>
        <v>198</v>
      </c>
      <c r="I4989" s="62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7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7">
        <v>256680</v>
      </c>
      <c r="F4990" s="31" t="str">
        <f>IFERROR(VLOOKUP(E4990,BD!$L$2:$Q$244,2,0),0)</f>
        <v>TRIPACK CC+CC+IK PFM 3LX3 - RFNN</v>
      </c>
      <c r="G4990" s="424">
        <v>450</v>
      </c>
      <c r="H4990" s="31">
        <f>+IFERROR(VLOOKUP(E4990,BD!$L$2:$Q$244,6,0),0)</f>
        <v>90</v>
      </c>
      <c r="I4990" s="62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7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7">
        <v>256679</v>
      </c>
      <c r="F4991" s="31" t="str">
        <f>IFERROR(VLOOKUP(E4991,BD!$L$2:$Q$244,2,0),0)</f>
        <v>TRIPACK CC+IK+IK PFM 3LX3 - RFNN</v>
      </c>
      <c r="G4991" s="424">
        <v>450</v>
      </c>
      <c r="H4991" s="31">
        <f>+IFERROR(VLOOKUP(E4991,BD!$L$2:$Q$244,6,0),0)</f>
        <v>90</v>
      </c>
      <c r="I4991" s="62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7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7">
        <v>256682</v>
      </c>
      <c r="F4992" s="31" t="str">
        <f>IFERROR(VLOOKUP(E4992,BD!$L$2:$Q$244,2,0),0)</f>
        <v>TRIPACK (FT NAR+SP)PET+IK RF PFM 3L</v>
      </c>
      <c r="G4992" s="424">
        <v>450</v>
      </c>
      <c r="H4992" s="31">
        <f>+IFERROR(VLOOKUP(E4992,BD!$L$2:$Q$244,6,0),0)</f>
        <v>90</v>
      </c>
      <c r="I4992" s="62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7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7">
        <v>256720</v>
      </c>
      <c r="F4993" s="31" t="str">
        <f>IFERROR(VLOOKUP(E4993,BD!$L$2:$Q$244,2,0),0)</f>
        <v>FANTA NARANJA PET 500MLX6 BRANDEADO MOD</v>
      </c>
      <c r="G4993" s="424">
        <v>750</v>
      </c>
      <c r="H4993" s="31">
        <f>+IFERROR(VLOOKUP(E4993,BD!$L$2:$Q$244,6,0),0)</f>
        <v>420</v>
      </c>
      <c r="I4993" s="62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7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7">
        <v>256737</v>
      </c>
      <c r="F4994" s="31" t="str">
        <f>IFERROR(VLOOKUP(E4994,BD!$L$2:$Q$244,2,0),0)</f>
        <v>INCA KOLA SA ALUMINIO-3 DISEÑOS 330MLX12</v>
      </c>
      <c r="G4994" s="424">
        <v>375</v>
      </c>
      <c r="H4994" s="31">
        <f>+IFERROR(VLOOKUP(E4994,BD!$L$2:$Q$244,6,0),0)</f>
        <v>420</v>
      </c>
      <c r="I4994" s="62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7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7">
        <v>256383</v>
      </c>
      <c r="F4995" s="31" t="str">
        <f>IFERROR(VLOOKUP(E4995,BD!$L$2:$Q$244,2,0),0)</f>
        <v>COCA COLA VR 1.5LX8 - STICKER</v>
      </c>
      <c r="G4995" s="424">
        <v>180</v>
      </c>
      <c r="H4995" s="31">
        <f>+IFERROR(VLOOKUP(E4995,BD!$L$2:$Q$244,6,0),0)</f>
        <v>30</v>
      </c>
      <c r="I4995" s="62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7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7">
        <v>256381</v>
      </c>
      <c r="F4996" s="31" t="str">
        <f>IFERROR(VLOOKUP(E4996,BD!$L$2:$Q$244,2,0),0)</f>
        <v>INCA KOLA VR 1.5LX8 - STICKER</v>
      </c>
      <c r="G4996" s="424">
        <v>180</v>
      </c>
      <c r="H4996" s="31">
        <f>+IFERROR(VLOOKUP(E4996,BD!$L$2:$Q$244,6,0),0)</f>
        <v>30</v>
      </c>
      <c r="I4996" s="62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7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7">
        <v>252436</v>
      </c>
      <c r="F4997" s="31" t="str">
        <f>IFERROR(VLOOKUP(E4997,BD!$L$2:$Q$244,2,0),0)</f>
        <v>SAN LUIS SIN GAS PET 625MLX15 C/STICKER</v>
      </c>
      <c r="G4997" s="424">
        <v>180</v>
      </c>
      <c r="H4997" s="31">
        <f>+IFERROR(VLOOKUP(E4997,BD!$L$2:$Q$244,6,0),0)</f>
        <v>90</v>
      </c>
      <c r="I4997" s="62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7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7">
        <v>251429</v>
      </c>
      <c r="F4998" s="31" t="str">
        <f>IFERROR(VLOOKUP(E4998,BD!$L$2:$Q$244,2,0),0)</f>
        <v>SAN LUIS SIN GAS PET2500X6 STICKER</v>
      </c>
      <c r="G4998" s="424">
        <v>960</v>
      </c>
      <c r="H4998" s="31">
        <f>+IFERROR(VLOOKUP(E4998,BD!$L$2:$Q$244,6,0),0)</f>
        <v>48</v>
      </c>
      <c r="I4998" s="62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7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7">
        <v>256616</v>
      </c>
      <c r="F4999" s="31" t="str">
        <f>IFERROR(VLOOKUP(E4999,BD!$L$2:$Q$244,2,0),0)</f>
        <v>TWO PACK SCHWEPPES CITRUS PET 1.5LX2</v>
      </c>
      <c r="G4999" s="425">
        <v>396</v>
      </c>
      <c r="H4999" s="31">
        <f>+IFERROR(VLOOKUP(E4999,BD!$L$2:$Q$244,6,0),0)</f>
        <v>198</v>
      </c>
      <c r="I4999" s="62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7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7">
        <v>256617</v>
      </c>
      <c r="F5000" s="31" t="str">
        <f>IFERROR(VLOOKUP(E5000,BD!$L$2:$Q$244,2,0),0)</f>
        <v>TWO PACK SCHWEPPES GINGER ALE PET 1.5LX2</v>
      </c>
      <c r="G5000" s="424">
        <v>396</v>
      </c>
      <c r="H5000" s="31">
        <f>+IFERROR(VLOOKUP(E5000,BD!$L$2:$Q$244,6,0),0)</f>
        <v>198</v>
      </c>
      <c r="I5000" s="62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7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7">
        <v>256666</v>
      </c>
      <c r="F5001" s="31" t="str">
        <f>IFERROR(VLOOKUP(E5001,BD!$L$2:$Q$244,2,0),0)</f>
        <v>COCA-COLA PET 2.25LX2 RF</v>
      </c>
      <c r="G5001" s="424">
        <v>810</v>
      </c>
      <c r="H5001" s="31">
        <f>+IFERROR(VLOOKUP(E5001,BD!$L$2:$Q$244,6,0),0)</f>
        <v>162</v>
      </c>
      <c r="I5001" s="62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7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7">
        <v>256601</v>
      </c>
      <c r="F5002" s="31" t="str">
        <f>IFERROR(VLOOKUP(E5002,BD!$L$2:$Q$244,2,0),0)</f>
        <v>INCA KOLA PET 2.25LX2 RF</v>
      </c>
      <c r="G5002" s="424">
        <v>324</v>
      </c>
      <c r="H5002" s="31">
        <f>+IFERROR(VLOOKUP(E5002,BD!$L$2:$Q$244,6,0),0)</f>
        <v>162</v>
      </c>
      <c r="I5002" s="62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7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7">
        <v>256676</v>
      </c>
      <c r="F5003" s="31" t="str">
        <f>IFERROR(VLOOKUP(E5003,BD!$L$2:$Q$244,2,0),0)</f>
        <v>TWO PACK CC PFM 3LX2 - RFCC</v>
      </c>
      <c r="G5003" s="424">
        <v>1800</v>
      </c>
      <c r="H5003" s="31">
        <f>+IFERROR(VLOOKUP(E5003,BD!$L$2:$Q$244,6,0),0)</f>
        <v>120</v>
      </c>
      <c r="I5003" s="62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7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7">
        <v>256674</v>
      </c>
      <c r="F5004" s="31" t="str">
        <f>IFERROR(VLOOKUP(E5004,BD!$L$2:$Q$244,2,0),0)</f>
        <v>COCA-COLA PET 1.5LX2 RF</v>
      </c>
      <c r="G5004" s="424">
        <v>1440</v>
      </c>
      <c r="H5004" s="31">
        <f>+IFERROR(VLOOKUP(E5004,BD!$L$2:$Q$244,6,0),0)</f>
        <v>198</v>
      </c>
      <c r="I5004" s="62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7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7">
        <v>256678</v>
      </c>
      <c r="F5005" s="31" t="str">
        <f>IFERROR(VLOOKUP(E5005,BD!$L$2:$Q$244,2,0),0)</f>
        <v>TRIPACK (CC+IK)PFM+FT PET 3LX3 - RFNN</v>
      </c>
      <c r="G5005" s="424">
        <v>1440</v>
      </c>
      <c r="H5005" s="31">
        <f>+IFERROR(VLOOKUP(E5005,BD!$L$2:$Q$244,6,0),0)</f>
        <v>90</v>
      </c>
      <c r="I5005" s="62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7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7">
        <v>251632</v>
      </c>
      <c r="F5006" s="31" t="str">
        <f>IFERROR(VLOOKUP(E5006,BD!$L$2:$Q$244,2,0),0)</f>
        <v>SAN LUIS SIN GAS PET 625MLX06 MOD</v>
      </c>
      <c r="G5006" s="424">
        <v>1800</v>
      </c>
      <c r="H5006" s="31">
        <f>+IFERROR(VLOOKUP(E5006,BD!$L$2:$Q$244,6,0),0)</f>
        <v>180</v>
      </c>
      <c r="I5006" s="62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7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7" t="s">
        <v>265</v>
      </c>
      <c r="F5007" s="31" t="str">
        <f>IFERROR(VLOOKUP(E5007,BD!$L$2:$Q$244,2,0),0)</f>
        <v>1FTP + 1FTN + 1CC + 1IK PACK x 3000ML PUC</v>
      </c>
      <c r="G5007" s="424">
        <v>180</v>
      </c>
      <c r="H5007" s="31">
        <f>+IFERROR(VLOOKUP(E5007,BD!$L$2:$Q$244,6,0),0)</f>
        <v>60</v>
      </c>
      <c r="I5007" s="62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7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7">
        <v>252436</v>
      </c>
      <c r="F5008" s="31" t="str">
        <f>IFERROR(VLOOKUP(E5008,BD!$L$2:$Q$244,2,0),0)</f>
        <v>SAN LUIS SIN GAS PET 625MLX15 C/STICKER</v>
      </c>
      <c r="G5008" s="424">
        <v>720</v>
      </c>
      <c r="H5008" s="31">
        <f>+IFERROR(VLOOKUP(E5008,BD!$L$2:$Q$244,6,0),0)</f>
        <v>90</v>
      </c>
      <c r="I5008" s="62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7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7">
        <v>751315</v>
      </c>
      <c r="F5009" s="31" t="str">
        <f>IFERROR(VLOOKUP(E5009,BD!$L$2:$Q$244,2,0),0)</f>
        <v>MONSTER ENERGY 473MLX4</v>
      </c>
      <c r="G5009" s="424">
        <v>2100</v>
      </c>
      <c r="H5009" s="31">
        <f>+IFERROR(VLOOKUP(E5009,BD!$L$2:$Q$244,6,0),0)</f>
        <v>420</v>
      </c>
      <c r="I5009" s="62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7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7">
        <v>256709</v>
      </c>
      <c r="F5010" s="31" t="str">
        <f>IFERROR(VLOOKUP(E5010,BD!$L$2:$Q$244,2,0),0)</f>
        <v>POWERADE ION4 MORA AZ PET473X6 MOD(STCK)</v>
      </c>
      <c r="G5010" s="424">
        <v>225</v>
      </c>
      <c r="H5010" s="31">
        <f>+IFERROR(VLOOKUP(E5010,BD!$L$2:$Q$244,6,0),0)</f>
        <v>225</v>
      </c>
      <c r="I5010" s="62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7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7">
        <v>256720</v>
      </c>
      <c r="F5011" s="31" t="str">
        <f>IFERROR(VLOOKUP(E5011,BD!$L$2:$Q$244,2,0),0)</f>
        <v>FANTA NARANJA PET 500MLX6 BRANDEADO MOD</v>
      </c>
      <c r="G5011" s="424">
        <v>750</v>
      </c>
      <c r="H5011" s="31">
        <f>+IFERROR(VLOOKUP(E5011,BD!$L$2:$Q$244,6,0),0)</f>
        <v>420</v>
      </c>
      <c r="I5011" s="62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7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7" t="s">
        <v>265</v>
      </c>
      <c r="F5012" s="31" t="str">
        <f>IFERROR(VLOOKUP(E5012,BD!$L$2:$Q$244,2,0),0)</f>
        <v>1FTP + 1FTN + 1CC + 1IK PACK x 3000ML PUC</v>
      </c>
      <c r="G5012" s="424">
        <v>120</v>
      </c>
      <c r="H5012" s="31">
        <f>+IFERROR(VLOOKUP(E5012,BD!$L$2:$Q$244,6,0),0)</f>
        <v>60</v>
      </c>
      <c r="I5012" s="62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7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7">
        <v>256685</v>
      </c>
      <c r="F5013" s="31" t="str">
        <f>IFERROR(VLOOKUP(E5013,BD!$L$2:$Q$244,2,0),0)</f>
        <v>SL S/G TAPA PLANA 1LT</v>
      </c>
      <c r="G5013" s="425">
        <v>560</v>
      </c>
      <c r="H5013" s="31">
        <f>+IFERROR(VLOOKUP(E5013,BD!$L$2:$Q$244,6,0),0)</f>
        <v>112</v>
      </c>
      <c r="I5013" s="62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7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7">
        <v>751468</v>
      </c>
      <c r="F5014" s="31" t="str">
        <f>IFERROR(VLOOKUP(E5014,BD!$L$2:$Q$244,2,0),0)</f>
        <v>MONSTER ENERGY ULTRA 473MLX4</v>
      </c>
      <c r="G5014" s="424">
        <v>1260</v>
      </c>
      <c r="H5014" s="31">
        <f>+IFERROR(VLOOKUP(E5014,BD!$L$2:$Q$244,6,0),0)</f>
        <v>420</v>
      </c>
      <c r="I5014" s="62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7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7">
        <v>251633</v>
      </c>
      <c r="F5015" s="31" t="str">
        <f>IFERROR(VLOOKUP(E5015,BD!$L$2:$Q$244,2,0),0)</f>
        <v>SAN LUIS CON GAS PET 625MLX6</v>
      </c>
      <c r="G5015" s="424">
        <v>900</v>
      </c>
      <c r="H5015" s="31">
        <f>+IFERROR(VLOOKUP(E5015,BD!$L$2:$Q$244,6,0),0)</f>
        <v>180</v>
      </c>
      <c r="I5015" s="62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7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7">
        <v>256677</v>
      </c>
      <c r="F5016" s="31" t="str">
        <f>IFERROR(VLOOKUP(E5016,BD!$L$2:$Q$244,2,0),0)</f>
        <v>TWO PACK CC + IK PFM 3LX2 - RFNN</v>
      </c>
      <c r="G5016" s="424">
        <v>2400</v>
      </c>
      <c r="H5016" s="31">
        <f>+IFERROR(VLOOKUP(E5016,BD!$L$2:$Q$244,6,0),0)</f>
        <v>120</v>
      </c>
      <c r="I5016" s="62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7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7">
        <v>256695</v>
      </c>
      <c r="F5017" s="31" t="str">
        <f>IFERROR(VLOOKUP(E5017,BD!$L$2:$Q$244,2,0),0)</f>
        <v>POWERADE 3MORA+3FRUT PET 473MLX6</v>
      </c>
      <c r="G5017" s="424">
        <v>1350</v>
      </c>
      <c r="H5017" s="31">
        <f>+IFERROR(VLOOKUP(E5017,BD!$L$2:$Q$244,6,0),0)</f>
        <v>225</v>
      </c>
      <c r="I5017" s="62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7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7">
        <v>256709</v>
      </c>
      <c r="F5018" s="31" t="str">
        <f>IFERROR(VLOOKUP(E5018,BD!$L$2:$Q$244,2,0),0)</f>
        <v>POWERADE ION4 MORA AZ PET473X6 MOD(STCK)</v>
      </c>
      <c r="G5018" s="424">
        <v>225</v>
      </c>
      <c r="H5018" s="31">
        <f>+IFERROR(VLOOKUP(E5018,BD!$L$2:$Q$244,6,0),0)</f>
        <v>225</v>
      </c>
      <c r="I5018" s="62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7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7">
        <v>256721</v>
      </c>
      <c r="F5019" s="31" t="str">
        <f>IFERROR(VLOOKUP(E5019,BD!$L$2:$Q$244,2,0),0)</f>
        <v>SPRITE PET 500MLX6 BRANDEADO MOD</v>
      </c>
      <c r="G5019" s="424">
        <v>1000</v>
      </c>
      <c r="H5019" s="31">
        <f>+IFERROR(VLOOKUP(E5019,BD!$L$2:$Q$244,6,0),0)</f>
        <v>420</v>
      </c>
      <c r="I5019" s="62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7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7">
        <v>256379</v>
      </c>
      <c r="F5020" s="31" t="str">
        <f>IFERROR(VLOOKUP(E5020,BD!$L$2:$Q$244,2,0),0)</f>
        <v>INCA KOLA VR 625MLX12 - STICKER</v>
      </c>
      <c r="G5020" s="424">
        <v>200</v>
      </c>
      <c r="H5020" s="31">
        <f>+IFERROR(VLOOKUP(E5020,BD!$L$2:$Q$244,6,0),0)</f>
        <v>50</v>
      </c>
      <c r="I5020" s="62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7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7">
        <v>251406</v>
      </c>
      <c r="F5021" s="31" t="str">
        <f>IFERROR(VLOOKUP(E5021,BD!$L$2:$Q$244,2,0),0)</f>
        <v>COCA-COLA SIN AZUCAR PET 1.5LX2</v>
      </c>
      <c r="G5021" s="424">
        <v>216</v>
      </c>
      <c r="H5021" s="31">
        <f>+IFERROR(VLOOKUP(E5021,BD!$L$2:$Q$244,6,0),0)</f>
        <v>198</v>
      </c>
      <c r="I5021" s="62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7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7">
        <v>254853</v>
      </c>
      <c r="F5022" s="31" t="str">
        <f>IFERROR(VLOOKUP(E5022,BD!$L$2:$Q$244,2,0),0)</f>
        <v>INCA KOLA SIN AZUCAR PET 1.5LX2</v>
      </c>
      <c r="G5022" s="424">
        <v>1728</v>
      </c>
      <c r="H5022" s="31">
        <f>+IFERROR(VLOOKUP(E5022,BD!$L$2:$Q$244,6,0),0)</f>
        <v>198</v>
      </c>
      <c r="I5022" s="62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7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7">
        <v>256674</v>
      </c>
      <c r="F5023" s="31" t="str">
        <f>IFERROR(VLOOKUP(E5023,BD!$L$2:$Q$244,2,0),0)</f>
        <v>COCA-COLA PET 1.5LX2 RF</v>
      </c>
      <c r="G5023" s="424">
        <v>1080</v>
      </c>
      <c r="H5023" s="31">
        <f>+IFERROR(VLOOKUP(E5023,BD!$L$2:$Q$244,6,0),0)</f>
        <v>198</v>
      </c>
      <c r="I5023" s="62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7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7">
        <v>256677</v>
      </c>
      <c r="F5024" s="31" t="str">
        <f>IFERROR(VLOOKUP(E5024,BD!$L$2:$Q$244,2,0),0)</f>
        <v>TWO PACK CC + IK PFM 3LX2 - RFNN</v>
      </c>
      <c r="G5024" s="424">
        <v>8160</v>
      </c>
      <c r="H5024" s="31">
        <f>+IFERROR(VLOOKUP(E5024,BD!$L$2:$Q$244,6,0),0)</f>
        <v>120</v>
      </c>
      <c r="I5024" s="62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7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7">
        <v>256678</v>
      </c>
      <c r="F5025" s="31" t="str">
        <f>IFERROR(VLOOKUP(E5025,BD!$L$2:$Q$244,2,0),0)</f>
        <v>TRIPACK (CC+IK)PFM+FT PET 3LX3 - RFNN</v>
      </c>
      <c r="G5025" s="424">
        <v>810</v>
      </c>
      <c r="H5025" s="31">
        <f>+IFERROR(VLOOKUP(E5025,BD!$L$2:$Q$244,6,0),0)</f>
        <v>90</v>
      </c>
      <c r="I5025" s="62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7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7">
        <v>256720</v>
      </c>
      <c r="F5026" s="31" t="str">
        <f>IFERROR(VLOOKUP(E5026,BD!$L$2:$Q$244,2,0),0)</f>
        <v>FANTA NARANJA PET 500MLX6 BRANDEADO MOD</v>
      </c>
      <c r="G5026" s="424">
        <v>250</v>
      </c>
      <c r="H5026" s="31">
        <f>+IFERROR(VLOOKUP(E5026,BD!$L$2:$Q$244,6,0),0)</f>
        <v>420</v>
      </c>
      <c r="I5026" s="62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7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7">
        <v>256753</v>
      </c>
      <c r="F5027" s="31" t="str">
        <f>IFERROR(VLOOKUP(E5027,BD!$L$2:$Q$244,2,0),0)</f>
        <v>PACK-2 FT NAR+FT KI+FT PIÑA+SP RP 1.5LX8</v>
      </c>
      <c r="G5027" s="424">
        <v>240</v>
      </c>
      <c r="H5027" s="31">
        <f>+IFERROR(VLOOKUP(E5027,BD!$L$2:$Q$244,6,0),0)</f>
        <v>30</v>
      </c>
      <c r="I5027" s="62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7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7">
        <v>751315</v>
      </c>
      <c r="F5028" s="31" t="str">
        <f>IFERROR(VLOOKUP(E5028,BD!$L$2:$Q$244,2,0),0)</f>
        <v>MONSTER ENERGY 473MLX4</v>
      </c>
      <c r="G5028" s="424">
        <v>1680</v>
      </c>
      <c r="H5028" s="31">
        <f>+IFERROR(VLOOKUP(E5028,BD!$L$2:$Q$244,6,0),0)</f>
        <v>420</v>
      </c>
      <c r="I5028" s="62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7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7">
        <v>256695</v>
      </c>
      <c r="F5029" s="31" t="str">
        <f>IFERROR(VLOOKUP(E5029,BD!$L$2:$Q$244,2,0),0)</f>
        <v>POWERADE 3MORA+3FRUT PET 473MLX6</v>
      </c>
      <c r="G5029" s="424">
        <v>1800</v>
      </c>
      <c r="H5029" s="31">
        <f>+IFERROR(VLOOKUP(E5029,BD!$L$2:$Q$244,6,0),0)</f>
        <v>225</v>
      </c>
      <c r="I5029" s="62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7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7">
        <v>256721</v>
      </c>
      <c r="F5030" s="31" t="str">
        <f>IFERROR(VLOOKUP(E5030,BD!$L$2:$Q$244,2,0),0)</f>
        <v>SPRITE PET 500MLX6 BRANDEADO MOD</v>
      </c>
      <c r="G5030" s="424">
        <v>1000</v>
      </c>
      <c r="H5030" s="31">
        <f>+IFERROR(VLOOKUP(E5030,BD!$L$2:$Q$244,6,0),0)</f>
        <v>420</v>
      </c>
      <c r="I5030" s="62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7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7">
        <v>751315</v>
      </c>
      <c r="F5031" s="31" t="str">
        <f>IFERROR(VLOOKUP(E5031,BD!$L$2:$Q$244,2,0),0)</f>
        <v>MONSTER ENERGY 473MLX4</v>
      </c>
      <c r="G5031" s="424">
        <v>2520</v>
      </c>
      <c r="H5031" s="31">
        <f>+IFERROR(VLOOKUP(E5031,BD!$L$2:$Q$244,6,0),0)</f>
        <v>420</v>
      </c>
      <c r="I5031" s="62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7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7">
        <v>251406</v>
      </c>
      <c r="F5032" s="31" t="str">
        <f>IFERROR(VLOOKUP(E5032,BD!$L$2:$Q$244,2,0),0)</f>
        <v>COCA-COLA SIN AZUCAR PET 1.5LX2</v>
      </c>
      <c r="G5032" s="424">
        <v>3024</v>
      </c>
      <c r="H5032" s="31">
        <f>+IFERROR(VLOOKUP(E5032,BD!$L$2:$Q$244,6,0),0)</f>
        <v>198</v>
      </c>
      <c r="I5032" s="62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7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7">
        <v>254853</v>
      </c>
      <c r="F5033" s="31" t="str">
        <f>IFERROR(VLOOKUP(E5033,BD!$L$2:$Q$244,2,0),0)</f>
        <v>INCA KOLA SIN AZUCAR PET 1.5LX2</v>
      </c>
      <c r="G5033" s="424">
        <v>432</v>
      </c>
      <c r="H5033" s="31">
        <f>+IFERROR(VLOOKUP(E5033,BD!$L$2:$Q$244,6,0),0)</f>
        <v>198</v>
      </c>
      <c r="I5033" s="62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7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7">
        <v>256488</v>
      </c>
      <c r="F5034" s="31" t="str">
        <f>IFERROR(VLOOKUP(E5034,BD!$L$2:$Q$244,2,0),0)</f>
        <v>INCA KOLA PET 3LX2 - RF</v>
      </c>
      <c r="G5034" s="424">
        <v>3600</v>
      </c>
      <c r="H5034" s="31">
        <f>+IFERROR(VLOOKUP(E5034,BD!$L$2:$Q$244,6,0),0)</f>
        <v>120</v>
      </c>
      <c r="I5034" s="62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7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7">
        <v>256676</v>
      </c>
      <c r="F5035" s="31" t="str">
        <f>IFERROR(VLOOKUP(E5035,BD!$L$2:$Q$244,2,0),0)</f>
        <v>TWO PACK CC PFM 3LX2 - RFCC</v>
      </c>
      <c r="G5035" s="424">
        <v>1800</v>
      </c>
      <c r="H5035" s="31">
        <f>+IFERROR(VLOOKUP(E5035,BD!$L$2:$Q$244,6,0),0)</f>
        <v>120</v>
      </c>
      <c r="I5035" s="62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7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7">
        <v>256652</v>
      </c>
      <c r="F5036" s="31" t="str">
        <f>IFERROR(VLOOKUP(E5036,BD!$L$2:$Q$244,2,0),0)</f>
        <v>TRIPACK FT NAR+FT KI+SP PET 3L</v>
      </c>
      <c r="G5036" s="424">
        <v>450</v>
      </c>
      <c r="H5036" s="31">
        <f>+IFERROR(VLOOKUP(E5036,BD!$L$2:$Q$244,6,0),0)</f>
        <v>90</v>
      </c>
      <c r="I5036" s="62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7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7">
        <v>256677</v>
      </c>
      <c r="F5037" s="31" t="str">
        <f>IFERROR(VLOOKUP(E5037,BD!$L$2:$Q$244,2,0),0)</f>
        <v>TWO PACK CC + IK PFM 3LX2 - RFNN</v>
      </c>
      <c r="G5037" s="424">
        <v>1440</v>
      </c>
      <c r="H5037" s="31">
        <f>+IFERROR(VLOOKUP(E5037,BD!$L$2:$Q$244,6,0),0)</f>
        <v>120</v>
      </c>
      <c r="I5037" s="62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7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7">
        <v>256680</v>
      </c>
      <c r="F5038" s="31" t="str">
        <f>IFERROR(VLOOKUP(E5038,BD!$L$2:$Q$244,2,0),0)</f>
        <v>TRIPACK CC+CC+IK PFM 3LX3 - RFNN</v>
      </c>
      <c r="G5038" s="424">
        <v>450</v>
      </c>
      <c r="H5038" s="31">
        <f>+IFERROR(VLOOKUP(E5038,BD!$L$2:$Q$244,6,0),0)</f>
        <v>90</v>
      </c>
      <c r="I5038" s="62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7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7">
        <v>256678</v>
      </c>
      <c r="F5039" s="31" t="str">
        <f>IFERROR(VLOOKUP(E5039,BD!$L$2:$Q$244,2,0),0)</f>
        <v>TRIPACK (CC+IK)PFM+FT PET 3LX3 - RFNN</v>
      </c>
      <c r="G5039" s="424">
        <v>1080</v>
      </c>
      <c r="H5039" s="31">
        <f>+IFERROR(VLOOKUP(E5039,BD!$L$2:$Q$244,6,0),0)</f>
        <v>90</v>
      </c>
      <c r="I5039" s="62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7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7">
        <v>751468</v>
      </c>
      <c r="F5040" s="31" t="str">
        <f>IFERROR(VLOOKUP(E5040,BD!$L$2:$Q$244,2,0),0)</f>
        <v>MONSTER ENERGY ULTRA 473MLX4</v>
      </c>
      <c r="G5040" s="424">
        <v>1260</v>
      </c>
      <c r="H5040" s="31">
        <f>+IFERROR(VLOOKUP(E5040,BD!$L$2:$Q$244,6,0),0)</f>
        <v>420</v>
      </c>
      <c r="I5040" s="62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7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7">
        <v>751544</v>
      </c>
      <c r="F5041" s="31" t="str">
        <f>IFERROR(VLOOKUP(E5041,BD!$L$2:$Q$244,2,0),0)</f>
        <v>MONSTER ENERGY ZERO 473MLX4</v>
      </c>
      <c r="G5041" s="424">
        <v>2100</v>
      </c>
      <c r="H5041" s="31">
        <f>+IFERROR(VLOOKUP(E5041,BD!$L$2:$Q$244,6,0),0)</f>
        <v>420</v>
      </c>
      <c r="I5041" s="62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7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7">
        <v>251406</v>
      </c>
      <c r="F5042" s="31" t="str">
        <f>IFERROR(VLOOKUP(E5042,BD!$L$2:$Q$244,2,0),0)</f>
        <v>COCA-COLA SIN AZUCAR PET 1.5LX2</v>
      </c>
      <c r="G5042" s="424">
        <v>864</v>
      </c>
      <c r="H5042" s="31">
        <f>+IFERROR(VLOOKUP(E5042,BD!$L$2:$Q$244,6,0),0)</f>
        <v>198</v>
      </c>
      <c r="I5042" s="62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7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7">
        <v>254853</v>
      </c>
      <c r="F5043" s="31" t="str">
        <f>IFERROR(VLOOKUP(E5043,BD!$L$2:$Q$244,2,0),0)</f>
        <v>INCA KOLA SIN AZUCAR PET 1.5LX2</v>
      </c>
      <c r="G5043" s="424">
        <v>864</v>
      </c>
      <c r="H5043" s="31">
        <f>+IFERROR(VLOOKUP(E5043,BD!$L$2:$Q$244,6,0),0)</f>
        <v>198</v>
      </c>
      <c r="I5043" s="62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7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7">
        <v>256677</v>
      </c>
      <c r="F5044" s="31" t="str">
        <f>IFERROR(VLOOKUP(E5044,BD!$L$2:$Q$244,2,0),0)</f>
        <v>TWO PACK CC + IK PFM 3LX2 - RFNN</v>
      </c>
      <c r="G5044" s="424">
        <v>1200</v>
      </c>
      <c r="H5044" s="31">
        <f>+IFERROR(VLOOKUP(E5044,BD!$L$2:$Q$244,6,0),0)</f>
        <v>120</v>
      </c>
      <c r="I5044" s="62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7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7">
        <v>256678</v>
      </c>
      <c r="F5045" s="31" t="str">
        <f>IFERROR(VLOOKUP(E5045,BD!$L$2:$Q$244,2,0),0)</f>
        <v>TRIPACK (CC+IK)PFM+FT PET 3LX3 - RFNN</v>
      </c>
      <c r="G5045" s="425">
        <v>720</v>
      </c>
      <c r="H5045" s="31">
        <f>+IFERROR(VLOOKUP(E5045,BD!$L$2:$Q$244,6,0),0)</f>
        <v>90</v>
      </c>
      <c r="I5045" s="62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7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7">
        <v>251632</v>
      </c>
      <c r="F5046" s="31" t="str">
        <f>IFERROR(VLOOKUP(E5046,BD!$L$2:$Q$244,2,0),0)</f>
        <v>SAN LUIS SIN GAS PET 625MLX06 MOD</v>
      </c>
      <c r="G5046" s="424">
        <v>900</v>
      </c>
      <c r="H5046" s="31">
        <f>+IFERROR(VLOOKUP(E5046,BD!$L$2:$Q$244,6,0),0)</f>
        <v>180</v>
      </c>
      <c r="I5046" s="62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7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7">
        <v>751468</v>
      </c>
      <c r="F5047" s="31" t="str">
        <f>IFERROR(VLOOKUP(E5047,BD!$L$2:$Q$244,2,0),0)</f>
        <v>MONSTER ENERGY ULTRA 473MLX4</v>
      </c>
      <c r="G5047" s="424">
        <v>840</v>
      </c>
      <c r="H5047" s="31">
        <f>+IFERROR(VLOOKUP(E5047,BD!$L$2:$Q$244,6,0),0)</f>
        <v>420</v>
      </c>
      <c r="I5047" s="62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7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7">
        <v>251633</v>
      </c>
      <c r="F5048" s="31" t="str">
        <f>IFERROR(VLOOKUP(E5048,BD!$L$2:$Q$244,2,0),0)</f>
        <v>SAN LUIS CON GAS PET 625MLX6</v>
      </c>
      <c r="G5048" s="424">
        <v>1440</v>
      </c>
      <c r="H5048" s="31">
        <f>+IFERROR(VLOOKUP(E5048,BD!$L$2:$Q$244,6,0),0)</f>
        <v>180</v>
      </c>
      <c r="I5048" s="62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7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7">
        <v>251406</v>
      </c>
      <c r="F5049" s="31" t="str">
        <f>IFERROR(VLOOKUP(E5049,BD!$L$2:$Q$244,2,0),0)</f>
        <v>COCA-COLA SIN AZUCAR PET 1.5LX2</v>
      </c>
      <c r="G5049" s="424">
        <v>1296</v>
      </c>
      <c r="H5049" s="31">
        <f>+IFERROR(VLOOKUP(E5049,BD!$L$2:$Q$244,6,0),0)</f>
        <v>198</v>
      </c>
      <c r="I5049" s="62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7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7">
        <v>254853</v>
      </c>
      <c r="F5050" s="31" t="str">
        <f>IFERROR(VLOOKUP(E5050,BD!$L$2:$Q$244,2,0),0)</f>
        <v>INCA KOLA SIN AZUCAR PET 1.5LX2</v>
      </c>
      <c r="G5050" s="424">
        <v>1296</v>
      </c>
      <c r="H5050" s="31">
        <f>+IFERROR(VLOOKUP(E5050,BD!$L$2:$Q$244,6,0),0)</f>
        <v>198</v>
      </c>
      <c r="I5050" s="62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7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7">
        <v>256652</v>
      </c>
      <c r="F5051" s="31" t="str">
        <f>IFERROR(VLOOKUP(E5051,BD!$L$2:$Q$244,2,0),0)</f>
        <v>TRIPACK FT NAR+FT KI+SP PET 3L</v>
      </c>
      <c r="G5051" s="424">
        <v>450</v>
      </c>
      <c r="H5051" s="31">
        <f>+IFERROR(VLOOKUP(E5051,BD!$L$2:$Q$244,6,0),0)</f>
        <v>90</v>
      </c>
      <c r="I5051" s="62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7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7">
        <v>256677</v>
      </c>
      <c r="F5052" s="31" t="str">
        <f>IFERROR(VLOOKUP(E5052,BD!$L$2:$Q$244,2,0),0)</f>
        <v>TWO PACK CC + IK PFM 3LX2 - RFNN</v>
      </c>
      <c r="G5052" s="424">
        <v>10800</v>
      </c>
      <c r="H5052" s="31">
        <f>+IFERROR(VLOOKUP(E5052,BD!$L$2:$Q$244,6,0),0)</f>
        <v>120</v>
      </c>
      <c r="I5052" s="62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7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7">
        <v>256678</v>
      </c>
      <c r="F5053" s="31" t="str">
        <f>IFERROR(VLOOKUP(E5053,BD!$L$2:$Q$244,2,0),0)</f>
        <v>TRIPACK (CC+IK)PFM+FT PET 3LX3 - RFNN</v>
      </c>
      <c r="G5053" s="424">
        <v>1440</v>
      </c>
      <c r="H5053" s="31">
        <f>+IFERROR(VLOOKUP(E5053,BD!$L$2:$Q$244,6,0),0)</f>
        <v>90</v>
      </c>
      <c r="I5053" s="62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7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7">
        <v>256709</v>
      </c>
      <c r="F5054" s="31" t="str">
        <f>IFERROR(VLOOKUP(E5054,BD!$L$2:$Q$244,2,0),0)</f>
        <v>POWERADE ION4 MORA AZ PET473X6 MOD(STCK)</v>
      </c>
      <c r="G5054" s="425">
        <v>450</v>
      </c>
      <c r="H5054" s="31">
        <f>+IFERROR(VLOOKUP(E5054,BD!$L$2:$Q$244,6,0),0)</f>
        <v>225</v>
      </c>
      <c r="I5054" s="62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7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7">
        <v>251429</v>
      </c>
      <c r="F5055" s="31" t="str">
        <f>IFERROR(VLOOKUP(E5055,BD!$L$2:$Q$244,2,0),0)</f>
        <v>SAN LUIS SIN GAS PET2500X6 STICKER</v>
      </c>
      <c r="G5055" s="425">
        <v>288</v>
      </c>
      <c r="H5055" s="31">
        <f>+IFERROR(VLOOKUP(E5055,BD!$L$2:$Q$244,6,0),0)</f>
        <v>48</v>
      </c>
      <c r="I5055" s="62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7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7">
        <v>256678</v>
      </c>
      <c r="F5056" s="31" t="str">
        <f>IFERROR(VLOOKUP(E5056,BD!$L$2:$Q$244,2,0),0)</f>
        <v>TRIPACK (CC+IK)PFM+FT PET 3LX3 - RFNN</v>
      </c>
      <c r="G5056" s="424">
        <v>450</v>
      </c>
      <c r="H5056" s="31">
        <f>+IFERROR(VLOOKUP(E5056,BD!$L$2:$Q$244,6,0),0)</f>
        <v>90</v>
      </c>
      <c r="I5056" s="62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7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7">
        <v>256682</v>
      </c>
      <c r="F5057" s="31" t="str">
        <f>IFERROR(VLOOKUP(E5057,BD!$L$2:$Q$244,2,0),0)</f>
        <v>TRIPACK (FT NAR+SP)PET+IK RF PFM 3L</v>
      </c>
      <c r="G5057" s="424">
        <v>450</v>
      </c>
      <c r="H5057" s="31">
        <f>+IFERROR(VLOOKUP(E5057,BD!$L$2:$Q$244,6,0),0)</f>
        <v>90</v>
      </c>
      <c r="I5057" s="62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7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7">
        <v>256753</v>
      </c>
      <c r="F5058" s="31" t="str">
        <f>IFERROR(VLOOKUP(E5058,BD!$L$2:$Q$244,2,0),0)</f>
        <v>PACK-2 FT NAR+FT KI+FT PIÑA+SP RP 1.5LX8</v>
      </c>
      <c r="G5058" s="424">
        <v>240</v>
      </c>
      <c r="H5058" s="31">
        <f>+IFERROR(VLOOKUP(E5058,BD!$L$2:$Q$244,6,0),0)</f>
        <v>30</v>
      </c>
      <c r="I5058" s="62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7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7" t="s">
        <v>266</v>
      </c>
      <c r="F5059" s="31" t="str">
        <f>IFERROR(VLOOKUP(E5059,BD!$L$2:$Q$244,2,0),0)</f>
        <v>2FTKI + 2FTN + 1FTP + 1SP PACK x 500ML</v>
      </c>
      <c r="G5059" s="424">
        <v>1250</v>
      </c>
      <c r="H5059" s="31">
        <f>+IFERROR(VLOOKUP(E5059,BD!$L$2:$Q$244,6,0),0)</f>
        <v>250</v>
      </c>
      <c r="I5059" s="626">
        <f>IFERROR(G5059*VLOOKUP($E5059,BD!$L$2:$Q$244,5,0),0)</f>
        <v>525</v>
      </c>
      <c r="J5059" s="3">
        <f t="shared" si="329"/>
        <v>2022</v>
      </c>
      <c r="K5059" s="9" t="s">
        <v>284</v>
      </c>
    </row>
    <row r="5060" spans="1:11" s="9" customFormat="1" x14ac:dyDescent="0.25">
      <c r="A5060" s="447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7">
        <v>256737</v>
      </c>
      <c r="F5060" s="31" t="str">
        <f>IFERROR(VLOOKUP(E5060,BD!$L$2:$Q$244,2,0),0)</f>
        <v>INCA KOLA SA ALUMINIO-3 DISEÑOS 330MLX12</v>
      </c>
      <c r="G5060" s="424">
        <v>750</v>
      </c>
      <c r="H5060" s="31">
        <f>+IFERROR(VLOOKUP(E5060,BD!$L$2:$Q$244,6,0),0)</f>
        <v>420</v>
      </c>
      <c r="I5060" s="626">
        <f>IFERROR(G5060*VLOOKUP($E5060,BD!$L$2:$Q$244,5,0),0)</f>
        <v>315</v>
      </c>
      <c r="J5060" s="3">
        <f t="shared" si="329"/>
        <v>2022</v>
      </c>
      <c r="K5060" s="9" t="s">
        <v>284</v>
      </c>
    </row>
    <row r="5061" spans="1:11" s="9" customFormat="1" x14ac:dyDescent="0.25">
      <c r="A5061" s="447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7">
        <v>252436</v>
      </c>
      <c r="F5061" s="31" t="str">
        <f>IFERROR(VLOOKUP(E5061,BD!$L$2:$Q$244,2,0),0)</f>
        <v>SAN LUIS SIN GAS PET 625MLX15 C/STICKER</v>
      </c>
      <c r="G5061" s="424">
        <v>450</v>
      </c>
      <c r="H5061" s="31">
        <f>+IFERROR(VLOOKUP(E5061,BD!$L$2:$Q$244,6,0),0)</f>
        <v>90</v>
      </c>
      <c r="I5061" s="62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7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7">
        <v>251429</v>
      </c>
      <c r="F5062" s="31" t="str">
        <f>IFERROR(VLOOKUP(E5062,BD!$L$2:$Q$244,2,0),0)</f>
        <v>SAN LUIS SIN GAS PET2500X6 STICKER</v>
      </c>
      <c r="G5062" s="424">
        <v>1152</v>
      </c>
      <c r="H5062" s="31">
        <f>+IFERROR(VLOOKUP(E5062,BD!$L$2:$Q$244,6,0),0)</f>
        <v>48</v>
      </c>
      <c r="I5062" s="62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7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7">
        <v>251633</v>
      </c>
      <c r="F5063" s="31" t="str">
        <f>IFERROR(VLOOKUP(E5063,BD!$L$2:$Q$244,2,0),0)</f>
        <v>SAN LUIS CON GAS PET 625MLX6</v>
      </c>
      <c r="G5063" s="424">
        <v>540</v>
      </c>
      <c r="H5063" s="31">
        <f>+IFERROR(VLOOKUP(E5063,BD!$L$2:$Q$244,6,0),0)</f>
        <v>180</v>
      </c>
      <c r="I5063" s="62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7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7">
        <v>256488</v>
      </c>
      <c r="F5064" s="31" t="str">
        <f>IFERROR(VLOOKUP(E5064,BD!$L$2:$Q$244,2,0),0)</f>
        <v>INCA KOLA PET 3LX2 - RF</v>
      </c>
      <c r="G5064" s="424">
        <v>720</v>
      </c>
      <c r="H5064" s="31">
        <f>+IFERROR(VLOOKUP(E5064,BD!$L$2:$Q$244,6,0),0)</f>
        <v>120</v>
      </c>
      <c r="I5064" s="62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7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7">
        <v>256676</v>
      </c>
      <c r="F5065" s="31" t="str">
        <f>IFERROR(VLOOKUP(E5065,BD!$L$2:$Q$244,2,0),0)</f>
        <v>TWO PACK CC PFM 3LX2 - RFCC</v>
      </c>
      <c r="G5065" s="425">
        <v>360</v>
      </c>
      <c r="H5065" s="31">
        <f>+IFERROR(VLOOKUP(E5065,BD!$L$2:$Q$244,6,0),0)</f>
        <v>120</v>
      </c>
      <c r="I5065" s="62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7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7">
        <v>256677</v>
      </c>
      <c r="F5066" s="31" t="str">
        <f>IFERROR(VLOOKUP(E5066,BD!$L$2:$Q$244,2,0),0)</f>
        <v>TWO PACK CC + IK PFM 3LX2 - RFNN</v>
      </c>
      <c r="G5066" s="424">
        <v>4320</v>
      </c>
      <c r="H5066" s="31">
        <f>+IFERROR(VLOOKUP(E5066,BD!$L$2:$Q$244,6,0),0)</f>
        <v>120</v>
      </c>
      <c r="I5066" s="62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7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7">
        <v>256678</v>
      </c>
      <c r="F5067" s="31" t="str">
        <f>IFERROR(VLOOKUP(E5067,BD!$L$2:$Q$244,2,0),0)</f>
        <v>TRIPACK (CC+IK)PFM+FT PET 3LX3 - RFNN</v>
      </c>
      <c r="G5067" s="424">
        <v>1440</v>
      </c>
      <c r="H5067" s="31">
        <f>+IFERROR(VLOOKUP(E5067,BD!$L$2:$Q$244,6,0),0)</f>
        <v>90</v>
      </c>
      <c r="I5067" s="62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7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7">
        <v>256753</v>
      </c>
      <c r="F5068" s="31" t="str">
        <f>IFERROR(VLOOKUP(E5068,BD!$L$2:$Q$244,2,0),0)</f>
        <v>PACK-2 FT NAR+FT KI+FT PIÑA+SP RP 1.5LX8</v>
      </c>
      <c r="G5068" s="424">
        <v>360</v>
      </c>
      <c r="H5068" s="31">
        <f>+IFERROR(VLOOKUP(E5068,BD!$L$2:$Q$244,6,0),0)</f>
        <v>30</v>
      </c>
      <c r="I5068" s="62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7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7" t="s">
        <v>263</v>
      </c>
      <c r="F5069" s="31" t="str">
        <f>IFERROR(VLOOKUP(E5069,BD!$L$2:$Q$244,2,0),0)</f>
        <v>3CC SA + 3IK SA 600ML X 6 PUC</v>
      </c>
      <c r="G5069" s="424">
        <v>1200</v>
      </c>
      <c r="H5069" s="31">
        <f>+IFERROR(VLOOKUP(E5069,BD!$L$2:$Q$244,6,0),0)</f>
        <v>200</v>
      </c>
      <c r="I5069" s="62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7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7">
        <v>254762</v>
      </c>
      <c r="F5070" s="31" t="str">
        <f>IFERROR(VLOOKUP(E5070,BD!$L$2:$Q$244,2,0),0)</f>
        <v xml:space="preserve">SAN LUIS SPORT S/G 10 Lt x6 </v>
      </c>
      <c r="G5070" s="425">
        <v>336</v>
      </c>
      <c r="H5070" s="31">
        <f>+IFERROR(VLOOKUP(E5070,BD!$L$2:$Q$244,6,0),0)</f>
        <v>240</v>
      </c>
      <c r="I5070" s="62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7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7">
        <v>751315</v>
      </c>
      <c r="F5071" s="31" t="str">
        <f>IFERROR(VLOOKUP(E5071,BD!$L$2:$Q$244,2,0),0)</f>
        <v>MONSTER ENERGY 473MLX4</v>
      </c>
      <c r="G5071" s="424">
        <v>2100</v>
      </c>
      <c r="H5071" s="31">
        <f>+IFERROR(VLOOKUP(E5071,BD!$L$2:$Q$244,6,0),0)</f>
        <v>420</v>
      </c>
      <c r="I5071" s="62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7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7">
        <v>251406</v>
      </c>
      <c r="F5072" s="31" t="str">
        <f>IFERROR(VLOOKUP(E5072,BD!$L$2:$Q$244,2,0),0)</f>
        <v>COCA-COLA SIN AZUCAR PET 1.5LX2</v>
      </c>
      <c r="G5072" s="424">
        <v>1080</v>
      </c>
      <c r="H5072" s="31">
        <f>+IFERROR(VLOOKUP(E5072,BD!$L$2:$Q$244,6,0),0)</f>
        <v>198</v>
      </c>
      <c r="I5072" s="62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7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7">
        <v>256666</v>
      </c>
      <c r="F5073" s="31" t="str">
        <f>IFERROR(VLOOKUP(E5073,BD!$L$2:$Q$244,2,0),0)</f>
        <v>COCA-COLA PET 2.25LX2 RF</v>
      </c>
      <c r="G5073" s="424">
        <v>486</v>
      </c>
      <c r="H5073" s="31">
        <f>+IFERROR(VLOOKUP(E5073,BD!$L$2:$Q$244,6,0),0)</f>
        <v>162</v>
      </c>
      <c r="I5073" s="62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7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7">
        <v>256601</v>
      </c>
      <c r="F5074" s="31" t="str">
        <f>IFERROR(VLOOKUP(E5074,BD!$L$2:$Q$244,2,0),0)</f>
        <v>INCA KOLA PET 2.25LX2 RF</v>
      </c>
      <c r="G5074" s="424">
        <v>324</v>
      </c>
      <c r="H5074" s="31">
        <f>+IFERROR(VLOOKUP(E5074,BD!$L$2:$Q$244,6,0),0)</f>
        <v>162</v>
      </c>
      <c r="I5074" s="62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7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7">
        <v>256488</v>
      </c>
      <c r="F5075" s="31" t="str">
        <f>IFERROR(VLOOKUP(E5075,BD!$L$2:$Q$244,2,0),0)</f>
        <v>INCA KOLA PET 3LX2 - RF</v>
      </c>
      <c r="G5075" s="424">
        <v>2880</v>
      </c>
      <c r="H5075" s="31">
        <f>+IFERROR(VLOOKUP(E5075,BD!$L$2:$Q$244,6,0),0)</f>
        <v>120</v>
      </c>
      <c r="I5075" s="62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7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7">
        <v>256676</v>
      </c>
      <c r="F5076" s="31" t="str">
        <f>IFERROR(VLOOKUP(E5076,BD!$L$2:$Q$244,2,0),0)</f>
        <v>TWO PACK CC PFM 3LX2 - RFCC</v>
      </c>
      <c r="G5076" s="425">
        <v>1440</v>
      </c>
      <c r="H5076" s="31">
        <f>+IFERROR(VLOOKUP(E5076,BD!$L$2:$Q$244,6,0),0)</f>
        <v>120</v>
      </c>
      <c r="I5076" s="62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7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7">
        <v>256674</v>
      </c>
      <c r="F5077" s="31" t="str">
        <f>IFERROR(VLOOKUP(E5077,BD!$L$2:$Q$244,2,0),0)</f>
        <v>COCA-COLA PET 1.5LX2 RF</v>
      </c>
      <c r="G5077" s="425">
        <v>1080</v>
      </c>
      <c r="H5077" s="31">
        <f>+IFERROR(VLOOKUP(E5077,BD!$L$2:$Q$244,6,0),0)</f>
        <v>198</v>
      </c>
      <c r="I5077" s="62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7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7">
        <v>256675</v>
      </c>
      <c r="F5078" s="31" t="str">
        <f>IFERROR(VLOOKUP(E5078,BD!$L$2:$Q$244,2,0),0)</f>
        <v>INCA KOLA PET 1.5LX2 RF</v>
      </c>
      <c r="G5078" s="424">
        <v>1080</v>
      </c>
      <c r="H5078" s="31">
        <f>+IFERROR(VLOOKUP(E5078,BD!$L$2:$Q$244,6,0),0)</f>
        <v>198</v>
      </c>
      <c r="I5078" s="62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7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7">
        <v>256677</v>
      </c>
      <c r="F5079" s="31" t="str">
        <f>IFERROR(VLOOKUP(E5079,BD!$L$2:$Q$244,2,0),0)</f>
        <v>TWO PACK CC + IK PFM 3LX2 - RFNN</v>
      </c>
      <c r="G5079" s="424">
        <v>2880</v>
      </c>
      <c r="H5079" s="31">
        <f>+IFERROR(VLOOKUP(E5079,BD!$L$2:$Q$244,6,0),0)</f>
        <v>120</v>
      </c>
      <c r="I5079" s="62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7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7">
        <v>256695</v>
      </c>
      <c r="F5080" s="31" t="str">
        <f>IFERROR(VLOOKUP(E5080,BD!$L$2:$Q$244,2,0),0)</f>
        <v>POWERADE 3MORA+3FRUT PET 473MLX6</v>
      </c>
      <c r="G5080" s="424">
        <v>900</v>
      </c>
      <c r="H5080" s="31">
        <f>+IFERROR(VLOOKUP(E5080,BD!$L$2:$Q$244,6,0),0)</f>
        <v>225</v>
      </c>
      <c r="I5080" s="62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7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7">
        <v>256708</v>
      </c>
      <c r="F5081" s="31" t="str">
        <f>IFERROR(VLOOKUP(E5081,BD!$L$2:$Q$244,2,0),0)</f>
        <v>POWERADE ION4 FRUTA PET473X6 MOD (STICK)</v>
      </c>
      <c r="G5081" s="424">
        <v>225</v>
      </c>
      <c r="H5081" s="31">
        <f>+IFERROR(VLOOKUP(E5081,BD!$L$2:$Q$244,6,0),0)</f>
        <v>225</v>
      </c>
      <c r="I5081" s="62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7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7">
        <v>256709</v>
      </c>
      <c r="F5082" s="31" t="str">
        <f>IFERROR(VLOOKUP(E5082,BD!$L$2:$Q$244,2,0),0)</f>
        <v>POWERADE ION4 MORA AZ PET473X6 MOD(STCK)</v>
      </c>
      <c r="G5082" s="424">
        <v>450</v>
      </c>
      <c r="H5082" s="31">
        <f>+IFERROR(VLOOKUP(E5082,BD!$L$2:$Q$244,6,0),0)</f>
        <v>225</v>
      </c>
      <c r="I5082" s="62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7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7">
        <v>256720</v>
      </c>
      <c r="F5083" s="31" t="str">
        <f>IFERROR(VLOOKUP(E5083,BD!$L$2:$Q$244,2,0),0)</f>
        <v>FANTA NARANJA PET 500MLX6 BRANDEADO MOD</v>
      </c>
      <c r="G5083" s="424">
        <v>250</v>
      </c>
      <c r="H5083" s="31">
        <f>+IFERROR(VLOOKUP(E5083,BD!$L$2:$Q$244,6,0),0)</f>
        <v>420</v>
      </c>
      <c r="I5083" s="62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7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7">
        <v>256721</v>
      </c>
      <c r="F5084" s="31" t="str">
        <f>IFERROR(VLOOKUP(E5084,BD!$L$2:$Q$244,2,0),0)</f>
        <v>SPRITE PET 500MLX6 BRANDEADO MOD</v>
      </c>
      <c r="G5084" s="424">
        <v>250</v>
      </c>
      <c r="H5084" s="31">
        <f>+IFERROR(VLOOKUP(E5084,BD!$L$2:$Q$244,6,0),0)</f>
        <v>420</v>
      </c>
      <c r="I5084" s="62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7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7">
        <v>256383</v>
      </c>
      <c r="F5085" s="31" t="str">
        <f>IFERROR(VLOOKUP(E5085,BD!$L$2:$Q$244,2,0),0)</f>
        <v>COCA COLA VR 1.5LX8 - STICKER</v>
      </c>
      <c r="G5085" s="425">
        <v>120</v>
      </c>
      <c r="H5085" s="31">
        <f>+IFERROR(VLOOKUP(E5085,BD!$L$2:$Q$244,6,0),0)</f>
        <v>30</v>
      </c>
      <c r="I5085" s="62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7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7">
        <v>256382</v>
      </c>
      <c r="F5086" s="31" t="str">
        <f>IFERROR(VLOOKUP(E5086,BD!$L$2:$Q$244,2,0),0)</f>
        <v>COCA COLA VR 296MLX24 - STICKER</v>
      </c>
      <c r="G5086" s="424">
        <v>80</v>
      </c>
      <c r="H5086" s="31">
        <f>+IFERROR(VLOOKUP(E5086,BD!$L$2:$Q$244,6,0),0)</f>
        <v>40</v>
      </c>
      <c r="I5086" s="62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7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7">
        <v>256380</v>
      </c>
      <c r="F5087" s="31" t="str">
        <f>IFERROR(VLOOKUP(E5087,BD!$L$2:$Q$244,2,0),0)</f>
        <v>INCA KOLA VR 296MLX24 - STICKER</v>
      </c>
      <c r="G5087" s="424">
        <v>80</v>
      </c>
      <c r="H5087" s="31">
        <f>+IFERROR(VLOOKUP(E5087,BD!$L$2:$Q$244,6,0),0)</f>
        <v>40</v>
      </c>
      <c r="I5087" s="62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7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7">
        <v>256379</v>
      </c>
      <c r="F5088" s="31" t="str">
        <f>IFERROR(VLOOKUP(E5088,BD!$L$2:$Q$244,2,0),0)</f>
        <v>INCA KOLA VR 625MLX12 - STICKER</v>
      </c>
      <c r="G5088" s="424">
        <v>400</v>
      </c>
      <c r="H5088" s="31">
        <f>+IFERROR(VLOOKUP(E5088,BD!$L$2:$Q$244,6,0),0)</f>
        <v>50</v>
      </c>
      <c r="I5088" s="62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7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7">
        <v>251406</v>
      </c>
      <c r="F5089" s="31" t="str">
        <f>IFERROR(VLOOKUP(E5089,BD!$L$2:$Q$244,2,0),0)</f>
        <v>COCA-COLA SIN AZUCAR PET 1.5LX2</v>
      </c>
      <c r="G5089" s="424">
        <v>1296</v>
      </c>
      <c r="H5089" s="31">
        <f>+IFERROR(VLOOKUP(E5089,BD!$L$2:$Q$244,6,0),0)</f>
        <v>198</v>
      </c>
      <c r="I5089" s="62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7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7">
        <v>256617</v>
      </c>
      <c r="F5090" s="31" t="str">
        <f>IFERROR(VLOOKUP(E5090,BD!$L$2:$Q$244,2,0),0)</f>
        <v>TWO PACK SCHWEPPES GINGER ALE PET 1.5LX2</v>
      </c>
      <c r="G5090" s="424">
        <v>1950</v>
      </c>
      <c r="H5090" s="31">
        <f>+IFERROR(VLOOKUP(E5090,BD!$L$2:$Q$244,6,0),0)</f>
        <v>198</v>
      </c>
      <c r="I5090" s="62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7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7">
        <v>256674</v>
      </c>
      <c r="F5091" s="31" t="str">
        <f>IFERROR(VLOOKUP(E5091,BD!$L$2:$Q$244,2,0),0)</f>
        <v>COCA-COLA PET 1.5LX2 RF</v>
      </c>
      <c r="G5091" s="424">
        <v>1728</v>
      </c>
      <c r="H5091" s="31">
        <f>+IFERROR(VLOOKUP(E5091,BD!$L$2:$Q$244,6,0),0)</f>
        <v>198</v>
      </c>
      <c r="I5091" s="62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7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7">
        <v>256675</v>
      </c>
      <c r="F5092" s="31" t="str">
        <f>IFERROR(VLOOKUP(E5092,BD!$L$2:$Q$244,2,0),0)</f>
        <v>INCA KOLA PET 1.5LX2 RF</v>
      </c>
      <c r="G5092" s="424">
        <v>864</v>
      </c>
      <c r="H5092" s="31">
        <f>+IFERROR(VLOOKUP(E5092,BD!$L$2:$Q$244,6,0),0)</f>
        <v>198</v>
      </c>
      <c r="I5092" s="62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7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7">
        <v>256652</v>
      </c>
      <c r="F5093" s="31" t="str">
        <f>IFERROR(VLOOKUP(E5093,BD!$L$2:$Q$244,2,0),0)</f>
        <v>TRIPACK FT NAR+FT KI+SP PET 3L</v>
      </c>
      <c r="G5093" s="424">
        <v>450</v>
      </c>
      <c r="H5093" s="31">
        <f>+IFERROR(VLOOKUP(E5093,BD!$L$2:$Q$244,6,0),0)</f>
        <v>90</v>
      </c>
      <c r="I5093" s="62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7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7">
        <v>256677</v>
      </c>
      <c r="F5094" s="31" t="str">
        <f>IFERROR(VLOOKUP(E5094,BD!$L$2:$Q$244,2,0),0)</f>
        <v>TWO PACK CC + IK PFM 3LX2 - RFNN</v>
      </c>
      <c r="G5094" s="424">
        <v>4320</v>
      </c>
      <c r="H5094" s="31">
        <f>+IFERROR(VLOOKUP(E5094,BD!$L$2:$Q$244,6,0),0)</f>
        <v>120</v>
      </c>
      <c r="I5094" s="62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7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7">
        <v>256680</v>
      </c>
      <c r="F5095" s="31" t="str">
        <f>IFERROR(VLOOKUP(E5095,BD!$L$2:$Q$244,2,0),0)</f>
        <v>TRIPACK CC+CC+IK PFM 3LX3 - RFNN</v>
      </c>
      <c r="G5095" s="424">
        <v>180</v>
      </c>
      <c r="H5095" s="31">
        <f>+IFERROR(VLOOKUP(E5095,BD!$L$2:$Q$244,6,0),0)</f>
        <v>90</v>
      </c>
      <c r="I5095" s="62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7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7">
        <v>256678</v>
      </c>
      <c r="F5096" s="31" t="str">
        <f>IFERROR(VLOOKUP(E5096,BD!$L$2:$Q$244,2,0),0)</f>
        <v>TRIPACK (CC+IK)PFM+FT PET 3LX3 - RFNN</v>
      </c>
      <c r="G5096" s="425">
        <v>1440</v>
      </c>
      <c r="H5096" s="31">
        <f>+IFERROR(VLOOKUP(E5096,BD!$L$2:$Q$244,6,0),0)</f>
        <v>90</v>
      </c>
      <c r="I5096" s="62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7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7">
        <v>256682</v>
      </c>
      <c r="F5097" s="31" t="str">
        <f>IFERROR(VLOOKUP(E5097,BD!$L$2:$Q$244,2,0),0)</f>
        <v>TRIPACK (FT NAR+SP)PET+IK RF PFM 3L</v>
      </c>
      <c r="G5097" s="425">
        <v>180</v>
      </c>
      <c r="H5097" s="31">
        <f>+IFERROR(VLOOKUP(E5097,BD!$L$2:$Q$244,6,0),0)</f>
        <v>90</v>
      </c>
      <c r="I5097" s="62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7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7">
        <v>256721</v>
      </c>
      <c r="F5098" s="31" t="str">
        <f>IFERROR(VLOOKUP(E5098,BD!$L$2:$Q$244,2,0),0)</f>
        <v>SPRITE PET 500MLX6 BRANDEADO MOD</v>
      </c>
      <c r="G5098" s="424">
        <v>500</v>
      </c>
      <c r="H5098" s="31">
        <f>+IFERROR(VLOOKUP(E5098,BD!$L$2:$Q$244,6,0),0)</f>
        <v>420</v>
      </c>
      <c r="I5098" s="62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7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7">
        <v>256753</v>
      </c>
      <c r="F5099" s="31" t="str">
        <f>IFERROR(VLOOKUP(E5099,BD!$L$2:$Q$244,2,0),0)</f>
        <v>PACK-2 FT NAR+FT KI+FT PIÑA+SP RP 1.5LX8</v>
      </c>
      <c r="G5099" s="424">
        <v>240</v>
      </c>
      <c r="H5099" s="31">
        <f>+IFERROR(VLOOKUP(E5099,BD!$L$2:$Q$244,6,0),0)</f>
        <v>30</v>
      </c>
      <c r="I5099" s="62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7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7">
        <v>256381</v>
      </c>
      <c r="F5100" s="31" t="str">
        <f>IFERROR(VLOOKUP(E5100,BD!$L$2:$Q$244,2,0),0)</f>
        <v>INCA KOLA VR 1.5LX8 - STICKER</v>
      </c>
      <c r="G5100" s="424">
        <v>240</v>
      </c>
      <c r="H5100" s="31">
        <f>+IFERROR(VLOOKUP(E5100,BD!$L$2:$Q$244,6,0),0)</f>
        <v>30</v>
      </c>
      <c r="I5100" s="62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7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7">
        <v>251633</v>
      </c>
      <c r="F5101" s="31" t="str">
        <f>IFERROR(VLOOKUP(E5101,BD!$L$2:$Q$244,2,0),0)</f>
        <v>SAN LUIS CON GAS PET 625MLX6</v>
      </c>
      <c r="G5101" s="424">
        <v>900</v>
      </c>
      <c r="H5101" s="31">
        <f>+IFERROR(VLOOKUP(E5101,BD!$L$2:$Q$244,6,0),0)</f>
        <v>180</v>
      </c>
      <c r="I5101" s="62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7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7">
        <v>251406</v>
      </c>
      <c r="F5102" s="31" t="str">
        <f>IFERROR(VLOOKUP(E5102,BD!$L$2:$Q$244,2,0),0)</f>
        <v>COCA-COLA SIN AZUCAR PET 1.5LX2</v>
      </c>
      <c r="G5102" s="424">
        <v>1944</v>
      </c>
      <c r="H5102" s="31">
        <f>+IFERROR(VLOOKUP(E5102,BD!$L$2:$Q$244,6,0),0)</f>
        <v>198</v>
      </c>
      <c r="I5102" s="62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7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7">
        <v>254853</v>
      </c>
      <c r="F5103" s="31" t="str">
        <f>IFERROR(VLOOKUP(E5103,BD!$L$2:$Q$244,2,0),0)</f>
        <v>INCA KOLA SIN AZUCAR PET 1.5LX2</v>
      </c>
      <c r="G5103" s="424">
        <v>1728</v>
      </c>
      <c r="H5103" s="31">
        <f>+IFERROR(VLOOKUP(E5103,BD!$L$2:$Q$244,6,0),0)</f>
        <v>198</v>
      </c>
      <c r="I5103" s="62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7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7">
        <v>256616</v>
      </c>
      <c r="F5104" s="31" t="str">
        <f>IFERROR(VLOOKUP(E5104,BD!$L$2:$Q$244,2,0),0)</f>
        <v>TWO PACK SCHWEPPES CITRUS PET 1.5LX2</v>
      </c>
      <c r="G5104" s="424">
        <v>990</v>
      </c>
      <c r="H5104" s="31">
        <f>+IFERROR(VLOOKUP(E5104,BD!$L$2:$Q$244,6,0),0)</f>
        <v>198</v>
      </c>
      <c r="I5104" s="62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7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7">
        <v>256674</v>
      </c>
      <c r="F5105" s="31" t="str">
        <f>IFERROR(VLOOKUP(E5105,BD!$L$2:$Q$244,2,0),0)</f>
        <v>COCA-COLA PET 1.5LX2 RF</v>
      </c>
      <c r="G5105" s="424">
        <v>432</v>
      </c>
      <c r="H5105" s="31">
        <f>+IFERROR(VLOOKUP(E5105,BD!$L$2:$Q$244,6,0),0)</f>
        <v>198</v>
      </c>
      <c r="I5105" s="62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7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7">
        <v>256675</v>
      </c>
      <c r="F5106" s="31" t="str">
        <f>IFERROR(VLOOKUP(E5106,BD!$L$2:$Q$244,2,0),0)</f>
        <v>INCA KOLA PET 1.5LX2 RF</v>
      </c>
      <c r="G5106" s="424">
        <v>1296</v>
      </c>
      <c r="H5106" s="31">
        <f>+IFERROR(VLOOKUP(E5106,BD!$L$2:$Q$244,6,0),0)</f>
        <v>198</v>
      </c>
      <c r="I5106" s="62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7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7">
        <v>256652</v>
      </c>
      <c r="F5107" s="31" t="str">
        <f>IFERROR(VLOOKUP(E5107,BD!$L$2:$Q$244,2,0),0)</f>
        <v>TRIPACK FT NAR+FT KI+SP PET 3L</v>
      </c>
      <c r="G5107" s="424">
        <v>990</v>
      </c>
      <c r="H5107" s="31">
        <f>+IFERROR(VLOOKUP(E5107,BD!$L$2:$Q$244,6,0),0)</f>
        <v>90</v>
      </c>
      <c r="I5107" s="62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7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7">
        <v>256679</v>
      </c>
      <c r="F5108" s="31" t="str">
        <f>IFERROR(VLOOKUP(E5108,BD!$L$2:$Q$244,2,0),0)</f>
        <v>TRIPACK CC+IK+IK PFM 3LX3 - RFNN</v>
      </c>
      <c r="G5108" s="424">
        <v>720</v>
      </c>
      <c r="H5108" s="31">
        <f>+IFERROR(VLOOKUP(E5108,BD!$L$2:$Q$244,6,0),0)</f>
        <v>90</v>
      </c>
      <c r="I5108" s="62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7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7">
        <v>256678</v>
      </c>
      <c r="F5109" s="31" t="str">
        <f>IFERROR(VLOOKUP(E5109,BD!$L$2:$Q$244,2,0),0)</f>
        <v>TRIPACK (CC+IK)PFM+FT PET 3LX3 - RFNN</v>
      </c>
      <c r="G5109" s="425">
        <v>1440</v>
      </c>
      <c r="H5109" s="31">
        <f>+IFERROR(VLOOKUP(E5109,BD!$L$2:$Q$244,6,0),0)</f>
        <v>90</v>
      </c>
      <c r="I5109" s="62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7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7">
        <v>256682</v>
      </c>
      <c r="F5110" s="31" t="str">
        <f>IFERROR(VLOOKUP(E5110,BD!$L$2:$Q$244,2,0),0)</f>
        <v>TRIPACK (FT NAR+SP)PET+IK RF PFM 3L</v>
      </c>
      <c r="G5110" s="424">
        <v>720</v>
      </c>
      <c r="H5110" s="31">
        <f>+IFERROR(VLOOKUP(E5110,BD!$L$2:$Q$244,6,0),0)</f>
        <v>90</v>
      </c>
      <c r="I5110" s="62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7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7">
        <v>256708</v>
      </c>
      <c r="F5111" s="31" t="str">
        <f>IFERROR(VLOOKUP(E5111,BD!$L$2:$Q$244,2,0),0)</f>
        <v>POWERADE ION4 FRUTA PET473X6 MOD (STICK)</v>
      </c>
      <c r="G5111" s="424">
        <v>1125</v>
      </c>
      <c r="H5111" s="31">
        <f>+IFERROR(VLOOKUP(E5111,BD!$L$2:$Q$244,6,0),0)</f>
        <v>225</v>
      </c>
      <c r="I5111" s="62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7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7">
        <v>256709</v>
      </c>
      <c r="F5112" s="31" t="str">
        <f>IFERROR(VLOOKUP(E5112,BD!$L$2:$Q$244,2,0),0)</f>
        <v>POWERADE ION4 MORA AZ PET473X6 MOD(STCK)</v>
      </c>
      <c r="G5112" s="424">
        <v>225</v>
      </c>
      <c r="H5112" s="31">
        <f>+IFERROR(VLOOKUP(E5112,BD!$L$2:$Q$244,6,0),0)</f>
        <v>225</v>
      </c>
      <c r="I5112" s="62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7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7">
        <v>256720</v>
      </c>
      <c r="F5113" s="31" t="str">
        <f>IFERROR(VLOOKUP(E5113,BD!$L$2:$Q$244,2,0),0)</f>
        <v>FANTA NARANJA PET 500MLX6 BRANDEADO MOD</v>
      </c>
      <c r="G5113" s="424">
        <v>750</v>
      </c>
      <c r="H5113" s="31">
        <f>+IFERROR(VLOOKUP(E5113,BD!$L$2:$Q$244,6,0),0)</f>
        <v>420</v>
      </c>
      <c r="I5113" s="62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7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7">
        <v>256721</v>
      </c>
      <c r="F5114" s="31" t="str">
        <f>IFERROR(VLOOKUP(E5114,BD!$L$2:$Q$244,2,0),0)</f>
        <v>SPRITE PET 500MLX6 BRANDEADO MOD</v>
      </c>
      <c r="G5114" s="424">
        <v>500</v>
      </c>
      <c r="H5114" s="31">
        <f>+IFERROR(VLOOKUP(E5114,BD!$L$2:$Q$244,6,0),0)</f>
        <v>420</v>
      </c>
      <c r="I5114" s="62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7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7">
        <v>751315</v>
      </c>
      <c r="F5115" s="31" t="str">
        <f>IFERROR(VLOOKUP(E5115,BD!$L$2:$Q$244,2,0),0)</f>
        <v>MONSTER ENERGY 473MLX4</v>
      </c>
      <c r="G5115" s="424">
        <v>4200</v>
      </c>
      <c r="H5115" s="31">
        <f>+IFERROR(VLOOKUP(E5115,BD!$L$2:$Q$244,6,0),0)</f>
        <v>420</v>
      </c>
      <c r="I5115" s="62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7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7">
        <v>256652</v>
      </c>
      <c r="F5116" s="31" t="str">
        <f>IFERROR(VLOOKUP(E5116,BD!$L$2:$Q$244,2,0),0)</f>
        <v>TRIPACK FT NAR+FT KI+SP PET 3L</v>
      </c>
      <c r="G5116" s="424">
        <v>720</v>
      </c>
      <c r="H5116" s="31">
        <f>+IFERROR(VLOOKUP(E5116,BD!$L$2:$Q$244,6,0),0)</f>
        <v>90</v>
      </c>
      <c r="I5116" s="62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7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7">
        <v>256680</v>
      </c>
      <c r="F5117" s="31" t="str">
        <f>IFERROR(VLOOKUP(E5117,BD!$L$2:$Q$244,2,0),0)</f>
        <v>TRIPACK CC+CC+IK PFM 3LX3 - RFNN</v>
      </c>
      <c r="G5117" s="424">
        <v>720</v>
      </c>
      <c r="H5117" s="31">
        <f>+IFERROR(VLOOKUP(E5117,BD!$L$2:$Q$244,6,0),0)</f>
        <v>90</v>
      </c>
      <c r="I5117" s="62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7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7">
        <v>256679</v>
      </c>
      <c r="F5118" s="31" t="str">
        <f>IFERROR(VLOOKUP(E5118,BD!$L$2:$Q$244,2,0),0)</f>
        <v>TRIPACK CC+IK+IK PFM 3LX3 - RFNN</v>
      </c>
      <c r="G5118" s="424">
        <v>1440</v>
      </c>
      <c r="H5118" s="31">
        <f>+IFERROR(VLOOKUP(E5118,BD!$L$2:$Q$244,6,0),0)</f>
        <v>90</v>
      </c>
      <c r="I5118" s="62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7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7">
        <v>256695</v>
      </c>
      <c r="F5119" s="31" t="str">
        <f>IFERROR(VLOOKUP(E5119,BD!$L$2:$Q$244,2,0),0)</f>
        <v>POWERADE 3MORA+3FRUT PET 473MLX6</v>
      </c>
      <c r="G5119" s="424">
        <v>2250</v>
      </c>
      <c r="H5119" s="31">
        <f>+IFERROR(VLOOKUP(E5119,BD!$L$2:$Q$244,6,0),0)</f>
        <v>225</v>
      </c>
      <c r="I5119" s="62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7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7">
        <v>256709</v>
      </c>
      <c r="F5120" s="31" t="str">
        <f>IFERROR(VLOOKUP(E5120,BD!$L$2:$Q$244,2,0),0)</f>
        <v>POWERADE ION4 MORA AZ PET473X6 MOD(STCK)</v>
      </c>
      <c r="G5120" s="424">
        <v>225</v>
      </c>
      <c r="H5120" s="31">
        <f>+IFERROR(VLOOKUP(E5120,BD!$L$2:$Q$244,6,0),0)</f>
        <v>225</v>
      </c>
      <c r="I5120" s="62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7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7">
        <v>256379</v>
      </c>
      <c r="F5121" s="31" t="str">
        <f>IFERROR(VLOOKUP(E5121,BD!$L$2:$Q$244,2,0),0)</f>
        <v>INCA KOLA VR 625MLX12 - STICKER</v>
      </c>
      <c r="G5121" s="424">
        <v>100</v>
      </c>
      <c r="H5121" s="31">
        <f>+IFERROR(VLOOKUP(E5121,BD!$L$2:$Q$244,6,0),0)</f>
        <v>50</v>
      </c>
      <c r="I5121" s="62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7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7">
        <v>252436</v>
      </c>
      <c r="F5122" s="31" t="str">
        <f>IFERROR(VLOOKUP(E5122,BD!$L$2:$Q$244,2,0),0)</f>
        <v>SAN LUIS SIN GAS PET 625MLX15 C/STICKER</v>
      </c>
      <c r="G5122" s="424">
        <v>1350</v>
      </c>
      <c r="H5122" s="31">
        <f>+IFERROR(VLOOKUP(E5122,BD!$L$2:$Q$244,6,0),0)</f>
        <v>90</v>
      </c>
      <c r="I5122" s="62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7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7">
        <v>251429</v>
      </c>
      <c r="F5123" s="31" t="str">
        <f>IFERROR(VLOOKUP(E5123,BD!$L$2:$Q$244,2,0),0)</f>
        <v>SAN LUIS SIN GAS PET2500X6 STICKER</v>
      </c>
      <c r="G5123" s="424">
        <v>960</v>
      </c>
      <c r="H5123" s="31">
        <f>+IFERROR(VLOOKUP(E5123,BD!$L$2:$Q$244,6,0),0)</f>
        <v>48</v>
      </c>
      <c r="I5123" s="62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7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7">
        <v>251406</v>
      </c>
      <c r="F5124" s="31" t="str">
        <f>IFERROR(VLOOKUP(E5124,BD!$L$2:$Q$244,2,0),0)</f>
        <v>COCA-COLA SIN AZUCAR PET 1.5LX2</v>
      </c>
      <c r="G5124" s="424">
        <v>2160</v>
      </c>
      <c r="H5124" s="31">
        <f>+IFERROR(VLOOKUP(E5124,BD!$L$2:$Q$244,6,0),0)</f>
        <v>198</v>
      </c>
      <c r="I5124" s="62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7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7">
        <v>254853</v>
      </c>
      <c r="F5125" s="31" t="str">
        <f>IFERROR(VLOOKUP(E5125,BD!$L$2:$Q$244,2,0),0)</f>
        <v>INCA KOLA SIN AZUCAR PET 1.5LX2</v>
      </c>
      <c r="G5125" s="424">
        <v>1512</v>
      </c>
      <c r="H5125" s="31">
        <f>+IFERROR(VLOOKUP(E5125,BD!$L$2:$Q$244,6,0),0)</f>
        <v>198</v>
      </c>
      <c r="I5125" s="62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7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7">
        <v>256548</v>
      </c>
      <c r="F5126" s="31" t="str">
        <f>IFERROR(VLOOKUP(E5126,BD!$L$2:$Q$244,2,0),0)</f>
        <v>TWO PACK CC PET 1.5LX2 - CRC</v>
      </c>
      <c r="G5126" s="424">
        <v>432</v>
      </c>
      <c r="H5126" s="31">
        <f>+IFERROR(VLOOKUP(E5126,BD!$L$2:$Q$244,6,0),0)</f>
        <v>198</v>
      </c>
      <c r="I5126" s="62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7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7">
        <v>256616</v>
      </c>
      <c r="F5127" s="31" t="str">
        <f>IFERROR(VLOOKUP(E5127,BD!$L$2:$Q$244,2,0),0)</f>
        <v>TWO PACK SCHWEPPES CITRUS PET 1.5LX2</v>
      </c>
      <c r="G5127" s="424">
        <v>792</v>
      </c>
      <c r="H5127" s="31">
        <f>+IFERROR(VLOOKUP(E5127,BD!$L$2:$Q$244,6,0),0)</f>
        <v>198</v>
      </c>
      <c r="I5127" s="62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7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7">
        <v>256617</v>
      </c>
      <c r="F5128" s="31" t="str">
        <f>IFERROR(VLOOKUP(E5128,BD!$L$2:$Q$244,2,0),0)</f>
        <v>TWO PACK SCHWEPPES GINGER ALE PET 1.5LX2</v>
      </c>
      <c r="G5128" s="424">
        <v>990</v>
      </c>
      <c r="H5128" s="31">
        <f>+IFERROR(VLOOKUP(E5128,BD!$L$2:$Q$244,6,0),0)</f>
        <v>198</v>
      </c>
      <c r="I5128" s="62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7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7">
        <v>256666</v>
      </c>
      <c r="F5129" s="31" t="str">
        <f>IFERROR(VLOOKUP(E5129,BD!$L$2:$Q$244,2,0),0)</f>
        <v>COCA-COLA PET 2.25LX2 RF</v>
      </c>
      <c r="G5129" s="424">
        <v>1134</v>
      </c>
      <c r="H5129" s="31">
        <f>+IFERROR(VLOOKUP(E5129,BD!$L$2:$Q$244,6,0),0)</f>
        <v>162</v>
      </c>
      <c r="I5129" s="62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7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7">
        <v>256601</v>
      </c>
      <c r="F5130" s="31" t="str">
        <f>IFERROR(VLOOKUP(E5130,BD!$L$2:$Q$244,2,0),0)</f>
        <v>INCA KOLA PET 2.25LX2 RF</v>
      </c>
      <c r="G5130" s="424">
        <v>972</v>
      </c>
      <c r="H5130" s="31">
        <f>+IFERROR(VLOOKUP(E5130,BD!$L$2:$Q$244,6,0),0)</f>
        <v>162</v>
      </c>
      <c r="I5130" s="62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7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7">
        <v>256676</v>
      </c>
      <c r="F5131" s="31" t="str">
        <f>IFERROR(VLOOKUP(E5131,BD!$L$2:$Q$244,2,0),0)</f>
        <v>TWO PACK CC PFM 3LX2 - RFCC</v>
      </c>
      <c r="G5131" s="424">
        <v>3000</v>
      </c>
      <c r="H5131" s="31">
        <f>+IFERROR(VLOOKUP(E5131,BD!$L$2:$Q$244,6,0),0)</f>
        <v>120</v>
      </c>
      <c r="I5131" s="62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7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7">
        <v>256674</v>
      </c>
      <c r="F5132" s="31" t="str">
        <f>IFERROR(VLOOKUP(E5132,BD!$L$2:$Q$244,2,0),0)</f>
        <v>COCA-COLA PET 1.5LX2 RF</v>
      </c>
      <c r="G5132" s="424">
        <v>1080</v>
      </c>
      <c r="H5132" s="31">
        <f>+IFERROR(VLOOKUP(E5132,BD!$L$2:$Q$244,6,0),0)</f>
        <v>198</v>
      </c>
      <c r="I5132" s="62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7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7">
        <v>256675</v>
      </c>
      <c r="F5133" s="31" t="str">
        <f>IFERROR(VLOOKUP(E5133,BD!$L$2:$Q$244,2,0),0)</f>
        <v>INCA KOLA PET 1.5LX2 RF</v>
      </c>
      <c r="G5133" s="424">
        <v>1080</v>
      </c>
      <c r="H5133" s="31">
        <f>+IFERROR(VLOOKUP(E5133,BD!$L$2:$Q$244,6,0),0)</f>
        <v>198</v>
      </c>
      <c r="I5133" s="62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7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7">
        <v>256652</v>
      </c>
      <c r="F5134" s="31" t="str">
        <f>IFERROR(VLOOKUP(E5134,BD!$L$2:$Q$244,2,0),0)</f>
        <v>TRIPACK FT NAR+FT KI+SP PET 3L</v>
      </c>
      <c r="G5134" s="424">
        <v>900</v>
      </c>
      <c r="H5134" s="31">
        <f>+IFERROR(VLOOKUP(E5134,BD!$L$2:$Q$244,6,0),0)</f>
        <v>90</v>
      </c>
      <c r="I5134" s="62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7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7">
        <v>256680</v>
      </c>
      <c r="F5135" s="31" t="str">
        <f>IFERROR(VLOOKUP(E5135,BD!$L$2:$Q$244,2,0),0)</f>
        <v>TRIPACK CC+CC+IK PFM 3LX3 - RFNN</v>
      </c>
      <c r="G5135" s="424">
        <v>900</v>
      </c>
      <c r="H5135" s="31">
        <f>+IFERROR(VLOOKUP(E5135,BD!$L$2:$Q$244,6,0),0)</f>
        <v>90</v>
      </c>
      <c r="I5135" s="62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7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7">
        <v>256679</v>
      </c>
      <c r="F5136" s="31" t="str">
        <f>IFERROR(VLOOKUP(E5136,BD!$L$2:$Q$244,2,0),0)</f>
        <v>TRIPACK CC+IK+IK PFM 3LX3 - RFNN</v>
      </c>
      <c r="G5136" s="424">
        <v>1170</v>
      </c>
      <c r="H5136" s="31">
        <f>+IFERROR(VLOOKUP(E5136,BD!$L$2:$Q$244,6,0),0)</f>
        <v>90</v>
      </c>
      <c r="I5136" s="62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7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7">
        <v>256678</v>
      </c>
      <c r="F5137" s="31" t="str">
        <f>IFERROR(VLOOKUP(E5137,BD!$L$2:$Q$244,2,0),0)</f>
        <v>TRIPACK (CC+IK)PFM+FT PET 3LX3 - RFNN</v>
      </c>
      <c r="G5137" s="424">
        <v>2340</v>
      </c>
      <c r="H5137" s="31">
        <f>+IFERROR(VLOOKUP(E5137,BD!$L$2:$Q$244,6,0),0)</f>
        <v>90</v>
      </c>
      <c r="I5137" s="62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7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7">
        <v>256682</v>
      </c>
      <c r="F5138" s="31" t="str">
        <f>IFERROR(VLOOKUP(E5138,BD!$L$2:$Q$244,2,0),0)</f>
        <v>TRIPACK (FT NAR+SP)PET+IK RF PFM 3L</v>
      </c>
      <c r="G5138" s="424">
        <v>450</v>
      </c>
      <c r="H5138" s="31">
        <f>+IFERROR(VLOOKUP(E5138,BD!$L$2:$Q$244,6,0),0)</f>
        <v>90</v>
      </c>
      <c r="I5138" s="62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7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7">
        <v>256695</v>
      </c>
      <c r="F5139" s="31" t="str">
        <f>IFERROR(VLOOKUP(E5139,BD!$L$2:$Q$244,2,0),0)</f>
        <v>POWERADE 3MORA+3FRUT PET 473MLX6</v>
      </c>
      <c r="G5139" s="424">
        <v>2250</v>
      </c>
      <c r="H5139" s="31">
        <f>+IFERROR(VLOOKUP(E5139,BD!$L$2:$Q$244,6,0),0)</f>
        <v>225</v>
      </c>
      <c r="I5139" s="62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7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7">
        <v>256708</v>
      </c>
      <c r="F5140" s="31" t="str">
        <f>IFERROR(VLOOKUP(E5140,BD!$L$2:$Q$244,2,0),0)</f>
        <v>POWERADE ION4 FRUTA PET473X6 MOD (STICK)</v>
      </c>
      <c r="G5140" s="424">
        <v>450</v>
      </c>
      <c r="H5140" s="31">
        <f>+IFERROR(VLOOKUP(E5140,BD!$L$2:$Q$244,6,0),0)</f>
        <v>225</v>
      </c>
      <c r="I5140" s="62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7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7" t="s">
        <v>265</v>
      </c>
      <c r="F5141" s="31" t="str">
        <f>IFERROR(VLOOKUP(E5141,BD!$L$2:$Q$244,2,0),0)</f>
        <v>1FTP + 1FTN + 1CC + 1IK PACK x 3000ML PUC</v>
      </c>
      <c r="G5141" s="424">
        <v>480</v>
      </c>
      <c r="H5141" s="31">
        <f>+IFERROR(VLOOKUP(E5141,BD!$L$2:$Q$244,6,0),0)</f>
        <v>60</v>
      </c>
      <c r="I5141" s="62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7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7">
        <v>256682</v>
      </c>
      <c r="F5142" s="31" t="str">
        <f>IFERROR(VLOOKUP(E5142,BD!$L$2:$Q$244,2,0),0)</f>
        <v>TRIPACK (FT NAR+SP)PET+IK RF PFM 3L</v>
      </c>
      <c r="G5142" s="424">
        <v>180</v>
      </c>
      <c r="H5142" s="31">
        <f>+IFERROR(VLOOKUP(E5142,BD!$L$2:$Q$244,6,0),0)</f>
        <v>90</v>
      </c>
      <c r="I5142" s="62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7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7">
        <v>256695</v>
      </c>
      <c r="F5143" s="31" t="str">
        <f>IFERROR(VLOOKUP(E5143,BD!$L$2:$Q$244,2,0),0)</f>
        <v>POWERADE 3MORA+3FRUT PET 473MLX6</v>
      </c>
      <c r="G5143" s="424">
        <v>1350</v>
      </c>
      <c r="H5143" s="31">
        <f>+IFERROR(VLOOKUP(E5143,BD!$L$2:$Q$244,6,0),0)</f>
        <v>225</v>
      </c>
      <c r="I5143" s="62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7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7" t="s">
        <v>265</v>
      </c>
      <c r="F5144" s="31" t="str">
        <f>IFERROR(VLOOKUP(E5144,BD!$L$2:$Q$244,2,0),0)</f>
        <v>1FTP + 1FTN + 1CC + 1IK PACK x 3000ML PUC</v>
      </c>
      <c r="G5144" s="424">
        <v>660</v>
      </c>
      <c r="H5144" s="31">
        <f>+IFERROR(VLOOKUP(E5144,BD!$L$2:$Q$244,6,0),0)</f>
        <v>60</v>
      </c>
      <c r="I5144" s="62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7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7">
        <v>256617</v>
      </c>
      <c r="F5145" s="31" t="str">
        <f>IFERROR(VLOOKUP(E5145,BD!$L$2:$Q$244,2,0),0)</f>
        <v>TWO PACK SCHWEPPES GINGER ALE PET 1.5LX2</v>
      </c>
      <c r="G5145" s="424">
        <v>594</v>
      </c>
      <c r="H5145" s="31">
        <f>+IFERROR(VLOOKUP(E5145,BD!$L$2:$Q$244,6,0),0)</f>
        <v>198</v>
      </c>
      <c r="I5145" s="62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7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7">
        <v>256383</v>
      </c>
      <c r="F5146" s="31" t="str">
        <f>IFERROR(VLOOKUP(E5146,BD!$L$2:$Q$244,2,0),0)</f>
        <v>COCA COLA VR 1.5LX8 - STICKER</v>
      </c>
      <c r="G5146" s="424">
        <v>180</v>
      </c>
      <c r="H5146" s="31">
        <f>+IFERROR(VLOOKUP(E5146,BD!$L$2:$Q$244,6,0),0)</f>
        <v>30</v>
      </c>
      <c r="I5146" s="62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7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7">
        <v>256382</v>
      </c>
      <c r="F5147" s="31" t="str">
        <f>IFERROR(VLOOKUP(E5147,BD!$L$2:$Q$244,2,0),0)</f>
        <v>COCA COLA VR 296MLX24 - STICKER</v>
      </c>
      <c r="G5147" s="424">
        <v>120</v>
      </c>
      <c r="H5147" s="31">
        <f>+IFERROR(VLOOKUP(E5147,BD!$L$2:$Q$244,6,0),0)</f>
        <v>40</v>
      </c>
      <c r="I5147" s="62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7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7">
        <v>256381</v>
      </c>
      <c r="F5148" s="31" t="str">
        <f>IFERROR(VLOOKUP(E5148,BD!$L$2:$Q$244,2,0),0)</f>
        <v>INCA KOLA VR 1.5LX8 - STICKER</v>
      </c>
      <c r="G5148" s="424">
        <v>210</v>
      </c>
      <c r="H5148" s="31">
        <f>+IFERROR(VLOOKUP(E5148,BD!$L$2:$Q$244,6,0),0)</f>
        <v>30</v>
      </c>
      <c r="I5148" s="62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7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7">
        <v>256380</v>
      </c>
      <c r="F5149" s="31" t="str">
        <f>IFERROR(VLOOKUP(E5149,BD!$L$2:$Q$244,2,0),0)</f>
        <v>INCA KOLA VR 296MLX24 - STICKER</v>
      </c>
      <c r="G5149" s="424">
        <v>120</v>
      </c>
      <c r="H5149" s="31">
        <f>+IFERROR(VLOOKUP(E5149,BD!$L$2:$Q$244,6,0),0)</f>
        <v>40</v>
      </c>
      <c r="I5149" s="62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7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7">
        <v>256379</v>
      </c>
      <c r="F5150" s="31" t="str">
        <f>IFERROR(VLOOKUP(E5150,BD!$L$2:$Q$244,2,0),0)</f>
        <v>INCA KOLA VR 625MLX12 - STICKER</v>
      </c>
      <c r="G5150" s="424">
        <v>250</v>
      </c>
      <c r="H5150" s="31">
        <f>+IFERROR(VLOOKUP(E5150,BD!$L$2:$Q$244,6,0),0)</f>
        <v>50</v>
      </c>
      <c r="I5150" s="62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7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7">
        <v>251429</v>
      </c>
      <c r="F5151" s="31" t="str">
        <f>IFERROR(VLOOKUP(E5151,BD!$L$2:$Q$244,2,0),0)</f>
        <v>SAN LUIS SIN GAS PET2500X6 STICKER</v>
      </c>
      <c r="G5151" s="424">
        <v>480</v>
      </c>
      <c r="H5151" s="31">
        <f>+IFERROR(VLOOKUP(E5151,BD!$L$2:$Q$244,6,0),0)</f>
        <v>48</v>
      </c>
      <c r="I5151" s="62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7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7">
        <v>751315</v>
      </c>
      <c r="F5152" s="31" t="str">
        <f>IFERROR(VLOOKUP(E5152,BD!$L$2:$Q$244,2,0),0)</f>
        <v>MONSTER ENERGY 473MLX4</v>
      </c>
      <c r="G5152" s="424">
        <v>4200</v>
      </c>
      <c r="H5152" s="31">
        <f>+IFERROR(VLOOKUP(E5152,BD!$L$2:$Q$244,6,0),0)</f>
        <v>420</v>
      </c>
      <c r="I5152" s="62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7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7">
        <v>751468</v>
      </c>
      <c r="F5153" s="31" t="str">
        <f>IFERROR(VLOOKUP(E5153,BD!$L$2:$Q$244,2,0),0)</f>
        <v>MONSTER ENERGY ULTRA 473MLX4</v>
      </c>
      <c r="G5153" s="424">
        <v>840</v>
      </c>
      <c r="H5153" s="31">
        <f>+IFERROR(VLOOKUP(E5153,BD!$L$2:$Q$244,6,0),0)</f>
        <v>420</v>
      </c>
      <c r="I5153" s="62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7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7">
        <v>251406</v>
      </c>
      <c r="F5154" s="31" t="str">
        <f>IFERROR(VLOOKUP(E5154,BD!$L$2:$Q$244,2,0),0)</f>
        <v>COCA-COLA SIN AZUCAR PET 1.5LX2</v>
      </c>
      <c r="G5154" s="424">
        <v>2160</v>
      </c>
      <c r="H5154" s="31">
        <f>+IFERROR(VLOOKUP(E5154,BD!$L$2:$Q$244,6,0),0)</f>
        <v>198</v>
      </c>
      <c r="I5154" s="62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7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7">
        <v>254853</v>
      </c>
      <c r="F5155" s="31" t="str">
        <f>IFERROR(VLOOKUP(E5155,BD!$L$2:$Q$244,2,0),0)</f>
        <v>INCA KOLA SIN AZUCAR PET 1.5LX2</v>
      </c>
      <c r="G5155" s="424">
        <v>1728</v>
      </c>
      <c r="H5155" s="31">
        <f>+IFERROR(VLOOKUP(E5155,BD!$L$2:$Q$244,6,0),0)</f>
        <v>198</v>
      </c>
      <c r="I5155" s="62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7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7">
        <v>256616</v>
      </c>
      <c r="F5156" s="31" t="str">
        <f>IFERROR(VLOOKUP(E5156,BD!$L$2:$Q$244,2,0),0)</f>
        <v>TWO PACK SCHWEPPES CITRUS PET 1.5LX2</v>
      </c>
      <c r="G5156" s="424">
        <v>198</v>
      </c>
      <c r="H5156" s="31">
        <f>+IFERROR(VLOOKUP(E5156,BD!$L$2:$Q$244,6,0),0)</f>
        <v>198</v>
      </c>
      <c r="I5156" s="62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7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7">
        <v>256674</v>
      </c>
      <c r="F5157" s="31" t="str">
        <f>IFERROR(VLOOKUP(E5157,BD!$L$2:$Q$244,2,0),0)</f>
        <v>COCA-COLA PET 1.5LX2 RF</v>
      </c>
      <c r="G5157" s="424">
        <v>216</v>
      </c>
      <c r="H5157" s="31">
        <f>+IFERROR(VLOOKUP(E5157,BD!$L$2:$Q$244,6,0),0)</f>
        <v>198</v>
      </c>
      <c r="I5157" s="62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7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7">
        <v>256652</v>
      </c>
      <c r="F5158" s="31" t="str">
        <f>IFERROR(VLOOKUP(E5158,BD!$L$2:$Q$244,2,0),0)</f>
        <v>TRIPACK FT NAR+FT KI+SP PET 3L</v>
      </c>
      <c r="G5158" s="424">
        <v>720</v>
      </c>
      <c r="H5158" s="31">
        <f>+IFERROR(VLOOKUP(E5158,BD!$L$2:$Q$244,6,0),0)</f>
        <v>90</v>
      </c>
      <c r="I5158" s="62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7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7">
        <v>256680</v>
      </c>
      <c r="F5159" s="31" t="str">
        <f>IFERROR(VLOOKUP(E5159,BD!$L$2:$Q$244,2,0),0)</f>
        <v>TRIPACK CC+CC+IK PFM 3LX3 - RFNN</v>
      </c>
      <c r="G5159" s="424">
        <v>450</v>
      </c>
      <c r="H5159" s="31">
        <f>+IFERROR(VLOOKUP(E5159,BD!$L$2:$Q$244,6,0),0)</f>
        <v>90</v>
      </c>
      <c r="I5159" s="62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7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7">
        <v>256679</v>
      </c>
      <c r="F5160" s="31" t="str">
        <f>IFERROR(VLOOKUP(E5160,BD!$L$2:$Q$244,2,0),0)</f>
        <v>TRIPACK CC+IK+IK PFM 3LX3 - RFNN</v>
      </c>
      <c r="G5160" s="424">
        <v>450</v>
      </c>
      <c r="H5160" s="31">
        <f>+IFERROR(VLOOKUP(E5160,BD!$L$2:$Q$244,6,0),0)</f>
        <v>90</v>
      </c>
      <c r="I5160" s="62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7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7">
        <v>256737</v>
      </c>
      <c r="F5161" s="31" t="str">
        <f>IFERROR(VLOOKUP(E5161,BD!$L$2:$Q$244,2,0),0)</f>
        <v>INCA KOLA SA ALUMINIO-3 DISEÑOS 330MLX12</v>
      </c>
      <c r="G5161" s="424">
        <v>500</v>
      </c>
      <c r="H5161" s="31">
        <f>+IFERROR(VLOOKUP(E5161,BD!$L$2:$Q$244,6,0),0)</f>
        <v>420</v>
      </c>
      <c r="I5161" s="62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7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7">
        <v>254762</v>
      </c>
      <c r="F5162" s="31" t="str">
        <f>IFERROR(VLOOKUP(E5162,BD!$L$2:$Q$244,2,0),0)</f>
        <v xml:space="preserve">SAN LUIS SPORT S/G 10 Lt x6 </v>
      </c>
      <c r="G5162" s="425">
        <v>448</v>
      </c>
      <c r="H5162" s="31">
        <f>+IFERROR(VLOOKUP(E5162,BD!$L$2:$Q$244,6,0),0)</f>
        <v>240</v>
      </c>
      <c r="I5162" s="62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7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7">
        <v>256685</v>
      </c>
      <c r="F5163" s="31" t="str">
        <f>IFERROR(VLOOKUP(E5163,BD!$L$2:$Q$244,2,0),0)</f>
        <v>SL S/G TAPA PLANA 1LT</v>
      </c>
      <c r="G5163" s="424">
        <v>448</v>
      </c>
      <c r="H5163" s="31">
        <f>+IFERROR(VLOOKUP(E5163,BD!$L$2:$Q$244,6,0),0)</f>
        <v>112</v>
      </c>
      <c r="I5163" s="62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7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7">
        <v>251429</v>
      </c>
      <c r="F5164" s="31" t="str">
        <f>IFERROR(VLOOKUP(E5164,BD!$L$2:$Q$244,2,0),0)</f>
        <v>SAN LUIS SIN GAS PET2500X6 STICKER</v>
      </c>
      <c r="G5164" s="424">
        <v>480</v>
      </c>
      <c r="H5164" s="31">
        <f>+IFERROR(VLOOKUP(E5164,BD!$L$2:$Q$244,6,0),0)</f>
        <v>48</v>
      </c>
      <c r="I5164" s="62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7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7">
        <v>256666</v>
      </c>
      <c r="F5165" s="31" t="str">
        <f>IFERROR(VLOOKUP(E5165,BD!$L$2:$Q$244,2,0),0)</f>
        <v>COCA-COLA PET 2.25LX2 RF</v>
      </c>
      <c r="G5165" s="424">
        <v>810</v>
      </c>
      <c r="H5165" s="31">
        <f>+IFERROR(VLOOKUP(E5165,BD!$L$2:$Q$244,6,0),0)</f>
        <v>162</v>
      </c>
      <c r="I5165" s="62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7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7">
        <v>256601</v>
      </c>
      <c r="F5166" s="31" t="str">
        <f>IFERROR(VLOOKUP(E5166,BD!$L$2:$Q$244,2,0),0)</f>
        <v>INCA KOLA PET 2.25LX2 RF</v>
      </c>
      <c r="G5166" s="424">
        <v>486</v>
      </c>
      <c r="H5166" s="31">
        <f>+IFERROR(VLOOKUP(E5166,BD!$L$2:$Q$244,6,0),0)</f>
        <v>162</v>
      </c>
      <c r="I5166" s="62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7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7">
        <v>256488</v>
      </c>
      <c r="F5167" s="31" t="str">
        <f>IFERROR(VLOOKUP(E5167,BD!$L$2:$Q$244,2,0),0)</f>
        <v>INCA KOLA PET 3LX2 - RF</v>
      </c>
      <c r="G5167" s="424">
        <v>2640</v>
      </c>
      <c r="H5167" s="31">
        <f>+IFERROR(VLOOKUP(E5167,BD!$L$2:$Q$244,6,0),0)</f>
        <v>120</v>
      </c>
      <c r="I5167" s="62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7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7">
        <v>256678</v>
      </c>
      <c r="F5168" s="31" t="str">
        <f>IFERROR(VLOOKUP(E5168,BD!$L$2:$Q$244,2,0),0)</f>
        <v>TRIPACK (CC+IK)PFM+FT PET 3LX3 - RFNN</v>
      </c>
      <c r="G5168" s="424">
        <v>2160</v>
      </c>
      <c r="H5168" s="31">
        <f>+IFERROR(VLOOKUP(E5168,BD!$L$2:$Q$244,6,0),0)</f>
        <v>90</v>
      </c>
      <c r="I5168" s="62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7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7">
        <v>256695</v>
      </c>
      <c r="F5169" s="31" t="str">
        <f>IFERROR(VLOOKUP(E5169,BD!$L$2:$Q$244,2,0),0)</f>
        <v>POWERADE 3MORA+3FRUT PET 473MLX6</v>
      </c>
      <c r="G5169" s="424">
        <v>1350</v>
      </c>
      <c r="H5169" s="31">
        <f>+IFERROR(VLOOKUP(E5169,BD!$L$2:$Q$244,6,0),0)</f>
        <v>225</v>
      </c>
      <c r="I5169" s="62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7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7">
        <v>256382</v>
      </c>
      <c r="F5170" s="31" t="str">
        <f>IFERROR(VLOOKUP(E5170,BD!$L$2:$Q$244,2,0),0)</f>
        <v>COCA COLA VR 296MLX24 - STICKER</v>
      </c>
      <c r="G5170" s="424">
        <v>80</v>
      </c>
      <c r="H5170" s="31">
        <f>+IFERROR(VLOOKUP(E5170,BD!$L$2:$Q$244,6,0),0)</f>
        <v>40</v>
      </c>
      <c r="I5170" s="62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7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7">
        <v>256379</v>
      </c>
      <c r="F5171" s="31" t="str">
        <f>IFERROR(VLOOKUP(E5171,BD!$L$2:$Q$244,2,0),0)</f>
        <v>INCA KOLA VR 625MLX12 - STICKER</v>
      </c>
      <c r="G5171" s="424">
        <v>250</v>
      </c>
      <c r="H5171" s="31">
        <f>+IFERROR(VLOOKUP(E5171,BD!$L$2:$Q$244,6,0),0)</f>
        <v>50</v>
      </c>
      <c r="I5171" s="62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7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7">
        <v>256617</v>
      </c>
      <c r="F5172" s="31" t="str">
        <f>IFERROR(VLOOKUP(E5172,BD!$L$2:$Q$244,2,0),0)</f>
        <v>TWO PACK SCHWEPPES GINGER ALE PET 1.5LX2</v>
      </c>
      <c r="G5172" s="424">
        <v>396</v>
      </c>
      <c r="H5172" s="31">
        <f>+IFERROR(VLOOKUP(E5172,BD!$L$2:$Q$244,6,0),0)</f>
        <v>198</v>
      </c>
      <c r="I5172" s="62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7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7">
        <v>256488</v>
      </c>
      <c r="F5173" s="31" t="str">
        <f>IFERROR(VLOOKUP(E5173,BD!$L$2:$Q$244,2,0),0)</f>
        <v>INCA KOLA PET 3LX2 - RF</v>
      </c>
      <c r="G5173" s="424">
        <v>480</v>
      </c>
      <c r="H5173" s="31">
        <f>+IFERROR(VLOOKUP(E5173,BD!$L$2:$Q$244,6,0),0)</f>
        <v>120</v>
      </c>
      <c r="I5173" s="62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7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7">
        <v>256675</v>
      </c>
      <c r="F5174" s="31" t="str">
        <f>IFERROR(VLOOKUP(E5174,BD!$L$2:$Q$244,2,0),0)</f>
        <v>INCA KOLA PET 1.5LX2 RF</v>
      </c>
      <c r="G5174" s="424">
        <v>1080</v>
      </c>
      <c r="H5174" s="31">
        <f>+IFERROR(VLOOKUP(E5174,BD!$L$2:$Q$244,6,0),0)</f>
        <v>198</v>
      </c>
      <c r="I5174" s="62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7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7">
        <v>256677</v>
      </c>
      <c r="F5175" s="31" t="str">
        <f>IFERROR(VLOOKUP(E5175,BD!$L$2:$Q$244,2,0),0)</f>
        <v>TWO PACK CC + IK PFM 3LX2 - RFNN</v>
      </c>
      <c r="G5175" s="424">
        <v>7200</v>
      </c>
      <c r="H5175" s="31">
        <f>+IFERROR(VLOOKUP(E5175,BD!$L$2:$Q$244,6,0),0)</f>
        <v>120</v>
      </c>
      <c r="I5175" s="62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7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7">
        <v>256680</v>
      </c>
      <c r="F5176" s="31" t="str">
        <f>IFERROR(VLOOKUP(E5176,BD!$L$2:$Q$244,2,0),0)</f>
        <v>TRIPACK CC+CC+IK PFM 3LX3 - RFNN</v>
      </c>
      <c r="G5176" s="424">
        <v>450</v>
      </c>
      <c r="H5176" s="31">
        <f>+IFERROR(VLOOKUP(E5176,BD!$L$2:$Q$244,6,0),0)</f>
        <v>90</v>
      </c>
      <c r="I5176" s="62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7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7">
        <v>256679</v>
      </c>
      <c r="F5177" s="31" t="str">
        <f>IFERROR(VLOOKUP(E5177,BD!$L$2:$Q$244,2,0),0)</f>
        <v>TRIPACK CC+IK+IK PFM 3LX3 - RFNN</v>
      </c>
      <c r="G5177" s="424">
        <v>900</v>
      </c>
      <c r="H5177" s="31">
        <f>+IFERROR(VLOOKUP(E5177,BD!$L$2:$Q$244,6,0),0)</f>
        <v>90</v>
      </c>
      <c r="I5177" s="62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7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7">
        <v>256678</v>
      </c>
      <c r="F5178" s="31" t="str">
        <f>IFERROR(VLOOKUP(E5178,BD!$L$2:$Q$244,2,0),0)</f>
        <v>TRIPACK (CC+IK)PFM+FT PET 3LX3 - RFNN</v>
      </c>
      <c r="G5178" s="424">
        <v>3960</v>
      </c>
      <c r="H5178" s="31">
        <f>+IFERROR(VLOOKUP(E5178,BD!$L$2:$Q$244,6,0),0)</f>
        <v>90</v>
      </c>
      <c r="I5178" s="62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7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7">
        <v>256682</v>
      </c>
      <c r="F5179" s="31" t="str">
        <f>IFERROR(VLOOKUP(E5179,BD!$L$2:$Q$244,2,0),0)</f>
        <v>TRIPACK (FT NAR+SP)PET+IK RF PFM 3L</v>
      </c>
      <c r="G5179" s="424">
        <v>450</v>
      </c>
      <c r="H5179" s="31">
        <f>+IFERROR(VLOOKUP(E5179,BD!$L$2:$Q$244,6,0),0)</f>
        <v>90</v>
      </c>
      <c r="I5179" s="62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7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7">
        <v>256753</v>
      </c>
      <c r="F5180" s="31" t="str">
        <f>IFERROR(VLOOKUP(E5180,BD!$L$2:$Q$244,2,0),0)</f>
        <v>PACK-2 FT NAR+FT KI+FT PIÑA+SP RP 1.5LX8</v>
      </c>
      <c r="G5180" s="424">
        <v>120</v>
      </c>
      <c r="H5180" s="31">
        <f>+IFERROR(VLOOKUP(E5180,BD!$L$2:$Q$244,6,0),0)</f>
        <v>30</v>
      </c>
      <c r="I5180" s="62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7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7">
        <v>256685</v>
      </c>
      <c r="F5181" s="31" t="str">
        <f>IFERROR(VLOOKUP(E5181,BD!$L$2:$Q$244,2,0),0)</f>
        <v>SL S/G TAPA PLANA 1LT</v>
      </c>
      <c r="G5181" s="424">
        <v>896</v>
      </c>
      <c r="H5181" s="31">
        <f>+IFERROR(VLOOKUP(E5181,BD!$L$2:$Q$244,6,0),0)</f>
        <v>112</v>
      </c>
      <c r="I5181" s="62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7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7">
        <v>251406</v>
      </c>
      <c r="F5182" s="31" t="str">
        <f>IFERROR(VLOOKUP(E5182,BD!$L$2:$Q$244,2,0),0)</f>
        <v>COCA-COLA SIN AZUCAR PET 1.5LX2</v>
      </c>
      <c r="G5182" s="424">
        <v>2160</v>
      </c>
      <c r="H5182" s="31">
        <f>+IFERROR(VLOOKUP(E5182,BD!$L$2:$Q$244,6,0),0)</f>
        <v>198</v>
      </c>
      <c r="I5182" s="62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7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7">
        <v>254853</v>
      </c>
      <c r="F5183" s="31" t="str">
        <f>IFERROR(VLOOKUP(E5183,BD!$L$2:$Q$244,2,0),0)</f>
        <v>INCA KOLA SIN AZUCAR PET 1.5LX2</v>
      </c>
      <c r="G5183" s="424">
        <v>2160</v>
      </c>
      <c r="H5183" s="31">
        <f>+IFERROR(VLOOKUP(E5183,BD!$L$2:$Q$244,6,0),0)</f>
        <v>198</v>
      </c>
      <c r="I5183" s="62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7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7">
        <v>256616</v>
      </c>
      <c r="F5184" s="31" t="str">
        <f>IFERROR(VLOOKUP(E5184,BD!$L$2:$Q$244,2,0),0)</f>
        <v>TWO PACK SCHWEPPES CITRUS PET 1.5LX2</v>
      </c>
      <c r="G5184" s="424">
        <v>792</v>
      </c>
      <c r="H5184" s="31">
        <f>+IFERROR(VLOOKUP(E5184,BD!$L$2:$Q$244,6,0),0)</f>
        <v>198</v>
      </c>
      <c r="I5184" s="62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7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7">
        <v>256488</v>
      </c>
      <c r="F5185" s="31" t="str">
        <f>IFERROR(VLOOKUP(E5185,BD!$L$2:$Q$244,2,0),0)</f>
        <v>INCA KOLA PET 3LX2 - RF</v>
      </c>
      <c r="G5185" s="424">
        <v>5520</v>
      </c>
      <c r="H5185" s="31">
        <f>+IFERROR(VLOOKUP(E5185,BD!$L$2:$Q$244,6,0),0)</f>
        <v>120</v>
      </c>
      <c r="I5185" s="62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7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7">
        <v>256674</v>
      </c>
      <c r="F5186" s="31" t="str">
        <f>IFERROR(VLOOKUP(E5186,BD!$L$2:$Q$244,2,0),0)</f>
        <v>COCA-COLA PET 1.5LX2 RF</v>
      </c>
      <c r="G5186" s="424">
        <v>1080</v>
      </c>
      <c r="H5186" s="31">
        <f>+IFERROR(VLOOKUP(E5186,BD!$L$2:$Q$244,6,0),0)</f>
        <v>198</v>
      </c>
      <c r="I5186" s="62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7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7">
        <v>256677</v>
      </c>
      <c r="F5187" s="31" t="str">
        <f>IFERROR(VLOOKUP(E5187,BD!$L$2:$Q$244,2,0),0)</f>
        <v>TWO PACK CC + IK PFM 3LX2 - RFNN</v>
      </c>
      <c r="G5187" s="424">
        <v>480</v>
      </c>
      <c r="H5187" s="31">
        <f>+IFERROR(VLOOKUP(E5187,BD!$L$2:$Q$244,6,0),0)</f>
        <v>120</v>
      </c>
      <c r="I5187" s="62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7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7">
        <v>256678</v>
      </c>
      <c r="F5188" s="31" t="str">
        <f>IFERROR(VLOOKUP(E5188,BD!$L$2:$Q$244,2,0),0)</f>
        <v>TRIPACK (CC+IK)PFM+FT PET 3LX3 - RFNN</v>
      </c>
      <c r="G5188" s="424">
        <v>540</v>
      </c>
      <c r="H5188" s="31">
        <f>+IFERROR(VLOOKUP(E5188,BD!$L$2:$Q$244,6,0),0)</f>
        <v>90</v>
      </c>
      <c r="I5188" s="62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7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7">
        <v>256695</v>
      </c>
      <c r="F5189" s="31" t="str">
        <f>IFERROR(VLOOKUP(E5189,BD!$L$2:$Q$244,2,0),0)</f>
        <v>POWERADE 3MORA+3FRUT PET 473MLX6</v>
      </c>
      <c r="G5189" s="424">
        <v>1350</v>
      </c>
      <c r="H5189" s="31">
        <f>+IFERROR(VLOOKUP(E5189,BD!$L$2:$Q$244,6,0),0)</f>
        <v>225</v>
      </c>
      <c r="I5189" s="62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7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7">
        <v>256381</v>
      </c>
      <c r="F5190" s="31" t="str">
        <f>IFERROR(VLOOKUP(E5190,BD!$L$2:$Q$244,2,0),0)</f>
        <v>INCA KOLA VR 1.5LX8 - STICKER</v>
      </c>
      <c r="G5190" s="424">
        <v>240</v>
      </c>
      <c r="H5190" s="31">
        <f>+IFERROR(VLOOKUP(E5190,BD!$L$2:$Q$244,6,0),0)</f>
        <v>30</v>
      </c>
      <c r="I5190" s="62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7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7">
        <v>252436</v>
      </c>
      <c r="F5191" s="31" t="str">
        <f>IFERROR(VLOOKUP(E5191,BD!$L$2:$Q$244,2,0),0)</f>
        <v>SAN LUIS SIN GAS PET 625MLX15 C/STICKER</v>
      </c>
      <c r="G5191" s="424">
        <v>270</v>
      </c>
      <c r="H5191" s="31">
        <f>+IFERROR(VLOOKUP(E5191,BD!$L$2:$Q$244,6,0),0)</f>
        <v>90</v>
      </c>
      <c r="I5191" s="62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7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7">
        <v>251429</v>
      </c>
      <c r="F5192" s="31" t="str">
        <f>IFERROR(VLOOKUP(E5192,BD!$L$2:$Q$244,2,0),0)</f>
        <v>SAN LUIS SIN GAS PET2500X6 STICKER</v>
      </c>
      <c r="G5192" s="424">
        <v>336</v>
      </c>
      <c r="H5192" s="31">
        <f>+IFERROR(VLOOKUP(E5192,BD!$L$2:$Q$244,6,0),0)</f>
        <v>48</v>
      </c>
      <c r="I5192" s="62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7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7">
        <v>256677</v>
      </c>
      <c r="F5193" s="31" t="str">
        <f>IFERROR(VLOOKUP(E5193,BD!$L$2:$Q$244,2,0),0)</f>
        <v>TWO PACK CC + IK PFM 3LX2 - RFNN</v>
      </c>
      <c r="G5193" s="424">
        <v>4320</v>
      </c>
      <c r="H5193" s="31">
        <f>+IFERROR(VLOOKUP(E5193,BD!$L$2:$Q$244,6,0),0)</f>
        <v>120</v>
      </c>
      <c r="I5193" s="62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7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7">
        <v>256753</v>
      </c>
      <c r="F5194" s="31" t="str">
        <f>IFERROR(VLOOKUP(E5194,BD!$L$2:$Q$244,2,0),0)</f>
        <v>PACK-2 FT NAR+FT KI+FT PIÑA+SP RP 1.5LX8</v>
      </c>
      <c r="G5194" s="424">
        <v>450</v>
      </c>
      <c r="H5194" s="31">
        <f>+IFERROR(VLOOKUP(E5194,BD!$L$2:$Q$244,6,0),0)</f>
        <v>30</v>
      </c>
      <c r="I5194" s="62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7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7">
        <v>256383</v>
      </c>
      <c r="F5195" s="31" t="str">
        <f>IFERROR(VLOOKUP(E5195,BD!$L$2:$Q$244,2,0),0)</f>
        <v>COCA COLA VR 1.5LX8 - STICKER</v>
      </c>
      <c r="G5195" s="424">
        <v>300</v>
      </c>
      <c r="H5195" s="31">
        <f>+IFERROR(VLOOKUP(E5195,BD!$L$2:$Q$244,6,0),0)</f>
        <v>30</v>
      </c>
      <c r="I5195" s="62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7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7">
        <v>252436</v>
      </c>
      <c r="F5196" s="31" t="str">
        <f>IFERROR(VLOOKUP(E5196,BD!$L$2:$Q$244,2,0),0)</f>
        <v>SAN LUIS SIN GAS PET 625MLX15 C/STICKER</v>
      </c>
      <c r="G5196" s="424">
        <v>810</v>
      </c>
      <c r="H5196" s="31">
        <f>+IFERROR(VLOOKUP(E5196,BD!$L$2:$Q$244,6,0),0)</f>
        <v>90</v>
      </c>
      <c r="I5196" s="62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7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7">
        <v>251429</v>
      </c>
      <c r="F5197" s="31" t="str">
        <f>IFERROR(VLOOKUP(E5197,BD!$L$2:$Q$244,2,0),0)</f>
        <v>SAN LUIS SIN GAS PET2500X6 STICKER</v>
      </c>
      <c r="G5197" s="424">
        <v>1104</v>
      </c>
      <c r="H5197" s="31">
        <f>+IFERROR(VLOOKUP(E5197,BD!$L$2:$Q$244,6,0),0)</f>
        <v>48</v>
      </c>
      <c r="I5197" s="62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7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7">
        <v>256488</v>
      </c>
      <c r="F5198" s="31" t="str">
        <f>IFERROR(VLOOKUP(E5198,BD!$L$2:$Q$244,2,0),0)</f>
        <v>INCA KOLA PET 3LX2 - RF</v>
      </c>
      <c r="G5198" s="424">
        <v>3360</v>
      </c>
      <c r="H5198" s="31">
        <f>+IFERROR(VLOOKUP(E5198,BD!$L$2:$Q$244,6,0),0)</f>
        <v>120</v>
      </c>
      <c r="I5198" s="62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7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7">
        <v>256677</v>
      </c>
      <c r="F5199" s="31" t="str">
        <f>IFERROR(VLOOKUP(E5199,BD!$L$2:$Q$244,2,0),0)</f>
        <v>TWO PACK CC + IK PFM 3LX2 - RFNN</v>
      </c>
      <c r="G5199" s="424">
        <v>7680</v>
      </c>
      <c r="H5199" s="31">
        <f>+IFERROR(VLOOKUP(E5199,BD!$L$2:$Q$244,6,0),0)</f>
        <v>120</v>
      </c>
      <c r="I5199" s="62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7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7">
        <v>256753</v>
      </c>
      <c r="F5200" s="31" t="str">
        <f>IFERROR(VLOOKUP(E5200,BD!$L$2:$Q$244,2,0),0)</f>
        <v>PACK-2 FT NAR+FT KI+FT PIÑA+SP RP 1.5LX8</v>
      </c>
      <c r="G5200" s="424">
        <v>510</v>
      </c>
      <c r="H5200" s="31">
        <f>+IFERROR(VLOOKUP(E5200,BD!$L$2:$Q$244,6,0),0)</f>
        <v>30</v>
      </c>
      <c r="I5200" s="62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7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7">
        <v>256675</v>
      </c>
      <c r="F5201" s="31" t="str">
        <f>IFERROR(VLOOKUP(E5201,BD!$L$2:$Q$244,2,0),0)</f>
        <v>INCA KOLA PET 1.5LX2 RF</v>
      </c>
      <c r="G5201" s="424">
        <v>1080</v>
      </c>
      <c r="H5201" s="31">
        <f>+IFERROR(VLOOKUP(E5201,BD!$L$2:$Q$244,6,0),0)</f>
        <v>198</v>
      </c>
      <c r="I5201" s="62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7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7">
        <v>256677</v>
      </c>
      <c r="F5202" s="31" t="str">
        <f>IFERROR(VLOOKUP(E5202,BD!$L$2:$Q$244,2,0),0)</f>
        <v>TWO PACK CC + IK PFM 3LX2 - RFNN</v>
      </c>
      <c r="G5202" s="424">
        <v>4320</v>
      </c>
      <c r="H5202" s="31">
        <f>+IFERROR(VLOOKUP(E5202,BD!$L$2:$Q$244,6,0),0)</f>
        <v>120</v>
      </c>
      <c r="I5202" s="62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7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7">
        <v>256753</v>
      </c>
      <c r="F5203" s="31" t="str">
        <f>IFERROR(VLOOKUP(E5203,BD!$L$2:$Q$244,2,0),0)</f>
        <v>PACK-2 FT NAR+FT KI+FT PIÑA+SP RP 1.5LX8</v>
      </c>
      <c r="G5203" s="424">
        <v>360</v>
      </c>
      <c r="H5203" s="31">
        <f>+IFERROR(VLOOKUP(E5203,BD!$L$2:$Q$244,6,0),0)</f>
        <v>30</v>
      </c>
      <c r="I5203" s="62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7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7">
        <v>751468</v>
      </c>
      <c r="F5204" s="31" t="str">
        <f>IFERROR(VLOOKUP(E5204,BD!$L$2:$Q$244,2,0),0)</f>
        <v>MONSTER ENERGY ULTRA 473MLX4</v>
      </c>
      <c r="G5204" s="424">
        <v>2100</v>
      </c>
      <c r="H5204" s="31">
        <f>+IFERROR(VLOOKUP(E5204,BD!$L$2:$Q$244,6,0),0)</f>
        <v>420</v>
      </c>
      <c r="I5204" s="62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7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7">
        <v>751544</v>
      </c>
      <c r="F5205" s="31" t="str">
        <f>IFERROR(VLOOKUP(E5205,BD!$L$2:$Q$244,2,0),0)</f>
        <v>MONSTER ENERGY ZERO 473MLX4</v>
      </c>
      <c r="G5205" s="424">
        <v>420</v>
      </c>
      <c r="H5205" s="31">
        <f>+IFERROR(VLOOKUP(E5205,BD!$L$2:$Q$244,6,0),0)</f>
        <v>420</v>
      </c>
      <c r="I5205" s="62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7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7">
        <v>251406</v>
      </c>
      <c r="F5206" s="31" t="str">
        <f>IFERROR(VLOOKUP(E5206,BD!$L$2:$Q$244,2,0),0)</f>
        <v>COCA-COLA SIN AZUCAR PET 1.5LX2</v>
      </c>
      <c r="G5206" s="424">
        <v>3240</v>
      </c>
      <c r="H5206" s="31">
        <f>+IFERROR(VLOOKUP(E5206,BD!$L$2:$Q$244,6,0),0)</f>
        <v>198</v>
      </c>
      <c r="I5206" s="62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7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7">
        <v>254853</v>
      </c>
      <c r="F5207" s="31" t="str">
        <f>IFERROR(VLOOKUP(E5207,BD!$L$2:$Q$244,2,0),0)</f>
        <v>INCA KOLA SIN AZUCAR PET 1.5LX2</v>
      </c>
      <c r="G5207" s="424">
        <v>3024</v>
      </c>
      <c r="H5207" s="31">
        <f>+IFERROR(VLOOKUP(E5207,BD!$L$2:$Q$244,6,0),0)</f>
        <v>198</v>
      </c>
      <c r="I5207" s="62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7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7">
        <v>256616</v>
      </c>
      <c r="F5208" s="31" t="str">
        <f>IFERROR(VLOOKUP(E5208,BD!$L$2:$Q$244,2,0),0)</f>
        <v>TWO PACK SCHWEPPES CITRUS PET 1.5LX2</v>
      </c>
      <c r="G5208" s="424">
        <v>198</v>
      </c>
      <c r="H5208" s="31">
        <f>+IFERROR(VLOOKUP(E5208,BD!$L$2:$Q$244,6,0),0)</f>
        <v>198</v>
      </c>
      <c r="I5208" s="62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7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7">
        <v>256617</v>
      </c>
      <c r="F5209" s="31" t="str">
        <f>IFERROR(VLOOKUP(E5209,BD!$L$2:$Q$244,2,0),0)</f>
        <v>TWO PACK SCHWEPPES GINGER ALE PET 1.5LX2</v>
      </c>
      <c r="G5209" s="424">
        <v>1782</v>
      </c>
      <c r="H5209" s="31">
        <f>+IFERROR(VLOOKUP(E5209,BD!$L$2:$Q$244,6,0),0)</f>
        <v>198</v>
      </c>
      <c r="I5209" s="62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7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7">
        <v>256676</v>
      </c>
      <c r="F5210" s="31" t="str">
        <f>IFERROR(VLOOKUP(E5210,BD!$L$2:$Q$244,2,0),0)</f>
        <v>TWO PACK CC PFM 3LX2 - RFCC</v>
      </c>
      <c r="G5210" s="424">
        <v>2400</v>
      </c>
      <c r="H5210" s="31">
        <f>+IFERROR(VLOOKUP(E5210,BD!$L$2:$Q$244,6,0),0)</f>
        <v>120</v>
      </c>
      <c r="I5210" s="62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7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7">
        <v>256674</v>
      </c>
      <c r="F5211" s="31" t="str">
        <f>IFERROR(VLOOKUP(E5211,BD!$L$2:$Q$244,2,0),0)</f>
        <v>COCA-COLA PET 1.5LX2 RF</v>
      </c>
      <c r="G5211" s="424">
        <v>1728</v>
      </c>
      <c r="H5211" s="31">
        <f>+IFERROR(VLOOKUP(E5211,BD!$L$2:$Q$244,6,0),0)</f>
        <v>198</v>
      </c>
      <c r="I5211" s="62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7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7">
        <v>256675</v>
      </c>
      <c r="F5212" s="31" t="str">
        <f>IFERROR(VLOOKUP(E5212,BD!$L$2:$Q$244,2,0),0)</f>
        <v>INCA KOLA PET 1.5LX2 RF</v>
      </c>
      <c r="G5212" s="424">
        <v>216</v>
      </c>
      <c r="H5212" s="31">
        <f>+IFERROR(VLOOKUP(E5212,BD!$L$2:$Q$244,6,0),0)</f>
        <v>198</v>
      </c>
      <c r="I5212" s="62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7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7">
        <v>256382</v>
      </c>
      <c r="F5213" s="31" t="str">
        <f>IFERROR(VLOOKUP(E5213,BD!$L$2:$Q$244,2,0),0)</f>
        <v>COCA COLA VR 296MLX24 - STICKER</v>
      </c>
      <c r="G5213" s="424">
        <v>80</v>
      </c>
      <c r="H5213" s="31">
        <f>+IFERROR(VLOOKUP(E5213,BD!$L$2:$Q$244,6,0),0)</f>
        <v>40</v>
      </c>
      <c r="I5213" s="62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7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7">
        <v>256381</v>
      </c>
      <c r="F5214" s="31" t="str">
        <f>IFERROR(VLOOKUP(E5214,BD!$L$2:$Q$244,2,0),0)</f>
        <v>INCA KOLA VR 1.5LX8 - STICKER</v>
      </c>
      <c r="G5214" s="424">
        <v>300</v>
      </c>
      <c r="H5214" s="31">
        <f>+IFERROR(VLOOKUP(E5214,BD!$L$2:$Q$244,6,0),0)</f>
        <v>30</v>
      </c>
      <c r="I5214" s="62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7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7">
        <v>256380</v>
      </c>
      <c r="F5215" s="31" t="str">
        <f>IFERROR(VLOOKUP(E5215,BD!$L$2:$Q$244,2,0),0)</f>
        <v>INCA KOLA VR 296MLX24 - STICKER</v>
      </c>
      <c r="G5215" s="424">
        <v>160</v>
      </c>
      <c r="H5215" s="31">
        <f>+IFERROR(VLOOKUP(E5215,BD!$L$2:$Q$244,6,0),0)</f>
        <v>40</v>
      </c>
      <c r="I5215" s="62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7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7">
        <v>256379</v>
      </c>
      <c r="F5216" s="31" t="str">
        <f>IFERROR(VLOOKUP(E5216,BD!$L$2:$Q$244,2,0),0)</f>
        <v>INCA KOLA VR 625MLX12 - STICKER</v>
      </c>
      <c r="G5216" s="424">
        <v>500</v>
      </c>
      <c r="H5216" s="31">
        <f>+IFERROR(VLOOKUP(E5216,BD!$L$2:$Q$244,6,0),0)</f>
        <v>50</v>
      </c>
      <c r="I5216" s="62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7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7">
        <v>252436</v>
      </c>
      <c r="F5217" s="31" t="str">
        <f>IFERROR(VLOOKUP(E5217,BD!$L$2:$Q$244,2,0),0)</f>
        <v>SAN LUIS SIN GAS PET 625MLX15 C/STICKER</v>
      </c>
      <c r="G5217" s="424">
        <v>180</v>
      </c>
      <c r="H5217" s="31">
        <f>+IFERROR(VLOOKUP(E5217,BD!$L$2:$Q$244,6,0),0)</f>
        <v>90</v>
      </c>
      <c r="I5217" s="62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7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7">
        <v>751315</v>
      </c>
      <c r="F5218" s="31" t="str">
        <f>IFERROR(VLOOKUP(E5218,BD!$L$2:$Q$244,2,0),0)</f>
        <v>MONSTER ENERGY 473MLX4</v>
      </c>
      <c r="G5218" s="424">
        <v>2520</v>
      </c>
      <c r="H5218" s="31">
        <f>+IFERROR(VLOOKUP(E5218,BD!$L$2:$Q$244,6,0),0)</f>
        <v>420</v>
      </c>
      <c r="I5218" s="62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7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7">
        <v>751544</v>
      </c>
      <c r="F5219" s="31" t="str">
        <f>IFERROR(VLOOKUP(E5219,BD!$L$2:$Q$244,2,0),0)</f>
        <v>MONSTER ENERGY ZERO 473MLX4</v>
      </c>
      <c r="G5219" s="424">
        <v>1260</v>
      </c>
      <c r="H5219" s="31">
        <f>+IFERROR(VLOOKUP(E5219,BD!$L$2:$Q$244,6,0),0)</f>
        <v>420</v>
      </c>
      <c r="I5219" s="62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7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7">
        <v>256488</v>
      </c>
      <c r="F5220" s="31" t="str">
        <f>IFERROR(VLOOKUP(E5220,BD!$L$2:$Q$244,2,0),0)</f>
        <v>INCA KOLA PET 3LX2 - RF</v>
      </c>
      <c r="G5220" s="424">
        <v>3600</v>
      </c>
      <c r="H5220" s="31">
        <f>+IFERROR(VLOOKUP(E5220,BD!$L$2:$Q$244,6,0),0)</f>
        <v>120</v>
      </c>
      <c r="I5220" s="62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7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7">
        <v>256676</v>
      </c>
      <c r="F5221" s="31" t="str">
        <f>IFERROR(VLOOKUP(E5221,BD!$L$2:$Q$244,2,0),0)</f>
        <v>TWO PACK CC PFM 3LX2 - RFCC</v>
      </c>
      <c r="G5221" s="424">
        <v>120</v>
      </c>
      <c r="H5221" s="31">
        <f>+IFERROR(VLOOKUP(E5221,BD!$L$2:$Q$244,6,0),0)</f>
        <v>120</v>
      </c>
      <c r="I5221" s="62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7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7">
        <v>256674</v>
      </c>
      <c r="F5222" s="31" t="str">
        <f>IFERROR(VLOOKUP(E5222,BD!$L$2:$Q$244,2,0),0)</f>
        <v>COCA-COLA PET 1.5LX2 RF</v>
      </c>
      <c r="G5222" s="424">
        <v>1080</v>
      </c>
      <c r="H5222" s="31">
        <f>+IFERROR(VLOOKUP(E5222,BD!$L$2:$Q$244,6,0),0)</f>
        <v>198</v>
      </c>
      <c r="I5222" s="62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7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7">
        <v>256675</v>
      </c>
      <c r="F5223" s="31" t="str">
        <f>IFERROR(VLOOKUP(E5223,BD!$L$2:$Q$244,2,0),0)</f>
        <v>INCA KOLA PET 1.5LX2 RF</v>
      </c>
      <c r="G5223" s="424">
        <v>864</v>
      </c>
      <c r="H5223" s="31">
        <f>+IFERROR(VLOOKUP(E5223,BD!$L$2:$Q$244,6,0),0)</f>
        <v>198</v>
      </c>
      <c r="I5223" s="62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7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7">
        <v>256652</v>
      </c>
      <c r="F5224" s="31" t="str">
        <f>IFERROR(VLOOKUP(E5224,BD!$L$2:$Q$244,2,0),0)</f>
        <v>TRIPACK FT NAR+FT KI+SP PET 3L</v>
      </c>
      <c r="G5224" s="424">
        <v>540</v>
      </c>
      <c r="H5224" s="31">
        <f>+IFERROR(VLOOKUP(E5224,BD!$L$2:$Q$244,6,0),0)</f>
        <v>90</v>
      </c>
      <c r="I5224" s="62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7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7">
        <v>256679</v>
      </c>
      <c r="F5225" s="31" t="str">
        <f>IFERROR(VLOOKUP(E5225,BD!$L$2:$Q$244,2,0),0)</f>
        <v>TRIPACK CC+IK+IK PFM 3LX3 - RFNN</v>
      </c>
      <c r="G5225" s="424">
        <v>360</v>
      </c>
      <c r="H5225" s="31">
        <f>+IFERROR(VLOOKUP(E5225,BD!$L$2:$Q$244,6,0),0)</f>
        <v>90</v>
      </c>
      <c r="I5225" s="62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7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7">
        <v>256695</v>
      </c>
      <c r="F5226" s="31" t="str">
        <f>IFERROR(VLOOKUP(E5226,BD!$L$2:$Q$244,2,0),0)</f>
        <v>POWERADE 3MORA+3FRUT PET 473MLX6</v>
      </c>
      <c r="G5226" s="424">
        <v>900</v>
      </c>
      <c r="H5226" s="31">
        <f>+IFERROR(VLOOKUP(E5226,BD!$L$2:$Q$244,6,0),0)</f>
        <v>225</v>
      </c>
      <c r="I5226" s="62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7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7">
        <v>252436</v>
      </c>
      <c r="F5227" s="31" t="str">
        <f>IFERROR(VLOOKUP(E5227,BD!$L$2:$Q$244,2,0),0)</f>
        <v>SAN LUIS SIN GAS PET 625MLX15 C/STICKER</v>
      </c>
      <c r="G5227" s="424">
        <v>360</v>
      </c>
      <c r="H5227" s="31">
        <f>+IFERROR(VLOOKUP(E5227,BD!$L$2:$Q$244,6,0),0)</f>
        <v>90</v>
      </c>
      <c r="I5227" s="62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7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7">
        <v>254762</v>
      </c>
      <c r="F5228" s="31" t="str">
        <f>IFERROR(VLOOKUP(E5228,BD!$L$2:$Q$244,2,0),0)</f>
        <v xml:space="preserve">SAN LUIS SPORT S/G 10 Lt x6 </v>
      </c>
      <c r="G5228" s="424">
        <v>336</v>
      </c>
      <c r="H5228" s="31">
        <f>+IFERROR(VLOOKUP(E5228,BD!$L$2:$Q$244,6,0),0)</f>
        <v>240</v>
      </c>
      <c r="I5228" s="62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7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7">
        <v>751544</v>
      </c>
      <c r="F5229" s="31" t="str">
        <f>IFERROR(VLOOKUP(E5229,BD!$L$2:$Q$244,2,0),0)</f>
        <v>MONSTER ENERGY ZERO 473MLX4</v>
      </c>
      <c r="G5229" s="424">
        <v>420</v>
      </c>
      <c r="H5229" s="31">
        <f>+IFERROR(VLOOKUP(E5229,BD!$L$2:$Q$244,6,0),0)</f>
        <v>420</v>
      </c>
      <c r="I5229" s="62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7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7">
        <v>251633</v>
      </c>
      <c r="F5230" s="31" t="str">
        <f>IFERROR(VLOOKUP(E5230,BD!$L$2:$Q$244,2,0),0)</f>
        <v>SAN LUIS CON GAS PET 625MLX6</v>
      </c>
      <c r="G5230" s="424">
        <v>900</v>
      </c>
      <c r="H5230" s="31">
        <f>+IFERROR(VLOOKUP(E5230,BD!$L$2:$Q$244,6,0),0)</f>
        <v>180</v>
      </c>
      <c r="I5230" s="62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7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7">
        <v>256616</v>
      </c>
      <c r="F5231" s="31" t="str">
        <f>IFERROR(VLOOKUP(E5231,BD!$L$2:$Q$244,2,0),0)</f>
        <v>TWO PACK SCHWEPPES CITRUS PET 1.5LX2</v>
      </c>
      <c r="G5231" s="424">
        <v>792</v>
      </c>
      <c r="H5231" s="31">
        <f>+IFERROR(VLOOKUP(E5231,BD!$L$2:$Q$244,6,0),0)</f>
        <v>198</v>
      </c>
      <c r="I5231" s="62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7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7">
        <v>256676</v>
      </c>
      <c r="F5232" s="31" t="str">
        <f>IFERROR(VLOOKUP(E5232,BD!$L$2:$Q$244,2,0),0)</f>
        <v>TWO PACK CC PFM 3LX2 - RFCC</v>
      </c>
      <c r="G5232" s="424">
        <v>480</v>
      </c>
      <c r="H5232" s="31">
        <f>+IFERROR(VLOOKUP(E5232,BD!$L$2:$Q$244,6,0),0)</f>
        <v>120</v>
      </c>
      <c r="I5232" s="62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7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7">
        <v>256674</v>
      </c>
      <c r="F5233" s="31" t="str">
        <f>IFERROR(VLOOKUP(E5233,BD!$L$2:$Q$244,2,0),0)</f>
        <v>COCA-COLA PET 1.5LX2 RF</v>
      </c>
      <c r="G5233" s="424">
        <v>2592</v>
      </c>
      <c r="H5233" s="31">
        <f>+IFERROR(VLOOKUP(E5233,BD!$L$2:$Q$244,6,0),0)</f>
        <v>198</v>
      </c>
      <c r="I5233" s="62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7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7">
        <v>256675</v>
      </c>
      <c r="F5234" s="31" t="str">
        <f>IFERROR(VLOOKUP(E5234,BD!$L$2:$Q$244,2,0),0)</f>
        <v>INCA KOLA PET 1.5LX2 RF</v>
      </c>
      <c r="G5234" s="424">
        <v>2160</v>
      </c>
      <c r="H5234" s="31">
        <f>+IFERROR(VLOOKUP(E5234,BD!$L$2:$Q$244,6,0),0)</f>
        <v>198</v>
      </c>
      <c r="I5234" s="62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7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7">
        <v>256652</v>
      </c>
      <c r="F5235" s="31" t="str">
        <f>IFERROR(VLOOKUP(E5235,BD!$L$2:$Q$244,2,0),0)</f>
        <v>TRIPACK FT NAR+FT KI+SP PET 3L</v>
      </c>
      <c r="G5235" s="424">
        <v>1800</v>
      </c>
      <c r="H5235" s="31">
        <f>+IFERROR(VLOOKUP(E5235,BD!$L$2:$Q$244,6,0),0)</f>
        <v>90</v>
      </c>
      <c r="I5235" s="62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7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7">
        <v>256680</v>
      </c>
      <c r="F5236" s="31" t="str">
        <f>IFERROR(VLOOKUP(E5236,BD!$L$2:$Q$244,2,0),0)</f>
        <v>TRIPACK CC+CC+IK PFM 3LX3 - RFNN</v>
      </c>
      <c r="G5236" s="424">
        <v>720</v>
      </c>
      <c r="H5236" s="31">
        <f>+IFERROR(VLOOKUP(E5236,BD!$L$2:$Q$244,6,0),0)</f>
        <v>90</v>
      </c>
      <c r="I5236" s="62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7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7">
        <v>256679</v>
      </c>
      <c r="F5237" s="31" t="str">
        <f>IFERROR(VLOOKUP(E5237,BD!$L$2:$Q$244,2,0),0)</f>
        <v>TRIPACK CC+IK+IK PFM 3LX3 - RFNN</v>
      </c>
      <c r="G5237" s="424">
        <v>1080</v>
      </c>
      <c r="H5237" s="31">
        <f>+IFERROR(VLOOKUP(E5237,BD!$L$2:$Q$244,6,0),0)</f>
        <v>90</v>
      </c>
      <c r="I5237" s="62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7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7">
        <v>256695</v>
      </c>
      <c r="F5238" s="31" t="str">
        <f>IFERROR(VLOOKUP(E5238,BD!$L$2:$Q$244,2,0),0)</f>
        <v>POWERADE 3MORA+3FRUT PET 473MLX6</v>
      </c>
      <c r="G5238" s="424">
        <v>450</v>
      </c>
      <c r="H5238" s="31">
        <f>+IFERROR(VLOOKUP(E5238,BD!$L$2:$Q$244,6,0),0)</f>
        <v>225</v>
      </c>
      <c r="I5238" s="62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7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7">
        <v>256708</v>
      </c>
      <c r="F5239" s="31" t="str">
        <f>IFERROR(VLOOKUP(E5239,BD!$L$2:$Q$244,2,0),0)</f>
        <v>POWERADE ION4 FRUTA PET473X6 MOD (STICK)</v>
      </c>
      <c r="G5239" s="424">
        <v>675</v>
      </c>
      <c r="H5239" s="31">
        <f>+IFERROR(VLOOKUP(E5239,BD!$L$2:$Q$244,6,0),0)</f>
        <v>225</v>
      </c>
      <c r="I5239" s="62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7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7">
        <v>256709</v>
      </c>
      <c r="F5240" s="31" t="str">
        <f>IFERROR(VLOOKUP(E5240,BD!$L$2:$Q$244,2,0),0)</f>
        <v>POWERADE ION4 MORA AZ PET473X6 MOD(STCK)</v>
      </c>
      <c r="G5240" s="424">
        <v>450</v>
      </c>
      <c r="H5240" s="31">
        <f>+IFERROR(VLOOKUP(E5240,BD!$L$2:$Q$244,6,0),0)</f>
        <v>225</v>
      </c>
      <c r="I5240" s="62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7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7">
        <v>256720</v>
      </c>
      <c r="F5241" s="31" t="str">
        <f>IFERROR(VLOOKUP(E5241,BD!$L$2:$Q$244,2,0),0)</f>
        <v>FANTA NARANJA PET 500MLX6 BRANDEADO MOD</v>
      </c>
      <c r="G5241" s="424">
        <v>750</v>
      </c>
      <c r="H5241" s="31">
        <f>+IFERROR(VLOOKUP(E5241,BD!$L$2:$Q$244,6,0),0)</f>
        <v>420</v>
      </c>
      <c r="I5241" s="62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7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7">
        <v>252436</v>
      </c>
      <c r="F5242" s="31" t="str">
        <f>IFERROR(VLOOKUP(E5242,BD!$L$2:$Q$244,2,0),0)</f>
        <v>SAN LUIS SIN GAS PET 625MLX15 C/STICKER</v>
      </c>
      <c r="G5242" s="424">
        <v>360</v>
      </c>
      <c r="H5242" s="31">
        <f>+IFERROR(VLOOKUP(E5242,BD!$L$2:$Q$244,6,0),0)</f>
        <v>90</v>
      </c>
      <c r="I5242" s="62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7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7">
        <v>254762</v>
      </c>
      <c r="F5243" s="31" t="str">
        <f>IFERROR(VLOOKUP(E5243,BD!$L$2:$Q$244,2,0),0)</f>
        <v xml:space="preserve">SAN LUIS SPORT S/G 10 Lt x6 </v>
      </c>
      <c r="G5243" s="424">
        <v>336</v>
      </c>
      <c r="H5243" s="31">
        <f>+IFERROR(VLOOKUP(E5243,BD!$L$2:$Q$244,6,0),0)</f>
        <v>240</v>
      </c>
      <c r="I5243" s="62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7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7">
        <v>751544</v>
      </c>
      <c r="F5244" s="31" t="str">
        <f>IFERROR(VLOOKUP(E5244,BD!$L$2:$Q$244,2,0),0)</f>
        <v>MONSTER ENERGY ZERO 473MLX4</v>
      </c>
      <c r="G5244" s="424">
        <v>420</v>
      </c>
      <c r="H5244" s="31">
        <f>+IFERROR(VLOOKUP(E5244,BD!$L$2:$Q$244,6,0),0)</f>
        <v>420</v>
      </c>
      <c r="I5244" s="62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7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7">
        <v>251633</v>
      </c>
      <c r="F5245" s="31" t="str">
        <f>IFERROR(VLOOKUP(E5245,BD!$L$2:$Q$244,2,0),0)</f>
        <v>SAN LUIS CON GAS PET 625MLX6</v>
      </c>
      <c r="G5245" s="424">
        <v>900</v>
      </c>
      <c r="H5245" s="31">
        <f>+IFERROR(VLOOKUP(E5245,BD!$L$2:$Q$244,6,0),0)</f>
        <v>180</v>
      </c>
      <c r="I5245" s="62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7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7">
        <v>256616</v>
      </c>
      <c r="F5246" s="31" t="str">
        <f>IFERROR(VLOOKUP(E5246,BD!$L$2:$Q$244,2,0),0)</f>
        <v>TWO PACK SCHWEPPES CITRUS PET 1.5LX2</v>
      </c>
      <c r="G5246" s="424">
        <v>792</v>
      </c>
      <c r="H5246" s="31">
        <f>+IFERROR(VLOOKUP(E5246,BD!$L$2:$Q$244,6,0),0)</f>
        <v>198</v>
      </c>
      <c r="I5246" s="62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7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7">
        <v>256676</v>
      </c>
      <c r="F5247" s="31" t="str">
        <f>IFERROR(VLOOKUP(E5247,BD!$L$2:$Q$244,2,0),0)</f>
        <v>TWO PACK CC PFM 3LX2 - RFCC</v>
      </c>
      <c r="G5247" s="424">
        <v>480</v>
      </c>
      <c r="H5247" s="31">
        <f>+IFERROR(VLOOKUP(E5247,BD!$L$2:$Q$244,6,0),0)</f>
        <v>120</v>
      </c>
      <c r="I5247" s="62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7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7">
        <v>256674</v>
      </c>
      <c r="F5248" s="31" t="str">
        <f>IFERROR(VLOOKUP(E5248,BD!$L$2:$Q$244,2,0),0)</f>
        <v>COCA-COLA PET 1.5LX2 RF</v>
      </c>
      <c r="G5248" s="424">
        <v>2592</v>
      </c>
      <c r="H5248" s="31">
        <f>+IFERROR(VLOOKUP(E5248,BD!$L$2:$Q$244,6,0),0)</f>
        <v>198</v>
      </c>
      <c r="I5248" s="62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7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7">
        <v>256675</v>
      </c>
      <c r="F5249" s="31" t="str">
        <f>IFERROR(VLOOKUP(E5249,BD!$L$2:$Q$244,2,0),0)</f>
        <v>INCA KOLA PET 1.5LX2 RF</v>
      </c>
      <c r="G5249" s="424">
        <v>2160</v>
      </c>
      <c r="H5249" s="31">
        <f>+IFERROR(VLOOKUP(E5249,BD!$L$2:$Q$244,6,0),0)</f>
        <v>198</v>
      </c>
      <c r="I5249" s="62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7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7">
        <v>256652</v>
      </c>
      <c r="F5250" s="31" t="str">
        <f>IFERROR(VLOOKUP(E5250,BD!$L$2:$Q$244,2,0),0)</f>
        <v>TRIPACK FT NAR+FT KI+SP PET 3L</v>
      </c>
      <c r="G5250" s="424">
        <v>1800</v>
      </c>
      <c r="H5250" s="31">
        <f>+IFERROR(VLOOKUP(E5250,BD!$L$2:$Q$244,6,0),0)</f>
        <v>90</v>
      </c>
      <c r="I5250" s="62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7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7">
        <v>256680</v>
      </c>
      <c r="F5251" s="31" t="str">
        <f>IFERROR(VLOOKUP(E5251,BD!$L$2:$Q$244,2,0),0)</f>
        <v>TRIPACK CC+CC+IK PFM 3LX3 - RFNN</v>
      </c>
      <c r="G5251" s="424">
        <v>720</v>
      </c>
      <c r="H5251" s="31">
        <f>+IFERROR(VLOOKUP(E5251,BD!$L$2:$Q$244,6,0),0)</f>
        <v>90</v>
      </c>
      <c r="I5251" s="62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7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7">
        <v>256679</v>
      </c>
      <c r="F5252" s="31" t="str">
        <f>IFERROR(VLOOKUP(E5252,BD!$L$2:$Q$244,2,0),0)</f>
        <v>TRIPACK CC+IK+IK PFM 3LX3 - RFNN</v>
      </c>
      <c r="G5252" s="424">
        <v>1080</v>
      </c>
      <c r="H5252" s="31">
        <f>+IFERROR(VLOOKUP(E5252,BD!$L$2:$Q$244,6,0),0)</f>
        <v>90</v>
      </c>
      <c r="I5252" s="62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7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7">
        <v>256695</v>
      </c>
      <c r="F5253" s="31" t="str">
        <f>IFERROR(VLOOKUP(E5253,BD!$L$2:$Q$244,2,0),0)</f>
        <v>POWERADE 3MORA+3FRUT PET 473MLX6</v>
      </c>
      <c r="G5253" s="424">
        <v>450</v>
      </c>
      <c r="H5253" s="31">
        <f>+IFERROR(VLOOKUP(E5253,BD!$L$2:$Q$244,6,0),0)</f>
        <v>225</v>
      </c>
      <c r="I5253" s="62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7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7">
        <v>256708</v>
      </c>
      <c r="F5254" s="31" t="str">
        <f>IFERROR(VLOOKUP(E5254,BD!$L$2:$Q$244,2,0),0)</f>
        <v>POWERADE ION4 FRUTA PET473X6 MOD (STICK)</v>
      </c>
      <c r="G5254" s="424">
        <v>675</v>
      </c>
      <c r="H5254" s="31">
        <f>+IFERROR(VLOOKUP(E5254,BD!$L$2:$Q$244,6,0),0)</f>
        <v>225</v>
      </c>
      <c r="I5254" s="62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7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7">
        <v>256709</v>
      </c>
      <c r="F5255" s="31" t="str">
        <f>IFERROR(VLOOKUP(E5255,BD!$L$2:$Q$244,2,0),0)</f>
        <v>POWERADE ION4 MORA AZ PET473X6 MOD(STCK)</v>
      </c>
      <c r="G5255" s="424">
        <v>450</v>
      </c>
      <c r="H5255" s="31">
        <f>+IFERROR(VLOOKUP(E5255,BD!$L$2:$Q$244,6,0),0)</f>
        <v>225</v>
      </c>
      <c r="I5255" s="62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7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7">
        <v>256720</v>
      </c>
      <c r="F5256" s="31" t="str">
        <f>IFERROR(VLOOKUP(E5256,BD!$L$2:$Q$244,2,0),0)</f>
        <v>FANTA NARANJA PET 500MLX6 BRANDEADO MOD</v>
      </c>
      <c r="G5256" s="424">
        <v>750</v>
      </c>
      <c r="H5256" s="31">
        <f>+IFERROR(VLOOKUP(E5256,BD!$L$2:$Q$244,6,0),0)</f>
        <v>420</v>
      </c>
      <c r="I5256" s="62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7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7">
        <v>254853</v>
      </c>
      <c r="F5257" s="31" t="str">
        <f>IFERROR(VLOOKUP(E5257,BD!$L$2:$Q$244,2,0),0)</f>
        <v>INCA KOLA SIN AZUCAR PET 1.5LX2</v>
      </c>
      <c r="G5257" s="424">
        <v>1296</v>
      </c>
      <c r="H5257" s="31">
        <f>+IFERROR(VLOOKUP(E5257,BD!$L$2:$Q$244,6,0),0)</f>
        <v>198</v>
      </c>
      <c r="I5257" s="62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7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7">
        <v>256685</v>
      </c>
      <c r="F5258" s="31" t="str">
        <f>IFERROR(VLOOKUP(E5258,BD!$L$2:$Q$244,2,0),0)</f>
        <v>SL S/G TAPA PLANA 1LT</v>
      </c>
      <c r="G5258" s="424">
        <v>560</v>
      </c>
      <c r="H5258" s="31">
        <f>+IFERROR(VLOOKUP(E5258,BD!$L$2:$Q$244,6,0),0)</f>
        <v>112</v>
      </c>
      <c r="I5258" s="62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7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7">
        <v>256616</v>
      </c>
      <c r="F5259" s="31" t="str">
        <f>IFERROR(VLOOKUP(E5259,BD!$L$2:$Q$244,2,0),0)</f>
        <v>TWO PACK SCHWEPPES CITRUS PET 1.5LX2</v>
      </c>
      <c r="G5259" s="424">
        <v>594</v>
      </c>
      <c r="H5259" s="31">
        <f>+IFERROR(VLOOKUP(E5259,BD!$L$2:$Q$244,6,0),0)</f>
        <v>198</v>
      </c>
      <c r="I5259" s="62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7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7">
        <v>256666</v>
      </c>
      <c r="F5260" s="31" t="str">
        <f>IFERROR(VLOOKUP(E5260,BD!$L$2:$Q$244,2,0),0)</f>
        <v>COCA-COLA PET 2.25LX2 RF</v>
      </c>
      <c r="G5260" s="424">
        <v>1296</v>
      </c>
      <c r="H5260" s="31">
        <f>+IFERROR(VLOOKUP(E5260,BD!$L$2:$Q$244,6,0),0)</f>
        <v>162</v>
      </c>
      <c r="I5260" s="62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7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7">
        <v>256601</v>
      </c>
      <c r="F5261" s="31" t="str">
        <f>IFERROR(VLOOKUP(E5261,BD!$L$2:$Q$244,2,0),0)</f>
        <v>INCA KOLA PET 2.25LX2 RF</v>
      </c>
      <c r="G5261" s="424">
        <v>162</v>
      </c>
      <c r="H5261" s="31">
        <f>+IFERROR(VLOOKUP(E5261,BD!$L$2:$Q$244,6,0),0)</f>
        <v>162</v>
      </c>
      <c r="I5261" s="62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7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7">
        <v>256488</v>
      </c>
      <c r="F5262" s="31" t="str">
        <f>IFERROR(VLOOKUP(E5262,BD!$L$2:$Q$244,2,0),0)</f>
        <v>INCA KOLA PET 3LX2 - RF</v>
      </c>
      <c r="G5262" s="424">
        <v>960</v>
      </c>
      <c r="H5262" s="31">
        <f>+IFERROR(VLOOKUP(E5262,BD!$L$2:$Q$244,6,0),0)</f>
        <v>120</v>
      </c>
      <c r="I5262" s="62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7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7">
        <v>256675</v>
      </c>
      <c r="F5263" s="31" t="str">
        <f>IFERROR(VLOOKUP(E5263,BD!$L$2:$Q$244,2,0),0)</f>
        <v>INCA KOLA PET 1.5LX2 RF</v>
      </c>
      <c r="G5263" s="424">
        <v>864</v>
      </c>
      <c r="H5263" s="31">
        <f>+IFERROR(VLOOKUP(E5263,BD!$L$2:$Q$244,6,0),0)</f>
        <v>198</v>
      </c>
      <c r="I5263" s="62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7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7">
        <v>256680</v>
      </c>
      <c r="F5264" s="31" t="str">
        <f>IFERROR(VLOOKUP(E5264,BD!$L$2:$Q$244,2,0),0)</f>
        <v>TRIPACK CC+CC+IK PFM 3LX3 - RFNN</v>
      </c>
      <c r="G5264" s="424">
        <v>900</v>
      </c>
      <c r="H5264" s="31">
        <f>+IFERROR(VLOOKUP(E5264,BD!$L$2:$Q$244,6,0),0)</f>
        <v>90</v>
      </c>
      <c r="I5264" s="62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7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7">
        <v>256679</v>
      </c>
      <c r="F5265" s="31" t="str">
        <f>IFERROR(VLOOKUP(E5265,BD!$L$2:$Q$244,2,0),0)</f>
        <v>TRIPACK CC+IK+IK PFM 3LX3 - RFNN</v>
      </c>
      <c r="G5265" s="424">
        <v>900</v>
      </c>
      <c r="H5265" s="31">
        <f>+IFERROR(VLOOKUP(E5265,BD!$L$2:$Q$244,6,0),0)</f>
        <v>90</v>
      </c>
      <c r="I5265" s="62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7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7">
        <v>256678</v>
      </c>
      <c r="F5266" s="31" t="str">
        <f>IFERROR(VLOOKUP(E5266,BD!$L$2:$Q$244,2,0),0)</f>
        <v>TRIPACK (CC+IK)PFM+FT PET 3LX3 - RFNN</v>
      </c>
      <c r="G5266" s="424">
        <v>1800</v>
      </c>
      <c r="H5266" s="31">
        <f>+IFERROR(VLOOKUP(E5266,BD!$L$2:$Q$244,6,0),0)</f>
        <v>90</v>
      </c>
      <c r="I5266" s="62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7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7">
        <v>256695</v>
      </c>
      <c r="F5267" s="31" t="str">
        <f>IFERROR(VLOOKUP(E5267,BD!$L$2:$Q$244,2,0),0)</f>
        <v>POWERADE 3MORA+3FRUT PET 473MLX6</v>
      </c>
      <c r="G5267" s="424">
        <v>225</v>
      </c>
      <c r="H5267" s="31">
        <f>+IFERROR(VLOOKUP(E5267,BD!$L$2:$Q$244,6,0),0)</f>
        <v>225</v>
      </c>
      <c r="I5267" s="62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7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7">
        <v>256708</v>
      </c>
      <c r="F5268" s="31" t="str">
        <f>IFERROR(VLOOKUP(E5268,BD!$L$2:$Q$244,2,0),0)</f>
        <v>POWERADE ION4 FRUTA PET473X6 MOD (STICK)</v>
      </c>
      <c r="G5268" s="424">
        <v>450</v>
      </c>
      <c r="H5268" s="31">
        <f>+IFERROR(VLOOKUP(E5268,BD!$L$2:$Q$244,6,0),0)</f>
        <v>225</v>
      </c>
      <c r="I5268" s="62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7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7">
        <v>256709</v>
      </c>
      <c r="F5269" s="31" t="str">
        <f>IFERROR(VLOOKUP(E5269,BD!$L$2:$Q$244,2,0),0)</f>
        <v>POWERADE ION4 MORA AZ PET473X6 MOD(STCK)</v>
      </c>
      <c r="G5269" s="424">
        <v>225</v>
      </c>
      <c r="H5269" s="31">
        <f>+IFERROR(VLOOKUP(E5269,BD!$L$2:$Q$244,6,0),0)</f>
        <v>225</v>
      </c>
      <c r="I5269" s="62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7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7">
        <v>256721</v>
      </c>
      <c r="F5270" s="31" t="str">
        <f>IFERROR(VLOOKUP(E5270,BD!$L$2:$Q$244,2,0),0)</f>
        <v>SPRITE PET 500MLX6 BRANDEADO MOD</v>
      </c>
      <c r="G5270" s="424">
        <v>750</v>
      </c>
      <c r="H5270" s="31">
        <f>+IFERROR(VLOOKUP(E5270,BD!$L$2:$Q$244,6,0),0)</f>
        <v>420</v>
      </c>
      <c r="I5270" s="62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7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7">
        <v>256382</v>
      </c>
      <c r="F5271" s="31" t="str">
        <f>IFERROR(VLOOKUP(E5271,BD!$L$2:$Q$244,2,0),0)</f>
        <v>COCA COLA VR 296MLX24 - STICKER</v>
      </c>
      <c r="G5271" s="424">
        <v>120</v>
      </c>
      <c r="H5271" s="31">
        <f>+IFERROR(VLOOKUP(E5271,BD!$L$2:$Q$244,6,0),0)</f>
        <v>40</v>
      </c>
      <c r="I5271" s="62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7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7">
        <v>256380</v>
      </c>
      <c r="F5272" s="31" t="str">
        <f>IFERROR(VLOOKUP(E5272,BD!$L$2:$Q$244,2,0),0)</f>
        <v>INCA KOLA VR 296MLX24 - STICKER</v>
      </c>
      <c r="G5272" s="424">
        <v>320</v>
      </c>
      <c r="H5272" s="31">
        <f>+IFERROR(VLOOKUP(E5272,BD!$L$2:$Q$244,6,0),0)</f>
        <v>40</v>
      </c>
      <c r="I5272" s="62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7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7">
        <v>252436</v>
      </c>
      <c r="F5273" s="31" t="str">
        <f>IFERROR(VLOOKUP(E5273,BD!$L$2:$Q$244,2,0),0)</f>
        <v>SAN LUIS SIN GAS PET 625MLX15 C/STICKER</v>
      </c>
      <c r="G5273" s="424">
        <v>540</v>
      </c>
      <c r="H5273" s="31">
        <f>+IFERROR(VLOOKUP(E5273,BD!$L$2:$Q$244,6,0),0)</f>
        <v>90</v>
      </c>
      <c r="I5273" s="62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7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7">
        <v>751315</v>
      </c>
      <c r="F5274" s="31" t="str">
        <f>IFERROR(VLOOKUP(E5274,BD!$L$2:$Q$244,2,0),0)</f>
        <v>MONSTER ENERGY 473MLX4</v>
      </c>
      <c r="G5274" s="424">
        <v>1260</v>
      </c>
      <c r="H5274" s="31">
        <f>+IFERROR(VLOOKUP(E5274,BD!$L$2:$Q$244,6,0),0)</f>
        <v>420</v>
      </c>
      <c r="I5274" s="62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7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7">
        <v>256616</v>
      </c>
      <c r="F5275" s="31" t="str">
        <f>IFERROR(VLOOKUP(E5275,BD!$L$2:$Q$244,2,0),0)</f>
        <v>TWO PACK SCHWEPPES CITRUS PET 1.5LX2</v>
      </c>
      <c r="G5275" s="424">
        <v>396</v>
      </c>
      <c r="H5275" s="31">
        <f>+IFERROR(VLOOKUP(E5275,BD!$L$2:$Q$244,6,0),0)</f>
        <v>198</v>
      </c>
      <c r="I5275" s="62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7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7">
        <v>256601</v>
      </c>
      <c r="F5276" s="31" t="str">
        <f>IFERROR(VLOOKUP(E5276,BD!$L$2:$Q$244,2,0),0)</f>
        <v>INCA KOLA PET 2.25LX2 RF</v>
      </c>
      <c r="G5276" s="424">
        <v>648</v>
      </c>
      <c r="H5276" s="31">
        <f>+IFERROR(VLOOKUP(E5276,BD!$L$2:$Q$244,6,0),0)</f>
        <v>162</v>
      </c>
      <c r="I5276" s="62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7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7">
        <v>256488</v>
      </c>
      <c r="F5277" s="31" t="str">
        <f>IFERROR(VLOOKUP(E5277,BD!$L$2:$Q$244,2,0),0)</f>
        <v>INCA KOLA PET 3LX2 - RF</v>
      </c>
      <c r="G5277" s="424">
        <v>3840</v>
      </c>
      <c r="H5277" s="31">
        <f>+IFERROR(VLOOKUP(E5277,BD!$L$2:$Q$244,6,0),0)</f>
        <v>120</v>
      </c>
      <c r="I5277" s="62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7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7">
        <v>256675</v>
      </c>
      <c r="F5278" s="31" t="str">
        <f>IFERROR(VLOOKUP(E5278,BD!$L$2:$Q$244,2,0),0)</f>
        <v>INCA KOLA PET 1.5LX2 RF</v>
      </c>
      <c r="G5278" s="424">
        <v>1296</v>
      </c>
      <c r="H5278" s="31">
        <f>+IFERROR(VLOOKUP(E5278,BD!$L$2:$Q$244,6,0),0)</f>
        <v>198</v>
      </c>
      <c r="I5278" s="62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7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7">
        <v>256677</v>
      </c>
      <c r="F5279" s="31" t="str">
        <f>IFERROR(VLOOKUP(E5279,BD!$L$2:$Q$244,2,0),0)</f>
        <v>TWO PACK CC + IK PFM 3LX2 - RFNN</v>
      </c>
      <c r="G5279" s="424">
        <v>1440</v>
      </c>
      <c r="H5279" s="31">
        <f>+IFERROR(VLOOKUP(E5279,BD!$L$2:$Q$244,6,0),0)</f>
        <v>120</v>
      </c>
      <c r="I5279" s="62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7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7">
        <v>256695</v>
      </c>
      <c r="F5280" s="31" t="str">
        <f>IFERROR(VLOOKUP(E5280,BD!$L$2:$Q$244,2,0),0)</f>
        <v>POWERADE 3MORA+3FRUT PET 473MLX6</v>
      </c>
      <c r="G5280" s="424">
        <v>2025</v>
      </c>
      <c r="H5280" s="31">
        <f>+IFERROR(VLOOKUP(E5280,BD!$L$2:$Q$244,6,0),0)</f>
        <v>225</v>
      </c>
      <c r="I5280" s="62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7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7">
        <v>256678</v>
      </c>
      <c r="F5281" s="31" t="str">
        <f>IFERROR(VLOOKUP(E5281,BD!$L$2:$Q$244,2,0),0)</f>
        <v>TRIPACK (CC+IK)PFM+FT PET 3LX3 - RFNN</v>
      </c>
      <c r="G5281" s="424">
        <v>1080</v>
      </c>
      <c r="H5281" s="31">
        <f>+IFERROR(VLOOKUP(E5281,BD!$L$2:$Q$244,6,0),0)</f>
        <v>90</v>
      </c>
      <c r="I5281" s="62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7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7">
        <v>751315</v>
      </c>
      <c r="F5282" s="31" t="str">
        <f>IFERROR(VLOOKUP(E5282,BD!$L$2:$Q$244,2,0),0)</f>
        <v>MONSTER ENERGY 473MLX4</v>
      </c>
      <c r="G5282" s="424">
        <v>840</v>
      </c>
      <c r="H5282" s="31">
        <f>+IFERROR(VLOOKUP(E5282,BD!$L$2:$Q$244,6,0),0)</f>
        <v>420</v>
      </c>
      <c r="I5282" s="62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7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7">
        <v>751468</v>
      </c>
      <c r="F5283" s="31" t="str">
        <f>IFERROR(VLOOKUP(E5283,BD!$L$2:$Q$244,2,0),0)</f>
        <v>MONSTER ENERGY ULTRA 473MLX4</v>
      </c>
      <c r="G5283" s="424">
        <v>1680</v>
      </c>
      <c r="H5283" s="31">
        <f>+IFERROR(VLOOKUP(E5283,BD!$L$2:$Q$244,6,0),0)</f>
        <v>420</v>
      </c>
      <c r="I5283" s="62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7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7">
        <v>751544</v>
      </c>
      <c r="F5284" s="31" t="str">
        <f>IFERROR(VLOOKUP(E5284,BD!$L$2:$Q$244,2,0),0)</f>
        <v>MONSTER ENERGY ZERO 473MLX4</v>
      </c>
      <c r="G5284" s="424">
        <v>2100</v>
      </c>
      <c r="H5284" s="31">
        <f>+IFERROR(VLOOKUP(E5284,BD!$L$2:$Q$244,6,0),0)</f>
        <v>420</v>
      </c>
      <c r="I5284" s="62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7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7">
        <v>256677</v>
      </c>
      <c r="F5285" s="31" t="str">
        <f>IFERROR(VLOOKUP(E5285,BD!$L$2:$Q$244,2,0),0)</f>
        <v>TWO PACK CC + IK PFM 3LX2 - RFNN</v>
      </c>
      <c r="G5285" s="424">
        <v>480</v>
      </c>
      <c r="H5285" s="31">
        <f>+IFERROR(VLOOKUP(E5285,BD!$L$2:$Q$244,6,0),0)</f>
        <v>120</v>
      </c>
      <c r="I5285" s="62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7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7">
        <v>256682</v>
      </c>
      <c r="F5286" s="31" t="str">
        <f>IFERROR(VLOOKUP(E5286,BD!$L$2:$Q$244,2,0),0)</f>
        <v>TRIPACK (FT NAR+SP)PET+IK RF PFM 3L</v>
      </c>
      <c r="G5286" s="424">
        <v>180</v>
      </c>
      <c r="H5286" s="31">
        <f>+IFERROR(VLOOKUP(E5286,BD!$L$2:$Q$244,6,0),0)</f>
        <v>90</v>
      </c>
      <c r="I5286" s="62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7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7">
        <v>256381</v>
      </c>
      <c r="F5287" s="31" t="str">
        <f>IFERROR(VLOOKUP(E5287,BD!$L$2:$Q$244,2,0),0)</f>
        <v>INCA KOLA VR 1.5LX8 - STICKER</v>
      </c>
      <c r="G5287" s="424">
        <v>60</v>
      </c>
      <c r="H5287" s="31">
        <f>+IFERROR(VLOOKUP(E5287,BD!$L$2:$Q$244,6,0),0)</f>
        <v>30</v>
      </c>
      <c r="I5287" s="62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7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7">
        <v>251633</v>
      </c>
      <c r="F5288" s="31" t="str">
        <f>IFERROR(VLOOKUP(E5288,BD!$L$2:$Q$244,2,0),0)</f>
        <v>SAN LUIS CON GAS PET 625MLX6</v>
      </c>
      <c r="G5288" s="424">
        <v>360</v>
      </c>
      <c r="H5288" s="31">
        <f>+IFERROR(VLOOKUP(E5288,BD!$L$2:$Q$244,6,0),0)</f>
        <v>180</v>
      </c>
      <c r="I5288" s="62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7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7">
        <v>256677</v>
      </c>
      <c r="F5289" s="31" t="str">
        <f>IFERROR(VLOOKUP(E5289,BD!$L$2:$Q$244,2,0),0)</f>
        <v>TWO PACK CC + IK PFM 3LX2 - RFNN</v>
      </c>
      <c r="G5289" s="424">
        <v>6480</v>
      </c>
      <c r="H5289" s="31">
        <f>+IFERROR(VLOOKUP(E5289,BD!$L$2:$Q$244,6,0),0)</f>
        <v>120</v>
      </c>
      <c r="I5289" s="62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7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7">
        <v>256679</v>
      </c>
      <c r="F5290" s="31" t="str">
        <f>IFERROR(VLOOKUP(E5290,BD!$L$2:$Q$244,2,0),0)</f>
        <v>TRIPACK CC+IK+IK PFM 3LX3 - RFNN</v>
      </c>
      <c r="G5290" s="424">
        <v>720</v>
      </c>
      <c r="H5290" s="31">
        <f>+IFERROR(VLOOKUP(E5290,BD!$L$2:$Q$244,6,0),0)</f>
        <v>90</v>
      </c>
      <c r="I5290" s="62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7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7">
        <v>256678</v>
      </c>
      <c r="F5291" s="31" t="str">
        <f>IFERROR(VLOOKUP(E5291,BD!$L$2:$Q$244,2,0),0)</f>
        <v>TRIPACK (CC+IK)PFM+FT PET 3LX3 - RFNN</v>
      </c>
      <c r="G5291" s="424">
        <v>2520</v>
      </c>
      <c r="H5291" s="31">
        <f>+IFERROR(VLOOKUP(E5291,BD!$L$2:$Q$244,6,0),0)</f>
        <v>90</v>
      </c>
      <c r="I5291" s="62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7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7">
        <v>256685</v>
      </c>
      <c r="F5292" s="31" t="str">
        <f>IFERROR(VLOOKUP(E5292,BD!$L$2:$Q$244,2,0),0)</f>
        <v>SL S/G TAPA PLANA 1LT</v>
      </c>
      <c r="G5292" s="424">
        <v>448</v>
      </c>
      <c r="H5292" s="31">
        <f>+IFERROR(VLOOKUP(E5292,BD!$L$2:$Q$244,6,0),0)</f>
        <v>112</v>
      </c>
      <c r="I5292" s="62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7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7">
        <v>251633</v>
      </c>
      <c r="F5293" s="31" t="str">
        <f>IFERROR(VLOOKUP(E5293,BD!$L$2:$Q$244,2,0),0)</f>
        <v>SAN LUIS CON GAS PET 625MLX6</v>
      </c>
      <c r="G5293" s="424">
        <v>540</v>
      </c>
      <c r="H5293" s="31">
        <f>+IFERROR(VLOOKUP(E5293,BD!$L$2:$Q$244,6,0),0)</f>
        <v>180</v>
      </c>
      <c r="I5293" s="62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7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7">
        <v>251406</v>
      </c>
      <c r="F5294" s="31" t="str">
        <f>IFERROR(VLOOKUP(E5294,BD!$L$2:$Q$244,2,0),0)</f>
        <v>COCA-COLA SIN AZUCAR PET 1.5LX2</v>
      </c>
      <c r="G5294" s="424">
        <v>1296</v>
      </c>
      <c r="H5294" s="31">
        <f>+IFERROR(VLOOKUP(E5294,BD!$L$2:$Q$244,6,0),0)</f>
        <v>198</v>
      </c>
      <c r="I5294" s="62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7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7">
        <v>256548</v>
      </c>
      <c r="F5295" s="31" t="str">
        <f>IFERROR(VLOOKUP(E5295,BD!$L$2:$Q$244,2,0),0)</f>
        <v>TWO PACK CC PET 1.5LX2 - CRC</v>
      </c>
      <c r="G5295" s="424">
        <v>216</v>
      </c>
      <c r="H5295" s="31">
        <f>+IFERROR(VLOOKUP(E5295,BD!$L$2:$Q$244,6,0),0)</f>
        <v>198</v>
      </c>
      <c r="I5295" s="62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7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7">
        <v>256616</v>
      </c>
      <c r="F5296" s="31" t="str">
        <f>IFERROR(VLOOKUP(E5296,BD!$L$2:$Q$244,2,0),0)</f>
        <v>TWO PACK SCHWEPPES CITRUS PET 1.5LX2</v>
      </c>
      <c r="G5296" s="424">
        <v>396</v>
      </c>
      <c r="H5296" s="31">
        <f>+IFERROR(VLOOKUP(E5296,BD!$L$2:$Q$244,6,0),0)</f>
        <v>198</v>
      </c>
      <c r="I5296" s="62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7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7">
        <v>256617</v>
      </c>
      <c r="F5297" s="31" t="str">
        <f>IFERROR(VLOOKUP(E5297,BD!$L$2:$Q$244,2,0),0)</f>
        <v>TWO PACK SCHWEPPES GINGER ALE PET 1.5LX2</v>
      </c>
      <c r="G5297" s="424">
        <v>792</v>
      </c>
      <c r="H5297" s="31">
        <f>+IFERROR(VLOOKUP(E5297,BD!$L$2:$Q$244,6,0),0)</f>
        <v>198</v>
      </c>
      <c r="I5297" s="62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7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7">
        <v>256488</v>
      </c>
      <c r="F5298" s="31" t="str">
        <f>IFERROR(VLOOKUP(E5298,BD!$L$2:$Q$244,2,0),0)</f>
        <v>INCA KOLA PET 3LX2 - RF</v>
      </c>
      <c r="G5298" s="424">
        <v>3600</v>
      </c>
      <c r="H5298" s="31">
        <f>+IFERROR(VLOOKUP(E5298,BD!$L$2:$Q$244,6,0),0)</f>
        <v>120</v>
      </c>
      <c r="I5298" s="62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7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7">
        <v>256680</v>
      </c>
      <c r="F5299" s="31" t="str">
        <f>IFERROR(VLOOKUP(E5299,BD!$L$2:$Q$244,2,0),0)</f>
        <v>TRIPACK CC+CC+IK PFM 3LX3 - RFNN</v>
      </c>
      <c r="G5299" s="424">
        <v>540</v>
      </c>
      <c r="H5299" s="31">
        <f>+IFERROR(VLOOKUP(E5299,BD!$L$2:$Q$244,6,0),0)</f>
        <v>90</v>
      </c>
      <c r="I5299" s="62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7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7">
        <v>256679</v>
      </c>
      <c r="F5300" s="31" t="str">
        <f>IFERROR(VLOOKUP(E5300,BD!$L$2:$Q$244,2,0),0)</f>
        <v>TRIPACK CC+IK+IK PFM 3LX3 - RFNN</v>
      </c>
      <c r="G5300" s="424">
        <v>540</v>
      </c>
      <c r="H5300" s="31">
        <f>+IFERROR(VLOOKUP(E5300,BD!$L$2:$Q$244,6,0),0)</f>
        <v>90</v>
      </c>
      <c r="I5300" s="62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7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7">
        <v>256678</v>
      </c>
      <c r="F5301" s="31" t="str">
        <f>IFERROR(VLOOKUP(E5301,BD!$L$2:$Q$244,2,0),0)</f>
        <v>TRIPACK (CC+IK)PFM+FT PET 3LX3 - RFNN</v>
      </c>
      <c r="G5301" s="424">
        <v>900</v>
      </c>
      <c r="H5301" s="31">
        <f>+IFERROR(VLOOKUP(E5301,BD!$L$2:$Q$244,6,0),0)</f>
        <v>90</v>
      </c>
      <c r="I5301" s="62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7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7">
        <v>256709</v>
      </c>
      <c r="F5302" s="31" t="str">
        <f>IFERROR(VLOOKUP(E5302,BD!$L$2:$Q$244,2,0),0)</f>
        <v>POWERADE ION4 MORA AZ PET473X6 MOD(STCK)</v>
      </c>
      <c r="G5302" s="424">
        <v>450</v>
      </c>
      <c r="H5302" s="31">
        <f>+IFERROR(VLOOKUP(E5302,BD!$L$2:$Q$244,6,0),0)</f>
        <v>225</v>
      </c>
      <c r="I5302" s="62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7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7">
        <v>751315</v>
      </c>
      <c r="F5303" s="31" t="str">
        <f>IFERROR(VLOOKUP(E5303,BD!$L$2:$Q$244,2,0),0)</f>
        <v>MONSTER ENERGY 473MLX4</v>
      </c>
      <c r="G5303" s="424">
        <v>2940</v>
      </c>
      <c r="H5303" s="31">
        <f>+IFERROR(VLOOKUP(E5303,BD!$L$2:$Q$244,6,0),0)</f>
        <v>420</v>
      </c>
      <c r="I5303" s="62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7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7">
        <v>251406</v>
      </c>
      <c r="F5304" s="31" t="str">
        <f>IFERROR(VLOOKUP(E5304,BD!$L$2:$Q$244,2,0),0)</f>
        <v>COCA-COLA SIN AZUCAR PET 1.5LX2</v>
      </c>
      <c r="G5304" s="424">
        <v>1728</v>
      </c>
      <c r="H5304" s="31">
        <f>+IFERROR(VLOOKUP(E5304,BD!$L$2:$Q$244,6,0),0)</f>
        <v>198</v>
      </c>
      <c r="I5304" s="62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7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7">
        <v>254853</v>
      </c>
      <c r="F5305" s="31" t="str">
        <f>IFERROR(VLOOKUP(E5305,BD!$L$2:$Q$244,2,0),0)</f>
        <v>INCA KOLA SIN AZUCAR PET 1.5LX2</v>
      </c>
      <c r="G5305" s="424">
        <v>1512</v>
      </c>
      <c r="H5305" s="31">
        <f>+IFERROR(VLOOKUP(E5305,BD!$L$2:$Q$244,6,0),0)</f>
        <v>198</v>
      </c>
      <c r="I5305" s="62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7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7">
        <v>256601</v>
      </c>
      <c r="F5306" s="31" t="str">
        <f>IFERROR(VLOOKUP(E5306,BD!$L$2:$Q$244,2,0),0)</f>
        <v>INCA KOLA PET 2.25LX2 RF</v>
      </c>
      <c r="G5306" s="424">
        <v>162</v>
      </c>
      <c r="H5306" s="31">
        <f>+IFERROR(VLOOKUP(E5306,BD!$L$2:$Q$244,6,0),0)</f>
        <v>162</v>
      </c>
      <c r="I5306" s="62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7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7">
        <v>256488</v>
      </c>
      <c r="F5307" s="31" t="str">
        <f>IFERROR(VLOOKUP(E5307,BD!$L$2:$Q$244,2,0),0)</f>
        <v>INCA KOLA PET 3LX2 - RF</v>
      </c>
      <c r="G5307" s="424">
        <v>2400</v>
      </c>
      <c r="H5307" s="31">
        <f>+IFERROR(VLOOKUP(E5307,BD!$L$2:$Q$244,6,0),0)</f>
        <v>120</v>
      </c>
      <c r="I5307" s="62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7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7">
        <v>256676</v>
      </c>
      <c r="F5308" s="31" t="str">
        <f>IFERROR(VLOOKUP(E5308,BD!$L$2:$Q$244,2,0),0)</f>
        <v>TWO PACK CC PFM 3LX2 - RFCC</v>
      </c>
      <c r="G5308" s="424">
        <v>1200</v>
      </c>
      <c r="H5308" s="31">
        <f>+IFERROR(VLOOKUP(E5308,BD!$L$2:$Q$244,6,0),0)</f>
        <v>120</v>
      </c>
      <c r="I5308" s="62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7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7">
        <v>256674</v>
      </c>
      <c r="F5309" s="31" t="str">
        <f>IFERROR(VLOOKUP(E5309,BD!$L$2:$Q$244,2,0),0)</f>
        <v>COCA-COLA PET 1.5LX2 RF</v>
      </c>
      <c r="G5309" s="424">
        <v>3456</v>
      </c>
      <c r="H5309" s="31">
        <f>+IFERROR(VLOOKUP(E5309,BD!$L$2:$Q$244,6,0),0)</f>
        <v>198</v>
      </c>
      <c r="I5309" s="62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7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7">
        <v>256677</v>
      </c>
      <c r="F5310" s="31" t="str">
        <f>IFERROR(VLOOKUP(E5310,BD!$L$2:$Q$244,2,0),0)</f>
        <v>TWO PACK CC + IK PFM 3LX2 - RFNN</v>
      </c>
      <c r="G5310" s="424">
        <v>1440</v>
      </c>
      <c r="H5310" s="31">
        <f>+IFERROR(VLOOKUP(E5310,BD!$L$2:$Q$244,6,0),0)</f>
        <v>120</v>
      </c>
      <c r="I5310" s="62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7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7">
        <v>256383</v>
      </c>
      <c r="F5311" s="31" t="str">
        <f>IFERROR(VLOOKUP(E5311,BD!$L$2:$Q$244,2,0),0)</f>
        <v>COCA COLA VR 1.5LX8 - STICKER</v>
      </c>
      <c r="G5311" s="424">
        <v>300</v>
      </c>
      <c r="H5311" s="31">
        <f>+IFERROR(VLOOKUP(E5311,BD!$L$2:$Q$244,6,0),0)</f>
        <v>30</v>
      </c>
      <c r="I5311" s="62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7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7">
        <v>256381</v>
      </c>
      <c r="F5312" s="31" t="str">
        <f>IFERROR(VLOOKUP(E5312,BD!$L$2:$Q$244,2,0),0)</f>
        <v>INCA KOLA VR 1.5LX8 - STICKER</v>
      </c>
      <c r="G5312" s="424">
        <v>90</v>
      </c>
      <c r="H5312" s="31">
        <f>+IFERROR(VLOOKUP(E5312,BD!$L$2:$Q$244,6,0),0)</f>
        <v>30</v>
      </c>
      <c r="I5312" s="62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7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7">
        <v>256379</v>
      </c>
      <c r="F5313" s="31" t="str">
        <f>IFERROR(VLOOKUP(E5313,BD!$L$2:$Q$244,2,0),0)</f>
        <v>INCA KOLA VR 625MLX12 - STICKER</v>
      </c>
      <c r="G5313" s="424">
        <v>250</v>
      </c>
      <c r="H5313" s="31">
        <f>+IFERROR(VLOOKUP(E5313,BD!$L$2:$Q$244,6,0),0)</f>
        <v>50</v>
      </c>
      <c r="I5313" s="62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7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7">
        <v>252436</v>
      </c>
      <c r="F5314" s="31" t="str">
        <f>IFERROR(VLOOKUP(E5314,BD!$L$2:$Q$244,2,0),0)</f>
        <v>SAN LUIS SIN GAS PET 625MLX15 C/STICKER</v>
      </c>
      <c r="G5314" s="424">
        <v>450</v>
      </c>
      <c r="H5314" s="31">
        <f>+IFERROR(VLOOKUP(E5314,BD!$L$2:$Q$244,6,0),0)</f>
        <v>90</v>
      </c>
      <c r="I5314" s="62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7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7">
        <v>751315</v>
      </c>
      <c r="F5315" s="31" t="str">
        <f>IFERROR(VLOOKUP(E5315,BD!$L$2:$Q$244,2,0),0)</f>
        <v>MONSTER ENERGY 473MLX4</v>
      </c>
      <c r="G5315" s="424">
        <v>840</v>
      </c>
      <c r="H5315" s="31">
        <f>+IFERROR(VLOOKUP(E5315,BD!$L$2:$Q$244,6,0),0)</f>
        <v>420</v>
      </c>
      <c r="I5315" s="62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7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7">
        <v>251406</v>
      </c>
      <c r="F5316" s="31" t="str">
        <f>IFERROR(VLOOKUP(E5316,BD!$L$2:$Q$244,2,0),0)</f>
        <v>COCA-COLA SIN AZUCAR PET 1.5LX2</v>
      </c>
      <c r="G5316" s="424">
        <v>2592</v>
      </c>
      <c r="H5316" s="31">
        <f>+IFERROR(VLOOKUP(E5316,BD!$L$2:$Q$244,6,0),0)</f>
        <v>198</v>
      </c>
      <c r="I5316" s="62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7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7">
        <v>254853</v>
      </c>
      <c r="F5317" s="31" t="str">
        <f>IFERROR(VLOOKUP(E5317,BD!$L$2:$Q$244,2,0),0)</f>
        <v>INCA KOLA SIN AZUCAR PET 1.5LX2</v>
      </c>
      <c r="G5317" s="424">
        <v>1728</v>
      </c>
      <c r="H5317" s="31">
        <f>+IFERROR(VLOOKUP(E5317,BD!$L$2:$Q$244,6,0),0)</f>
        <v>198</v>
      </c>
      <c r="I5317" s="62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7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7">
        <v>256674</v>
      </c>
      <c r="F5318" s="31" t="str">
        <f>IFERROR(VLOOKUP(E5318,BD!$L$2:$Q$244,2,0),0)</f>
        <v>COCA-COLA PET 1.5LX2 RF</v>
      </c>
      <c r="G5318" s="424">
        <v>864</v>
      </c>
      <c r="H5318" s="31">
        <f>+IFERROR(VLOOKUP(E5318,BD!$L$2:$Q$244,6,0),0)</f>
        <v>198</v>
      </c>
      <c r="I5318" s="62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7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7">
        <v>256677</v>
      </c>
      <c r="F5319" s="31" t="str">
        <f>IFERROR(VLOOKUP(E5319,BD!$L$2:$Q$244,2,0),0)</f>
        <v>TWO PACK CC + IK PFM 3LX2 - RFNN</v>
      </c>
      <c r="G5319" s="424">
        <v>3600</v>
      </c>
      <c r="H5319" s="31">
        <f>+IFERROR(VLOOKUP(E5319,BD!$L$2:$Q$244,6,0),0)</f>
        <v>120</v>
      </c>
      <c r="I5319" s="62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7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7">
        <v>256674</v>
      </c>
      <c r="F5320" s="31" t="str">
        <f>IFERROR(VLOOKUP(E5320,BD!$L$2:$Q$244,2,0),0)</f>
        <v>COCA-COLA PET 1.5LX2 RF</v>
      </c>
      <c r="G5320" s="424">
        <v>1440</v>
      </c>
      <c r="H5320" s="31">
        <f>+IFERROR(VLOOKUP(E5320,BD!$L$2:$Q$244,6,0),0)</f>
        <v>198</v>
      </c>
      <c r="I5320" s="62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7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7">
        <v>256678</v>
      </c>
      <c r="F5321" s="31" t="str">
        <f>IFERROR(VLOOKUP(E5321,BD!$L$2:$Q$244,2,0),0)</f>
        <v>TRIPACK (CC+IK)PFM+FT PET 3LX3 - RFNN</v>
      </c>
      <c r="G5321" s="424">
        <v>720</v>
      </c>
      <c r="H5321" s="31">
        <f>+IFERROR(VLOOKUP(E5321,BD!$L$2:$Q$244,6,0),0)</f>
        <v>90</v>
      </c>
      <c r="I5321" s="62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7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7">
        <v>751315</v>
      </c>
      <c r="F5322" s="31" t="str">
        <f>IFERROR(VLOOKUP(E5322,BD!$L$2:$Q$244,2,0),0)</f>
        <v>MONSTER ENERGY 473MLX4</v>
      </c>
      <c r="G5322" s="424">
        <v>420</v>
      </c>
      <c r="H5322" s="31">
        <f>+IFERROR(VLOOKUP(E5322,BD!$L$2:$Q$244,6,0),0)</f>
        <v>420</v>
      </c>
      <c r="I5322" s="62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7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7">
        <v>251633</v>
      </c>
      <c r="F5323" s="31" t="str">
        <f>IFERROR(VLOOKUP(E5323,BD!$L$2:$Q$244,2,0),0)</f>
        <v>SAN LUIS CON GAS PET 625MLX6</v>
      </c>
      <c r="G5323" s="424">
        <v>540</v>
      </c>
      <c r="H5323" s="31">
        <f>+IFERROR(VLOOKUP(E5323,BD!$L$2:$Q$244,6,0),0)</f>
        <v>180</v>
      </c>
      <c r="I5323" s="62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7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7">
        <v>256677</v>
      </c>
      <c r="F5324" s="31" t="str">
        <f>IFERROR(VLOOKUP(E5324,BD!$L$2:$Q$244,2,0),0)</f>
        <v>TWO PACK CC + IK PFM 3LX2 - RFNN</v>
      </c>
      <c r="G5324" s="424">
        <v>480</v>
      </c>
      <c r="H5324" s="31">
        <f>+IFERROR(VLOOKUP(E5324,BD!$L$2:$Q$244,6,0),0)</f>
        <v>120</v>
      </c>
      <c r="I5324" s="62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7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7">
        <v>256678</v>
      </c>
      <c r="F5325" s="31" t="str">
        <f>IFERROR(VLOOKUP(E5325,BD!$L$2:$Q$244,2,0),0)</f>
        <v>TRIPACK (CC+IK)PFM+FT PET 3LX3 - RFNN</v>
      </c>
      <c r="G5325" s="424">
        <v>360</v>
      </c>
      <c r="H5325" s="31">
        <f>+IFERROR(VLOOKUP(E5325,BD!$L$2:$Q$244,6,0),0)</f>
        <v>90</v>
      </c>
      <c r="I5325" s="62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7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7">
        <v>252436</v>
      </c>
      <c r="F5326" s="31" t="str">
        <f>IFERROR(VLOOKUP(E5326,BD!$L$2:$Q$244,2,0),0)</f>
        <v>SAN LUIS SIN GAS PET 625MLX15 C/STICKER</v>
      </c>
      <c r="G5326" s="424">
        <v>810</v>
      </c>
      <c r="H5326" s="31">
        <f>+IFERROR(VLOOKUP(E5326,BD!$L$2:$Q$244,6,0),0)</f>
        <v>90</v>
      </c>
      <c r="I5326" s="62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7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7">
        <v>751468</v>
      </c>
      <c r="F5327" s="31" t="str">
        <f>IFERROR(VLOOKUP(E5327,BD!$L$2:$Q$244,2,0),0)</f>
        <v>MONSTER ENERGY ULTRA 473MLX4</v>
      </c>
      <c r="G5327" s="424">
        <v>2100</v>
      </c>
      <c r="H5327" s="31">
        <f>+IFERROR(VLOOKUP(E5327,BD!$L$2:$Q$244,6,0),0)</f>
        <v>420</v>
      </c>
      <c r="I5327" s="62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7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7">
        <v>256616</v>
      </c>
      <c r="F5328" s="31" t="str">
        <f>IFERROR(VLOOKUP(E5328,BD!$L$2:$Q$244,2,0),0)</f>
        <v>TWO PACK SCHWEPPES CITRUS PET 1.5LX2</v>
      </c>
      <c r="G5328" s="424">
        <v>396</v>
      </c>
      <c r="H5328" s="31">
        <f>+IFERROR(VLOOKUP(E5328,BD!$L$2:$Q$244,6,0),0)</f>
        <v>198</v>
      </c>
      <c r="I5328" s="62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7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7">
        <v>256617</v>
      </c>
      <c r="F5329" s="31" t="str">
        <f>IFERROR(VLOOKUP(E5329,BD!$L$2:$Q$244,2,0),0)</f>
        <v>TWO PACK SCHWEPPES GINGER ALE PET 1.5LX2</v>
      </c>
      <c r="G5329" s="424">
        <v>396</v>
      </c>
      <c r="H5329" s="31">
        <f>+IFERROR(VLOOKUP(E5329,BD!$L$2:$Q$244,6,0),0)</f>
        <v>198</v>
      </c>
      <c r="I5329" s="62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7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7">
        <v>256652</v>
      </c>
      <c r="F5330" s="31" t="str">
        <f>IFERROR(VLOOKUP(E5330,BD!$L$2:$Q$244,2,0),0)</f>
        <v>TRIPACK FT NAR+FT KI+SP PET 3L</v>
      </c>
      <c r="G5330" s="424">
        <v>450</v>
      </c>
      <c r="H5330" s="31">
        <f>+IFERROR(VLOOKUP(E5330,BD!$L$2:$Q$244,6,0),0)</f>
        <v>90</v>
      </c>
      <c r="I5330" s="62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7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7">
        <v>256677</v>
      </c>
      <c r="F5331" s="31" t="str">
        <f>IFERROR(VLOOKUP(E5331,BD!$L$2:$Q$244,2,0),0)</f>
        <v>TWO PACK CC + IK PFM 3LX2 - RFNN</v>
      </c>
      <c r="G5331" s="424">
        <v>4320</v>
      </c>
      <c r="H5331" s="31">
        <f>+IFERROR(VLOOKUP(E5331,BD!$L$2:$Q$244,6,0),0)</f>
        <v>120</v>
      </c>
      <c r="I5331" s="62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7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7">
        <v>256680</v>
      </c>
      <c r="F5332" s="31" t="str">
        <f>IFERROR(VLOOKUP(E5332,BD!$L$2:$Q$244,2,0),0)</f>
        <v>TRIPACK CC+CC+IK PFM 3LX3 - RFNN</v>
      </c>
      <c r="G5332" s="424">
        <v>180</v>
      </c>
      <c r="H5332" s="31">
        <f>+IFERROR(VLOOKUP(E5332,BD!$L$2:$Q$244,6,0),0)</f>
        <v>90</v>
      </c>
      <c r="I5332" s="62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7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7">
        <v>256679</v>
      </c>
      <c r="F5333" s="31" t="str">
        <f>IFERROR(VLOOKUP(E5333,BD!$L$2:$Q$244,2,0),0)</f>
        <v>TRIPACK CC+IK+IK PFM 3LX3 - RFNN</v>
      </c>
      <c r="G5333" s="424">
        <v>360</v>
      </c>
      <c r="H5333" s="31">
        <f>+IFERROR(VLOOKUP(E5333,BD!$L$2:$Q$244,6,0),0)</f>
        <v>90</v>
      </c>
      <c r="I5333" s="62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7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7">
        <v>256678</v>
      </c>
      <c r="F5334" s="31" t="str">
        <f>IFERROR(VLOOKUP(E5334,BD!$L$2:$Q$244,2,0),0)</f>
        <v>TRIPACK (CC+IK)PFM+FT PET 3LX3 - RFNN</v>
      </c>
      <c r="G5334" s="424">
        <v>1980</v>
      </c>
      <c r="H5334" s="31">
        <f>+IFERROR(VLOOKUP(E5334,BD!$L$2:$Q$244,6,0),0)</f>
        <v>90</v>
      </c>
      <c r="I5334" s="62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7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7">
        <v>256682</v>
      </c>
      <c r="F5335" s="31" t="str">
        <f>IFERROR(VLOOKUP(E5335,BD!$L$2:$Q$244,2,0),0)</f>
        <v>TRIPACK (FT NAR+SP)PET+IK RF PFM 3L</v>
      </c>
      <c r="G5335" s="424">
        <v>450</v>
      </c>
      <c r="H5335" s="31">
        <f>+IFERROR(VLOOKUP(E5335,BD!$L$2:$Q$244,6,0),0)</f>
        <v>90</v>
      </c>
      <c r="I5335" s="62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7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7">
        <v>256720</v>
      </c>
      <c r="F5336" s="31" t="str">
        <f>IFERROR(VLOOKUP(E5336,BD!$L$2:$Q$244,2,0),0)</f>
        <v>FANTA NARANJA PET 500MLX6 BRANDEADO MOD</v>
      </c>
      <c r="G5336" s="424">
        <v>750</v>
      </c>
      <c r="H5336" s="31">
        <f>+IFERROR(VLOOKUP(E5336,BD!$L$2:$Q$244,6,0),0)</f>
        <v>420</v>
      </c>
      <c r="I5336" s="62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7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7">
        <v>256721</v>
      </c>
      <c r="F5337" s="31" t="str">
        <f>IFERROR(VLOOKUP(E5337,BD!$L$2:$Q$244,2,0),0)</f>
        <v>SPRITE PET 500MLX6 BRANDEADO MOD</v>
      </c>
      <c r="G5337" s="424">
        <v>1000</v>
      </c>
      <c r="H5337" s="31">
        <f>+IFERROR(VLOOKUP(E5337,BD!$L$2:$Q$244,6,0),0)</f>
        <v>420</v>
      </c>
      <c r="I5337" s="62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7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7">
        <v>256685</v>
      </c>
      <c r="F5338" s="31" t="str">
        <f>IFERROR(VLOOKUP(E5338,BD!$L$2:$Q$244,2,0),0)</f>
        <v>SL S/G TAPA PLANA 1LT</v>
      </c>
      <c r="G5338" s="424">
        <v>112</v>
      </c>
      <c r="H5338" s="31">
        <f>+IFERROR(VLOOKUP(E5338,BD!$L$2:$Q$244,6,0),0)</f>
        <v>112</v>
      </c>
      <c r="I5338" s="62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7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7">
        <v>251406</v>
      </c>
      <c r="F5339" s="31" t="str">
        <f>IFERROR(VLOOKUP(E5339,BD!$L$2:$Q$244,2,0),0)</f>
        <v>COCA-COLA SIN AZUCAR PET 1.5LX2</v>
      </c>
      <c r="G5339" s="424">
        <v>864</v>
      </c>
      <c r="H5339" s="31">
        <f>+IFERROR(VLOOKUP(E5339,BD!$L$2:$Q$244,6,0),0)</f>
        <v>198</v>
      </c>
      <c r="I5339" s="62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7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7">
        <v>254853</v>
      </c>
      <c r="F5340" s="31" t="str">
        <f>IFERROR(VLOOKUP(E5340,BD!$L$2:$Q$244,2,0),0)</f>
        <v>INCA KOLA SIN AZUCAR PET 1.5LX2</v>
      </c>
      <c r="G5340" s="424">
        <v>1080</v>
      </c>
      <c r="H5340" s="31">
        <f>+IFERROR(VLOOKUP(E5340,BD!$L$2:$Q$244,6,0),0)</f>
        <v>198</v>
      </c>
      <c r="I5340" s="62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7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7">
        <v>256549</v>
      </c>
      <c r="F5341" s="31" t="str">
        <f>IFERROR(VLOOKUP(E5341,BD!$L$2:$Q$244,2,0),0)</f>
        <v>TWO PACK IK PET 1.5LX2 - CRCG</v>
      </c>
      <c r="G5341" s="424">
        <v>432</v>
      </c>
      <c r="H5341" s="31">
        <f>+IFERROR(VLOOKUP(E5341,BD!$L$2:$Q$244,6,0),0)</f>
        <v>198</v>
      </c>
      <c r="I5341" s="62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7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7">
        <v>256677</v>
      </c>
      <c r="F5342" s="31" t="str">
        <f>IFERROR(VLOOKUP(E5342,BD!$L$2:$Q$244,2,0),0)</f>
        <v>TWO PACK CC + IK PFM 3LX2 - RFNN</v>
      </c>
      <c r="G5342" s="424">
        <v>11520</v>
      </c>
      <c r="H5342" s="31">
        <f>+IFERROR(VLOOKUP(E5342,BD!$L$2:$Q$244,6,0),0)</f>
        <v>120</v>
      </c>
      <c r="I5342" s="62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7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7">
        <v>256695</v>
      </c>
      <c r="F5343" s="31" t="str">
        <f>IFERROR(VLOOKUP(E5343,BD!$L$2:$Q$244,2,0),0)</f>
        <v>POWERADE 3MORA+3FRUT PET 473MLX6</v>
      </c>
      <c r="G5343" s="424">
        <v>900</v>
      </c>
      <c r="H5343" s="31">
        <f>+IFERROR(VLOOKUP(E5343,BD!$L$2:$Q$244,6,0),0)</f>
        <v>225</v>
      </c>
      <c r="I5343" s="62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7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7">
        <v>252436</v>
      </c>
      <c r="F5344" s="31" t="str">
        <f>IFERROR(VLOOKUP(E5344,BD!$L$2:$Q$244,2,0),0)</f>
        <v>SAN LUIS SIN GAS PET 625MLX15 C/STICKER</v>
      </c>
      <c r="G5344" s="424">
        <v>720</v>
      </c>
      <c r="H5344" s="31">
        <f>+IFERROR(VLOOKUP(E5344,BD!$L$2:$Q$244,6,0),0)</f>
        <v>90</v>
      </c>
      <c r="I5344" s="62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7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7">
        <v>256685</v>
      </c>
      <c r="F5345" s="31" t="str">
        <f>IFERROR(VLOOKUP(E5345,BD!$L$2:$Q$244,2,0),0)</f>
        <v>SL S/G TAPA PLANA 1LT</v>
      </c>
      <c r="G5345" s="424">
        <v>336</v>
      </c>
      <c r="H5345" s="31">
        <f>+IFERROR(VLOOKUP(E5345,BD!$L$2:$Q$244,6,0),0)</f>
        <v>112</v>
      </c>
      <c r="I5345" s="62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7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7">
        <v>251429</v>
      </c>
      <c r="F5346" s="31" t="str">
        <f>IFERROR(VLOOKUP(E5346,BD!$L$2:$Q$244,2,0),0)</f>
        <v>SAN LUIS SIN GAS PET2500X6 STICKER</v>
      </c>
      <c r="G5346" s="424">
        <v>480</v>
      </c>
      <c r="H5346" s="31">
        <f>+IFERROR(VLOOKUP(E5346,BD!$L$2:$Q$244,6,0),0)</f>
        <v>48</v>
      </c>
      <c r="I5346" s="62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7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7">
        <v>256488</v>
      </c>
      <c r="F5347" s="31" t="str">
        <f>IFERROR(VLOOKUP(E5347,BD!$L$2:$Q$244,2,0),0)</f>
        <v>INCA KOLA PET 3LX2 - RF</v>
      </c>
      <c r="G5347" s="424">
        <v>2400</v>
      </c>
      <c r="H5347" s="31">
        <f>+IFERROR(VLOOKUP(E5347,BD!$L$2:$Q$244,6,0),0)</f>
        <v>120</v>
      </c>
      <c r="I5347" s="62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7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7">
        <v>256676</v>
      </c>
      <c r="F5348" s="31" t="str">
        <f>IFERROR(VLOOKUP(E5348,BD!$L$2:$Q$244,2,0),0)</f>
        <v>TWO PACK CC PFM 3LX2 - RFCC</v>
      </c>
      <c r="G5348" s="424">
        <v>1800</v>
      </c>
      <c r="H5348" s="31">
        <f>+IFERROR(VLOOKUP(E5348,BD!$L$2:$Q$244,6,0),0)</f>
        <v>120</v>
      </c>
      <c r="I5348" s="62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7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7">
        <v>256680</v>
      </c>
      <c r="F5349" s="31" t="str">
        <f>IFERROR(VLOOKUP(E5349,BD!$L$2:$Q$244,2,0),0)</f>
        <v>TRIPACK CC+CC+IK PFM 3LX3 - RFNN</v>
      </c>
      <c r="G5349" s="424">
        <v>900</v>
      </c>
      <c r="H5349" s="31">
        <f>+IFERROR(VLOOKUP(E5349,BD!$L$2:$Q$244,6,0),0)</f>
        <v>90</v>
      </c>
      <c r="I5349" s="62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7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7">
        <v>256679</v>
      </c>
      <c r="F5350" s="31" t="str">
        <f>IFERROR(VLOOKUP(E5350,BD!$L$2:$Q$244,2,0),0)</f>
        <v>TRIPACK CC+IK+IK PFM 3LX3 - RFNN</v>
      </c>
      <c r="G5350" s="424">
        <v>1440</v>
      </c>
      <c r="H5350" s="31">
        <f>+IFERROR(VLOOKUP(E5350,BD!$L$2:$Q$244,6,0),0)</f>
        <v>90</v>
      </c>
      <c r="I5350" s="62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7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7">
        <v>256678</v>
      </c>
      <c r="F5351" s="31" t="str">
        <f>IFERROR(VLOOKUP(E5351,BD!$L$2:$Q$244,2,0),0)</f>
        <v>TRIPACK (CC+IK)PFM+FT PET 3LX3 - RFNN</v>
      </c>
      <c r="G5351" s="424">
        <v>900</v>
      </c>
      <c r="H5351" s="31">
        <f>+IFERROR(VLOOKUP(E5351,BD!$L$2:$Q$244,6,0),0)</f>
        <v>90</v>
      </c>
      <c r="I5351" s="62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7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7">
        <v>256720</v>
      </c>
      <c r="F5352" s="31" t="str">
        <f>IFERROR(VLOOKUP(E5352,BD!$L$2:$Q$244,2,0),0)</f>
        <v>FANTA NARANJA PET 500MLX6 BRANDEADO MOD</v>
      </c>
      <c r="G5352" s="424">
        <v>500</v>
      </c>
      <c r="H5352" s="31">
        <f>+IFERROR(VLOOKUP(E5352,BD!$L$2:$Q$244,6,0),0)</f>
        <v>420</v>
      </c>
      <c r="I5352" s="62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7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7">
        <v>751315</v>
      </c>
      <c r="F5353" s="31" t="str">
        <f>IFERROR(VLOOKUP(E5353,BD!$L$2:$Q$244,2,0),0)</f>
        <v>MONSTER ENERGY 473MLX4</v>
      </c>
      <c r="G5353" s="424">
        <v>1260</v>
      </c>
      <c r="H5353" s="31">
        <f>+IFERROR(VLOOKUP(E5353,BD!$L$2:$Q$244,6,0),0)</f>
        <v>420</v>
      </c>
      <c r="I5353" s="62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7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7">
        <v>751468</v>
      </c>
      <c r="F5354" s="31" t="str">
        <f>IFERROR(VLOOKUP(E5354,BD!$L$2:$Q$244,2,0),0)</f>
        <v>MONSTER ENERGY ULTRA 473MLX4</v>
      </c>
      <c r="G5354" s="424">
        <v>1260</v>
      </c>
      <c r="H5354" s="31">
        <f>+IFERROR(VLOOKUP(E5354,BD!$L$2:$Q$244,6,0),0)</f>
        <v>420</v>
      </c>
      <c r="I5354" s="62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7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7">
        <v>751544</v>
      </c>
      <c r="F5355" s="31" t="str">
        <f>IFERROR(VLOOKUP(E5355,BD!$L$2:$Q$244,2,0),0)</f>
        <v>MONSTER ENERGY ZERO 473MLX4</v>
      </c>
      <c r="G5355" s="424">
        <v>840</v>
      </c>
      <c r="H5355" s="31">
        <f>+IFERROR(VLOOKUP(E5355,BD!$L$2:$Q$244,6,0),0)</f>
        <v>420</v>
      </c>
      <c r="I5355" s="62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7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7">
        <v>256666</v>
      </c>
      <c r="F5356" s="31" t="str">
        <f>IFERROR(VLOOKUP(E5356,BD!$L$2:$Q$244,2,0),0)</f>
        <v>COCA-COLA PET 2.25LX2 RF</v>
      </c>
      <c r="G5356" s="424">
        <v>486</v>
      </c>
      <c r="H5356" s="31">
        <f>+IFERROR(VLOOKUP(E5356,BD!$L$2:$Q$244,6,0),0)</f>
        <v>162</v>
      </c>
      <c r="I5356" s="62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7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7">
        <v>256601</v>
      </c>
      <c r="F5357" s="31" t="str">
        <f>IFERROR(VLOOKUP(E5357,BD!$L$2:$Q$244,2,0),0)</f>
        <v>INCA KOLA PET 2.25LX2 RF</v>
      </c>
      <c r="G5357" s="424">
        <v>648</v>
      </c>
      <c r="H5357" s="31">
        <f>+IFERROR(VLOOKUP(E5357,BD!$L$2:$Q$244,6,0),0)</f>
        <v>162</v>
      </c>
      <c r="I5357" s="62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7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7">
        <v>256674</v>
      </c>
      <c r="F5358" s="31" t="str">
        <f>IFERROR(VLOOKUP(E5358,BD!$L$2:$Q$244,2,0),0)</f>
        <v>COCA-COLA PET 1.5LX2 RF</v>
      </c>
      <c r="G5358" s="424">
        <v>1296</v>
      </c>
      <c r="H5358" s="31">
        <f>+IFERROR(VLOOKUP(E5358,BD!$L$2:$Q$244,6,0),0)</f>
        <v>198</v>
      </c>
      <c r="I5358" s="62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7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7">
        <v>256675</v>
      </c>
      <c r="F5359" s="31" t="str">
        <f>IFERROR(VLOOKUP(E5359,BD!$L$2:$Q$244,2,0),0)</f>
        <v>INCA KOLA PET 1.5LX2 RF</v>
      </c>
      <c r="G5359" s="424">
        <v>1728</v>
      </c>
      <c r="H5359" s="31">
        <f>+IFERROR(VLOOKUP(E5359,BD!$L$2:$Q$244,6,0),0)</f>
        <v>198</v>
      </c>
      <c r="I5359" s="62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7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7">
        <v>256652</v>
      </c>
      <c r="F5360" s="31" t="str">
        <f>IFERROR(VLOOKUP(E5360,BD!$L$2:$Q$244,2,0),0)</f>
        <v>TRIPACK FT NAR+FT KI+SP PET 3L</v>
      </c>
      <c r="G5360" s="424">
        <v>900</v>
      </c>
      <c r="H5360" s="31">
        <f>+IFERROR(VLOOKUP(E5360,BD!$L$2:$Q$244,6,0),0)</f>
        <v>90</v>
      </c>
      <c r="I5360" s="62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7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7">
        <v>256677</v>
      </c>
      <c r="F5361" s="31" t="str">
        <f>IFERROR(VLOOKUP(E5361,BD!$L$2:$Q$244,2,0),0)</f>
        <v>TWO PACK CC + IK PFM 3LX2 - RFNN</v>
      </c>
      <c r="G5361" s="424">
        <v>6240</v>
      </c>
      <c r="H5361" s="31">
        <f>+IFERROR(VLOOKUP(E5361,BD!$L$2:$Q$244,6,0),0)</f>
        <v>120</v>
      </c>
      <c r="I5361" s="62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7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7">
        <v>256708</v>
      </c>
      <c r="F5362" s="31" t="str">
        <f>IFERROR(VLOOKUP(E5362,BD!$L$2:$Q$244,2,0),0)</f>
        <v>POWERADE ION4 FRUTA PET473X6 MOD (STICK)</v>
      </c>
      <c r="G5362" s="424">
        <v>450</v>
      </c>
      <c r="H5362" s="31">
        <f>+IFERROR(VLOOKUP(E5362,BD!$L$2:$Q$244,6,0),0)</f>
        <v>225</v>
      </c>
      <c r="I5362" s="62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7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7">
        <v>256381</v>
      </c>
      <c r="F5363" s="31" t="str">
        <f>IFERROR(VLOOKUP(E5363,BD!$L$2:$Q$244,2,0),0)</f>
        <v>INCA KOLA VR 1.5LX8 - STICKER</v>
      </c>
      <c r="G5363" s="424">
        <v>90</v>
      </c>
      <c r="H5363" s="31">
        <f>+IFERROR(VLOOKUP(E5363,BD!$L$2:$Q$244,6,0),0)</f>
        <v>30</v>
      </c>
      <c r="I5363" s="62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7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7">
        <v>256379</v>
      </c>
      <c r="F5364" s="31" t="str">
        <f>IFERROR(VLOOKUP(E5364,BD!$L$2:$Q$244,2,0),0)</f>
        <v>INCA KOLA VR 625MLX12 - STICKER</v>
      </c>
      <c r="G5364" s="424">
        <v>200</v>
      </c>
      <c r="H5364" s="31">
        <f>+IFERROR(VLOOKUP(E5364,BD!$L$2:$Q$244,6,0),0)</f>
        <v>50</v>
      </c>
      <c r="I5364" s="62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7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7">
        <v>251429</v>
      </c>
      <c r="F5365" s="31" t="str">
        <f>IFERROR(VLOOKUP(E5365,BD!$L$2:$Q$244,2,0),0)</f>
        <v>SAN LUIS SIN GAS PET2500X6 STICKER</v>
      </c>
      <c r="G5365" s="424">
        <v>1152</v>
      </c>
      <c r="H5365" s="31">
        <f>+IFERROR(VLOOKUP(E5365,BD!$L$2:$Q$244,6,0),0)</f>
        <v>48</v>
      </c>
      <c r="I5365" s="62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7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7">
        <v>751315</v>
      </c>
      <c r="F5366" s="31" t="str">
        <f>IFERROR(VLOOKUP(E5366,BD!$L$2:$Q$244,2,0),0)</f>
        <v>MONSTER ENERGY 473MLX4</v>
      </c>
      <c r="G5366" s="424">
        <v>840</v>
      </c>
      <c r="H5366" s="31">
        <f>+IFERROR(VLOOKUP(E5366,BD!$L$2:$Q$244,6,0),0)</f>
        <v>420</v>
      </c>
      <c r="I5366" s="62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7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7">
        <v>751544</v>
      </c>
      <c r="F5367" s="31" t="str">
        <f>IFERROR(VLOOKUP(E5367,BD!$L$2:$Q$244,2,0),0)</f>
        <v>MONSTER ENERGY ZERO 473MLX4</v>
      </c>
      <c r="G5367" s="424">
        <v>420</v>
      </c>
      <c r="H5367" s="31">
        <f>+IFERROR(VLOOKUP(E5367,BD!$L$2:$Q$244,6,0),0)</f>
        <v>420</v>
      </c>
      <c r="I5367" s="62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7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7">
        <v>256677</v>
      </c>
      <c r="F5368" s="31" t="str">
        <f>IFERROR(VLOOKUP(E5368,BD!$L$2:$Q$244,2,0),0)</f>
        <v>TWO PACK CC + IK PFM 3LX2 - RFNN</v>
      </c>
      <c r="G5368" s="424">
        <v>4560</v>
      </c>
      <c r="H5368" s="31">
        <f>+IFERROR(VLOOKUP(E5368,BD!$L$2:$Q$244,6,0),0)</f>
        <v>120</v>
      </c>
      <c r="I5368" s="62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7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7">
        <v>256753</v>
      </c>
      <c r="F5369" s="31" t="str">
        <f>IFERROR(VLOOKUP(E5369,BD!$L$2:$Q$244,2,0),0)</f>
        <v>PACK-2 FT NAR+FT KI+FT PIÑA+SP RP 1.5LX8</v>
      </c>
      <c r="G5369" s="424">
        <v>390</v>
      </c>
      <c r="H5369" s="31">
        <f>+IFERROR(VLOOKUP(E5369,BD!$L$2:$Q$244,6,0),0)</f>
        <v>30</v>
      </c>
      <c r="I5369" s="62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7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7">
        <v>256381</v>
      </c>
      <c r="F5370" s="31" t="str">
        <f>IFERROR(VLOOKUP(E5370,BD!$L$2:$Q$244,2,0),0)</f>
        <v>INCA KOLA VR 1.5LX8 - STICKER</v>
      </c>
      <c r="G5370" s="424">
        <v>180</v>
      </c>
      <c r="H5370" s="31">
        <f>+IFERROR(VLOOKUP(E5370,BD!$L$2:$Q$244,6,0),0)</f>
        <v>30</v>
      </c>
      <c r="I5370" s="62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7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7">
        <v>256677</v>
      </c>
      <c r="F5371" s="31" t="str">
        <f>IFERROR(VLOOKUP(E5371,BD!$L$2:$Q$244,2,0),0)</f>
        <v>TWO PACK CC + IK PFM 3LX2 - RFNN</v>
      </c>
      <c r="G5371" s="424">
        <v>1200</v>
      </c>
      <c r="H5371" s="31">
        <f>+IFERROR(VLOOKUP(E5371,BD!$L$2:$Q$244,6,0),0)</f>
        <v>120</v>
      </c>
      <c r="I5371" s="62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7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7">
        <v>256680</v>
      </c>
      <c r="F5372" s="31" t="str">
        <f>IFERROR(VLOOKUP(E5372,BD!$L$2:$Q$244,2,0),0)</f>
        <v>TRIPACK CC+CC+IK PFM 3LX3 - RFNN</v>
      </c>
      <c r="G5372" s="424">
        <v>1440</v>
      </c>
      <c r="H5372" s="31">
        <f>+IFERROR(VLOOKUP(E5372,BD!$L$2:$Q$244,6,0),0)</f>
        <v>90</v>
      </c>
      <c r="I5372" s="62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7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7">
        <v>256753</v>
      </c>
      <c r="F5373" s="31" t="str">
        <f>IFERROR(VLOOKUP(E5373,BD!$L$2:$Q$244,2,0),0)</f>
        <v>PACK-2 FT NAR+FT KI+FT PIÑA+SP RP 1.5LX8</v>
      </c>
      <c r="G5373" s="424">
        <v>210</v>
      </c>
      <c r="H5373" s="31">
        <f>+IFERROR(VLOOKUP(E5373,BD!$L$2:$Q$244,6,0),0)</f>
        <v>30</v>
      </c>
      <c r="I5373" s="62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7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7">
        <v>256383</v>
      </c>
      <c r="F5374" s="31" t="str">
        <f>IFERROR(VLOOKUP(E5374,BD!$L$2:$Q$244,2,0),0)</f>
        <v>COCA COLA VR 1.5LX8 - STICKER</v>
      </c>
      <c r="G5374" s="424">
        <v>120</v>
      </c>
      <c r="H5374" s="31">
        <f>+IFERROR(VLOOKUP(E5374,BD!$L$2:$Q$244,6,0),0)</f>
        <v>30</v>
      </c>
      <c r="I5374" s="62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7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7">
        <v>256379</v>
      </c>
      <c r="F5375" s="31" t="str">
        <f>IFERROR(VLOOKUP(E5375,BD!$L$2:$Q$244,2,0),0)</f>
        <v>INCA KOLA VR 625MLX12 - STICKER</v>
      </c>
      <c r="G5375" s="424">
        <v>100</v>
      </c>
      <c r="H5375" s="31">
        <f>+IFERROR(VLOOKUP(E5375,BD!$L$2:$Q$244,6,0),0)</f>
        <v>50</v>
      </c>
      <c r="I5375" s="62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7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7">
        <v>751315</v>
      </c>
      <c r="F5376" s="31" t="str">
        <f>IFERROR(VLOOKUP(E5376,BD!$L$2:$Q$244,2,0),0)</f>
        <v>MONSTER ENERGY 473MLX4</v>
      </c>
      <c r="G5376" s="424">
        <v>2100</v>
      </c>
      <c r="H5376" s="31">
        <f>+IFERROR(VLOOKUP(E5376,BD!$L$2:$Q$244,6,0),0)</f>
        <v>420</v>
      </c>
      <c r="I5376" s="62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7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7">
        <v>256753</v>
      </c>
      <c r="F5377" s="31" t="str">
        <f>IFERROR(VLOOKUP(E5377,BD!$L$2:$Q$244,2,0),0)</f>
        <v>PACK-2 FT NAR+FT KI+FT PIÑA+SP RP 1.5LX8</v>
      </c>
      <c r="G5377" s="424">
        <v>360</v>
      </c>
      <c r="H5377" s="31">
        <f>+IFERROR(VLOOKUP(E5377,BD!$L$2:$Q$244,6,0),0)</f>
        <v>30</v>
      </c>
      <c r="I5377" s="62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7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7">
        <v>256677</v>
      </c>
      <c r="F5378" s="31" t="str">
        <f>IFERROR(VLOOKUP(E5378,BD!$L$2:$Q$244,2,0),0)</f>
        <v>TWO PACK CC + IK PFM 3LX2 - RFNN</v>
      </c>
      <c r="G5378" s="424">
        <v>6000</v>
      </c>
      <c r="H5378" s="31">
        <f>+IFERROR(VLOOKUP(E5378,BD!$L$2:$Q$244,6,0),0)</f>
        <v>120</v>
      </c>
      <c r="I5378" s="62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7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7">
        <v>251429</v>
      </c>
      <c r="F5379" s="31" t="str">
        <f>IFERROR(VLOOKUP(E5379,BD!$L$2:$Q$244,2,0),0)</f>
        <v>SAN LUIS SIN GAS PET2500X6 STICKER</v>
      </c>
      <c r="G5379" s="424">
        <v>576</v>
      </c>
      <c r="H5379" s="31">
        <f>+IFERROR(VLOOKUP(E5379,BD!$L$2:$Q$244,6,0),0)</f>
        <v>48</v>
      </c>
      <c r="I5379" s="62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7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7">
        <v>251406</v>
      </c>
      <c r="F5380" s="31" t="str">
        <f>IFERROR(VLOOKUP(E5380,BD!$L$2:$Q$244,2,0),0)</f>
        <v>COCA-COLA SIN AZUCAR PET 1.5LX2</v>
      </c>
      <c r="G5380" s="424">
        <v>5184</v>
      </c>
      <c r="H5380" s="31">
        <f>+IFERROR(VLOOKUP(E5380,BD!$L$2:$Q$244,6,0),0)</f>
        <v>198</v>
      </c>
      <c r="I5380" s="62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7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7">
        <v>254853</v>
      </c>
      <c r="F5381" s="31" t="str">
        <f>IFERROR(VLOOKUP(E5381,BD!$L$2:$Q$244,2,0),0)</f>
        <v>INCA KOLA SIN AZUCAR PET 1.5LX2</v>
      </c>
      <c r="G5381" s="424">
        <v>3456</v>
      </c>
      <c r="H5381" s="31">
        <f>+IFERROR(VLOOKUP(E5381,BD!$L$2:$Q$244,6,0),0)</f>
        <v>198</v>
      </c>
      <c r="I5381" s="62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7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7">
        <v>256616</v>
      </c>
      <c r="F5382" s="31" t="str">
        <f>IFERROR(VLOOKUP(E5382,BD!$L$2:$Q$244,2,0),0)</f>
        <v>TWO PACK SCHWEPPES CITRUS PET 1.5LX2</v>
      </c>
      <c r="G5382" s="424">
        <v>594</v>
      </c>
      <c r="H5382" s="31">
        <f>+IFERROR(VLOOKUP(E5382,BD!$L$2:$Q$244,6,0),0)</f>
        <v>198</v>
      </c>
      <c r="I5382" s="62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7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7">
        <v>256674</v>
      </c>
      <c r="F5383" s="31" t="str">
        <f>IFERROR(VLOOKUP(E5383,BD!$L$2:$Q$244,2,0),0)</f>
        <v>COCA-COLA PET 1.5LX2 RF</v>
      </c>
      <c r="G5383" s="425">
        <v>1728</v>
      </c>
      <c r="H5383" s="31">
        <f>+IFERROR(VLOOKUP(E5383,BD!$L$2:$Q$244,6,0),0)</f>
        <v>198</v>
      </c>
      <c r="I5383" s="62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7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7">
        <v>256675</v>
      </c>
      <c r="F5384" s="31" t="str">
        <f>IFERROR(VLOOKUP(E5384,BD!$L$2:$Q$244,2,0),0)</f>
        <v>INCA KOLA PET 1.5LX2 RF</v>
      </c>
      <c r="G5384" s="425">
        <v>1080</v>
      </c>
      <c r="H5384" s="31">
        <f>+IFERROR(VLOOKUP(E5384,BD!$L$2:$Q$244,6,0),0)</f>
        <v>198</v>
      </c>
      <c r="I5384" s="62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7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7">
        <v>256721</v>
      </c>
      <c r="F5385" s="31" t="str">
        <f>IFERROR(VLOOKUP(E5385,BD!$L$2:$Q$244,2,0),0)</f>
        <v>SPRITE PET 500MLX6 BRANDEADO MOD</v>
      </c>
      <c r="G5385" s="424">
        <v>500</v>
      </c>
      <c r="H5385" s="31">
        <f>+IFERROR(VLOOKUP(E5385,BD!$L$2:$Q$244,6,0),0)</f>
        <v>420</v>
      </c>
      <c r="I5385" s="62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7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7">
        <v>256383</v>
      </c>
      <c r="F5386" s="31" t="str">
        <f>IFERROR(VLOOKUP(E5386,BD!$L$2:$Q$244,2,0),0)</f>
        <v>COCA COLA VR 1.5LX8 - STICKER</v>
      </c>
      <c r="G5386" s="424">
        <v>180</v>
      </c>
      <c r="H5386" s="31">
        <f>+IFERROR(VLOOKUP(E5386,BD!$L$2:$Q$244,6,0),0)</f>
        <v>30</v>
      </c>
      <c r="I5386" s="62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7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7">
        <v>256382</v>
      </c>
      <c r="F5387" s="31" t="str">
        <f>IFERROR(VLOOKUP(E5387,BD!$L$2:$Q$244,2,0),0)</f>
        <v>COCA COLA VR 296MLX24 - STICKER</v>
      </c>
      <c r="G5387" s="424">
        <v>80</v>
      </c>
      <c r="H5387" s="31">
        <f>+IFERROR(VLOOKUP(E5387,BD!$L$2:$Q$244,6,0),0)</f>
        <v>40</v>
      </c>
      <c r="I5387" s="62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7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7">
        <v>256379</v>
      </c>
      <c r="F5388" s="31" t="str">
        <f>IFERROR(VLOOKUP(E5388,BD!$L$2:$Q$244,2,0),0)</f>
        <v>INCA KOLA VR 625MLX12 - STICKER</v>
      </c>
      <c r="G5388" s="424">
        <v>300</v>
      </c>
      <c r="H5388" s="31">
        <f>+IFERROR(VLOOKUP(E5388,BD!$L$2:$Q$244,6,0),0)</f>
        <v>50</v>
      </c>
      <c r="I5388" s="62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7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7">
        <v>251633</v>
      </c>
      <c r="F5389" s="31" t="str">
        <f>IFERROR(VLOOKUP(E5389,BD!$L$2:$Q$244,2,0),0)</f>
        <v>SAN LUIS CON GAS PET 625MLX6</v>
      </c>
      <c r="G5389" s="424">
        <v>900</v>
      </c>
      <c r="H5389" s="31">
        <f>+IFERROR(VLOOKUP(E5389,BD!$L$2:$Q$244,6,0),0)</f>
        <v>180</v>
      </c>
      <c r="I5389" s="62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7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7">
        <v>251406</v>
      </c>
      <c r="F5390" s="31" t="str">
        <f>IFERROR(VLOOKUP(E5390,BD!$L$2:$Q$244,2,0),0)</f>
        <v>COCA-COLA SIN AZUCAR PET 1.5LX2</v>
      </c>
      <c r="G5390" s="425">
        <v>432</v>
      </c>
      <c r="H5390" s="31">
        <f>+IFERROR(VLOOKUP(E5390,BD!$L$2:$Q$244,6,0),0)</f>
        <v>198</v>
      </c>
      <c r="I5390" s="62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7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7">
        <v>256601</v>
      </c>
      <c r="F5391" s="31" t="str">
        <f>IFERROR(VLOOKUP(E5391,BD!$L$2:$Q$244,2,0),0)</f>
        <v>INCA KOLA PET 2.25LX2 RF</v>
      </c>
      <c r="G5391" s="424">
        <v>324</v>
      </c>
      <c r="H5391" s="31">
        <f>+IFERROR(VLOOKUP(E5391,BD!$L$2:$Q$244,6,0),0)</f>
        <v>162</v>
      </c>
      <c r="I5391" s="62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7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7">
        <v>256675</v>
      </c>
      <c r="F5392" s="31" t="str">
        <f>IFERROR(VLOOKUP(E5392,BD!$L$2:$Q$244,2,0),0)</f>
        <v>INCA KOLA PET 1.5LX2 RF</v>
      </c>
      <c r="G5392" s="424">
        <v>1728</v>
      </c>
      <c r="H5392" s="31">
        <f>+IFERROR(VLOOKUP(E5392,BD!$L$2:$Q$244,6,0),0)</f>
        <v>198</v>
      </c>
      <c r="I5392" s="62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7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7">
        <v>256682</v>
      </c>
      <c r="F5393" s="31" t="str">
        <f>IFERROR(VLOOKUP(E5393,BD!$L$2:$Q$244,2,0),0)</f>
        <v>TRIPACK (FT NAR+SP)PET+IK RF PFM 3L</v>
      </c>
      <c r="G5393" s="424">
        <v>450</v>
      </c>
      <c r="H5393" s="31">
        <f>+IFERROR(VLOOKUP(E5393,BD!$L$2:$Q$244,6,0),0)</f>
        <v>90</v>
      </c>
      <c r="I5393" s="62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7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7">
        <v>256695</v>
      </c>
      <c r="F5394" s="31" t="str">
        <f>IFERROR(VLOOKUP(E5394,BD!$L$2:$Q$244,2,0),0)</f>
        <v>POWERADE 3MORA+3FRUT PET 473MLX6</v>
      </c>
      <c r="G5394" s="424">
        <v>1800</v>
      </c>
      <c r="H5394" s="31">
        <f>+IFERROR(VLOOKUP(E5394,BD!$L$2:$Q$244,6,0),0)</f>
        <v>225</v>
      </c>
      <c r="I5394" s="62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7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7">
        <v>256383</v>
      </c>
      <c r="F5395" s="31" t="str">
        <f>IFERROR(VLOOKUP(E5395,BD!$L$2:$Q$244,2,0),0)</f>
        <v>COCA COLA VR 1.5LX8 - STICKER</v>
      </c>
      <c r="G5395" s="424">
        <v>30</v>
      </c>
      <c r="H5395" s="31">
        <f>+IFERROR(VLOOKUP(E5395,BD!$L$2:$Q$244,6,0),0)</f>
        <v>30</v>
      </c>
      <c r="I5395" s="62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7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7">
        <v>256677</v>
      </c>
      <c r="F5396" s="31" t="str">
        <f>IFERROR(VLOOKUP(E5396,BD!$L$2:$Q$244,2,0),0)</f>
        <v>TWO PACK CC + IK PFM 3LX2 - RFNN</v>
      </c>
      <c r="G5396" s="424">
        <v>4320</v>
      </c>
      <c r="H5396" s="31">
        <f>+IFERROR(VLOOKUP(E5396,BD!$L$2:$Q$244,6,0),0)</f>
        <v>120</v>
      </c>
      <c r="I5396" s="62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7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7">
        <v>252436</v>
      </c>
      <c r="F5397" s="31" t="str">
        <f>IFERROR(VLOOKUP(E5397,BD!$L$2:$Q$244,2,0),0)</f>
        <v>SAN LUIS SIN GAS PET 625MLX15 C/STICKER</v>
      </c>
      <c r="G5397" s="424">
        <v>540</v>
      </c>
      <c r="H5397" s="31">
        <f>+IFERROR(VLOOKUP(E5397,BD!$L$2:$Q$244,6,0),0)</f>
        <v>90</v>
      </c>
      <c r="I5397" s="62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7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7">
        <v>254762</v>
      </c>
      <c r="F5398" s="31" t="str">
        <f>IFERROR(VLOOKUP(E5398,BD!$L$2:$Q$244,2,0),0)</f>
        <v xml:space="preserve">SAN LUIS SPORT S/G 10 Lt x6 </v>
      </c>
      <c r="G5398" s="424">
        <v>224</v>
      </c>
      <c r="H5398" s="31">
        <f>+IFERROR(VLOOKUP(E5398,BD!$L$2:$Q$244,6,0),0)</f>
        <v>240</v>
      </c>
      <c r="I5398" s="62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7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7">
        <v>256677</v>
      </c>
      <c r="F5399" s="31" t="str">
        <f>IFERROR(VLOOKUP(E5399,BD!$L$2:$Q$244,2,0),0)</f>
        <v>TWO PACK CC + IK PFM 3LX2 - RFNN</v>
      </c>
      <c r="G5399" s="424">
        <v>1680</v>
      </c>
      <c r="H5399" s="31">
        <f>+IFERROR(VLOOKUP(E5399,BD!$L$2:$Q$244,6,0),0)</f>
        <v>120</v>
      </c>
      <c r="I5399" s="62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7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7">
        <v>256720</v>
      </c>
      <c r="F5400" s="31" t="str">
        <f>IFERROR(VLOOKUP(E5400,BD!$L$2:$Q$244,2,0),0)</f>
        <v>FANTA NARANJA PET 500MLX6 BRANDEADO MOD</v>
      </c>
      <c r="G5400" s="425">
        <v>250</v>
      </c>
      <c r="H5400" s="31">
        <f>+IFERROR(VLOOKUP(E5400,BD!$L$2:$Q$244,6,0),0)</f>
        <v>420</v>
      </c>
      <c r="I5400" s="62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7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7">
        <v>256721</v>
      </c>
      <c r="F5401" s="31" t="str">
        <f>IFERROR(VLOOKUP(E5401,BD!$L$2:$Q$244,2,0),0)</f>
        <v>SPRITE PET 500MLX6 BRANDEADO MOD</v>
      </c>
      <c r="G5401" s="424">
        <v>250</v>
      </c>
      <c r="H5401" s="31">
        <f>+IFERROR(VLOOKUP(E5401,BD!$L$2:$Q$244,6,0),0)</f>
        <v>420</v>
      </c>
      <c r="I5401" s="62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7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7">
        <v>751315</v>
      </c>
      <c r="F5402" s="31" t="str">
        <f>IFERROR(VLOOKUP(E5402,BD!$L$2:$Q$244,2,0),0)</f>
        <v>MONSTER ENERGY 473MLX4</v>
      </c>
      <c r="G5402" s="424">
        <v>4200</v>
      </c>
      <c r="H5402" s="31">
        <f>+IFERROR(VLOOKUP(E5402,BD!$L$2:$Q$244,6,0),0)</f>
        <v>420</v>
      </c>
      <c r="I5402" s="62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7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7">
        <v>251633</v>
      </c>
      <c r="F5403" s="31" t="str">
        <f>IFERROR(VLOOKUP(E5403,BD!$L$2:$Q$244,2,0),0)</f>
        <v>SAN LUIS CON GAS PET 625MLX6</v>
      </c>
      <c r="G5403" s="424">
        <v>180</v>
      </c>
      <c r="H5403" s="31">
        <f>+IFERROR(VLOOKUP(E5403,BD!$L$2:$Q$244,6,0),0)</f>
        <v>180</v>
      </c>
      <c r="I5403" s="62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7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7">
        <v>256601</v>
      </c>
      <c r="F5404" s="31" t="str">
        <f>IFERROR(VLOOKUP(E5404,BD!$L$2:$Q$244,2,0),0)</f>
        <v>INCA KOLA PET 2.25LX2 RF</v>
      </c>
      <c r="G5404" s="424">
        <v>162</v>
      </c>
      <c r="H5404" s="31">
        <f>+IFERROR(VLOOKUP(E5404,BD!$L$2:$Q$244,6,0),0)</f>
        <v>162</v>
      </c>
      <c r="I5404" s="62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7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7">
        <v>256488</v>
      </c>
      <c r="F5405" s="31" t="str">
        <f>IFERROR(VLOOKUP(E5405,BD!$L$2:$Q$244,2,0),0)</f>
        <v>INCA KOLA PET 3LX2 - RF</v>
      </c>
      <c r="G5405" s="424">
        <v>2880</v>
      </c>
      <c r="H5405" s="31">
        <f>+IFERROR(VLOOKUP(E5405,BD!$L$2:$Q$244,6,0),0)</f>
        <v>120</v>
      </c>
      <c r="I5405" s="62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7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7">
        <v>256676</v>
      </c>
      <c r="F5406" s="31" t="str">
        <f>IFERROR(VLOOKUP(E5406,BD!$L$2:$Q$244,2,0),0)</f>
        <v>TWO PACK CC PFM 3LX2 - RFCC</v>
      </c>
      <c r="G5406" s="424">
        <v>720</v>
      </c>
      <c r="H5406" s="31">
        <f>+IFERROR(VLOOKUP(E5406,BD!$L$2:$Q$244,6,0),0)</f>
        <v>120</v>
      </c>
      <c r="I5406" s="62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7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7">
        <v>256677</v>
      </c>
      <c r="F5407" s="31" t="str">
        <f>IFERROR(VLOOKUP(E5407,BD!$L$2:$Q$244,2,0),0)</f>
        <v>TWO PACK CC + IK PFM 3LX2 - RFNN</v>
      </c>
      <c r="G5407" s="424">
        <v>720</v>
      </c>
      <c r="H5407" s="31">
        <f>+IFERROR(VLOOKUP(E5407,BD!$L$2:$Q$244,6,0),0)</f>
        <v>120</v>
      </c>
      <c r="I5407" s="62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7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7">
        <v>256679</v>
      </c>
      <c r="F5408" s="31" t="str">
        <f>IFERROR(VLOOKUP(E5408,BD!$L$2:$Q$244,2,0),0)</f>
        <v>TRIPACK CC+IK+IK PFM 3LX3 - RFNN</v>
      </c>
      <c r="G5408" s="424">
        <v>1800</v>
      </c>
      <c r="H5408" s="31">
        <f>+IFERROR(VLOOKUP(E5408,BD!$L$2:$Q$244,6,0),0)</f>
        <v>90</v>
      </c>
      <c r="I5408" s="62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7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7">
        <v>256678</v>
      </c>
      <c r="F5409" s="31" t="str">
        <f>IFERROR(VLOOKUP(E5409,BD!$L$2:$Q$244,2,0),0)</f>
        <v>TRIPACK (CC+IK)PFM+FT PET 3LX3 - RFNN</v>
      </c>
      <c r="G5409" s="424">
        <v>1440</v>
      </c>
      <c r="H5409" s="31">
        <f>+IFERROR(VLOOKUP(E5409,BD!$L$2:$Q$244,6,0),0)</f>
        <v>90</v>
      </c>
      <c r="I5409" s="62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7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7">
        <v>256677</v>
      </c>
      <c r="F5410" s="31" t="str">
        <f>IFERROR(VLOOKUP(E5410,BD!$L$2:$Q$244,2,0),0)</f>
        <v>TWO PACK CC + IK PFM 3LX2 - RFNN</v>
      </c>
      <c r="G5410" s="424">
        <v>3840</v>
      </c>
      <c r="H5410" s="31">
        <f>+IFERROR(VLOOKUP(E5410,BD!$L$2:$Q$244,6,0),0)</f>
        <v>120</v>
      </c>
      <c r="I5410" s="62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7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7">
        <v>256677</v>
      </c>
      <c r="F5411" s="31" t="str">
        <f>IFERROR(VLOOKUP(E5411,BD!$L$2:$Q$244,2,0),0)</f>
        <v>TWO PACK CC + IK PFM 3LX2 - RFNN</v>
      </c>
      <c r="G5411" s="424">
        <v>960</v>
      </c>
      <c r="H5411" s="31">
        <f>+IFERROR(VLOOKUP(E5411,BD!$L$2:$Q$244,6,0),0)</f>
        <v>120</v>
      </c>
      <c r="I5411" s="62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7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7">
        <v>256383</v>
      </c>
      <c r="F5412" s="31" t="str">
        <f>IFERROR(VLOOKUP(E5412,BD!$L$2:$Q$244,2,0),0)</f>
        <v>COCA COLA VR 1.5LX8 - STICKER</v>
      </c>
      <c r="G5412" s="424">
        <v>120</v>
      </c>
      <c r="H5412" s="31">
        <f>+IFERROR(VLOOKUP(E5412,BD!$L$2:$Q$244,6,0),0)</f>
        <v>30</v>
      </c>
      <c r="I5412" s="62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7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7">
        <v>256381</v>
      </c>
      <c r="F5413" s="31" t="str">
        <f>IFERROR(VLOOKUP(E5413,BD!$L$2:$Q$244,2,0),0)</f>
        <v>INCA KOLA VR 1.5LX8 - STICKER</v>
      </c>
      <c r="G5413" s="424">
        <v>180</v>
      </c>
      <c r="H5413" s="31">
        <f>+IFERROR(VLOOKUP(E5413,BD!$L$2:$Q$244,6,0),0)</f>
        <v>30</v>
      </c>
      <c r="I5413" s="62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7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7">
        <v>256379</v>
      </c>
      <c r="F5414" s="31" t="str">
        <f>IFERROR(VLOOKUP(E5414,BD!$L$2:$Q$244,2,0),0)</f>
        <v>INCA KOLA VR 625MLX12 - STICKER</v>
      </c>
      <c r="G5414" s="424">
        <v>100</v>
      </c>
      <c r="H5414" s="31">
        <f>+IFERROR(VLOOKUP(E5414,BD!$L$2:$Q$244,6,0),0)</f>
        <v>50</v>
      </c>
      <c r="I5414" s="62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7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7">
        <v>256616</v>
      </c>
      <c r="F5415" s="31" t="str">
        <f>IFERROR(VLOOKUP(E5415,BD!$L$2:$Q$244,2,0),0)</f>
        <v>TWO PACK SCHWEPPES CITRUS PET 1.5LX2</v>
      </c>
      <c r="G5415" s="424">
        <v>792</v>
      </c>
      <c r="H5415" s="31">
        <f>+IFERROR(VLOOKUP(E5415,BD!$L$2:$Q$244,6,0),0)</f>
        <v>198</v>
      </c>
      <c r="I5415" s="62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7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7">
        <v>256666</v>
      </c>
      <c r="F5416" s="31" t="str">
        <f>IFERROR(VLOOKUP(E5416,BD!$L$2:$Q$244,2,0),0)</f>
        <v>COCA-COLA PET 2.25LX2 RF</v>
      </c>
      <c r="G5416" s="424">
        <v>486</v>
      </c>
      <c r="H5416" s="31">
        <f>+IFERROR(VLOOKUP(E5416,BD!$L$2:$Q$244,6,0),0)</f>
        <v>162</v>
      </c>
      <c r="I5416" s="62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7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7">
        <v>256601</v>
      </c>
      <c r="F5417" s="31" t="str">
        <f>IFERROR(VLOOKUP(E5417,BD!$L$2:$Q$244,2,0),0)</f>
        <v>INCA KOLA PET 2.25LX2 RF</v>
      </c>
      <c r="G5417" s="424">
        <v>324</v>
      </c>
      <c r="H5417" s="31">
        <f>+IFERROR(VLOOKUP(E5417,BD!$L$2:$Q$244,6,0),0)</f>
        <v>162</v>
      </c>
      <c r="I5417" s="62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7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7">
        <v>256488</v>
      </c>
      <c r="F5418" s="31" t="str">
        <f>IFERROR(VLOOKUP(E5418,BD!$L$2:$Q$244,2,0),0)</f>
        <v>INCA KOLA PET 3LX2 - RF</v>
      </c>
      <c r="G5418" s="424">
        <v>120</v>
      </c>
      <c r="H5418" s="31">
        <f>+IFERROR(VLOOKUP(E5418,BD!$L$2:$Q$244,6,0),0)</f>
        <v>120</v>
      </c>
      <c r="I5418" s="62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7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7">
        <v>256676</v>
      </c>
      <c r="F5419" s="31" t="str">
        <f>IFERROR(VLOOKUP(E5419,BD!$L$2:$Q$244,2,0),0)</f>
        <v>TWO PACK CC PFM 3LX2 - RFCC</v>
      </c>
      <c r="G5419" s="424">
        <v>1080</v>
      </c>
      <c r="H5419" s="31">
        <f>+IFERROR(VLOOKUP(E5419,BD!$L$2:$Q$244,6,0),0)</f>
        <v>120</v>
      </c>
      <c r="I5419" s="62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7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7">
        <v>256677</v>
      </c>
      <c r="F5420" s="31" t="str">
        <f>IFERROR(VLOOKUP(E5420,BD!$L$2:$Q$244,2,0),0)</f>
        <v>TWO PACK CC + IK PFM 3LX2 - RFNN</v>
      </c>
      <c r="G5420" s="424">
        <v>2880</v>
      </c>
      <c r="H5420" s="31">
        <f>+IFERROR(VLOOKUP(E5420,BD!$L$2:$Q$244,6,0),0)</f>
        <v>120</v>
      </c>
      <c r="I5420" s="62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7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7">
        <v>256679</v>
      </c>
      <c r="F5421" s="31" t="str">
        <f>IFERROR(VLOOKUP(E5421,BD!$L$2:$Q$244,2,0),0)</f>
        <v>TRIPACK CC+IK+IK PFM 3LX3 - RFNN</v>
      </c>
      <c r="G5421" s="424">
        <v>90</v>
      </c>
      <c r="H5421" s="31">
        <f>+IFERROR(VLOOKUP(E5421,BD!$L$2:$Q$244,6,0),0)</f>
        <v>90</v>
      </c>
      <c r="I5421" s="62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7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7">
        <v>256678</v>
      </c>
      <c r="F5422" s="31" t="str">
        <f>IFERROR(VLOOKUP(E5422,BD!$L$2:$Q$244,2,0),0)</f>
        <v>TRIPACK (CC+IK)PFM+FT PET 3LX3 - RFNN</v>
      </c>
      <c r="G5422" s="424">
        <v>900</v>
      </c>
      <c r="H5422" s="31">
        <f>+IFERROR(VLOOKUP(E5422,BD!$L$2:$Q$244,6,0),0)</f>
        <v>90</v>
      </c>
      <c r="I5422" s="62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7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7">
        <v>254762</v>
      </c>
      <c r="F5423" s="31" t="str">
        <f>IFERROR(VLOOKUP(E5423,BD!$L$2:$Q$244,2,0),0)</f>
        <v xml:space="preserve">SAN LUIS SPORT S/G 10 Lt x6 </v>
      </c>
      <c r="G5423" s="424">
        <v>112</v>
      </c>
      <c r="H5423" s="31">
        <f>+IFERROR(VLOOKUP(E5423,BD!$L$2:$Q$244,6,0),0)</f>
        <v>240</v>
      </c>
      <c r="I5423" s="62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7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7">
        <v>256685</v>
      </c>
      <c r="F5424" s="31" t="str">
        <f>IFERROR(VLOOKUP(E5424,BD!$L$2:$Q$244,2,0),0)</f>
        <v>SL S/G TAPA PLANA 1LT</v>
      </c>
      <c r="G5424" s="424">
        <v>224</v>
      </c>
      <c r="H5424" s="31">
        <f>+IFERROR(VLOOKUP(E5424,BD!$L$2:$Q$244,6,0),0)</f>
        <v>112</v>
      </c>
      <c r="I5424" s="62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7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7">
        <v>251429</v>
      </c>
      <c r="F5425" s="31" t="str">
        <f>IFERROR(VLOOKUP(E5425,BD!$L$2:$Q$244,2,0),0)</f>
        <v>SAN LUIS SIN GAS PET2500X6 STICKER</v>
      </c>
      <c r="G5425" s="424">
        <v>960</v>
      </c>
      <c r="H5425" s="31">
        <f>+IFERROR(VLOOKUP(E5425,BD!$L$2:$Q$244,6,0),0)</f>
        <v>48</v>
      </c>
      <c r="I5425" s="62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7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7">
        <v>251633</v>
      </c>
      <c r="F5426" s="31" t="str">
        <f>IFERROR(VLOOKUP(E5426,BD!$L$2:$Q$244,2,0),0)</f>
        <v>SAN LUIS CON GAS PET 625MLX6</v>
      </c>
      <c r="G5426" s="424">
        <v>1080</v>
      </c>
      <c r="H5426" s="31">
        <f>+IFERROR(VLOOKUP(E5426,BD!$L$2:$Q$244,6,0),0)</f>
        <v>180</v>
      </c>
      <c r="I5426" s="62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7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7">
        <v>251406</v>
      </c>
      <c r="F5427" s="31" t="str">
        <f>IFERROR(VLOOKUP(E5427,BD!$L$2:$Q$244,2,0),0)</f>
        <v>COCA-COLA SIN AZUCAR PET 1.5LX2</v>
      </c>
      <c r="G5427" s="424">
        <v>1080</v>
      </c>
      <c r="H5427" s="31">
        <f>+IFERROR(VLOOKUP(E5427,BD!$L$2:$Q$244,6,0),0)</f>
        <v>198</v>
      </c>
      <c r="I5427" s="62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7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7">
        <v>254853</v>
      </c>
      <c r="F5428" s="31" t="str">
        <f>IFERROR(VLOOKUP(E5428,BD!$L$2:$Q$244,2,0),0)</f>
        <v>INCA KOLA SIN AZUCAR PET 1.5LX2</v>
      </c>
      <c r="G5428" s="424">
        <v>2160</v>
      </c>
      <c r="H5428" s="31">
        <f>+IFERROR(VLOOKUP(E5428,BD!$L$2:$Q$244,6,0),0)</f>
        <v>198</v>
      </c>
      <c r="I5428" s="62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7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7">
        <v>256488</v>
      </c>
      <c r="F5429" s="31" t="str">
        <f>IFERROR(VLOOKUP(E5429,BD!$L$2:$Q$244,2,0),0)</f>
        <v>INCA KOLA PET 3LX2 - RF</v>
      </c>
      <c r="G5429" s="424">
        <v>1680</v>
      </c>
      <c r="H5429" s="31">
        <f>+IFERROR(VLOOKUP(E5429,BD!$L$2:$Q$244,6,0),0)</f>
        <v>120</v>
      </c>
      <c r="I5429" s="62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7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7">
        <v>256674</v>
      </c>
      <c r="F5430" s="31" t="str">
        <f>IFERROR(VLOOKUP(E5430,BD!$L$2:$Q$244,2,0),0)</f>
        <v>COCA-COLA PET 1.5LX2 RF</v>
      </c>
      <c r="G5430" s="424">
        <v>1080</v>
      </c>
      <c r="H5430" s="31">
        <f>+IFERROR(VLOOKUP(E5430,BD!$L$2:$Q$244,6,0),0)</f>
        <v>198</v>
      </c>
      <c r="I5430" s="62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7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7">
        <v>256675</v>
      </c>
      <c r="F5431" s="31" t="str">
        <f>IFERROR(VLOOKUP(E5431,BD!$L$2:$Q$244,2,0),0)</f>
        <v>INCA KOLA PET 1.5LX2 RF</v>
      </c>
      <c r="G5431" s="424">
        <v>1080</v>
      </c>
      <c r="H5431" s="31">
        <f>+IFERROR(VLOOKUP(E5431,BD!$L$2:$Q$244,6,0),0)</f>
        <v>198</v>
      </c>
      <c r="I5431" s="62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7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7">
        <v>256677</v>
      </c>
      <c r="F5432" s="31" t="str">
        <f>IFERROR(VLOOKUP(E5432,BD!$L$2:$Q$244,2,0),0)</f>
        <v>TWO PACK CC + IK PFM 3LX2 - RFNN</v>
      </c>
      <c r="G5432" s="424">
        <v>240</v>
      </c>
      <c r="H5432" s="31">
        <f>+IFERROR(VLOOKUP(E5432,BD!$L$2:$Q$244,6,0),0)</f>
        <v>120</v>
      </c>
      <c r="I5432" s="62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7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7">
        <v>256708</v>
      </c>
      <c r="F5433" s="31" t="str">
        <f>IFERROR(VLOOKUP(E5433,BD!$L$2:$Q$244,2,0),0)</f>
        <v>POWERADE ION4 FRUTA PET473X6 MOD (STICK)</v>
      </c>
      <c r="G5433" s="424">
        <v>450</v>
      </c>
      <c r="H5433" s="31">
        <f>+IFERROR(VLOOKUP(E5433,BD!$L$2:$Q$244,6,0),0)</f>
        <v>225</v>
      </c>
      <c r="I5433" s="62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7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7">
        <v>256382</v>
      </c>
      <c r="F5434" s="31" t="str">
        <f>IFERROR(VLOOKUP(E5434,BD!$L$2:$Q$244,2,0),0)</f>
        <v>COCA COLA VR 296MLX24 - STICKER</v>
      </c>
      <c r="G5434" s="424">
        <v>120</v>
      </c>
      <c r="H5434" s="31">
        <f>+IFERROR(VLOOKUP(E5434,BD!$L$2:$Q$244,6,0),0)</f>
        <v>40</v>
      </c>
      <c r="I5434" s="62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7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7">
        <v>256381</v>
      </c>
      <c r="F5435" s="31" t="str">
        <f>IFERROR(VLOOKUP(E5435,BD!$L$2:$Q$244,2,0),0)</f>
        <v>INCA KOLA VR 1.5LX8 - STICKER</v>
      </c>
      <c r="G5435" s="424">
        <v>210</v>
      </c>
      <c r="H5435" s="31">
        <f>+IFERROR(VLOOKUP(E5435,BD!$L$2:$Q$244,6,0),0)</f>
        <v>30</v>
      </c>
      <c r="I5435" s="62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7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7">
        <v>256380</v>
      </c>
      <c r="F5436" s="31" t="str">
        <f>IFERROR(VLOOKUP(E5436,BD!$L$2:$Q$244,2,0),0)</f>
        <v>INCA KOLA VR 296MLX24 - STICKER</v>
      </c>
      <c r="G5436" s="424">
        <v>80</v>
      </c>
      <c r="H5436" s="31">
        <f>+IFERROR(VLOOKUP(E5436,BD!$L$2:$Q$244,6,0),0)</f>
        <v>40</v>
      </c>
      <c r="I5436" s="62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7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7">
        <v>256379</v>
      </c>
      <c r="F5437" s="31" t="str">
        <f>IFERROR(VLOOKUP(E5437,BD!$L$2:$Q$244,2,0),0)</f>
        <v>INCA KOLA VR 625MLX12 - STICKER</v>
      </c>
      <c r="G5437" s="424">
        <v>350</v>
      </c>
      <c r="H5437" s="31">
        <f>+IFERROR(VLOOKUP(E5437,BD!$L$2:$Q$244,6,0),0)</f>
        <v>50</v>
      </c>
      <c r="I5437" s="62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7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7">
        <v>751315</v>
      </c>
      <c r="F5438" s="31" t="str">
        <f>IFERROR(VLOOKUP(E5438,BD!$L$2:$Q$244,2,0),0)</f>
        <v>MONSTER ENERGY 473MLX4</v>
      </c>
      <c r="G5438" s="424">
        <v>2100</v>
      </c>
      <c r="H5438" s="31">
        <f>+IFERROR(VLOOKUP(E5438,BD!$L$2:$Q$244,6,0),0)</f>
        <v>420</v>
      </c>
      <c r="I5438" s="62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7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7">
        <v>251633</v>
      </c>
      <c r="F5439" s="31" t="str">
        <f>IFERROR(VLOOKUP(E5439,BD!$L$2:$Q$244,2,0),0)</f>
        <v>SAN LUIS CON GAS PET 625MLX6</v>
      </c>
      <c r="G5439" s="424">
        <v>180</v>
      </c>
      <c r="H5439" s="31">
        <f>+IFERROR(VLOOKUP(E5439,BD!$L$2:$Q$244,6,0),0)</f>
        <v>180</v>
      </c>
      <c r="I5439" s="62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7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7">
        <v>256666</v>
      </c>
      <c r="F5440" s="31" t="str">
        <f>IFERROR(VLOOKUP(E5440,BD!$L$2:$Q$244,2,0),0)</f>
        <v>COCA-COLA PET 2.25LX2 RF</v>
      </c>
      <c r="G5440" s="424">
        <v>486</v>
      </c>
      <c r="H5440" s="31">
        <f>+IFERROR(VLOOKUP(E5440,BD!$L$2:$Q$244,6,0),0)</f>
        <v>162</v>
      </c>
      <c r="I5440" s="62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7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7">
        <v>256488</v>
      </c>
      <c r="F5441" s="31" t="str">
        <f>IFERROR(VLOOKUP(E5441,BD!$L$2:$Q$244,2,0),0)</f>
        <v>INCA KOLA PET 3LX2 - RF</v>
      </c>
      <c r="G5441" s="424">
        <v>720</v>
      </c>
      <c r="H5441" s="31">
        <f>+IFERROR(VLOOKUP(E5441,BD!$L$2:$Q$244,6,0),0)</f>
        <v>120</v>
      </c>
      <c r="I5441" s="62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7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7">
        <v>256652</v>
      </c>
      <c r="F5442" s="31" t="str">
        <f>IFERROR(VLOOKUP(E5442,BD!$L$2:$Q$244,2,0),0)</f>
        <v>TRIPACK FT NAR+FT KI+SP PET 3L</v>
      </c>
      <c r="G5442" s="424">
        <v>900</v>
      </c>
      <c r="H5442" s="31">
        <f>+IFERROR(VLOOKUP(E5442,BD!$L$2:$Q$244,6,0),0)</f>
        <v>90</v>
      </c>
      <c r="I5442" s="62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7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7">
        <v>256677</v>
      </c>
      <c r="F5443" s="31" t="str">
        <f>IFERROR(VLOOKUP(E5443,BD!$L$2:$Q$244,2,0),0)</f>
        <v>TWO PACK CC + IK PFM 3LX2 - RFNN</v>
      </c>
      <c r="G5443" s="424">
        <v>960</v>
      </c>
      <c r="H5443" s="31">
        <f>+IFERROR(VLOOKUP(E5443,BD!$L$2:$Q$244,6,0),0)</f>
        <v>120</v>
      </c>
      <c r="I5443" s="62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7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7">
        <v>256680</v>
      </c>
      <c r="F5444" s="31" t="str">
        <f>IFERROR(VLOOKUP(E5444,BD!$L$2:$Q$244,2,0),0)</f>
        <v>TRIPACK CC+CC+IK PFM 3LX3 - RFNN</v>
      </c>
      <c r="G5444" s="424">
        <v>900</v>
      </c>
      <c r="H5444" s="31">
        <f>+IFERROR(VLOOKUP(E5444,BD!$L$2:$Q$244,6,0),0)</f>
        <v>90</v>
      </c>
      <c r="I5444" s="62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7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7">
        <v>256682</v>
      </c>
      <c r="F5445" s="31" t="str">
        <f>IFERROR(VLOOKUP(E5445,BD!$L$2:$Q$244,2,0),0)</f>
        <v>TRIPACK (FT NAR+SP)PET+IK RF PFM 3L</v>
      </c>
      <c r="G5445" s="424">
        <v>450</v>
      </c>
      <c r="H5445" s="31">
        <f>+IFERROR(VLOOKUP(E5445,BD!$L$2:$Q$244,6,0),0)</f>
        <v>90</v>
      </c>
      <c r="I5445" s="62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7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7">
        <v>256695</v>
      </c>
      <c r="F5446" s="31" t="str">
        <f>IFERROR(VLOOKUP(E5446,BD!$L$2:$Q$244,2,0),0)</f>
        <v>POWERADE 3MORA+3FRUT PET 473MLX6</v>
      </c>
      <c r="G5446" s="424">
        <v>1350</v>
      </c>
      <c r="H5446" s="31">
        <f>+IFERROR(VLOOKUP(E5446,BD!$L$2:$Q$244,6,0),0)</f>
        <v>225</v>
      </c>
      <c r="I5446" s="62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7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7">
        <v>256677</v>
      </c>
      <c r="F5447" s="31" t="str">
        <f>IFERROR(VLOOKUP(E5447,BD!$L$2:$Q$244,2,0),0)</f>
        <v>TWO PACK CC + IK PFM 3LX2 - RFNN</v>
      </c>
      <c r="G5447" s="424">
        <v>6000</v>
      </c>
      <c r="H5447" s="31">
        <f>+IFERROR(VLOOKUP(E5447,BD!$L$2:$Q$244,6,0),0)</f>
        <v>120</v>
      </c>
      <c r="I5447" s="62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7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7">
        <v>256695</v>
      </c>
      <c r="F5448" s="31" t="str">
        <f>IFERROR(VLOOKUP(E5448,BD!$L$2:$Q$244,2,0),0)</f>
        <v>POWERADE 3MORA+3FRUT PET 473MLX6</v>
      </c>
      <c r="G5448" s="424">
        <v>900</v>
      </c>
      <c r="H5448" s="31">
        <f>+IFERROR(VLOOKUP(E5448,BD!$L$2:$Q$244,6,0),0)</f>
        <v>225</v>
      </c>
      <c r="I5448" s="62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7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7">
        <v>256720</v>
      </c>
      <c r="F5449" s="31" t="str">
        <f>IFERROR(VLOOKUP(E5449,BD!$L$2:$Q$244,2,0),0)</f>
        <v>FANTA NARANJA PET 500MLX6 BRANDEADO MOD</v>
      </c>
      <c r="G5449" s="424">
        <v>500</v>
      </c>
      <c r="H5449" s="31">
        <f>+IFERROR(VLOOKUP(E5449,BD!$L$2:$Q$244,6,0),0)</f>
        <v>420</v>
      </c>
      <c r="I5449" s="62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7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7">
        <v>256721</v>
      </c>
      <c r="F5450" s="31" t="str">
        <f>IFERROR(VLOOKUP(E5450,BD!$L$2:$Q$244,2,0),0)</f>
        <v>SPRITE PET 500MLX6 BRANDEADO MOD</v>
      </c>
      <c r="G5450" s="424">
        <v>750</v>
      </c>
      <c r="H5450" s="31">
        <f>+IFERROR(VLOOKUP(E5450,BD!$L$2:$Q$244,6,0),0)</f>
        <v>420</v>
      </c>
      <c r="I5450" s="62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7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7">
        <v>256753</v>
      </c>
      <c r="F5451" s="31" t="str">
        <f>IFERROR(VLOOKUP(E5451,BD!$L$2:$Q$244,2,0),0)</f>
        <v>PACK-2 FT NAR+FT KI+FT PIÑA+SP RP 1.5LX8</v>
      </c>
      <c r="G5451" s="424">
        <v>360</v>
      </c>
      <c r="H5451" s="31">
        <f>+IFERROR(VLOOKUP(E5451,BD!$L$2:$Q$244,6,0),0)</f>
        <v>30</v>
      </c>
      <c r="I5451" s="62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7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7">
        <v>256381</v>
      </c>
      <c r="F5452" s="31" t="str">
        <f>IFERROR(VLOOKUP(E5452,BD!$L$2:$Q$244,2,0),0)</f>
        <v>INCA KOLA VR 1.5LX8 - STICKER</v>
      </c>
      <c r="G5452" s="424">
        <v>210</v>
      </c>
      <c r="H5452" s="31">
        <f>+IFERROR(VLOOKUP(E5452,BD!$L$2:$Q$244,6,0),0)</f>
        <v>30</v>
      </c>
      <c r="I5452" s="62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7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7">
        <v>252436</v>
      </c>
      <c r="F5453" s="31" t="str">
        <f>IFERROR(VLOOKUP(E5453,BD!$L$2:$Q$244,2,0),0)</f>
        <v>SAN LUIS SIN GAS PET 625MLX15 C/STICKER</v>
      </c>
      <c r="G5453" s="424">
        <v>900</v>
      </c>
      <c r="H5453" s="31">
        <f>+IFERROR(VLOOKUP(E5453,BD!$L$2:$Q$244,6,0),0)</f>
        <v>90</v>
      </c>
      <c r="I5453" s="62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7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7">
        <v>256685</v>
      </c>
      <c r="F5454" s="31" t="str">
        <f>IFERROR(VLOOKUP(E5454,BD!$L$2:$Q$244,2,0),0)</f>
        <v>SL S/G TAPA PLANA 1LT</v>
      </c>
      <c r="G5454" s="424">
        <v>560</v>
      </c>
      <c r="H5454" s="31">
        <f>+IFERROR(VLOOKUP(E5454,BD!$L$2:$Q$244,6,0),0)</f>
        <v>112</v>
      </c>
      <c r="I5454" s="62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7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7">
        <v>251429</v>
      </c>
      <c r="F5455" s="31" t="str">
        <f>IFERROR(VLOOKUP(E5455,BD!$L$2:$Q$244,2,0),0)</f>
        <v>SAN LUIS SIN GAS PET2500X6 STICKER</v>
      </c>
      <c r="G5455" s="424">
        <v>960</v>
      </c>
      <c r="H5455" s="31">
        <f>+IFERROR(VLOOKUP(E5455,BD!$L$2:$Q$244,6,0),0)</f>
        <v>48</v>
      </c>
      <c r="I5455" s="62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7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7">
        <v>751315</v>
      </c>
      <c r="F5456" s="31" t="str">
        <f>IFERROR(VLOOKUP(E5456,BD!$L$2:$Q$244,2,0),0)</f>
        <v>MONSTER ENERGY 473MLX4</v>
      </c>
      <c r="G5456" s="424">
        <v>840</v>
      </c>
      <c r="H5456" s="31">
        <f>+IFERROR(VLOOKUP(E5456,BD!$L$2:$Q$244,6,0),0)</f>
        <v>420</v>
      </c>
      <c r="I5456" s="62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7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7">
        <v>751468</v>
      </c>
      <c r="F5457" s="31" t="str">
        <f>IFERROR(VLOOKUP(E5457,BD!$L$2:$Q$244,2,0),0)</f>
        <v>MONSTER ENERGY ULTRA 473MLX4</v>
      </c>
      <c r="G5457" s="424">
        <v>420</v>
      </c>
      <c r="H5457" s="31">
        <f>+IFERROR(VLOOKUP(E5457,BD!$L$2:$Q$244,6,0),0)</f>
        <v>420</v>
      </c>
      <c r="I5457" s="62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7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7">
        <v>251406</v>
      </c>
      <c r="F5458" s="31" t="str">
        <f>IFERROR(VLOOKUP(E5458,BD!$L$2:$Q$244,2,0),0)</f>
        <v>COCA-COLA SIN AZUCAR PET 1.5LX2</v>
      </c>
      <c r="G5458" s="424">
        <v>1080</v>
      </c>
      <c r="H5458" s="31">
        <f>+IFERROR(VLOOKUP(E5458,BD!$L$2:$Q$244,6,0),0)</f>
        <v>198</v>
      </c>
      <c r="I5458" s="62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7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7">
        <v>256616</v>
      </c>
      <c r="F5459" s="31" t="str">
        <f>IFERROR(VLOOKUP(E5459,BD!$L$2:$Q$244,2,0),0)</f>
        <v>TWO PACK SCHWEPPES CITRUS PET 1.5LX2</v>
      </c>
      <c r="G5459" s="424">
        <v>792</v>
      </c>
      <c r="H5459" s="31">
        <f>+IFERROR(VLOOKUP(E5459,BD!$L$2:$Q$244,6,0),0)</f>
        <v>198</v>
      </c>
      <c r="I5459" s="62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7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7">
        <v>256601</v>
      </c>
      <c r="F5460" s="31" t="str">
        <f>IFERROR(VLOOKUP(E5460,BD!$L$2:$Q$244,2,0),0)</f>
        <v>INCA KOLA PET 2.25LX2 RF</v>
      </c>
      <c r="G5460" s="424">
        <v>648</v>
      </c>
      <c r="H5460" s="31">
        <f>+IFERROR(VLOOKUP(E5460,BD!$L$2:$Q$244,6,0),0)</f>
        <v>162</v>
      </c>
      <c r="I5460" s="62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7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7">
        <v>256674</v>
      </c>
      <c r="F5461" s="31" t="str">
        <f>IFERROR(VLOOKUP(E5461,BD!$L$2:$Q$244,2,0),0)</f>
        <v>COCA-COLA PET 1.5LX2 RF</v>
      </c>
      <c r="G5461" s="424">
        <v>2160</v>
      </c>
      <c r="H5461" s="31">
        <f>+IFERROR(VLOOKUP(E5461,BD!$L$2:$Q$244,6,0),0)</f>
        <v>198</v>
      </c>
      <c r="I5461" s="62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7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7">
        <v>256675</v>
      </c>
      <c r="F5462" s="31" t="str">
        <f>IFERROR(VLOOKUP(E5462,BD!$L$2:$Q$244,2,0),0)</f>
        <v>INCA KOLA PET 1.5LX2 RF</v>
      </c>
      <c r="G5462" s="424">
        <v>1080</v>
      </c>
      <c r="H5462" s="31">
        <f>+IFERROR(VLOOKUP(E5462,BD!$L$2:$Q$244,6,0),0)</f>
        <v>198</v>
      </c>
      <c r="I5462" s="62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7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7">
        <v>256652</v>
      </c>
      <c r="F5463" s="31" t="str">
        <f>IFERROR(VLOOKUP(E5463,BD!$L$2:$Q$244,2,0),0)</f>
        <v>TRIPACK FT NAR+FT KI+SP PET 3L</v>
      </c>
      <c r="G5463" s="424">
        <v>720</v>
      </c>
      <c r="H5463" s="31">
        <f>+IFERROR(VLOOKUP(E5463,BD!$L$2:$Q$244,6,0),0)</f>
        <v>90</v>
      </c>
      <c r="I5463" s="62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7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7">
        <v>256680</v>
      </c>
      <c r="F5464" s="31" t="str">
        <f>IFERROR(VLOOKUP(E5464,BD!$L$2:$Q$244,2,0),0)</f>
        <v>TRIPACK CC+CC+IK PFM 3LX3 - RFNN</v>
      </c>
      <c r="G5464" s="424">
        <v>720</v>
      </c>
      <c r="H5464" s="31">
        <f>+IFERROR(VLOOKUP(E5464,BD!$L$2:$Q$244,6,0),0)</f>
        <v>90</v>
      </c>
      <c r="I5464" s="62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7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7">
        <v>256679</v>
      </c>
      <c r="F5465" s="31" t="str">
        <f>IFERROR(VLOOKUP(E5465,BD!$L$2:$Q$244,2,0),0)</f>
        <v>TRIPACK CC+IK+IK PFM 3LX3 - RFNN</v>
      </c>
      <c r="G5465" s="424">
        <v>1440</v>
      </c>
      <c r="H5465" s="31">
        <f>+IFERROR(VLOOKUP(E5465,BD!$L$2:$Q$244,6,0),0)</f>
        <v>90</v>
      </c>
      <c r="I5465" s="62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7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7">
        <v>256682</v>
      </c>
      <c r="F5466" s="31" t="str">
        <f>IFERROR(VLOOKUP(E5466,BD!$L$2:$Q$244,2,0),0)</f>
        <v>TRIPACK (FT NAR+SP)PET+IK RF PFM 3L</v>
      </c>
      <c r="G5466" s="424">
        <v>450</v>
      </c>
      <c r="H5466" s="31">
        <f>+IFERROR(VLOOKUP(E5466,BD!$L$2:$Q$244,6,0),0)</f>
        <v>90</v>
      </c>
      <c r="I5466" s="62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7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7">
        <v>256616</v>
      </c>
      <c r="F5467" s="31" t="str">
        <f>IFERROR(VLOOKUP(E5467,BD!$L$2:$Q$244,2,0),0)</f>
        <v>TWO PACK SCHWEPPES CITRUS PET 1.5LX2</v>
      </c>
      <c r="G5467" s="424">
        <v>396</v>
      </c>
      <c r="H5467" s="31">
        <f>+IFERROR(VLOOKUP(E5467,BD!$L$2:$Q$244,6,0),0)</f>
        <v>198</v>
      </c>
      <c r="I5467" s="62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7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7">
        <v>256488</v>
      </c>
      <c r="F5468" s="31" t="str">
        <f>IFERROR(VLOOKUP(E5468,BD!$L$2:$Q$244,2,0),0)</f>
        <v>INCA KOLA PET 3LX2 - RF</v>
      </c>
      <c r="G5468" s="424">
        <v>2520</v>
      </c>
      <c r="H5468" s="31">
        <f>+IFERROR(VLOOKUP(E5468,BD!$L$2:$Q$244,6,0),0)</f>
        <v>120</v>
      </c>
      <c r="I5468" s="62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7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7">
        <v>256676</v>
      </c>
      <c r="F5469" s="31" t="str">
        <f>IFERROR(VLOOKUP(E5469,BD!$L$2:$Q$244,2,0),0)</f>
        <v>TWO PACK CC PFM 3LX2 - RFCC</v>
      </c>
      <c r="G5469" s="424">
        <v>3000</v>
      </c>
      <c r="H5469" s="31">
        <f>+IFERROR(VLOOKUP(E5469,BD!$L$2:$Q$244,6,0),0)</f>
        <v>120</v>
      </c>
      <c r="I5469" s="62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7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7">
        <v>256677</v>
      </c>
      <c r="F5470" s="31" t="str">
        <f>IFERROR(VLOOKUP(E5470,BD!$L$2:$Q$244,2,0),0)</f>
        <v>TWO PACK CC + IK PFM 3LX2 - RFNN</v>
      </c>
      <c r="G5470" s="424">
        <v>6000</v>
      </c>
      <c r="H5470" s="31">
        <f>+IFERROR(VLOOKUP(E5470,BD!$L$2:$Q$244,6,0),0)</f>
        <v>120</v>
      </c>
      <c r="I5470" s="62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7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7">
        <v>256678</v>
      </c>
      <c r="F5471" s="31" t="str">
        <f>IFERROR(VLOOKUP(E5471,BD!$L$2:$Q$244,2,0),0)</f>
        <v>TRIPACK (CC+IK)PFM+FT PET 3LX3 - RFNN</v>
      </c>
      <c r="G5471" s="424">
        <v>1800</v>
      </c>
      <c r="H5471" s="31">
        <f>+IFERROR(VLOOKUP(E5471,BD!$L$2:$Q$244,6,0),0)</f>
        <v>90</v>
      </c>
      <c r="I5471" s="62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7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7">
        <v>256383</v>
      </c>
      <c r="F5472" s="31" t="str">
        <f>IFERROR(VLOOKUP(E5472,BD!$L$2:$Q$244,2,0),0)</f>
        <v>COCA COLA VR 1.5LX8 - STICKER</v>
      </c>
      <c r="G5472" s="424">
        <v>180</v>
      </c>
      <c r="H5472" s="31">
        <f>+IFERROR(VLOOKUP(E5472,BD!$L$2:$Q$244,6,0),0)</f>
        <v>30</v>
      </c>
      <c r="I5472" s="62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7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7">
        <v>256381</v>
      </c>
      <c r="F5473" s="31" t="str">
        <f>IFERROR(VLOOKUP(E5473,BD!$L$2:$Q$244,2,0),0)</f>
        <v>INCA KOLA VR 1.5LX8 - STICKER</v>
      </c>
      <c r="G5473" s="424">
        <v>120</v>
      </c>
      <c r="H5473" s="31">
        <f>+IFERROR(VLOOKUP(E5473,BD!$L$2:$Q$244,6,0),0)</f>
        <v>30</v>
      </c>
      <c r="I5473" s="62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7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7">
        <v>256379</v>
      </c>
      <c r="F5474" s="31" t="str">
        <f>IFERROR(VLOOKUP(E5474,BD!$L$2:$Q$244,2,0),0)</f>
        <v>INCA KOLA VR 625MLX12 - STICKER</v>
      </c>
      <c r="G5474" s="424">
        <v>250</v>
      </c>
      <c r="H5474" s="31">
        <f>+IFERROR(VLOOKUP(E5474,BD!$L$2:$Q$244,6,0),0)</f>
        <v>50</v>
      </c>
      <c r="I5474" s="62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7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7">
        <v>254853</v>
      </c>
      <c r="F5475" s="31" t="str">
        <f>IFERROR(VLOOKUP(E5475,BD!$L$2:$Q$244,2,0),0)</f>
        <v>INCA KOLA SIN AZUCAR PET 1.5LX2</v>
      </c>
      <c r="G5475" s="424">
        <v>1296</v>
      </c>
      <c r="H5475" s="31">
        <f>+IFERROR(VLOOKUP(E5475,BD!$L$2:$Q$244,6,0),0)</f>
        <v>198</v>
      </c>
      <c r="I5475" s="62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7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7">
        <v>256652</v>
      </c>
      <c r="F5476" s="31" t="str">
        <f>IFERROR(VLOOKUP(E5476,BD!$L$2:$Q$244,2,0),0)</f>
        <v>TRIPACK FT NAR+FT KI+SP PET 3L</v>
      </c>
      <c r="G5476" s="424">
        <v>1260</v>
      </c>
      <c r="H5476" s="31">
        <f>+IFERROR(VLOOKUP(E5476,BD!$L$2:$Q$244,6,0),0)</f>
        <v>90</v>
      </c>
      <c r="I5476" s="62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7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7">
        <v>256383</v>
      </c>
      <c r="F5477" s="31" t="str">
        <f>IFERROR(VLOOKUP(E5477,BD!$L$2:$Q$244,2,0),0)</f>
        <v>COCA COLA VR 1.5LX8 - STICKER</v>
      </c>
      <c r="G5477" s="424">
        <v>120</v>
      </c>
      <c r="H5477" s="31">
        <f>+IFERROR(VLOOKUP(E5477,BD!$L$2:$Q$244,6,0),0)</f>
        <v>30</v>
      </c>
      <c r="I5477" s="62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7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7">
        <v>256381</v>
      </c>
      <c r="F5478" s="31" t="str">
        <f>IFERROR(VLOOKUP(E5478,BD!$L$2:$Q$244,2,0),0)</f>
        <v>INCA KOLA VR 1.5LX8 - STICKER</v>
      </c>
      <c r="G5478" s="424">
        <v>120</v>
      </c>
      <c r="H5478" s="31">
        <f>+IFERROR(VLOOKUP(E5478,BD!$L$2:$Q$244,6,0),0)</f>
        <v>30</v>
      </c>
      <c r="I5478" s="62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7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7">
        <v>251429</v>
      </c>
      <c r="F5479" s="31" t="str">
        <f>IFERROR(VLOOKUP(E5479,BD!$L$2:$Q$244,2,0),0)</f>
        <v>SAN LUIS SIN GAS PET2500X6 STICKER</v>
      </c>
      <c r="G5479" s="424">
        <v>960</v>
      </c>
      <c r="H5479" s="31">
        <f>+IFERROR(VLOOKUP(E5479,BD!$L$2:$Q$244,6,0),0)</f>
        <v>48</v>
      </c>
      <c r="I5479" s="62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7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7">
        <v>254853</v>
      </c>
      <c r="F5480" s="31" t="str">
        <f>IFERROR(VLOOKUP(E5480,BD!$L$2:$Q$244,2,0),0)</f>
        <v>INCA KOLA SIN AZUCAR PET 1.5LX2</v>
      </c>
      <c r="G5480" s="424">
        <v>864</v>
      </c>
      <c r="H5480" s="31">
        <f>+IFERROR(VLOOKUP(E5480,BD!$L$2:$Q$244,6,0),0)</f>
        <v>198</v>
      </c>
      <c r="I5480" s="62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7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7">
        <v>256548</v>
      </c>
      <c r="F5481" s="31" t="str">
        <f>IFERROR(VLOOKUP(E5481,BD!$L$2:$Q$244,2,0),0)</f>
        <v>TWO PACK CC PET 1.5LX2 - CRC</v>
      </c>
      <c r="G5481" s="424">
        <v>216</v>
      </c>
      <c r="H5481" s="31">
        <f>+IFERROR(VLOOKUP(E5481,BD!$L$2:$Q$244,6,0),0)</f>
        <v>198</v>
      </c>
      <c r="I5481" s="62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7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7">
        <v>256617</v>
      </c>
      <c r="F5482" s="31" t="str">
        <f>IFERROR(VLOOKUP(E5482,BD!$L$2:$Q$244,2,0),0)</f>
        <v>TWO PACK SCHWEPPES GINGER ALE PET 1.5LX2</v>
      </c>
      <c r="G5482" s="424">
        <v>1584</v>
      </c>
      <c r="H5482" s="31">
        <f>+IFERROR(VLOOKUP(E5482,BD!$L$2:$Q$244,6,0),0)</f>
        <v>198</v>
      </c>
      <c r="I5482" s="62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7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7">
        <v>256666</v>
      </c>
      <c r="F5483" s="31" t="str">
        <f>IFERROR(VLOOKUP(E5483,BD!$L$2:$Q$244,2,0),0)</f>
        <v>COCA-COLA PET 2.25LX2 RF</v>
      </c>
      <c r="G5483" s="424">
        <v>810</v>
      </c>
      <c r="H5483" s="31">
        <f>+IFERROR(VLOOKUP(E5483,BD!$L$2:$Q$244,6,0),0)</f>
        <v>162</v>
      </c>
      <c r="I5483" s="62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7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7">
        <v>256674</v>
      </c>
      <c r="F5484" s="31" t="str">
        <f>IFERROR(VLOOKUP(E5484,BD!$L$2:$Q$244,2,0),0)</f>
        <v>COCA-COLA PET 1.5LX2 RF</v>
      </c>
      <c r="G5484" s="424">
        <v>1728</v>
      </c>
      <c r="H5484" s="31">
        <f>+IFERROR(VLOOKUP(E5484,BD!$L$2:$Q$244,6,0),0)</f>
        <v>198</v>
      </c>
      <c r="I5484" s="62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7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7">
        <v>256652</v>
      </c>
      <c r="F5485" s="31" t="str">
        <f>IFERROR(VLOOKUP(E5485,BD!$L$2:$Q$244,2,0),0)</f>
        <v>TRIPACK FT NAR+FT KI+SP PET 3L</v>
      </c>
      <c r="G5485" s="424">
        <v>1080</v>
      </c>
      <c r="H5485" s="31">
        <f>+IFERROR(VLOOKUP(E5485,BD!$L$2:$Q$244,6,0),0)</f>
        <v>90</v>
      </c>
      <c r="I5485" s="62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7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7">
        <v>256679</v>
      </c>
      <c r="F5486" s="31" t="str">
        <f>IFERROR(VLOOKUP(E5486,BD!$L$2:$Q$244,2,0),0)</f>
        <v>TRIPACK CC+IK+IK PFM 3LX3 - RFNN</v>
      </c>
      <c r="G5486" s="424">
        <v>3600</v>
      </c>
      <c r="H5486" s="31">
        <f>+IFERROR(VLOOKUP(E5486,BD!$L$2:$Q$244,6,0),0)</f>
        <v>90</v>
      </c>
      <c r="I5486" s="62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7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7">
        <v>256695</v>
      </c>
      <c r="F5487" s="31" t="str">
        <f>IFERROR(VLOOKUP(E5487,BD!$L$2:$Q$244,2,0),0)</f>
        <v>POWERADE 3MORA+3FRUT PET 473MLX6</v>
      </c>
      <c r="G5487" s="424">
        <v>2250</v>
      </c>
      <c r="H5487" s="31">
        <f>+IFERROR(VLOOKUP(E5487,BD!$L$2:$Q$244,6,0),0)</f>
        <v>225</v>
      </c>
      <c r="I5487" s="62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7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7">
        <v>256721</v>
      </c>
      <c r="F5488" s="31" t="str">
        <f>IFERROR(VLOOKUP(E5488,BD!$L$2:$Q$244,2,0),0)</f>
        <v>SPRITE PET 500MLX6 BRANDEADO MOD</v>
      </c>
      <c r="G5488" s="424">
        <v>500</v>
      </c>
      <c r="H5488" s="31">
        <f>+IFERROR(VLOOKUP(E5488,BD!$L$2:$Q$244,6,0),0)</f>
        <v>420</v>
      </c>
      <c r="I5488" s="62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7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7">
        <v>256616</v>
      </c>
      <c r="F5489" s="31" t="str">
        <f>IFERROR(VLOOKUP(E5489,BD!$L$2:$Q$244,2,0),0)</f>
        <v>TWO PACK SCHWEPPES CITRUS PET 1.5LX2</v>
      </c>
      <c r="G5489" s="424">
        <v>792</v>
      </c>
      <c r="H5489" s="31">
        <f>+IFERROR(VLOOKUP(E5489,BD!$L$2:$Q$244,6,0),0)</f>
        <v>198</v>
      </c>
      <c r="I5489" s="62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7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7">
        <v>256488</v>
      </c>
      <c r="F5490" s="31" t="str">
        <f>IFERROR(VLOOKUP(E5490,BD!$L$2:$Q$244,2,0),0)</f>
        <v>INCA KOLA PET 3LX2 - RF</v>
      </c>
      <c r="G5490" s="424">
        <v>480</v>
      </c>
      <c r="H5490" s="31">
        <f>+IFERROR(VLOOKUP(E5490,BD!$L$2:$Q$244,6,0),0)</f>
        <v>120</v>
      </c>
      <c r="I5490" s="62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7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7">
        <v>256675</v>
      </c>
      <c r="F5491" s="31" t="str">
        <f>IFERROR(VLOOKUP(E5491,BD!$L$2:$Q$244,2,0),0)</f>
        <v>INCA KOLA PET 1.5LX2 RF</v>
      </c>
      <c r="G5491" s="424">
        <v>1080</v>
      </c>
      <c r="H5491" s="31">
        <f>+IFERROR(VLOOKUP(E5491,BD!$L$2:$Q$244,6,0),0)</f>
        <v>198</v>
      </c>
      <c r="I5491" s="62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7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7">
        <v>256679</v>
      </c>
      <c r="F5492" s="31" t="str">
        <f>IFERROR(VLOOKUP(E5492,BD!$L$2:$Q$244,2,0),0)</f>
        <v>TRIPACK CC+IK+IK PFM 3LX3 - RFNN</v>
      </c>
      <c r="G5492" s="425">
        <v>900</v>
      </c>
      <c r="H5492" s="31">
        <f>+IFERROR(VLOOKUP(E5492,BD!$L$2:$Q$244,6,0),0)</f>
        <v>90</v>
      </c>
      <c r="I5492" s="62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7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7">
        <v>256678</v>
      </c>
      <c r="F5493" s="31" t="str">
        <f>IFERROR(VLOOKUP(E5493,BD!$L$2:$Q$244,2,0),0)</f>
        <v>TRIPACK (CC+IK)PFM+FT PET 3LX3 - RFNN</v>
      </c>
      <c r="G5493" s="424">
        <v>3690</v>
      </c>
      <c r="H5493" s="31">
        <f>+IFERROR(VLOOKUP(E5493,BD!$L$2:$Q$244,6,0),0)</f>
        <v>90</v>
      </c>
      <c r="I5493" s="62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7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7">
        <v>256708</v>
      </c>
      <c r="F5494" s="31" t="str">
        <f>IFERROR(VLOOKUP(E5494,BD!$L$2:$Q$244,2,0),0)</f>
        <v>POWERADE ION4 FRUTA PET473X6 MOD (STICK)</v>
      </c>
      <c r="G5494" s="424">
        <v>900</v>
      </c>
      <c r="H5494" s="31">
        <f>+IFERROR(VLOOKUP(E5494,BD!$L$2:$Q$244,6,0),0)</f>
        <v>225</v>
      </c>
      <c r="I5494" s="62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7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7">
        <v>251429</v>
      </c>
      <c r="F5495" s="31" t="str">
        <f>IFERROR(VLOOKUP(E5495,BD!$L$2:$Q$244,2,0),0)</f>
        <v>SAN LUIS SIN GAS PET2500X6 STICKER</v>
      </c>
      <c r="G5495" s="425">
        <v>480</v>
      </c>
      <c r="H5495" s="31">
        <f>+IFERROR(VLOOKUP(E5495,BD!$L$2:$Q$244,6,0),0)</f>
        <v>48</v>
      </c>
      <c r="I5495" s="62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7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7">
        <v>251406</v>
      </c>
      <c r="F5496" s="31" t="str">
        <f>IFERROR(VLOOKUP(E5496,BD!$L$2:$Q$244,2,0),0)</f>
        <v>COCA-COLA SIN AZUCAR PET 1.5LX2</v>
      </c>
      <c r="G5496" s="424">
        <v>5400</v>
      </c>
      <c r="H5496" s="31">
        <f>+IFERROR(VLOOKUP(E5496,BD!$L$2:$Q$244,6,0),0)</f>
        <v>198</v>
      </c>
      <c r="I5496" s="62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7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7">
        <v>256674</v>
      </c>
      <c r="F5497" s="31" t="str">
        <f>IFERROR(VLOOKUP(E5497,BD!$L$2:$Q$244,2,0),0)</f>
        <v>COCA-COLA PET 1.5LX2 RF</v>
      </c>
      <c r="G5497" s="424">
        <v>1728</v>
      </c>
      <c r="H5497" s="31">
        <f>+IFERROR(VLOOKUP(E5497,BD!$L$2:$Q$244,6,0),0)</f>
        <v>198</v>
      </c>
      <c r="I5497" s="62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7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7">
        <v>256675</v>
      </c>
      <c r="F5498" s="31" t="str">
        <f>IFERROR(VLOOKUP(E5498,BD!$L$2:$Q$244,2,0),0)</f>
        <v>INCA KOLA PET 1.5LX2 RF</v>
      </c>
      <c r="G5498" s="424">
        <v>648</v>
      </c>
      <c r="H5498" s="31">
        <f>+IFERROR(VLOOKUP(E5498,BD!$L$2:$Q$244,6,0),0)</f>
        <v>198</v>
      </c>
      <c r="I5498" s="62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7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7">
        <v>256680</v>
      </c>
      <c r="F5499" s="31" t="str">
        <f>IFERROR(VLOOKUP(E5499,BD!$L$2:$Q$244,2,0),0)</f>
        <v>TRIPACK CC+CC+IK PFM 3LX3 - RFNN</v>
      </c>
      <c r="G5499" s="424">
        <v>1800</v>
      </c>
      <c r="H5499" s="31">
        <f>+IFERROR(VLOOKUP(E5499,BD!$L$2:$Q$244,6,0),0)</f>
        <v>90</v>
      </c>
      <c r="I5499" s="62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7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7">
        <v>256682</v>
      </c>
      <c r="F5500" s="31" t="str">
        <f>IFERROR(VLOOKUP(E5500,BD!$L$2:$Q$244,2,0),0)</f>
        <v>TRIPACK (FT NAR+SP)PET+IK RF PFM 3L</v>
      </c>
      <c r="G5500" s="424">
        <v>720</v>
      </c>
      <c r="H5500" s="31">
        <f>+IFERROR(VLOOKUP(E5500,BD!$L$2:$Q$244,6,0),0)</f>
        <v>90</v>
      </c>
      <c r="I5500" s="62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7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7">
        <v>256379</v>
      </c>
      <c r="F5501" s="31" t="str">
        <f>IFERROR(VLOOKUP(E5501,BD!$L$2:$Q$244,2,0),0)</f>
        <v>INCA KOLA VR 625MLX12 - STICKER</v>
      </c>
      <c r="G5501" s="424">
        <v>200</v>
      </c>
      <c r="H5501" s="31">
        <f>+IFERROR(VLOOKUP(E5501,BD!$L$2:$Q$244,6,0),0)</f>
        <v>50</v>
      </c>
      <c r="I5501" s="62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7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7">
        <v>252436</v>
      </c>
      <c r="F5502" s="31" t="str">
        <f>IFERROR(VLOOKUP(E5502,BD!$L$2:$Q$244,2,0),0)</f>
        <v>SAN LUIS SIN GAS PET 625MLX15 C/STICKER</v>
      </c>
      <c r="G5502" s="424">
        <v>900</v>
      </c>
      <c r="H5502" s="31">
        <f>+IFERROR(VLOOKUP(E5502,BD!$L$2:$Q$244,6,0),0)</f>
        <v>90</v>
      </c>
      <c r="I5502" s="62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7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7">
        <v>251429</v>
      </c>
      <c r="F5503" s="31" t="str">
        <f>IFERROR(VLOOKUP(E5503,BD!$L$2:$Q$244,2,0),0)</f>
        <v>SAN LUIS SIN GAS PET2500X6 STICKER</v>
      </c>
      <c r="G5503" s="424">
        <v>480</v>
      </c>
      <c r="H5503" s="31">
        <f>+IFERROR(VLOOKUP(E5503,BD!$L$2:$Q$244,6,0),0)</f>
        <v>48</v>
      </c>
      <c r="I5503" s="62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7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7">
        <v>751315</v>
      </c>
      <c r="F5504" s="31" t="str">
        <f>IFERROR(VLOOKUP(E5504,BD!$L$2:$Q$244,2,0),0)</f>
        <v>MONSTER ENERGY 473MLX4</v>
      </c>
      <c r="G5504" s="424">
        <v>1680</v>
      </c>
      <c r="H5504" s="31">
        <f>+IFERROR(VLOOKUP(E5504,BD!$L$2:$Q$244,6,0),0)</f>
        <v>420</v>
      </c>
      <c r="I5504" s="62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7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7">
        <v>254853</v>
      </c>
      <c r="F5505" s="31" t="str">
        <f>IFERROR(VLOOKUP(E5505,BD!$L$2:$Q$244,2,0),0)</f>
        <v>INCA KOLA SIN AZUCAR PET 1.5LX2</v>
      </c>
      <c r="G5505" s="425">
        <v>3240</v>
      </c>
      <c r="H5505" s="31">
        <f>+IFERROR(VLOOKUP(E5505,BD!$L$2:$Q$244,6,0),0)</f>
        <v>198</v>
      </c>
      <c r="I5505" s="62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7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7">
        <v>256617</v>
      </c>
      <c r="F5506" s="31" t="str">
        <f>IFERROR(VLOOKUP(E5506,BD!$L$2:$Q$244,2,0),0)</f>
        <v>TWO PACK SCHWEPPES GINGER ALE PET 1.5LX2</v>
      </c>
      <c r="G5506" s="424">
        <v>594</v>
      </c>
      <c r="H5506" s="31">
        <f>+IFERROR(VLOOKUP(E5506,BD!$L$2:$Q$244,6,0),0)</f>
        <v>198</v>
      </c>
      <c r="I5506" s="62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7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7">
        <v>256666</v>
      </c>
      <c r="F5507" s="31" t="str">
        <f>IFERROR(VLOOKUP(E5507,BD!$L$2:$Q$244,2,0),0)</f>
        <v>COCA-COLA PET 2.25LX2 RF</v>
      </c>
      <c r="G5507" s="424">
        <v>648</v>
      </c>
      <c r="H5507" s="31">
        <f>+IFERROR(VLOOKUP(E5507,BD!$L$2:$Q$244,6,0),0)</f>
        <v>162</v>
      </c>
      <c r="I5507" s="62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7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7">
        <v>256674</v>
      </c>
      <c r="F5508" s="31" t="str">
        <f>IFERROR(VLOOKUP(E5508,BD!$L$2:$Q$244,2,0),0)</f>
        <v>COCA-COLA PET 1.5LX2 RF</v>
      </c>
      <c r="G5508" s="424">
        <v>2592</v>
      </c>
      <c r="H5508" s="31">
        <f>+IFERROR(VLOOKUP(E5508,BD!$L$2:$Q$244,6,0),0)</f>
        <v>198</v>
      </c>
      <c r="I5508" s="62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7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7">
        <v>256675</v>
      </c>
      <c r="F5509" s="31" t="str">
        <f>IFERROR(VLOOKUP(E5509,BD!$L$2:$Q$244,2,0),0)</f>
        <v>INCA KOLA PET 1.5LX2 RF</v>
      </c>
      <c r="G5509" s="424">
        <v>864</v>
      </c>
      <c r="H5509" s="31">
        <f>+IFERROR(VLOOKUP(E5509,BD!$L$2:$Q$244,6,0),0)</f>
        <v>198</v>
      </c>
      <c r="I5509" s="62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7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7">
        <v>256682</v>
      </c>
      <c r="F5510" s="31" t="str">
        <f>IFERROR(VLOOKUP(E5510,BD!$L$2:$Q$244,2,0),0)</f>
        <v>TRIPACK (FT NAR+SP)PET+IK RF PFM 3L</v>
      </c>
      <c r="G5510" s="424">
        <v>720</v>
      </c>
      <c r="H5510" s="31">
        <f>+IFERROR(VLOOKUP(E5510,BD!$L$2:$Q$244,6,0),0)</f>
        <v>90</v>
      </c>
      <c r="I5510" s="62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7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7">
        <v>256708</v>
      </c>
      <c r="F5511" s="31" t="str">
        <f>IFERROR(VLOOKUP(E5511,BD!$L$2:$Q$244,2,0),0)</f>
        <v>POWERADE ION4 FRUTA PET473X6 MOD (STICK)</v>
      </c>
      <c r="G5511" s="424">
        <v>450</v>
      </c>
      <c r="H5511" s="31">
        <f>+IFERROR(VLOOKUP(E5511,BD!$L$2:$Q$244,6,0),0)</f>
        <v>225</v>
      </c>
      <c r="I5511" s="62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7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7">
        <v>256709</v>
      </c>
      <c r="F5512" s="31" t="str">
        <f>IFERROR(VLOOKUP(E5512,BD!$L$2:$Q$244,2,0),0)</f>
        <v>POWERADE ION4 MORA AZ PET473X6 MOD(STCK)</v>
      </c>
      <c r="G5512" s="424">
        <v>450</v>
      </c>
      <c r="H5512" s="31">
        <f>+IFERROR(VLOOKUP(E5512,BD!$L$2:$Q$244,6,0),0)</f>
        <v>225</v>
      </c>
      <c r="I5512" s="62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7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7">
        <v>256720</v>
      </c>
      <c r="F5513" s="31" t="str">
        <f>IFERROR(VLOOKUP(E5513,BD!$L$2:$Q$244,2,0),0)</f>
        <v>FANTA NARANJA PET 500MLX6 BRANDEADO MOD</v>
      </c>
      <c r="G5513" s="424">
        <v>750</v>
      </c>
      <c r="H5513" s="31">
        <f>+IFERROR(VLOOKUP(E5513,BD!$L$2:$Q$244,6,0),0)</f>
        <v>420</v>
      </c>
      <c r="I5513" s="62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7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7">
        <v>254762</v>
      </c>
      <c r="F5514" s="31" t="str">
        <f>IFERROR(VLOOKUP(E5514,BD!$L$2:$Q$244,2,0),0)</f>
        <v xml:space="preserve">SAN LUIS SPORT S/G 10 Lt x6 </v>
      </c>
      <c r="G5514" s="424">
        <v>224</v>
      </c>
      <c r="H5514" s="31">
        <f>+IFERROR(VLOOKUP(E5514,BD!$L$2:$Q$244,6,0),0)</f>
        <v>240</v>
      </c>
      <c r="I5514" s="62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7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7">
        <v>256685</v>
      </c>
      <c r="F5515" s="31" t="str">
        <f>IFERROR(VLOOKUP(E5515,BD!$L$2:$Q$244,2,0),0)</f>
        <v>SL S/G TAPA PLANA 1LT</v>
      </c>
      <c r="G5515" s="424">
        <v>448</v>
      </c>
      <c r="H5515" s="31">
        <f>+IFERROR(VLOOKUP(E5515,BD!$L$2:$Q$244,6,0),0)</f>
        <v>112</v>
      </c>
      <c r="I5515" s="62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7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7">
        <v>251633</v>
      </c>
      <c r="F5516" s="31" t="str">
        <f>IFERROR(VLOOKUP(E5516,BD!$L$2:$Q$244,2,0),0)</f>
        <v>SAN LUIS CON GAS PET 625MLX6</v>
      </c>
      <c r="G5516" s="424">
        <v>720</v>
      </c>
      <c r="H5516" s="31">
        <f>+IFERROR(VLOOKUP(E5516,BD!$L$2:$Q$244,6,0),0)</f>
        <v>180</v>
      </c>
      <c r="I5516" s="62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7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7">
        <v>256617</v>
      </c>
      <c r="F5517" s="31" t="str">
        <f>IFERROR(VLOOKUP(E5517,BD!$L$2:$Q$244,2,0),0)</f>
        <v>TWO PACK SCHWEPPES GINGER ALE PET 1.5LX2</v>
      </c>
      <c r="G5517" s="424">
        <v>1188</v>
      </c>
      <c r="H5517" s="31">
        <f>+IFERROR(VLOOKUP(E5517,BD!$L$2:$Q$244,6,0),0)</f>
        <v>198</v>
      </c>
      <c r="I5517" s="62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7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7">
        <v>256675</v>
      </c>
      <c r="F5518" s="31" t="str">
        <f>IFERROR(VLOOKUP(E5518,BD!$L$2:$Q$244,2,0),0)</f>
        <v>INCA KOLA PET 1.5LX2 RF</v>
      </c>
      <c r="G5518" s="424">
        <v>1728</v>
      </c>
      <c r="H5518" s="31">
        <f>+IFERROR(VLOOKUP(E5518,BD!$L$2:$Q$244,6,0),0)</f>
        <v>198</v>
      </c>
      <c r="I5518" s="62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7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7">
        <v>254762</v>
      </c>
      <c r="F5519" s="31" t="str">
        <f>IFERROR(VLOOKUP(E5519,BD!$L$2:$Q$244,2,0),0)</f>
        <v xml:space="preserve">SAN LUIS SPORT S/G 10 Lt x6 </v>
      </c>
      <c r="G5519" s="424">
        <v>224</v>
      </c>
      <c r="H5519" s="31">
        <f>+IFERROR(VLOOKUP(E5519,BD!$L$2:$Q$244,6,0),0)</f>
        <v>240</v>
      </c>
      <c r="I5519" s="62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7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7">
        <v>256685</v>
      </c>
      <c r="F5520" s="31" t="str">
        <f>IFERROR(VLOOKUP(E5520,BD!$L$2:$Q$244,2,0),0)</f>
        <v>SL S/G TAPA PLANA 1LT</v>
      </c>
      <c r="G5520" s="424">
        <v>336</v>
      </c>
      <c r="H5520" s="31">
        <f>+IFERROR(VLOOKUP(E5520,BD!$L$2:$Q$244,6,0),0)</f>
        <v>112</v>
      </c>
      <c r="I5520" s="62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7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7">
        <v>751315</v>
      </c>
      <c r="F5521" s="31" t="str">
        <f>IFERROR(VLOOKUP(E5521,BD!$L$2:$Q$244,2,0),0)</f>
        <v>MONSTER ENERGY 473MLX4</v>
      </c>
      <c r="G5521" s="424">
        <v>2520</v>
      </c>
      <c r="H5521" s="31">
        <f>+IFERROR(VLOOKUP(E5521,BD!$L$2:$Q$244,6,0),0)</f>
        <v>420</v>
      </c>
      <c r="I5521" s="62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7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7">
        <v>256666</v>
      </c>
      <c r="F5522" s="31" t="str">
        <f>IFERROR(VLOOKUP(E5522,BD!$L$2:$Q$244,2,0),0)</f>
        <v>COCA-COLA PET 2.25LX2 RF</v>
      </c>
      <c r="G5522" s="424">
        <v>810</v>
      </c>
      <c r="H5522" s="31">
        <f>+IFERROR(VLOOKUP(E5522,BD!$L$2:$Q$244,6,0),0)</f>
        <v>162</v>
      </c>
      <c r="I5522" s="62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7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7">
        <v>256601</v>
      </c>
      <c r="F5523" s="31" t="str">
        <f>IFERROR(VLOOKUP(E5523,BD!$L$2:$Q$244,2,0),0)</f>
        <v>INCA KOLA PET 2.25LX2 RF</v>
      </c>
      <c r="G5523" s="424">
        <v>810</v>
      </c>
      <c r="H5523" s="31">
        <f>+IFERROR(VLOOKUP(E5523,BD!$L$2:$Q$244,6,0),0)</f>
        <v>162</v>
      </c>
      <c r="I5523" s="62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7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7">
        <v>256677</v>
      </c>
      <c r="F5524" s="31" t="str">
        <f>IFERROR(VLOOKUP(E5524,BD!$L$2:$Q$244,2,0),0)</f>
        <v>TWO PACK CC + IK PFM 3LX2 - RFNN</v>
      </c>
      <c r="G5524" s="424">
        <v>6000</v>
      </c>
      <c r="H5524" s="31">
        <f>+IFERROR(VLOOKUP(E5524,BD!$L$2:$Q$244,6,0),0)</f>
        <v>120</v>
      </c>
      <c r="I5524" s="62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7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7">
        <v>256680</v>
      </c>
      <c r="F5525" s="31" t="str">
        <f>IFERROR(VLOOKUP(E5525,BD!$L$2:$Q$244,2,0),0)</f>
        <v>TRIPACK CC+CC+IK PFM 3LX3 - RFNN</v>
      </c>
      <c r="G5525" s="424">
        <v>720</v>
      </c>
      <c r="H5525" s="31">
        <f>+IFERROR(VLOOKUP(E5525,BD!$L$2:$Q$244,6,0),0)</f>
        <v>90</v>
      </c>
      <c r="I5525" s="62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7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7">
        <v>256679</v>
      </c>
      <c r="F5526" s="31" t="str">
        <f>IFERROR(VLOOKUP(E5526,BD!$L$2:$Q$244,2,0),0)</f>
        <v>TRIPACK CC+IK+IK PFM 3LX3 - RFNN</v>
      </c>
      <c r="G5526" s="424">
        <v>900</v>
      </c>
      <c r="H5526" s="31">
        <f>+IFERROR(VLOOKUP(E5526,BD!$L$2:$Q$244,6,0),0)</f>
        <v>90</v>
      </c>
      <c r="I5526" s="62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7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7">
        <v>256708</v>
      </c>
      <c r="F5527" s="31" t="str">
        <f>IFERROR(VLOOKUP(E5527,BD!$L$2:$Q$244,2,0),0)</f>
        <v>POWERADE ION4 FRUTA PET473X6 MOD (STICK)</v>
      </c>
      <c r="G5527" s="424">
        <v>225</v>
      </c>
      <c r="H5527" s="31">
        <f>+IFERROR(VLOOKUP(E5527,BD!$L$2:$Q$244,6,0),0)</f>
        <v>225</v>
      </c>
      <c r="I5527" s="62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7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7">
        <v>252436</v>
      </c>
      <c r="F5528" s="31" t="str">
        <f>IFERROR(VLOOKUP(E5528,BD!$L$2:$Q$244,2,0),0)</f>
        <v>SAN LUIS SIN GAS PET 625MLX15 C/STICKER</v>
      </c>
      <c r="G5528" s="424">
        <v>450</v>
      </c>
      <c r="H5528" s="31">
        <f>+IFERROR(VLOOKUP(E5528,BD!$L$2:$Q$244,6,0),0)</f>
        <v>90</v>
      </c>
      <c r="I5528" s="62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7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7">
        <v>251429</v>
      </c>
      <c r="F5529" s="31" t="str">
        <f>IFERROR(VLOOKUP(E5529,BD!$L$2:$Q$244,2,0),0)</f>
        <v>SAN LUIS SIN GAS PET2500X6 STICKER</v>
      </c>
      <c r="G5529" s="424">
        <v>960</v>
      </c>
      <c r="H5529" s="31">
        <f>+IFERROR(VLOOKUP(E5529,BD!$L$2:$Q$244,6,0),0)</f>
        <v>48</v>
      </c>
      <c r="I5529" s="62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7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7">
        <v>256616</v>
      </c>
      <c r="F5530" s="31" t="str">
        <f>IFERROR(VLOOKUP(E5530,BD!$L$2:$Q$244,2,0),0)</f>
        <v>TWO PACK SCHWEPPES CITRUS PET 1.5LX2</v>
      </c>
      <c r="G5530" s="424">
        <v>1584</v>
      </c>
      <c r="H5530" s="31">
        <f>+IFERROR(VLOOKUP(E5530,BD!$L$2:$Q$244,6,0),0)</f>
        <v>198</v>
      </c>
      <c r="I5530" s="62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7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7">
        <v>256617</v>
      </c>
      <c r="F5531" s="31" t="str">
        <f>IFERROR(VLOOKUP(E5531,BD!$L$2:$Q$244,2,0),0)</f>
        <v>TWO PACK SCHWEPPES GINGER ALE PET 1.5LX2</v>
      </c>
      <c r="G5531" s="424">
        <v>2376</v>
      </c>
      <c r="H5531" s="31">
        <f>+IFERROR(VLOOKUP(E5531,BD!$L$2:$Q$244,6,0),0)</f>
        <v>198</v>
      </c>
      <c r="I5531" s="62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7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7">
        <v>256674</v>
      </c>
      <c r="F5532" s="31" t="str">
        <f>IFERROR(VLOOKUP(E5532,BD!$L$2:$Q$244,2,0),0)</f>
        <v>COCA-COLA PET 1.5LX2 RF</v>
      </c>
      <c r="G5532" s="424">
        <v>1080</v>
      </c>
      <c r="H5532" s="31">
        <f>+IFERROR(VLOOKUP(E5532,BD!$L$2:$Q$244,6,0),0)</f>
        <v>198</v>
      </c>
      <c r="I5532" s="62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7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7">
        <v>256675</v>
      </c>
      <c r="F5533" s="31" t="str">
        <f>IFERROR(VLOOKUP(E5533,BD!$L$2:$Q$244,2,0),0)</f>
        <v>INCA KOLA PET 1.5LX2 RF</v>
      </c>
      <c r="G5533" s="424">
        <v>1296</v>
      </c>
      <c r="H5533" s="31">
        <f>+IFERROR(VLOOKUP(E5533,BD!$L$2:$Q$244,6,0),0)</f>
        <v>198</v>
      </c>
      <c r="I5533" s="62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7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7">
        <v>256721</v>
      </c>
      <c r="F5534" s="31" t="str">
        <f>IFERROR(VLOOKUP(E5534,BD!$L$2:$Q$244,2,0),0)</f>
        <v>SPRITE PET 500MLX6 BRANDEADO MOD</v>
      </c>
      <c r="G5534" s="424">
        <v>500</v>
      </c>
      <c r="H5534" s="31">
        <f>+IFERROR(VLOOKUP(E5534,BD!$L$2:$Q$244,6,0),0)</f>
        <v>420</v>
      </c>
      <c r="I5534" s="62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7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7">
        <v>256368</v>
      </c>
      <c r="F5535" s="31" t="str">
        <f>IFERROR(VLOOKUP(E5535,BD!$L$2:$Q$244,2,0),0)</f>
        <v>COCA COLA VNR 300ML X 6 PUC</v>
      </c>
      <c r="G5535" s="424">
        <v>250</v>
      </c>
      <c r="H5535" s="31">
        <f>+IFERROR(VLOOKUP(E5535,BD!$L$2:$Q$244,6,0),0)</f>
        <v>250</v>
      </c>
      <c r="I5535" s="62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7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7">
        <v>256709</v>
      </c>
      <c r="F5536" s="31" t="str">
        <f>IFERROR(VLOOKUP(E5536,BD!$L$2:$Q$244,2,0),0)</f>
        <v>POWERADE ION4 MORA AZ PET473X6 MOD(STCK)</v>
      </c>
      <c r="G5536" s="424">
        <v>675</v>
      </c>
      <c r="H5536" s="31">
        <f>+IFERROR(VLOOKUP(E5536,BD!$L$2:$Q$244,6,0),0)</f>
        <v>225</v>
      </c>
      <c r="I5536" s="62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7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7">
        <v>256708</v>
      </c>
      <c r="F5537" s="31" t="str">
        <f>IFERROR(VLOOKUP(E5537,BD!$L$2:$Q$244,2,0),0)</f>
        <v>POWERADE ION4 FRUTA PET473X6 MOD (STICK)</v>
      </c>
      <c r="G5537" s="424">
        <v>450</v>
      </c>
      <c r="H5537" s="31">
        <f>+IFERROR(VLOOKUP(E5537,BD!$L$2:$Q$244,6,0),0)</f>
        <v>225</v>
      </c>
      <c r="I5537" s="62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7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7">
        <v>256675</v>
      </c>
      <c r="F5538" s="31" t="str">
        <f>IFERROR(VLOOKUP(E5538,BD!$L$2:$Q$244,2,0),0)</f>
        <v>INCA KOLA PET 1.5LX2 RF</v>
      </c>
      <c r="G5538" s="424">
        <v>864</v>
      </c>
      <c r="H5538" s="31">
        <f>+IFERROR(VLOOKUP(E5538,BD!$L$2:$Q$244,6,0),0)</f>
        <v>198</v>
      </c>
      <c r="I5538" s="62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7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7">
        <v>256677</v>
      </c>
      <c r="F5539" s="31" t="str">
        <f>IFERROR(VLOOKUP(E5539,BD!$L$2:$Q$244,2,0),0)</f>
        <v>TWO PACK CC + IK PFM 3LX2 - RFNN</v>
      </c>
      <c r="G5539" s="424">
        <v>4800</v>
      </c>
      <c r="H5539" s="31">
        <f>+IFERROR(VLOOKUP(E5539,BD!$L$2:$Q$244,6,0),0)</f>
        <v>120</v>
      </c>
      <c r="I5539" s="62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7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7">
        <v>256721</v>
      </c>
      <c r="F5540" s="31" t="str">
        <f>IFERROR(VLOOKUP(E5540,BD!$L$2:$Q$244,2,0),0)</f>
        <v>SPRITE PET 500MLX6 BRANDEADO MOD</v>
      </c>
      <c r="G5540" s="424">
        <v>500</v>
      </c>
      <c r="H5540" s="31">
        <f>+IFERROR(VLOOKUP(E5540,BD!$L$2:$Q$244,6,0),0)</f>
        <v>420</v>
      </c>
      <c r="I5540" s="62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7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7">
        <v>256368</v>
      </c>
      <c r="F5541" s="31" t="str">
        <f>IFERROR(VLOOKUP(E5541,BD!$L$2:$Q$244,2,0),0)</f>
        <v>COCA COLA VNR 300ML X 6 PUC</v>
      </c>
      <c r="G5541" s="424">
        <v>500</v>
      </c>
      <c r="H5541" s="31">
        <f>+IFERROR(VLOOKUP(E5541,BD!$L$2:$Q$244,6,0),0)</f>
        <v>250</v>
      </c>
      <c r="I5541" s="62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7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7">
        <v>252436</v>
      </c>
      <c r="F5542" s="31" t="str">
        <f>IFERROR(VLOOKUP(E5542,BD!$L$2:$Q$244,2,0),0)</f>
        <v>SAN LUIS SIN GAS PET 625MLX15 C/STICKER</v>
      </c>
      <c r="G5542" s="424">
        <v>630</v>
      </c>
      <c r="H5542" s="31">
        <f>+IFERROR(VLOOKUP(E5542,BD!$L$2:$Q$244,6,0),0)</f>
        <v>90</v>
      </c>
      <c r="I5542" s="62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7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7">
        <v>251429</v>
      </c>
      <c r="F5543" s="31" t="str">
        <f>IFERROR(VLOOKUP(E5543,BD!$L$2:$Q$244,2,0),0)</f>
        <v>SAN LUIS SIN GAS PET2500X6 STICKER</v>
      </c>
      <c r="G5543" s="424">
        <v>1248</v>
      </c>
      <c r="H5543" s="31">
        <f>+IFERROR(VLOOKUP(E5543,BD!$L$2:$Q$244,6,0),0)</f>
        <v>48</v>
      </c>
      <c r="I5543" s="62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7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7">
        <v>254853</v>
      </c>
      <c r="F5544" s="31" t="str">
        <f>IFERROR(VLOOKUP(E5544,BD!$L$2:$Q$244,2,0),0)</f>
        <v>INCA KOLA SIN AZUCAR PET 1.5LX2</v>
      </c>
      <c r="G5544" s="424">
        <v>2592</v>
      </c>
      <c r="H5544" s="31">
        <f>+IFERROR(VLOOKUP(E5544,BD!$L$2:$Q$244,6,0),0)</f>
        <v>198</v>
      </c>
      <c r="I5544" s="62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7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7">
        <v>256548</v>
      </c>
      <c r="F5545" s="31" t="str">
        <f>IFERROR(VLOOKUP(E5545,BD!$L$2:$Q$244,2,0),0)</f>
        <v>TWO PACK CC PET 1.5LX2 - CRC</v>
      </c>
      <c r="G5545" s="424">
        <v>216</v>
      </c>
      <c r="H5545" s="31">
        <f>+IFERROR(VLOOKUP(E5545,BD!$L$2:$Q$244,6,0),0)</f>
        <v>198</v>
      </c>
      <c r="I5545" s="62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7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7">
        <v>256616</v>
      </c>
      <c r="F5546" s="31" t="str">
        <f>IFERROR(VLOOKUP(E5546,BD!$L$2:$Q$244,2,0),0)</f>
        <v>TWO PACK SCHWEPPES CITRUS PET 1.5LX2</v>
      </c>
      <c r="G5546" s="424">
        <v>792</v>
      </c>
      <c r="H5546" s="31">
        <f>+IFERROR(VLOOKUP(E5546,BD!$L$2:$Q$244,6,0),0)</f>
        <v>198</v>
      </c>
      <c r="I5546" s="62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7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7">
        <v>256617</v>
      </c>
      <c r="F5547" s="31" t="str">
        <f>IFERROR(VLOOKUP(E5547,BD!$L$2:$Q$244,2,0),0)</f>
        <v>TWO PACK SCHWEPPES GINGER ALE PET 1.5LX2</v>
      </c>
      <c r="G5547" s="424">
        <v>792</v>
      </c>
      <c r="H5547" s="31">
        <f>+IFERROR(VLOOKUP(E5547,BD!$L$2:$Q$244,6,0),0)</f>
        <v>198</v>
      </c>
      <c r="I5547" s="62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7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7">
        <v>256488</v>
      </c>
      <c r="F5548" s="31" t="str">
        <f>IFERROR(VLOOKUP(E5548,BD!$L$2:$Q$244,2,0),0)</f>
        <v>INCA KOLA PET 3LX2 - RF</v>
      </c>
      <c r="G5548" s="424">
        <v>360</v>
      </c>
      <c r="H5548" s="31">
        <f>+IFERROR(VLOOKUP(E5548,BD!$L$2:$Q$244,6,0),0)</f>
        <v>120</v>
      </c>
      <c r="I5548" s="62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7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7">
        <v>256676</v>
      </c>
      <c r="F5549" s="31" t="str">
        <f>IFERROR(VLOOKUP(E5549,BD!$L$2:$Q$244,2,0),0)</f>
        <v>TWO PACK CC PFM 3LX2 - RFCC</v>
      </c>
      <c r="G5549" s="424">
        <v>120</v>
      </c>
      <c r="H5549" s="31">
        <f>+IFERROR(VLOOKUP(E5549,BD!$L$2:$Q$244,6,0),0)</f>
        <v>120</v>
      </c>
      <c r="I5549" s="62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7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7">
        <v>256674</v>
      </c>
      <c r="F5550" s="31" t="str">
        <f>IFERROR(VLOOKUP(E5550,BD!$L$2:$Q$244,2,0),0)</f>
        <v>COCA-COLA PET 1.5LX2 RF</v>
      </c>
      <c r="G5550" s="424">
        <v>864</v>
      </c>
      <c r="H5550" s="31">
        <f>+IFERROR(VLOOKUP(E5550,BD!$L$2:$Q$244,6,0),0)</f>
        <v>198</v>
      </c>
      <c r="I5550" s="62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7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7">
        <v>256675</v>
      </c>
      <c r="F5551" s="31" t="str">
        <f>IFERROR(VLOOKUP(E5551,BD!$L$2:$Q$244,2,0),0)</f>
        <v>INCA KOLA PET 1.5LX2 RF</v>
      </c>
      <c r="G5551" s="424">
        <v>648</v>
      </c>
      <c r="H5551" s="31">
        <f>+IFERROR(VLOOKUP(E5551,BD!$L$2:$Q$244,6,0),0)</f>
        <v>198</v>
      </c>
      <c r="I5551" s="62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7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7">
        <v>256652</v>
      </c>
      <c r="F5552" s="31" t="str">
        <f>IFERROR(VLOOKUP(E5552,BD!$L$2:$Q$244,2,0),0)</f>
        <v>TRIPACK FT NAR+FT KI+SP PET 3L</v>
      </c>
      <c r="G5552" s="424">
        <v>1260</v>
      </c>
      <c r="H5552" s="31">
        <f>+IFERROR(VLOOKUP(E5552,BD!$L$2:$Q$244,6,0),0)</f>
        <v>90</v>
      </c>
      <c r="I5552" s="62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7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7">
        <v>256679</v>
      </c>
      <c r="F5553" s="31" t="str">
        <f>IFERROR(VLOOKUP(E5553,BD!$L$2:$Q$244,2,0),0)</f>
        <v>TRIPACK CC+IK+IK PFM 3LX3 - RFNN</v>
      </c>
      <c r="G5553" s="424">
        <v>900</v>
      </c>
      <c r="H5553" s="31">
        <f>+IFERROR(VLOOKUP(E5553,BD!$L$2:$Q$244,6,0),0)</f>
        <v>90</v>
      </c>
      <c r="I5553" s="62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7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7">
        <v>256720</v>
      </c>
      <c r="F5554" s="31" t="str">
        <f>IFERROR(VLOOKUP(E5554,BD!$L$2:$Q$244,2,0),0)</f>
        <v>FANTA NARANJA PET 500MLX6 BRANDEADO MOD</v>
      </c>
      <c r="G5554" s="424">
        <v>500</v>
      </c>
      <c r="H5554" s="31">
        <f>+IFERROR(VLOOKUP(E5554,BD!$L$2:$Q$244,6,0),0)</f>
        <v>420</v>
      </c>
      <c r="I5554" s="62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7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7">
        <v>256721</v>
      </c>
      <c r="F5555" s="31" t="str">
        <f>IFERROR(VLOOKUP(E5555,BD!$L$2:$Q$244,2,0),0)</f>
        <v>SPRITE PET 500MLX6 BRANDEADO MOD</v>
      </c>
      <c r="G5555" s="424">
        <v>250</v>
      </c>
      <c r="H5555" s="31">
        <f>+IFERROR(VLOOKUP(E5555,BD!$L$2:$Q$244,6,0),0)</f>
        <v>420</v>
      </c>
      <c r="I5555" s="62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7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7">
        <v>256368</v>
      </c>
      <c r="F5556" s="31" t="str">
        <f>IFERROR(VLOOKUP(E5556,BD!$L$2:$Q$244,2,0),0)</f>
        <v>COCA COLA VNR 300ML X 6 PUC</v>
      </c>
      <c r="G5556" s="424">
        <v>1000</v>
      </c>
      <c r="H5556" s="31">
        <f>+IFERROR(VLOOKUP(E5556,BD!$L$2:$Q$244,6,0),0)</f>
        <v>250</v>
      </c>
      <c r="I5556" s="62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7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7">
        <v>256680</v>
      </c>
      <c r="F5557" s="31" t="str">
        <f>IFERROR(VLOOKUP(E5557,BD!$L$2:$Q$244,2,0),0)</f>
        <v>TRIPACK CC+CC+IK PFM 3LX3 - RFNN</v>
      </c>
      <c r="G5557" s="424">
        <v>1440</v>
      </c>
      <c r="H5557" s="31">
        <f>+IFERROR(VLOOKUP(E5557,BD!$L$2:$Q$244,6,0),0)</f>
        <v>90</v>
      </c>
      <c r="I5557" s="62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7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7">
        <v>256679</v>
      </c>
      <c r="F5558" s="31" t="str">
        <f>IFERROR(VLOOKUP(E5558,BD!$L$2:$Q$244,2,0),0)</f>
        <v>TRIPACK CC+IK+IK PFM 3LX3 - RFNN</v>
      </c>
      <c r="G5558" s="424">
        <v>1440</v>
      </c>
      <c r="H5558" s="31">
        <f>+IFERROR(VLOOKUP(E5558,BD!$L$2:$Q$244,6,0),0)</f>
        <v>90</v>
      </c>
      <c r="I5558" s="62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7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7">
        <v>256382</v>
      </c>
      <c r="F5559" s="31" t="str">
        <f>IFERROR(VLOOKUP(E5559,BD!$L$2:$Q$244,2,0),0)</f>
        <v>COCA COLA VR 296MLX24 - STICKER</v>
      </c>
      <c r="G5559" s="424">
        <v>80</v>
      </c>
      <c r="H5559" s="31">
        <f>+IFERROR(VLOOKUP(E5559,BD!$L$2:$Q$244,6,0),0)</f>
        <v>40</v>
      </c>
      <c r="I5559" s="62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7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7">
        <v>256380</v>
      </c>
      <c r="F5560" s="31" t="str">
        <f>IFERROR(VLOOKUP(E5560,BD!$L$2:$Q$244,2,0),0)</f>
        <v>INCA KOLA VR 296MLX24 - STICKER</v>
      </c>
      <c r="G5560" s="424">
        <v>160</v>
      </c>
      <c r="H5560" s="31">
        <f>+IFERROR(VLOOKUP(E5560,BD!$L$2:$Q$244,6,0),0)</f>
        <v>40</v>
      </c>
      <c r="I5560" s="62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7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7">
        <v>256379</v>
      </c>
      <c r="F5561" s="31" t="str">
        <f>IFERROR(VLOOKUP(E5561,BD!$L$2:$Q$244,2,0),0)</f>
        <v>INCA KOLA VR 625MLX12 - STICKER</v>
      </c>
      <c r="G5561" s="424">
        <v>250</v>
      </c>
      <c r="H5561" s="31">
        <f>+IFERROR(VLOOKUP(E5561,BD!$L$2:$Q$244,6,0),0)</f>
        <v>50</v>
      </c>
      <c r="I5561" s="62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7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7">
        <v>254853</v>
      </c>
      <c r="F5562" s="31" t="str">
        <f>IFERROR(VLOOKUP(E5562,BD!$L$2:$Q$244,2,0),0)</f>
        <v>INCA KOLA SIN AZUCAR PET 1.5LX2</v>
      </c>
      <c r="G5562" s="424">
        <v>648</v>
      </c>
      <c r="H5562" s="31">
        <f>+IFERROR(VLOOKUP(E5562,BD!$L$2:$Q$244,6,0),0)</f>
        <v>198</v>
      </c>
      <c r="I5562" s="62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7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7">
        <v>256617</v>
      </c>
      <c r="F5563" s="31" t="str">
        <f>IFERROR(VLOOKUP(E5563,BD!$L$2:$Q$244,2,0),0)</f>
        <v>TWO PACK SCHWEPPES GINGER ALE PET 1.5LX2</v>
      </c>
      <c r="G5563" s="424">
        <v>396</v>
      </c>
      <c r="H5563" s="31">
        <f>+IFERROR(VLOOKUP(E5563,BD!$L$2:$Q$244,6,0),0)</f>
        <v>198</v>
      </c>
      <c r="I5563" s="62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7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7">
        <v>256652</v>
      </c>
      <c r="F5564" s="31" t="str">
        <f>IFERROR(VLOOKUP(E5564,BD!$L$2:$Q$244,2,0),0)</f>
        <v>TRIPACK FT NAR+FT KI+SP PET 3L</v>
      </c>
      <c r="G5564" s="424">
        <v>360</v>
      </c>
      <c r="H5564" s="31">
        <f>+IFERROR(VLOOKUP(E5564,BD!$L$2:$Q$244,6,0),0)</f>
        <v>90</v>
      </c>
      <c r="I5564" s="62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7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7">
        <v>256720</v>
      </c>
      <c r="F5565" s="31" t="str">
        <f>IFERROR(VLOOKUP(E5565,BD!$L$2:$Q$244,2,0),0)</f>
        <v>FANTA NARANJA PET 500MLX6 BRANDEADO MOD</v>
      </c>
      <c r="G5565" s="424">
        <v>250</v>
      </c>
      <c r="H5565" s="31">
        <f>+IFERROR(VLOOKUP(E5565,BD!$L$2:$Q$244,6,0),0)</f>
        <v>420</v>
      </c>
      <c r="I5565" s="62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7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7">
        <v>256368</v>
      </c>
      <c r="F5566" s="31" t="str">
        <f>IFERROR(VLOOKUP(E5566,BD!$L$2:$Q$244,2,0),0)</f>
        <v>COCA COLA VNR 300ML X 6 PUC</v>
      </c>
      <c r="G5566" s="424">
        <v>750</v>
      </c>
      <c r="H5566" s="31">
        <f>+IFERROR(VLOOKUP(E5566,BD!$L$2:$Q$244,6,0),0)</f>
        <v>250</v>
      </c>
      <c r="I5566" s="62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7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7">
        <v>256383</v>
      </c>
      <c r="F5567" s="31" t="str">
        <f>IFERROR(VLOOKUP(E5567,BD!$L$2:$Q$244,2,0),0)</f>
        <v>COCA COLA VR 1.5LX8 - STICKER</v>
      </c>
      <c r="G5567" s="424">
        <v>210</v>
      </c>
      <c r="H5567" s="31">
        <f>+IFERROR(VLOOKUP(E5567,BD!$L$2:$Q$244,6,0),0)</f>
        <v>30</v>
      </c>
      <c r="I5567" s="62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7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7">
        <v>256381</v>
      </c>
      <c r="F5568" s="31" t="str">
        <f>IFERROR(VLOOKUP(E5568,BD!$L$2:$Q$244,2,0),0)</f>
        <v>INCA KOLA VR 1.5LX8 - STICKER</v>
      </c>
      <c r="G5568" s="424">
        <v>150</v>
      </c>
      <c r="H5568" s="31">
        <f>+IFERROR(VLOOKUP(E5568,BD!$L$2:$Q$244,6,0),0)</f>
        <v>30</v>
      </c>
      <c r="I5568" s="62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7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7">
        <v>256379</v>
      </c>
      <c r="F5569" s="31" t="str">
        <f>IFERROR(VLOOKUP(E5569,BD!$L$2:$Q$244,2,0),0)</f>
        <v>INCA KOLA VR 625MLX12 - STICKER</v>
      </c>
      <c r="G5569" s="424">
        <v>250</v>
      </c>
      <c r="H5569" s="31">
        <f>+IFERROR(VLOOKUP(E5569,BD!$L$2:$Q$244,6,0),0)</f>
        <v>50</v>
      </c>
      <c r="I5569" s="62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7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7">
        <v>256616</v>
      </c>
      <c r="F5570" s="31" t="str">
        <f>IFERROR(VLOOKUP(E5570,BD!$L$2:$Q$244,2,0),0)</f>
        <v>TWO PACK SCHWEPPES CITRUS PET 1.5LX2</v>
      </c>
      <c r="G5570" s="424">
        <v>396</v>
      </c>
      <c r="H5570" s="31">
        <f>+IFERROR(VLOOKUP(E5570,BD!$L$2:$Q$244,6,0),0)</f>
        <v>198</v>
      </c>
      <c r="I5570" s="62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7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7">
        <v>256617</v>
      </c>
      <c r="F5571" s="31" t="str">
        <f>IFERROR(VLOOKUP(E5571,BD!$L$2:$Q$244,2,0),0)</f>
        <v>TWO PACK SCHWEPPES GINGER ALE PET 1.5LX2</v>
      </c>
      <c r="G5571" s="424">
        <v>198</v>
      </c>
      <c r="H5571" s="31">
        <f>+IFERROR(VLOOKUP(E5571,BD!$L$2:$Q$244,6,0),0)</f>
        <v>198</v>
      </c>
      <c r="I5571" s="62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7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7">
        <v>256601</v>
      </c>
      <c r="F5572" s="31" t="str">
        <f>IFERROR(VLOOKUP(E5572,BD!$L$2:$Q$244,2,0),0)</f>
        <v>INCA KOLA PET 2.25LX2 RF</v>
      </c>
      <c r="G5572" s="424">
        <v>162</v>
      </c>
      <c r="H5572" s="31">
        <f>+IFERROR(VLOOKUP(E5572,BD!$L$2:$Q$244,6,0),0)</f>
        <v>162</v>
      </c>
      <c r="I5572" s="62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7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7">
        <v>256674</v>
      </c>
      <c r="F5573" s="31" t="str">
        <f>IFERROR(VLOOKUP(E5573,BD!$L$2:$Q$244,2,0),0)</f>
        <v>COCA-COLA PET 1.5LX2 RF</v>
      </c>
      <c r="G5573" s="424">
        <v>864</v>
      </c>
      <c r="H5573" s="31">
        <f>+IFERROR(VLOOKUP(E5573,BD!$L$2:$Q$244,6,0),0)</f>
        <v>198</v>
      </c>
      <c r="I5573" s="62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7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7">
        <v>256675</v>
      </c>
      <c r="F5574" s="31" t="str">
        <f>IFERROR(VLOOKUP(E5574,BD!$L$2:$Q$244,2,0),0)</f>
        <v>INCA KOLA PET 1.5LX2 RF</v>
      </c>
      <c r="G5574" s="424">
        <v>1080</v>
      </c>
      <c r="H5574" s="31">
        <f>+IFERROR(VLOOKUP(E5574,BD!$L$2:$Q$244,6,0),0)</f>
        <v>198</v>
      </c>
      <c r="I5574" s="62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7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7">
        <v>256677</v>
      </c>
      <c r="F5575" s="31" t="str">
        <f>IFERROR(VLOOKUP(E5575,BD!$L$2:$Q$244,2,0),0)</f>
        <v>TWO PACK CC + IK PFM 3LX2 - RFNN</v>
      </c>
      <c r="G5575" s="424">
        <v>480</v>
      </c>
      <c r="H5575" s="31">
        <f>+IFERROR(VLOOKUP(E5575,BD!$L$2:$Q$244,6,0),0)</f>
        <v>120</v>
      </c>
      <c r="I5575" s="62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7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7">
        <v>256679</v>
      </c>
      <c r="F5576" s="31" t="str">
        <f>IFERROR(VLOOKUP(E5576,BD!$L$2:$Q$244,2,0),0)</f>
        <v>TRIPACK CC+IK+IK PFM 3LX3 - RFNN</v>
      </c>
      <c r="G5576" s="424">
        <v>1440</v>
      </c>
      <c r="H5576" s="31">
        <f>+IFERROR(VLOOKUP(E5576,BD!$L$2:$Q$244,6,0),0)</f>
        <v>90</v>
      </c>
      <c r="I5576" s="62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7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7">
        <v>256678</v>
      </c>
      <c r="F5577" s="31" t="str">
        <f>IFERROR(VLOOKUP(E5577,BD!$L$2:$Q$244,2,0),0)</f>
        <v>TRIPACK (CC+IK)PFM+FT PET 3LX3 - RFNN</v>
      </c>
      <c r="G5577" s="424">
        <v>2880</v>
      </c>
      <c r="H5577" s="31">
        <f>+IFERROR(VLOOKUP(E5577,BD!$L$2:$Q$244,6,0),0)</f>
        <v>90</v>
      </c>
      <c r="I5577" s="62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7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7">
        <v>256695</v>
      </c>
      <c r="F5578" s="31" t="str">
        <f>IFERROR(VLOOKUP(E5578,BD!$L$2:$Q$244,2,0),0)</f>
        <v>POWERADE 3MORA+3FRUT PET 473MLX6</v>
      </c>
      <c r="G5578" s="424">
        <v>900</v>
      </c>
      <c r="H5578" s="31">
        <f>+IFERROR(VLOOKUP(E5578,BD!$L$2:$Q$244,6,0),0)</f>
        <v>225</v>
      </c>
      <c r="I5578" s="62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7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7" t="s">
        <v>264</v>
      </c>
      <c r="F5579" s="31" t="str">
        <f>IFERROR(VLOOKUP(E5579,BD!$L$2:$Q$244,2,0),0)</f>
        <v>3IK SO + 1 IK SA X 3000ML PUC</v>
      </c>
      <c r="G5579" s="424">
        <v>450</v>
      </c>
      <c r="H5579" s="31">
        <f>+IFERROR(VLOOKUP(E5579,BD!$L$2:$Q$244,6,0),0)</f>
        <v>60</v>
      </c>
      <c r="I5579" s="62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7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7">
        <v>256677</v>
      </c>
      <c r="F5580" s="31" t="str">
        <f>IFERROR(VLOOKUP(E5580,BD!$L$2:$Q$244,2,0),0)</f>
        <v>TWO PACK CC + IK PFM 3LX2 - RFNN</v>
      </c>
      <c r="G5580" s="424">
        <v>2400</v>
      </c>
      <c r="H5580" s="31">
        <f>+IFERROR(VLOOKUP(E5580,BD!$L$2:$Q$244,6,0),0)</f>
        <v>120</v>
      </c>
      <c r="I5580" s="62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7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7">
        <v>256680</v>
      </c>
      <c r="F5581" s="31" t="str">
        <f>IFERROR(VLOOKUP(E5581,BD!$L$2:$Q$244,2,0),0)</f>
        <v>TRIPACK CC+CC+IK PFM 3LX3 - RFNN</v>
      </c>
      <c r="G5581" s="424">
        <v>900</v>
      </c>
      <c r="H5581" s="31">
        <f>+IFERROR(VLOOKUP(E5581,BD!$L$2:$Q$244,6,0),0)</f>
        <v>90</v>
      </c>
      <c r="I5581" s="62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7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7">
        <v>256679</v>
      </c>
      <c r="F5582" s="31" t="str">
        <f>IFERROR(VLOOKUP(E5582,BD!$L$2:$Q$244,2,0),0)</f>
        <v>TRIPACK CC+IK+IK PFM 3LX3 - RFNN</v>
      </c>
      <c r="G5582" s="424">
        <v>900</v>
      </c>
      <c r="H5582" s="31">
        <f>+IFERROR(VLOOKUP(E5582,BD!$L$2:$Q$244,6,0),0)</f>
        <v>90</v>
      </c>
      <c r="I5582" s="62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7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7">
        <v>256368</v>
      </c>
      <c r="F5583" s="31" t="str">
        <f>IFERROR(VLOOKUP(E5583,BD!$L$2:$Q$244,2,0),0)</f>
        <v>COCA COLA VNR 300ML X 6 PUC</v>
      </c>
      <c r="G5583" s="424">
        <v>1500</v>
      </c>
      <c r="H5583" s="31">
        <f>+IFERROR(VLOOKUP(E5583,BD!$L$2:$Q$244,6,0),0)</f>
        <v>250</v>
      </c>
      <c r="I5583" s="62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7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7">
        <v>256368</v>
      </c>
      <c r="F5584" s="31" t="str">
        <f>IFERROR(VLOOKUP(E5584,BD!$L$2:$Q$244,2,0),0)</f>
        <v>COCA COLA VNR 300ML X 6 PUC</v>
      </c>
      <c r="G5584" s="424">
        <v>2500</v>
      </c>
      <c r="H5584" s="31">
        <f>+IFERROR(VLOOKUP(E5584,BD!$L$2:$Q$244,6,0),0)</f>
        <v>250</v>
      </c>
      <c r="I5584" s="62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7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7">
        <v>251429</v>
      </c>
      <c r="F5585" s="31" t="str">
        <f>IFERROR(VLOOKUP(E5585,BD!$L$2:$Q$244,2,0),0)</f>
        <v>SAN LUIS SIN GAS PET2500X6 STICKER</v>
      </c>
      <c r="G5585" s="424">
        <v>192</v>
      </c>
      <c r="H5585" s="31">
        <f>+IFERROR(VLOOKUP(E5585,BD!$L$2:$Q$244,6,0),0)</f>
        <v>48</v>
      </c>
      <c r="I5585" s="62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7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7">
        <v>251406</v>
      </c>
      <c r="F5586" s="31" t="str">
        <f>IFERROR(VLOOKUP(E5586,BD!$L$2:$Q$244,2,0),0)</f>
        <v>COCA-COLA SIN AZUCAR PET 1.5LX2</v>
      </c>
      <c r="G5586" s="424">
        <v>5400</v>
      </c>
      <c r="H5586" s="31">
        <f>+IFERROR(VLOOKUP(E5586,BD!$L$2:$Q$244,6,0),0)</f>
        <v>198</v>
      </c>
      <c r="I5586" s="62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7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7">
        <v>256488</v>
      </c>
      <c r="F5587" s="31" t="str">
        <f>IFERROR(VLOOKUP(E5587,BD!$L$2:$Q$244,2,0),0)</f>
        <v>INCA KOLA PET 3LX2 - RF</v>
      </c>
      <c r="G5587" s="424">
        <v>1440</v>
      </c>
      <c r="H5587" s="31">
        <f>+IFERROR(VLOOKUP(E5587,BD!$L$2:$Q$244,6,0),0)</f>
        <v>120</v>
      </c>
      <c r="I5587" s="62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7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7">
        <v>256676</v>
      </c>
      <c r="F5588" s="31" t="str">
        <f>IFERROR(VLOOKUP(E5588,BD!$L$2:$Q$244,2,0),0)</f>
        <v>TWO PACK CC PFM 3LX2 - RFCC</v>
      </c>
      <c r="G5588" s="424">
        <v>1680</v>
      </c>
      <c r="H5588" s="31">
        <f>+IFERROR(VLOOKUP(E5588,BD!$L$2:$Q$244,6,0),0)</f>
        <v>120</v>
      </c>
      <c r="I5588" s="62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7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7">
        <v>256674</v>
      </c>
      <c r="F5589" s="31" t="str">
        <f>IFERROR(VLOOKUP(E5589,BD!$L$2:$Q$244,2,0),0)</f>
        <v>COCA-COLA PET 1.5LX2 RF</v>
      </c>
      <c r="G5589" s="424">
        <v>216</v>
      </c>
      <c r="H5589" s="31">
        <f>+IFERROR(VLOOKUP(E5589,BD!$L$2:$Q$244,6,0),0)</f>
        <v>198</v>
      </c>
      <c r="I5589" s="62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7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7">
        <v>256652</v>
      </c>
      <c r="F5590" s="31" t="str">
        <f>IFERROR(VLOOKUP(E5590,BD!$L$2:$Q$244,2,0),0)</f>
        <v>TRIPACK FT NAR+FT KI+SP PET 3L</v>
      </c>
      <c r="G5590" s="424">
        <v>180</v>
      </c>
      <c r="H5590" s="31">
        <f>+IFERROR(VLOOKUP(E5590,BD!$L$2:$Q$244,6,0),0)</f>
        <v>90</v>
      </c>
      <c r="I5590" s="62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7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7">
        <v>256677</v>
      </c>
      <c r="F5591" s="31" t="str">
        <f>IFERROR(VLOOKUP(E5591,BD!$L$2:$Q$244,2,0),0)</f>
        <v>TWO PACK CC + IK PFM 3LX2 - RFNN</v>
      </c>
      <c r="G5591" s="424">
        <v>1920</v>
      </c>
      <c r="H5591" s="31">
        <f>+IFERROR(VLOOKUP(E5591,BD!$L$2:$Q$244,6,0),0)</f>
        <v>120</v>
      </c>
      <c r="I5591" s="62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7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7">
        <v>254853</v>
      </c>
      <c r="F5592" s="31" t="str">
        <f>IFERROR(VLOOKUP(E5592,BD!$L$2:$Q$244,2,0),0)</f>
        <v>INCA KOLA SIN AZUCAR PET 1.5LX2</v>
      </c>
      <c r="G5592" s="424">
        <v>1296</v>
      </c>
      <c r="H5592" s="31">
        <f>+IFERROR(VLOOKUP(E5592,BD!$L$2:$Q$244,6,0),0)</f>
        <v>198</v>
      </c>
      <c r="I5592" s="62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7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7">
        <v>256617</v>
      </c>
      <c r="F5593" s="31" t="str">
        <f>IFERROR(VLOOKUP(E5593,BD!$L$2:$Q$244,2,0),0)</f>
        <v>TWO PACK SCHWEPPES GINGER ALE PET 1.5LX2</v>
      </c>
      <c r="G5593" s="424">
        <v>792</v>
      </c>
      <c r="H5593" s="31">
        <f>+IFERROR(VLOOKUP(E5593,BD!$L$2:$Q$244,6,0),0)</f>
        <v>198</v>
      </c>
      <c r="I5593" s="62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7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7">
        <v>256666</v>
      </c>
      <c r="F5594" s="31" t="str">
        <f>IFERROR(VLOOKUP(E5594,BD!$L$2:$Q$244,2,0),0)</f>
        <v>COCA-COLA PET 2.25LX2 RF</v>
      </c>
      <c r="G5594" s="424">
        <v>1296</v>
      </c>
      <c r="H5594" s="31">
        <f>+IFERROR(VLOOKUP(E5594,BD!$L$2:$Q$244,6,0),0)</f>
        <v>162</v>
      </c>
      <c r="I5594" s="62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7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7">
        <v>256601</v>
      </c>
      <c r="F5595" s="31" t="str">
        <f>IFERROR(VLOOKUP(E5595,BD!$L$2:$Q$244,2,0),0)</f>
        <v>INCA KOLA PET 2.25LX2 RF</v>
      </c>
      <c r="G5595" s="424">
        <v>972</v>
      </c>
      <c r="H5595" s="31">
        <f>+IFERROR(VLOOKUP(E5595,BD!$L$2:$Q$244,6,0),0)</f>
        <v>162</v>
      </c>
      <c r="I5595" s="62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7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7">
        <v>256674</v>
      </c>
      <c r="F5596" s="31" t="str">
        <f>IFERROR(VLOOKUP(E5596,BD!$L$2:$Q$244,2,0),0)</f>
        <v>COCA-COLA PET 1.5LX2 RF</v>
      </c>
      <c r="G5596" s="424">
        <v>1296</v>
      </c>
      <c r="H5596" s="31">
        <f>+IFERROR(VLOOKUP(E5596,BD!$L$2:$Q$244,6,0),0)</f>
        <v>198</v>
      </c>
      <c r="I5596" s="62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7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7">
        <v>256679</v>
      </c>
      <c r="F5597" s="31" t="str">
        <f>IFERROR(VLOOKUP(E5597,BD!$L$2:$Q$244,2,0),0)</f>
        <v>TRIPACK CC+IK+IK PFM 3LX3 - RFNN</v>
      </c>
      <c r="G5597" s="424">
        <v>450</v>
      </c>
      <c r="H5597" s="31">
        <f>+IFERROR(VLOOKUP(E5597,BD!$L$2:$Q$244,6,0),0)</f>
        <v>90</v>
      </c>
      <c r="I5597" s="62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7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7">
        <v>256695</v>
      </c>
      <c r="F5598" s="31" t="str">
        <f>IFERROR(VLOOKUP(E5598,BD!$L$2:$Q$244,2,0),0)</f>
        <v>POWERADE 3MORA+3FRUT PET 473MLX6</v>
      </c>
      <c r="G5598" s="424">
        <v>2025</v>
      </c>
      <c r="H5598" s="31">
        <f>+IFERROR(VLOOKUP(E5598,BD!$L$2:$Q$244,6,0),0)</f>
        <v>225</v>
      </c>
      <c r="I5598" s="62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7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7">
        <v>256548</v>
      </c>
      <c r="F5599" s="31" t="str">
        <f>IFERROR(VLOOKUP(E5599,BD!$L$2:$Q$244,2,0),0)</f>
        <v>TWO PACK CC PET 1.5LX2 - CRC</v>
      </c>
      <c r="G5599" s="424">
        <v>216</v>
      </c>
      <c r="H5599" s="31">
        <f>+IFERROR(VLOOKUP(E5599,BD!$L$2:$Q$244,6,0),0)</f>
        <v>198</v>
      </c>
      <c r="I5599" s="62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7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7">
        <v>256549</v>
      </c>
      <c r="F5600" s="31" t="str">
        <f>IFERROR(VLOOKUP(E5600,BD!$L$2:$Q$244,2,0),0)</f>
        <v>TWO PACK IK PET 1.5LX2 - CRCG</v>
      </c>
      <c r="G5600" s="424">
        <v>216</v>
      </c>
      <c r="H5600" s="31">
        <f>+IFERROR(VLOOKUP(E5600,BD!$L$2:$Q$244,6,0),0)</f>
        <v>198</v>
      </c>
      <c r="I5600" s="62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7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7">
        <v>256617</v>
      </c>
      <c r="F5601" s="31" t="str">
        <f>IFERROR(VLOOKUP(E5601,BD!$L$2:$Q$244,2,0),0)</f>
        <v>TWO PACK SCHWEPPES GINGER ALE PET 1.5LX2</v>
      </c>
      <c r="G5601" s="424">
        <v>594</v>
      </c>
      <c r="H5601" s="31">
        <f>+IFERROR(VLOOKUP(E5601,BD!$L$2:$Q$244,6,0),0)</f>
        <v>198</v>
      </c>
      <c r="I5601" s="62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7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7">
        <v>256666</v>
      </c>
      <c r="F5602" s="31" t="str">
        <f>IFERROR(VLOOKUP(E5602,BD!$L$2:$Q$244,2,0),0)</f>
        <v>COCA-COLA PET 2.25LX2 RF</v>
      </c>
      <c r="G5602" s="424">
        <v>1134</v>
      </c>
      <c r="H5602" s="31">
        <f>+IFERROR(VLOOKUP(E5602,BD!$L$2:$Q$244,6,0),0)</f>
        <v>162</v>
      </c>
      <c r="I5602" s="62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7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7">
        <v>256601</v>
      </c>
      <c r="F5603" s="31" t="str">
        <f>IFERROR(VLOOKUP(E5603,BD!$L$2:$Q$244,2,0),0)</f>
        <v>INCA KOLA PET 2.25LX2 RF</v>
      </c>
      <c r="G5603" s="424">
        <v>648</v>
      </c>
      <c r="H5603" s="31">
        <f>+IFERROR(VLOOKUP(E5603,BD!$L$2:$Q$244,6,0),0)</f>
        <v>162</v>
      </c>
      <c r="I5603" s="62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7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7">
        <v>256675</v>
      </c>
      <c r="F5604" s="31" t="str">
        <f>IFERROR(VLOOKUP(E5604,BD!$L$2:$Q$244,2,0),0)</f>
        <v>INCA KOLA PET 1.5LX2 RF</v>
      </c>
      <c r="G5604" s="424">
        <v>2160</v>
      </c>
      <c r="H5604" s="31">
        <f>+IFERROR(VLOOKUP(E5604,BD!$L$2:$Q$244,6,0),0)</f>
        <v>198</v>
      </c>
      <c r="I5604" s="62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7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7">
        <v>256677</v>
      </c>
      <c r="F5605" s="31" t="str">
        <f>IFERROR(VLOOKUP(E5605,BD!$L$2:$Q$244,2,0),0)</f>
        <v>TWO PACK CC + IK PFM 3LX2 - RFNN</v>
      </c>
      <c r="G5605" s="424">
        <v>720</v>
      </c>
      <c r="H5605" s="31">
        <f>+IFERROR(VLOOKUP(E5605,BD!$L$2:$Q$244,6,0),0)</f>
        <v>120</v>
      </c>
      <c r="I5605" s="62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7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7">
        <v>256682</v>
      </c>
      <c r="F5606" s="31" t="str">
        <f>IFERROR(VLOOKUP(E5606,BD!$L$2:$Q$244,2,0),0)</f>
        <v>TRIPACK (FT NAR+SP)PET+IK RF PFM 3L</v>
      </c>
      <c r="G5606" s="424">
        <v>450</v>
      </c>
      <c r="H5606" s="31">
        <f>+IFERROR(VLOOKUP(E5606,BD!$L$2:$Q$244,6,0),0)</f>
        <v>90</v>
      </c>
      <c r="I5606" s="62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7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7">
        <v>256720</v>
      </c>
      <c r="F5607" s="31" t="str">
        <f>IFERROR(VLOOKUP(E5607,BD!$L$2:$Q$244,2,0),0)</f>
        <v>FANTA NARANJA PET 500MLX6 BRANDEADO MOD</v>
      </c>
      <c r="G5607" s="424">
        <v>250</v>
      </c>
      <c r="H5607" s="31">
        <f>+IFERROR(VLOOKUP(E5607,BD!$L$2:$Q$244,6,0),0)</f>
        <v>420</v>
      </c>
      <c r="I5607" s="62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7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7">
        <v>254762</v>
      </c>
      <c r="F5608" s="31" t="str">
        <f>IFERROR(VLOOKUP(E5608,BD!$L$2:$Q$244,2,0),0)</f>
        <v xml:space="preserve">SAN LUIS SPORT S/G 10 Lt x6 </v>
      </c>
      <c r="G5608" s="424">
        <v>224</v>
      </c>
      <c r="H5608" s="31">
        <f>+IFERROR(VLOOKUP(E5608,BD!$L$2:$Q$244,6,0),0)</f>
        <v>240</v>
      </c>
      <c r="I5608" s="62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7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7">
        <v>751315</v>
      </c>
      <c r="F5609" s="31" t="str">
        <f>IFERROR(VLOOKUP(E5609,BD!$L$2:$Q$244,2,0),0)</f>
        <v>MONSTER ENERGY 473MLX4</v>
      </c>
      <c r="G5609" s="424">
        <v>2100</v>
      </c>
      <c r="H5609" s="31">
        <f>+IFERROR(VLOOKUP(E5609,BD!$L$2:$Q$244,6,0),0)</f>
        <v>420</v>
      </c>
      <c r="I5609" s="62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7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7">
        <v>256695</v>
      </c>
      <c r="F5610" s="31" t="str">
        <f>IFERROR(VLOOKUP(E5610,BD!$L$2:$Q$244,2,0),0)</f>
        <v>POWERADE 3MORA+3FRUT PET 473MLX6</v>
      </c>
      <c r="G5610" s="424">
        <v>1800</v>
      </c>
      <c r="H5610" s="31">
        <f>+IFERROR(VLOOKUP(E5610,BD!$L$2:$Q$244,6,0),0)</f>
        <v>225</v>
      </c>
      <c r="I5610" s="62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7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7">
        <v>256382</v>
      </c>
      <c r="F5611" s="31" t="str">
        <f>IFERROR(VLOOKUP(E5611,BD!$L$2:$Q$244,2,0),0)</f>
        <v>COCA COLA VR 296MLX24 - STICKER</v>
      </c>
      <c r="G5611" s="424">
        <v>200</v>
      </c>
      <c r="H5611" s="31">
        <f>+IFERROR(VLOOKUP(E5611,BD!$L$2:$Q$244,6,0),0)</f>
        <v>40</v>
      </c>
      <c r="I5611" s="62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7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7">
        <v>256381</v>
      </c>
      <c r="F5612" s="31" t="str">
        <f>IFERROR(VLOOKUP(E5612,BD!$L$2:$Q$244,2,0),0)</f>
        <v>INCA KOLA VR 1.5LX8 - STICKER</v>
      </c>
      <c r="G5612" s="424">
        <v>240</v>
      </c>
      <c r="H5612" s="31">
        <f>+IFERROR(VLOOKUP(E5612,BD!$L$2:$Q$244,6,0),0)</f>
        <v>30</v>
      </c>
      <c r="I5612" s="62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7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7">
        <v>256380</v>
      </c>
      <c r="F5613" s="31" t="str">
        <f>IFERROR(VLOOKUP(E5613,BD!$L$2:$Q$244,2,0),0)</f>
        <v>INCA KOLA VR 296MLX24 - STICKER</v>
      </c>
      <c r="G5613" s="424">
        <v>160</v>
      </c>
      <c r="H5613" s="31">
        <f>+IFERROR(VLOOKUP(E5613,BD!$L$2:$Q$244,6,0),0)</f>
        <v>40</v>
      </c>
      <c r="I5613" s="62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7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7">
        <v>256685</v>
      </c>
      <c r="F5614" s="31" t="str">
        <f>IFERROR(VLOOKUP(E5614,BD!$L$2:$Q$244,2,0),0)</f>
        <v>SL S/G TAPA PLANA 1LT</v>
      </c>
      <c r="G5614" s="424">
        <v>224</v>
      </c>
      <c r="H5614" s="31">
        <f>+IFERROR(VLOOKUP(E5614,BD!$L$2:$Q$244,6,0),0)</f>
        <v>112</v>
      </c>
      <c r="I5614" s="62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7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7">
        <v>251429</v>
      </c>
      <c r="F5615" s="31" t="str">
        <f>IFERROR(VLOOKUP(E5615,BD!$L$2:$Q$244,2,0),0)</f>
        <v>SAN LUIS SIN GAS PET2500X6 STICKER</v>
      </c>
      <c r="G5615" s="424">
        <v>672</v>
      </c>
      <c r="H5615" s="31">
        <f>+IFERROR(VLOOKUP(E5615,BD!$L$2:$Q$244,6,0),0)</f>
        <v>48</v>
      </c>
      <c r="I5615" s="62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7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7">
        <v>254853</v>
      </c>
      <c r="F5616" s="31" t="str">
        <f>IFERROR(VLOOKUP(E5616,BD!$L$2:$Q$244,2,0),0)</f>
        <v>INCA KOLA SIN AZUCAR PET 1.5LX2</v>
      </c>
      <c r="G5616" s="424">
        <v>3024</v>
      </c>
      <c r="H5616" s="31">
        <f>+IFERROR(VLOOKUP(E5616,BD!$L$2:$Q$244,6,0),0)</f>
        <v>198</v>
      </c>
      <c r="I5616" s="62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7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7">
        <v>256677</v>
      </c>
      <c r="F5617" s="31" t="str">
        <f>IFERROR(VLOOKUP(E5617,BD!$L$2:$Q$244,2,0),0)</f>
        <v>TWO PACK CC + IK PFM 3LX2 - RFNN</v>
      </c>
      <c r="G5617" s="424">
        <v>1920</v>
      </c>
      <c r="H5617" s="31">
        <f>+IFERROR(VLOOKUP(E5617,BD!$L$2:$Q$244,6,0),0)</f>
        <v>120</v>
      </c>
      <c r="I5617" s="62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7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7">
        <v>256678</v>
      </c>
      <c r="F5618" s="31" t="str">
        <f>IFERROR(VLOOKUP(E5618,BD!$L$2:$Q$244,2,0),0)</f>
        <v>TRIPACK (CC+IK)PFM+FT PET 3LX3 - RFNN</v>
      </c>
      <c r="G5618" s="424">
        <v>720</v>
      </c>
      <c r="H5618" s="31">
        <f>+IFERROR(VLOOKUP(E5618,BD!$L$2:$Q$244,6,0),0)</f>
        <v>90</v>
      </c>
      <c r="I5618" s="62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7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7">
        <v>256708</v>
      </c>
      <c r="F5619" s="31" t="str">
        <f>IFERROR(VLOOKUP(E5619,BD!$L$2:$Q$244,2,0),0)</f>
        <v>POWERADE ION4 FRUTA PET473X6 MOD (STICK)</v>
      </c>
      <c r="G5619" s="424">
        <v>450</v>
      </c>
      <c r="H5619" s="31">
        <f>+IFERROR(VLOOKUP(E5619,BD!$L$2:$Q$244,6,0),0)</f>
        <v>225</v>
      </c>
      <c r="I5619" s="62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7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7">
        <v>256709</v>
      </c>
      <c r="F5620" s="31" t="str">
        <f>IFERROR(VLOOKUP(E5620,BD!$L$2:$Q$244,2,0),0)</f>
        <v>POWERADE ION4 MORA AZ PET473X6 MOD(STCK)</v>
      </c>
      <c r="G5620" s="424">
        <v>675</v>
      </c>
      <c r="H5620" s="31">
        <f>+IFERROR(VLOOKUP(E5620,BD!$L$2:$Q$244,6,0),0)</f>
        <v>225</v>
      </c>
      <c r="I5620" s="62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7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7">
        <v>256685</v>
      </c>
      <c r="F5621" s="31" t="str">
        <f>IFERROR(VLOOKUP(E5621,BD!$L$2:$Q$244,2,0),0)</f>
        <v>SL S/G TAPA PLANA 1LT</v>
      </c>
      <c r="G5621" s="424">
        <v>448</v>
      </c>
      <c r="H5621" s="31">
        <f>+IFERROR(VLOOKUP(E5621,BD!$L$2:$Q$244,6,0),0)</f>
        <v>112</v>
      </c>
      <c r="I5621" s="62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7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7">
        <v>251429</v>
      </c>
      <c r="F5622" s="31" t="str">
        <f>IFERROR(VLOOKUP(E5622,BD!$L$2:$Q$244,2,0),0)</f>
        <v>SAN LUIS SIN GAS PET2500X6 STICKER</v>
      </c>
      <c r="G5622" s="424">
        <v>288</v>
      </c>
      <c r="H5622" s="31">
        <f>+IFERROR(VLOOKUP(E5622,BD!$L$2:$Q$244,6,0),0)</f>
        <v>48</v>
      </c>
      <c r="I5622" s="62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7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7">
        <v>251406</v>
      </c>
      <c r="F5623" s="31" t="str">
        <f>IFERROR(VLOOKUP(E5623,BD!$L$2:$Q$244,2,0),0)</f>
        <v>COCA-COLA SIN AZUCAR PET 1.5LX2</v>
      </c>
      <c r="G5623" s="424">
        <v>216</v>
      </c>
      <c r="H5623" s="31">
        <f>+IFERROR(VLOOKUP(E5623,BD!$L$2:$Q$244,6,0),0)</f>
        <v>198</v>
      </c>
      <c r="I5623" s="62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7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7">
        <v>254853</v>
      </c>
      <c r="F5624" s="31" t="str">
        <f>IFERROR(VLOOKUP(E5624,BD!$L$2:$Q$244,2,0),0)</f>
        <v>INCA KOLA SIN AZUCAR PET 1.5LX2</v>
      </c>
      <c r="G5624" s="424">
        <v>864</v>
      </c>
      <c r="H5624" s="31">
        <f>+IFERROR(VLOOKUP(E5624,BD!$L$2:$Q$244,6,0),0)</f>
        <v>198</v>
      </c>
      <c r="I5624" s="62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7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7">
        <v>256666</v>
      </c>
      <c r="F5625" s="31" t="str">
        <f>IFERROR(VLOOKUP(E5625,BD!$L$2:$Q$244,2,0),0)</f>
        <v>COCA-COLA PET 2.25LX2 RF</v>
      </c>
      <c r="G5625" s="424">
        <v>162</v>
      </c>
      <c r="H5625" s="31">
        <f>+IFERROR(VLOOKUP(E5625,BD!$L$2:$Q$244,6,0),0)</f>
        <v>162</v>
      </c>
      <c r="I5625" s="62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7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7">
        <v>256674</v>
      </c>
      <c r="F5626" s="31" t="str">
        <f>IFERROR(VLOOKUP(E5626,BD!$L$2:$Q$244,2,0),0)</f>
        <v>COCA-COLA PET 1.5LX2 RF</v>
      </c>
      <c r="G5626" s="424">
        <v>1296</v>
      </c>
      <c r="H5626" s="31">
        <f>+IFERROR(VLOOKUP(E5626,BD!$L$2:$Q$244,6,0),0)</f>
        <v>198</v>
      </c>
      <c r="I5626" s="62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7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7">
        <v>256677</v>
      </c>
      <c r="F5627" s="31" t="str">
        <f>IFERROR(VLOOKUP(E5627,BD!$L$2:$Q$244,2,0),0)</f>
        <v>TWO PACK CC + IK PFM 3LX2 - RFNN</v>
      </c>
      <c r="G5627" s="424">
        <v>960</v>
      </c>
      <c r="H5627" s="31">
        <f>+IFERROR(VLOOKUP(E5627,BD!$L$2:$Q$244,6,0),0)</f>
        <v>120</v>
      </c>
      <c r="I5627" s="62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7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7">
        <v>256678</v>
      </c>
      <c r="F5628" s="31" t="str">
        <f>IFERROR(VLOOKUP(E5628,BD!$L$2:$Q$244,2,0),0)</f>
        <v>TRIPACK (CC+IK)PFM+FT PET 3LX3 - RFNN</v>
      </c>
      <c r="G5628" s="424">
        <v>2880</v>
      </c>
      <c r="H5628" s="31">
        <f>+IFERROR(VLOOKUP(E5628,BD!$L$2:$Q$244,6,0),0)</f>
        <v>90</v>
      </c>
      <c r="I5628" s="62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7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7">
        <v>256682</v>
      </c>
      <c r="F5629" s="31" t="str">
        <f>IFERROR(VLOOKUP(E5629,BD!$L$2:$Q$244,2,0),0)</f>
        <v>TRIPACK (FT NAR+SP)PET+IK RF PFM 3L</v>
      </c>
      <c r="G5629" s="424">
        <v>450</v>
      </c>
      <c r="H5629" s="31">
        <f>+IFERROR(VLOOKUP(E5629,BD!$L$2:$Q$244,6,0),0)</f>
        <v>90</v>
      </c>
      <c r="I5629" s="62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7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7">
        <v>256708</v>
      </c>
      <c r="F5630" s="31" t="str">
        <f>IFERROR(VLOOKUP(E5630,BD!$L$2:$Q$244,2,0),0)</f>
        <v>POWERADE ION4 FRUTA PET473X6 MOD (STICK)</v>
      </c>
      <c r="G5630" s="424">
        <v>450</v>
      </c>
      <c r="H5630" s="31">
        <f>+IFERROR(VLOOKUP(E5630,BD!$L$2:$Q$244,6,0),0)</f>
        <v>225</v>
      </c>
      <c r="I5630" s="62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7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7">
        <v>256721</v>
      </c>
      <c r="F5631" s="31" t="str">
        <f>IFERROR(VLOOKUP(E5631,BD!$L$2:$Q$244,2,0),0)</f>
        <v>SPRITE PET 500MLX6 BRANDEADO MOD</v>
      </c>
      <c r="G5631" s="424">
        <v>1000</v>
      </c>
      <c r="H5631" s="31">
        <f>+IFERROR(VLOOKUP(E5631,BD!$L$2:$Q$244,6,0),0)</f>
        <v>420</v>
      </c>
      <c r="I5631" s="62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7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7">
        <v>256720</v>
      </c>
      <c r="F5632" s="31" t="str">
        <f>IFERROR(VLOOKUP(E5632,BD!$L$2:$Q$244,2,0),0)</f>
        <v>FANTA NARANJA PET 500MLX6 BRANDEADO MOD</v>
      </c>
      <c r="G5632" s="424">
        <v>500</v>
      </c>
      <c r="H5632" s="31">
        <f>+IFERROR(VLOOKUP(E5632,BD!$L$2:$Q$244,6,0),0)</f>
        <v>420</v>
      </c>
      <c r="I5632" s="62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7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7">
        <v>254762</v>
      </c>
      <c r="F5633" s="31" t="str">
        <f>IFERROR(VLOOKUP(E5633,BD!$L$2:$Q$244,2,0),0)</f>
        <v xml:space="preserve">SAN LUIS SPORT S/G 10 Lt x6 </v>
      </c>
      <c r="G5633" s="424">
        <v>224</v>
      </c>
      <c r="H5633" s="31">
        <f>+IFERROR(VLOOKUP(E5633,BD!$L$2:$Q$244,6,0),0)</f>
        <v>240</v>
      </c>
      <c r="I5633" s="62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7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7">
        <v>256685</v>
      </c>
      <c r="F5634" s="31" t="str">
        <f>IFERROR(VLOOKUP(E5634,BD!$L$2:$Q$244,2,0),0)</f>
        <v>SL S/G TAPA PLANA 1LT</v>
      </c>
      <c r="G5634" s="424">
        <v>112</v>
      </c>
      <c r="H5634" s="31">
        <f>+IFERROR(VLOOKUP(E5634,BD!$L$2:$Q$244,6,0),0)</f>
        <v>112</v>
      </c>
      <c r="I5634" s="62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7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7">
        <v>256695</v>
      </c>
      <c r="F5635" s="31" t="str">
        <f>IFERROR(VLOOKUP(E5635,BD!$L$2:$Q$244,2,0),0)</f>
        <v>POWERADE 3MORA+3FRUT PET 473MLX6</v>
      </c>
      <c r="G5635" s="424">
        <v>1125</v>
      </c>
      <c r="H5635" s="31">
        <f>+IFERROR(VLOOKUP(E5635,BD!$L$2:$Q$244,6,0),0)</f>
        <v>225</v>
      </c>
      <c r="I5635" s="62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7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7">
        <v>256720</v>
      </c>
      <c r="F5636" s="31" t="str">
        <f>IFERROR(VLOOKUP(E5636,BD!$L$2:$Q$244,2,0),0)</f>
        <v>FANTA NARANJA PET 500MLX6 BRANDEADO MOD</v>
      </c>
      <c r="G5636" s="424">
        <v>250</v>
      </c>
      <c r="H5636" s="31">
        <f>+IFERROR(VLOOKUP(E5636,BD!$L$2:$Q$244,6,0),0)</f>
        <v>420</v>
      </c>
      <c r="I5636" s="62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7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7">
        <v>251406</v>
      </c>
      <c r="F5637" s="31" t="str">
        <f>IFERROR(VLOOKUP(E5637,BD!$L$2:$Q$244,2,0),0)</f>
        <v>COCA-COLA SIN AZUCAR PET 1.5LX2</v>
      </c>
      <c r="G5637" s="424">
        <v>5184</v>
      </c>
      <c r="H5637" s="31">
        <f>+IFERROR(VLOOKUP(E5637,BD!$L$2:$Q$244,6,0),0)</f>
        <v>198</v>
      </c>
      <c r="I5637" s="62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7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7">
        <v>254853</v>
      </c>
      <c r="F5638" s="31" t="str">
        <f>IFERROR(VLOOKUP(E5638,BD!$L$2:$Q$244,2,0),0)</f>
        <v>INCA KOLA SIN AZUCAR PET 1.5LX2</v>
      </c>
      <c r="G5638" s="424">
        <v>432</v>
      </c>
      <c r="H5638" s="31">
        <f>+IFERROR(VLOOKUP(E5638,BD!$L$2:$Q$244,6,0),0)</f>
        <v>198</v>
      </c>
      <c r="I5638" s="62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7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7">
        <v>256674</v>
      </c>
      <c r="F5639" s="31" t="str">
        <f>IFERROR(VLOOKUP(E5639,BD!$L$2:$Q$244,2,0),0)</f>
        <v>COCA-COLA PET 1.5LX2 RF</v>
      </c>
      <c r="G5639" s="424">
        <v>1296</v>
      </c>
      <c r="H5639" s="31">
        <f>+IFERROR(VLOOKUP(E5639,BD!$L$2:$Q$244,6,0),0)</f>
        <v>198</v>
      </c>
      <c r="I5639" s="62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7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7">
        <v>256677</v>
      </c>
      <c r="F5640" s="31" t="str">
        <f>IFERROR(VLOOKUP(E5640,BD!$L$2:$Q$244,2,0),0)</f>
        <v>TWO PACK CC + IK PFM 3LX2 - RFNN</v>
      </c>
      <c r="G5640" s="424">
        <v>960</v>
      </c>
      <c r="H5640" s="31">
        <f>+IFERROR(VLOOKUP(E5640,BD!$L$2:$Q$244,6,0),0)</f>
        <v>120</v>
      </c>
      <c r="I5640" s="62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7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7">
        <v>251429</v>
      </c>
      <c r="F5641" s="31" t="str">
        <f>IFERROR(VLOOKUP(E5641,BD!$L$2:$Q$244,2,0),0)</f>
        <v>SAN LUIS SIN GAS PET2500X6 STICKER</v>
      </c>
      <c r="G5641" s="424">
        <v>960</v>
      </c>
      <c r="H5641" s="31">
        <f>+IFERROR(VLOOKUP(E5641,BD!$L$2:$Q$244,6,0),0)</f>
        <v>48</v>
      </c>
      <c r="I5641" s="62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7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7">
        <v>751315</v>
      </c>
      <c r="F5642" s="31" t="str">
        <f>IFERROR(VLOOKUP(E5642,BD!$L$2:$Q$244,2,0),0)</f>
        <v>MONSTER ENERGY 473MLX4</v>
      </c>
      <c r="G5642" s="424">
        <v>1680</v>
      </c>
      <c r="H5642" s="31">
        <f>+IFERROR(VLOOKUP(E5642,BD!$L$2:$Q$244,6,0),0)</f>
        <v>420</v>
      </c>
      <c r="I5642" s="62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7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7">
        <v>251633</v>
      </c>
      <c r="F5643" s="31" t="str">
        <f>IFERROR(VLOOKUP(E5643,BD!$L$2:$Q$244,2,0),0)</f>
        <v>SAN LUIS CON GAS PET 625MLX6</v>
      </c>
      <c r="G5643" s="424">
        <v>180</v>
      </c>
      <c r="H5643" s="31">
        <f>+IFERROR(VLOOKUP(E5643,BD!$L$2:$Q$244,6,0),0)</f>
        <v>180</v>
      </c>
      <c r="I5643" s="62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7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7">
        <v>256677</v>
      </c>
      <c r="F5644" s="31" t="str">
        <f>IFERROR(VLOOKUP(E5644,BD!$L$2:$Q$244,2,0),0)</f>
        <v>TWO PACK CC + IK PFM 3LX2 - RFNN</v>
      </c>
      <c r="G5644" s="424">
        <v>4320</v>
      </c>
      <c r="H5644" s="31">
        <f>+IFERROR(VLOOKUP(E5644,BD!$L$2:$Q$244,6,0),0)</f>
        <v>120</v>
      </c>
      <c r="I5644" s="62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7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7">
        <v>256680</v>
      </c>
      <c r="F5645" s="31" t="str">
        <f>IFERROR(VLOOKUP(E5645,BD!$L$2:$Q$244,2,0),0)</f>
        <v>TRIPACK CC+CC+IK PFM 3LX3 - RFNN</v>
      </c>
      <c r="G5645" s="424">
        <v>450</v>
      </c>
      <c r="H5645" s="31">
        <f>+IFERROR(VLOOKUP(E5645,BD!$L$2:$Q$244,6,0),0)</f>
        <v>90</v>
      </c>
      <c r="I5645" s="62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7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7">
        <v>256678</v>
      </c>
      <c r="F5646" s="31" t="str">
        <f>IFERROR(VLOOKUP(E5646,BD!$L$2:$Q$244,2,0),0)</f>
        <v>TRIPACK (CC+IK)PFM+FT PET 3LX3 - RFNN</v>
      </c>
      <c r="G5646" s="424">
        <v>2880</v>
      </c>
      <c r="H5646" s="31">
        <f>+IFERROR(VLOOKUP(E5646,BD!$L$2:$Q$244,6,0),0)</f>
        <v>90</v>
      </c>
      <c r="I5646" s="62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7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7">
        <v>256708</v>
      </c>
      <c r="F5647" s="31" t="str">
        <f>IFERROR(VLOOKUP(E5647,BD!$L$2:$Q$244,2,0),0)</f>
        <v>POWERADE ION4 FRUTA PET473X6 MOD (STICK)</v>
      </c>
      <c r="G5647" s="424">
        <v>1125</v>
      </c>
      <c r="H5647" s="31">
        <f>+IFERROR(VLOOKUP(E5647,BD!$L$2:$Q$244,6,0),0)</f>
        <v>225</v>
      </c>
      <c r="I5647" s="62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7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7">
        <v>256709</v>
      </c>
      <c r="F5648" s="31" t="str">
        <f>IFERROR(VLOOKUP(E5648,BD!$L$2:$Q$244,2,0),0)</f>
        <v>POWERADE ION4 MORA AZ PET473X6 MOD(STCK)</v>
      </c>
      <c r="G5648" s="424">
        <v>900</v>
      </c>
      <c r="H5648" s="31">
        <f>+IFERROR(VLOOKUP(E5648,BD!$L$2:$Q$244,6,0),0)</f>
        <v>225</v>
      </c>
      <c r="I5648" s="62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7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7">
        <v>256720</v>
      </c>
      <c r="F5649" s="31" t="str">
        <f>IFERROR(VLOOKUP(E5649,BD!$L$2:$Q$244,2,0),0)</f>
        <v>FANTA NARANJA PET 500MLX6 BRANDEADO MOD</v>
      </c>
      <c r="G5649" s="424">
        <v>750</v>
      </c>
      <c r="H5649" s="31">
        <f>+IFERROR(VLOOKUP(E5649,BD!$L$2:$Q$244,6,0),0)</f>
        <v>420</v>
      </c>
      <c r="I5649" s="62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7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7">
        <v>256721</v>
      </c>
      <c r="F5650" s="31" t="str">
        <f>IFERROR(VLOOKUP(E5650,BD!$L$2:$Q$244,2,0),0)</f>
        <v>SPRITE PET 500MLX6 BRANDEADO MOD</v>
      </c>
      <c r="G5650" s="424">
        <v>750</v>
      </c>
      <c r="H5650" s="31">
        <f>+IFERROR(VLOOKUP(E5650,BD!$L$2:$Q$244,6,0),0)</f>
        <v>420</v>
      </c>
      <c r="I5650" s="62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7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7">
        <v>252436</v>
      </c>
      <c r="F5651" s="31" t="str">
        <f>IFERROR(VLOOKUP(E5651,BD!$L$2:$Q$244,2,0),0)</f>
        <v>SAN LUIS SIN GAS PET 625MLX15 C/STICKER</v>
      </c>
      <c r="G5651" s="424">
        <v>450</v>
      </c>
      <c r="H5651" s="31">
        <f>+IFERROR(VLOOKUP(E5651,BD!$L$2:$Q$244,6,0),0)</f>
        <v>90</v>
      </c>
      <c r="I5651" s="62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7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7">
        <v>256685</v>
      </c>
      <c r="F5652" s="31" t="str">
        <f>IFERROR(VLOOKUP(E5652,BD!$L$2:$Q$244,2,0),0)</f>
        <v>SL S/G TAPA PLANA 1LT</v>
      </c>
      <c r="G5652" s="424">
        <v>448</v>
      </c>
      <c r="H5652" s="31">
        <f>+IFERROR(VLOOKUP(E5652,BD!$L$2:$Q$244,6,0),0)</f>
        <v>112</v>
      </c>
      <c r="I5652" s="62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7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7">
        <v>751315</v>
      </c>
      <c r="F5653" s="31" t="str">
        <f>IFERROR(VLOOKUP(E5653,BD!$L$2:$Q$244,2,0),0)</f>
        <v>MONSTER ENERGY 473MLX4</v>
      </c>
      <c r="G5653" s="424">
        <v>420</v>
      </c>
      <c r="H5653" s="31">
        <f>+IFERROR(VLOOKUP(E5653,BD!$L$2:$Q$244,6,0),0)</f>
        <v>420</v>
      </c>
      <c r="I5653" s="62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7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7">
        <v>251633</v>
      </c>
      <c r="F5654" s="31" t="str">
        <f>IFERROR(VLOOKUP(E5654,BD!$L$2:$Q$244,2,0),0)</f>
        <v>SAN LUIS CON GAS PET 625MLX6</v>
      </c>
      <c r="G5654" s="424">
        <v>900</v>
      </c>
      <c r="H5654" s="31">
        <f>+IFERROR(VLOOKUP(E5654,BD!$L$2:$Q$244,6,0),0)</f>
        <v>180</v>
      </c>
      <c r="I5654" s="62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7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7">
        <v>256652</v>
      </c>
      <c r="F5655" s="31" t="str">
        <f>IFERROR(VLOOKUP(E5655,BD!$L$2:$Q$244,2,0),0)</f>
        <v>TRIPACK FT NAR+FT KI+SP PET 3L</v>
      </c>
      <c r="G5655" s="424">
        <v>720</v>
      </c>
      <c r="H5655" s="31">
        <f>+IFERROR(VLOOKUP(E5655,BD!$L$2:$Q$244,6,0),0)</f>
        <v>90</v>
      </c>
      <c r="I5655" s="62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7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7">
        <v>256678</v>
      </c>
      <c r="F5656" s="31" t="str">
        <f>IFERROR(VLOOKUP(E5656,BD!$L$2:$Q$244,2,0),0)</f>
        <v>TRIPACK (CC+IK)PFM+FT PET 3LX3 - RFNN</v>
      </c>
      <c r="G5656" s="424">
        <v>720</v>
      </c>
      <c r="H5656" s="31">
        <f>+IFERROR(VLOOKUP(E5656,BD!$L$2:$Q$244,6,0),0)</f>
        <v>90</v>
      </c>
      <c r="I5656" s="62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7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7">
        <v>256383</v>
      </c>
      <c r="F5657" s="31" t="str">
        <f>IFERROR(VLOOKUP(E5657,BD!$L$2:$Q$244,2,0),0)</f>
        <v>COCA COLA VR 1.5LX8 - STICKER</v>
      </c>
      <c r="G5657" s="424">
        <v>150</v>
      </c>
      <c r="H5657" s="31">
        <f>+IFERROR(VLOOKUP(E5657,BD!$L$2:$Q$244,6,0),0)</f>
        <v>30</v>
      </c>
      <c r="I5657" s="62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7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7">
        <v>256382</v>
      </c>
      <c r="F5658" s="31" t="str">
        <f>IFERROR(VLOOKUP(E5658,BD!$L$2:$Q$244,2,0),0)</f>
        <v>COCA COLA VR 296MLX24 - STICKER</v>
      </c>
      <c r="G5658" s="424">
        <v>80</v>
      </c>
      <c r="H5658" s="31">
        <f>+IFERROR(VLOOKUP(E5658,BD!$L$2:$Q$244,6,0),0)</f>
        <v>40</v>
      </c>
      <c r="I5658" s="62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7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7">
        <v>256381</v>
      </c>
      <c r="F5659" s="31" t="str">
        <f>IFERROR(VLOOKUP(E5659,BD!$L$2:$Q$244,2,0),0)</f>
        <v>INCA KOLA VR 1.5LX8 - STICKER</v>
      </c>
      <c r="G5659" s="424">
        <v>150</v>
      </c>
      <c r="H5659" s="31">
        <f>+IFERROR(VLOOKUP(E5659,BD!$L$2:$Q$244,6,0),0)</f>
        <v>30</v>
      </c>
      <c r="I5659" s="62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7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7">
        <v>256380</v>
      </c>
      <c r="F5660" s="31" t="str">
        <f>IFERROR(VLOOKUP(E5660,BD!$L$2:$Q$244,2,0),0)</f>
        <v>INCA KOLA VR 296MLX24 - STICKER</v>
      </c>
      <c r="G5660" s="424">
        <v>160</v>
      </c>
      <c r="H5660" s="31">
        <f>+IFERROR(VLOOKUP(E5660,BD!$L$2:$Q$244,6,0),0)</f>
        <v>40</v>
      </c>
      <c r="I5660" s="62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7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7">
        <v>256379</v>
      </c>
      <c r="F5661" s="31" t="str">
        <f>IFERROR(VLOOKUP(E5661,BD!$L$2:$Q$244,2,0),0)</f>
        <v>INCA KOLA VR 625MLX12 - STICKER</v>
      </c>
      <c r="G5661" s="424">
        <v>250</v>
      </c>
      <c r="H5661" s="31">
        <f>+IFERROR(VLOOKUP(E5661,BD!$L$2:$Q$244,6,0),0)</f>
        <v>50</v>
      </c>
      <c r="I5661" s="62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7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7">
        <v>252436</v>
      </c>
      <c r="F5662" s="31" t="str">
        <f>IFERROR(VLOOKUP(E5662,BD!$L$2:$Q$244,2,0),0)</f>
        <v>SAN LUIS SIN GAS PET 625MLX15 C/STICKER</v>
      </c>
      <c r="G5662" s="424">
        <v>450</v>
      </c>
      <c r="H5662" s="31">
        <f>+IFERROR(VLOOKUP(E5662,BD!$L$2:$Q$244,6,0),0)</f>
        <v>90</v>
      </c>
      <c r="I5662" s="62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7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7">
        <v>251429</v>
      </c>
      <c r="F5663" s="31" t="str">
        <f>IFERROR(VLOOKUP(E5663,BD!$L$2:$Q$244,2,0),0)</f>
        <v>SAN LUIS SIN GAS PET2500X6 STICKER</v>
      </c>
      <c r="G5663" s="424">
        <v>480</v>
      </c>
      <c r="H5663" s="31">
        <f>+IFERROR(VLOOKUP(E5663,BD!$L$2:$Q$244,6,0),0)</f>
        <v>48</v>
      </c>
      <c r="I5663" s="62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7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7">
        <v>251406</v>
      </c>
      <c r="F5664" s="31" t="str">
        <f>IFERROR(VLOOKUP(E5664,BD!$L$2:$Q$244,2,0),0)</f>
        <v>COCA-COLA SIN AZUCAR PET 1.5LX2</v>
      </c>
      <c r="G5664" s="424">
        <v>2160</v>
      </c>
      <c r="H5664" s="31">
        <f>+IFERROR(VLOOKUP(E5664,BD!$L$2:$Q$244,6,0),0)</f>
        <v>198</v>
      </c>
      <c r="I5664" s="62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7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7">
        <v>254853</v>
      </c>
      <c r="F5665" s="31" t="str">
        <f>IFERROR(VLOOKUP(E5665,BD!$L$2:$Q$244,2,0),0)</f>
        <v>INCA KOLA SIN AZUCAR PET 1.5LX2</v>
      </c>
      <c r="G5665" s="424">
        <v>1080</v>
      </c>
      <c r="H5665" s="31">
        <f>+IFERROR(VLOOKUP(E5665,BD!$L$2:$Q$244,6,0),0)</f>
        <v>198</v>
      </c>
      <c r="I5665" s="62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7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7">
        <v>256616</v>
      </c>
      <c r="F5666" s="31" t="str">
        <f>IFERROR(VLOOKUP(E5666,BD!$L$2:$Q$244,2,0),0)</f>
        <v>TWO PACK SCHWEPPES CITRUS PET 1.5LX2</v>
      </c>
      <c r="G5666" s="424">
        <v>990</v>
      </c>
      <c r="H5666" s="31">
        <f>+IFERROR(VLOOKUP(E5666,BD!$L$2:$Q$244,6,0),0)</f>
        <v>198</v>
      </c>
      <c r="I5666" s="62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7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7">
        <v>256601</v>
      </c>
      <c r="F5667" s="31" t="str">
        <f>IFERROR(VLOOKUP(E5667,BD!$L$2:$Q$244,2,0),0)</f>
        <v>INCA KOLA PET 2.25LX2 RF</v>
      </c>
      <c r="G5667" s="424">
        <v>486</v>
      </c>
      <c r="H5667" s="31">
        <f>+IFERROR(VLOOKUP(E5667,BD!$L$2:$Q$244,6,0),0)</f>
        <v>162</v>
      </c>
      <c r="I5667" s="62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7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7">
        <v>256652</v>
      </c>
      <c r="F5668" s="31" t="str">
        <f>IFERROR(VLOOKUP(E5668,BD!$L$2:$Q$244,2,0),0)</f>
        <v>TRIPACK FT NAR+FT KI+SP PET 3L</v>
      </c>
      <c r="G5668" s="424">
        <v>450</v>
      </c>
      <c r="H5668" s="31">
        <f>+IFERROR(VLOOKUP(E5668,BD!$L$2:$Q$244,6,0),0)</f>
        <v>90</v>
      </c>
      <c r="I5668" s="62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7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7">
        <v>256677</v>
      </c>
      <c r="F5669" s="31" t="str">
        <f>IFERROR(VLOOKUP(E5669,BD!$L$2:$Q$244,2,0),0)</f>
        <v>TWO PACK CC + IK PFM 3LX2 - RFNN</v>
      </c>
      <c r="G5669" s="424">
        <v>2400</v>
      </c>
      <c r="H5669" s="31">
        <f>+IFERROR(VLOOKUP(E5669,BD!$L$2:$Q$244,6,0),0)</f>
        <v>120</v>
      </c>
      <c r="I5669" s="62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7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7">
        <v>256680</v>
      </c>
      <c r="F5670" s="31" t="str">
        <f>IFERROR(VLOOKUP(E5670,BD!$L$2:$Q$244,2,0),0)</f>
        <v>TRIPACK CC+CC+IK PFM 3LX3 - RFNN</v>
      </c>
      <c r="G5670" s="424">
        <v>900</v>
      </c>
      <c r="H5670" s="31">
        <f>+IFERROR(VLOOKUP(E5670,BD!$L$2:$Q$244,6,0),0)</f>
        <v>90</v>
      </c>
      <c r="I5670" s="62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7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7">
        <v>256679</v>
      </c>
      <c r="F5671" s="31" t="str">
        <f>IFERROR(VLOOKUP(E5671,BD!$L$2:$Q$244,2,0),0)</f>
        <v>TRIPACK CC+IK+IK PFM 3LX3 - RFNN</v>
      </c>
      <c r="G5671" s="424">
        <v>1440</v>
      </c>
      <c r="H5671" s="31">
        <f>+IFERROR(VLOOKUP(E5671,BD!$L$2:$Q$244,6,0),0)</f>
        <v>90</v>
      </c>
      <c r="I5671" s="62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7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7">
        <v>256383</v>
      </c>
      <c r="F5672" s="31" t="str">
        <f>IFERROR(VLOOKUP(E5672,BD!$L$2:$Q$244,2,0),0)</f>
        <v>COCA COLA VR 1.5LX8 - STICKER</v>
      </c>
      <c r="G5672" s="424">
        <v>120</v>
      </c>
      <c r="H5672" s="31">
        <f>+IFERROR(VLOOKUP(E5672,BD!$L$2:$Q$244,6,0),0)</f>
        <v>30</v>
      </c>
      <c r="I5672" s="62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7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7">
        <v>256381</v>
      </c>
      <c r="F5673" s="31" t="str">
        <f>IFERROR(VLOOKUP(E5673,BD!$L$2:$Q$244,2,0),0)</f>
        <v>INCA KOLA VR 1.5LX8 - STICKER</v>
      </c>
      <c r="G5673" s="424">
        <v>180</v>
      </c>
      <c r="H5673" s="31">
        <f>+IFERROR(VLOOKUP(E5673,BD!$L$2:$Q$244,6,0),0)</f>
        <v>30</v>
      </c>
      <c r="I5673" s="62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7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7">
        <v>256678</v>
      </c>
      <c r="F5674" s="31" t="str">
        <f>IFERROR(VLOOKUP(E5674,BD!$L$2:$Q$244,2,0),0)</f>
        <v>TRIPACK (CC+IK)PFM+FT PET 3LX3 - RFNN</v>
      </c>
      <c r="G5674" s="424">
        <v>3600</v>
      </c>
      <c r="H5674" s="31">
        <f>+IFERROR(VLOOKUP(E5674,BD!$L$2:$Q$244,6,0),0)</f>
        <v>90</v>
      </c>
      <c r="I5674" s="62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7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7">
        <v>256695</v>
      </c>
      <c r="F5675" s="31" t="str">
        <f>IFERROR(VLOOKUP(E5675,BD!$L$2:$Q$244,2,0),0)</f>
        <v>POWERADE 3MORA+3FRUT PET 473MLX6</v>
      </c>
      <c r="G5675" s="424">
        <v>2250</v>
      </c>
      <c r="H5675" s="31">
        <f>+IFERROR(VLOOKUP(E5675,BD!$L$2:$Q$244,6,0),0)</f>
        <v>225</v>
      </c>
      <c r="I5675" s="62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7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7">
        <v>256720</v>
      </c>
      <c r="F5676" s="31" t="str">
        <f>IFERROR(VLOOKUP(E5676,BD!$L$2:$Q$244,2,0),0)</f>
        <v>FANTA NARANJA PET 500MLX6 BRANDEADO MOD</v>
      </c>
      <c r="G5676" s="424">
        <v>750</v>
      </c>
      <c r="H5676" s="31">
        <f>+IFERROR(VLOOKUP(E5676,BD!$L$2:$Q$244,6,0),0)</f>
        <v>420</v>
      </c>
      <c r="I5676" s="62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7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7">
        <v>256721</v>
      </c>
      <c r="F5677" s="31" t="str">
        <f>IFERROR(VLOOKUP(E5677,BD!$L$2:$Q$244,2,0),0)</f>
        <v>SPRITE PET 500MLX6 BRANDEADO MOD</v>
      </c>
      <c r="G5677" s="424">
        <v>500</v>
      </c>
      <c r="H5677" s="31">
        <f>+IFERROR(VLOOKUP(E5677,BD!$L$2:$Q$244,6,0),0)</f>
        <v>420</v>
      </c>
      <c r="I5677" s="62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7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7">
        <v>256368</v>
      </c>
      <c r="F5678" s="31" t="str">
        <f>IFERROR(VLOOKUP(E5678,BD!$L$2:$Q$244,2,0),0)</f>
        <v>COCA COLA VNR 300ML X 6 PUC</v>
      </c>
      <c r="G5678" s="424">
        <v>7250</v>
      </c>
      <c r="H5678" s="31">
        <f>+IFERROR(VLOOKUP(E5678,BD!$L$2:$Q$244,6,0),0)</f>
        <v>250</v>
      </c>
      <c r="I5678" s="62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7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7" t="s">
        <v>263</v>
      </c>
      <c r="F5679" s="31" t="str">
        <f>IFERROR(VLOOKUP(E5679,BD!$L$2:$Q$244,2,0),0)</f>
        <v>3CC SA + 3IK SA 600ML X 6 PUC</v>
      </c>
      <c r="G5679" s="424">
        <v>1200</v>
      </c>
      <c r="H5679" s="31">
        <f>+IFERROR(VLOOKUP(E5679,BD!$L$2:$Q$244,6,0),0)</f>
        <v>200</v>
      </c>
      <c r="I5679" s="62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7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7">
        <v>251429</v>
      </c>
      <c r="F5680" s="31" t="str">
        <f>IFERROR(VLOOKUP(E5680,BD!$L$2:$Q$244,2,0),0)</f>
        <v>SAN LUIS SIN GAS PET2500X6 STICKER</v>
      </c>
      <c r="G5680" s="424">
        <v>144</v>
      </c>
      <c r="H5680" s="31">
        <f>+IFERROR(VLOOKUP(E5680,BD!$L$2:$Q$244,6,0),0)</f>
        <v>48</v>
      </c>
      <c r="I5680" s="62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7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7">
        <v>751315</v>
      </c>
      <c r="F5681" s="31" t="str">
        <f>IFERROR(VLOOKUP(E5681,BD!$L$2:$Q$244,2,0),0)</f>
        <v>MONSTER ENERGY 473MLX4</v>
      </c>
      <c r="G5681" s="424">
        <v>2100</v>
      </c>
      <c r="H5681" s="31">
        <f>+IFERROR(VLOOKUP(E5681,BD!$L$2:$Q$244,6,0),0)</f>
        <v>420</v>
      </c>
      <c r="I5681" s="62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7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7">
        <v>256616</v>
      </c>
      <c r="F5682" s="31" t="str">
        <f>IFERROR(VLOOKUP(E5682,BD!$L$2:$Q$244,2,0),0)</f>
        <v>TWO PACK SCHWEPPES CITRUS PET 1.5LX2</v>
      </c>
      <c r="G5682" s="424">
        <v>792</v>
      </c>
      <c r="H5682" s="31">
        <f>+IFERROR(VLOOKUP(E5682,BD!$L$2:$Q$244,6,0),0)</f>
        <v>198</v>
      </c>
      <c r="I5682" s="62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7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7">
        <v>256666</v>
      </c>
      <c r="F5683" s="31" t="str">
        <f>IFERROR(VLOOKUP(E5683,BD!$L$2:$Q$244,2,0),0)</f>
        <v>COCA-COLA PET 2.25LX2 RF</v>
      </c>
      <c r="G5683" s="424">
        <v>972</v>
      </c>
      <c r="H5683" s="31">
        <f>+IFERROR(VLOOKUP(E5683,BD!$L$2:$Q$244,6,0),0)</f>
        <v>162</v>
      </c>
      <c r="I5683" s="62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7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7">
        <v>256601</v>
      </c>
      <c r="F5684" s="31" t="str">
        <f>IFERROR(VLOOKUP(E5684,BD!$L$2:$Q$244,2,0),0)</f>
        <v>INCA KOLA PET 2.25LX2 RF</v>
      </c>
      <c r="G5684" s="424">
        <v>486</v>
      </c>
      <c r="H5684" s="31">
        <f>+IFERROR(VLOOKUP(E5684,BD!$L$2:$Q$244,6,0),0)</f>
        <v>162</v>
      </c>
      <c r="I5684" s="62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7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7">
        <v>256679</v>
      </c>
      <c r="F5685" s="31" t="str">
        <f>IFERROR(VLOOKUP(E5685,BD!$L$2:$Q$244,2,0),0)</f>
        <v>TRIPACK CC+IK+IK PFM 3LX3 - RFNN</v>
      </c>
      <c r="G5685" s="424">
        <v>900</v>
      </c>
      <c r="H5685" s="31">
        <f>+IFERROR(VLOOKUP(E5685,BD!$L$2:$Q$244,6,0),0)</f>
        <v>90</v>
      </c>
      <c r="I5685" s="62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7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7">
        <v>256678</v>
      </c>
      <c r="F5686" s="31" t="str">
        <f>IFERROR(VLOOKUP(E5686,BD!$L$2:$Q$244,2,0),0)</f>
        <v>TRIPACK (CC+IK)PFM+FT PET 3LX3 - RFNN</v>
      </c>
      <c r="G5686" s="424">
        <v>900</v>
      </c>
      <c r="H5686" s="31">
        <f>+IFERROR(VLOOKUP(E5686,BD!$L$2:$Q$244,6,0),0)</f>
        <v>90</v>
      </c>
      <c r="I5686" s="62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7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7">
        <v>256695</v>
      </c>
      <c r="F5687" s="31" t="str">
        <f>IFERROR(VLOOKUP(E5687,BD!$L$2:$Q$244,2,0),0)</f>
        <v>POWERADE 3MORA+3FRUT PET 473MLX6</v>
      </c>
      <c r="G5687" s="424">
        <v>1350</v>
      </c>
      <c r="H5687" s="31">
        <f>+IFERROR(VLOOKUP(E5687,BD!$L$2:$Q$244,6,0),0)</f>
        <v>225</v>
      </c>
      <c r="I5687" s="62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7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7">
        <v>256720</v>
      </c>
      <c r="F5688" s="31" t="str">
        <f>IFERROR(VLOOKUP(E5688,BD!$L$2:$Q$244,2,0),0)</f>
        <v>FANTA NARANJA PET 500MLX6 BRANDEADO MOD</v>
      </c>
      <c r="G5688" s="424">
        <v>750</v>
      </c>
      <c r="H5688" s="31">
        <f>+IFERROR(VLOOKUP(E5688,BD!$L$2:$Q$244,6,0),0)</f>
        <v>420</v>
      </c>
      <c r="I5688" s="62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7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7">
        <v>256721</v>
      </c>
      <c r="F5689" s="31" t="str">
        <f>IFERROR(VLOOKUP(E5689,BD!$L$2:$Q$244,2,0),0)</f>
        <v>SPRITE PET 500MLX6 BRANDEADO MOD</v>
      </c>
      <c r="G5689" s="424">
        <v>750</v>
      </c>
      <c r="H5689" s="31">
        <f>+IFERROR(VLOOKUP(E5689,BD!$L$2:$Q$244,6,0),0)</f>
        <v>420</v>
      </c>
      <c r="I5689" s="62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7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7">
        <v>251429</v>
      </c>
      <c r="F5690" s="31" t="str">
        <f>IFERROR(VLOOKUP(E5690,BD!$L$2:$Q$244,2,0),0)</f>
        <v>SAN LUIS SIN GAS PET2500X6 STICKER</v>
      </c>
      <c r="G5690" s="424">
        <v>2256</v>
      </c>
      <c r="H5690" s="31">
        <f>+IFERROR(VLOOKUP(E5690,BD!$L$2:$Q$244,6,0),0)</f>
        <v>48</v>
      </c>
      <c r="I5690" s="62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7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7">
        <v>251406</v>
      </c>
      <c r="F5691" s="31" t="str">
        <f>IFERROR(VLOOKUP(E5691,BD!$L$2:$Q$244,2,0),0)</f>
        <v>COCA-COLA SIN AZUCAR PET 1.5LX2</v>
      </c>
      <c r="G5691" s="424">
        <v>2160</v>
      </c>
      <c r="H5691" s="31">
        <f>+IFERROR(VLOOKUP(E5691,BD!$L$2:$Q$244,6,0),0)</f>
        <v>198</v>
      </c>
      <c r="I5691" s="62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7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7">
        <v>256674</v>
      </c>
      <c r="F5692" s="31" t="str">
        <f>IFERROR(VLOOKUP(E5692,BD!$L$2:$Q$244,2,0),0)</f>
        <v>COCA-COLA PET 1.5LX2 RF</v>
      </c>
      <c r="G5692" s="424">
        <v>2160</v>
      </c>
      <c r="H5692" s="31">
        <f>+IFERROR(VLOOKUP(E5692,BD!$L$2:$Q$244,6,0),0)</f>
        <v>198</v>
      </c>
      <c r="I5692" s="62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7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7">
        <v>256682</v>
      </c>
      <c r="F5693" s="31" t="str">
        <f>IFERROR(VLOOKUP(E5693,BD!$L$2:$Q$244,2,0),0)</f>
        <v>TRIPACK (FT NAR+SP)PET+IK RF PFM 3L</v>
      </c>
      <c r="G5693" s="424">
        <v>1170</v>
      </c>
      <c r="H5693" s="31">
        <f>+IFERROR(VLOOKUP(E5693,BD!$L$2:$Q$244,6,0),0)</f>
        <v>90</v>
      </c>
      <c r="I5693" s="62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7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7">
        <v>256695</v>
      </c>
      <c r="F5694" s="31" t="str">
        <f>IFERROR(VLOOKUP(E5694,BD!$L$2:$Q$244,2,0),0)</f>
        <v>POWERADE 3MORA+3FRUT PET 473MLX6</v>
      </c>
      <c r="G5694" s="424">
        <v>1350</v>
      </c>
      <c r="H5694" s="31">
        <f>+IFERROR(VLOOKUP(E5694,BD!$L$2:$Q$244,6,0),0)</f>
        <v>225</v>
      </c>
      <c r="I5694" s="62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7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7">
        <v>256368</v>
      </c>
      <c r="F5695" s="31" t="str">
        <f>IFERROR(VLOOKUP(E5695,BD!$L$2:$Q$244,2,0),0)</f>
        <v>COCA COLA VNR 300ML X 6 PUC</v>
      </c>
      <c r="G5695" s="424">
        <v>2500</v>
      </c>
      <c r="H5695" s="31">
        <f>+IFERROR(VLOOKUP(E5695,BD!$L$2:$Q$244,6,0),0)</f>
        <v>250</v>
      </c>
      <c r="I5695" s="62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7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7">
        <v>751315</v>
      </c>
      <c r="F5696" s="31" t="str">
        <f>IFERROR(VLOOKUP(E5696,BD!$L$2:$Q$244,2,0),0)</f>
        <v>MONSTER ENERGY 473MLX4</v>
      </c>
      <c r="G5696" s="424">
        <v>840</v>
      </c>
      <c r="H5696" s="31">
        <f>+IFERROR(VLOOKUP(E5696,BD!$L$2:$Q$244,6,0),0)</f>
        <v>420</v>
      </c>
      <c r="I5696" s="62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7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7">
        <v>254853</v>
      </c>
      <c r="F5697" s="31" t="str">
        <f>IFERROR(VLOOKUP(E5697,BD!$L$2:$Q$244,2,0),0)</f>
        <v>INCA KOLA SIN AZUCAR PET 1.5LX2</v>
      </c>
      <c r="G5697" s="424">
        <v>2160</v>
      </c>
      <c r="H5697" s="31">
        <f>+IFERROR(VLOOKUP(E5697,BD!$L$2:$Q$244,6,0),0)</f>
        <v>198</v>
      </c>
      <c r="I5697" s="62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7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7">
        <v>256666</v>
      </c>
      <c r="F5698" s="31" t="str">
        <f>IFERROR(VLOOKUP(E5698,BD!$L$2:$Q$244,2,0),0)</f>
        <v>COCA-COLA PET 2.25LX2 RF</v>
      </c>
      <c r="G5698" s="424">
        <v>810</v>
      </c>
      <c r="H5698" s="31">
        <f>+IFERROR(VLOOKUP(E5698,BD!$L$2:$Q$244,6,0),0)</f>
        <v>162</v>
      </c>
      <c r="I5698" s="62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7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7">
        <v>256601</v>
      </c>
      <c r="F5699" s="31" t="str">
        <f>IFERROR(VLOOKUP(E5699,BD!$L$2:$Q$244,2,0),0)</f>
        <v>INCA KOLA PET 2.25LX2 RF</v>
      </c>
      <c r="G5699" s="424">
        <v>810</v>
      </c>
      <c r="H5699" s="31">
        <f>+IFERROR(VLOOKUP(E5699,BD!$L$2:$Q$244,6,0),0)</f>
        <v>162</v>
      </c>
      <c r="I5699" s="62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7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7">
        <v>256678</v>
      </c>
      <c r="F5700" s="31" t="str">
        <f>IFERROR(VLOOKUP(E5700,BD!$L$2:$Q$244,2,0),0)</f>
        <v>TRIPACK (CC+IK)PFM+FT PET 3LX3 - RFNN</v>
      </c>
      <c r="G5700" s="424">
        <v>1440</v>
      </c>
      <c r="H5700" s="31">
        <f>+IFERROR(VLOOKUP(E5700,BD!$L$2:$Q$244,6,0),0)</f>
        <v>90</v>
      </c>
      <c r="I5700" s="62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7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7">
        <v>254762</v>
      </c>
      <c r="F5701" s="31" t="str">
        <f>IFERROR(VLOOKUP(E5701,BD!$L$2:$Q$244,2,0),0)</f>
        <v xml:space="preserve">SAN LUIS SPORT S/G 10 Lt x6 </v>
      </c>
      <c r="G5701" s="424">
        <v>336</v>
      </c>
      <c r="H5701" s="31">
        <f>+IFERROR(VLOOKUP(E5701,BD!$L$2:$Q$244,6,0),0)</f>
        <v>240</v>
      </c>
      <c r="I5701" s="62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7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7">
        <v>256685</v>
      </c>
      <c r="F5702" s="31" t="str">
        <f>IFERROR(VLOOKUP(E5702,BD!$L$2:$Q$244,2,0),0)</f>
        <v>SL S/G TAPA PLANA 1LT</v>
      </c>
      <c r="G5702" s="424">
        <v>560</v>
      </c>
      <c r="H5702" s="31">
        <f>+IFERROR(VLOOKUP(E5702,BD!$L$2:$Q$244,6,0),0)</f>
        <v>112</v>
      </c>
      <c r="I5702" s="62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7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7">
        <v>751315</v>
      </c>
      <c r="F5703" s="31" t="str">
        <f>IFERROR(VLOOKUP(E5703,BD!$L$2:$Q$244,2,0),0)</f>
        <v>MONSTER ENERGY 473MLX4</v>
      </c>
      <c r="G5703" s="424">
        <v>1680</v>
      </c>
      <c r="H5703" s="31">
        <f>+IFERROR(VLOOKUP(E5703,BD!$L$2:$Q$244,6,0),0)</f>
        <v>420</v>
      </c>
      <c r="I5703" s="62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7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7">
        <v>251633</v>
      </c>
      <c r="F5704" s="31" t="str">
        <f>IFERROR(VLOOKUP(E5704,BD!$L$2:$Q$244,2,0),0)</f>
        <v>SAN LUIS CON GAS PET 625MLX6</v>
      </c>
      <c r="G5704" s="424">
        <v>1080</v>
      </c>
      <c r="H5704" s="31">
        <f>+IFERROR(VLOOKUP(E5704,BD!$L$2:$Q$244,6,0),0)</f>
        <v>180</v>
      </c>
      <c r="I5704" s="62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7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7">
        <v>256548</v>
      </c>
      <c r="F5705" s="31" t="str">
        <f>IFERROR(VLOOKUP(E5705,BD!$L$2:$Q$244,2,0),0)</f>
        <v>TWO PACK CC PET 1.5LX2 - CRC</v>
      </c>
      <c r="G5705" s="424">
        <v>216</v>
      </c>
      <c r="H5705" s="31">
        <f>+IFERROR(VLOOKUP(E5705,BD!$L$2:$Q$244,6,0),0)</f>
        <v>198</v>
      </c>
      <c r="I5705" s="62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7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7">
        <v>256549</v>
      </c>
      <c r="F5706" s="31" t="str">
        <f>IFERROR(VLOOKUP(E5706,BD!$L$2:$Q$244,2,0),0)</f>
        <v>TWO PACK IK PET 1.5LX2 - CRCG</v>
      </c>
      <c r="G5706" s="424">
        <v>216</v>
      </c>
      <c r="H5706" s="31">
        <f>+IFERROR(VLOOKUP(E5706,BD!$L$2:$Q$244,6,0),0)</f>
        <v>198</v>
      </c>
      <c r="I5706" s="62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7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7">
        <v>256488</v>
      </c>
      <c r="F5707" s="31" t="str">
        <f>IFERROR(VLOOKUP(E5707,BD!$L$2:$Q$244,2,0),0)</f>
        <v>INCA KOLA PET 3LX2 - RF</v>
      </c>
      <c r="G5707" s="424">
        <v>2160</v>
      </c>
      <c r="H5707" s="31">
        <f>+IFERROR(VLOOKUP(E5707,BD!$L$2:$Q$244,6,0),0)</f>
        <v>120</v>
      </c>
      <c r="I5707" s="62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7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7">
        <v>256677</v>
      </c>
      <c r="F5708" s="31" t="str">
        <f>IFERROR(VLOOKUP(E5708,BD!$L$2:$Q$244,2,0),0)</f>
        <v>TWO PACK CC + IK PFM 3LX2 - RFNN</v>
      </c>
      <c r="G5708" s="424">
        <v>1680</v>
      </c>
      <c r="H5708" s="31">
        <f>+IFERROR(VLOOKUP(E5708,BD!$L$2:$Q$244,6,0),0)</f>
        <v>120</v>
      </c>
      <c r="I5708" s="62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7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7">
        <v>256679</v>
      </c>
      <c r="F5709" s="31" t="str">
        <f>IFERROR(VLOOKUP(E5709,BD!$L$2:$Q$244,2,0),0)</f>
        <v>TRIPACK CC+IK+IK PFM 3LX3 - RFNN</v>
      </c>
      <c r="G5709" s="424">
        <v>1440</v>
      </c>
      <c r="H5709" s="31">
        <f>+IFERROR(VLOOKUP(E5709,BD!$L$2:$Q$244,6,0),0)</f>
        <v>90</v>
      </c>
      <c r="I5709" s="62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7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7">
        <v>254762</v>
      </c>
      <c r="F5710" s="31" t="str">
        <f>IFERROR(VLOOKUP(E5710,BD!$L$2:$Q$244,2,0),0)</f>
        <v xml:space="preserve">SAN LUIS SPORT S/G 10 Lt x6 </v>
      </c>
      <c r="G5710" s="424">
        <v>224</v>
      </c>
      <c r="H5710" s="31">
        <f>+IFERROR(VLOOKUP(E5710,BD!$L$2:$Q$244,6,0),0)</f>
        <v>240</v>
      </c>
      <c r="I5710" s="62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7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7">
        <v>256685</v>
      </c>
      <c r="F5711" s="31" t="str">
        <f>IFERROR(VLOOKUP(E5711,BD!$L$2:$Q$244,2,0),0)</f>
        <v>SL S/G TAPA PLANA 1LT</v>
      </c>
      <c r="G5711" s="424">
        <v>224</v>
      </c>
      <c r="H5711" s="31">
        <f>+IFERROR(VLOOKUP(E5711,BD!$L$2:$Q$244,6,0),0)</f>
        <v>112</v>
      </c>
      <c r="I5711" s="62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7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7">
        <v>251633</v>
      </c>
      <c r="F5712" s="31" t="str">
        <f>IFERROR(VLOOKUP(E5712,BD!$L$2:$Q$244,2,0),0)</f>
        <v>SAN LUIS CON GAS PET 625MLX6</v>
      </c>
      <c r="G5712" s="424">
        <v>540</v>
      </c>
      <c r="H5712" s="31">
        <f>+IFERROR(VLOOKUP(E5712,BD!$L$2:$Q$244,6,0),0)</f>
        <v>180</v>
      </c>
      <c r="I5712" s="62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7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7">
        <v>256720</v>
      </c>
      <c r="F5713" s="31" t="str">
        <f>IFERROR(VLOOKUP(E5713,BD!$L$2:$Q$244,2,0),0)</f>
        <v>FANTA NARANJA PET 500MLX6 BRANDEADO MOD</v>
      </c>
      <c r="G5713" s="424">
        <v>500</v>
      </c>
      <c r="H5713" s="31">
        <f>+IFERROR(VLOOKUP(E5713,BD!$L$2:$Q$244,6,0),0)</f>
        <v>420</v>
      </c>
      <c r="I5713" s="62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7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7">
        <v>256753</v>
      </c>
      <c r="F5714" s="31" t="str">
        <f>IFERROR(VLOOKUP(E5714,BD!$L$2:$Q$244,2,0),0)</f>
        <v>PACK-2 FT NAR+FT KI+FT PIÑA+SP RP 1.5LX8</v>
      </c>
      <c r="G5714" s="424">
        <v>720</v>
      </c>
      <c r="H5714" s="31">
        <f>+IFERROR(VLOOKUP(E5714,BD!$L$2:$Q$244,6,0),0)</f>
        <v>30</v>
      </c>
      <c r="I5714" s="62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7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7" t="s">
        <v>266</v>
      </c>
      <c r="F5715" s="31" t="str">
        <f>IFERROR(VLOOKUP(E5715,BD!$L$2:$Q$244,2,0),0)</f>
        <v>2FTKI + 2FTN + 1FTP + 1SP PACK x 500ML</v>
      </c>
      <c r="G5715" s="424">
        <v>500</v>
      </c>
      <c r="H5715" s="31">
        <f>+IFERROR(VLOOKUP(E5715,BD!$L$2:$Q$244,6,0),0)</f>
        <v>250</v>
      </c>
      <c r="I5715" s="62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7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7">
        <v>256677</v>
      </c>
      <c r="F5716" s="31" t="str">
        <f>IFERROR(VLOOKUP(E5716,BD!$L$2:$Q$244,2,0),0)</f>
        <v>TWO PACK CC + IK PFM 3LX2 - RFNN</v>
      </c>
      <c r="G5716" s="424">
        <v>4800</v>
      </c>
      <c r="H5716" s="31">
        <f>+IFERROR(VLOOKUP(E5716,BD!$L$2:$Q$244,6,0),0)</f>
        <v>120</v>
      </c>
      <c r="I5716" s="62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7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7" t="s">
        <v>266</v>
      </c>
      <c r="F5717" s="31" t="str">
        <f>IFERROR(VLOOKUP(E5717,BD!$L$2:$Q$244,2,0),0)</f>
        <v>2FTKI + 2FTN + 1FTP + 1SP PACK x 500ML</v>
      </c>
      <c r="G5717" s="424">
        <v>750</v>
      </c>
      <c r="H5717" s="31">
        <f>+IFERROR(VLOOKUP(E5717,BD!$L$2:$Q$244,6,0),0)</f>
        <v>250</v>
      </c>
      <c r="I5717" s="62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7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7">
        <v>256677</v>
      </c>
      <c r="F5718" s="31" t="str">
        <f>IFERROR(VLOOKUP(E5718,BD!$L$2:$Q$244,2,0),0)</f>
        <v>TWO PACK CC + IK PFM 3LX2 - RFNN</v>
      </c>
      <c r="G5718" s="424">
        <v>240</v>
      </c>
      <c r="H5718" s="31">
        <f>+IFERROR(VLOOKUP(E5718,BD!$L$2:$Q$244,6,0),0)</f>
        <v>120</v>
      </c>
      <c r="I5718" s="62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7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7">
        <v>256383</v>
      </c>
      <c r="F5719" s="31" t="str">
        <f>IFERROR(VLOOKUP(E5719,BD!$L$2:$Q$244,2,0),0)</f>
        <v>COCA COLA VR 1.5LX8 - STICKER</v>
      </c>
      <c r="G5719" s="424">
        <v>120</v>
      </c>
      <c r="H5719" s="31">
        <f>+IFERROR(VLOOKUP(E5719,BD!$L$2:$Q$244,6,0),0)</f>
        <v>30</v>
      </c>
      <c r="I5719" s="62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7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7">
        <v>256382</v>
      </c>
      <c r="F5720" s="31" t="str">
        <f>IFERROR(VLOOKUP(E5720,BD!$L$2:$Q$244,2,0),0)</f>
        <v>COCA COLA VR 296MLX24 - STICKER</v>
      </c>
      <c r="G5720" s="424">
        <v>80</v>
      </c>
      <c r="H5720" s="31">
        <f>+IFERROR(VLOOKUP(E5720,BD!$L$2:$Q$244,6,0),0)</f>
        <v>40</v>
      </c>
      <c r="I5720" s="62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7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7">
        <v>256379</v>
      </c>
      <c r="F5721" s="31" t="str">
        <f>IFERROR(VLOOKUP(E5721,BD!$L$2:$Q$244,2,0),0)</f>
        <v>INCA KOLA VR 625MLX12 - STICKER</v>
      </c>
      <c r="G5721" s="424">
        <v>250</v>
      </c>
      <c r="H5721" s="31">
        <f>+IFERROR(VLOOKUP(E5721,BD!$L$2:$Q$244,6,0),0)</f>
        <v>50</v>
      </c>
      <c r="I5721" s="62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7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7">
        <v>251633</v>
      </c>
      <c r="F5722" s="31" t="str">
        <f>IFERROR(VLOOKUP(E5722,BD!$L$2:$Q$244,2,0),0)</f>
        <v>SAN LUIS CON GAS PET 625MLX6</v>
      </c>
      <c r="G5722" s="424">
        <v>540</v>
      </c>
      <c r="H5722" s="31">
        <f>+IFERROR(VLOOKUP(E5722,BD!$L$2:$Q$244,6,0),0)</f>
        <v>180</v>
      </c>
      <c r="I5722" s="62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7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7">
        <v>256617</v>
      </c>
      <c r="F5723" s="31" t="str">
        <f>IFERROR(VLOOKUP(E5723,BD!$L$2:$Q$244,2,0),0)</f>
        <v>TWO PACK SCHWEPPES GINGER ALE PET 1.5LX2</v>
      </c>
      <c r="G5723" s="424">
        <v>990</v>
      </c>
      <c r="H5723" s="31">
        <f>+IFERROR(VLOOKUP(E5723,BD!$L$2:$Q$244,6,0),0)</f>
        <v>198</v>
      </c>
      <c r="I5723" s="62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7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7">
        <v>256488</v>
      </c>
      <c r="F5724" s="31" t="str">
        <f>IFERROR(VLOOKUP(E5724,BD!$L$2:$Q$244,2,0),0)</f>
        <v>INCA KOLA PET 3LX2 - RF</v>
      </c>
      <c r="G5724" s="424">
        <v>1440</v>
      </c>
      <c r="H5724" s="31">
        <f>+IFERROR(VLOOKUP(E5724,BD!$L$2:$Q$244,6,0),0)</f>
        <v>120</v>
      </c>
      <c r="I5724" s="62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7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7">
        <v>256652</v>
      </c>
      <c r="F5725" s="31" t="str">
        <f>IFERROR(VLOOKUP(E5725,BD!$L$2:$Q$244,2,0),0)</f>
        <v>TRIPACK FT NAR+FT KI+SP PET 3L</v>
      </c>
      <c r="G5725" s="424">
        <v>900</v>
      </c>
      <c r="H5725" s="31">
        <f>+IFERROR(VLOOKUP(E5725,BD!$L$2:$Q$244,6,0),0)</f>
        <v>90</v>
      </c>
      <c r="I5725" s="62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7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7">
        <v>256677</v>
      </c>
      <c r="F5726" s="31" t="str">
        <f>IFERROR(VLOOKUP(E5726,BD!$L$2:$Q$244,2,0),0)</f>
        <v>TWO PACK CC + IK PFM 3LX2 - RFNN</v>
      </c>
      <c r="G5726" s="424">
        <v>4080</v>
      </c>
      <c r="H5726" s="31">
        <f>+IFERROR(VLOOKUP(E5726,BD!$L$2:$Q$244,6,0),0)</f>
        <v>120</v>
      </c>
      <c r="I5726" s="62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7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7">
        <v>256680</v>
      </c>
      <c r="F5727" s="31" t="str">
        <f>IFERROR(VLOOKUP(E5727,BD!$L$2:$Q$244,2,0),0)</f>
        <v>TRIPACK CC+CC+IK PFM 3LX3 - RFNN</v>
      </c>
      <c r="G5727" s="424">
        <v>450</v>
      </c>
      <c r="H5727" s="31">
        <f>+IFERROR(VLOOKUP(E5727,BD!$L$2:$Q$244,6,0),0)</f>
        <v>90</v>
      </c>
      <c r="I5727" s="62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7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7">
        <v>256674</v>
      </c>
      <c r="F5728" s="31" t="str">
        <f>IFERROR(VLOOKUP(E5728,BD!$L$2:$Q$244,2,0),0)</f>
        <v>COCA-COLA PET 1.5LX2 RF</v>
      </c>
      <c r="G5728" s="424">
        <v>450</v>
      </c>
      <c r="H5728" s="31">
        <f>+IFERROR(VLOOKUP(E5728,BD!$L$2:$Q$244,6,0),0)</f>
        <v>198</v>
      </c>
      <c r="I5728" s="62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7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7">
        <v>256682</v>
      </c>
      <c r="F5729" s="31" t="str">
        <f>IFERROR(VLOOKUP(E5729,BD!$L$2:$Q$244,2,0),0)</f>
        <v>TRIPACK (FT NAR+SP)PET+IK RF PFM 3L</v>
      </c>
      <c r="G5729" s="424">
        <v>450</v>
      </c>
      <c r="H5729" s="31">
        <f>+IFERROR(VLOOKUP(E5729,BD!$L$2:$Q$244,6,0),0)</f>
        <v>90</v>
      </c>
      <c r="I5729" s="62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7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7">
        <v>252436</v>
      </c>
      <c r="F5730" s="31" t="str">
        <f>IFERROR(VLOOKUP(E5730,BD!$L$2:$Q$244,2,0),0)</f>
        <v>SAN LUIS SIN GAS PET 625MLX15 C/STICKER</v>
      </c>
      <c r="G5730" s="424">
        <v>810</v>
      </c>
      <c r="H5730" s="31">
        <f>+IFERROR(VLOOKUP(E5730,BD!$L$2:$Q$244,6,0),0)</f>
        <v>90</v>
      </c>
      <c r="I5730" s="62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7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7">
        <v>251633</v>
      </c>
      <c r="F5731" s="31" t="str">
        <f>IFERROR(VLOOKUP(E5731,BD!$L$2:$Q$244,2,0),0)</f>
        <v>SAN LUIS CON GAS PET 625MLX6</v>
      </c>
      <c r="G5731" s="424">
        <v>180</v>
      </c>
      <c r="H5731" s="31">
        <f>+IFERROR(VLOOKUP(E5731,BD!$L$2:$Q$244,6,0),0)</f>
        <v>180</v>
      </c>
      <c r="I5731" s="62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7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7">
        <v>251406</v>
      </c>
      <c r="F5732" s="31" t="str">
        <f>IFERROR(VLOOKUP(E5732,BD!$L$2:$Q$244,2,0),0)</f>
        <v>COCA-COLA SIN AZUCAR PET 1.5LX2</v>
      </c>
      <c r="G5732" s="424">
        <v>432</v>
      </c>
      <c r="H5732" s="31">
        <f>+IFERROR(VLOOKUP(E5732,BD!$L$2:$Q$244,6,0),0)</f>
        <v>198</v>
      </c>
      <c r="I5732" s="62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7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7">
        <v>256616</v>
      </c>
      <c r="F5733" s="31" t="str">
        <f>IFERROR(VLOOKUP(E5733,BD!$L$2:$Q$244,2,0),0)</f>
        <v>TWO PACK SCHWEPPES CITRUS PET 1.5LX2</v>
      </c>
      <c r="G5733" s="424">
        <v>990</v>
      </c>
      <c r="H5733" s="31">
        <f>+IFERROR(VLOOKUP(E5733,BD!$L$2:$Q$244,6,0),0)</f>
        <v>198</v>
      </c>
      <c r="I5733" s="62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7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7">
        <v>256675</v>
      </c>
      <c r="F5734" s="31" t="str">
        <f>IFERROR(VLOOKUP(E5734,BD!$L$2:$Q$244,2,0),0)</f>
        <v>INCA KOLA PET 1.5LX2 RF</v>
      </c>
      <c r="G5734" s="424">
        <v>3240</v>
      </c>
      <c r="H5734" s="31">
        <f>+IFERROR(VLOOKUP(E5734,BD!$L$2:$Q$244,6,0),0)</f>
        <v>198</v>
      </c>
      <c r="I5734" s="62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7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7">
        <v>256652</v>
      </c>
      <c r="F5735" s="31" t="str">
        <f>IFERROR(VLOOKUP(E5735,BD!$L$2:$Q$244,2,0),0)</f>
        <v>TRIPACK FT NAR+FT KI+SP PET 3L</v>
      </c>
      <c r="G5735" s="424">
        <v>450</v>
      </c>
      <c r="H5735" s="31">
        <f>+IFERROR(VLOOKUP(E5735,BD!$L$2:$Q$244,6,0),0)</f>
        <v>90</v>
      </c>
      <c r="I5735" s="62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7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7">
        <v>256677</v>
      </c>
      <c r="F5736" s="31" t="str">
        <f>IFERROR(VLOOKUP(E5736,BD!$L$2:$Q$244,2,0),0)</f>
        <v>TWO PACK CC + IK PFM 3LX2 - RFNN</v>
      </c>
      <c r="G5736" s="424">
        <v>3360</v>
      </c>
      <c r="H5736" s="31">
        <f>+IFERROR(VLOOKUP(E5736,BD!$L$2:$Q$244,6,0),0)</f>
        <v>120</v>
      </c>
      <c r="I5736" s="62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7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7">
        <v>256680</v>
      </c>
      <c r="F5737" s="31" t="str">
        <f>IFERROR(VLOOKUP(E5737,BD!$L$2:$Q$244,2,0),0)</f>
        <v>TRIPACK CC+CC+IK PFM 3LX3 - RFNN</v>
      </c>
      <c r="G5737" s="424">
        <v>900</v>
      </c>
      <c r="H5737" s="31">
        <f>+IFERROR(VLOOKUP(E5737,BD!$L$2:$Q$244,6,0),0)</f>
        <v>90</v>
      </c>
      <c r="I5737" s="62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7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7">
        <v>256679</v>
      </c>
      <c r="F5738" s="31" t="str">
        <f>IFERROR(VLOOKUP(E5738,BD!$L$2:$Q$244,2,0),0)</f>
        <v>TRIPACK CC+IK+IK PFM 3LX3 - RFNN</v>
      </c>
      <c r="G5738" s="424">
        <v>1440</v>
      </c>
      <c r="H5738" s="31">
        <f>+IFERROR(VLOOKUP(E5738,BD!$L$2:$Q$244,6,0),0)</f>
        <v>90</v>
      </c>
      <c r="I5738" s="62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7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7">
        <v>256721</v>
      </c>
      <c r="F5739" s="31" t="str">
        <f>IFERROR(VLOOKUP(E5739,BD!$L$2:$Q$244,2,0),0)</f>
        <v>SPRITE PET 500MLX6 BRANDEADO MOD</v>
      </c>
      <c r="G5739" s="424">
        <v>250</v>
      </c>
      <c r="H5739" s="31">
        <f>+IFERROR(VLOOKUP(E5739,BD!$L$2:$Q$244,6,0),0)</f>
        <v>420</v>
      </c>
      <c r="I5739" s="62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7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7" t="s">
        <v>266</v>
      </c>
      <c r="F5740" s="31" t="str">
        <f>IFERROR(VLOOKUP(E5740,BD!$L$2:$Q$244,2,0),0)</f>
        <v>2FTKI + 2FTN + 1FTP + 1SP PACK x 500ML</v>
      </c>
      <c r="G5740" s="424">
        <v>250</v>
      </c>
      <c r="H5740" s="31">
        <f>+IFERROR(VLOOKUP(E5740,BD!$L$2:$Q$244,6,0),0)</f>
        <v>250</v>
      </c>
      <c r="I5740" s="62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7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7">
        <v>256383</v>
      </c>
      <c r="F5741" s="31" t="str">
        <f>IFERROR(VLOOKUP(E5741,BD!$L$2:$Q$244,2,0),0)</f>
        <v>COCA COLA VR 1.5LX8 - STICKER</v>
      </c>
      <c r="G5741" s="424">
        <v>240</v>
      </c>
      <c r="H5741" s="31">
        <f>+IFERROR(VLOOKUP(E5741,BD!$L$2:$Q$244,6,0),0)</f>
        <v>30</v>
      </c>
      <c r="I5741" s="62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7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7">
        <v>256381</v>
      </c>
      <c r="F5742" s="31" t="str">
        <f>IFERROR(VLOOKUP(E5742,BD!$L$2:$Q$244,2,0),0)</f>
        <v>INCA KOLA VR 1.5LX8 - STICKER</v>
      </c>
      <c r="G5742" s="424">
        <v>240</v>
      </c>
      <c r="H5742" s="31">
        <f>+IFERROR(VLOOKUP(E5742,BD!$L$2:$Q$244,6,0),0)</f>
        <v>30</v>
      </c>
      <c r="I5742" s="62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7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7">
        <v>256379</v>
      </c>
      <c r="F5743" s="31" t="str">
        <f>IFERROR(VLOOKUP(E5743,BD!$L$2:$Q$244,2,0),0)</f>
        <v>INCA KOLA VR 625MLX12 - STICKER</v>
      </c>
      <c r="G5743" s="424">
        <v>250</v>
      </c>
      <c r="H5743" s="31">
        <f>+IFERROR(VLOOKUP(E5743,BD!$L$2:$Q$244,6,0),0)</f>
        <v>50</v>
      </c>
      <c r="I5743" s="62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7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7">
        <v>251633</v>
      </c>
      <c r="F5744" s="31" t="str">
        <f>IFERROR(VLOOKUP(E5744,BD!$L$2:$Q$244,2,0),0)</f>
        <v>SAN LUIS CON GAS PET 625MLX6</v>
      </c>
      <c r="G5744" s="424">
        <v>180</v>
      </c>
      <c r="H5744" s="31">
        <f>+IFERROR(VLOOKUP(E5744,BD!$L$2:$Q$244,6,0),0)</f>
        <v>180</v>
      </c>
      <c r="I5744" s="62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7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7">
        <v>251406</v>
      </c>
      <c r="F5745" s="31" t="str">
        <f>IFERROR(VLOOKUP(E5745,BD!$L$2:$Q$244,2,0),0)</f>
        <v>COCA-COLA SIN AZUCAR PET 1.5LX2</v>
      </c>
      <c r="G5745" s="424">
        <v>1728</v>
      </c>
      <c r="H5745" s="31">
        <f>+IFERROR(VLOOKUP(E5745,BD!$L$2:$Q$244,6,0),0)</f>
        <v>198</v>
      </c>
      <c r="I5745" s="62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7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7">
        <v>256652</v>
      </c>
      <c r="F5746" s="31" t="str">
        <f>IFERROR(VLOOKUP(E5746,BD!$L$2:$Q$244,2,0),0)</f>
        <v>TRIPACK FT NAR+FT KI+SP PET 3L</v>
      </c>
      <c r="G5746" s="424">
        <v>1260</v>
      </c>
      <c r="H5746" s="31">
        <f>+IFERROR(VLOOKUP(E5746,BD!$L$2:$Q$244,6,0),0)</f>
        <v>90</v>
      </c>
      <c r="I5746" s="62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7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7">
        <v>256677</v>
      </c>
      <c r="F5747" s="31" t="str">
        <f>IFERROR(VLOOKUP(E5747,BD!$L$2:$Q$244,2,0),0)</f>
        <v>TWO PACK CC + IK PFM 3LX2 - RFNN</v>
      </c>
      <c r="G5747" s="424">
        <v>3840</v>
      </c>
      <c r="H5747" s="31">
        <f>+IFERROR(VLOOKUP(E5747,BD!$L$2:$Q$244,6,0),0)</f>
        <v>120</v>
      </c>
      <c r="I5747" s="62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7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7">
        <v>256682</v>
      </c>
      <c r="F5748" s="31" t="str">
        <f>IFERROR(VLOOKUP(E5748,BD!$L$2:$Q$244,2,0),0)</f>
        <v>TRIPACK (FT NAR+SP)PET+IK RF PFM 3L</v>
      </c>
      <c r="G5748" s="424">
        <v>360</v>
      </c>
      <c r="H5748" s="31">
        <f>+IFERROR(VLOOKUP(E5748,BD!$L$2:$Q$244,6,0),0)</f>
        <v>90</v>
      </c>
      <c r="I5748" s="62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7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7">
        <v>256721</v>
      </c>
      <c r="F5749" s="31" t="str">
        <f>IFERROR(VLOOKUP(E5749,BD!$L$2:$Q$244,2,0),0)</f>
        <v>SPRITE PET 500MLX6 BRANDEADO MOD</v>
      </c>
      <c r="G5749" s="424">
        <v>250</v>
      </c>
      <c r="H5749" s="31">
        <f>+IFERROR(VLOOKUP(E5749,BD!$L$2:$Q$244,6,0),0)</f>
        <v>420</v>
      </c>
      <c r="I5749" s="62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7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7">
        <v>256764</v>
      </c>
      <c r="F5750" s="31" t="str">
        <f>IFERROR(VLOOKUP(E5750,BD!$L$2:$Q$244,2,0),0)</f>
        <v>SAN LUIS SIN GAS PET 625MLX06 PUC</v>
      </c>
      <c r="G5750" s="424">
        <v>360</v>
      </c>
      <c r="H5750" s="31">
        <f>+IFERROR(VLOOKUP(E5750,BD!$L$2:$Q$244,6,0),0)</f>
        <v>180</v>
      </c>
      <c r="I5750" s="62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7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7" t="s">
        <v>275</v>
      </c>
      <c r="F5751" s="31" t="str">
        <f>IFERROR(VLOOKUP(E5751,BD!$L$2:$Q$244,2,0),0)</f>
        <v>BND X 6 BOTELLAS X 600ML PUC</v>
      </c>
      <c r="G5751" s="424">
        <v>360</v>
      </c>
      <c r="H5751" s="31">
        <f>+IFERROR(VLOOKUP(E5751,BD!$L$2:$Q$244,6,0),0)</f>
        <v>180</v>
      </c>
      <c r="I5751" s="62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7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7">
        <v>256765</v>
      </c>
      <c r="F5752" s="31" t="str">
        <f>IFERROR(VLOOKUP(E5752,BD!$L$2:$Q$244,2,0),0)</f>
        <v>POWERADE 2MORA+4FRUT PET 473MLX6 (TRAD) PUC</v>
      </c>
      <c r="G5752" s="424">
        <v>450</v>
      </c>
      <c r="H5752" s="31">
        <f>+IFERROR(VLOOKUP(E5752,BD!$L$2:$Q$244,6,0),0)</f>
        <v>225</v>
      </c>
      <c r="I5752" s="62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7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7">
        <v>256368</v>
      </c>
      <c r="F5753" s="31" t="str">
        <f>IFERROR(VLOOKUP(E5753,BD!$L$2:$Q$244,2,0),0)</f>
        <v>COCA COLA VNR 300ML X 6 PUC</v>
      </c>
      <c r="G5753" s="424">
        <v>1250</v>
      </c>
      <c r="H5753" s="31">
        <f>+IFERROR(VLOOKUP(E5753,BD!$L$2:$Q$244,6,0),0)</f>
        <v>250</v>
      </c>
      <c r="I5753" s="62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7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7">
        <v>256764</v>
      </c>
      <c r="F5754" s="31" t="str">
        <f>IFERROR(VLOOKUP(E5754,BD!$L$2:$Q$244,2,0),0)</f>
        <v>SAN LUIS SIN GAS PET 625MLX06 PUC</v>
      </c>
      <c r="G5754" s="424">
        <v>360</v>
      </c>
      <c r="H5754" s="31">
        <f>+IFERROR(VLOOKUP(E5754,BD!$L$2:$Q$244,6,0),0)</f>
        <v>180</v>
      </c>
      <c r="I5754" s="62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7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7" t="s">
        <v>275</v>
      </c>
      <c r="F5755" s="31" t="str">
        <f>IFERROR(VLOOKUP(E5755,BD!$L$2:$Q$244,2,0),0)</f>
        <v>BND X 6 BOTELLAS X 600ML PUC</v>
      </c>
      <c r="G5755" s="424">
        <v>360</v>
      </c>
      <c r="H5755" s="31">
        <f>+IFERROR(VLOOKUP(E5755,BD!$L$2:$Q$244,6,0),0)</f>
        <v>180</v>
      </c>
      <c r="I5755" s="62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7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7">
        <v>256666</v>
      </c>
      <c r="F5756" s="31" t="str">
        <f>IFERROR(VLOOKUP(E5756,BD!$L$2:$Q$244,2,0),0)</f>
        <v>COCA-COLA PET 2.25LX2 RF</v>
      </c>
      <c r="G5756" s="424">
        <v>1134</v>
      </c>
      <c r="H5756" s="31">
        <f>+IFERROR(VLOOKUP(E5756,BD!$L$2:$Q$244,6,0),0)</f>
        <v>162</v>
      </c>
      <c r="I5756" s="62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7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7">
        <v>256488</v>
      </c>
      <c r="F5757" s="31" t="str">
        <f>IFERROR(VLOOKUP(E5757,BD!$L$2:$Q$244,2,0),0)</f>
        <v>INCA KOLA PET 3LX2 - RF</v>
      </c>
      <c r="G5757" s="424">
        <v>2400</v>
      </c>
      <c r="H5757" s="31">
        <f>+IFERROR(VLOOKUP(E5757,BD!$L$2:$Q$244,6,0),0)</f>
        <v>120</v>
      </c>
      <c r="I5757" s="62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7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7">
        <v>256676</v>
      </c>
      <c r="F5758" s="31" t="str">
        <f>IFERROR(VLOOKUP(E5758,BD!$L$2:$Q$244,2,0),0)</f>
        <v>TWO PACK CC PFM 3LX2 - RFCC</v>
      </c>
      <c r="G5758" s="424">
        <v>1200</v>
      </c>
      <c r="H5758" s="31">
        <f>+IFERROR(VLOOKUP(E5758,BD!$L$2:$Q$244,6,0),0)</f>
        <v>120</v>
      </c>
      <c r="I5758" s="62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7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7">
        <v>256677</v>
      </c>
      <c r="F5759" s="31" t="str">
        <f>IFERROR(VLOOKUP(E5759,BD!$L$2:$Q$244,2,0),0)</f>
        <v>TWO PACK CC + IK PFM 3LX2 - RFNN</v>
      </c>
      <c r="G5759" s="424">
        <v>480</v>
      </c>
      <c r="H5759" s="31">
        <f>+IFERROR(VLOOKUP(E5759,BD!$L$2:$Q$244,6,0),0)</f>
        <v>120</v>
      </c>
      <c r="I5759" s="62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7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7">
        <v>256548</v>
      </c>
      <c r="F5760" s="31" t="str">
        <f>IFERROR(VLOOKUP(E5760,BD!$L$2:$Q$244,2,0),0)</f>
        <v>TWO PACK CC PET 1.5LX2 - CRC</v>
      </c>
      <c r="G5760" s="424">
        <v>216</v>
      </c>
      <c r="H5760" s="31">
        <f>+IFERROR(VLOOKUP(E5760,BD!$L$2:$Q$244,6,0),0)</f>
        <v>198</v>
      </c>
      <c r="I5760" s="62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7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7">
        <v>256549</v>
      </c>
      <c r="F5761" s="31" t="str">
        <f>IFERROR(VLOOKUP(E5761,BD!$L$2:$Q$244,2,0),0)</f>
        <v>TWO PACK IK PET 1.5LX2 - CRCG</v>
      </c>
      <c r="G5761" s="424">
        <v>216</v>
      </c>
      <c r="H5761" s="31">
        <f>+IFERROR(VLOOKUP(E5761,BD!$L$2:$Q$244,6,0),0)</f>
        <v>198</v>
      </c>
      <c r="I5761" s="62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7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7">
        <v>256617</v>
      </c>
      <c r="F5762" s="31" t="str">
        <f>IFERROR(VLOOKUP(E5762,BD!$L$2:$Q$244,2,0),0)</f>
        <v>TWO PACK SCHWEPPES GINGER ALE PET 1.5LX2</v>
      </c>
      <c r="G5762" s="424">
        <v>198</v>
      </c>
      <c r="H5762" s="31">
        <f>+IFERROR(VLOOKUP(E5762,BD!$L$2:$Q$244,6,0),0)</f>
        <v>198</v>
      </c>
      <c r="I5762" s="62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7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7">
        <v>256680</v>
      </c>
      <c r="F5763" s="31" t="str">
        <f>IFERROR(VLOOKUP(E5763,BD!$L$2:$Q$244,2,0),0)</f>
        <v>TRIPACK CC+CC+IK PFM 3LX3 - RFNN</v>
      </c>
      <c r="G5763" s="424">
        <v>450</v>
      </c>
      <c r="H5763" s="31">
        <f>+IFERROR(VLOOKUP(E5763,BD!$L$2:$Q$244,6,0),0)</f>
        <v>90</v>
      </c>
      <c r="I5763" s="62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7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7">
        <v>256679</v>
      </c>
      <c r="F5764" s="31" t="str">
        <f>IFERROR(VLOOKUP(E5764,BD!$L$2:$Q$244,2,0),0)</f>
        <v>TRIPACK CC+IK+IK PFM 3LX3 - RFNN</v>
      </c>
      <c r="G5764" s="424">
        <v>900</v>
      </c>
      <c r="H5764" s="31">
        <f>+IFERROR(VLOOKUP(E5764,BD!$L$2:$Q$244,6,0),0)</f>
        <v>90</v>
      </c>
      <c r="I5764" s="62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7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7">
        <v>256678</v>
      </c>
      <c r="F5765" s="31" t="str">
        <f>IFERROR(VLOOKUP(E5765,BD!$L$2:$Q$244,2,0),0)</f>
        <v>TRIPACK (CC+IK)PFM+FT PET 3LX3 - RFNN</v>
      </c>
      <c r="G5765" s="424">
        <v>1440</v>
      </c>
      <c r="H5765" s="31">
        <f>+IFERROR(VLOOKUP(E5765,BD!$L$2:$Q$244,6,0),0)</f>
        <v>90</v>
      </c>
      <c r="I5765" s="62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7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7">
        <v>256695</v>
      </c>
      <c r="F5766" s="31" t="str">
        <f>IFERROR(VLOOKUP(E5766,BD!$L$2:$Q$244,2,0),0)</f>
        <v>POWERADE 3MORA+3FRUT PET 473MLX6</v>
      </c>
      <c r="G5766" s="424">
        <v>1800</v>
      </c>
      <c r="H5766" s="31">
        <f>+IFERROR(VLOOKUP(E5766,BD!$L$2:$Q$244,6,0),0)</f>
        <v>225</v>
      </c>
      <c r="I5766" s="62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7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7">
        <v>256720</v>
      </c>
      <c r="F5767" s="31" t="str">
        <f>IFERROR(VLOOKUP(E5767,BD!$L$2:$Q$244,2,0),0)</f>
        <v>FANTA NARANJA PET 500MLX6 BRANDEADO MOD</v>
      </c>
      <c r="G5767" s="424">
        <v>250</v>
      </c>
      <c r="H5767" s="31">
        <f>+IFERROR(VLOOKUP(E5767,BD!$L$2:$Q$244,6,0),0)</f>
        <v>420</v>
      </c>
      <c r="I5767" s="62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7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7">
        <v>256383</v>
      </c>
      <c r="F5768" s="31" t="str">
        <f>IFERROR(VLOOKUP(E5768,BD!$L$2:$Q$244,2,0),0)</f>
        <v>COCA COLA VR 1.5LX8 - STICKER</v>
      </c>
      <c r="G5768" s="424">
        <v>180</v>
      </c>
      <c r="H5768" s="31">
        <f>+IFERROR(VLOOKUP(E5768,BD!$L$2:$Q$244,6,0),0)</f>
        <v>30</v>
      </c>
      <c r="I5768" s="62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7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7">
        <v>256381</v>
      </c>
      <c r="F5769" s="31" t="str">
        <f>IFERROR(VLOOKUP(E5769,BD!$L$2:$Q$244,2,0),0)</f>
        <v>INCA KOLA VR 1.5LX8 - STICKER</v>
      </c>
      <c r="G5769" s="424">
        <v>30</v>
      </c>
      <c r="H5769" s="31">
        <f>+IFERROR(VLOOKUP(E5769,BD!$L$2:$Q$244,6,0),0)</f>
        <v>30</v>
      </c>
      <c r="I5769" s="62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7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7">
        <v>256380</v>
      </c>
      <c r="F5770" s="31" t="str">
        <f>IFERROR(VLOOKUP(E5770,BD!$L$2:$Q$244,2,0),0)</f>
        <v>INCA KOLA VR 296MLX24 - STICKER</v>
      </c>
      <c r="G5770" s="424">
        <v>80</v>
      </c>
      <c r="H5770" s="31">
        <f>+IFERROR(VLOOKUP(E5770,BD!$L$2:$Q$244,6,0),0)</f>
        <v>40</v>
      </c>
      <c r="I5770" s="62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7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7">
        <v>252436</v>
      </c>
      <c r="F5771" s="31" t="str">
        <f>IFERROR(VLOOKUP(E5771,BD!$L$2:$Q$244,2,0),0)</f>
        <v>SAN LUIS SIN GAS PET 625MLX15 C/STICKER</v>
      </c>
      <c r="G5771" s="424">
        <v>810</v>
      </c>
      <c r="H5771" s="31">
        <f>+IFERROR(VLOOKUP(E5771,BD!$L$2:$Q$244,6,0),0)</f>
        <v>90</v>
      </c>
      <c r="I5771" s="62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7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7">
        <v>254762</v>
      </c>
      <c r="F5772" s="31" t="str">
        <f>IFERROR(VLOOKUP(E5772,BD!$L$2:$Q$244,2,0),0)</f>
        <v xml:space="preserve">SAN LUIS SPORT S/G 10 Lt x6 </v>
      </c>
      <c r="G5772" s="424">
        <v>224</v>
      </c>
      <c r="H5772" s="31">
        <f>+IFERROR(VLOOKUP(E5772,BD!$L$2:$Q$244,6,0),0)</f>
        <v>240</v>
      </c>
      <c r="I5772" s="62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7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7">
        <v>256685</v>
      </c>
      <c r="F5773" s="31" t="str">
        <f>IFERROR(VLOOKUP(E5773,BD!$L$2:$Q$244,2,0),0)</f>
        <v>SL S/G TAPA PLANA 1LT</v>
      </c>
      <c r="G5773" s="424">
        <v>448</v>
      </c>
      <c r="H5773" s="31">
        <f>+IFERROR(VLOOKUP(E5773,BD!$L$2:$Q$244,6,0),0)</f>
        <v>112</v>
      </c>
      <c r="I5773" s="62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7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7">
        <v>256601</v>
      </c>
      <c r="F5774" s="31" t="str">
        <f>IFERROR(VLOOKUP(E5774,BD!$L$2:$Q$244,2,0),0)</f>
        <v>INCA KOLA PET 2.25LX2 RF</v>
      </c>
      <c r="G5774" s="424">
        <v>162</v>
      </c>
      <c r="H5774" s="31">
        <f>+IFERROR(VLOOKUP(E5774,BD!$L$2:$Q$244,6,0),0)</f>
        <v>162</v>
      </c>
      <c r="I5774" s="62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7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7">
        <v>256674</v>
      </c>
      <c r="F5775" s="31" t="str">
        <f>IFERROR(VLOOKUP(E5775,BD!$L$2:$Q$244,2,0),0)</f>
        <v>COCA-COLA PET 1.5LX2 RF</v>
      </c>
      <c r="G5775" s="424">
        <v>3024</v>
      </c>
      <c r="H5775" s="31">
        <f>+IFERROR(VLOOKUP(E5775,BD!$L$2:$Q$244,6,0),0)</f>
        <v>198</v>
      </c>
      <c r="I5775" s="62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7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7">
        <v>256677</v>
      </c>
      <c r="F5776" s="31" t="str">
        <f>IFERROR(VLOOKUP(E5776,BD!$L$2:$Q$244,2,0),0)</f>
        <v>TWO PACK CC + IK PFM 3LX2 - RFNN</v>
      </c>
      <c r="G5776" s="424">
        <v>3600</v>
      </c>
      <c r="H5776" s="31">
        <f>+IFERROR(VLOOKUP(E5776,BD!$L$2:$Q$244,6,0),0)</f>
        <v>120</v>
      </c>
      <c r="I5776" s="62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7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7">
        <v>256680</v>
      </c>
      <c r="F5777" s="31" t="str">
        <f>IFERROR(VLOOKUP(E5777,BD!$L$2:$Q$244,2,0),0)</f>
        <v>TRIPACK CC+CC+IK PFM 3LX3 - RFNN</v>
      </c>
      <c r="G5777" s="424">
        <v>720</v>
      </c>
      <c r="H5777" s="31">
        <f>+IFERROR(VLOOKUP(E5777,BD!$L$2:$Q$244,6,0),0)</f>
        <v>90</v>
      </c>
      <c r="I5777" s="62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7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7">
        <v>256679</v>
      </c>
      <c r="F5778" s="31" t="str">
        <f>IFERROR(VLOOKUP(E5778,BD!$L$2:$Q$244,2,0),0)</f>
        <v>TRIPACK CC+IK+IK PFM 3LX3 - RFNN</v>
      </c>
      <c r="G5778" s="424">
        <v>450</v>
      </c>
      <c r="H5778" s="31">
        <f>+IFERROR(VLOOKUP(E5778,BD!$L$2:$Q$244,6,0),0)</f>
        <v>90</v>
      </c>
      <c r="I5778" s="62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7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7">
        <v>256678</v>
      </c>
      <c r="F5779" s="31" t="str">
        <f>IFERROR(VLOOKUP(E5779,BD!$L$2:$Q$244,2,0),0)</f>
        <v>TRIPACK (CC+IK)PFM+FT PET 3LX3 - RFNN</v>
      </c>
      <c r="G5779" s="424">
        <v>1890</v>
      </c>
      <c r="H5779" s="31">
        <f>+IFERROR(VLOOKUP(E5779,BD!$L$2:$Q$244,6,0),0)</f>
        <v>90</v>
      </c>
      <c r="I5779" s="62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7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7">
        <v>256708</v>
      </c>
      <c r="F5780" s="31" t="str">
        <f>IFERROR(VLOOKUP(E5780,BD!$L$2:$Q$244,2,0),0)</f>
        <v>POWERADE ION4 FRUTA PET473X6 MOD (STICK)</v>
      </c>
      <c r="G5780" s="424">
        <v>675</v>
      </c>
      <c r="H5780" s="31">
        <f>+IFERROR(VLOOKUP(E5780,BD!$L$2:$Q$244,6,0),0)</f>
        <v>225</v>
      </c>
      <c r="I5780" s="62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7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7">
        <v>256709</v>
      </c>
      <c r="F5781" s="31" t="str">
        <f>IFERROR(VLOOKUP(E5781,BD!$L$2:$Q$244,2,0),0)</f>
        <v>POWERADE ION4 MORA AZ PET473X6 MOD(STCK)</v>
      </c>
      <c r="G5781" s="424">
        <v>225</v>
      </c>
      <c r="H5781" s="31">
        <f>+IFERROR(VLOOKUP(E5781,BD!$L$2:$Q$244,6,0),0)</f>
        <v>225</v>
      </c>
      <c r="I5781" s="62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7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7">
        <v>254762</v>
      </c>
      <c r="F5782" s="31" t="str">
        <f>IFERROR(VLOOKUP(E5782,BD!$L$2:$Q$244,2,0),0)</f>
        <v xml:space="preserve">SAN LUIS SPORT S/G 10 Lt x6 </v>
      </c>
      <c r="G5782" s="424">
        <v>224</v>
      </c>
      <c r="H5782" s="31">
        <f>+IFERROR(VLOOKUP(E5782,BD!$L$2:$Q$244,6,0),0)</f>
        <v>240</v>
      </c>
      <c r="I5782" s="62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7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7">
        <v>256601</v>
      </c>
      <c r="F5783" s="31" t="str">
        <f>IFERROR(VLOOKUP(E5783,BD!$L$2:$Q$244,2,0),0)</f>
        <v>INCA KOLA PET 2.25LX2 RF</v>
      </c>
      <c r="G5783" s="424">
        <v>648</v>
      </c>
      <c r="H5783" s="31">
        <f>+IFERROR(VLOOKUP(E5783,BD!$L$2:$Q$244,6,0),0)</f>
        <v>162</v>
      </c>
      <c r="I5783" s="62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7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7">
        <v>256674</v>
      </c>
      <c r="F5784" s="31" t="str">
        <f>IFERROR(VLOOKUP(E5784,BD!$L$2:$Q$244,2,0),0)</f>
        <v>COCA-COLA PET 1.5LX2 RF</v>
      </c>
      <c r="G5784" s="424">
        <v>1296</v>
      </c>
      <c r="H5784" s="31">
        <f>+IFERROR(VLOOKUP(E5784,BD!$L$2:$Q$244,6,0),0)</f>
        <v>198</v>
      </c>
      <c r="I5784" s="62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7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7">
        <v>256677</v>
      </c>
      <c r="F5785" s="31" t="str">
        <f>IFERROR(VLOOKUP(E5785,BD!$L$2:$Q$244,2,0),0)</f>
        <v>TWO PACK CC + IK PFM 3LX2 - RFNN</v>
      </c>
      <c r="G5785" s="424">
        <v>5520</v>
      </c>
      <c r="H5785" s="31">
        <f>+IFERROR(VLOOKUP(E5785,BD!$L$2:$Q$244,6,0),0)</f>
        <v>120</v>
      </c>
      <c r="I5785" s="62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7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7">
        <v>256368</v>
      </c>
      <c r="F5786" s="31" t="str">
        <f>IFERROR(VLOOKUP(E5786,BD!$L$2:$Q$244,2,0),0)</f>
        <v>COCA COLA VNR 300ML X 6 PUC</v>
      </c>
      <c r="G5786" s="424">
        <v>500</v>
      </c>
      <c r="H5786" s="31">
        <f>+IFERROR(VLOOKUP(E5786,BD!$L$2:$Q$244,6,0),0)</f>
        <v>250</v>
      </c>
      <c r="I5786" s="62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7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7">
        <v>256381</v>
      </c>
      <c r="F5787" s="31" t="str">
        <f>IFERROR(VLOOKUP(E5787,BD!$L$2:$Q$244,2,0),0)</f>
        <v>INCA KOLA VR 1.5LX8 - STICKER</v>
      </c>
      <c r="G5787" s="424">
        <v>180</v>
      </c>
      <c r="H5787" s="31">
        <f>+IFERROR(VLOOKUP(E5787,BD!$L$2:$Q$244,6,0),0)</f>
        <v>30</v>
      </c>
      <c r="I5787" s="62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7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7">
        <v>256379</v>
      </c>
      <c r="F5788" s="31" t="str">
        <f>IFERROR(VLOOKUP(E5788,BD!$L$2:$Q$244,2,0),0)</f>
        <v>INCA KOLA VR 625MLX12 - STICKER</v>
      </c>
      <c r="G5788" s="424">
        <v>50</v>
      </c>
      <c r="H5788" s="31">
        <f>+IFERROR(VLOOKUP(E5788,BD!$L$2:$Q$244,6,0),0)</f>
        <v>50</v>
      </c>
      <c r="I5788" s="62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7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7">
        <v>251429</v>
      </c>
      <c r="F5789" s="31" t="str">
        <f>IFERROR(VLOOKUP(E5789,BD!$L$2:$Q$244,2,0),0)</f>
        <v>SAN LUIS SIN GAS PET2500X6 STICKER</v>
      </c>
      <c r="G5789" s="424">
        <v>672</v>
      </c>
      <c r="H5789" s="31">
        <f>+IFERROR(VLOOKUP(E5789,BD!$L$2:$Q$244,6,0),0)</f>
        <v>48</v>
      </c>
      <c r="I5789" s="62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7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7">
        <v>251406</v>
      </c>
      <c r="F5790" s="31" t="str">
        <f>IFERROR(VLOOKUP(E5790,BD!$L$2:$Q$244,2,0),0)</f>
        <v>COCA-COLA SIN AZUCAR PET 1.5LX2</v>
      </c>
      <c r="G5790" s="424">
        <v>3240</v>
      </c>
      <c r="H5790" s="31">
        <f>+IFERROR(VLOOKUP(E5790,BD!$L$2:$Q$244,6,0),0)</f>
        <v>198</v>
      </c>
      <c r="I5790" s="62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7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7">
        <v>254853</v>
      </c>
      <c r="F5791" s="31" t="str">
        <f>IFERROR(VLOOKUP(E5791,BD!$L$2:$Q$244,2,0),0)</f>
        <v>INCA KOLA SIN AZUCAR PET 1.5LX2</v>
      </c>
      <c r="G5791" s="424">
        <v>2160</v>
      </c>
      <c r="H5791" s="31">
        <f>+IFERROR(VLOOKUP(E5791,BD!$L$2:$Q$244,6,0),0)</f>
        <v>198</v>
      </c>
      <c r="I5791" s="62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7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7">
        <v>256616</v>
      </c>
      <c r="F5792" s="31" t="str">
        <f>IFERROR(VLOOKUP(E5792,BD!$L$2:$Q$244,2,0),0)</f>
        <v>TWO PACK SCHWEPPES CITRUS PET 1.5LX2</v>
      </c>
      <c r="G5792" s="424">
        <v>792</v>
      </c>
      <c r="H5792" s="31">
        <f>+IFERROR(VLOOKUP(E5792,BD!$L$2:$Q$244,6,0),0)</f>
        <v>198</v>
      </c>
      <c r="I5792" s="62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7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7">
        <v>256675</v>
      </c>
      <c r="F5793" s="31" t="str">
        <f>IFERROR(VLOOKUP(E5793,BD!$L$2:$Q$244,2,0),0)</f>
        <v>INCA KOLA PET 1.5LX2 RF</v>
      </c>
      <c r="G5793" s="424">
        <v>648</v>
      </c>
      <c r="H5793" s="31">
        <f>+IFERROR(VLOOKUP(E5793,BD!$L$2:$Q$244,6,0),0)</f>
        <v>198</v>
      </c>
      <c r="I5793" s="62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7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7">
        <v>256652</v>
      </c>
      <c r="F5794" s="31" t="str">
        <f>IFERROR(VLOOKUP(E5794,BD!$L$2:$Q$244,2,0),0)</f>
        <v>TRIPACK FT NAR+FT KI+SP PET 3L</v>
      </c>
      <c r="G5794" s="424">
        <v>1440</v>
      </c>
      <c r="H5794" s="31">
        <f>+IFERROR(VLOOKUP(E5794,BD!$L$2:$Q$244,6,0),0)</f>
        <v>90</v>
      </c>
      <c r="I5794" s="62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7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7">
        <v>256678</v>
      </c>
      <c r="F5795" s="31" t="str">
        <f>IFERROR(VLOOKUP(E5795,BD!$L$2:$Q$244,2,0),0)</f>
        <v>TRIPACK (CC+IK)PFM+FT PET 3LX3 - RFNN</v>
      </c>
      <c r="G5795" s="424">
        <v>2160</v>
      </c>
      <c r="H5795" s="31">
        <f>+IFERROR(VLOOKUP(E5795,BD!$L$2:$Q$244,6,0),0)</f>
        <v>90</v>
      </c>
      <c r="I5795" s="62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7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7">
        <v>256695</v>
      </c>
      <c r="F5796" s="31" t="str">
        <f>IFERROR(VLOOKUP(E5796,BD!$L$2:$Q$244,2,0),0)</f>
        <v>POWERADE 3MORA+3FRUT PET 473MLX6</v>
      </c>
      <c r="G5796" s="424">
        <v>2700</v>
      </c>
      <c r="H5796" s="31">
        <f>+IFERROR(VLOOKUP(E5796,BD!$L$2:$Q$244,6,0),0)</f>
        <v>225</v>
      </c>
      <c r="I5796" s="62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7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7">
        <v>256708</v>
      </c>
      <c r="F5797" s="31" t="str">
        <f>IFERROR(VLOOKUP(E5797,BD!$L$2:$Q$244,2,0),0)</f>
        <v>POWERADE ION4 FRUTA PET473X6 MOD (STICK)</v>
      </c>
      <c r="G5797" s="424">
        <v>450</v>
      </c>
      <c r="H5797" s="31">
        <f>+IFERROR(VLOOKUP(E5797,BD!$L$2:$Q$244,6,0),0)</f>
        <v>225</v>
      </c>
      <c r="I5797" s="62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7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7">
        <v>256709</v>
      </c>
      <c r="F5798" s="31" t="str">
        <f>IFERROR(VLOOKUP(E5798,BD!$L$2:$Q$244,2,0),0)</f>
        <v>POWERADE ION4 MORA AZ PET473X6 MOD(STCK)</v>
      </c>
      <c r="G5798" s="424">
        <v>450</v>
      </c>
      <c r="H5798" s="31">
        <f>+IFERROR(VLOOKUP(E5798,BD!$L$2:$Q$244,6,0),0)</f>
        <v>225</v>
      </c>
      <c r="I5798" s="62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7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7">
        <v>256381</v>
      </c>
      <c r="F5799" s="31" t="str">
        <f>IFERROR(VLOOKUP(E5799,BD!$L$2:$Q$244,2,0),0)</f>
        <v>INCA KOLA VR 1.5LX8 - STICKER</v>
      </c>
      <c r="G5799" s="424">
        <v>120</v>
      </c>
      <c r="H5799" s="31">
        <f>+IFERROR(VLOOKUP(E5799,BD!$L$2:$Q$244,6,0),0)</f>
        <v>30</v>
      </c>
      <c r="I5799" s="62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7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7">
        <v>256379</v>
      </c>
      <c r="F5800" s="31" t="str">
        <f>IFERROR(VLOOKUP(E5800,BD!$L$2:$Q$244,2,0),0)</f>
        <v>INCA KOLA VR 625MLX12 - STICKER</v>
      </c>
      <c r="G5800" s="424">
        <v>350</v>
      </c>
      <c r="H5800" s="31">
        <f>+IFERROR(VLOOKUP(E5800,BD!$L$2:$Q$244,6,0),0)</f>
        <v>50</v>
      </c>
      <c r="I5800" s="62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7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7">
        <v>251429</v>
      </c>
      <c r="F5801" s="31" t="str">
        <f>IFERROR(VLOOKUP(E5801,BD!$L$2:$Q$244,2,0),0)</f>
        <v>SAN LUIS SIN GAS PET2500X6 STICKER</v>
      </c>
      <c r="G5801" s="424">
        <v>288</v>
      </c>
      <c r="H5801" s="31">
        <f>+IFERROR(VLOOKUP(E5801,BD!$L$2:$Q$244,6,0),0)</f>
        <v>48</v>
      </c>
      <c r="I5801" s="62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7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7">
        <v>256617</v>
      </c>
      <c r="F5802" s="31" t="str">
        <f>IFERROR(VLOOKUP(E5802,BD!$L$2:$Q$244,2,0),0)</f>
        <v>TWO PACK SCHWEPPES GINGER ALE PET 1.5LX2</v>
      </c>
      <c r="G5802" s="424">
        <v>1782</v>
      </c>
      <c r="H5802" s="31">
        <f>+IFERROR(VLOOKUP(E5802,BD!$L$2:$Q$244,6,0),0)</f>
        <v>198</v>
      </c>
      <c r="I5802" s="62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7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7">
        <v>256675</v>
      </c>
      <c r="F5803" s="31" t="str">
        <f>IFERROR(VLOOKUP(E5803,BD!$L$2:$Q$244,2,0),0)</f>
        <v>INCA KOLA PET 1.5LX2 RF</v>
      </c>
      <c r="G5803" s="424">
        <v>1512</v>
      </c>
      <c r="H5803" s="31">
        <f>+IFERROR(VLOOKUP(E5803,BD!$L$2:$Q$244,6,0),0)</f>
        <v>198</v>
      </c>
      <c r="I5803" s="62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7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7">
        <v>256695</v>
      </c>
      <c r="F5804" s="31" t="str">
        <f>IFERROR(VLOOKUP(E5804,BD!$L$2:$Q$244,2,0),0)</f>
        <v>POWERADE 3MORA+3FRUT PET 473MLX6</v>
      </c>
      <c r="G5804" s="424">
        <v>450</v>
      </c>
      <c r="H5804" s="31">
        <f>+IFERROR(VLOOKUP(E5804,BD!$L$2:$Q$244,6,0),0)</f>
        <v>225</v>
      </c>
      <c r="I5804" s="62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7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7">
        <v>256708</v>
      </c>
      <c r="F5805" s="31" t="str">
        <f>IFERROR(VLOOKUP(E5805,BD!$L$2:$Q$244,2,0),0)</f>
        <v>POWERADE ION4 FRUTA PET473X6 MOD (STICK)</v>
      </c>
      <c r="G5805" s="424">
        <v>1800</v>
      </c>
      <c r="H5805" s="31">
        <f>+IFERROR(VLOOKUP(E5805,BD!$L$2:$Q$244,6,0),0)</f>
        <v>225</v>
      </c>
      <c r="I5805" s="62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7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7">
        <v>256753</v>
      </c>
      <c r="F5806" s="31" t="str">
        <f>IFERROR(VLOOKUP(E5806,BD!$L$2:$Q$244,2,0),0)</f>
        <v>PACK-2 FT NAR+FT KI+FT PIÑA+SP RP 1.5LX8</v>
      </c>
      <c r="G5806" s="425">
        <v>330</v>
      </c>
      <c r="H5806" s="31">
        <f>+IFERROR(VLOOKUP(E5806,BD!$L$2:$Q$244,6,0),0)</f>
        <v>30</v>
      </c>
      <c r="I5806" s="62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7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7">
        <v>251633</v>
      </c>
      <c r="F5807" s="31" t="str">
        <f>IFERROR(VLOOKUP(E5807,BD!$L$2:$Q$244,2,0),0)</f>
        <v>SAN LUIS CON GAS PET 625MLX6</v>
      </c>
      <c r="G5807" s="424">
        <v>1440</v>
      </c>
      <c r="H5807" s="31">
        <f>+IFERROR(VLOOKUP(E5807,BD!$L$2:$Q$244,6,0),0)</f>
        <v>180</v>
      </c>
      <c r="I5807" s="62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7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7">
        <v>256709</v>
      </c>
      <c r="F5808" s="31" t="str">
        <f>IFERROR(VLOOKUP(E5808,BD!$L$2:$Q$244,2,0),0)</f>
        <v>POWERADE ION4 MORA AZ PET473X6 MOD(STCK)</v>
      </c>
      <c r="G5808" s="424">
        <v>3150</v>
      </c>
      <c r="H5808" s="31">
        <f>+IFERROR(VLOOKUP(E5808,BD!$L$2:$Q$244,6,0),0)</f>
        <v>225</v>
      </c>
      <c r="I5808" s="62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7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7">
        <v>256753</v>
      </c>
      <c r="F5809" s="31" t="str">
        <f>IFERROR(VLOOKUP(E5809,BD!$L$2:$Q$244,2,0),0)</f>
        <v>PACK-2 FT NAR+FT KI+FT PIÑA+SP RP 1.5LX8</v>
      </c>
      <c r="G5809" s="424">
        <v>630</v>
      </c>
      <c r="H5809" s="31">
        <f>+IFERROR(VLOOKUP(E5809,BD!$L$2:$Q$244,6,0),0)</f>
        <v>30</v>
      </c>
      <c r="I5809" s="62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7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7">
        <v>256368</v>
      </c>
      <c r="F5810" s="31" t="str">
        <f>IFERROR(VLOOKUP(E5810,BD!$L$2:$Q$244,2,0),0)</f>
        <v>COCA COLA VNR 300ML X 6 PUC</v>
      </c>
      <c r="G5810" s="424">
        <v>2000</v>
      </c>
      <c r="H5810" s="31">
        <f>+IFERROR(VLOOKUP(E5810,BD!$L$2:$Q$244,6,0),0)</f>
        <v>250</v>
      </c>
      <c r="I5810" s="62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7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7">
        <v>256708</v>
      </c>
      <c r="F5811" s="31" t="str">
        <f>IFERROR(VLOOKUP(E5811,BD!$L$2:$Q$244,2,0),0)</f>
        <v>POWERADE ION4 FRUTA PET473X6 MOD (STICK)</v>
      </c>
      <c r="G5811" s="424">
        <v>1350</v>
      </c>
      <c r="H5811" s="31">
        <f>+IFERROR(VLOOKUP(E5811,BD!$L$2:$Q$244,6,0),0)</f>
        <v>225</v>
      </c>
      <c r="I5811" s="62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7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7">
        <v>256383</v>
      </c>
      <c r="F5812" s="31" t="str">
        <f>IFERROR(VLOOKUP(E5812,BD!$L$2:$Q$244,2,0),0)</f>
        <v>COCA COLA VR 1.5LX8 - STICKER</v>
      </c>
      <c r="G5812" s="424">
        <v>270</v>
      </c>
      <c r="H5812" s="31">
        <f>+IFERROR(VLOOKUP(E5812,BD!$L$2:$Q$244,6,0),0)</f>
        <v>30</v>
      </c>
      <c r="I5812" s="62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7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7">
        <v>256380</v>
      </c>
      <c r="F5813" s="31" t="str">
        <f>IFERROR(VLOOKUP(E5813,BD!$L$2:$Q$244,2,0),0)</f>
        <v>INCA KOLA VR 296MLX24 - STICKER</v>
      </c>
      <c r="G5813" s="424">
        <v>80</v>
      </c>
      <c r="H5813" s="31">
        <f>+IFERROR(VLOOKUP(E5813,BD!$L$2:$Q$244,6,0),0)</f>
        <v>40</v>
      </c>
      <c r="I5813" s="62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7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7">
        <v>256685</v>
      </c>
      <c r="F5814" s="31" t="str">
        <f>IFERROR(VLOOKUP(E5814,BD!$L$2:$Q$244,2,0),0)</f>
        <v>SL S/G TAPA PLANA 1LT</v>
      </c>
      <c r="G5814" s="424">
        <v>336</v>
      </c>
      <c r="H5814" s="31">
        <f>+IFERROR(VLOOKUP(E5814,BD!$L$2:$Q$244,6,0),0)</f>
        <v>112</v>
      </c>
      <c r="I5814" s="62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7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7">
        <v>251429</v>
      </c>
      <c r="F5815" s="31" t="str">
        <f>IFERROR(VLOOKUP(E5815,BD!$L$2:$Q$244,2,0),0)</f>
        <v>SAN LUIS SIN GAS PET2500X6 STICKER</v>
      </c>
      <c r="G5815" s="424">
        <v>960</v>
      </c>
      <c r="H5815" s="31">
        <f>+IFERROR(VLOOKUP(E5815,BD!$L$2:$Q$244,6,0),0)</f>
        <v>48</v>
      </c>
      <c r="I5815" s="62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7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7">
        <v>251633</v>
      </c>
      <c r="F5816" s="31" t="str">
        <f>IFERROR(VLOOKUP(E5816,BD!$L$2:$Q$244,2,0),0)</f>
        <v>SAN LUIS CON GAS PET 625MLX6</v>
      </c>
      <c r="G5816" s="424">
        <v>1080</v>
      </c>
      <c r="H5816" s="31">
        <f>+IFERROR(VLOOKUP(E5816,BD!$L$2:$Q$244,6,0),0)</f>
        <v>180</v>
      </c>
      <c r="I5816" s="62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7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7">
        <v>251406</v>
      </c>
      <c r="F5817" s="31" t="str">
        <f>IFERROR(VLOOKUP(E5817,BD!$L$2:$Q$244,2,0),0)</f>
        <v>COCA-COLA SIN AZUCAR PET 1.5LX2</v>
      </c>
      <c r="G5817" s="424">
        <v>1944</v>
      </c>
      <c r="H5817" s="31">
        <f>+IFERROR(VLOOKUP(E5817,BD!$L$2:$Q$244,6,0),0)</f>
        <v>198</v>
      </c>
      <c r="I5817" s="62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7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7">
        <v>254853</v>
      </c>
      <c r="F5818" s="31" t="str">
        <f>IFERROR(VLOOKUP(E5818,BD!$L$2:$Q$244,2,0),0)</f>
        <v>INCA KOLA SIN AZUCAR PET 1.5LX2</v>
      </c>
      <c r="G5818" s="424">
        <v>2160</v>
      </c>
      <c r="H5818" s="31">
        <f>+IFERROR(VLOOKUP(E5818,BD!$L$2:$Q$244,6,0),0)</f>
        <v>198</v>
      </c>
      <c r="I5818" s="62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7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7">
        <v>256548</v>
      </c>
      <c r="F5819" s="31" t="str">
        <f>IFERROR(VLOOKUP(E5819,BD!$L$2:$Q$244,2,0),0)</f>
        <v>TWO PACK CC PET 1.5LX2 - CRC</v>
      </c>
      <c r="G5819" s="424">
        <v>432</v>
      </c>
      <c r="H5819" s="31">
        <f>+IFERROR(VLOOKUP(E5819,BD!$L$2:$Q$244,6,0),0)</f>
        <v>198</v>
      </c>
      <c r="I5819" s="62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7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7">
        <v>256549</v>
      </c>
      <c r="F5820" s="31" t="str">
        <f>IFERROR(VLOOKUP(E5820,BD!$L$2:$Q$244,2,0),0)</f>
        <v>TWO PACK IK PET 1.5LX2 - CRCG</v>
      </c>
      <c r="G5820" s="424">
        <v>432</v>
      </c>
      <c r="H5820" s="31">
        <f>+IFERROR(VLOOKUP(E5820,BD!$L$2:$Q$244,6,0),0)</f>
        <v>198</v>
      </c>
      <c r="I5820" s="62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7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7">
        <v>256616</v>
      </c>
      <c r="F5821" s="31" t="str">
        <f>IFERROR(VLOOKUP(E5821,BD!$L$2:$Q$244,2,0),0)</f>
        <v>TWO PACK SCHWEPPES CITRUS PET 1.5LX2</v>
      </c>
      <c r="G5821" s="424">
        <v>396</v>
      </c>
      <c r="H5821" s="31">
        <f>+IFERROR(VLOOKUP(E5821,BD!$L$2:$Q$244,6,0),0)</f>
        <v>198</v>
      </c>
      <c r="I5821" s="62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7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7">
        <v>256617</v>
      </c>
      <c r="F5822" s="31" t="str">
        <f>IFERROR(VLOOKUP(E5822,BD!$L$2:$Q$244,2,0),0)</f>
        <v>TWO PACK SCHWEPPES GINGER ALE PET 1.5LX2</v>
      </c>
      <c r="G5822" s="424">
        <v>1386</v>
      </c>
      <c r="H5822" s="31">
        <f>+IFERROR(VLOOKUP(E5822,BD!$L$2:$Q$244,6,0),0)</f>
        <v>198</v>
      </c>
      <c r="I5822" s="62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7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7">
        <v>256676</v>
      </c>
      <c r="F5823" s="31" t="str">
        <f>IFERROR(VLOOKUP(E5823,BD!$L$2:$Q$244,2,0),0)</f>
        <v>TWO PACK CC PFM 3LX2 - RFCC</v>
      </c>
      <c r="G5823" s="424">
        <v>960</v>
      </c>
      <c r="H5823" s="31">
        <f>+IFERROR(VLOOKUP(E5823,BD!$L$2:$Q$244,6,0),0)</f>
        <v>120</v>
      </c>
      <c r="I5823" s="62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7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7">
        <v>256680</v>
      </c>
      <c r="F5824" s="31" t="str">
        <f>IFERROR(VLOOKUP(E5824,BD!$L$2:$Q$244,2,0),0)</f>
        <v>TRIPACK CC+CC+IK PFM 3LX3 - RFNN</v>
      </c>
      <c r="G5824" s="424">
        <v>900</v>
      </c>
      <c r="H5824" s="31">
        <f>+IFERROR(VLOOKUP(E5824,BD!$L$2:$Q$244,6,0),0)</f>
        <v>90</v>
      </c>
      <c r="I5824" s="62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7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7">
        <v>256679</v>
      </c>
      <c r="F5825" s="31" t="str">
        <f>IFERROR(VLOOKUP(E5825,BD!$L$2:$Q$244,2,0),0)</f>
        <v>TRIPACK CC+IK+IK PFM 3LX3 - RFNN</v>
      </c>
      <c r="G5825" s="424">
        <v>1800</v>
      </c>
      <c r="H5825" s="31">
        <f>+IFERROR(VLOOKUP(E5825,BD!$L$2:$Q$244,6,0),0)</f>
        <v>90</v>
      </c>
      <c r="I5825" s="62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7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7">
        <v>256708</v>
      </c>
      <c r="F5826" s="31" t="str">
        <f>IFERROR(VLOOKUP(E5826,BD!$L$2:$Q$244,2,0),0)</f>
        <v>POWERADE ION4 FRUTA PET473X6 MOD (STICK)</v>
      </c>
      <c r="G5826" s="424">
        <v>675</v>
      </c>
      <c r="H5826" s="31">
        <f>+IFERROR(VLOOKUP(E5826,BD!$L$2:$Q$244,6,0),0)</f>
        <v>225</v>
      </c>
      <c r="I5826" s="62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7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7">
        <v>256720</v>
      </c>
      <c r="F5827" s="31" t="str">
        <f>IFERROR(VLOOKUP(E5827,BD!$L$2:$Q$244,2,0),0)</f>
        <v>FANTA NARANJA PET 500MLX6 BRANDEADO MOD</v>
      </c>
      <c r="G5827" s="424">
        <v>750</v>
      </c>
      <c r="H5827" s="31">
        <f>+IFERROR(VLOOKUP(E5827,BD!$L$2:$Q$244,6,0),0)</f>
        <v>420</v>
      </c>
      <c r="I5827" s="62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7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7">
        <v>256721</v>
      </c>
      <c r="F5828" s="31" t="str">
        <f>IFERROR(VLOOKUP(E5828,BD!$L$2:$Q$244,2,0),0)</f>
        <v>SPRITE PET 500MLX6 BRANDEADO MOD</v>
      </c>
      <c r="G5828" s="424">
        <v>500</v>
      </c>
      <c r="H5828" s="31">
        <f>+IFERROR(VLOOKUP(E5828,BD!$L$2:$Q$244,6,0),0)</f>
        <v>420</v>
      </c>
      <c r="I5828" s="62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7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7">
        <v>251406</v>
      </c>
      <c r="F5829" s="31" t="str">
        <f>IFERROR(VLOOKUP(E5829,BD!$L$2:$Q$244,2,0),0)</f>
        <v>COCA-COLA SIN AZUCAR PET 1.5LX2</v>
      </c>
      <c r="G5829" s="424">
        <v>1296</v>
      </c>
      <c r="H5829" s="31">
        <f>+IFERROR(VLOOKUP(E5829,BD!$L$2:$Q$244,6,0),0)</f>
        <v>198</v>
      </c>
      <c r="I5829" s="62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7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7">
        <v>256616</v>
      </c>
      <c r="F5830" s="31" t="str">
        <f>IFERROR(VLOOKUP(E5830,BD!$L$2:$Q$244,2,0),0)</f>
        <v>TWO PACK SCHWEPPES CITRUS PET 1.5LX2</v>
      </c>
      <c r="G5830" s="424">
        <v>1188</v>
      </c>
      <c r="H5830" s="31">
        <f>+IFERROR(VLOOKUP(E5830,BD!$L$2:$Q$244,6,0),0)</f>
        <v>198</v>
      </c>
      <c r="I5830" s="62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7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7">
        <v>256488</v>
      </c>
      <c r="F5831" s="31" t="str">
        <f>IFERROR(VLOOKUP(E5831,BD!$L$2:$Q$244,2,0),0)</f>
        <v>INCA KOLA PET 3LX2 - RF</v>
      </c>
      <c r="G5831" s="424">
        <v>2400</v>
      </c>
      <c r="H5831" s="31">
        <f>+IFERROR(VLOOKUP(E5831,BD!$L$2:$Q$244,6,0),0)</f>
        <v>120</v>
      </c>
      <c r="I5831" s="62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7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7">
        <v>256676</v>
      </c>
      <c r="F5832" s="31" t="str">
        <f>IFERROR(VLOOKUP(E5832,BD!$L$2:$Q$244,2,0),0)</f>
        <v>TWO PACK CC PFM 3LX2 - RFCC</v>
      </c>
      <c r="G5832" s="424">
        <v>480</v>
      </c>
      <c r="H5832" s="31">
        <f>+IFERROR(VLOOKUP(E5832,BD!$L$2:$Q$244,6,0),0)</f>
        <v>120</v>
      </c>
      <c r="I5832" s="62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7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7">
        <v>256368</v>
      </c>
      <c r="F5833" s="31" t="str">
        <f>IFERROR(VLOOKUP(E5833,BD!$L$2:$Q$244,2,0),0)</f>
        <v>COCA COLA VNR 300ML X 6 PUC</v>
      </c>
      <c r="G5833" s="424">
        <v>2000</v>
      </c>
      <c r="H5833" s="31">
        <f>+IFERROR(VLOOKUP(E5833,BD!$L$2:$Q$244,6,0),0)</f>
        <v>250</v>
      </c>
      <c r="I5833" s="62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7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7">
        <v>256753</v>
      </c>
      <c r="F5834" s="31" t="str">
        <f>IFERROR(VLOOKUP(E5834,BD!$L$2:$Q$244,2,0),0)</f>
        <v>PACK-2 FT NAR+FT KI+FT PIÑA+SP RP 1.5LX8</v>
      </c>
      <c r="G5834" s="424">
        <v>960</v>
      </c>
      <c r="H5834" s="31">
        <f>+IFERROR(VLOOKUP(E5834,BD!$L$2:$Q$244,6,0),0)</f>
        <v>30</v>
      </c>
      <c r="I5834" s="62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7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7">
        <v>256368</v>
      </c>
      <c r="F5835" s="31" t="str">
        <f>IFERROR(VLOOKUP(E5835,BD!$L$2:$Q$244,2,0),0)</f>
        <v>COCA COLA VNR 300ML X 6 PUC</v>
      </c>
      <c r="G5835" s="424">
        <v>500</v>
      </c>
      <c r="H5835" s="31">
        <f>+IFERROR(VLOOKUP(E5835,BD!$L$2:$Q$244,6,0),0)</f>
        <v>250</v>
      </c>
      <c r="I5835" s="62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7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7" t="s">
        <v>265</v>
      </c>
      <c r="F5836" s="31" t="str">
        <f>IFERROR(VLOOKUP(E5836,BD!$L$2:$Q$244,2,0),0)</f>
        <v>1FTP + 1FTN + 1CC + 1IK PACK x 3000ML PUC</v>
      </c>
      <c r="G5836" s="424">
        <v>300</v>
      </c>
      <c r="H5836" s="31">
        <f>+IFERROR(VLOOKUP(E5836,BD!$L$2:$Q$244,6,0),0)</f>
        <v>60</v>
      </c>
      <c r="I5836" s="62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7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7">
        <v>256676</v>
      </c>
      <c r="F5837" s="31" t="str">
        <f>IFERROR(VLOOKUP(E5837,BD!$L$2:$Q$244,2,0),0)</f>
        <v>TWO PACK CC PFM 3LX2 - RFCC</v>
      </c>
      <c r="G5837" s="424">
        <v>2400</v>
      </c>
      <c r="H5837" s="31">
        <f>+IFERROR(VLOOKUP(E5837,BD!$L$2:$Q$244,6,0),0)</f>
        <v>120</v>
      </c>
      <c r="I5837" s="62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7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7">
        <v>256677</v>
      </c>
      <c r="F5838" s="31" t="str">
        <f>IFERROR(VLOOKUP(E5838,BD!$L$2:$Q$244,2,0),0)</f>
        <v>TWO PACK CC + IK PFM 3LX2 - RFNN</v>
      </c>
      <c r="G5838" s="424">
        <v>1440</v>
      </c>
      <c r="H5838" s="31">
        <f>+IFERROR(VLOOKUP(E5838,BD!$L$2:$Q$244,6,0),0)</f>
        <v>120</v>
      </c>
      <c r="I5838" s="62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7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7">
        <v>256680</v>
      </c>
      <c r="F5839" s="31" t="str">
        <f>IFERROR(VLOOKUP(E5839,BD!$L$2:$Q$244,2,0),0)</f>
        <v>TRIPACK CC+CC+IK PFM 3LX3 - RFNN</v>
      </c>
      <c r="G5839" s="424">
        <v>1890</v>
      </c>
      <c r="H5839" s="31">
        <f>+IFERROR(VLOOKUP(E5839,BD!$L$2:$Q$244,6,0),0)</f>
        <v>90</v>
      </c>
      <c r="I5839" s="62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7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7">
        <v>256679</v>
      </c>
      <c r="F5840" s="31" t="str">
        <f>IFERROR(VLOOKUP(E5840,BD!$L$2:$Q$244,2,0),0)</f>
        <v>TRIPACK CC+IK+IK PFM 3LX3 - RFNN</v>
      </c>
      <c r="G5840" s="424">
        <v>3600</v>
      </c>
      <c r="H5840" s="31">
        <f>+IFERROR(VLOOKUP(E5840,BD!$L$2:$Q$244,6,0),0)</f>
        <v>90</v>
      </c>
      <c r="I5840" s="62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7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7">
        <v>251429</v>
      </c>
      <c r="F5841" s="31" t="str">
        <f>IFERROR(VLOOKUP(E5841,BD!$L$2:$Q$244,2,0),0)</f>
        <v>SAN LUIS SIN GAS PET2500X6 STICKER</v>
      </c>
      <c r="G5841" s="424">
        <v>768</v>
      </c>
      <c r="H5841" s="31">
        <f>+IFERROR(VLOOKUP(E5841,BD!$L$2:$Q$244,6,0),0)</f>
        <v>48</v>
      </c>
      <c r="I5841" s="62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7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7">
        <v>251406</v>
      </c>
      <c r="F5842" s="31" t="str">
        <f>IFERROR(VLOOKUP(E5842,BD!$L$2:$Q$244,2,0),0)</f>
        <v>COCA-COLA SIN AZUCAR PET 1.5LX2</v>
      </c>
      <c r="G5842" s="424">
        <v>2160</v>
      </c>
      <c r="H5842" s="31">
        <f>+IFERROR(VLOOKUP(E5842,BD!$L$2:$Q$244,6,0),0)</f>
        <v>198</v>
      </c>
      <c r="I5842" s="62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7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7">
        <v>254853</v>
      </c>
      <c r="F5843" s="31" t="str">
        <f>IFERROR(VLOOKUP(E5843,BD!$L$2:$Q$244,2,0),0)</f>
        <v>INCA KOLA SIN AZUCAR PET 1.5LX2</v>
      </c>
      <c r="G5843" s="424">
        <v>594</v>
      </c>
      <c r="H5843" s="31">
        <f>+IFERROR(VLOOKUP(E5843,BD!$L$2:$Q$244,6,0),0)</f>
        <v>198</v>
      </c>
      <c r="I5843" s="626">
        <f>IFERROR(G5843*VLOOKUP($E5843,BD!$L$2:$Q$244,5,0),0)</f>
        <v>100.98</v>
      </c>
      <c r="J5843" s="3">
        <f t="shared" si="377"/>
        <v>2022</v>
      </c>
    </row>
    <row r="5844" spans="1:10" s="9" customFormat="1" x14ac:dyDescent="0.25">
      <c r="A5844" s="447">
        <v>44676</v>
      </c>
      <c r="B5844" s="55" t="str">
        <f t="shared" si="374"/>
        <v>ABRIL</v>
      </c>
      <c r="C5844" s="55">
        <f t="shared" si="375"/>
        <v>17</v>
      </c>
      <c r="D5844" s="3" t="str">
        <f t="shared" si="376"/>
        <v>LUNES</v>
      </c>
      <c r="E5844" s="427">
        <v>256616</v>
      </c>
      <c r="F5844" s="31" t="str">
        <f>IFERROR(VLOOKUP(E5844,BD!$L$2:$Q$244,2,0),0)</f>
        <v>TWO PACK SCHWEPPES CITRUS PET 1.5LX2</v>
      </c>
      <c r="G5844" s="424">
        <v>594</v>
      </c>
      <c r="H5844" s="31">
        <f>+IFERROR(VLOOKUP(E5844,BD!$L$2:$Q$244,6,0),0)</f>
        <v>198</v>
      </c>
      <c r="I5844" s="62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7">
        <v>44676</v>
      </c>
      <c r="B5845" s="55" t="str">
        <f t="shared" si="374"/>
        <v>ABRIL</v>
      </c>
      <c r="C5845" s="55">
        <f t="shared" si="375"/>
        <v>17</v>
      </c>
      <c r="D5845" s="3" t="str">
        <f t="shared" si="376"/>
        <v>LUNES</v>
      </c>
      <c r="E5845" s="427">
        <v>256617</v>
      </c>
      <c r="F5845" s="31" t="str">
        <f>IFERROR(VLOOKUP(E5845,BD!$L$2:$Q$244,2,0),0)</f>
        <v>TWO PACK SCHWEPPES GINGER ALE PET 1.5LX2</v>
      </c>
      <c r="G5845" s="424">
        <v>1458</v>
      </c>
      <c r="H5845" s="31">
        <f>+IFERROR(VLOOKUP(E5845,BD!$L$2:$Q$244,6,0),0)</f>
        <v>198</v>
      </c>
      <c r="I5845" s="626">
        <f>IFERROR(G5845*VLOOKUP($E5845,BD!$L$2:$Q$244,5,0),0)</f>
        <v>247.86</v>
      </c>
      <c r="J5845" s="3">
        <f t="shared" si="377"/>
        <v>2022</v>
      </c>
    </row>
    <row r="5846" spans="1:10" s="9" customFormat="1" x14ac:dyDescent="0.25">
      <c r="A5846" s="447">
        <v>44676</v>
      </c>
      <c r="B5846" s="55" t="str">
        <f t="shared" si="374"/>
        <v>ABRIL</v>
      </c>
      <c r="C5846" s="55">
        <f t="shared" si="375"/>
        <v>17</v>
      </c>
      <c r="D5846" s="3" t="str">
        <f t="shared" si="376"/>
        <v>LUNES</v>
      </c>
      <c r="E5846" s="427">
        <v>256666</v>
      </c>
      <c r="F5846" s="31" t="str">
        <f>IFERROR(VLOOKUP(E5846,BD!$L$2:$Q$244,2,0),0)</f>
        <v>COCA-COLA PET 2.25LX2 RF</v>
      </c>
      <c r="G5846" s="425">
        <v>486</v>
      </c>
      <c r="H5846" s="31">
        <f>+IFERROR(VLOOKUP(E5846,BD!$L$2:$Q$244,6,0),0)</f>
        <v>162</v>
      </c>
      <c r="I5846" s="626">
        <f>IFERROR(G5846*VLOOKUP($E5846,BD!$L$2:$Q$244,5,0),0)</f>
        <v>82.62</v>
      </c>
      <c r="J5846" s="3">
        <f t="shared" si="377"/>
        <v>2022</v>
      </c>
    </row>
    <row r="5847" spans="1:10" s="9" customFormat="1" x14ac:dyDescent="0.25">
      <c r="A5847" s="447">
        <v>44676</v>
      </c>
      <c r="B5847" s="55" t="str">
        <f t="shared" si="374"/>
        <v>ABRIL</v>
      </c>
      <c r="C5847" s="55">
        <f t="shared" si="375"/>
        <v>17</v>
      </c>
      <c r="D5847" s="3" t="str">
        <f t="shared" si="376"/>
        <v>LUNES</v>
      </c>
      <c r="E5847" s="427">
        <v>256601</v>
      </c>
      <c r="F5847" s="31" t="str">
        <f>IFERROR(VLOOKUP(E5847,BD!$L$2:$Q$244,2,0),0)</f>
        <v>INCA KOLA PET 2.25LX2 RF</v>
      </c>
      <c r="G5847" s="424">
        <v>2160</v>
      </c>
      <c r="H5847" s="31">
        <f>+IFERROR(VLOOKUP(E5847,BD!$L$2:$Q$244,6,0),0)</f>
        <v>162</v>
      </c>
      <c r="I5847" s="626">
        <f>IFERROR(G5847*VLOOKUP($E5847,BD!$L$2:$Q$244,5,0),0)</f>
        <v>367.20000000000005</v>
      </c>
      <c r="J5847" s="3">
        <f t="shared" si="377"/>
        <v>2022</v>
      </c>
    </row>
    <row r="5848" spans="1:10" s="9" customFormat="1" x14ac:dyDescent="0.25">
      <c r="A5848" s="447">
        <v>44676</v>
      </c>
      <c r="B5848" s="55" t="str">
        <f t="shared" si="374"/>
        <v>ABRIL</v>
      </c>
      <c r="C5848" s="55">
        <f t="shared" si="375"/>
        <v>17</v>
      </c>
      <c r="D5848" s="3" t="str">
        <f t="shared" si="376"/>
        <v>LUNES</v>
      </c>
      <c r="E5848" s="427">
        <v>256674</v>
      </c>
      <c r="F5848" s="31" t="str">
        <f>IFERROR(VLOOKUP(E5848,BD!$L$2:$Q$244,2,0),0)</f>
        <v>COCA-COLA PET 1.5LX2 RF</v>
      </c>
      <c r="G5848" s="424">
        <v>2400</v>
      </c>
      <c r="H5848" s="31">
        <f>+IFERROR(VLOOKUP(E5848,BD!$L$2:$Q$244,6,0),0)</f>
        <v>198</v>
      </c>
      <c r="I5848" s="626">
        <f>IFERROR(G5848*VLOOKUP($E5848,BD!$L$2:$Q$244,5,0),0)</f>
        <v>408.00000000000006</v>
      </c>
      <c r="J5848" s="3">
        <f t="shared" si="377"/>
        <v>2022</v>
      </c>
    </row>
    <row r="5849" spans="1:10" s="9" customFormat="1" x14ac:dyDescent="0.25">
      <c r="A5849" s="447">
        <v>44676</v>
      </c>
      <c r="B5849" s="55" t="str">
        <f t="shared" si="374"/>
        <v>ABRIL</v>
      </c>
      <c r="C5849" s="55">
        <f t="shared" si="375"/>
        <v>17</v>
      </c>
      <c r="D5849" s="3" t="str">
        <f t="shared" si="376"/>
        <v>LUNES</v>
      </c>
      <c r="E5849" s="427">
        <v>256677</v>
      </c>
      <c r="F5849" s="31" t="str">
        <f>IFERROR(VLOOKUP(E5849,BD!$L$2:$Q$244,2,0),0)</f>
        <v>TWO PACK CC + IK PFM 3LX2 - RFNN</v>
      </c>
      <c r="G5849" s="424">
        <v>2500</v>
      </c>
      <c r="H5849" s="31">
        <f>+IFERROR(VLOOKUP(E5849,BD!$L$2:$Q$244,6,0),0)</f>
        <v>120</v>
      </c>
      <c r="I5849" s="626">
        <f>IFERROR(G5849*VLOOKUP($E5849,BD!$L$2:$Q$244,5,0),0)</f>
        <v>425.00000000000006</v>
      </c>
      <c r="J5849" s="3">
        <f t="shared" si="377"/>
        <v>2022</v>
      </c>
    </row>
    <row r="5850" spans="1:10" s="9" customFormat="1" x14ac:dyDescent="0.25">
      <c r="A5850" s="447">
        <v>44676</v>
      </c>
      <c r="B5850" s="55" t="str">
        <f t="shared" si="374"/>
        <v>ABRIL</v>
      </c>
      <c r="C5850" s="55">
        <f t="shared" si="375"/>
        <v>17</v>
      </c>
      <c r="D5850" s="3" t="str">
        <f t="shared" si="376"/>
        <v>LUNES</v>
      </c>
      <c r="E5850" s="427">
        <v>256368</v>
      </c>
      <c r="F5850" s="31" t="str">
        <f>IFERROR(VLOOKUP(E5850,BD!$L$2:$Q$244,2,0),0)</f>
        <v>COCA COLA VNR 300ML X 6 PUC</v>
      </c>
      <c r="G5850" s="424"/>
      <c r="H5850" s="31">
        <f>+IFERROR(VLOOKUP(E5850,BD!$L$2:$Q$244,6,0),0)</f>
        <v>250</v>
      </c>
      <c r="I5850" s="626">
        <f>IFERROR(G5850*VLOOKUP($E5850,BD!$L$2:$Q$244,5,0),0)</f>
        <v>0</v>
      </c>
      <c r="J5850" s="3">
        <f t="shared" si="377"/>
        <v>2022</v>
      </c>
    </row>
    <row r="5851" spans="1:10" s="9" customFormat="1" x14ac:dyDescent="0.25">
      <c r="A5851" s="447"/>
      <c r="B5851" s="55" t="str">
        <f t="shared" si="374"/>
        <v>ENERO</v>
      </c>
      <c r="C5851" s="55">
        <f t="shared" si="375"/>
        <v>1</v>
      </c>
      <c r="D5851" s="3" t="str">
        <f t="shared" si="376"/>
        <v>SÁBADO</v>
      </c>
      <c r="E5851" s="427"/>
      <c r="F5851" s="31">
        <f>IFERROR(VLOOKUP(E5851,BD!$L$2:$Q$244,2,0),0)</f>
        <v>0</v>
      </c>
      <c r="G5851" s="424"/>
      <c r="H5851" s="31">
        <f>+IFERROR(VLOOKUP(E5851,BD!$L$2:$Q$244,6,0),0)</f>
        <v>0</v>
      </c>
      <c r="I5851" s="626">
        <f>IFERROR(G5851*VLOOKUP($E5851,BD!$L$2:$Q$244,5,0),0)</f>
        <v>0</v>
      </c>
      <c r="J5851" s="3">
        <f t="shared" si="377"/>
        <v>1900</v>
      </c>
    </row>
    <row r="5852" spans="1:10" s="9" customFormat="1" x14ac:dyDescent="0.25">
      <c r="A5852" s="447"/>
      <c r="B5852" s="55" t="str">
        <f t="shared" si="374"/>
        <v>ENERO</v>
      </c>
      <c r="C5852" s="55">
        <f t="shared" si="375"/>
        <v>1</v>
      </c>
      <c r="D5852" s="3" t="str">
        <f t="shared" si="376"/>
        <v>SÁBADO</v>
      </c>
      <c r="E5852" s="427"/>
      <c r="F5852" s="31">
        <f>IFERROR(VLOOKUP(E5852,BD!$L$2:$Q$244,2,0),0)</f>
        <v>0</v>
      </c>
      <c r="G5852" s="424"/>
      <c r="H5852" s="31">
        <f>+IFERROR(VLOOKUP(E5852,BD!$L$2:$Q$244,6,0),0)</f>
        <v>0</v>
      </c>
      <c r="I5852" s="626">
        <f>IFERROR(G5852*VLOOKUP($E5852,BD!$L$2:$Q$244,5,0),0)</f>
        <v>0</v>
      </c>
      <c r="J5852" s="3">
        <f t="shared" si="377"/>
        <v>1900</v>
      </c>
    </row>
    <row r="5853" spans="1:10" s="9" customFormat="1" x14ac:dyDescent="0.25">
      <c r="A5853" s="447"/>
      <c r="B5853" s="55" t="str">
        <f t="shared" si="374"/>
        <v>ENERO</v>
      </c>
      <c r="C5853" s="55">
        <f t="shared" si="375"/>
        <v>1</v>
      </c>
      <c r="D5853" s="3" t="str">
        <f t="shared" si="376"/>
        <v>SÁBADO</v>
      </c>
      <c r="E5853" s="427"/>
      <c r="F5853" s="31">
        <f>IFERROR(VLOOKUP(E5853,BD!$L$2:$Q$244,2,0),0)</f>
        <v>0</v>
      </c>
      <c r="G5853" s="424"/>
      <c r="H5853" s="31">
        <f>+IFERROR(VLOOKUP(E5853,BD!$L$2:$Q$244,6,0),0)</f>
        <v>0</v>
      </c>
      <c r="I5853" s="626">
        <f>IFERROR(G5853*VLOOKUP($E5853,BD!$L$2:$Q$244,5,0),0)</f>
        <v>0</v>
      </c>
      <c r="J5853" s="3">
        <f t="shared" si="377"/>
        <v>1900</v>
      </c>
    </row>
    <row r="5854" spans="1:10" s="9" customFormat="1" x14ac:dyDescent="0.25">
      <c r="A5854" s="447"/>
      <c r="B5854" s="55" t="str">
        <f t="shared" si="374"/>
        <v>ENERO</v>
      </c>
      <c r="C5854" s="55">
        <f t="shared" si="375"/>
        <v>1</v>
      </c>
      <c r="D5854" s="3" t="str">
        <f t="shared" si="376"/>
        <v>SÁBADO</v>
      </c>
      <c r="E5854" s="427"/>
      <c r="F5854" s="31">
        <f>IFERROR(VLOOKUP(E5854,BD!$L$2:$Q$244,2,0),0)</f>
        <v>0</v>
      </c>
      <c r="G5854" s="424"/>
      <c r="H5854" s="31">
        <f>+IFERROR(VLOOKUP(E5854,BD!$L$2:$Q$244,6,0),0)</f>
        <v>0</v>
      </c>
      <c r="I5854" s="626">
        <f>IFERROR(G5854*VLOOKUP($E5854,BD!$L$2:$Q$244,5,0),0)</f>
        <v>0</v>
      </c>
      <c r="J5854" s="3">
        <f t="shared" si="377"/>
        <v>1900</v>
      </c>
    </row>
    <row r="5855" spans="1:10" s="9" customFormat="1" x14ac:dyDescent="0.25">
      <c r="A5855" s="447"/>
      <c r="B5855" s="55" t="str">
        <f t="shared" si="374"/>
        <v>ENERO</v>
      </c>
      <c r="C5855" s="55">
        <f t="shared" si="375"/>
        <v>1</v>
      </c>
      <c r="D5855" s="3" t="str">
        <f t="shared" si="376"/>
        <v>SÁBADO</v>
      </c>
      <c r="E5855" s="427"/>
      <c r="F5855" s="31">
        <f>IFERROR(VLOOKUP(E5855,BD!$L$2:$Q$244,2,0),0)</f>
        <v>0</v>
      </c>
      <c r="G5855" s="424"/>
      <c r="H5855" s="31">
        <f>+IFERROR(VLOOKUP(E5855,BD!$L$2:$Q$244,6,0),0)</f>
        <v>0</v>
      </c>
      <c r="I5855" s="626">
        <f>IFERROR(G5855*VLOOKUP($E5855,BD!$L$2:$Q$244,5,0),0)</f>
        <v>0</v>
      </c>
      <c r="J5855" s="3">
        <f t="shared" si="377"/>
        <v>1900</v>
      </c>
    </row>
    <row r="5856" spans="1:10" s="9" customFormat="1" x14ac:dyDescent="0.25">
      <c r="A5856" s="447"/>
      <c r="B5856" s="55" t="str">
        <f t="shared" si="374"/>
        <v>ENERO</v>
      </c>
      <c r="C5856" s="55">
        <f t="shared" si="375"/>
        <v>1</v>
      </c>
      <c r="D5856" s="3" t="str">
        <f t="shared" si="376"/>
        <v>SÁBADO</v>
      </c>
      <c r="E5856" s="427"/>
      <c r="F5856" s="31">
        <f>IFERROR(VLOOKUP(E5856,BD!$L$2:$Q$244,2,0),0)</f>
        <v>0</v>
      </c>
      <c r="G5856" s="424"/>
      <c r="H5856" s="31">
        <f>+IFERROR(VLOOKUP(E5856,BD!$L$2:$Q$244,6,0),0)</f>
        <v>0</v>
      </c>
      <c r="I5856" s="626">
        <f>IFERROR(G5856*VLOOKUP($E5856,BD!$L$2:$Q$244,5,0),0)</f>
        <v>0</v>
      </c>
      <c r="J5856" s="3">
        <f t="shared" si="377"/>
        <v>1900</v>
      </c>
    </row>
    <row r="5857" spans="1:10" s="9" customFormat="1" x14ac:dyDescent="0.25">
      <c r="A5857" s="447"/>
      <c r="B5857" s="55" t="str">
        <f t="shared" si="374"/>
        <v>ENERO</v>
      </c>
      <c r="C5857" s="55">
        <f t="shared" si="375"/>
        <v>1</v>
      </c>
      <c r="D5857" s="3" t="str">
        <f t="shared" si="376"/>
        <v>SÁBADO</v>
      </c>
      <c r="E5857" s="427"/>
      <c r="F5857" s="31">
        <f>IFERROR(VLOOKUP(E5857,BD!$L$2:$Q$244,2,0),0)</f>
        <v>0</v>
      </c>
      <c r="G5857" s="424"/>
      <c r="H5857" s="31">
        <f>+IFERROR(VLOOKUP(E5857,BD!$L$2:$Q$244,6,0),0)</f>
        <v>0</v>
      </c>
      <c r="I5857" s="626">
        <f>IFERROR(G5857*VLOOKUP($E5857,BD!$L$2:$Q$244,5,0),0)</f>
        <v>0</v>
      </c>
      <c r="J5857" s="3">
        <f t="shared" si="377"/>
        <v>1900</v>
      </c>
    </row>
    <row r="5858" spans="1:10" s="9" customFormat="1" x14ac:dyDescent="0.25">
      <c r="A5858" s="447"/>
      <c r="B5858" s="55" t="str">
        <f t="shared" si="374"/>
        <v>ENERO</v>
      </c>
      <c r="C5858" s="55">
        <f t="shared" si="375"/>
        <v>1</v>
      </c>
      <c r="D5858" s="3" t="str">
        <f t="shared" si="376"/>
        <v>SÁBADO</v>
      </c>
      <c r="E5858" s="427"/>
      <c r="F5858" s="31">
        <f>IFERROR(VLOOKUP(E5858,BD!$L$2:$Q$244,2,0),0)</f>
        <v>0</v>
      </c>
      <c r="G5858" s="424"/>
      <c r="H5858" s="31">
        <f>+IFERROR(VLOOKUP(E5858,BD!$L$2:$Q$244,6,0),0)</f>
        <v>0</v>
      </c>
      <c r="I5858" s="626">
        <f>IFERROR(G5858*VLOOKUP($E5858,BD!$L$2:$Q$244,5,0),0)</f>
        <v>0</v>
      </c>
      <c r="J5858" s="3">
        <f t="shared" si="377"/>
        <v>1900</v>
      </c>
    </row>
    <row r="5859" spans="1:10" s="9" customFormat="1" x14ac:dyDescent="0.25">
      <c r="A5859" s="447"/>
      <c r="B5859" s="55" t="str">
        <f t="shared" si="374"/>
        <v>ENERO</v>
      </c>
      <c r="C5859" s="55">
        <f t="shared" si="375"/>
        <v>1</v>
      </c>
      <c r="D5859" s="3" t="str">
        <f t="shared" si="376"/>
        <v>SÁBADO</v>
      </c>
      <c r="E5859" s="427"/>
      <c r="F5859" s="31">
        <f>IFERROR(VLOOKUP(E5859,BD!$L$2:$Q$244,2,0),0)</f>
        <v>0</v>
      </c>
      <c r="G5859" s="424"/>
      <c r="H5859" s="31">
        <f>+IFERROR(VLOOKUP(E5859,BD!$L$2:$Q$244,6,0),0)</f>
        <v>0</v>
      </c>
      <c r="I5859" s="626">
        <f>IFERROR(G5859*VLOOKUP($E5859,BD!$L$2:$Q$244,5,0),0)</f>
        <v>0</v>
      </c>
      <c r="J5859" s="3">
        <f t="shared" si="377"/>
        <v>1900</v>
      </c>
    </row>
    <row r="5860" spans="1:10" s="9" customFormat="1" x14ac:dyDescent="0.25">
      <c r="A5860" s="447"/>
      <c r="B5860" s="55" t="str">
        <f t="shared" si="374"/>
        <v>ENERO</v>
      </c>
      <c r="C5860" s="55">
        <f t="shared" si="375"/>
        <v>1</v>
      </c>
      <c r="D5860" s="3" t="str">
        <f t="shared" si="376"/>
        <v>SÁBADO</v>
      </c>
      <c r="E5860" s="427"/>
      <c r="F5860" s="31">
        <f>IFERROR(VLOOKUP(E5860,BD!$L$2:$Q$244,2,0),0)</f>
        <v>0</v>
      </c>
      <c r="G5860" s="424"/>
      <c r="H5860" s="31">
        <f>+IFERROR(VLOOKUP(E5860,BD!$L$2:$Q$244,6,0),0)</f>
        <v>0</v>
      </c>
      <c r="I5860" s="626">
        <f>IFERROR(G5860*VLOOKUP($E5860,BD!$L$2:$Q$244,5,0),0)</f>
        <v>0</v>
      </c>
      <c r="J5860" s="3">
        <f t="shared" si="377"/>
        <v>1900</v>
      </c>
    </row>
    <row r="5861" spans="1:10" s="9" customFormat="1" x14ac:dyDescent="0.25">
      <c r="A5861" s="447"/>
      <c r="B5861" s="55" t="str">
        <f t="shared" si="374"/>
        <v>ENERO</v>
      </c>
      <c r="C5861" s="55">
        <f t="shared" si="375"/>
        <v>1</v>
      </c>
      <c r="D5861" s="3" t="str">
        <f t="shared" si="376"/>
        <v>SÁBADO</v>
      </c>
      <c r="E5861" s="427"/>
      <c r="F5861" s="31">
        <f>IFERROR(VLOOKUP(E5861,BD!$L$2:$Q$244,2,0),0)</f>
        <v>0</v>
      </c>
      <c r="G5861" s="424"/>
      <c r="H5861" s="31">
        <f>+IFERROR(VLOOKUP(E5861,BD!$L$2:$Q$244,6,0),0)</f>
        <v>0</v>
      </c>
      <c r="I5861" s="626">
        <f>IFERROR(G5861*VLOOKUP($E5861,BD!$L$2:$Q$244,5,0),0)</f>
        <v>0</v>
      </c>
      <c r="J5861" s="3">
        <f t="shared" si="377"/>
        <v>1900</v>
      </c>
    </row>
    <row r="5862" spans="1:10" s="9" customFormat="1" x14ac:dyDescent="0.25">
      <c r="A5862" s="447"/>
      <c r="B5862" s="55" t="str">
        <f t="shared" si="374"/>
        <v>ENERO</v>
      </c>
      <c r="C5862" s="55">
        <f t="shared" si="375"/>
        <v>1</v>
      </c>
      <c r="D5862" s="3" t="str">
        <f t="shared" si="376"/>
        <v>SÁBADO</v>
      </c>
      <c r="E5862" s="427"/>
      <c r="F5862" s="31">
        <f>IFERROR(VLOOKUP(E5862,BD!$L$2:$Q$244,2,0),0)</f>
        <v>0</v>
      </c>
      <c r="G5862" s="424"/>
      <c r="H5862" s="31">
        <f>+IFERROR(VLOOKUP(E5862,BD!$L$2:$Q$244,6,0),0)</f>
        <v>0</v>
      </c>
      <c r="I5862" s="626">
        <f>IFERROR(G5862*VLOOKUP($E5862,BD!$L$2:$Q$244,5,0),0)</f>
        <v>0</v>
      </c>
      <c r="J5862" s="3">
        <f t="shared" si="377"/>
        <v>1900</v>
      </c>
    </row>
    <row r="5863" spans="1:10" s="9" customFormat="1" x14ac:dyDescent="0.25">
      <c r="A5863" s="447"/>
      <c r="B5863" s="55" t="str">
        <f t="shared" si="374"/>
        <v>ENERO</v>
      </c>
      <c r="C5863" s="55">
        <f t="shared" si="375"/>
        <v>1</v>
      </c>
      <c r="D5863" s="3" t="str">
        <f t="shared" si="376"/>
        <v>SÁBADO</v>
      </c>
      <c r="E5863" s="427"/>
      <c r="F5863" s="31">
        <f>IFERROR(VLOOKUP(E5863,BD!$L$2:$Q$244,2,0),0)</f>
        <v>0</v>
      </c>
      <c r="G5863" s="424"/>
      <c r="H5863" s="31">
        <f>+IFERROR(VLOOKUP(E5863,BD!$L$2:$Q$244,6,0),0)</f>
        <v>0</v>
      </c>
      <c r="I5863" s="626">
        <f>IFERROR(G5863*VLOOKUP($E5863,BD!$L$2:$Q$244,5,0),0)</f>
        <v>0</v>
      </c>
      <c r="J5863" s="3">
        <f t="shared" si="377"/>
        <v>1900</v>
      </c>
    </row>
    <row r="5864" spans="1:10" s="9" customFormat="1" x14ac:dyDescent="0.25">
      <c r="A5864" s="447"/>
      <c r="B5864" s="55" t="str">
        <f t="shared" si="374"/>
        <v>ENERO</v>
      </c>
      <c r="C5864" s="55">
        <f t="shared" si="375"/>
        <v>1</v>
      </c>
      <c r="D5864" s="3" t="str">
        <f t="shared" si="376"/>
        <v>SÁBADO</v>
      </c>
      <c r="E5864" s="427"/>
      <c r="F5864" s="31">
        <f>IFERROR(VLOOKUP(E5864,BD!$L$2:$Q$244,2,0),0)</f>
        <v>0</v>
      </c>
      <c r="G5864" s="424"/>
      <c r="H5864" s="31">
        <f>+IFERROR(VLOOKUP(E5864,BD!$L$2:$Q$244,6,0),0)</f>
        <v>0</v>
      </c>
      <c r="I5864" s="626">
        <f>IFERROR(G5864*VLOOKUP($E5864,BD!$L$2:$Q$244,5,0),0)</f>
        <v>0</v>
      </c>
      <c r="J5864" s="3">
        <f t="shared" si="377"/>
        <v>1900</v>
      </c>
    </row>
    <row r="5865" spans="1:10" s="9" customFormat="1" x14ac:dyDescent="0.25">
      <c r="A5865" s="447"/>
      <c r="B5865" s="55" t="str">
        <f t="shared" si="374"/>
        <v>ENERO</v>
      </c>
      <c r="C5865" s="55">
        <f t="shared" si="375"/>
        <v>1</v>
      </c>
      <c r="D5865" s="3" t="str">
        <f t="shared" si="376"/>
        <v>SÁBADO</v>
      </c>
      <c r="E5865" s="427"/>
      <c r="F5865" s="31">
        <f>IFERROR(VLOOKUP(E5865,BD!$L$2:$Q$244,2,0),0)</f>
        <v>0</v>
      </c>
      <c r="G5865" s="424"/>
      <c r="H5865" s="31">
        <f>+IFERROR(VLOOKUP(E5865,BD!$L$2:$Q$244,6,0),0)</f>
        <v>0</v>
      </c>
      <c r="I5865" s="626">
        <f>IFERROR(G5865*VLOOKUP($E5865,BD!$L$2:$Q$244,5,0),0)</f>
        <v>0</v>
      </c>
      <c r="J5865" s="3">
        <f t="shared" si="377"/>
        <v>1900</v>
      </c>
    </row>
    <row r="5866" spans="1:10" s="9" customFormat="1" x14ac:dyDescent="0.25">
      <c r="A5866" s="447"/>
      <c r="B5866" s="55" t="str">
        <f t="shared" si="374"/>
        <v>ENERO</v>
      </c>
      <c r="C5866" s="55">
        <f t="shared" si="375"/>
        <v>1</v>
      </c>
      <c r="D5866" s="3" t="str">
        <f t="shared" si="376"/>
        <v>SÁBADO</v>
      </c>
      <c r="E5866" s="427"/>
      <c r="F5866" s="31">
        <f>IFERROR(VLOOKUP(E5866,BD!$L$2:$Q$244,2,0),0)</f>
        <v>0</v>
      </c>
      <c r="G5866" s="424"/>
      <c r="H5866" s="31">
        <f>+IFERROR(VLOOKUP(E5866,BD!$L$2:$Q$244,6,0),0)</f>
        <v>0</v>
      </c>
      <c r="I5866" s="626">
        <f>IFERROR(G5866*VLOOKUP($E5866,BD!$L$2:$Q$244,5,0),0)</f>
        <v>0</v>
      </c>
      <c r="J5866" s="3">
        <f t="shared" si="377"/>
        <v>1900</v>
      </c>
    </row>
    <row r="5867" spans="1:10" s="9" customFormat="1" x14ac:dyDescent="0.25">
      <c r="A5867" s="447"/>
      <c r="B5867" s="55" t="str">
        <f t="shared" si="374"/>
        <v>ENERO</v>
      </c>
      <c r="C5867" s="55">
        <f t="shared" si="375"/>
        <v>1</v>
      </c>
      <c r="D5867" s="3" t="str">
        <f t="shared" si="376"/>
        <v>SÁBADO</v>
      </c>
      <c r="E5867" s="427"/>
      <c r="F5867" s="31">
        <f>IFERROR(VLOOKUP(E5867,BD!$L$2:$Q$244,2,0),0)</f>
        <v>0</v>
      </c>
      <c r="G5867" s="424"/>
      <c r="H5867" s="31">
        <f>+IFERROR(VLOOKUP(E5867,BD!$L$2:$Q$244,6,0),0)</f>
        <v>0</v>
      </c>
      <c r="I5867" s="626">
        <f>IFERROR(G5867*VLOOKUP($E5867,BD!$L$2:$Q$244,5,0),0)</f>
        <v>0</v>
      </c>
      <c r="J5867" s="3">
        <f t="shared" si="377"/>
        <v>1900</v>
      </c>
    </row>
    <row r="5868" spans="1:10" s="9" customFormat="1" x14ac:dyDescent="0.25">
      <c r="A5868" s="447"/>
      <c r="B5868" s="55" t="str">
        <f t="shared" si="374"/>
        <v>ENERO</v>
      </c>
      <c r="C5868" s="55">
        <f t="shared" si="375"/>
        <v>1</v>
      </c>
      <c r="D5868" s="3" t="str">
        <f t="shared" si="376"/>
        <v>SÁBADO</v>
      </c>
      <c r="E5868" s="427"/>
      <c r="F5868" s="31">
        <f>IFERROR(VLOOKUP(E5868,BD!$L$2:$Q$244,2,0),0)</f>
        <v>0</v>
      </c>
      <c r="G5868" s="424"/>
      <c r="H5868" s="31">
        <f>+IFERROR(VLOOKUP(E5868,BD!$L$2:$Q$244,6,0),0)</f>
        <v>0</v>
      </c>
      <c r="I5868" s="626">
        <f>IFERROR(G5868*VLOOKUP($E5868,BD!$L$2:$Q$244,5,0),0)</f>
        <v>0</v>
      </c>
      <c r="J5868" s="3">
        <f t="shared" si="377"/>
        <v>1900</v>
      </c>
    </row>
    <row r="5869" spans="1:10" s="9" customFormat="1" x14ac:dyDescent="0.25">
      <c r="A5869" s="447"/>
      <c r="B5869" s="55" t="str">
        <f t="shared" si="374"/>
        <v>ENERO</v>
      </c>
      <c r="C5869" s="55">
        <f t="shared" si="375"/>
        <v>1</v>
      </c>
      <c r="D5869" s="3" t="str">
        <f t="shared" si="376"/>
        <v>SÁBADO</v>
      </c>
      <c r="E5869" s="427"/>
      <c r="F5869" s="31">
        <f>IFERROR(VLOOKUP(E5869,BD!$L$2:$Q$244,2,0),0)</f>
        <v>0</v>
      </c>
      <c r="G5869" s="424"/>
      <c r="H5869" s="31">
        <f>+IFERROR(VLOOKUP(E5869,BD!$L$2:$Q$244,6,0),0)</f>
        <v>0</v>
      </c>
      <c r="I5869" s="626">
        <f>IFERROR(G5869*VLOOKUP($E5869,BD!$L$2:$Q$244,5,0),0)</f>
        <v>0</v>
      </c>
      <c r="J5869" s="3">
        <f t="shared" si="377"/>
        <v>1900</v>
      </c>
    </row>
    <row r="5870" spans="1:10" s="9" customFormat="1" x14ac:dyDescent="0.25">
      <c r="A5870" s="447"/>
      <c r="B5870" s="55" t="str">
        <f t="shared" si="374"/>
        <v>ENERO</v>
      </c>
      <c r="C5870" s="55">
        <f t="shared" si="375"/>
        <v>1</v>
      </c>
      <c r="D5870" s="3" t="str">
        <f t="shared" si="376"/>
        <v>SÁBADO</v>
      </c>
      <c r="E5870" s="427"/>
      <c r="F5870" s="31">
        <f>IFERROR(VLOOKUP(E5870,BD!$L$2:$Q$244,2,0),0)</f>
        <v>0</v>
      </c>
      <c r="G5870" s="424"/>
      <c r="H5870" s="31">
        <f>+IFERROR(VLOOKUP(E5870,BD!$L$2:$Q$244,6,0),0)</f>
        <v>0</v>
      </c>
      <c r="I5870" s="626">
        <f>IFERROR(G5870*VLOOKUP($E5870,BD!$L$2:$Q$244,5,0),0)</f>
        <v>0</v>
      </c>
      <c r="J5870" s="3">
        <f t="shared" si="377"/>
        <v>1900</v>
      </c>
    </row>
    <row r="5871" spans="1:10" s="9" customFormat="1" x14ac:dyDescent="0.25">
      <c r="A5871" s="447"/>
      <c r="B5871" s="55" t="str">
        <f t="shared" si="374"/>
        <v>ENERO</v>
      </c>
      <c r="C5871" s="55">
        <f t="shared" si="375"/>
        <v>1</v>
      </c>
      <c r="D5871" s="3" t="str">
        <f t="shared" si="376"/>
        <v>SÁBADO</v>
      </c>
      <c r="E5871" s="427"/>
      <c r="F5871" s="31">
        <f>IFERROR(VLOOKUP(E5871,BD!$L$2:$Q$244,2,0),0)</f>
        <v>0</v>
      </c>
      <c r="G5871" s="424"/>
      <c r="H5871" s="31">
        <f>+IFERROR(VLOOKUP(E5871,BD!$L$2:$Q$244,6,0),0)</f>
        <v>0</v>
      </c>
      <c r="I5871" s="626">
        <f>IFERROR(G5871*VLOOKUP($E5871,BD!$L$2:$Q$244,5,0),0)</f>
        <v>0</v>
      </c>
      <c r="J5871" s="3">
        <f t="shared" si="377"/>
        <v>1900</v>
      </c>
    </row>
    <row r="5872" spans="1:10" s="9" customFormat="1" x14ac:dyDescent="0.25">
      <c r="A5872" s="447"/>
      <c r="B5872" s="55" t="str">
        <f t="shared" si="374"/>
        <v>ENERO</v>
      </c>
      <c r="C5872" s="55">
        <f t="shared" si="375"/>
        <v>1</v>
      </c>
      <c r="D5872" s="3" t="str">
        <f t="shared" si="376"/>
        <v>SÁBADO</v>
      </c>
      <c r="E5872" s="427"/>
      <c r="F5872" s="31">
        <f>IFERROR(VLOOKUP(E5872,BD!$L$2:$Q$244,2,0),0)</f>
        <v>0</v>
      </c>
      <c r="G5872" s="424"/>
      <c r="H5872" s="31">
        <f>+IFERROR(VLOOKUP(E5872,BD!$L$2:$Q$244,6,0),0)</f>
        <v>0</v>
      </c>
      <c r="I5872" s="626">
        <f>IFERROR(G5872*VLOOKUP($E5872,BD!$L$2:$Q$244,5,0),0)</f>
        <v>0</v>
      </c>
      <c r="J5872" s="3">
        <f t="shared" si="377"/>
        <v>1900</v>
      </c>
    </row>
    <row r="5873" spans="1:10" s="9" customFormat="1" x14ac:dyDescent="0.25">
      <c r="A5873" s="447"/>
      <c r="B5873" s="55" t="str">
        <f t="shared" si="374"/>
        <v>ENERO</v>
      </c>
      <c r="C5873" s="55">
        <f t="shared" si="375"/>
        <v>1</v>
      </c>
      <c r="D5873" s="3" t="str">
        <f t="shared" si="376"/>
        <v>SÁBADO</v>
      </c>
      <c r="E5873" s="427"/>
      <c r="F5873" s="31">
        <f>IFERROR(VLOOKUP(E5873,BD!$L$2:$Q$244,2,0),0)</f>
        <v>0</v>
      </c>
      <c r="G5873" s="424"/>
      <c r="H5873" s="31">
        <f>+IFERROR(VLOOKUP(E5873,BD!$L$2:$Q$244,6,0),0)</f>
        <v>0</v>
      </c>
      <c r="I5873" s="626">
        <f>IFERROR(G5873*VLOOKUP($E5873,BD!$L$2:$Q$244,5,0),0)</f>
        <v>0</v>
      </c>
      <c r="J5873" s="3">
        <f t="shared" si="377"/>
        <v>1900</v>
      </c>
    </row>
    <row r="5874" spans="1:10" s="9" customFormat="1" x14ac:dyDescent="0.25">
      <c r="A5874" s="447"/>
      <c r="B5874" s="55" t="str">
        <f t="shared" si="374"/>
        <v>ENERO</v>
      </c>
      <c r="C5874" s="55">
        <f t="shared" si="375"/>
        <v>1</v>
      </c>
      <c r="D5874" s="3" t="str">
        <f t="shared" si="376"/>
        <v>SÁBADO</v>
      </c>
      <c r="E5874" s="427"/>
      <c r="F5874" s="31">
        <f>IFERROR(VLOOKUP(E5874,BD!$L$2:$Q$244,2,0),0)</f>
        <v>0</v>
      </c>
      <c r="G5874" s="424"/>
      <c r="H5874" s="31">
        <f>+IFERROR(VLOOKUP(E5874,BD!$L$2:$Q$244,6,0),0)</f>
        <v>0</v>
      </c>
      <c r="I5874" s="626">
        <f>IFERROR(G5874*VLOOKUP($E5874,BD!$L$2:$Q$244,5,0),0)</f>
        <v>0</v>
      </c>
      <c r="J5874" s="3">
        <f t="shared" si="377"/>
        <v>1900</v>
      </c>
    </row>
    <row r="5875" spans="1:10" s="9" customFormat="1" x14ac:dyDescent="0.25">
      <c r="A5875" s="447"/>
      <c r="B5875" s="55" t="str">
        <f t="shared" si="374"/>
        <v>ENERO</v>
      </c>
      <c r="C5875" s="55">
        <f t="shared" si="375"/>
        <v>1</v>
      </c>
      <c r="D5875" s="3" t="str">
        <f t="shared" si="376"/>
        <v>SÁBADO</v>
      </c>
      <c r="E5875" s="427"/>
      <c r="F5875" s="31">
        <f>IFERROR(VLOOKUP(E5875,BD!$L$2:$Q$244,2,0),0)</f>
        <v>0</v>
      </c>
      <c r="G5875" s="424"/>
      <c r="H5875" s="31">
        <f>+IFERROR(VLOOKUP(E5875,BD!$L$2:$Q$244,6,0),0)</f>
        <v>0</v>
      </c>
      <c r="I5875" s="626">
        <f>IFERROR(G5875*VLOOKUP($E5875,BD!$L$2:$Q$244,5,0),0)</f>
        <v>0</v>
      </c>
      <c r="J5875" s="3">
        <f t="shared" si="377"/>
        <v>1900</v>
      </c>
    </row>
    <row r="5876" spans="1:10" s="9" customFormat="1" x14ac:dyDescent="0.25">
      <c r="A5876" s="447"/>
      <c r="B5876" s="55" t="str">
        <f t="shared" si="374"/>
        <v>ENERO</v>
      </c>
      <c r="C5876" s="55">
        <f t="shared" si="375"/>
        <v>1</v>
      </c>
      <c r="D5876" s="3" t="str">
        <f t="shared" si="376"/>
        <v>SÁBADO</v>
      </c>
      <c r="E5876" s="427"/>
      <c r="F5876" s="31">
        <f>IFERROR(VLOOKUP(E5876,BD!$L$2:$Q$244,2,0),0)</f>
        <v>0</v>
      </c>
      <c r="G5876" s="424"/>
      <c r="H5876" s="31">
        <f>+IFERROR(VLOOKUP(E5876,BD!$L$2:$Q$244,6,0),0)</f>
        <v>0</v>
      </c>
      <c r="I5876" s="626">
        <f>IFERROR(G5876*VLOOKUP($E5876,BD!$L$2:$Q$244,5,0),0)</f>
        <v>0</v>
      </c>
      <c r="J5876" s="3">
        <f t="shared" si="377"/>
        <v>1900</v>
      </c>
    </row>
    <row r="5877" spans="1:10" s="9" customFormat="1" x14ac:dyDescent="0.25">
      <c r="A5877" s="447"/>
      <c r="B5877" s="55" t="str">
        <f t="shared" si="374"/>
        <v>ENERO</v>
      </c>
      <c r="C5877" s="55">
        <f t="shared" si="375"/>
        <v>1</v>
      </c>
      <c r="D5877" s="3" t="str">
        <f t="shared" si="376"/>
        <v>SÁBADO</v>
      </c>
      <c r="E5877" s="427"/>
      <c r="F5877" s="31">
        <f>IFERROR(VLOOKUP(E5877,BD!$L$2:$Q$244,2,0),0)</f>
        <v>0</v>
      </c>
      <c r="G5877" s="424"/>
      <c r="H5877" s="31">
        <f>+IFERROR(VLOOKUP(E5877,BD!$L$2:$Q$244,6,0),0)</f>
        <v>0</v>
      </c>
      <c r="I5877" s="626">
        <f>IFERROR(G5877*VLOOKUP($E5877,BD!$L$2:$Q$244,5,0),0)</f>
        <v>0</v>
      </c>
      <c r="J5877" s="3">
        <f t="shared" si="377"/>
        <v>1900</v>
      </c>
    </row>
    <row r="5878" spans="1:10" s="9" customFormat="1" x14ac:dyDescent="0.25">
      <c r="A5878" s="447"/>
      <c r="B5878" s="55" t="str">
        <f t="shared" si="374"/>
        <v>ENERO</v>
      </c>
      <c r="C5878" s="55">
        <f t="shared" si="375"/>
        <v>1</v>
      </c>
      <c r="D5878" s="3" t="str">
        <f t="shared" si="376"/>
        <v>SÁBADO</v>
      </c>
      <c r="E5878" s="427"/>
      <c r="F5878" s="31">
        <f>IFERROR(VLOOKUP(E5878,BD!$L$2:$Q$244,2,0),0)</f>
        <v>0</v>
      </c>
      <c r="G5878" s="424"/>
      <c r="H5878" s="31">
        <f>+IFERROR(VLOOKUP(E5878,BD!$L$2:$Q$244,6,0),0)</f>
        <v>0</v>
      </c>
      <c r="I5878" s="626">
        <f>IFERROR(G5878*VLOOKUP($E5878,BD!$L$2:$Q$244,5,0),0)</f>
        <v>0</v>
      </c>
      <c r="J5878" s="3">
        <f t="shared" si="377"/>
        <v>1900</v>
      </c>
    </row>
    <row r="5879" spans="1:10" s="9" customFormat="1" x14ac:dyDescent="0.25">
      <c r="A5879" s="447"/>
      <c r="B5879" s="55" t="str">
        <f t="shared" si="374"/>
        <v>ENERO</v>
      </c>
      <c r="C5879" s="55">
        <f t="shared" si="375"/>
        <v>1</v>
      </c>
      <c r="D5879" s="3" t="str">
        <f t="shared" si="376"/>
        <v>SÁBADO</v>
      </c>
      <c r="E5879" s="427"/>
      <c r="F5879" s="31">
        <f>IFERROR(VLOOKUP(E5879,BD!$L$2:$Q$244,2,0),0)</f>
        <v>0</v>
      </c>
      <c r="G5879" s="424"/>
      <c r="H5879" s="31">
        <f>+IFERROR(VLOOKUP(E5879,BD!$L$2:$Q$244,6,0),0)</f>
        <v>0</v>
      </c>
      <c r="I5879" s="626">
        <f>IFERROR(G5879*VLOOKUP($E5879,BD!$L$2:$Q$244,5,0),0)</f>
        <v>0</v>
      </c>
      <c r="J5879" s="3">
        <f t="shared" si="377"/>
        <v>1900</v>
      </c>
    </row>
    <row r="5880" spans="1:10" s="9" customFormat="1" x14ac:dyDescent="0.25">
      <c r="A5880" s="447"/>
      <c r="B5880" s="55" t="str">
        <f t="shared" si="374"/>
        <v>ENERO</v>
      </c>
      <c r="C5880" s="55">
        <f t="shared" si="375"/>
        <v>1</v>
      </c>
      <c r="D5880" s="3" t="str">
        <f t="shared" si="376"/>
        <v>SÁBADO</v>
      </c>
      <c r="E5880" s="427"/>
      <c r="F5880" s="31">
        <f>IFERROR(VLOOKUP(E5880,BD!$L$2:$Q$244,2,0),0)</f>
        <v>0</v>
      </c>
      <c r="G5880" s="424"/>
      <c r="H5880" s="31">
        <f>+IFERROR(VLOOKUP(E5880,BD!$L$2:$Q$244,6,0),0)</f>
        <v>0</v>
      </c>
      <c r="I5880" s="626">
        <f>IFERROR(G5880*VLOOKUP($E5880,BD!$L$2:$Q$244,5,0),0)</f>
        <v>0</v>
      </c>
      <c r="J5880" s="3">
        <f t="shared" si="377"/>
        <v>1900</v>
      </c>
    </row>
    <row r="5881" spans="1:10" s="9" customFormat="1" x14ac:dyDescent="0.25">
      <c r="A5881" s="447"/>
      <c r="B5881" s="55" t="str">
        <f t="shared" si="374"/>
        <v>ENERO</v>
      </c>
      <c r="C5881" s="55">
        <f t="shared" si="375"/>
        <v>1</v>
      </c>
      <c r="D5881" s="3" t="str">
        <f t="shared" si="376"/>
        <v>SÁBADO</v>
      </c>
      <c r="E5881" s="427"/>
      <c r="F5881" s="31">
        <f>IFERROR(VLOOKUP(E5881,BD!$L$2:$Q$244,2,0),0)</f>
        <v>0</v>
      </c>
      <c r="G5881" s="424"/>
      <c r="H5881" s="31">
        <f>+IFERROR(VLOOKUP(E5881,BD!$L$2:$Q$244,6,0),0)</f>
        <v>0</v>
      </c>
      <c r="I5881" s="626">
        <f>IFERROR(G5881*VLOOKUP($E5881,BD!$L$2:$Q$244,5,0),0)</f>
        <v>0</v>
      </c>
      <c r="J5881" s="3">
        <f t="shared" si="377"/>
        <v>1900</v>
      </c>
    </row>
    <row r="5882" spans="1:10" s="9" customFormat="1" x14ac:dyDescent="0.25">
      <c r="A5882" s="447"/>
      <c r="B5882" s="55" t="str">
        <f t="shared" si="374"/>
        <v>ENERO</v>
      </c>
      <c r="C5882" s="55">
        <f t="shared" si="375"/>
        <v>1</v>
      </c>
      <c r="D5882" s="3" t="str">
        <f t="shared" si="376"/>
        <v>SÁBADO</v>
      </c>
      <c r="E5882" s="427"/>
      <c r="F5882" s="31">
        <f>IFERROR(VLOOKUP(E5882,BD!$L$2:$Q$244,2,0),0)</f>
        <v>0</v>
      </c>
      <c r="G5882" s="424"/>
      <c r="H5882" s="31">
        <f>+IFERROR(VLOOKUP(E5882,BD!$L$2:$Q$244,6,0),0)</f>
        <v>0</v>
      </c>
      <c r="I5882" s="626">
        <f>IFERROR(G5882*VLOOKUP($E5882,BD!$L$2:$Q$244,5,0),0)</f>
        <v>0</v>
      </c>
      <c r="J5882" s="3">
        <f t="shared" si="377"/>
        <v>1900</v>
      </c>
    </row>
    <row r="5883" spans="1:10" s="9" customFormat="1" x14ac:dyDescent="0.25">
      <c r="A5883" s="447"/>
      <c r="B5883" s="55" t="str">
        <f t="shared" si="374"/>
        <v>ENERO</v>
      </c>
      <c r="C5883" s="55">
        <f t="shared" si="375"/>
        <v>1</v>
      </c>
      <c r="D5883" s="3" t="str">
        <f t="shared" si="376"/>
        <v>SÁBADO</v>
      </c>
      <c r="E5883" s="427"/>
      <c r="F5883" s="31">
        <f>IFERROR(VLOOKUP(E5883,BD!$L$2:$Q$244,2,0),0)</f>
        <v>0</v>
      </c>
      <c r="G5883" s="424"/>
      <c r="H5883" s="31">
        <f>+IFERROR(VLOOKUP(E5883,BD!$L$2:$Q$244,6,0),0)</f>
        <v>0</v>
      </c>
      <c r="I5883" s="626">
        <f>IFERROR(G5883*VLOOKUP($E5883,BD!$L$2:$Q$244,5,0),0)</f>
        <v>0</v>
      </c>
      <c r="J5883" s="3">
        <f t="shared" si="377"/>
        <v>1900</v>
      </c>
    </row>
    <row r="5884" spans="1:10" s="9" customFormat="1" x14ac:dyDescent="0.25">
      <c r="A5884" s="447"/>
      <c r="B5884" s="55" t="str">
        <f t="shared" si="374"/>
        <v>ENERO</v>
      </c>
      <c r="C5884" s="55">
        <f t="shared" si="375"/>
        <v>1</v>
      </c>
      <c r="D5884" s="3" t="str">
        <f t="shared" si="376"/>
        <v>SÁBADO</v>
      </c>
      <c r="E5884" s="427"/>
      <c r="F5884" s="31">
        <f>IFERROR(VLOOKUP(E5884,BD!$L$2:$Q$244,2,0),0)</f>
        <v>0</v>
      </c>
      <c r="G5884" s="424"/>
      <c r="H5884" s="31">
        <f>+IFERROR(VLOOKUP(E5884,BD!$L$2:$Q$244,6,0),0)</f>
        <v>0</v>
      </c>
      <c r="I5884" s="626">
        <f>IFERROR(G5884*VLOOKUP($E5884,BD!$L$2:$Q$244,5,0),0)</f>
        <v>0</v>
      </c>
      <c r="J5884" s="3">
        <f t="shared" si="377"/>
        <v>1900</v>
      </c>
    </row>
    <row r="5885" spans="1:10" s="9" customFormat="1" x14ac:dyDescent="0.25">
      <c r="A5885" s="447"/>
      <c r="B5885" s="55" t="str">
        <f t="shared" ref="B5885:B5948" si="378">UPPER(TEXT(A5885,"MMMM"))</f>
        <v>ENERO</v>
      </c>
      <c r="C5885" s="55">
        <f t="shared" ref="C5885:C5948" si="379">WEEKNUM(A5885,16)</f>
        <v>1</v>
      </c>
      <c r="D5885" s="3" t="str">
        <f t="shared" ref="D5885:D5948" si="380">UPPER(TEXT(A5885,"DDDD"))</f>
        <v>SÁBADO</v>
      </c>
      <c r="E5885" s="427"/>
      <c r="F5885" s="31">
        <f>IFERROR(VLOOKUP(E5885,BD!$L$2:$Q$244,2,0),0)</f>
        <v>0</v>
      </c>
      <c r="G5885" s="424"/>
      <c r="H5885" s="31">
        <f>+IFERROR(VLOOKUP(E5885,BD!$L$2:$Q$244,6,0),0)</f>
        <v>0</v>
      </c>
      <c r="I5885" s="626">
        <f>IFERROR(G5885*VLOOKUP($E5885,BD!$L$2:$Q$244,5,0),0)</f>
        <v>0</v>
      </c>
      <c r="J5885" s="3">
        <f t="shared" ref="J5885:J5948" si="381">+YEAR(A5885)</f>
        <v>1900</v>
      </c>
    </row>
    <row r="5886" spans="1:10" s="9" customFormat="1" x14ac:dyDescent="0.25">
      <c r="A5886" s="447"/>
      <c r="B5886" s="55" t="str">
        <f t="shared" si="378"/>
        <v>ENERO</v>
      </c>
      <c r="C5886" s="55">
        <f t="shared" si="379"/>
        <v>1</v>
      </c>
      <c r="D5886" s="3" t="str">
        <f t="shared" si="380"/>
        <v>SÁBADO</v>
      </c>
      <c r="E5886" s="427"/>
      <c r="F5886" s="31">
        <f>IFERROR(VLOOKUP(E5886,BD!$L$2:$Q$244,2,0),0)</f>
        <v>0</v>
      </c>
      <c r="G5886" s="424"/>
      <c r="H5886" s="31">
        <f>+IFERROR(VLOOKUP(E5886,BD!$L$2:$Q$244,6,0),0)</f>
        <v>0</v>
      </c>
      <c r="I5886" s="626">
        <f>IFERROR(G5886*VLOOKUP($E5886,BD!$L$2:$Q$244,5,0),0)</f>
        <v>0</v>
      </c>
      <c r="J5886" s="3">
        <f t="shared" si="381"/>
        <v>1900</v>
      </c>
    </row>
    <row r="5887" spans="1:10" s="9" customFormat="1" x14ac:dyDescent="0.25">
      <c r="A5887" s="447"/>
      <c r="B5887" s="55" t="str">
        <f t="shared" si="378"/>
        <v>ENERO</v>
      </c>
      <c r="C5887" s="55">
        <f t="shared" si="379"/>
        <v>1</v>
      </c>
      <c r="D5887" s="3" t="str">
        <f t="shared" si="380"/>
        <v>SÁBADO</v>
      </c>
      <c r="E5887" s="427"/>
      <c r="F5887" s="31">
        <f>IFERROR(VLOOKUP(E5887,BD!$L$2:$Q$244,2,0),0)</f>
        <v>0</v>
      </c>
      <c r="G5887" s="424"/>
      <c r="H5887" s="31">
        <f>+IFERROR(VLOOKUP(E5887,BD!$L$2:$Q$244,6,0),0)</f>
        <v>0</v>
      </c>
      <c r="I5887" s="626">
        <f>IFERROR(G5887*VLOOKUP($E5887,BD!$L$2:$Q$244,5,0),0)</f>
        <v>0</v>
      </c>
      <c r="J5887" s="3">
        <f t="shared" si="381"/>
        <v>1900</v>
      </c>
    </row>
    <row r="5888" spans="1:10" s="9" customFormat="1" x14ac:dyDescent="0.25">
      <c r="A5888" s="447"/>
      <c r="B5888" s="55" t="str">
        <f t="shared" si="378"/>
        <v>ENERO</v>
      </c>
      <c r="C5888" s="55">
        <f t="shared" si="379"/>
        <v>1</v>
      </c>
      <c r="D5888" s="3" t="str">
        <f t="shared" si="380"/>
        <v>SÁBADO</v>
      </c>
      <c r="E5888" s="427"/>
      <c r="F5888" s="31">
        <f>IFERROR(VLOOKUP(E5888,BD!$L$2:$Q$244,2,0),0)</f>
        <v>0</v>
      </c>
      <c r="G5888" s="424"/>
      <c r="H5888" s="31">
        <f>+IFERROR(VLOOKUP(E5888,BD!$L$2:$Q$244,6,0),0)</f>
        <v>0</v>
      </c>
      <c r="I5888" s="626">
        <f>IFERROR(G5888*VLOOKUP($E5888,BD!$L$2:$Q$244,5,0),0)</f>
        <v>0</v>
      </c>
      <c r="J5888" s="3">
        <f t="shared" si="381"/>
        <v>1900</v>
      </c>
    </row>
    <row r="5889" spans="1:10" s="9" customFormat="1" x14ac:dyDescent="0.25">
      <c r="A5889" s="447"/>
      <c r="B5889" s="55" t="str">
        <f t="shared" si="378"/>
        <v>ENERO</v>
      </c>
      <c r="C5889" s="55">
        <f t="shared" si="379"/>
        <v>1</v>
      </c>
      <c r="D5889" s="3" t="str">
        <f t="shared" si="380"/>
        <v>SÁBADO</v>
      </c>
      <c r="E5889" s="427"/>
      <c r="F5889" s="31">
        <f>IFERROR(VLOOKUP(E5889,BD!$L$2:$Q$244,2,0),0)</f>
        <v>0</v>
      </c>
      <c r="G5889" s="424"/>
      <c r="H5889" s="31">
        <f>+IFERROR(VLOOKUP(E5889,BD!$L$2:$Q$244,6,0),0)</f>
        <v>0</v>
      </c>
      <c r="I5889" s="626">
        <f>IFERROR(G5889*VLOOKUP($E5889,BD!$L$2:$Q$244,5,0),0)</f>
        <v>0</v>
      </c>
      <c r="J5889" s="3">
        <f t="shared" si="381"/>
        <v>1900</v>
      </c>
    </row>
    <row r="5890" spans="1:10" s="9" customFormat="1" x14ac:dyDescent="0.25">
      <c r="A5890" s="447"/>
      <c r="B5890" s="55" t="str">
        <f t="shared" si="378"/>
        <v>ENERO</v>
      </c>
      <c r="C5890" s="55">
        <f t="shared" si="379"/>
        <v>1</v>
      </c>
      <c r="D5890" s="3" t="str">
        <f t="shared" si="380"/>
        <v>SÁBADO</v>
      </c>
      <c r="E5890" s="427"/>
      <c r="F5890" s="31">
        <f>IFERROR(VLOOKUP(E5890,BD!$L$2:$Q$244,2,0),0)</f>
        <v>0</v>
      </c>
      <c r="G5890" s="424"/>
      <c r="H5890" s="31">
        <f>+IFERROR(VLOOKUP(E5890,BD!$L$2:$Q$244,6,0),0)</f>
        <v>0</v>
      </c>
      <c r="I5890" s="626">
        <f>IFERROR(G5890*VLOOKUP($E5890,BD!$L$2:$Q$244,5,0),0)</f>
        <v>0</v>
      </c>
      <c r="J5890" s="3">
        <f t="shared" si="381"/>
        <v>1900</v>
      </c>
    </row>
    <row r="5891" spans="1:10" s="9" customFormat="1" x14ac:dyDescent="0.25">
      <c r="A5891" s="447"/>
      <c r="B5891" s="55" t="str">
        <f t="shared" si="378"/>
        <v>ENERO</v>
      </c>
      <c r="C5891" s="55">
        <f t="shared" si="379"/>
        <v>1</v>
      </c>
      <c r="D5891" s="3" t="str">
        <f t="shared" si="380"/>
        <v>SÁBADO</v>
      </c>
      <c r="E5891" s="427"/>
      <c r="F5891" s="31">
        <f>IFERROR(VLOOKUP(E5891,BD!$L$2:$Q$244,2,0),0)</f>
        <v>0</v>
      </c>
      <c r="G5891" s="424"/>
      <c r="H5891" s="31">
        <f>+IFERROR(VLOOKUP(E5891,BD!$L$2:$Q$244,6,0),0)</f>
        <v>0</v>
      </c>
      <c r="I5891" s="626">
        <f>IFERROR(G5891*VLOOKUP($E5891,BD!$L$2:$Q$244,5,0),0)</f>
        <v>0</v>
      </c>
      <c r="J5891" s="3">
        <f t="shared" si="381"/>
        <v>1900</v>
      </c>
    </row>
    <row r="5892" spans="1:10" s="9" customFormat="1" x14ac:dyDescent="0.25">
      <c r="A5892" s="447"/>
      <c r="B5892" s="55" t="str">
        <f t="shared" si="378"/>
        <v>ENERO</v>
      </c>
      <c r="C5892" s="55">
        <f t="shared" si="379"/>
        <v>1</v>
      </c>
      <c r="D5892" s="3" t="str">
        <f t="shared" si="380"/>
        <v>SÁBADO</v>
      </c>
      <c r="E5892" s="427"/>
      <c r="F5892" s="31">
        <f>IFERROR(VLOOKUP(E5892,BD!$L$2:$Q$244,2,0),0)</f>
        <v>0</v>
      </c>
      <c r="G5892" s="424"/>
      <c r="H5892" s="31">
        <f>+IFERROR(VLOOKUP(E5892,BD!$L$2:$Q$244,6,0),0)</f>
        <v>0</v>
      </c>
      <c r="I5892" s="626">
        <f>IFERROR(G5892*VLOOKUP($E5892,BD!$L$2:$Q$244,5,0),0)</f>
        <v>0</v>
      </c>
      <c r="J5892" s="3">
        <f t="shared" si="381"/>
        <v>1900</v>
      </c>
    </row>
    <row r="5893" spans="1:10" s="9" customFormat="1" x14ac:dyDescent="0.25">
      <c r="A5893" s="447"/>
      <c r="B5893" s="55" t="str">
        <f t="shared" si="378"/>
        <v>ENERO</v>
      </c>
      <c r="C5893" s="55">
        <f t="shared" si="379"/>
        <v>1</v>
      </c>
      <c r="D5893" s="3" t="str">
        <f t="shared" si="380"/>
        <v>SÁBADO</v>
      </c>
      <c r="E5893" s="427"/>
      <c r="F5893" s="31">
        <f>IFERROR(VLOOKUP(E5893,BD!$L$2:$Q$244,2,0),0)</f>
        <v>0</v>
      </c>
      <c r="G5893" s="424"/>
      <c r="H5893" s="31">
        <f>+IFERROR(VLOOKUP(E5893,BD!$L$2:$Q$244,6,0),0)</f>
        <v>0</v>
      </c>
      <c r="I5893" s="626">
        <f>IFERROR(G5893*VLOOKUP($E5893,BD!$L$2:$Q$244,5,0),0)</f>
        <v>0</v>
      </c>
      <c r="J5893" s="3">
        <f t="shared" si="381"/>
        <v>1900</v>
      </c>
    </row>
    <row r="5894" spans="1:10" s="9" customFormat="1" x14ac:dyDescent="0.25">
      <c r="A5894" s="447"/>
      <c r="B5894" s="55" t="str">
        <f t="shared" si="378"/>
        <v>ENERO</v>
      </c>
      <c r="C5894" s="55">
        <f t="shared" si="379"/>
        <v>1</v>
      </c>
      <c r="D5894" s="3" t="str">
        <f t="shared" si="380"/>
        <v>SÁBADO</v>
      </c>
      <c r="E5894" s="427"/>
      <c r="F5894" s="31">
        <f>IFERROR(VLOOKUP(E5894,BD!$L$2:$Q$244,2,0),0)</f>
        <v>0</v>
      </c>
      <c r="G5894" s="424"/>
      <c r="H5894" s="31">
        <f>+IFERROR(VLOOKUP(E5894,BD!$L$2:$Q$244,6,0),0)</f>
        <v>0</v>
      </c>
      <c r="I5894" s="626">
        <f>IFERROR(G5894*VLOOKUP($E5894,BD!$L$2:$Q$244,5,0),0)</f>
        <v>0</v>
      </c>
      <c r="J5894" s="3">
        <f t="shared" si="381"/>
        <v>1900</v>
      </c>
    </row>
    <row r="5895" spans="1:10" s="9" customFormat="1" x14ac:dyDescent="0.25">
      <c r="A5895" s="447"/>
      <c r="B5895" s="55" t="str">
        <f t="shared" si="378"/>
        <v>ENERO</v>
      </c>
      <c r="C5895" s="55">
        <f t="shared" si="379"/>
        <v>1</v>
      </c>
      <c r="D5895" s="3" t="str">
        <f t="shared" si="380"/>
        <v>SÁBADO</v>
      </c>
      <c r="E5895" s="427"/>
      <c r="F5895" s="31">
        <f>IFERROR(VLOOKUP(E5895,BD!$L$2:$Q$244,2,0),0)</f>
        <v>0</v>
      </c>
      <c r="G5895" s="424"/>
      <c r="H5895" s="31">
        <f>+IFERROR(VLOOKUP(E5895,BD!$L$2:$Q$244,6,0),0)</f>
        <v>0</v>
      </c>
      <c r="I5895" s="626">
        <f>IFERROR(G5895*VLOOKUP($E5895,BD!$L$2:$Q$244,5,0),0)</f>
        <v>0</v>
      </c>
      <c r="J5895" s="3">
        <f t="shared" si="381"/>
        <v>1900</v>
      </c>
    </row>
    <row r="5896" spans="1:10" s="9" customFormat="1" x14ac:dyDescent="0.25">
      <c r="A5896" s="447"/>
      <c r="B5896" s="55" t="str">
        <f t="shared" si="378"/>
        <v>ENERO</v>
      </c>
      <c r="C5896" s="55">
        <f t="shared" si="379"/>
        <v>1</v>
      </c>
      <c r="D5896" s="3" t="str">
        <f t="shared" si="380"/>
        <v>SÁBADO</v>
      </c>
      <c r="E5896" s="427"/>
      <c r="F5896" s="31">
        <f>IFERROR(VLOOKUP(E5896,BD!$L$2:$Q$244,2,0),0)</f>
        <v>0</v>
      </c>
      <c r="G5896" s="424"/>
      <c r="H5896" s="31">
        <f>+IFERROR(VLOOKUP(E5896,BD!$L$2:$Q$244,6,0),0)</f>
        <v>0</v>
      </c>
      <c r="I5896" s="626">
        <f>IFERROR(G5896*VLOOKUP($E5896,BD!$L$2:$Q$244,5,0),0)</f>
        <v>0</v>
      </c>
      <c r="J5896" s="3">
        <f t="shared" si="381"/>
        <v>1900</v>
      </c>
    </row>
    <row r="5897" spans="1:10" s="9" customFormat="1" x14ac:dyDescent="0.25">
      <c r="A5897" s="447"/>
      <c r="B5897" s="55" t="str">
        <f t="shared" si="378"/>
        <v>ENERO</v>
      </c>
      <c r="C5897" s="55">
        <f t="shared" si="379"/>
        <v>1</v>
      </c>
      <c r="D5897" s="3" t="str">
        <f t="shared" si="380"/>
        <v>SÁBADO</v>
      </c>
      <c r="E5897" s="427"/>
      <c r="F5897" s="31">
        <f>IFERROR(VLOOKUP(E5897,BD!$L$2:$Q$244,2,0),0)</f>
        <v>0</v>
      </c>
      <c r="G5897" s="424"/>
      <c r="H5897" s="31">
        <f>+IFERROR(VLOOKUP(E5897,BD!$L$2:$Q$244,6,0),0)</f>
        <v>0</v>
      </c>
      <c r="I5897" s="626">
        <f>IFERROR(G5897*VLOOKUP($E5897,BD!$L$2:$Q$244,5,0),0)</f>
        <v>0</v>
      </c>
      <c r="J5897" s="3">
        <f t="shared" si="381"/>
        <v>1900</v>
      </c>
    </row>
    <row r="5898" spans="1:10" s="9" customFormat="1" x14ac:dyDescent="0.25">
      <c r="A5898" s="447"/>
      <c r="B5898" s="55" t="str">
        <f t="shared" si="378"/>
        <v>ENERO</v>
      </c>
      <c r="C5898" s="55">
        <f t="shared" si="379"/>
        <v>1</v>
      </c>
      <c r="D5898" s="3" t="str">
        <f t="shared" si="380"/>
        <v>SÁBADO</v>
      </c>
      <c r="E5898" s="427"/>
      <c r="F5898" s="31">
        <f>IFERROR(VLOOKUP(E5898,BD!$L$2:$Q$244,2,0),0)</f>
        <v>0</v>
      </c>
      <c r="G5898" s="424"/>
      <c r="H5898" s="31">
        <f>+IFERROR(VLOOKUP(E5898,BD!$L$2:$Q$244,6,0),0)</f>
        <v>0</v>
      </c>
      <c r="I5898" s="626">
        <f>IFERROR(G5898*VLOOKUP($E5898,BD!$L$2:$Q$244,5,0),0)</f>
        <v>0</v>
      </c>
      <c r="J5898" s="3">
        <f t="shared" si="381"/>
        <v>1900</v>
      </c>
    </row>
    <row r="5899" spans="1:10" s="9" customFormat="1" x14ac:dyDescent="0.25">
      <c r="A5899" s="447"/>
      <c r="B5899" s="55" t="str">
        <f t="shared" si="378"/>
        <v>ENERO</v>
      </c>
      <c r="C5899" s="55">
        <f t="shared" si="379"/>
        <v>1</v>
      </c>
      <c r="D5899" s="3" t="str">
        <f t="shared" si="380"/>
        <v>SÁBADO</v>
      </c>
      <c r="E5899" s="427"/>
      <c r="F5899" s="31">
        <f>IFERROR(VLOOKUP(E5899,BD!$L$2:$Q$244,2,0),0)</f>
        <v>0</v>
      </c>
      <c r="G5899" s="424"/>
      <c r="H5899" s="31">
        <f>+IFERROR(VLOOKUP(E5899,BD!$L$2:$Q$244,6,0),0)</f>
        <v>0</v>
      </c>
      <c r="I5899" s="626">
        <f>IFERROR(G5899*VLOOKUP($E5899,BD!$L$2:$Q$244,5,0),0)</f>
        <v>0</v>
      </c>
      <c r="J5899" s="3">
        <f t="shared" si="381"/>
        <v>1900</v>
      </c>
    </row>
    <row r="5900" spans="1:10" s="9" customFormat="1" x14ac:dyDescent="0.25">
      <c r="A5900" s="447"/>
      <c r="B5900" s="55" t="str">
        <f t="shared" si="378"/>
        <v>ENERO</v>
      </c>
      <c r="C5900" s="55">
        <f t="shared" si="379"/>
        <v>1</v>
      </c>
      <c r="D5900" s="3" t="str">
        <f t="shared" si="380"/>
        <v>SÁBADO</v>
      </c>
      <c r="E5900" s="427"/>
      <c r="F5900" s="31">
        <f>IFERROR(VLOOKUP(E5900,BD!$L$2:$Q$244,2,0),0)</f>
        <v>0</v>
      </c>
      <c r="G5900" s="424"/>
      <c r="H5900" s="31">
        <f>+IFERROR(VLOOKUP(E5900,BD!$L$2:$Q$244,6,0),0)</f>
        <v>0</v>
      </c>
      <c r="I5900" s="626">
        <f>IFERROR(G5900*VLOOKUP($E5900,BD!$L$2:$Q$244,5,0),0)</f>
        <v>0</v>
      </c>
      <c r="J5900" s="3">
        <f t="shared" si="381"/>
        <v>1900</v>
      </c>
    </row>
    <row r="5901" spans="1:10" s="9" customFormat="1" x14ac:dyDescent="0.25">
      <c r="A5901" s="447"/>
      <c r="B5901" s="55" t="str">
        <f t="shared" si="378"/>
        <v>ENERO</v>
      </c>
      <c r="C5901" s="55">
        <f t="shared" si="379"/>
        <v>1</v>
      </c>
      <c r="D5901" s="3" t="str">
        <f t="shared" si="380"/>
        <v>SÁBADO</v>
      </c>
      <c r="E5901" s="427"/>
      <c r="F5901" s="31">
        <f>IFERROR(VLOOKUP(E5901,BD!$L$2:$Q$244,2,0),0)</f>
        <v>0</v>
      </c>
      <c r="G5901" s="424"/>
      <c r="H5901" s="31">
        <f>+IFERROR(VLOOKUP(E5901,BD!$L$2:$Q$244,6,0),0)</f>
        <v>0</v>
      </c>
      <c r="I5901" s="626">
        <f>IFERROR(G5901*VLOOKUP($E5901,BD!$L$2:$Q$244,5,0),0)</f>
        <v>0</v>
      </c>
      <c r="J5901" s="3">
        <f t="shared" si="381"/>
        <v>1900</v>
      </c>
    </row>
    <row r="5902" spans="1:10" s="9" customFormat="1" x14ac:dyDescent="0.25">
      <c r="A5902" s="447"/>
      <c r="B5902" s="55" t="str">
        <f t="shared" si="378"/>
        <v>ENERO</v>
      </c>
      <c r="C5902" s="55">
        <f t="shared" si="379"/>
        <v>1</v>
      </c>
      <c r="D5902" s="3" t="str">
        <f t="shared" si="380"/>
        <v>SÁBADO</v>
      </c>
      <c r="E5902" s="427"/>
      <c r="F5902" s="31">
        <f>IFERROR(VLOOKUP(E5902,BD!$L$2:$Q$244,2,0),0)</f>
        <v>0</v>
      </c>
      <c r="G5902" s="424"/>
      <c r="H5902" s="31">
        <f>+IFERROR(VLOOKUP(E5902,BD!$L$2:$Q$244,6,0),0)</f>
        <v>0</v>
      </c>
      <c r="I5902" s="626">
        <f>IFERROR(G5902*VLOOKUP($E5902,BD!$L$2:$Q$244,5,0),0)</f>
        <v>0</v>
      </c>
      <c r="J5902" s="3">
        <f t="shared" si="381"/>
        <v>1900</v>
      </c>
    </row>
    <row r="5903" spans="1:10" s="9" customFormat="1" x14ac:dyDescent="0.25">
      <c r="A5903" s="447"/>
      <c r="B5903" s="55" t="str">
        <f t="shared" si="378"/>
        <v>ENERO</v>
      </c>
      <c r="C5903" s="55">
        <f t="shared" si="379"/>
        <v>1</v>
      </c>
      <c r="D5903" s="3" t="str">
        <f t="shared" si="380"/>
        <v>SÁBADO</v>
      </c>
      <c r="E5903" s="427"/>
      <c r="F5903" s="31">
        <f>IFERROR(VLOOKUP(E5903,BD!$L$2:$Q$244,2,0),0)</f>
        <v>0</v>
      </c>
      <c r="G5903" s="424"/>
      <c r="H5903" s="31">
        <f>+IFERROR(VLOOKUP(E5903,BD!$L$2:$Q$244,6,0),0)</f>
        <v>0</v>
      </c>
      <c r="I5903" s="626">
        <f>IFERROR(G5903*VLOOKUP($E5903,BD!$L$2:$Q$244,5,0),0)</f>
        <v>0</v>
      </c>
      <c r="J5903" s="3">
        <f t="shared" si="381"/>
        <v>1900</v>
      </c>
    </row>
    <row r="5904" spans="1:10" s="9" customFormat="1" x14ac:dyDescent="0.25">
      <c r="A5904" s="447"/>
      <c r="B5904" s="55" t="str">
        <f t="shared" si="378"/>
        <v>ENERO</v>
      </c>
      <c r="C5904" s="55">
        <f t="shared" si="379"/>
        <v>1</v>
      </c>
      <c r="D5904" s="3" t="str">
        <f t="shared" si="380"/>
        <v>SÁBADO</v>
      </c>
      <c r="E5904" s="427"/>
      <c r="F5904" s="31">
        <f>IFERROR(VLOOKUP(E5904,BD!$L$2:$Q$244,2,0),0)</f>
        <v>0</v>
      </c>
      <c r="G5904" s="424"/>
      <c r="H5904" s="31">
        <f>+IFERROR(VLOOKUP(E5904,BD!$L$2:$Q$244,6,0),0)</f>
        <v>0</v>
      </c>
      <c r="I5904" s="626">
        <f>IFERROR(G5904*VLOOKUP($E5904,BD!$L$2:$Q$244,5,0),0)</f>
        <v>0</v>
      </c>
      <c r="J5904" s="3">
        <f t="shared" si="381"/>
        <v>1900</v>
      </c>
    </row>
    <row r="5905" spans="1:10" s="9" customFormat="1" x14ac:dyDescent="0.25">
      <c r="A5905" s="447"/>
      <c r="B5905" s="55" t="str">
        <f t="shared" si="378"/>
        <v>ENERO</v>
      </c>
      <c r="C5905" s="55">
        <f t="shared" si="379"/>
        <v>1</v>
      </c>
      <c r="D5905" s="3" t="str">
        <f t="shared" si="380"/>
        <v>SÁBADO</v>
      </c>
      <c r="E5905" s="427"/>
      <c r="F5905" s="31">
        <f>IFERROR(VLOOKUP(E5905,BD!$L$2:$Q$244,2,0),0)</f>
        <v>0</v>
      </c>
      <c r="G5905" s="424"/>
      <c r="H5905" s="31">
        <f>+IFERROR(VLOOKUP(E5905,BD!$L$2:$Q$244,6,0),0)</f>
        <v>0</v>
      </c>
      <c r="I5905" s="626">
        <f>IFERROR(G5905*VLOOKUP($E5905,BD!$L$2:$Q$244,5,0),0)</f>
        <v>0</v>
      </c>
      <c r="J5905" s="3">
        <f t="shared" si="381"/>
        <v>1900</v>
      </c>
    </row>
    <row r="5906" spans="1:10" s="9" customFormat="1" x14ac:dyDescent="0.25">
      <c r="A5906" s="447"/>
      <c r="B5906" s="55" t="str">
        <f t="shared" si="378"/>
        <v>ENERO</v>
      </c>
      <c r="C5906" s="55">
        <f t="shared" si="379"/>
        <v>1</v>
      </c>
      <c r="D5906" s="3" t="str">
        <f t="shared" si="380"/>
        <v>SÁBADO</v>
      </c>
      <c r="E5906" s="427"/>
      <c r="F5906" s="31">
        <f>IFERROR(VLOOKUP(E5906,BD!$L$2:$Q$244,2,0),0)</f>
        <v>0</v>
      </c>
      <c r="G5906" s="424"/>
      <c r="H5906" s="31">
        <f>+IFERROR(VLOOKUP(E5906,BD!$L$2:$Q$244,6,0),0)</f>
        <v>0</v>
      </c>
      <c r="I5906" s="626">
        <f>IFERROR(G5906*VLOOKUP($E5906,BD!$L$2:$Q$244,5,0),0)</f>
        <v>0</v>
      </c>
      <c r="J5906" s="3">
        <f t="shared" si="381"/>
        <v>1900</v>
      </c>
    </row>
    <row r="5907" spans="1:10" s="9" customFormat="1" x14ac:dyDescent="0.25">
      <c r="A5907" s="447"/>
      <c r="B5907" s="55" t="str">
        <f t="shared" si="378"/>
        <v>ENERO</v>
      </c>
      <c r="C5907" s="55">
        <f t="shared" si="379"/>
        <v>1</v>
      </c>
      <c r="D5907" s="3" t="str">
        <f t="shared" si="380"/>
        <v>SÁBADO</v>
      </c>
      <c r="E5907" s="427"/>
      <c r="F5907" s="31">
        <f>IFERROR(VLOOKUP(E5907,BD!$L$2:$Q$244,2,0),0)</f>
        <v>0</v>
      </c>
      <c r="G5907" s="424"/>
      <c r="H5907" s="31">
        <f>+IFERROR(VLOOKUP(E5907,BD!$L$2:$Q$244,6,0),0)</f>
        <v>0</v>
      </c>
      <c r="I5907" s="626">
        <f>IFERROR(G5907*VLOOKUP($E5907,BD!$L$2:$Q$244,5,0),0)</f>
        <v>0</v>
      </c>
      <c r="J5907" s="3">
        <f t="shared" si="381"/>
        <v>1900</v>
      </c>
    </row>
    <row r="5908" spans="1:10" s="9" customFormat="1" x14ac:dyDescent="0.25">
      <c r="A5908" s="447"/>
      <c r="B5908" s="55" t="str">
        <f t="shared" si="378"/>
        <v>ENERO</v>
      </c>
      <c r="C5908" s="55">
        <f t="shared" si="379"/>
        <v>1</v>
      </c>
      <c r="D5908" s="3" t="str">
        <f t="shared" si="380"/>
        <v>SÁBADO</v>
      </c>
      <c r="E5908" s="427"/>
      <c r="F5908" s="31">
        <f>IFERROR(VLOOKUP(E5908,BD!$L$2:$Q$244,2,0),0)</f>
        <v>0</v>
      </c>
      <c r="G5908" s="424"/>
      <c r="H5908" s="31">
        <f>+IFERROR(VLOOKUP(E5908,BD!$L$2:$Q$244,6,0),0)</f>
        <v>0</v>
      </c>
      <c r="I5908" s="626">
        <f>IFERROR(G5908*VLOOKUP($E5908,BD!$L$2:$Q$244,5,0),0)</f>
        <v>0</v>
      </c>
      <c r="J5908" s="3">
        <f t="shared" si="381"/>
        <v>1900</v>
      </c>
    </row>
    <row r="5909" spans="1:10" s="9" customFormat="1" x14ac:dyDescent="0.25">
      <c r="A5909" s="447"/>
      <c r="B5909" s="55" t="str">
        <f t="shared" si="378"/>
        <v>ENERO</v>
      </c>
      <c r="C5909" s="55">
        <f t="shared" si="379"/>
        <v>1</v>
      </c>
      <c r="D5909" s="3" t="str">
        <f t="shared" si="380"/>
        <v>SÁBADO</v>
      </c>
      <c r="E5909" s="427"/>
      <c r="F5909" s="31">
        <f>IFERROR(VLOOKUP(E5909,BD!$L$2:$Q$244,2,0),0)</f>
        <v>0</v>
      </c>
      <c r="G5909" s="424"/>
      <c r="H5909" s="31">
        <f>+IFERROR(VLOOKUP(E5909,BD!$L$2:$Q$244,6,0),0)</f>
        <v>0</v>
      </c>
      <c r="I5909" s="626">
        <f>IFERROR(G5909*VLOOKUP($E5909,BD!$L$2:$Q$244,5,0),0)</f>
        <v>0</v>
      </c>
      <c r="J5909" s="3">
        <f t="shared" si="381"/>
        <v>1900</v>
      </c>
    </row>
    <row r="5910" spans="1:10" s="9" customFormat="1" x14ac:dyDescent="0.25">
      <c r="A5910" s="447"/>
      <c r="B5910" s="55" t="str">
        <f t="shared" si="378"/>
        <v>ENERO</v>
      </c>
      <c r="C5910" s="55">
        <f t="shared" si="379"/>
        <v>1</v>
      </c>
      <c r="D5910" s="3" t="str">
        <f t="shared" si="380"/>
        <v>SÁBADO</v>
      </c>
      <c r="E5910" s="427"/>
      <c r="F5910" s="31">
        <f>IFERROR(VLOOKUP(E5910,BD!$L$2:$Q$244,2,0),0)</f>
        <v>0</v>
      </c>
      <c r="G5910" s="424"/>
      <c r="H5910" s="31">
        <f>+IFERROR(VLOOKUP(E5910,BD!$L$2:$Q$244,6,0),0)</f>
        <v>0</v>
      </c>
      <c r="I5910" s="626">
        <f>IFERROR(G5910*VLOOKUP($E5910,BD!$L$2:$Q$244,5,0),0)</f>
        <v>0</v>
      </c>
      <c r="J5910" s="3">
        <f t="shared" si="381"/>
        <v>1900</v>
      </c>
    </row>
    <row r="5911" spans="1:10" s="9" customFormat="1" x14ac:dyDescent="0.25">
      <c r="A5911" s="447"/>
      <c r="B5911" s="55" t="str">
        <f t="shared" si="378"/>
        <v>ENERO</v>
      </c>
      <c r="C5911" s="55">
        <f t="shared" si="379"/>
        <v>1</v>
      </c>
      <c r="D5911" s="3" t="str">
        <f t="shared" si="380"/>
        <v>SÁBADO</v>
      </c>
      <c r="E5911" s="427"/>
      <c r="F5911" s="31">
        <f>IFERROR(VLOOKUP(E5911,BD!$L$2:$Q$244,2,0),0)</f>
        <v>0</v>
      </c>
      <c r="G5911" s="424"/>
      <c r="H5911" s="31">
        <f>+IFERROR(VLOOKUP(E5911,BD!$L$2:$Q$244,6,0),0)</f>
        <v>0</v>
      </c>
      <c r="I5911" s="626">
        <f>IFERROR(G5911*VLOOKUP($E5911,BD!$L$2:$Q$244,5,0),0)</f>
        <v>0</v>
      </c>
      <c r="J5911" s="3">
        <f t="shared" si="381"/>
        <v>1900</v>
      </c>
    </row>
    <row r="5912" spans="1:10" s="9" customFormat="1" x14ac:dyDescent="0.25">
      <c r="A5912" s="447"/>
      <c r="B5912" s="55" t="str">
        <f t="shared" si="378"/>
        <v>ENERO</v>
      </c>
      <c r="C5912" s="55">
        <f t="shared" si="379"/>
        <v>1</v>
      </c>
      <c r="D5912" s="3" t="str">
        <f t="shared" si="380"/>
        <v>SÁBADO</v>
      </c>
      <c r="E5912" s="427"/>
      <c r="F5912" s="31">
        <f>IFERROR(VLOOKUP(E5912,BD!$L$2:$Q$244,2,0),0)</f>
        <v>0</v>
      </c>
      <c r="G5912" s="424"/>
      <c r="H5912" s="31">
        <f>+IFERROR(VLOOKUP(E5912,BD!$L$2:$Q$244,6,0),0)</f>
        <v>0</v>
      </c>
      <c r="I5912" s="626">
        <f>IFERROR(G5912*VLOOKUP($E5912,BD!$L$2:$Q$244,5,0),0)</f>
        <v>0</v>
      </c>
      <c r="J5912" s="3">
        <f t="shared" si="381"/>
        <v>1900</v>
      </c>
    </row>
    <row r="5913" spans="1:10" s="9" customFormat="1" x14ac:dyDescent="0.25">
      <c r="A5913" s="447"/>
      <c r="B5913" s="55" t="str">
        <f t="shared" si="378"/>
        <v>ENERO</v>
      </c>
      <c r="C5913" s="55">
        <f t="shared" si="379"/>
        <v>1</v>
      </c>
      <c r="D5913" s="3" t="str">
        <f t="shared" si="380"/>
        <v>SÁBADO</v>
      </c>
      <c r="E5913" s="427"/>
      <c r="F5913" s="31">
        <f>IFERROR(VLOOKUP(E5913,BD!$L$2:$Q$244,2,0),0)</f>
        <v>0</v>
      </c>
      <c r="G5913" s="424"/>
      <c r="H5913" s="31">
        <f>+IFERROR(VLOOKUP(E5913,BD!$L$2:$Q$244,6,0),0)</f>
        <v>0</v>
      </c>
      <c r="I5913" s="626">
        <f>IFERROR(G5913*VLOOKUP($E5913,BD!$L$2:$Q$244,5,0),0)</f>
        <v>0</v>
      </c>
      <c r="J5913" s="3">
        <f t="shared" si="381"/>
        <v>1900</v>
      </c>
    </row>
    <row r="5914" spans="1:10" s="9" customFormat="1" x14ac:dyDescent="0.25">
      <c r="A5914" s="447"/>
      <c r="B5914" s="55" t="str">
        <f t="shared" si="378"/>
        <v>ENERO</v>
      </c>
      <c r="C5914" s="55">
        <f t="shared" si="379"/>
        <v>1</v>
      </c>
      <c r="D5914" s="3" t="str">
        <f t="shared" si="380"/>
        <v>SÁBADO</v>
      </c>
      <c r="E5914" s="427"/>
      <c r="F5914" s="31">
        <f>IFERROR(VLOOKUP(E5914,BD!$L$2:$Q$244,2,0),0)</f>
        <v>0</v>
      </c>
      <c r="G5914" s="424"/>
      <c r="H5914" s="31">
        <f>+IFERROR(VLOOKUP(E5914,BD!$L$2:$Q$244,6,0),0)</f>
        <v>0</v>
      </c>
      <c r="I5914" s="626">
        <f>IFERROR(G5914*VLOOKUP($E5914,BD!$L$2:$Q$244,5,0),0)</f>
        <v>0</v>
      </c>
      <c r="J5914" s="3">
        <f t="shared" si="381"/>
        <v>1900</v>
      </c>
    </row>
    <row r="5915" spans="1:10" s="9" customFormat="1" x14ac:dyDescent="0.25">
      <c r="A5915" s="447"/>
      <c r="B5915" s="55" t="str">
        <f t="shared" si="378"/>
        <v>ENERO</v>
      </c>
      <c r="C5915" s="55">
        <f t="shared" si="379"/>
        <v>1</v>
      </c>
      <c r="D5915" s="3" t="str">
        <f t="shared" si="380"/>
        <v>SÁBADO</v>
      </c>
      <c r="E5915" s="427"/>
      <c r="F5915" s="31">
        <f>IFERROR(VLOOKUP(E5915,BD!$L$2:$Q$244,2,0),0)</f>
        <v>0</v>
      </c>
      <c r="G5915" s="424"/>
      <c r="H5915" s="31">
        <f>+IFERROR(VLOOKUP(E5915,BD!$L$2:$Q$244,6,0),0)</f>
        <v>0</v>
      </c>
      <c r="I5915" s="626">
        <f>IFERROR(G5915*VLOOKUP($E5915,BD!$L$2:$Q$244,5,0),0)</f>
        <v>0</v>
      </c>
      <c r="J5915" s="3">
        <f t="shared" si="381"/>
        <v>1900</v>
      </c>
    </row>
    <row r="5916" spans="1:10" s="9" customFormat="1" x14ac:dyDescent="0.25">
      <c r="A5916" s="447"/>
      <c r="B5916" s="55" t="str">
        <f t="shared" si="378"/>
        <v>ENERO</v>
      </c>
      <c r="C5916" s="55">
        <f t="shared" si="379"/>
        <v>1</v>
      </c>
      <c r="D5916" s="3" t="str">
        <f t="shared" si="380"/>
        <v>SÁBADO</v>
      </c>
      <c r="E5916" s="427"/>
      <c r="F5916" s="31">
        <f>IFERROR(VLOOKUP(E5916,BD!$L$2:$Q$244,2,0),0)</f>
        <v>0</v>
      </c>
      <c r="G5916" s="424"/>
      <c r="H5916" s="31">
        <f>+IFERROR(VLOOKUP(E5916,BD!$L$2:$Q$244,6,0),0)</f>
        <v>0</v>
      </c>
      <c r="I5916" s="626">
        <f>IFERROR(G5916*VLOOKUP($E5916,BD!$L$2:$Q$244,5,0),0)</f>
        <v>0</v>
      </c>
      <c r="J5916" s="3">
        <f t="shared" si="381"/>
        <v>1900</v>
      </c>
    </row>
    <row r="5917" spans="1:10" s="9" customFormat="1" x14ac:dyDescent="0.25">
      <c r="A5917" s="447"/>
      <c r="B5917" s="55" t="str">
        <f t="shared" si="378"/>
        <v>ENERO</v>
      </c>
      <c r="C5917" s="55">
        <f t="shared" si="379"/>
        <v>1</v>
      </c>
      <c r="D5917" s="3" t="str">
        <f t="shared" si="380"/>
        <v>SÁBADO</v>
      </c>
      <c r="E5917" s="427"/>
      <c r="F5917" s="31">
        <f>IFERROR(VLOOKUP(E5917,BD!$L$2:$Q$244,2,0),0)</f>
        <v>0</v>
      </c>
      <c r="G5917" s="424"/>
      <c r="H5917" s="31">
        <f>+IFERROR(VLOOKUP(E5917,BD!$L$2:$Q$244,6,0),0)</f>
        <v>0</v>
      </c>
      <c r="I5917" s="626">
        <f>IFERROR(G5917*VLOOKUP($E5917,BD!$L$2:$Q$244,5,0),0)</f>
        <v>0</v>
      </c>
      <c r="J5917" s="3">
        <f t="shared" si="381"/>
        <v>1900</v>
      </c>
    </row>
    <row r="5918" spans="1:10" s="9" customFormat="1" x14ac:dyDescent="0.25">
      <c r="A5918" s="447"/>
      <c r="B5918" s="55" t="str">
        <f t="shared" si="378"/>
        <v>ENERO</v>
      </c>
      <c r="C5918" s="55">
        <f t="shared" si="379"/>
        <v>1</v>
      </c>
      <c r="D5918" s="3" t="str">
        <f t="shared" si="380"/>
        <v>SÁBADO</v>
      </c>
      <c r="E5918" s="427"/>
      <c r="F5918" s="31">
        <f>IFERROR(VLOOKUP(E5918,BD!$L$2:$Q$244,2,0),0)</f>
        <v>0</v>
      </c>
      <c r="G5918" s="424"/>
      <c r="H5918" s="31">
        <f>+IFERROR(VLOOKUP(E5918,BD!$L$2:$Q$244,6,0),0)</f>
        <v>0</v>
      </c>
      <c r="I5918" s="626">
        <f>IFERROR(G5918*VLOOKUP($E5918,BD!$L$2:$Q$244,5,0),0)</f>
        <v>0</v>
      </c>
      <c r="J5918" s="3">
        <f t="shared" si="381"/>
        <v>1900</v>
      </c>
    </row>
    <row r="5919" spans="1:10" s="9" customFormat="1" x14ac:dyDescent="0.25">
      <c r="A5919" s="447"/>
      <c r="B5919" s="55" t="str">
        <f t="shared" si="378"/>
        <v>ENERO</v>
      </c>
      <c r="C5919" s="55">
        <f t="shared" si="379"/>
        <v>1</v>
      </c>
      <c r="D5919" s="3" t="str">
        <f t="shared" si="380"/>
        <v>SÁBADO</v>
      </c>
      <c r="E5919" s="427"/>
      <c r="F5919" s="31">
        <f>IFERROR(VLOOKUP(E5919,BD!$L$2:$Q$244,2,0),0)</f>
        <v>0</v>
      </c>
      <c r="G5919" s="424"/>
      <c r="H5919" s="31">
        <f>+IFERROR(VLOOKUP(E5919,BD!$L$2:$Q$244,6,0),0)</f>
        <v>0</v>
      </c>
      <c r="I5919" s="626">
        <f>IFERROR(G5919*VLOOKUP($E5919,BD!$L$2:$Q$244,5,0),0)</f>
        <v>0</v>
      </c>
      <c r="J5919" s="3">
        <f t="shared" si="381"/>
        <v>1900</v>
      </c>
    </row>
    <row r="5920" spans="1:10" s="9" customFormat="1" x14ac:dyDescent="0.25">
      <c r="A5920" s="447"/>
      <c r="B5920" s="55" t="str">
        <f t="shared" si="378"/>
        <v>ENERO</v>
      </c>
      <c r="C5920" s="55">
        <f t="shared" si="379"/>
        <v>1</v>
      </c>
      <c r="D5920" s="3" t="str">
        <f t="shared" si="380"/>
        <v>SÁBADO</v>
      </c>
      <c r="E5920" s="427"/>
      <c r="F5920" s="31">
        <f>IFERROR(VLOOKUP(E5920,BD!$L$2:$Q$244,2,0),0)</f>
        <v>0</v>
      </c>
      <c r="G5920" s="424"/>
      <c r="H5920" s="31">
        <f>+IFERROR(VLOOKUP(E5920,BD!$L$2:$Q$244,6,0),0)</f>
        <v>0</v>
      </c>
      <c r="I5920" s="626">
        <f>IFERROR(G5920*VLOOKUP($E5920,BD!$L$2:$Q$244,5,0),0)</f>
        <v>0</v>
      </c>
      <c r="J5920" s="3">
        <f t="shared" si="381"/>
        <v>1900</v>
      </c>
    </row>
    <row r="5921" spans="1:10" s="9" customFormat="1" x14ac:dyDescent="0.25">
      <c r="A5921" s="447"/>
      <c r="B5921" s="55" t="str">
        <f t="shared" si="378"/>
        <v>ENERO</v>
      </c>
      <c r="C5921" s="55">
        <f t="shared" si="379"/>
        <v>1</v>
      </c>
      <c r="D5921" s="3" t="str">
        <f t="shared" si="380"/>
        <v>SÁBADO</v>
      </c>
      <c r="E5921" s="427"/>
      <c r="F5921" s="31">
        <f>IFERROR(VLOOKUP(E5921,BD!$L$2:$Q$244,2,0),0)</f>
        <v>0</v>
      </c>
      <c r="G5921" s="424"/>
      <c r="H5921" s="31">
        <f>+IFERROR(VLOOKUP(E5921,BD!$L$2:$Q$244,6,0),0)</f>
        <v>0</v>
      </c>
      <c r="I5921" s="626">
        <f>IFERROR(G5921*VLOOKUP($E5921,BD!$L$2:$Q$244,5,0),0)</f>
        <v>0</v>
      </c>
      <c r="J5921" s="3">
        <f t="shared" si="381"/>
        <v>1900</v>
      </c>
    </row>
    <row r="5922" spans="1:10" s="9" customFormat="1" x14ac:dyDescent="0.25">
      <c r="A5922" s="447"/>
      <c r="B5922" s="55" t="str">
        <f t="shared" si="378"/>
        <v>ENERO</v>
      </c>
      <c r="C5922" s="55">
        <f t="shared" si="379"/>
        <v>1</v>
      </c>
      <c r="D5922" s="3" t="str">
        <f t="shared" si="380"/>
        <v>SÁBADO</v>
      </c>
      <c r="E5922" s="427"/>
      <c r="F5922" s="31">
        <f>IFERROR(VLOOKUP(E5922,BD!$L$2:$Q$244,2,0),0)</f>
        <v>0</v>
      </c>
      <c r="G5922" s="424"/>
      <c r="H5922" s="31">
        <f>+IFERROR(VLOOKUP(E5922,BD!$L$2:$Q$244,6,0),0)</f>
        <v>0</v>
      </c>
      <c r="I5922" s="626">
        <f>IFERROR(G5922*VLOOKUP($E5922,BD!$L$2:$Q$244,5,0),0)</f>
        <v>0</v>
      </c>
      <c r="J5922" s="3">
        <f t="shared" si="381"/>
        <v>1900</v>
      </c>
    </row>
    <row r="5923" spans="1:10" s="9" customFormat="1" x14ac:dyDescent="0.25">
      <c r="A5923" s="447"/>
      <c r="B5923" s="55" t="str">
        <f t="shared" si="378"/>
        <v>ENERO</v>
      </c>
      <c r="C5923" s="55">
        <f t="shared" si="379"/>
        <v>1</v>
      </c>
      <c r="D5923" s="3" t="str">
        <f t="shared" si="380"/>
        <v>SÁBADO</v>
      </c>
      <c r="E5923" s="427"/>
      <c r="F5923" s="31">
        <f>IFERROR(VLOOKUP(E5923,BD!$L$2:$Q$244,2,0),0)</f>
        <v>0</v>
      </c>
      <c r="G5923" s="424"/>
      <c r="H5923" s="31">
        <f>+IFERROR(VLOOKUP(E5923,BD!$L$2:$Q$244,6,0),0)</f>
        <v>0</v>
      </c>
      <c r="I5923" s="626">
        <f>IFERROR(G5923*VLOOKUP($E5923,BD!$L$2:$Q$244,5,0),0)</f>
        <v>0</v>
      </c>
      <c r="J5923" s="3">
        <f t="shared" si="381"/>
        <v>1900</v>
      </c>
    </row>
    <row r="5924" spans="1:10" s="9" customFormat="1" x14ac:dyDescent="0.25">
      <c r="A5924" s="447"/>
      <c r="B5924" s="55" t="str">
        <f t="shared" si="378"/>
        <v>ENERO</v>
      </c>
      <c r="C5924" s="55">
        <f t="shared" si="379"/>
        <v>1</v>
      </c>
      <c r="D5924" s="3" t="str">
        <f t="shared" si="380"/>
        <v>SÁBADO</v>
      </c>
      <c r="E5924" s="427"/>
      <c r="F5924" s="31">
        <f>IFERROR(VLOOKUP(E5924,BD!$L$2:$Q$244,2,0),0)</f>
        <v>0</v>
      </c>
      <c r="G5924" s="424"/>
      <c r="H5924" s="31">
        <f>+IFERROR(VLOOKUP(E5924,BD!$L$2:$Q$244,6,0),0)</f>
        <v>0</v>
      </c>
      <c r="I5924" s="626">
        <f>IFERROR(G5924*VLOOKUP($E5924,BD!$L$2:$Q$244,5,0),0)</f>
        <v>0</v>
      </c>
      <c r="J5924" s="3">
        <f t="shared" si="381"/>
        <v>1900</v>
      </c>
    </row>
    <row r="5925" spans="1:10" s="9" customFormat="1" x14ac:dyDescent="0.25">
      <c r="A5925" s="447"/>
      <c r="B5925" s="55" t="str">
        <f t="shared" si="378"/>
        <v>ENERO</v>
      </c>
      <c r="C5925" s="55">
        <f t="shared" si="379"/>
        <v>1</v>
      </c>
      <c r="D5925" s="3" t="str">
        <f t="shared" si="380"/>
        <v>SÁBADO</v>
      </c>
      <c r="E5925" s="427"/>
      <c r="F5925" s="31">
        <f>IFERROR(VLOOKUP(E5925,BD!$L$2:$Q$244,2,0),0)</f>
        <v>0</v>
      </c>
      <c r="G5925" s="424"/>
      <c r="H5925" s="31">
        <f>+IFERROR(VLOOKUP(E5925,BD!$L$2:$Q$244,6,0),0)</f>
        <v>0</v>
      </c>
      <c r="I5925" s="626">
        <f>IFERROR(G5925*VLOOKUP($E5925,BD!$L$2:$Q$244,5,0),0)</f>
        <v>0</v>
      </c>
      <c r="J5925" s="3">
        <f t="shared" si="381"/>
        <v>1900</v>
      </c>
    </row>
    <row r="5926" spans="1:10" s="9" customFormat="1" x14ac:dyDescent="0.25">
      <c r="A5926" s="447"/>
      <c r="B5926" s="55" t="str">
        <f t="shared" si="378"/>
        <v>ENERO</v>
      </c>
      <c r="C5926" s="55">
        <f t="shared" si="379"/>
        <v>1</v>
      </c>
      <c r="D5926" s="3" t="str">
        <f t="shared" si="380"/>
        <v>SÁBADO</v>
      </c>
      <c r="E5926" s="427"/>
      <c r="F5926" s="31">
        <f>IFERROR(VLOOKUP(E5926,BD!$L$2:$Q$244,2,0),0)</f>
        <v>0</v>
      </c>
      <c r="G5926" s="424"/>
      <c r="H5926" s="31">
        <f>+IFERROR(VLOOKUP(E5926,BD!$L$2:$Q$244,6,0),0)</f>
        <v>0</v>
      </c>
      <c r="I5926" s="626">
        <f>IFERROR(G5926*VLOOKUP($E5926,BD!$L$2:$Q$244,5,0),0)</f>
        <v>0</v>
      </c>
      <c r="J5926" s="3">
        <f t="shared" si="381"/>
        <v>1900</v>
      </c>
    </row>
    <row r="5927" spans="1:10" s="9" customFormat="1" x14ac:dyDescent="0.25">
      <c r="A5927" s="447"/>
      <c r="B5927" s="55" t="str">
        <f t="shared" si="378"/>
        <v>ENERO</v>
      </c>
      <c r="C5927" s="55">
        <f t="shared" si="379"/>
        <v>1</v>
      </c>
      <c r="D5927" s="3" t="str">
        <f t="shared" si="380"/>
        <v>SÁBADO</v>
      </c>
      <c r="E5927" s="427"/>
      <c r="F5927" s="31">
        <f>IFERROR(VLOOKUP(E5927,BD!$L$2:$Q$244,2,0),0)</f>
        <v>0</v>
      </c>
      <c r="G5927" s="424"/>
      <c r="H5927" s="31">
        <f>+IFERROR(VLOOKUP(E5927,BD!$L$2:$Q$244,6,0),0)</f>
        <v>0</v>
      </c>
      <c r="I5927" s="626">
        <f>IFERROR(G5927*VLOOKUP($E5927,BD!$L$2:$Q$244,5,0),0)</f>
        <v>0</v>
      </c>
      <c r="J5927" s="3">
        <f t="shared" si="381"/>
        <v>1900</v>
      </c>
    </row>
    <row r="5928" spans="1:10" s="9" customFormat="1" x14ac:dyDescent="0.25">
      <c r="A5928" s="447"/>
      <c r="B5928" s="55" t="str">
        <f t="shared" si="378"/>
        <v>ENERO</v>
      </c>
      <c r="C5928" s="55">
        <f t="shared" si="379"/>
        <v>1</v>
      </c>
      <c r="D5928" s="3" t="str">
        <f t="shared" si="380"/>
        <v>SÁBADO</v>
      </c>
      <c r="E5928" s="427"/>
      <c r="F5928" s="31">
        <f>IFERROR(VLOOKUP(E5928,BD!$L$2:$Q$244,2,0),0)</f>
        <v>0</v>
      </c>
      <c r="G5928" s="424"/>
      <c r="H5928" s="31">
        <f>+IFERROR(VLOOKUP(E5928,BD!$L$2:$Q$244,6,0),0)</f>
        <v>0</v>
      </c>
      <c r="I5928" s="626">
        <f>IFERROR(G5928*VLOOKUP($E5928,BD!$L$2:$Q$244,5,0),0)</f>
        <v>0</v>
      </c>
      <c r="J5928" s="3">
        <f t="shared" si="381"/>
        <v>1900</v>
      </c>
    </row>
    <row r="5929" spans="1:10" s="9" customFormat="1" x14ac:dyDescent="0.25">
      <c r="A5929" s="447"/>
      <c r="B5929" s="55" t="str">
        <f t="shared" si="378"/>
        <v>ENERO</v>
      </c>
      <c r="C5929" s="55">
        <f t="shared" si="379"/>
        <v>1</v>
      </c>
      <c r="D5929" s="3" t="str">
        <f t="shared" si="380"/>
        <v>SÁBADO</v>
      </c>
      <c r="E5929" s="427"/>
      <c r="F5929" s="31">
        <f>IFERROR(VLOOKUP(E5929,BD!$L$2:$Q$244,2,0),0)</f>
        <v>0</v>
      </c>
      <c r="G5929" s="424"/>
      <c r="H5929" s="31">
        <f>+IFERROR(VLOOKUP(E5929,BD!$L$2:$Q$244,6,0),0)</f>
        <v>0</v>
      </c>
      <c r="I5929" s="626">
        <f>IFERROR(G5929*VLOOKUP($E5929,BD!$L$2:$Q$244,5,0),0)</f>
        <v>0</v>
      </c>
      <c r="J5929" s="3">
        <f t="shared" si="381"/>
        <v>1900</v>
      </c>
    </row>
    <row r="5930" spans="1:10" s="9" customFormat="1" x14ac:dyDescent="0.25">
      <c r="A5930" s="447"/>
      <c r="B5930" s="55" t="str">
        <f t="shared" si="378"/>
        <v>ENERO</v>
      </c>
      <c r="C5930" s="55">
        <f t="shared" si="379"/>
        <v>1</v>
      </c>
      <c r="D5930" s="3" t="str">
        <f t="shared" si="380"/>
        <v>SÁBADO</v>
      </c>
      <c r="E5930" s="427"/>
      <c r="F5930" s="31">
        <f>IFERROR(VLOOKUP(E5930,BD!$L$2:$Q$244,2,0),0)</f>
        <v>0</v>
      </c>
      <c r="G5930" s="424"/>
      <c r="H5930" s="31">
        <f>+IFERROR(VLOOKUP(E5930,BD!$L$2:$Q$244,6,0),0)</f>
        <v>0</v>
      </c>
      <c r="I5930" s="626">
        <f>IFERROR(G5930*VLOOKUP($E5930,BD!$L$2:$Q$244,5,0),0)</f>
        <v>0</v>
      </c>
      <c r="J5930" s="3">
        <f t="shared" si="381"/>
        <v>1900</v>
      </c>
    </row>
    <row r="5931" spans="1:10" s="9" customFormat="1" x14ac:dyDescent="0.25">
      <c r="A5931" s="447"/>
      <c r="B5931" s="55" t="str">
        <f t="shared" si="378"/>
        <v>ENERO</v>
      </c>
      <c r="C5931" s="55">
        <f t="shared" si="379"/>
        <v>1</v>
      </c>
      <c r="D5931" s="3" t="str">
        <f t="shared" si="380"/>
        <v>SÁBADO</v>
      </c>
      <c r="E5931" s="427"/>
      <c r="F5931" s="31">
        <f>IFERROR(VLOOKUP(E5931,BD!$L$2:$Q$244,2,0),0)</f>
        <v>0</v>
      </c>
      <c r="G5931" s="424"/>
      <c r="H5931" s="31">
        <f>+IFERROR(VLOOKUP(E5931,BD!$L$2:$Q$244,6,0),0)</f>
        <v>0</v>
      </c>
      <c r="I5931" s="626">
        <f>IFERROR(G5931*VLOOKUP($E5931,BD!$L$2:$Q$244,5,0),0)</f>
        <v>0</v>
      </c>
      <c r="J5931" s="3">
        <f t="shared" si="381"/>
        <v>1900</v>
      </c>
    </row>
    <row r="5932" spans="1:10" s="9" customFormat="1" x14ac:dyDescent="0.25">
      <c r="A5932" s="447"/>
      <c r="B5932" s="55" t="str">
        <f t="shared" si="378"/>
        <v>ENERO</v>
      </c>
      <c r="C5932" s="55">
        <f t="shared" si="379"/>
        <v>1</v>
      </c>
      <c r="D5932" s="3" t="str">
        <f t="shared" si="380"/>
        <v>SÁBADO</v>
      </c>
      <c r="E5932" s="427"/>
      <c r="F5932" s="31">
        <f>IFERROR(VLOOKUP(E5932,BD!$L$2:$Q$244,2,0),0)</f>
        <v>0</v>
      </c>
      <c r="G5932" s="424"/>
      <c r="H5932" s="31">
        <f>+IFERROR(VLOOKUP(E5932,BD!$L$2:$Q$244,6,0),0)</f>
        <v>0</v>
      </c>
      <c r="I5932" s="626">
        <f>IFERROR(G5932*VLOOKUP($E5932,BD!$L$2:$Q$244,5,0),0)</f>
        <v>0</v>
      </c>
      <c r="J5932" s="3">
        <f t="shared" si="381"/>
        <v>1900</v>
      </c>
    </row>
    <row r="5933" spans="1:10" s="9" customFormat="1" x14ac:dyDescent="0.25">
      <c r="A5933" s="447"/>
      <c r="B5933" s="55" t="str">
        <f t="shared" si="378"/>
        <v>ENERO</v>
      </c>
      <c r="C5933" s="55">
        <f t="shared" si="379"/>
        <v>1</v>
      </c>
      <c r="D5933" s="3" t="str">
        <f t="shared" si="380"/>
        <v>SÁBADO</v>
      </c>
      <c r="E5933" s="427"/>
      <c r="F5933" s="31">
        <f>IFERROR(VLOOKUP(E5933,BD!$L$2:$Q$244,2,0),0)</f>
        <v>0</v>
      </c>
      <c r="G5933" s="424"/>
      <c r="H5933" s="31">
        <f>+IFERROR(VLOOKUP(E5933,BD!$L$2:$Q$244,6,0),0)</f>
        <v>0</v>
      </c>
      <c r="I5933" s="626">
        <f>IFERROR(G5933*VLOOKUP($E5933,BD!$L$2:$Q$244,5,0),0)</f>
        <v>0</v>
      </c>
      <c r="J5933" s="3">
        <f t="shared" si="381"/>
        <v>1900</v>
      </c>
    </row>
    <row r="5934" spans="1:10" s="9" customFormat="1" x14ac:dyDescent="0.25">
      <c r="A5934" s="447"/>
      <c r="B5934" s="55" t="str">
        <f t="shared" si="378"/>
        <v>ENERO</v>
      </c>
      <c r="C5934" s="55">
        <f t="shared" si="379"/>
        <v>1</v>
      </c>
      <c r="D5934" s="3" t="str">
        <f t="shared" si="380"/>
        <v>SÁBADO</v>
      </c>
      <c r="E5934" s="427"/>
      <c r="F5934" s="31">
        <f>IFERROR(VLOOKUP(E5934,BD!$L$2:$Q$244,2,0),0)</f>
        <v>0</v>
      </c>
      <c r="G5934" s="424"/>
      <c r="H5934" s="31">
        <f>+IFERROR(VLOOKUP(E5934,BD!$L$2:$Q$244,6,0),0)</f>
        <v>0</v>
      </c>
      <c r="I5934" s="626">
        <f>IFERROR(G5934*VLOOKUP($E5934,BD!$L$2:$Q$244,5,0),0)</f>
        <v>0</v>
      </c>
      <c r="J5934" s="3">
        <f t="shared" si="381"/>
        <v>1900</v>
      </c>
    </row>
    <row r="5935" spans="1:10" s="9" customFormat="1" x14ac:dyDescent="0.25">
      <c r="A5935" s="447"/>
      <c r="B5935" s="55" t="str">
        <f t="shared" si="378"/>
        <v>ENERO</v>
      </c>
      <c r="C5935" s="55">
        <f t="shared" si="379"/>
        <v>1</v>
      </c>
      <c r="D5935" s="3" t="str">
        <f t="shared" si="380"/>
        <v>SÁBADO</v>
      </c>
      <c r="E5935" s="427"/>
      <c r="F5935" s="31">
        <f>IFERROR(VLOOKUP(E5935,BD!$L$2:$Q$244,2,0),0)</f>
        <v>0</v>
      </c>
      <c r="G5935" s="424"/>
      <c r="H5935" s="31">
        <f>+IFERROR(VLOOKUP(E5935,BD!$L$2:$Q$244,6,0),0)</f>
        <v>0</v>
      </c>
      <c r="I5935" s="626">
        <f>IFERROR(G5935*VLOOKUP($E5935,BD!$L$2:$Q$244,5,0),0)</f>
        <v>0</v>
      </c>
      <c r="J5935" s="3">
        <f t="shared" si="381"/>
        <v>1900</v>
      </c>
    </row>
    <row r="5936" spans="1:10" s="9" customFormat="1" x14ac:dyDescent="0.25">
      <c r="A5936" s="447"/>
      <c r="B5936" s="55" t="str">
        <f t="shared" si="378"/>
        <v>ENERO</v>
      </c>
      <c r="C5936" s="55">
        <f t="shared" si="379"/>
        <v>1</v>
      </c>
      <c r="D5936" s="3" t="str">
        <f t="shared" si="380"/>
        <v>SÁBADO</v>
      </c>
      <c r="E5936" s="427"/>
      <c r="F5936" s="31">
        <f>IFERROR(VLOOKUP(E5936,BD!$L$2:$Q$244,2,0),0)</f>
        <v>0</v>
      </c>
      <c r="G5936" s="424"/>
      <c r="H5936" s="31">
        <f>+IFERROR(VLOOKUP(E5936,BD!$L$2:$Q$244,6,0),0)</f>
        <v>0</v>
      </c>
      <c r="I5936" s="626">
        <f>IFERROR(G5936*VLOOKUP($E5936,BD!$L$2:$Q$244,5,0),0)</f>
        <v>0</v>
      </c>
      <c r="J5936" s="3">
        <f t="shared" si="381"/>
        <v>1900</v>
      </c>
    </row>
    <row r="5937" spans="1:10" s="9" customFormat="1" x14ac:dyDescent="0.25">
      <c r="A5937" s="447"/>
      <c r="B5937" s="55" t="str">
        <f t="shared" si="378"/>
        <v>ENERO</v>
      </c>
      <c r="C5937" s="55">
        <f t="shared" si="379"/>
        <v>1</v>
      </c>
      <c r="D5937" s="3" t="str">
        <f t="shared" si="380"/>
        <v>SÁBADO</v>
      </c>
      <c r="E5937" s="427"/>
      <c r="F5937" s="31">
        <f>IFERROR(VLOOKUP(E5937,BD!$L$2:$Q$244,2,0),0)</f>
        <v>0</v>
      </c>
      <c r="G5937" s="424"/>
      <c r="H5937" s="31">
        <f>+IFERROR(VLOOKUP(E5937,BD!$L$2:$Q$244,6,0),0)</f>
        <v>0</v>
      </c>
      <c r="I5937" s="626">
        <f>IFERROR(G5937*VLOOKUP($E5937,BD!$L$2:$Q$244,5,0),0)</f>
        <v>0</v>
      </c>
      <c r="J5937" s="3">
        <f t="shared" si="381"/>
        <v>1900</v>
      </c>
    </row>
    <row r="5938" spans="1:10" s="9" customFormat="1" x14ac:dyDescent="0.25">
      <c r="A5938" s="447"/>
      <c r="B5938" s="55" t="str">
        <f t="shared" si="378"/>
        <v>ENERO</v>
      </c>
      <c r="C5938" s="55">
        <f t="shared" si="379"/>
        <v>1</v>
      </c>
      <c r="D5938" s="3" t="str">
        <f t="shared" si="380"/>
        <v>SÁBADO</v>
      </c>
      <c r="E5938" s="427"/>
      <c r="F5938" s="31">
        <f>IFERROR(VLOOKUP(E5938,BD!$L$2:$Q$244,2,0),0)</f>
        <v>0</v>
      </c>
      <c r="G5938" s="424"/>
      <c r="H5938" s="31">
        <f>+IFERROR(VLOOKUP(E5938,BD!$L$2:$Q$244,6,0),0)</f>
        <v>0</v>
      </c>
      <c r="I5938" s="626">
        <f>IFERROR(G5938*VLOOKUP($E5938,BD!$L$2:$Q$244,5,0),0)</f>
        <v>0</v>
      </c>
      <c r="J5938" s="3">
        <f t="shared" si="381"/>
        <v>1900</v>
      </c>
    </row>
    <row r="5939" spans="1:10" s="9" customFormat="1" x14ac:dyDescent="0.25">
      <c r="A5939" s="447"/>
      <c r="B5939" s="55" t="str">
        <f t="shared" si="378"/>
        <v>ENERO</v>
      </c>
      <c r="C5939" s="55">
        <f t="shared" si="379"/>
        <v>1</v>
      </c>
      <c r="D5939" s="3" t="str">
        <f t="shared" si="380"/>
        <v>SÁBADO</v>
      </c>
      <c r="E5939" s="427"/>
      <c r="F5939" s="31">
        <f>IFERROR(VLOOKUP(E5939,BD!$L$2:$Q$244,2,0),0)</f>
        <v>0</v>
      </c>
      <c r="G5939" s="424"/>
      <c r="H5939" s="31">
        <f>+IFERROR(VLOOKUP(E5939,BD!$L$2:$Q$244,6,0),0)</f>
        <v>0</v>
      </c>
      <c r="I5939" s="626">
        <f>IFERROR(G5939*VLOOKUP($E5939,BD!$L$2:$Q$244,5,0),0)</f>
        <v>0</v>
      </c>
      <c r="J5939" s="3">
        <f t="shared" si="381"/>
        <v>1900</v>
      </c>
    </row>
    <row r="5940" spans="1:10" s="9" customFormat="1" x14ac:dyDescent="0.25">
      <c r="A5940" s="447"/>
      <c r="B5940" s="55" t="str">
        <f t="shared" si="378"/>
        <v>ENERO</v>
      </c>
      <c r="C5940" s="55">
        <f t="shared" si="379"/>
        <v>1</v>
      </c>
      <c r="D5940" s="3" t="str">
        <f t="shared" si="380"/>
        <v>SÁBADO</v>
      </c>
      <c r="E5940" s="427"/>
      <c r="F5940" s="31">
        <f>IFERROR(VLOOKUP(E5940,BD!$L$2:$Q$244,2,0),0)</f>
        <v>0</v>
      </c>
      <c r="G5940" s="424"/>
      <c r="H5940" s="31">
        <f>+IFERROR(VLOOKUP(E5940,BD!$L$2:$Q$244,6,0),0)</f>
        <v>0</v>
      </c>
      <c r="I5940" s="626">
        <f>IFERROR(G5940*VLOOKUP($E5940,BD!$L$2:$Q$244,5,0),0)</f>
        <v>0</v>
      </c>
      <c r="J5940" s="3">
        <f t="shared" si="381"/>
        <v>1900</v>
      </c>
    </row>
    <row r="5941" spans="1:10" s="9" customFormat="1" x14ac:dyDescent="0.25">
      <c r="A5941" s="447"/>
      <c r="B5941" s="55" t="str">
        <f t="shared" si="378"/>
        <v>ENERO</v>
      </c>
      <c r="C5941" s="55">
        <f t="shared" si="379"/>
        <v>1</v>
      </c>
      <c r="D5941" s="3" t="str">
        <f t="shared" si="380"/>
        <v>SÁBADO</v>
      </c>
      <c r="E5941" s="427"/>
      <c r="F5941" s="31">
        <f>IFERROR(VLOOKUP(E5941,BD!$L$2:$Q$244,2,0),0)</f>
        <v>0</v>
      </c>
      <c r="G5941" s="424"/>
      <c r="H5941" s="31">
        <f>+IFERROR(VLOOKUP(E5941,BD!$L$2:$Q$244,6,0),0)</f>
        <v>0</v>
      </c>
      <c r="I5941" s="626">
        <f>IFERROR(G5941*VLOOKUP($E5941,BD!$L$2:$Q$244,5,0),0)</f>
        <v>0</v>
      </c>
      <c r="J5941" s="3">
        <f t="shared" si="381"/>
        <v>1900</v>
      </c>
    </row>
    <row r="5942" spans="1:10" s="9" customFormat="1" x14ac:dyDescent="0.25">
      <c r="A5942" s="447"/>
      <c r="B5942" s="55" t="str">
        <f t="shared" si="378"/>
        <v>ENERO</v>
      </c>
      <c r="C5942" s="55">
        <f t="shared" si="379"/>
        <v>1</v>
      </c>
      <c r="D5942" s="3" t="str">
        <f t="shared" si="380"/>
        <v>SÁBADO</v>
      </c>
      <c r="E5942" s="427"/>
      <c r="F5942" s="31">
        <f>IFERROR(VLOOKUP(E5942,BD!$L$2:$Q$244,2,0),0)</f>
        <v>0</v>
      </c>
      <c r="G5942" s="424"/>
      <c r="H5942" s="31">
        <f>+IFERROR(VLOOKUP(E5942,BD!$L$2:$Q$244,6,0),0)</f>
        <v>0</v>
      </c>
      <c r="I5942" s="626">
        <f>IFERROR(G5942*VLOOKUP($E5942,BD!$L$2:$Q$244,5,0),0)</f>
        <v>0</v>
      </c>
      <c r="J5942" s="3">
        <f t="shared" si="381"/>
        <v>1900</v>
      </c>
    </row>
    <row r="5943" spans="1:10" s="9" customFormat="1" x14ac:dyDescent="0.25">
      <c r="A5943" s="447"/>
      <c r="B5943" s="55" t="str">
        <f t="shared" si="378"/>
        <v>ENERO</v>
      </c>
      <c r="C5943" s="55">
        <f t="shared" si="379"/>
        <v>1</v>
      </c>
      <c r="D5943" s="3" t="str">
        <f t="shared" si="380"/>
        <v>SÁBADO</v>
      </c>
      <c r="E5943" s="427"/>
      <c r="F5943" s="31">
        <f>IFERROR(VLOOKUP(E5943,BD!$L$2:$Q$244,2,0),0)</f>
        <v>0</v>
      </c>
      <c r="G5943" s="424"/>
      <c r="H5943" s="31">
        <f>+IFERROR(VLOOKUP(E5943,BD!$L$2:$Q$244,6,0),0)</f>
        <v>0</v>
      </c>
      <c r="I5943" s="626">
        <f>IFERROR(G5943*VLOOKUP($E5943,BD!$L$2:$Q$244,5,0),0)</f>
        <v>0</v>
      </c>
      <c r="J5943" s="3">
        <f t="shared" si="381"/>
        <v>1900</v>
      </c>
    </row>
    <row r="5944" spans="1:10" s="9" customFormat="1" x14ac:dyDescent="0.25">
      <c r="A5944" s="447"/>
      <c r="B5944" s="55" t="str">
        <f t="shared" si="378"/>
        <v>ENERO</v>
      </c>
      <c r="C5944" s="55">
        <f t="shared" si="379"/>
        <v>1</v>
      </c>
      <c r="D5944" s="3" t="str">
        <f t="shared" si="380"/>
        <v>SÁBADO</v>
      </c>
      <c r="E5944" s="427"/>
      <c r="F5944" s="31">
        <f>IFERROR(VLOOKUP(E5944,BD!$L$2:$Q$244,2,0),0)</f>
        <v>0</v>
      </c>
      <c r="G5944" s="424"/>
      <c r="H5944" s="31">
        <f>+IFERROR(VLOOKUP(E5944,BD!$L$2:$Q$244,6,0),0)</f>
        <v>0</v>
      </c>
      <c r="I5944" s="626">
        <f>IFERROR(G5944*VLOOKUP($E5944,BD!$L$2:$Q$244,5,0),0)</f>
        <v>0</v>
      </c>
      <c r="J5944" s="3">
        <f t="shared" si="381"/>
        <v>1900</v>
      </c>
    </row>
    <row r="5945" spans="1:10" s="9" customFormat="1" x14ac:dyDescent="0.25">
      <c r="A5945" s="447"/>
      <c r="B5945" s="55" t="str">
        <f t="shared" si="378"/>
        <v>ENERO</v>
      </c>
      <c r="C5945" s="55">
        <f t="shared" si="379"/>
        <v>1</v>
      </c>
      <c r="D5945" s="3" t="str">
        <f t="shared" si="380"/>
        <v>SÁBADO</v>
      </c>
      <c r="E5945" s="427"/>
      <c r="F5945" s="31">
        <f>IFERROR(VLOOKUP(E5945,BD!$L$2:$Q$244,2,0),0)</f>
        <v>0</v>
      </c>
      <c r="G5945" s="424"/>
      <c r="H5945" s="31">
        <f>+IFERROR(VLOOKUP(E5945,BD!$L$2:$Q$244,6,0),0)</f>
        <v>0</v>
      </c>
      <c r="I5945" s="626">
        <f>IFERROR(G5945*VLOOKUP($E5945,BD!$L$2:$Q$244,5,0),0)</f>
        <v>0</v>
      </c>
      <c r="J5945" s="3">
        <f t="shared" si="381"/>
        <v>1900</v>
      </c>
    </row>
    <row r="5946" spans="1:10" s="9" customFormat="1" x14ac:dyDescent="0.25">
      <c r="A5946" s="447"/>
      <c r="B5946" s="55" t="str">
        <f t="shared" si="378"/>
        <v>ENERO</v>
      </c>
      <c r="C5946" s="55">
        <f t="shared" si="379"/>
        <v>1</v>
      </c>
      <c r="D5946" s="3" t="str">
        <f t="shared" si="380"/>
        <v>SÁBADO</v>
      </c>
      <c r="E5946" s="427"/>
      <c r="F5946" s="31">
        <f>IFERROR(VLOOKUP(E5946,BD!$L$2:$Q$244,2,0),0)</f>
        <v>0</v>
      </c>
      <c r="G5946" s="424"/>
      <c r="H5946" s="31">
        <f>+IFERROR(VLOOKUP(E5946,BD!$L$2:$Q$244,6,0),0)</f>
        <v>0</v>
      </c>
      <c r="I5946" s="626">
        <f>IFERROR(G5946*VLOOKUP($E5946,BD!$L$2:$Q$244,5,0),0)</f>
        <v>0</v>
      </c>
      <c r="J5946" s="3">
        <f t="shared" si="381"/>
        <v>1900</v>
      </c>
    </row>
    <row r="5947" spans="1:10" s="9" customFormat="1" x14ac:dyDescent="0.25">
      <c r="A5947" s="447"/>
      <c r="B5947" s="55" t="str">
        <f t="shared" si="378"/>
        <v>ENERO</v>
      </c>
      <c r="C5947" s="55">
        <f t="shared" si="379"/>
        <v>1</v>
      </c>
      <c r="D5947" s="3" t="str">
        <f t="shared" si="380"/>
        <v>SÁBADO</v>
      </c>
      <c r="E5947" s="427"/>
      <c r="F5947" s="31">
        <f>IFERROR(VLOOKUP(E5947,BD!$L$2:$Q$244,2,0),0)</f>
        <v>0</v>
      </c>
      <c r="G5947" s="424"/>
      <c r="H5947" s="31">
        <f>+IFERROR(VLOOKUP(E5947,BD!$L$2:$Q$244,6,0),0)</f>
        <v>0</v>
      </c>
      <c r="I5947" s="626">
        <f>IFERROR(G5947*VLOOKUP($E5947,BD!$L$2:$Q$244,5,0),0)</f>
        <v>0</v>
      </c>
      <c r="J5947" s="3">
        <f t="shared" si="381"/>
        <v>1900</v>
      </c>
    </row>
    <row r="5948" spans="1:10" s="9" customFormat="1" x14ac:dyDescent="0.25">
      <c r="A5948" s="447"/>
      <c r="B5948" s="55" t="str">
        <f t="shared" si="378"/>
        <v>ENERO</v>
      </c>
      <c r="C5948" s="55">
        <f t="shared" si="379"/>
        <v>1</v>
      </c>
      <c r="D5948" s="3" t="str">
        <f t="shared" si="380"/>
        <v>SÁBADO</v>
      </c>
      <c r="E5948" s="427"/>
      <c r="F5948" s="31">
        <f>IFERROR(VLOOKUP(E5948,BD!$L$2:$Q$244,2,0),0)</f>
        <v>0</v>
      </c>
      <c r="G5948" s="424"/>
      <c r="H5948" s="31">
        <f>+IFERROR(VLOOKUP(E5948,BD!$L$2:$Q$244,6,0),0)</f>
        <v>0</v>
      </c>
      <c r="I5948" s="626">
        <f>IFERROR(G5948*VLOOKUP($E5948,BD!$L$2:$Q$244,5,0),0)</f>
        <v>0</v>
      </c>
      <c r="J5948" s="3">
        <f t="shared" si="381"/>
        <v>1900</v>
      </c>
    </row>
    <row r="5949" spans="1:10" s="9" customFormat="1" x14ac:dyDescent="0.25">
      <c r="A5949" s="447"/>
      <c r="B5949" s="55" t="str">
        <f t="shared" ref="B5949:B6012" si="382">UPPER(TEXT(A5949,"MMMM"))</f>
        <v>ENERO</v>
      </c>
      <c r="C5949" s="55">
        <f t="shared" ref="C5949:C6012" si="383">WEEKNUM(A5949,16)</f>
        <v>1</v>
      </c>
      <c r="D5949" s="3" t="str">
        <f t="shared" ref="D5949:D6012" si="384">UPPER(TEXT(A5949,"DDDD"))</f>
        <v>SÁBADO</v>
      </c>
      <c r="E5949" s="427"/>
      <c r="F5949" s="31">
        <f>IFERROR(VLOOKUP(E5949,BD!$L$2:$Q$244,2,0),0)</f>
        <v>0</v>
      </c>
      <c r="G5949" s="424"/>
      <c r="H5949" s="31">
        <f>+IFERROR(VLOOKUP(E5949,BD!$L$2:$Q$244,6,0),0)</f>
        <v>0</v>
      </c>
      <c r="I5949" s="626">
        <f>IFERROR(G5949*VLOOKUP($E5949,BD!$L$2:$Q$244,5,0),0)</f>
        <v>0</v>
      </c>
      <c r="J5949" s="3">
        <f t="shared" ref="J5949:J6012" si="385">+YEAR(A5949)</f>
        <v>1900</v>
      </c>
    </row>
    <row r="5950" spans="1:10" s="9" customFormat="1" x14ac:dyDescent="0.25">
      <c r="A5950" s="447"/>
      <c r="B5950" s="55" t="str">
        <f t="shared" si="382"/>
        <v>ENERO</v>
      </c>
      <c r="C5950" s="55">
        <f t="shared" si="383"/>
        <v>1</v>
      </c>
      <c r="D5950" s="3" t="str">
        <f t="shared" si="384"/>
        <v>SÁBADO</v>
      </c>
      <c r="E5950" s="427"/>
      <c r="F5950" s="31">
        <f>IFERROR(VLOOKUP(E5950,BD!$L$2:$Q$244,2,0),0)</f>
        <v>0</v>
      </c>
      <c r="G5950" s="424"/>
      <c r="H5950" s="31">
        <f>+IFERROR(VLOOKUP(E5950,BD!$L$2:$Q$244,6,0),0)</f>
        <v>0</v>
      </c>
      <c r="I5950" s="626">
        <f>IFERROR(G5950*VLOOKUP($E5950,BD!$L$2:$Q$244,5,0),0)</f>
        <v>0</v>
      </c>
      <c r="J5950" s="3">
        <f t="shared" si="385"/>
        <v>1900</v>
      </c>
    </row>
    <row r="5951" spans="1:10" s="9" customFormat="1" x14ac:dyDescent="0.25">
      <c r="A5951" s="447"/>
      <c r="B5951" s="55" t="str">
        <f t="shared" si="382"/>
        <v>ENERO</v>
      </c>
      <c r="C5951" s="55">
        <f t="shared" si="383"/>
        <v>1</v>
      </c>
      <c r="D5951" s="3" t="str">
        <f t="shared" si="384"/>
        <v>SÁBADO</v>
      </c>
      <c r="E5951" s="427"/>
      <c r="F5951" s="31">
        <f>IFERROR(VLOOKUP(E5951,BD!$L$2:$Q$244,2,0),0)</f>
        <v>0</v>
      </c>
      <c r="G5951" s="424"/>
      <c r="H5951" s="31">
        <f>+IFERROR(VLOOKUP(E5951,BD!$L$2:$Q$244,6,0),0)</f>
        <v>0</v>
      </c>
      <c r="I5951" s="626">
        <f>IFERROR(G5951*VLOOKUP($E5951,BD!$L$2:$Q$244,5,0),0)</f>
        <v>0</v>
      </c>
      <c r="J5951" s="3">
        <f t="shared" si="385"/>
        <v>1900</v>
      </c>
    </row>
    <row r="5952" spans="1:10" s="9" customFormat="1" x14ac:dyDescent="0.25">
      <c r="A5952" s="447"/>
      <c r="B5952" s="55" t="str">
        <f t="shared" si="382"/>
        <v>ENERO</v>
      </c>
      <c r="C5952" s="55">
        <f t="shared" si="383"/>
        <v>1</v>
      </c>
      <c r="D5952" s="3" t="str">
        <f t="shared" si="384"/>
        <v>SÁBADO</v>
      </c>
      <c r="E5952" s="427"/>
      <c r="F5952" s="31">
        <f>IFERROR(VLOOKUP(E5952,BD!$L$2:$Q$244,2,0),0)</f>
        <v>0</v>
      </c>
      <c r="G5952" s="424"/>
      <c r="H5952" s="31">
        <f>+IFERROR(VLOOKUP(E5952,BD!$L$2:$Q$244,6,0),0)</f>
        <v>0</v>
      </c>
      <c r="I5952" s="626">
        <f>IFERROR(G5952*VLOOKUP($E5952,BD!$L$2:$Q$244,5,0),0)</f>
        <v>0</v>
      </c>
      <c r="J5952" s="3">
        <f t="shared" si="385"/>
        <v>1900</v>
      </c>
    </row>
    <row r="5953" spans="1:10" s="9" customFormat="1" x14ac:dyDescent="0.25">
      <c r="A5953" s="447"/>
      <c r="B5953" s="55" t="str">
        <f t="shared" si="382"/>
        <v>ENERO</v>
      </c>
      <c r="C5953" s="55">
        <f t="shared" si="383"/>
        <v>1</v>
      </c>
      <c r="D5953" s="3" t="str">
        <f t="shared" si="384"/>
        <v>SÁBADO</v>
      </c>
      <c r="E5953" s="427"/>
      <c r="F5953" s="31">
        <f>IFERROR(VLOOKUP(E5953,BD!$L$2:$Q$244,2,0),0)</f>
        <v>0</v>
      </c>
      <c r="G5953" s="424"/>
      <c r="H5953" s="31">
        <f>+IFERROR(VLOOKUP(E5953,BD!$L$2:$Q$244,6,0),0)</f>
        <v>0</v>
      </c>
      <c r="I5953" s="626">
        <f>IFERROR(G5953*VLOOKUP($E5953,BD!$L$2:$Q$244,5,0),0)</f>
        <v>0</v>
      </c>
      <c r="J5953" s="3">
        <f t="shared" si="385"/>
        <v>1900</v>
      </c>
    </row>
    <row r="5954" spans="1:10" s="9" customFormat="1" x14ac:dyDescent="0.25">
      <c r="A5954" s="447"/>
      <c r="B5954" s="55" t="str">
        <f t="shared" si="382"/>
        <v>ENERO</v>
      </c>
      <c r="C5954" s="55">
        <f t="shared" si="383"/>
        <v>1</v>
      </c>
      <c r="D5954" s="3" t="str">
        <f t="shared" si="384"/>
        <v>SÁBADO</v>
      </c>
      <c r="E5954" s="427"/>
      <c r="F5954" s="31">
        <f>IFERROR(VLOOKUP(E5954,BD!$L$2:$Q$244,2,0),0)</f>
        <v>0</v>
      </c>
      <c r="G5954" s="424"/>
      <c r="H5954" s="31">
        <f>+IFERROR(VLOOKUP(E5954,BD!$L$2:$Q$244,6,0),0)</f>
        <v>0</v>
      </c>
      <c r="I5954" s="626">
        <f>IFERROR(G5954*VLOOKUP($E5954,BD!$L$2:$Q$244,5,0),0)</f>
        <v>0</v>
      </c>
      <c r="J5954" s="3">
        <f t="shared" si="385"/>
        <v>1900</v>
      </c>
    </row>
    <row r="5955" spans="1:10" s="9" customFormat="1" x14ac:dyDescent="0.25">
      <c r="A5955" s="447"/>
      <c r="B5955" s="55" t="str">
        <f t="shared" si="382"/>
        <v>ENERO</v>
      </c>
      <c r="C5955" s="55">
        <f t="shared" si="383"/>
        <v>1</v>
      </c>
      <c r="D5955" s="3" t="str">
        <f t="shared" si="384"/>
        <v>SÁBADO</v>
      </c>
      <c r="E5955" s="427"/>
      <c r="F5955" s="31">
        <f>IFERROR(VLOOKUP(E5955,BD!$L$2:$Q$244,2,0),0)</f>
        <v>0</v>
      </c>
      <c r="G5955" s="424"/>
      <c r="H5955" s="31">
        <f>+IFERROR(VLOOKUP(E5955,BD!$L$2:$Q$244,6,0),0)</f>
        <v>0</v>
      </c>
      <c r="I5955" s="626">
        <f>IFERROR(G5955*VLOOKUP($E5955,BD!$L$2:$Q$244,5,0),0)</f>
        <v>0</v>
      </c>
      <c r="J5955" s="3">
        <f t="shared" si="385"/>
        <v>1900</v>
      </c>
    </row>
    <row r="5956" spans="1:10" s="9" customFormat="1" x14ac:dyDescent="0.25">
      <c r="A5956" s="447"/>
      <c r="B5956" s="55" t="str">
        <f t="shared" si="382"/>
        <v>ENERO</v>
      </c>
      <c r="C5956" s="55">
        <f t="shared" si="383"/>
        <v>1</v>
      </c>
      <c r="D5956" s="3" t="str">
        <f t="shared" si="384"/>
        <v>SÁBADO</v>
      </c>
      <c r="E5956" s="427"/>
      <c r="F5956" s="31">
        <f>IFERROR(VLOOKUP(E5956,BD!$L$2:$Q$244,2,0),0)</f>
        <v>0</v>
      </c>
      <c r="G5956" s="424"/>
      <c r="H5956" s="31">
        <f>+IFERROR(VLOOKUP(E5956,BD!$L$2:$Q$244,6,0),0)</f>
        <v>0</v>
      </c>
      <c r="I5956" s="626">
        <f>IFERROR(G5956*VLOOKUP($E5956,BD!$L$2:$Q$244,5,0),0)</f>
        <v>0</v>
      </c>
      <c r="J5956" s="3">
        <f t="shared" si="385"/>
        <v>1900</v>
      </c>
    </row>
    <row r="5957" spans="1:10" s="9" customFormat="1" x14ac:dyDescent="0.25">
      <c r="A5957" s="447"/>
      <c r="B5957" s="55" t="str">
        <f t="shared" si="382"/>
        <v>ENERO</v>
      </c>
      <c r="C5957" s="55">
        <f t="shared" si="383"/>
        <v>1</v>
      </c>
      <c r="D5957" s="3" t="str">
        <f t="shared" si="384"/>
        <v>SÁBADO</v>
      </c>
      <c r="E5957" s="427"/>
      <c r="F5957" s="31">
        <f>IFERROR(VLOOKUP(E5957,BD!$L$2:$Q$244,2,0),0)</f>
        <v>0</v>
      </c>
      <c r="G5957" s="425"/>
      <c r="H5957" s="31">
        <f>+IFERROR(VLOOKUP(E5957,BD!$L$2:$Q$244,6,0),0)</f>
        <v>0</v>
      </c>
      <c r="I5957" s="626">
        <f>IFERROR(G5957*VLOOKUP($E5957,BD!$L$2:$Q$244,5,0),0)</f>
        <v>0</v>
      </c>
      <c r="J5957" s="3">
        <f t="shared" si="385"/>
        <v>1900</v>
      </c>
    </row>
    <row r="5958" spans="1:10" s="9" customFormat="1" x14ac:dyDescent="0.25">
      <c r="A5958" s="447"/>
      <c r="B5958" s="55" t="str">
        <f t="shared" si="382"/>
        <v>ENERO</v>
      </c>
      <c r="C5958" s="55">
        <f t="shared" si="383"/>
        <v>1</v>
      </c>
      <c r="D5958" s="3" t="str">
        <f t="shared" si="384"/>
        <v>SÁBADO</v>
      </c>
      <c r="E5958" s="427"/>
      <c r="F5958" s="31">
        <f>IFERROR(VLOOKUP(E5958,BD!$L$2:$Q$244,2,0),0)</f>
        <v>0</v>
      </c>
      <c r="G5958" s="424"/>
      <c r="H5958" s="31">
        <f>+IFERROR(VLOOKUP(E5958,BD!$L$2:$Q$244,6,0),0)</f>
        <v>0</v>
      </c>
      <c r="I5958" s="626">
        <f>IFERROR(G5958*VLOOKUP($E5958,BD!$L$2:$Q$244,5,0),0)</f>
        <v>0</v>
      </c>
      <c r="J5958" s="3">
        <f t="shared" si="385"/>
        <v>1900</v>
      </c>
    </row>
    <row r="5959" spans="1:10" s="9" customFormat="1" x14ac:dyDescent="0.25">
      <c r="A5959" s="447"/>
      <c r="B5959" s="55" t="str">
        <f t="shared" si="382"/>
        <v>ENERO</v>
      </c>
      <c r="C5959" s="55">
        <f t="shared" si="383"/>
        <v>1</v>
      </c>
      <c r="D5959" s="3" t="str">
        <f t="shared" si="384"/>
        <v>SÁBADO</v>
      </c>
      <c r="E5959" s="427"/>
      <c r="F5959" s="31">
        <f>IFERROR(VLOOKUP(E5959,BD!$L$2:$Q$244,2,0),0)</f>
        <v>0</v>
      </c>
      <c r="G5959" s="424"/>
      <c r="H5959" s="31">
        <f>+IFERROR(VLOOKUP(E5959,BD!$L$2:$Q$244,6,0),0)</f>
        <v>0</v>
      </c>
      <c r="I5959" s="626">
        <f>IFERROR(G5959*VLOOKUP($E5959,BD!$L$2:$Q$244,5,0),0)</f>
        <v>0</v>
      </c>
      <c r="J5959" s="3">
        <f t="shared" si="385"/>
        <v>1900</v>
      </c>
    </row>
    <row r="5960" spans="1:10" s="9" customFormat="1" x14ac:dyDescent="0.25">
      <c r="A5960" s="447"/>
      <c r="B5960" s="55" t="str">
        <f t="shared" si="382"/>
        <v>ENERO</v>
      </c>
      <c r="C5960" s="55">
        <f t="shared" si="383"/>
        <v>1</v>
      </c>
      <c r="D5960" s="3" t="str">
        <f t="shared" si="384"/>
        <v>SÁBADO</v>
      </c>
      <c r="E5960" s="427"/>
      <c r="F5960" s="31">
        <f>IFERROR(VLOOKUP(E5960,BD!$L$2:$Q$244,2,0),0)</f>
        <v>0</v>
      </c>
      <c r="G5960" s="424"/>
      <c r="H5960" s="31">
        <f>+IFERROR(VLOOKUP(E5960,BD!$L$2:$Q$244,6,0),0)</f>
        <v>0</v>
      </c>
      <c r="I5960" s="626">
        <f>IFERROR(G5960*VLOOKUP($E5960,BD!$L$2:$Q$244,5,0),0)</f>
        <v>0</v>
      </c>
      <c r="J5960" s="3">
        <f t="shared" si="385"/>
        <v>1900</v>
      </c>
    </row>
    <row r="5961" spans="1:10" s="9" customFormat="1" x14ac:dyDescent="0.25">
      <c r="A5961" s="447"/>
      <c r="B5961" s="55" t="str">
        <f t="shared" si="382"/>
        <v>ENERO</v>
      </c>
      <c r="C5961" s="55">
        <f t="shared" si="383"/>
        <v>1</v>
      </c>
      <c r="D5961" s="3" t="str">
        <f t="shared" si="384"/>
        <v>SÁBADO</v>
      </c>
      <c r="E5961" s="427"/>
      <c r="F5961" s="31">
        <f>IFERROR(VLOOKUP(E5961,BD!$L$2:$Q$244,2,0),0)</f>
        <v>0</v>
      </c>
      <c r="G5961" s="424"/>
      <c r="H5961" s="31">
        <f>+IFERROR(VLOOKUP(E5961,BD!$L$2:$Q$244,6,0),0)</f>
        <v>0</v>
      </c>
      <c r="I5961" s="626">
        <f>IFERROR(G5961*VLOOKUP($E5961,BD!$L$2:$Q$244,5,0),0)</f>
        <v>0</v>
      </c>
      <c r="J5961" s="3">
        <f t="shared" si="385"/>
        <v>1900</v>
      </c>
    </row>
    <row r="5962" spans="1:10" s="9" customFormat="1" x14ac:dyDescent="0.25">
      <c r="A5962" s="447"/>
      <c r="B5962" s="55" t="str">
        <f t="shared" si="382"/>
        <v>ENERO</v>
      </c>
      <c r="C5962" s="55">
        <f t="shared" si="383"/>
        <v>1</v>
      </c>
      <c r="D5962" s="3" t="str">
        <f t="shared" si="384"/>
        <v>SÁBADO</v>
      </c>
      <c r="E5962" s="427"/>
      <c r="F5962" s="31">
        <f>IFERROR(VLOOKUP(E5962,BD!$L$2:$Q$244,2,0),0)</f>
        <v>0</v>
      </c>
      <c r="G5962" s="424"/>
      <c r="H5962" s="31">
        <f>+IFERROR(VLOOKUP(E5962,BD!$L$2:$Q$244,6,0),0)</f>
        <v>0</v>
      </c>
      <c r="I5962" s="626">
        <f>IFERROR(G5962*VLOOKUP($E5962,BD!$L$2:$Q$244,5,0),0)</f>
        <v>0</v>
      </c>
      <c r="J5962" s="3">
        <f t="shared" si="385"/>
        <v>1900</v>
      </c>
    </row>
    <row r="5963" spans="1:10" s="9" customFormat="1" x14ac:dyDescent="0.25">
      <c r="A5963" s="447"/>
      <c r="B5963" s="55" t="str">
        <f t="shared" si="382"/>
        <v>ENERO</v>
      </c>
      <c r="C5963" s="55">
        <f t="shared" si="383"/>
        <v>1</v>
      </c>
      <c r="D5963" s="3" t="str">
        <f t="shared" si="384"/>
        <v>SÁBADO</v>
      </c>
      <c r="E5963" s="427"/>
      <c r="F5963" s="31">
        <f>IFERROR(VLOOKUP(E5963,BD!$L$2:$Q$244,2,0),0)</f>
        <v>0</v>
      </c>
      <c r="G5963" s="424"/>
      <c r="H5963" s="31">
        <f>+IFERROR(VLOOKUP(E5963,BD!$L$2:$Q$244,6,0),0)</f>
        <v>0</v>
      </c>
      <c r="I5963" s="626">
        <f>IFERROR(G5963*VLOOKUP($E5963,BD!$L$2:$Q$244,5,0),0)</f>
        <v>0</v>
      </c>
      <c r="J5963" s="3">
        <f t="shared" si="385"/>
        <v>1900</v>
      </c>
    </row>
    <row r="5964" spans="1:10" s="9" customFormat="1" x14ac:dyDescent="0.25">
      <c r="A5964" s="447"/>
      <c r="B5964" s="55" t="str">
        <f t="shared" si="382"/>
        <v>ENERO</v>
      </c>
      <c r="C5964" s="55">
        <f t="shared" si="383"/>
        <v>1</v>
      </c>
      <c r="D5964" s="3" t="str">
        <f t="shared" si="384"/>
        <v>SÁBADO</v>
      </c>
      <c r="E5964" s="427"/>
      <c r="F5964" s="31">
        <f>IFERROR(VLOOKUP(E5964,BD!$L$2:$Q$244,2,0),0)</f>
        <v>0</v>
      </c>
      <c r="G5964" s="425"/>
      <c r="H5964" s="31">
        <f>+IFERROR(VLOOKUP(E5964,BD!$L$2:$Q$244,6,0),0)</f>
        <v>0</v>
      </c>
      <c r="I5964" s="626">
        <f>IFERROR(G5964*VLOOKUP($E5964,BD!$L$2:$Q$244,5,0),0)</f>
        <v>0</v>
      </c>
      <c r="J5964" s="3">
        <f t="shared" si="385"/>
        <v>1900</v>
      </c>
    </row>
    <row r="5965" spans="1:10" s="9" customFormat="1" x14ac:dyDescent="0.25">
      <c r="A5965" s="447"/>
      <c r="B5965" s="55" t="str">
        <f t="shared" si="382"/>
        <v>ENERO</v>
      </c>
      <c r="C5965" s="55">
        <f t="shared" si="383"/>
        <v>1</v>
      </c>
      <c r="D5965" s="3" t="str">
        <f t="shared" si="384"/>
        <v>SÁBADO</v>
      </c>
      <c r="E5965" s="427"/>
      <c r="F5965" s="31">
        <f>IFERROR(VLOOKUP(E5965,BD!$L$2:$Q$244,2,0),0)</f>
        <v>0</v>
      </c>
      <c r="G5965" s="424"/>
      <c r="H5965" s="31">
        <f>+IFERROR(VLOOKUP(E5965,BD!$L$2:$Q$244,6,0),0)</f>
        <v>0</v>
      </c>
      <c r="I5965" s="626">
        <f>IFERROR(G5965*VLOOKUP($E5965,BD!$L$2:$Q$244,5,0),0)</f>
        <v>0</v>
      </c>
      <c r="J5965" s="3">
        <f t="shared" si="385"/>
        <v>1900</v>
      </c>
    </row>
    <row r="5966" spans="1:10" s="9" customFormat="1" x14ac:dyDescent="0.25">
      <c r="A5966" s="447"/>
      <c r="B5966" s="55" t="str">
        <f t="shared" si="382"/>
        <v>ENERO</v>
      </c>
      <c r="C5966" s="55">
        <f t="shared" si="383"/>
        <v>1</v>
      </c>
      <c r="D5966" s="3" t="str">
        <f t="shared" si="384"/>
        <v>SÁBADO</v>
      </c>
      <c r="E5966" s="427"/>
      <c r="F5966" s="31">
        <f>IFERROR(VLOOKUP(E5966,BD!$L$2:$Q$244,2,0),0)</f>
        <v>0</v>
      </c>
      <c r="G5966" s="424"/>
      <c r="H5966" s="31">
        <f>+IFERROR(VLOOKUP(E5966,BD!$L$2:$Q$244,6,0),0)</f>
        <v>0</v>
      </c>
      <c r="I5966" s="626">
        <f>IFERROR(G5966*VLOOKUP($E5966,BD!$L$2:$Q$244,5,0),0)</f>
        <v>0</v>
      </c>
      <c r="J5966" s="3">
        <f t="shared" si="385"/>
        <v>1900</v>
      </c>
    </row>
    <row r="5967" spans="1:10" s="9" customFormat="1" x14ac:dyDescent="0.25">
      <c r="A5967" s="447"/>
      <c r="B5967" s="55" t="str">
        <f t="shared" si="382"/>
        <v>ENERO</v>
      </c>
      <c r="C5967" s="55">
        <f t="shared" si="383"/>
        <v>1</v>
      </c>
      <c r="D5967" s="3" t="str">
        <f t="shared" si="384"/>
        <v>SÁBADO</v>
      </c>
      <c r="E5967" s="427"/>
      <c r="F5967" s="31">
        <f>IFERROR(VLOOKUP(E5967,BD!$L$2:$Q$244,2,0),0)</f>
        <v>0</v>
      </c>
      <c r="G5967" s="424"/>
      <c r="H5967" s="31">
        <f>+IFERROR(VLOOKUP(E5967,BD!$L$2:$Q$244,6,0),0)</f>
        <v>0</v>
      </c>
      <c r="I5967" s="626">
        <f>IFERROR(G5967*VLOOKUP($E5967,BD!$L$2:$Q$244,5,0),0)</f>
        <v>0</v>
      </c>
      <c r="J5967" s="3">
        <f t="shared" si="385"/>
        <v>1900</v>
      </c>
    </row>
    <row r="5968" spans="1:10" s="9" customFormat="1" x14ac:dyDescent="0.25">
      <c r="A5968" s="447"/>
      <c r="B5968" s="55" t="str">
        <f t="shared" si="382"/>
        <v>ENERO</v>
      </c>
      <c r="C5968" s="55">
        <f t="shared" si="383"/>
        <v>1</v>
      </c>
      <c r="D5968" s="3" t="str">
        <f t="shared" si="384"/>
        <v>SÁBADO</v>
      </c>
      <c r="E5968" s="427"/>
      <c r="F5968" s="31">
        <f>IFERROR(VLOOKUP(E5968,BD!$L$2:$Q$244,2,0),0)</f>
        <v>0</v>
      </c>
      <c r="G5968" s="424"/>
      <c r="H5968" s="31">
        <f>+IFERROR(VLOOKUP(E5968,BD!$L$2:$Q$244,6,0),0)</f>
        <v>0</v>
      </c>
      <c r="I5968" s="626">
        <f>IFERROR(G5968*VLOOKUP($E5968,BD!$L$2:$Q$244,5,0),0)</f>
        <v>0</v>
      </c>
      <c r="J5968" s="3">
        <f t="shared" si="385"/>
        <v>1900</v>
      </c>
    </row>
    <row r="5969" spans="1:10" s="9" customFormat="1" x14ac:dyDescent="0.25">
      <c r="A5969" s="447"/>
      <c r="B5969" s="55" t="str">
        <f t="shared" si="382"/>
        <v>ENERO</v>
      </c>
      <c r="C5969" s="55">
        <f t="shared" si="383"/>
        <v>1</v>
      </c>
      <c r="D5969" s="3" t="str">
        <f t="shared" si="384"/>
        <v>SÁBADO</v>
      </c>
      <c r="E5969" s="427"/>
      <c r="F5969" s="31">
        <f>IFERROR(VLOOKUP(E5969,BD!$L$2:$Q$244,2,0),0)</f>
        <v>0</v>
      </c>
      <c r="G5969" s="424"/>
      <c r="H5969" s="31">
        <f>+IFERROR(VLOOKUP(E5969,BD!$L$2:$Q$244,6,0),0)</f>
        <v>0</v>
      </c>
      <c r="I5969" s="626">
        <f>IFERROR(G5969*VLOOKUP($E5969,BD!$L$2:$Q$244,5,0),0)</f>
        <v>0</v>
      </c>
      <c r="J5969" s="3">
        <f t="shared" si="385"/>
        <v>1900</v>
      </c>
    </row>
    <row r="5970" spans="1:10" s="9" customFormat="1" x14ac:dyDescent="0.25">
      <c r="A5970" s="447"/>
      <c r="B5970" s="55" t="str">
        <f t="shared" si="382"/>
        <v>ENERO</v>
      </c>
      <c r="C5970" s="55">
        <f t="shared" si="383"/>
        <v>1</v>
      </c>
      <c r="D5970" s="3" t="str">
        <f t="shared" si="384"/>
        <v>SÁBADO</v>
      </c>
      <c r="E5970" s="427"/>
      <c r="F5970" s="31">
        <f>IFERROR(VLOOKUP(E5970,BD!$L$2:$Q$244,2,0),0)</f>
        <v>0</v>
      </c>
      <c r="G5970" s="424"/>
      <c r="H5970" s="31">
        <f>+IFERROR(VLOOKUP(E5970,BD!$L$2:$Q$244,6,0),0)</f>
        <v>0</v>
      </c>
      <c r="I5970" s="626">
        <f>IFERROR(G5970*VLOOKUP($E5970,BD!$L$2:$Q$244,5,0),0)</f>
        <v>0</v>
      </c>
      <c r="J5970" s="3">
        <f t="shared" si="385"/>
        <v>1900</v>
      </c>
    </row>
    <row r="5971" spans="1:10" s="9" customFormat="1" x14ac:dyDescent="0.25">
      <c r="A5971" s="447"/>
      <c r="B5971" s="55" t="str">
        <f t="shared" si="382"/>
        <v>ENERO</v>
      </c>
      <c r="C5971" s="55">
        <f t="shared" si="383"/>
        <v>1</v>
      </c>
      <c r="D5971" s="3" t="str">
        <f t="shared" si="384"/>
        <v>SÁBADO</v>
      </c>
      <c r="E5971" s="427"/>
      <c r="F5971" s="31">
        <f>IFERROR(VLOOKUP(E5971,BD!$L$2:$Q$244,2,0),0)</f>
        <v>0</v>
      </c>
      <c r="G5971" s="424"/>
      <c r="H5971" s="31">
        <f>+IFERROR(VLOOKUP(E5971,BD!$L$2:$Q$244,6,0),0)</f>
        <v>0</v>
      </c>
      <c r="I5971" s="626">
        <f>IFERROR(G5971*VLOOKUP($E5971,BD!$L$2:$Q$244,5,0),0)</f>
        <v>0</v>
      </c>
      <c r="J5971" s="3">
        <f t="shared" si="385"/>
        <v>1900</v>
      </c>
    </row>
    <row r="5972" spans="1:10" s="9" customFormat="1" x14ac:dyDescent="0.25">
      <c r="A5972" s="447"/>
      <c r="B5972" s="55" t="str">
        <f t="shared" si="382"/>
        <v>ENERO</v>
      </c>
      <c r="C5972" s="55">
        <f t="shared" si="383"/>
        <v>1</v>
      </c>
      <c r="D5972" s="3" t="str">
        <f t="shared" si="384"/>
        <v>SÁBADO</v>
      </c>
      <c r="E5972" s="427"/>
      <c r="F5972" s="31">
        <f>IFERROR(VLOOKUP(E5972,BD!$L$2:$Q$244,2,0),0)</f>
        <v>0</v>
      </c>
      <c r="G5972" s="424"/>
      <c r="H5972" s="31">
        <f>+IFERROR(VLOOKUP(E5972,BD!$L$2:$Q$244,6,0),0)</f>
        <v>0</v>
      </c>
      <c r="I5972" s="626">
        <f>IFERROR(G5972*VLOOKUP($E5972,BD!$L$2:$Q$244,5,0),0)</f>
        <v>0</v>
      </c>
      <c r="J5972" s="3">
        <f t="shared" si="385"/>
        <v>1900</v>
      </c>
    </row>
    <row r="5973" spans="1:10" s="9" customFormat="1" x14ac:dyDescent="0.25">
      <c r="A5973" s="447"/>
      <c r="B5973" s="55" t="str">
        <f t="shared" si="382"/>
        <v>ENERO</v>
      </c>
      <c r="C5973" s="55">
        <f t="shared" si="383"/>
        <v>1</v>
      </c>
      <c r="D5973" s="3" t="str">
        <f t="shared" si="384"/>
        <v>SÁBADO</v>
      </c>
      <c r="E5973" s="427"/>
      <c r="F5973" s="31">
        <f>IFERROR(VLOOKUP(E5973,BD!$L$2:$Q$244,2,0),0)</f>
        <v>0</v>
      </c>
      <c r="G5973" s="424"/>
      <c r="H5973" s="31">
        <f>+IFERROR(VLOOKUP(E5973,BD!$L$2:$Q$244,6,0),0)</f>
        <v>0</v>
      </c>
      <c r="I5973" s="626">
        <f>IFERROR(G5973*VLOOKUP($E5973,BD!$L$2:$Q$244,5,0),0)</f>
        <v>0</v>
      </c>
      <c r="J5973" s="3">
        <f t="shared" si="385"/>
        <v>1900</v>
      </c>
    </row>
    <row r="5974" spans="1:10" s="9" customFormat="1" x14ac:dyDescent="0.25">
      <c r="A5974" s="447"/>
      <c r="B5974" s="55" t="str">
        <f t="shared" si="382"/>
        <v>ENERO</v>
      </c>
      <c r="C5974" s="55">
        <f t="shared" si="383"/>
        <v>1</v>
      </c>
      <c r="D5974" s="3" t="str">
        <f t="shared" si="384"/>
        <v>SÁBADO</v>
      </c>
      <c r="E5974" s="427"/>
      <c r="F5974" s="31">
        <f>IFERROR(VLOOKUP(E5974,BD!$L$2:$Q$244,2,0),0)</f>
        <v>0</v>
      </c>
      <c r="G5974" s="424"/>
      <c r="H5974" s="31">
        <f>+IFERROR(VLOOKUP(E5974,BD!$L$2:$Q$244,6,0),0)</f>
        <v>0</v>
      </c>
      <c r="I5974" s="626">
        <f>IFERROR(G5974*VLOOKUP($E5974,BD!$L$2:$Q$244,5,0),0)</f>
        <v>0</v>
      </c>
      <c r="J5974" s="3">
        <f t="shared" si="385"/>
        <v>1900</v>
      </c>
    </row>
    <row r="5975" spans="1:10" s="9" customFormat="1" x14ac:dyDescent="0.25">
      <c r="A5975" s="447"/>
      <c r="B5975" s="55" t="str">
        <f t="shared" si="382"/>
        <v>ENERO</v>
      </c>
      <c r="C5975" s="55">
        <f t="shared" si="383"/>
        <v>1</v>
      </c>
      <c r="D5975" s="3" t="str">
        <f t="shared" si="384"/>
        <v>SÁBADO</v>
      </c>
      <c r="E5975" s="427"/>
      <c r="F5975" s="31">
        <f>IFERROR(VLOOKUP(E5975,BD!$L$2:$Q$244,2,0),0)</f>
        <v>0</v>
      </c>
      <c r="G5975" s="424"/>
      <c r="H5975" s="31">
        <f>+IFERROR(VLOOKUP(E5975,BD!$L$2:$Q$244,6,0),0)</f>
        <v>0</v>
      </c>
      <c r="I5975" s="626">
        <f>IFERROR(G5975*VLOOKUP($E5975,BD!$L$2:$Q$244,5,0),0)</f>
        <v>0</v>
      </c>
      <c r="J5975" s="3">
        <f t="shared" si="385"/>
        <v>1900</v>
      </c>
    </row>
    <row r="5976" spans="1:10" s="9" customFormat="1" x14ac:dyDescent="0.25">
      <c r="A5976" s="447"/>
      <c r="B5976" s="55" t="str">
        <f t="shared" si="382"/>
        <v>ENERO</v>
      </c>
      <c r="C5976" s="55">
        <f t="shared" si="383"/>
        <v>1</v>
      </c>
      <c r="D5976" s="3" t="str">
        <f t="shared" si="384"/>
        <v>SÁBADO</v>
      </c>
      <c r="E5976" s="427"/>
      <c r="F5976" s="31">
        <f>IFERROR(VLOOKUP(E5976,BD!$L$2:$Q$244,2,0),0)</f>
        <v>0</v>
      </c>
      <c r="G5976" s="424"/>
      <c r="H5976" s="31">
        <f>+IFERROR(VLOOKUP(E5976,BD!$L$2:$Q$244,6,0),0)</f>
        <v>0</v>
      </c>
      <c r="I5976" s="626">
        <f>IFERROR(G5976*VLOOKUP($E5976,BD!$L$2:$Q$244,5,0),0)</f>
        <v>0</v>
      </c>
      <c r="J5976" s="3">
        <f t="shared" si="385"/>
        <v>1900</v>
      </c>
    </row>
    <row r="5977" spans="1:10" s="9" customFormat="1" x14ac:dyDescent="0.25">
      <c r="A5977" s="447"/>
      <c r="B5977" s="55" t="str">
        <f t="shared" si="382"/>
        <v>ENERO</v>
      </c>
      <c r="C5977" s="55">
        <f t="shared" si="383"/>
        <v>1</v>
      </c>
      <c r="D5977" s="3" t="str">
        <f t="shared" si="384"/>
        <v>SÁBADO</v>
      </c>
      <c r="E5977" s="427"/>
      <c r="F5977" s="31">
        <f>IFERROR(VLOOKUP(E5977,BD!$L$2:$Q$244,2,0),0)</f>
        <v>0</v>
      </c>
      <c r="G5977" s="424"/>
      <c r="H5977" s="31">
        <f>+IFERROR(VLOOKUP(E5977,BD!$L$2:$Q$244,6,0),0)</f>
        <v>0</v>
      </c>
      <c r="I5977" s="626">
        <f>IFERROR(G5977*VLOOKUP($E5977,BD!$L$2:$Q$244,5,0),0)</f>
        <v>0</v>
      </c>
      <c r="J5977" s="3">
        <f t="shared" si="385"/>
        <v>1900</v>
      </c>
    </row>
    <row r="5978" spans="1:10" s="9" customFormat="1" x14ac:dyDescent="0.25">
      <c r="A5978" s="447"/>
      <c r="B5978" s="55" t="str">
        <f t="shared" si="382"/>
        <v>ENERO</v>
      </c>
      <c r="C5978" s="55">
        <f t="shared" si="383"/>
        <v>1</v>
      </c>
      <c r="D5978" s="3" t="str">
        <f t="shared" si="384"/>
        <v>SÁBADO</v>
      </c>
      <c r="E5978" s="427"/>
      <c r="F5978" s="31">
        <f>IFERROR(VLOOKUP(E5978,BD!$L$2:$Q$244,2,0),0)</f>
        <v>0</v>
      </c>
      <c r="G5978" s="424"/>
      <c r="H5978" s="31">
        <f>+IFERROR(VLOOKUP(E5978,BD!$L$2:$Q$244,6,0),0)</f>
        <v>0</v>
      </c>
      <c r="I5978" s="626">
        <f>IFERROR(G5978*VLOOKUP($E5978,BD!$L$2:$Q$244,5,0),0)</f>
        <v>0</v>
      </c>
      <c r="J5978" s="3">
        <f t="shared" si="385"/>
        <v>1900</v>
      </c>
    </row>
    <row r="5979" spans="1:10" s="9" customFormat="1" x14ac:dyDescent="0.25">
      <c r="A5979" s="447"/>
      <c r="B5979" s="55" t="str">
        <f t="shared" si="382"/>
        <v>ENERO</v>
      </c>
      <c r="C5979" s="55">
        <f t="shared" si="383"/>
        <v>1</v>
      </c>
      <c r="D5979" s="3" t="str">
        <f t="shared" si="384"/>
        <v>SÁBADO</v>
      </c>
      <c r="E5979" s="427"/>
      <c r="F5979" s="31">
        <f>IFERROR(VLOOKUP(E5979,BD!$L$2:$Q$244,2,0),0)</f>
        <v>0</v>
      </c>
      <c r="G5979" s="424"/>
      <c r="H5979" s="31">
        <f>+IFERROR(VLOOKUP(E5979,BD!$L$2:$Q$244,6,0),0)</f>
        <v>0</v>
      </c>
      <c r="I5979" s="626">
        <f>IFERROR(G5979*VLOOKUP($E5979,BD!$L$2:$Q$244,5,0),0)</f>
        <v>0</v>
      </c>
      <c r="J5979" s="3">
        <f t="shared" si="385"/>
        <v>1900</v>
      </c>
    </row>
    <row r="5980" spans="1:10" s="9" customFormat="1" x14ac:dyDescent="0.25">
      <c r="A5980" s="447"/>
      <c r="B5980" s="55" t="str">
        <f t="shared" si="382"/>
        <v>ENERO</v>
      </c>
      <c r="C5980" s="55">
        <f t="shared" si="383"/>
        <v>1</v>
      </c>
      <c r="D5980" s="3" t="str">
        <f t="shared" si="384"/>
        <v>SÁBADO</v>
      </c>
      <c r="E5980" s="427"/>
      <c r="F5980" s="31">
        <f>IFERROR(VLOOKUP(E5980,BD!$L$2:$Q$244,2,0),0)</f>
        <v>0</v>
      </c>
      <c r="G5980" s="424"/>
      <c r="H5980" s="31">
        <f>+IFERROR(VLOOKUP(E5980,BD!$L$2:$Q$244,6,0),0)</f>
        <v>0</v>
      </c>
      <c r="I5980" s="626">
        <f>IFERROR(G5980*VLOOKUP($E5980,BD!$L$2:$Q$244,5,0),0)</f>
        <v>0</v>
      </c>
      <c r="J5980" s="3">
        <f t="shared" si="385"/>
        <v>1900</v>
      </c>
    </row>
    <row r="5981" spans="1:10" s="9" customFormat="1" x14ac:dyDescent="0.25">
      <c r="A5981" s="447"/>
      <c r="B5981" s="55" t="str">
        <f t="shared" si="382"/>
        <v>ENERO</v>
      </c>
      <c r="C5981" s="55">
        <f t="shared" si="383"/>
        <v>1</v>
      </c>
      <c r="D5981" s="3" t="str">
        <f t="shared" si="384"/>
        <v>SÁBADO</v>
      </c>
      <c r="E5981" s="427"/>
      <c r="F5981" s="31">
        <f>IFERROR(VLOOKUP(E5981,BD!$L$2:$Q$244,2,0),0)</f>
        <v>0</v>
      </c>
      <c r="G5981" s="424"/>
      <c r="H5981" s="31">
        <f>+IFERROR(VLOOKUP(E5981,BD!$L$2:$Q$244,6,0),0)</f>
        <v>0</v>
      </c>
      <c r="I5981" s="626">
        <f>IFERROR(G5981*VLOOKUP($E5981,BD!$L$2:$Q$244,5,0),0)</f>
        <v>0</v>
      </c>
      <c r="J5981" s="3">
        <f t="shared" si="385"/>
        <v>1900</v>
      </c>
    </row>
    <row r="5982" spans="1:10" s="9" customFormat="1" x14ac:dyDescent="0.25">
      <c r="A5982" s="447"/>
      <c r="B5982" s="55" t="str">
        <f t="shared" si="382"/>
        <v>ENERO</v>
      </c>
      <c r="C5982" s="55">
        <f t="shared" si="383"/>
        <v>1</v>
      </c>
      <c r="D5982" s="3" t="str">
        <f t="shared" si="384"/>
        <v>SÁBADO</v>
      </c>
      <c r="E5982" s="427"/>
      <c r="F5982" s="31">
        <f>IFERROR(VLOOKUP(E5982,BD!$L$2:$Q$244,2,0),0)</f>
        <v>0</v>
      </c>
      <c r="G5982" s="424"/>
      <c r="H5982" s="31">
        <f>+IFERROR(VLOOKUP(E5982,BD!$L$2:$Q$244,6,0),0)</f>
        <v>0</v>
      </c>
      <c r="I5982" s="626">
        <f>IFERROR(G5982*VLOOKUP($E5982,BD!$L$2:$Q$244,5,0),0)</f>
        <v>0</v>
      </c>
      <c r="J5982" s="3">
        <f t="shared" si="385"/>
        <v>1900</v>
      </c>
    </row>
    <row r="5983" spans="1:10" s="9" customFormat="1" x14ac:dyDescent="0.25">
      <c r="A5983" s="447"/>
      <c r="B5983" s="55" t="str">
        <f t="shared" si="382"/>
        <v>ENERO</v>
      </c>
      <c r="C5983" s="55">
        <f t="shared" si="383"/>
        <v>1</v>
      </c>
      <c r="D5983" s="3" t="str">
        <f t="shared" si="384"/>
        <v>SÁBADO</v>
      </c>
      <c r="E5983" s="427"/>
      <c r="F5983" s="31">
        <f>IFERROR(VLOOKUP(E5983,BD!$L$2:$Q$244,2,0),0)</f>
        <v>0</v>
      </c>
      <c r="G5983" s="424"/>
      <c r="H5983" s="31">
        <f>+IFERROR(VLOOKUP(E5983,BD!$L$2:$Q$244,6,0),0)</f>
        <v>0</v>
      </c>
      <c r="I5983" s="626">
        <f>IFERROR(G5983*VLOOKUP($E5983,BD!$L$2:$Q$244,5,0),0)</f>
        <v>0</v>
      </c>
      <c r="J5983" s="3">
        <f t="shared" si="385"/>
        <v>1900</v>
      </c>
    </row>
    <row r="5984" spans="1:10" s="9" customFormat="1" x14ac:dyDescent="0.25">
      <c r="A5984" s="447"/>
      <c r="B5984" s="55" t="str">
        <f t="shared" si="382"/>
        <v>ENERO</v>
      </c>
      <c r="C5984" s="55">
        <f t="shared" si="383"/>
        <v>1</v>
      </c>
      <c r="D5984" s="3" t="str">
        <f t="shared" si="384"/>
        <v>SÁBADO</v>
      </c>
      <c r="E5984" s="427"/>
      <c r="F5984" s="31">
        <f>IFERROR(VLOOKUP(E5984,BD!$L$2:$Q$244,2,0),0)</f>
        <v>0</v>
      </c>
      <c r="G5984" s="424"/>
      <c r="H5984" s="31">
        <f>+IFERROR(VLOOKUP(E5984,BD!$L$2:$Q$244,6,0),0)</f>
        <v>0</v>
      </c>
      <c r="I5984" s="626">
        <f>IFERROR(G5984*VLOOKUP($E5984,BD!$L$2:$Q$244,5,0),0)</f>
        <v>0</v>
      </c>
      <c r="J5984" s="3">
        <f t="shared" si="385"/>
        <v>1900</v>
      </c>
    </row>
    <row r="5985" spans="1:10" s="9" customFormat="1" x14ac:dyDescent="0.25">
      <c r="A5985" s="447"/>
      <c r="B5985" s="55" t="str">
        <f t="shared" si="382"/>
        <v>ENERO</v>
      </c>
      <c r="C5985" s="55">
        <f t="shared" si="383"/>
        <v>1</v>
      </c>
      <c r="D5985" s="3" t="str">
        <f t="shared" si="384"/>
        <v>SÁBADO</v>
      </c>
      <c r="E5985" s="427"/>
      <c r="F5985" s="31">
        <f>IFERROR(VLOOKUP(E5985,BD!$L$2:$Q$244,2,0),0)</f>
        <v>0</v>
      </c>
      <c r="G5985" s="424"/>
      <c r="H5985" s="31">
        <f>+IFERROR(VLOOKUP(E5985,BD!$L$2:$Q$244,6,0),0)</f>
        <v>0</v>
      </c>
      <c r="I5985" s="626">
        <f>IFERROR(G5985*VLOOKUP($E5985,BD!$L$2:$Q$244,5,0),0)</f>
        <v>0</v>
      </c>
      <c r="J5985" s="3">
        <f t="shared" si="385"/>
        <v>1900</v>
      </c>
    </row>
    <row r="5986" spans="1:10" s="9" customFormat="1" x14ac:dyDescent="0.25">
      <c r="A5986" s="447"/>
      <c r="B5986" s="55" t="str">
        <f t="shared" si="382"/>
        <v>ENERO</v>
      </c>
      <c r="C5986" s="55">
        <f t="shared" si="383"/>
        <v>1</v>
      </c>
      <c r="D5986" s="3" t="str">
        <f t="shared" si="384"/>
        <v>SÁBADO</v>
      </c>
      <c r="E5986" s="427"/>
      <c r="F5986" s="31">
        <f>IFERROR(VLOOKUP(E5986,BD!$L$2:$Q$244,2,0),0)</f>
        <v>0</v>
      </c>
      <c r="G5986" s="424"/>
      <c r="H5986" s="31">
        <f>+IFERROR(VLOOKUP(E5986,BD!$L$2:$Q$244,6,0),0)</f>
        <v>0</v>
      </c>
      <c r="I5986" s="626">
        <f>IFERROR(G5986*VLOOKUP($E5986,BD!$L$2:$Q$244,5,0),0)</f>
        <v>0</v>
      </c>
      <c r="J5986" s="3">
        <f t="shared" si="385"/>
        <v>1900</v>
      </c>
    </row>
    <row r="5987" spans="1:10" s="9" customFormat="1" x14ac:dyDescent="0.25">
      <c r="A5987" s="447"/>
      <c r="B5987" s="55" t="str">
        <f t="shared" si="382"/>
        <v>ENERO</v>
      </c>
      <c r="C5987" s="55">
        <f t="shared" si="383"/>
        <v>1</v>
      </c>
      <c r="D5987" s="3" t="str">
        <f t="shared" si="384"/>
        <v>SÁBADO</v>
      </c>
      <c r="E5987" s="427"/>
      <c r="F5987" s="31">
        <f>IFERROR(VLOOKUP(E5987,BD!$L$2:$Q$244,2,0),0)</f>
        <v>0</v>
      </c>
      <c r="G5987" s="424"/>
      <c r="H5987" s="31">
        <f>+IFERROR(VLOOKUP(E5987,BD!$L$2:$Q$244,6,0),0)</f>
        <v>0</v>
      </c>
      <c r="I5987" s="626">
        <f>IFERROR(G5987*VLOOKUP($E5987,BD!$L$2:$Q$244,5,0),0)</f>
        <v>0</v>
      </c>
      <c r="J5987" s="3">
        <f t="shared" si="385"/>
        <v>1900</v>
      </c>
    </row>
    <row r="5988" spans="1:10" s="9" customFormat="1" x14ac:dyDescent="0.25">
      <c r="A5988" s="447"/>
      <c r="B5988" s="55" t="str">
        <f t="shared" si="382"/>
        <v>ENERO</v>
      </c>
      <c r="C5988" s="55">
        <f t="shared" si="383"/>
        <v>1</v>
      </c>
      <c r="D5988" s="3" t="str">
        <f t="shared" si="384"/>
        <v>SÁBADO</v>
      </c>
      <c r="E5988" s="427"/>
      <c r="F5988" s="31">
        <f>IFERROR(VLOOKUP(E5988,BD!$L$2:$Q$244,2,0),0)</f>
        <v>0</v>
      </c>
      <c r="G5988" s="424"/>
      <c r="H5988" s="31">
        <f>+IFERROR(VLOOKUP(E5988,BD!$L$2:$Q$244,6,0),0)</f>
        <v>0</v>
      </c>
      <c r="I5988" s="626">
        <f>IFERROR(G5988*VLOOKUP($E5988,BD!$L$2:$Q$244,5,0),0)</f>
        <v>0</v>
      </c>
      <c r="J5988" s="3">
        <f t="shared" si="385"/>
        <v>1900</v>
      </c>
    </row>
    <row r="5989" spans="1:10" s="9" customFormat="1" x14ac:dyDescent="0.25">
      <c r="A5989" s="447"/>
      <c r="B5989" s="55" t="str">
        <f t="shared" si="382"/>
        <v>ENERO</v>
      </c>
      <c r="C5989" s="55">
        <f t="shared" si="383"/>
        <v>1</v>
      </c>
      <c r="D5989" s="3" t="str">
        <f t="shared" si="384"/>
        <v>SÁBADO</v>
      </c>
      <c r="E5989" s="427"/>
      <c r="F5989" s="31">
        <f>IFERROR(VLOOKUP(E5989,BD!$L$2:$Q$244,2,0),0)</f>
        <v>0</v>
      </c>
      <c r="G5989" s="424"/>
      <c r="H5989" s="31">
        <f>+IFERROR(VLOOKUP(E5989,BD!$L$2:$Q$244,6,0),0)</f>
        <v>0</v>
      </c>
      <c r="I5989" s="626">
        <f>IFERROR(G5989*VLOOKUP($E5989,BD!$L$2:$Q$244,5,0),0)</f>
        <v>0</v>
      </c>
      <c r="J5989" s="3">
        <f t="shared" si="385"/>
        <v>1900</v>
      </c>
    </row>
    <row r="5990" spans="1:10" s="9" customFormat="1" x14ac:dyDescent="0.25">
      <c r="A5990" s="447"/>
      <c r="B5990" s="55" t="str">
        <f t="shared" si="382"/>
        <v>ENERO</v>
      </c>
      <c r="C5990" s="55">
        <f t="shared" si="383"/>
        <v>1</v>
      </c>
      <c r="D5990" s="3" t="str">
        <f t="shared" si="384"/>
        <v>SÁBADO</v>
      </c>
      <c r="E5990" s="427"/>
      <c r="F5990" s="31">
        <f>IFERROR(VLOOKUP(E5990,BD!$L$2:$Q$244,2,0),0)</f>
        <v>0</v>
      </c>
      <c r="G5990" s="424"/>
      <c r="H5990" s="31">
        <f>+IFERROR(VLOOKUP(E5990,BD!$L$2:$Q$244,6,0),0)</f>
        <v>0</v>
      </c>
      <c r="I5990" s="626">
        <f>IFERROR(G5990*VLOOKUP($E5990,BD!$L$2:$Q$244,5,0),0)</f>
        <v>0</v>
      </c>
      <c r="J5990" s="3">
        <f t="shared" si="385"/>
        <v>1900</v>
      </c>
    </row>
    <row r="5991" spans="1:10" s="9" customFormat="1" x14ac:dyDescent="0.25">
      <c r="A5991" s="447"/>
      <c r="B5991" s="55" t="str">
        <f t="shared" si="382"/>
        <v>ENERO</v>
      </c>
      <c r="C5991" s="55">
        <f t="shared" si="383"/>
        <v>1</v>
      </c>
      <c r="D5991" s="3" t="str">
        <f t="shared" si="384"/>
        <v>SÁBADO</v>
      </c>
      <c r="E5991" s="427"/>
      <c r="F5991" s="31">
        <f>IFERROR(VLOOKUP(E5991,BD!$L$2:$Q$244,2,0),0)</f>
        <v>0</v>
      </c>
      <c r="G5991" s="424"/>
      <c r="H5991" s="31">
        <f>+IFERROR(VLOOKUP(E5991,BD!$L$2:$Q$244,6,0),0)</f>
        <v>0</v>
      </c>
      <c r="I5991" s="626">
        <f>IFERROR(G5991*VLOOKUP($E5991,BD!$L$2:$Q$244,5,0),0)</f>
        <v>0</v>
      </c>
      <c r="J5991" s="3">
        <f t="shared" si="385"/>
        <v>1900</v>
      </c>
    </row>
    <row r="5992" spans="1:10" s="9" customFormat="1" x14ac:dyDescent="0.25">
      <c r="A5992" s="447"/>
      <c r="B5992" s="55" t="str">
        <f t="shared" si="382"/>
        <v>ENERO</v>
      </c>
      <c r="C5992" s="55">
        <f t="shared" si="383"/>
        <v>1</v>
      </c>
      <c r="D5992" s="3" t="str">
        <f t="shared" si="384"/>
        <v>SÁBADO</v>
      </c>
      <c r="E5992" s="427"/>
      <c r="F5992" s="31">
        <f>IFERROR(VLOOKUP(E5992,BD!$L$2:$Q$244,2,0),0)</f>
        <v>0</v>
      </c>
      <c r="G5992" s="424"/>
      <c r="H5992" s="31">
        <f>+IFERROR(VLOOKUP(E5992,BD!$L$2:$Q$244,6,0),0)</f>
        <v>0</v>
      </c>
      <c r="I5992" s="626">
        <f>IFERROR(G5992*VLOOKUP($E5992,BD!$L$2:$Q$244,5,0),0)</f>
        <v>0</v>
      </c>
      <c r="J5992" s="3">
        <f t="shared" si="385"/>
        <v>1900</v>
      </c>
    </row>
    <row r="5993" spans="1:10" s="9" customFormat="1" x14ac:dyDescent="0.25">
      <c r="A5993" s="447"/>
      <c r="B5993" s="55" t="str">
        <f t="shared" si="382"/>
        <v>ENERO</v>
      </c>
      <c r="C5993" s="55">
        <f t="shared" si="383"/>
        <v>1</v>
      </c>
      <c r="D5993" s="3" t="str">
        <f t="shared" si="384"/>
        <v>SÁBADO</v>
      </c>
      <c r="E5993" s="427"/>
      <c r="F5993" s="31">
        <f>IFERROR(VLOOKUP(E5993,BD!$L$2:$Q$244,2,0),0)</f>
        <v>0</v>
      </c>
      <c r="G5993" s="424"/>
      <c r="H5993" s="31">
        <f>+IFERROR(VLOOKUP(E5993,BD!$L$2:$Q$244,6,0),0)</f>
        <v>0</v>
      </c>
      <c r="I5993" s="626">
        <f>IFERROR(G5993*VLOOKUP($E5993,BD!$L$2:$Q$244,5,0),0)</f>
        <v>0</v>
      </c>
      <c r="J5993" s="3">
        <f t="shared" si="385"/>
        <v>1900</v>
      </c>
    </row>
    <row r="5994" spans="1:10" s="9" customFormat="1" x14ac:dyDescent="0.25">
      <c r="A5994" s="447"/>
      <c r="B5994" s="55" t="str">
        <f t="shared" si="382"/>
        <v>ENERO</v>
      </c>
      <c r="C5994" s="55">
        <f t="shared" si="383"/>
        <v>1</v>
      </c>
      <c r="D5994" s="3" t="str">
        <f t="shared" si="384"/>
        <v>SÁBADO</v>
      </c>
      <c r="E5994" s="427"/>
      <c r="F5994" s="31">
        <f>IFERROR(VLOOKUP(E5994,BD!$L$2:$Q$244,2,0),0)</f>
        <v>0</v>
      </c>
      <c r="G5994" s="424"/>
      <c r="H5994" s="31">
        <f>+IFERROR(VLOOKUP(E5994,BD!$L$2:$Q$244,6,0),0)</f>
        <v>0</v>
      </c>
      <c r="I5994" s="626">
        <f>IFERROR(G5994*VLOOKUP($E5994,BD!$L$2:$Q$244,5,0),0)</f>
        <v>0</v>
      </c>
      <c r="J5994" s="3">
        <f t="shared" si="385"/>
        <v>1900</v>
      </c>
    </row>
    <row r="5995" spans="1:10" s="9" customFormat="1" x14ac:dyDescent="0.25">
      <c r="A5995" s="447"/>
      <c r="B5995" s="55" t="str">
        <f t="shared" si="382"/>
        <v>ENERO</v>
      </c>
      <c r="C5995" s="55">
        <f t="shared" si="383"/>
        <v>1</v>
      </c>
      <c r="D5995" s="3" t="str">
        <f t="shared" si="384"/>
        <v>SÁBADO</v>
      </c>
      <c r="E5995" s="427"/>
      <c r="F5995" s="31">
        <f>IFERROR(VLOOKUP(E5995,BD!$L$2:$Q$244,2,0),0)</f>
        <v>0</v>
      </c>
      <c r="G5995" s="424"/>
      <c r="H5995" s="31">
        <f>+IFERROR(VLOOKUP(E5995,BD!$L$2:$Q$244,6,0),0)</f>
        <v>0</v>
      </c>
      <c r="I5995" s="626">
        <f>IFERROR(G5995*VLOOKUP($E5995,BD!$L$2:$Q$244,5,0),0)</f>
        <v>0</v>
      </c>
      <c r="J5995" s="3">
        <f t="shared" si="385"/>
        <v>1900</v>
      </c>
    </row>
    <row r="5996" spans="1:10" s="9" customFormat="1" x14ac:dyDescent="0.25">
      <c r="A5996" s="447"/>
      <c r="B5996" s="55" t="str">
        <f t="shared" si="382"/>
        <v>ENERO</v>
      </c>
      <c r="C5996" s="55">
        <f t="shared" si="383"/>
        <v>1</v>
      </c>
      <c r="D5996" s="3" t="str">
        <f t="shared" si="384"/>
        <v>SÁBADO</v>
      </c>
      <c r="E5996" s="427"/>
      <c r="F5996" s="31">
        <f>IFERROR(VLOOKUP(E5996,BD!$L$2:$Q$244,2,0),0)</f>
        <v>0</v>
      </c>
      <c r="G5996" s="425"/>
      <c r="H5996" s="31">
        <f>+IFERROR(VLOOKUP(E5996,BD!$L$2:$Q$244,6,0),0)</f>
        <v>0</v>
      </c>
      <c r="I5996" s="626">
        <f>IFERROR(G5996*VLOOKUP($E5996,BD!$L$2:$Q$244,5,0),0)</f>
        <v>0</v>
      </c>
      <c r="J5996" s="3">
        <f t="shared" si="385"/>
        <v>1900</v>
      </c>
    </row>
    <row r="5997" spans="1:10" s="9" customFormat="1" x14ac:dyDescent="0.25">
      <c r="A5997" s="447"/>
      <c r="B5997" s="55" t="str">
        <f t="shared" si="382"/>
        <v>ENERO</v>
      </c>
      <c r="C5997" s="55">
        <f t="shared" si="383"/>
        <v>1</v>
      </c>
      <c r="D5997" s="3" t="str">
        <f t="shared" si="384"/>
        <v>SÁBADO</v>
      </c>
      <c r="E5997" s="427"/>
      <c r="F5997" s="31">
        <f>IFERROR(VLOOKUP(E5997,BD!$L$2:$Q$244,2,0),0)</f>
        <v>0</v>
      </c>
      <c r="G5997" s="424"/>
      <c r="H5997" s="31">
        <f>+IFERROR(VLOOKUP(E5997,BD!$L$2:$Q$244,6,0),0)</f>
        <v>0</v>
      </c>
      <c r="I5997" s="626">
        <f>IFERROR(G5997*VLOOKUP($E5997,BD!$L$2:$Q$244,5,0),0)</f>
        <v>0</v>
      </c>
      <c r="J5997" s="3">
        <f t="shared" si="385"/>
        <v>1900</v>
      </c>
    </row>
    <row r="5998" spans="1:10" s="9" customFormat="1" x14ac:dyDescent="0.25">
      <c r="A5998" s="447"/>
      <c r="B5998" s="55" t="str">
        <f t="shared" si="382"/>
        <v>ENERO</v>
      </c>
      <c r="C5998" s="55">
        <f t="shared" si="383"/>
        <v>1</v>
      </c>
      <c r="D5998" s="3" t="str">
        <f t="shared" si="384"/>
        <v>SÁBADO</v>
      </c>
      <c r="E5998" s="427"/>
      <c r="F5998" s="31">
        <f>IFERROR(VLOOKUP(E5998,BD!$L$2:$Q$244,2,0),0)</f>
        <v>0</v>
      </c>
      <c r="G5998" s="424"/>
      <c r="H5998" s="31">
        <f>+IFERROR(VLOOKUP(E5998,BD!$L$2:$Q$244,6,0),0)</f>
        <v>0</v>
      </c>
      <c r="I5998" s="626">
        <f>IFERROR(G5998*VLOOKUP($E5998,BD!$L$2:$Q$244,5,0),0)</f>
        <v>0</v>
      </c>
      <c r="J5998" s="3">
        <f t="shared" si="385"/>
        <v>1900</v>
      </c>
    </row>
    <row r="5999" spans="1:10" s="9" customFormat="1" x14ac:dyDescent="0.25">
      <c r="A5999" s="447"/>
      <c r="B5999" s="55" t="str">
        <f t="shared" si="382"/>
        <v>ENERO</v>
      </c>
      <c r="C5999" s="55">
        <f t="shared" si="383"/>
        <v>1</v>
      </c>
      <c r="D5999" s="3" t="str">
        <f t="shared" si="384"/>
        <v>SÁBADO</v>
      </c>
      <c r="E5999" s="427"/>
      <c r="F5999" s="31">
        <f>IFERROR(VLOOKUP(E5999,BD!$L$2:$Q$244,2,0),0)</f>
        <v>0</v>
      </c>
      <c r="G5999" s="424"/>
      <c r="H5999" s="31">
        <f>+IFERROR(VLOOKUP(E5999,BD!$L$2:$Q$244,6,0),0)</f>
        <v>0</v>
      </c>
      <c r="I5999" s="626">
        <f>IFERROR(G5999*VLOOKUP($E5999,BD!$L$2:$Q$244,5,0),0)</f>
        <v>0</v>
      </c>
      <c r="J5999" s="3">
        <f t="shared" si="385"/>
        <v>1900</v>
      </c>
    </row>
    <row r="6000" spans="1:10" s="9" customFormat="1" x14ac:dyDescent="0.25">
      <c r="A6000" s="447"/>
      <c r="B6000" s="55" t="str">
        <f t="shared" si="382"/>
        <v>ENERO</v>
      </c>
      <c r="C6000" s="55">
        <f t="shared" si="383"/>
        <v>1</v>
      </c>
      <c r="D6000" s="3" t="str">
        <f t="shared" si="384"/>
        <v>SÁBADO</v>
      </c>
      <c r="E6000" s="427"/>
      <c r="F6000" s="31">
        <f>IFERROR(VLOOKUP(E6000,BD!$L$2:$Q$244,2,0),0)</f>
        <v>0</v>
      </c>
      <c r="G6000" s="424"/>
      <c r="H6000" s="31">
        <f>+IFERROR(VLOOKUP(E6000,BD!$L$2:$Q$244,6,0),0)</f>
        <v>0</v>
      </c>
      <c r="I6000" s="626">
        <f>IFERROR(G6000*VLOOKUP($E6000,BD!$L$2:$Q$244,5,0),0)</f>
        <v>0</v>
      </c>
      <c r="J6000" s="3">
        <f t="shared" si="385"/>
        <v>1900</v>
      </c>
    </row>
    <row r="6001" spans="1:10" s="9" customFormat="1" x14ac:dyDescent="0.25">
      <c r="A6001" s="447"/>
      <c r="B6001" s="55" t="str">
        <f t="shared" si="382"/>
        <v>ENERO</v>
      </c>
      <c r="C6001" s="55">
        <f t="shared" si="383"/>
        <v>1</v>
      </c>
      <c r="D6001" s="3" t="str">
        <f t="shared" si="384"/>
        <v>SÁBADO</v>
      </c>
      <c r="E6001" s="427"/>
      <c r="F6001" s="31">
        <f>IFERROR(VLOOKUP(E6001,BD!$L$2:$Q$244,2,0),0)</f>
        <v>0</v>
      </c>
      <c r="G6001" s="424"/>
      <c r="H6001" s="31">
        <f>+IFERROR(VLOOKUP(E6001,BD!$L$2:$Q$244,6,0),0)</f>
        <v>0</v>
      </c>
      <c r="I6001" s="626">
        <f>IFERROR(G6001*VLOOKUP($E6001,BD!$L$2:$Q$244,5,0),0)</f>
        <v>0</v>
      </c>
      <c r="J6001" s="3">
        <f t="shared" si="385"/>
        <v>1900</v>
      </c>
    </row>
    <row r="6002" spans="1:10" s="9" customFormat="1" x14ac:dyDescent="0.25">
      <c r="A6002" s="447"/>
      <c r="B6002" s="55" t="str">
        <f t="shared" si="382"/>
        <v>ENERO</v>
      </c>
      <c r="C6002" s="55">
        <f t="shared" si="383"/>
        <v>1</v>
      </c>
      <c r="D6002" s="3" t="str">
        <f t="shared" si="384"/>
        <v>SÁBADO</v>
      </c>
      <c r="E6002" s="427"/>
      <c r="F6002" s="31">
        <f>IFERROR(VLOOKUP(E6002,BD!$L$2:$Q$244,2,0),0)</f>
        <v>0</v>
      </c>
      <c r="G6002" s="424"/>
      <c r="H6002" s="31">
        <f>+IFERROR(VLOOKUP(E6002,BD!$L$2:$Q$244,6,0),0)</f>
        <v>0</v>
      </c>
      <c r="I6002" s="626">
        <f>IFERROR(G6002*VLOOKUP($E6002,BD!$L$2:$Q$244,5,0),0)</f>
        <v>0</v>
      </c>
      <c r="J6002" s="3">
        <f t="shared" si="385"/>
        <v>1900</v>
      </c>
    </row>
    <row r="6003" spans="1:10" s="9" customFormat="1" x14ac:dyDescent="0.25">
      <c r="A6003" s="447"/>
      <c r="B6003" s="55" t="str">
        <f t="shared" si="382"/>
        <v>ENERO</v>
      </c>
      <c r="C6003" s="55">
        <f t="shared" si="383"/>
        <v>1</v>
      </c>
      <c r="D6003" s="3" t="str">
        <f t="shared" si="384"/>
        <v>SÁBADO</v>
      </c>
      <c r="E6003" s="427"/>
      <c r="F6003" s="31">
        <f>IFERROR(VLOOKUP(E6003,BD!$L$2:$Q$244,2,0),0)</f>
        <v>0</v>
      </c>
      <c r="G6003" s="424"/>
      <c r="H6003" s="31">
        <f>+IFERROR(VLOOKUP(E6003,BD!$L$2:$Q$244,6,0),0)</f>
        <v>0</v>
      </c>
      <c r="I6003" s="626">
        <f>IFERROR(G6003*VLOOKUP($E6003,BD!$L$2:$Q$244,5,0),0)</f>
        <v>0</v>
      </c>
      <c r="J6003" s="3">
        <f t="shared" si="385"/>
        <v>1900</v>
      </c>
    </row>
    <row r="6004" spans="1:10" s="9" customFormat="1" x14ac:dyDescent="0.25">
      <c r="A6004" s="447"/>
      <c r="B6004" s="55" t="str">
        <f t="shared" si="382"/>
        <v>ENERO</v>
      </c>
      <c r="C6004" s="55">
        <f t="shared" si="383"/>
        <v>1</v>
      </c>
      <c r="D6004" s="3" t="str">
        <f t="shared" si="384"/>
        <v>SÁBADO</v>
      </c>
      <c r="E6004" s="427"/>
      <c r="F6004" s="31">
        <f>IFERROR(VLOOKUP(E6004,BD!$L$2:$Q$244,2,0),0)</f>
        <v>0</v>
      </c>
      <c r="G6004" s="424"/>
      <c r="H6004" s="31">
        <f>+IFERROR(VLOOKUP(E6004,BD!$L$2:$Q$244,6,0),0)</f>
        <v>0</v>
      </c>
      <c r="I6004" s="626">
        <f>IFERROR(G6004*VLOOKUP($E6004,BD!$L$2:$Q$244,5,0),0)</f>
        <v>0</v>
      </c>
      <c r="J6004" s="3">
        <f t="shared" si="385"/>
        <v>1900</v>
      </c>
    </row>
    <row r="6005" spans="1:10" s="9" customFormat="1" x14ac:dyDescent="0.25">
      <c r="A6005" s="447"/>
      <c r="B6005" s="55" t="str">
        <f t="shared" si="382"/>
        <v>ENERO</v>
      </c>
      <c r="C6005" s="55">
        <f t="shared" si="383"/>
        <v>1</v>
      </c>
      <c r="D6005" s="3" t="str">
        <f t="shared" si="384"/>
        <v>SÁBADO</v>
      </c>
      <c r="E6005" s="427"/>
      <c r="F6005" s="31">
        <f>IFERROR(VLOOKUP(E6005,BD!$L$2:$Q$244,2,0),0)</f>
        <v>0</v>
      </c>
      <c r="G6005" s="424"/>
      <c r="H6005" s="31">
        <f>+IFERROR(VLOOKUP(E6005,BD!$L$2:$Q$244,6,0),0)</f>
        <v>0</v>
      </c>
      <c r="I6005" s="626">
        <f>IFERROR(G6005*VLOOKUP($E6005,BD!$L$2:$Q$244,5,0),0)</f>
        <v>0</v>
      </c>
      <c r="J6005" s="3">
        <f t="shared" si="385"/>
        <v>1900</v>
      </c>
    </row>
    <row r="6006" spans="1:10" s="9" customFormat="1" x14ac:dyDescent="0.25">
      <c r="A6006" s="447"/>
      <c r="B6006" s="55" t="str">
        <f t="shared" si="382"/>
        <v>ENERO</v>
      </c>
      <c r="C6006" s="55">
        <f t="shared" si="383"/>
        <v>1</v>
      </c>
      <c r="D6006" s="3" t="str">
        <f t="shared" si="384"/>
        <v>SÁBADO</v>
      </c>
      <c r="E6006" s="427"/>
      <c r="F6006" s="31">
        <f>IFERROR(VLOOKUP(E6006,BD!$L$2:$Q$244,2,0),0)</f>
        <v>0</v>
      </c>
      <c r="G6006" s="424"/>
      <c r="H6006" s="31">
        <f>+IFERROR(VLOOKUP(E6006,BD!$L$2:$Q$244,6,0),0)</f>
        <v>0</v>
      </c>
      <c r="I6006" s="626">
        <f>IFERROR(G6006*VLOOKUP($E6006,BD!$L$2:$Q$244,5,0),0)</f>
        <v>0</v>
      </c>
      <c r="J6006" s="3">
        <f t="shared" si="385"/>
        <v>1900</v>
      </c>
    </row>
    <row r="6007" spans="1:10" s="9" customFormat="1" x14ac:dyDescent="0.25">
      <c r="A6007" s="447"/>
      <c r="B6007" s="55" t="str">
        <f t="shared" si="382"/>
        <v>ENERO</v>
      </c>
      <c r="C6007" s="55">
        <f t="shared" si="383"/>
        <v>1</v>
      </c>
      <c r="D6007" s="3" t="str">
        <f t="shared" si="384"/>
        <v>SÁBADO</v>
      </c>
      <c r="E6007" s="427"/>
      <c r="F6007" s="31">
        <f>IFERROR(VLOOKUP(E6007,BD!$L$2:$Q$244,2,0),0)</f>
        <v>0</v>
      </c>
      <c r="G6007" s="424"/>
      <c r="H6007" s="31">
        <f>+IFERROR(VLOOKUP(E6007,BD!$L$2:$Q$244,6,0),0)</f>
        <v>0</v>
      </c>
      <c r="I6007" s="626">
        <f>IFERROR(G6007*VLOOKUP($E6007,BD!$L$2:$Q$244,5,0),0)</f>
        <v>0</v>
      </c>
      <c r="J6007" s="3">
        <f t="shared" si="385"/>
        <v>1900</v>
      </c>
    </row>
    <row r="6008" spans="1:10" s="9" customFormat="1" x14ac:dyDescent="0.25">
      <c r="A6008" s="447"/>
      <c r="B6008" s="55" t="str">
        <f t="shared" si="382"/>
        <v>ENERO</v>
      </c>
      <c r="C6008" s="55">
        <f t="shared" si="383"/>
        <v>1</v>
      </c>
      <c r="D6008" s="3" t="str">
        <f t="shared" si="384"/>
        <v>SÁBADO</v>
      </c>
      <c r="E6008" s="427"/>
      <c r="F6008" s="31">
        <f>IFERROR(VLOOKUP(E6008,BD!$L$2:$Q$244,2,0),0)</f>
        <v>0</v>
      </c>
      <c r="G6008" s="424"/>
      <c r="H6008" s="31">
        <f>+IFERROR(VLOOKUP(E6008,BD!$L$2:$Q$244,6,0),0)</f>
        <v>0</v>
      </c>
      <c r="I6008" s="626">
        <f>IFERROR(G6008*VLOOKUP($E6008,BD!$L$2:$Q$244,5,0),0)</f>
        <v>0</v>
      </c>
      <c r="J6008" s="3">
        <f t="shared" si="385"/>
        <v>1900</v>
      </c>
    </row>
    <row r="6009" spans="1:10" s="9" customFormat="1" x14ac:dyDescent="0.25">
      <c r="A6009" s="447"/>
      <c r="B6009" s="55" t="str">
        <f t="shared" si="382"/>
        <v>ENERO</v>
      </c>
      <c r="C6009" s="55">
        <f t="shared" si="383"/>
        <v>1</v>
      </c>
      <c r="D6009" s="3" t="str">
        <f t="shared" si="384"/>
        <v>SÁBADO</v>
      </c>
      <c r="E6009" s="427"/>
      <c r="F6009" s="31">
        <f>IFERROR(VLOOKUP(E6009,BD!$L$2:$Q$244,2,0),0)</f>
        <v>0</v>
      </c>
      <c r="G6009" s="424"/>
      <c r="H6009" s="31">
        <f>+IFERROR(VLOOKUP(E6009,BD!$L$2:$Q$244,6,0),0)</f>
        <v>0</v>
      </c>
      <c r="I6009" s="626">
        <f>IFERROR(G6009*VLOOKUP($E6009,BD!$L$2:$Q$244,5,0),0)</f>
        <v>0</v>
      </c>
      <c r="J6009" s="3">
        <f t="shared" si="385"/>
        <v>1900</v>
      </c>
    </row>
    <row r="6010" spans="1:10" s="9" customFormat="1" x14ac:dyDescent="0.25">
      <c r="A6010" s="447"/>
      <c r="B6010" s="55" t="str">
        <f t="shared" si="382"/>
        <v>ENERO</v>
      </c>
      <c r="C6010" s="55">
        <f t="shared" si="383"/>
        <v>1</v>
      </c>
      <c r="D6010" s="3" t="str">
        <f t="shared" si="384"/>
        <v>SÁBADO</v>
      </c>
      <c r="E6010" s="427"/>
      <c r="F6010" s="31">
        <f>IFERROR(VLOOKUP(E6010,BD!$L$2:$Q$244,2,0),0)</f>
        <v>0</v>
      </c>
      <c r="G6010" s="425"/>
      <c r="H6010" s="31">
        <f>+IFERROR(VLOOKUP(E6010,BD!$L$2:$Q$244,6,0),0)</f>
        <v>0</v>
      </c>
      <c r="I6010" s="626">
        <f>IFERROR(G6010*VLOOKUP($E6010,BD!$L$2:$Q$244,5,0),0)</f>
        <v>0</v>
      </c>
      <c r="J6010" s="3">
        <f t="shared" si="385"/>
        <v>1900</v>
      </c>
    </row>
    <row r="6011" spans="1:10" s="9" customFormat="1" x14ac:dyDescent="0.25">
      <c r="A6011" s="447"/>
      <c r="B6011" s="55" t="str">
        <f t="shared" si="382"/>
        <v>ENERO</v>
      </c>
      <c r="C6011" s="55">
        <f t="shared" si="383"/>
        <v>1</v>
      </c>
      <c r="D6011" s="3" t="str">
        <f t="shared" si="384"/>
        <v>SÁBADO</v>
      </c>
      <c r="E6011" s="427"/>
      <c r="F6011" s="31">
        <f>IFERROR(VLOOKUP(E6011,BD!$L$2:$Q$244,2,0),0)</f>
        <v>0</v>
      </c>
      <c r="G6011" s="424"/>
      <c r="H6011" s="31">
        <f>+IFERROR(VLOOKUP(E6011,BD!$L$2:$Q$244,6,0),0)</f>
        <v>0</v>
      </c>
      <c r="I6011" s="626">
        <f>IFERROR(G6011*VLOOKUP($E6011,BD!$L$2:$Q$244,5,0),0)</f>
        <v>0</v>
      </c>
      <c r="J6011" s="3">
        <f t="shared" si="385"/>
        <v>1900</v>
      </c>
    </row>
    <row r="6012" spans="1:10" s="9" customFormat="1" x14ac:dyDescent="0.25">
      <c r="A6012" s="447"/>
      <c r="B6012" s="55" t="str">
        <f t="shared" si="382"/>
        <v>ENERO</v>
      </c>
      <c r="C6012" s="55">
        <f t="shared" si="383"/>
        <v>1</v>
      </c>
      <c r="D6012" s="3" t="str">
        <f t="shared" si="384"/>
        <v>SÁBADO</v>
      </c>
      <c r="E6012" s="427"/>
      <c r="F6012" s="31">
        <f>IFERROR(VLOOKUP(E6012,BD!$L$2:$Q$244,2,0),0)</f>
        <v>0</v>
      </c>
      <c r="G6012" s="424"/>
      <c r="H6012" s="31">
        <f>+IFERROR(VLOOKUP(E6012,BD!$L$2:$Q$244,6,0),0)</f>
        <v>0</v>
      </c>
      <c r="I6012" s="626">
        <f>IFERROR(G6012*VLOOKUP($E6012,BD!$L$2:$Q$244,5,0),0)</f>
        <v>0</v>
      </c>
      <c r="J6012" s="3">
        <f t="shared" si="385"/>
        <v>1900</v>
      </c>
    </row>
    <row r="6013" spans="1:10" s="9" customFormat="1" x14ac:dyDescent="0.25">
      <c r="A6013" s="447"/>
      <c r="B6013" s="55" t="str">
        <f t="shared" ref="B6013:B6076" si="386">UPPER(TEXT(A6013,"MMMM"))</f>
        <v>ENERO</v>
      </c>
      <c r="C6013" s="55">
        <f t="shared" ref="C6013:C6076" si="387">WEEKNUM(A6013,16)</f>
        <v>1</v>
      </c>
      <c r="D6013" s="3" t="str">
        <f t="shared" ref="D6013:D6076" si="388">UPPER(TEXT(A6013,"DDDD"))</f>
        <v>SÁBADO</v>
      </c>
      <c r="E6013" s="427"/>
      <c r="F6013" s="31">
        <f>IFERROR(VLOOKUP(E6013,BD!$L$2:$Q$244,2,0),0)</f>
        <v>0</v>
      </c>
      <c r="G6013" s="424"/>
      <c r="H6013" s="31">
        <f>+IFERROR(VLOOKUP(E6013,BD!$L$2:$Q$244,6,0),0)</f>
        <v>0</v>
      </c>
      <c r="I6013" s="626">
        <f>IFERROR(G6013*VLOOKUP($E6013,BD!$L$2:$Q$244,5,0),0)</f>
        <v>0</v>
      </c>
      <c r="J6013" s="3">
        <f t="shared" ref="J6013:J6076" si="389">+YEAR(A6013)</f>
        <v>1900</v>
      </c>
    </row>
    <row r="6014" spans="1:10" s="9" customFormat="1" x14ac:dyDescent="0.25">
      <c r="A6014" s="447"/>
      <c r="B6014" s="55" t="str">
        <f t="shared" si="386"/>
        <v>ENERO</v>
      </c>
      <c r="C6014" s="55">
        <f t="shared" si="387"/>
        <v>1</v>
      </c>
      <c r="D6014" s="3" t="str">
        <f t="shared" si="388"/>
        <v>SÁBADO</v>
      </c>
      <c r="E6014" s="427"/>
      <c r="F6014" s="31">
        <f>IFERROR(VLOOKUP(E6014,BD!$L$2:$Q$244,2,0),0)</f>
        <v>0</v>
      </c>
      <c r="G6014" s="424"/>
      <c r="H6014" s="31">
        <f>+IFERROR(VLOOKUP(E6014,BD!$L$2:$Q$244,6,0),0)</f>
        <v>0</v>
      </c>
      <c r="I6014" s="626">
        <f>IFERROR(G6014*VLOOKUP($E6014,BD!$L$2:$Q$244,5,0),0)</f>
        <v>0</v>
      </c>
      <c r="J6014" s="3">
        <f t="shared" si="389"/>
        <v>1900</v>
      </c>
    </row>
    <row r="6015" spans="1:10" s="9" customFormat="1" x14ac:dyDescent="0.25">
      <c r="A6015" s="447"/>
      <c r="B6015" s="55" t="str">
        <f t="shared" si="386"/>
        <v>ENERO</v>
      </c>
      <c r="C6015" s="55">
        <f t="shared" si="387"/>
        <v>1</v>
      </c>
      <c r="D6015" s="3" t="str">
        <f t="shared" si="388"/>
        <v>SÁBADO</v>
      </c>
      <c r="E6015" s="427"/>
      <c r="F6015" s="31">
        <f>IFERROR(VLOOKUP(E6015,BD!$L$2:$Q$244,2,0),0)</f>
        <v>0</v>
      </c>
      <c r="G6015" s="424"/>
      <c r="H6015" s="31">
        <f>+IFERROR(VLOOKUP(E6015,BD!$L$2:$Q$244,6,0),0)</f>
        <v>0</v>
      </c>
      <c r="I6015" s="626">
        <f>IFERROR(G6015*VLOOKUP($E6015,BD!$L$2:$Q$244,5,0),0)</f>
        <v>0</v>
      </c>
      <c r="J6015" s="3">
        <f t="shared" si="389"/>
        <v>1900</v>
      </c>
    </row>
    <row r="6016" spans="1:10" s="9" customFormat="1" x14ac:dyDescent="0.25">
      <c r="A6016" s="447"/>
      <c r="B6016" s="55" t="str">
        <f t="shared" si="386"/>
        <v>ENERO</v>
      </c>
      <c r="C6016" s="55">
        <f t="shared" si="387"/>
        <v>1</v>
      </c>
      <c r="D6016" s="3" t="str">
        <f t="shared" si="388"/>
        <v>SÁBADO</v>
      </c>
      <c r="E6016" s="427"/>
      <c r="F6016" s="31">
        <f>IFERROR(VLOOKUP(E6016,BD!$L$2:$Q$244,2,0),0)</f>
        <v>0</v>
      </c>
      <c r="G6016" s="424"/>
      <c r="H6016" s="31">
        <f>+IFERROR(VLOOKUP(E6016,BD!$L$2:$Q$244,6,0),0)</f>
        <v>0</v>
      </c>
      <c r="I6016" s="626">
        <f>IFERROR(G6016*VLOOKUP($E6016,BD!$L$2:$Q$244,5,0),0)</f>
        <v>0</v>
      </c>
      <c r="J6016" s="3">
        <f t="shared" si="389"/>
        <v>1900</v>
      </c>
    </row>
    <row r="6017" spans="1:10" s="9" customFormat="1" x14ac:dyDescent="0.25">
      <c r="A6017" s="447"/>
      <c r="B6017" s="55" t="str">
        <f t="shared" si="386"/>
        <v>ENERO</v>
      </c>
      <c r="C6017" s="55">
        <f t="shared" si="387"/>
        <v>1</v>
      </c>
      <c r="D6017" s="3" t="str">
        <f t="shared" si="388"/>
        <v>SÁBADO</v>
      </c>
      <c r="E6017" s="427"/>
      <c r="F6017" s="31">
        <f>IFERROR(VLOOKUP(E6017,BD!$L$2:$Q$244,2,0),0)</f>
        <v>0</v>
      </c>
      <c r="G6017" s="424"/>
      <c r="H6017" s="31">
        <f>+IFERROR(VLOOKUP(E6017,BD!$L$2:$Q$244,6,0),0)</f>
        <v>0</v>
      </c>
      <c r="I6017" s="626">
        <f>IFERROR(G6017*VLOOKUP($E6017,BD!$L$2:$Q$244,5,0),0)</f>
        <v>0</v>
      </c>
      <c r="J6017" s="3">
        <f t="shared" si="389"/>
        <v>1900</v>
      </c>
    </row>
    <row r="6018" spans="1:10" s="9" customFormat="1" x14ac:dyDescent="0.25">
      <c r="A6018" s="447"/>
      <c r="B6018" s="55" t="str">
        <f t="shared" si="386"/>
        <v>ENERO</v>
      </c>
      <c r="C6018" s="55">
        <f t="shared" si="387"/>
        <v>1</v>
      </c>
      <c r="D6018" s="3" t="str">
        <f t="shared" si="388"/>
        <v>SÁBADO</v>
      </c>
      <c r="E6018" s="427"/>
      <c r="F6018" s="31">
        <f>IFERROR(VLOOKUP(E6018,BD!$L$2:$Q$244,2,0),0)</f>
        <v>0</v>
      </c>
      <c r="G6018" s="424"/>
      <c r="H6018" s="31">
        <f>+IFERROR(VLOOKUP(E6018,BD!$L$2:$Q$244,6,0),0)</f>
        <v>0</v>
      </c>
      <c r="I6018" s="626">
        <f>IFERROR(G6018*VLOOKUP($E6018,BD!$L$2:$Q$244,5,0),0)</f>
        <v>0</v>
      </c>
      <c r="J6018" s="3">
        <f t="shared" si="389"/>
        <v>1900</v>
      </c>
    </row>
    <row r="6019" spans="1:10" s="9" customFormat="1" x14ac:dyDescent="0.25">
      <c r="A6019" s="447"/>
      <c r="B6019" s="55" t="str">
        <f t="shared" si="386"/>
        <v>ENERO</v>
      </c>
      <c r="C6019" s="55">
        <f t="shared" si="387"/>
        <v>1</v>
      </c>
      <c r="D6019" s="3" t="str">
        <f t="shared" si="388"/>
        <v>SÁBADO</v>
      </c>
      <c r="E6019" s="427"/>
      <c r="F6019" s="31">
        <f>IFERROR(VLOOKUP(E6019,BD!$L$2:$Q$244,2,0),0)</f>
        <v>0</v>
      </c>
      <c r="G6019" s="424"/>
      <c r="H6019" s="31">
        <f>+IFERROR(VLOOKUP(E6019,BD!$L$2:$Q$244,6,0),0)</f>
        <v>0</v>
      </c>
      <c r="I6019" s="626">
        <f>IFERROR(G6019*VLOOKUP($E6019,BD!$L$2:$Q$244,5,0),0)</f>
        <v>0</v>
      </c>
      <c r="J6019" s="3">
        <f t="shared" si="389"/>
        <v>1900</v>
      </c>
    </row>
    <row r="6020" spans="1:10" s="9" customFormat="1" x14ac:dyDescent="0.25">
      <c r="A6020" s="447"/>
      <c r="B6020" s="55" t="str">
        <f t="shared" si="386"/>
        <v>ENERO</v>
      </c>
      <c r="C6020" s="55">
        <f t="shared" si="387"/>
        <v>1</v>
      </c>
      <c r="D6020" s="3" t="str">
        <f t="shared" si="388"/>
        <v>SÁBADO</v>
      </c>
      <c r="E6020" s="427"/>
      <c r="F6020" s="31">
        <f>IFERROR(VLOOKUP(E6020,BD!$L$2:$Q$244,2,0),0)</f>
        <v>0</v>
      </c>
      <c r="G6020" s="424"/>
      <c r="H6020" s="31">
        <f>+IFERROR(VLOOKUP(E6020,BD!$L$2:$Q$244,6,0),0)</f>
        <v>0</v>
      </c>
      <c r="I6020" s="626">
        <f>IFERROR(G6020*VLOOKUP($E6020,BD!$L$2:$Q$244,5,0),0)</f>
        <v>0</v>
      </c>
      <c r="J6020" s="3">
        <f t="shared" si="389"/>
        <v>1900</v>
      </c>
    </row>
    <row r="6021" spans="1:10" s="9" customFormat="1" x14ac:dyDescent="0.25">
      <c r="A6021" s="447"/>
      <c r="B6021" s="55" t="str">
        <f t="shared" si="386"/>
        <v>ENERO</v>
      </c>
      <c r="C6021" s="55">
        <f t="shared" si="387"/>
        <v>1</v>
      </c>
      <c r="D6021" s="3" t="str">
        <f t="shared" si="388"/>
        <v>SÁBADO</v>
      </c>
      <c r="E6021" s="427"/>
      <c r="F6021" s="31">
        <f>IFERROR(VLOOKUP(E6021,BD!$L$2:$Q$244,2,0),0)</f>
        <v>0</v>
      </c>
      <c r="G6021" s="424"/>
      <c r="H6021" s="31">
        <f>+IFERROR(VLOOKUP(E6021,BD!$L$2:$Q$244,6,0),0)</f>
        <v>0</v>
      </c>
      <c r="I6021" s="626">
        <f>IFERROR(G6021*VLOOKUP($E6021,BD!$L$2:$Q$244,5,0),0)</f>
        <v>0</v>
      </c>
      <c r="J6021" s="3">
        <f t="shared" si="389"/>
        <v>1900</v>
      </c>
    </row>
    <row r="6022" spans="1:10" s="9" customFormat="1" x14ac:dyDescent="0.25">
      <c r="A6022" s="447"/>
      <c r="B6022" s="55" t="str">
        <f t="shared" si="386"/>
        <v>ENERO</v>
      </c>
      <c r="C6022" s="55">
        <f t="shared" si="387"/>
        <v>1</v>
      </c>
      <c r="D6022" s="3" t="str">
        <f t="shared" si="388"/>
        <v>SÁBADO</v>
      </c>
      <c r="E6022" s="427"/>
      <c r="F6022" s="31">
        <f>IFERROR(VLOOKUP(E6022,BD!$L$2:$Q$244,2,0),0)</f>
        <v>0</v>
      </c>
      <c r="G6022" s="424"/>
      <c r="H6022" s="31">
        <f>+IFERROR(VLOOKUP(E6022,BD!$L$2:$Q$244,6,0),0)</f>
        <v>0</v>
      </c>
      <c r="I6022" s="626">
        <f>IFERROR(G6022*VLOOKUP($E6022,BD!$L$2:$Q$244,5,0),0)</f>
        <v>0</v>
      </c>
      <c r="J6022" s="3">
        <f t="shared" si="389"/>
        <v>1900</v>
      </c>
    </row>
    <row r="6023" spans="1:10" s="9" customFormat="1" x14ac:dyDescent="0.25">
      <c r="A6023" s="447"/>
      <c r="B6023" s="55" t="str">
        <f t="shared" si="386"/>
        <v>ENERO</v>
      </c>
      <c r="C6023" s="55">
        <f t="shared" si="387"/>
        <v>1</v>
      </c>
      <c r="D6023" s="3" t="str">
        <f t="shared" si="388"/>
        <v>SÁBADO</v>
      </c>
      <c r="E6023" s="427"/>
      <c r="F6023" s="31">
        <f>IFERROR(VLOOKUP(E6023,BD!$L$2:$Q$244,2,0),0)</f>
        <v>0</v>
      </c>
      <c r="G6023" s="424"/>
      <c r="H6023" s="31">
        <f>+IFERROR(VLOOKUP(E6023,BD!$L$2:$Q$244,6,0),0)</f>
        <v>0</v>
      </c>
      <c r="I6023" s="626">
        <f>IFERROR(G6023*VLOOKUP($E6023,BD!$L$2:$Q$244,5,0),0)</f>
        <v>0</v>
      </c>
      <c r="J6023" s="3">
        <f t="shared" si="389"/>
        <v>1900</v>
      </c>
    </row>
    <row r="6024" spans="1:10" s="9" customFormat="1" x14ac:dyDescent="0.25">
      <c r="A6024" s="447"/>
      <c r="B6024" s="55" t="str">
        <f t="shared" si="386"/>
        <v>ENERO</v>
      </c>
      <c r="C6024" s="55">
        <f t="shared" si="387"/>
        <v>1</v>
      </c>
      <c r="D6024" s="3" t="str">
        <f t="shared" si="388"/>
        <v>SÁBADO</v>
      </c>
      <c r="E6024" s="427"/>
      <c r="F6024" s="31">
        <f>IFERROR(VLOOKUP(E6024,BD!$L$2:$Q$244,2,0),0)</f>
        <v>0</v>
      </c>
      <c r="G6024" s="425"/>
      <c r="H6024" s="31">
        <f>+IFERROR(VLOOKUP(E6024,BD!$L$2:$Q$244,6,0),0)</f>
        <v>0</v>
      </c>
      <c r="I6024" s="626">
        <f>IFERROR(G6024*VLOOKUP($E6024,BD!$L$2:$Q$244,5,0),0)</f>
        <v>0</v>
      </c>
      <c r="J6024" s="3">
        <f t="shared" si="389"/>
        <v>1900</v>
      </c>
    </row>
    <row r="6025" spans="1:10" s="9" customFormat="1" x14ac:dyDescent="0.25">
      <c r="A6025" s="447"/>
      <c r="B6025" s="55" t="str">
        <f t="shared" si="386"/>
        <v>ENERO</v>
      </c>
      <c r="C6025" s="55">
        <f t="shared" si="387"/>
        <v>1</v>
      </c>
      <c r="D6025" s="3" t="str">
        <f t="shared" si="388"/>
        <v>SÁBADO</v>
      </c>
      <c r="E6025" s="427"/>
      <c r="F6025" s="31">
        <f>IFERROR(VLOOKUP(E6025,BD!$L$2:$Q$244,2,0),0)</f>
        <v>0</v>
      </c>
      <c r="G6025" s="424"/>
      <c r="H6025" s="31">
        <f>+IFERROR(VLOOKUP(E6025,BD!$L$2:$Q$244,6,0),0)</f>
        <v>0</v>
      </c>
      <c r="I6025" s="626">
        <f>IFERROR(G6025*VLOOKUP($E6025,BD!$L$2:$Q$244,5,0),0)</f>
        <v>0</v>
      </c>
      <c r="J6025" s="3">
        <f t="shared" si="389"/>
        <v>1900</v>
      </c>
    </row>
    <row r="6026" spans="1:10" s="9" customFormat="1" x14ac:dyDescent="0.25">
      <c r="A6026" s="447"/>
      <c r="B6026" s="55" t="str">
        <f t="shared" si="386"/>
        <v>ENERO</v>
      </c>
      <c r="C6026" s="55">
        <f t="shared" si="387"/>
        <v>1</v>
      </c>
      <c r="D6026" s="3" t="str">
        <f t="shared" si="388"/>
        <v>SÁBADO</v>
      </c>
      <c r="E6026" s="427"/>
      <c r="F6026" s="31">
        <f>IFERROR(VLOOKUP(E6026,BD!$L$2:$Q$244,2,0),0)</f>
        <v>0</v>
      </c>
      <c r="G6026" s="424"/>
      <c r="H6026" s="31">
        <f>+IFERROR(VLOOKUP(E6026,BD!$L$2:$Q$244,6,0),0)</f>
        <v>0</v>
      </c>
      <c r="I6026" s="626">
        <f>IFERROR(G6026*VLOOKUP($E6026,BD!$L$2:$Q$244,5,0),0)</f>
        <v>0</v>
      </c>
      <c r="J6026" s="3">
        <f t="shared" si="389"/>
        <v>1900</v>
      </c>
    </row>
    <row r="6027" spans="1:10" s="9" customFormat="1" x14ac:dyDescent="0.25">
      <c r="A6027" s="447"/>
      <c r="B6027" s="55" t="str">
        <f t="shared" si="386"/>
        <v>ENERO</v>
      </c>
      <c r="C6027" s="55">
        <f t="shared" si="387"/>
        <v>1</v>
      </c>
      <c r="D6027" s="3" t="str">
        <f t="shared" si="388"/>
        <v>SÁBADO</v>
      </c>
      <c r="E6027" s="427"/>
      <c r="F6027" s="31">
        <f>IFERROR(VLOOKUP(E6027,BD!$L$2:$Q$244,2,0),0)</f>
        <v>0</v>
      </c>
      <c r="G6027" s="424"/>
      <c r="H6027" s="31">
        <f>+IFERROR(VLOOKUP(E6027,BD!$L$2:$Q$244,6,0),0)</f>
        <v>0</v>
      </c>
      <c r="I6027" s="626">
        <f>IFERROR(G6027*VLOOKUP($E6027,BD!$L$2:$Q$244,5,0),0)</f>
        <v>0</v>
      </c>
      <c r="J6027" s="3">
        <f t="shared" si="389"/>
        <v>1900</v>
      </c>
    </row>
    <row r="6028" spans="1:10" s="9" customFormat="1" x14ac:dyDescent="0.25">
      <c r="A6028" s="447"/>
      <c r="B6028" s="55" t="str">
        <f t="shared" si="386"/>
        <v>ENERO</v>
      </c>
      <c r="C6028" s="55">
        <f t="shared" si="387"/>
        <v>1</v>
      </c>
      <c r="D6028" s="3" t="str">
        <f t="shared" si="388"/>
        <v>SÁBADO</v>
      </c>
      <c r="E6028" s="427"/>
      <c r="F6028" s="31">
        <f>IFERROR(VLOOKUP(E6028,BD!$L$2:$Q$244,2,0),0)</f>
        <v>0</v>
      </c>
      <c r="G6028" s="424"/>
      <c r="H6028" s="31">
        <f>+IFERROR(VLOOKUP(E6028,BD!$L$2:$Q$244,6,0),0)</f>
        <v>0</v>
      </c>
      <c r="I6028" s="626">
        <f>IFERROR(G6028*VLOOKUP($E6028,BD!$L$2:$Q$244,5,0),0)</f>
        <v>0</v>
      </c>
      <c r="J6028" s="3">
        <f t="shared" si="389"/>
        <v>1900</v>
      </c>
    </row>
    <row r="6029" spans="1:10" s="9" customFormat="1" x14ac:dyDescent="0.25">
      <c r="A6029" s="447"/>
      <c r="B6029" s="55" t="str">
        <f t="shared" si="386"/>
        <v>ENERO</v>
      </c>
      <c r="C6029" s="55">
        <f t="shared" si="387"/>
        <v>1</v>
      </c>
      <c r="D6029" s="3" t="str">
        <f t="shared" si="388"/>
        <v>SÁBADO</v>
      </c>
      <c r="E6029" s="427"/>
      <c r="F6029" s="31">
        <f>IFERROR(VLOOKUP(E6029,BD!$L$2:$Q$244,2,0),0)</f>
        <v>0</v>
      </c>
      <c r="G6029" s="424"/>
      <c r="H6029" s="31">
        <f>+IFERROR(VLOOKUP(E6029,BD!$L$2:$Q$244,6,0),0)</f>
        <v>0</v>
      </c>
      <c r="I6029" s="626">
        <f>IFERROR(G6029*VLOOKUP($E6029,BD!$L$2:$Q$244,5,0),0)</f>
        <v>0</v>
      </c>
      <c r="J6029" s="3">
        <f t="shared" si="389"/>
        <v>1900</v>
      </c>
    </row>
    <row r="6030" spans="1:10" s="9" customFormat="1" x14ac:dyDescent="0.25">
      <c r="A6030" s="447"/>
      <c r="B6030" s="55" t="str">
        <f t="shared" si="386"/>
        <v>ENERO</v>
      </c>
      <c r="C6030" s="55">
        <f t="shared" si="387"/>
        <v>1</v>
      </c>
      <c r="D6030" s="3" t="str">
        <f t="shared" si="388"/>
        <v>SÁBADO</v>
      </c>
      <c r="E6030" s="427"/>
      <c r="F6030" s="31">
        <f>IFERROR(VLOOKUP(E6030,BD!$L$2:$Q$244,2,0),0)</f>
        <v>0</v>
      </c>
      <c r="G6030" s="424"/>
      <c r="H6030" s="31">
        <f>+IFERROR(VLOOKUP(E6030,BD!$L$2:$Q$244,6,0),0)</f>
        <v>0</v>
      </c>
      <c r="I6030" s="626">
        <f>IFERROR(G6030*VLOOKUP($E6030,BD!$L$2:$Q$244,5,0),0)</f>
        <v>0</v>
      </c>
      <c r="J6030" s="3">
        <f t="shared" si="389"/>
        <v>1900</v>
      </c>
    </row>
    <row r="6031" spans="1:10" s="9" customFormat="1" x14ac:dyDescent="0.25">
      <c r="A6031" s="447"/>
      <c r="B6031" s="55" t="str">
        <f t="shared" si="386"/>
        <v>ENERO</v>
      </c>
      <c r="C6031" s="55">
        <f t="shared" si="387"/>
        <v>1</v>
      </c>
      <c r="D6031" s="3" t="str">
        <f t="shared" si="388"/>
        <v>SÁBADO</v>
      </c>
      <c r="E6031" s="427"/>
      <c r="F6031" s="31">
        <f>IFERROR(VLOOKUP(E6031,BD!$L$2:$Q$244,2,0),0)</f>
        <v>0</v>
      </c>
      <c r="G6031" s="424"/>
      <c r="H6031" s="31">
        <f>+IFERROR(VLOOKUP(E6031,BD!$L$2:$Q$244,6,0),0)</f>
        <v>0</v>
      </c>
      <c r="I6031" s="626">
        <f>IFERROR(G6031*VLOOKUP($E6031,BD!$L$2:$Q$244,5,0),0)</f>
        <v>0</v>
      </c>
      <c r="J6031" s="3">
        <f t="shared" si="389"/>
        <v>1900</v>
      </c>
    </row>
    <row r="6032" spans="1:10" s="9" customFormat="1" x14ac:dyDescent="0.25">
      <c r="A6032" s="447"/>
      <c r="B6032" s="55" t="str">
        <f t="shared" si="386"/>
        <v>ENERO</v>
      </c>
      <c r="C6032" s="55">
        <f t="shared" si="387"/>
        <v>1</v>
      </c>
      <c r="D6032" s="3" t="str">
        <f t="shared" si="388"/>
        <v>SÁBADO</v>
      </c>
      <c r="E6032" s="427"/>
      <c r="F6032" s="31">
        <f>IFERROR(VLOOKUP(E6032,BD!$L$2:$Q$244,2,0),0)</f>
        <v>0</v>
      </c>
      <c r="G6032" s="424"/>
      <c r="H6032" s="31">
        <f>+IFERROR(VLOOKUP(E6032,BD!$L$2:$Q$244,6,0),0)</f>
        <v>0</v>
      </c>
      <c r="I6032" s="626">
        <f>IFERROR(G6032*VLOOKUP($E6032,BD!$L$2:$Q$244,5,0),0)</f>
        <v>0</v>
      </c>
      <c r="J6032" s="3">
        <f t="shared" si="389"/>
        <v>1900</v>
      </c>
    </row>
    <row r="6033" spans="1:10" s="9" customFormat="1" x14ac:dyDescent="0.25">
      <c r="A6033" s="447"/>
      <c r="B6033" s="55" t="str">
        <f t="shared" si="386"/>
        <v>ENERO</v>
      </c>
      <c r="C6033" s="55">
        <f t="shared" si="387"/>
        <v>1</v>
      </c>
      <c r="D6033" s="3" t="str">
        <f t="shared" si="388"/>
        <v>SÁBADO</v>
      </c>
      <c r="E6033" s="427"/>
      <c r="F6033" s="31">
        <f>IFERROR(VLOOKUP(E6033,BD!$L$2:$Q$244,2,0),0)</f>
        <v>0</v>
      </c>
      <c r="G6033" s="424"/>
      <c r="H6033" s="31">
        <f>+IFERROR(VLOOKUP(E6033,BD!$L$2:$Q$244,6,0),0)</f>
        <v>0</v>
      </c>
      <c r="I6033" s="626">
        <f>IFERROR(G6033*VLOOKUP($E6033,BD!$L$2:$Q$244,5,0),0)</f>
        <v>0</v>
      </c>
      <c r="J6033" s="3">
        <f t="shared" si="389"/>
        <v>1900</v>
      </c>
    </row>
    <row r="6034" spans="1:10" s="9" customFormat="1" x14ac:dyDescent="0.25">
      <c r="A6034" s="447"/>
      <c r="B6034" s="55" t="str">
        <f t="shared" si="386"/>
        <v>ENERO</v>
      </c>
      <c r="C6034" s="55">
        <f t="shared" si="387"/>
        <v>1</v>
      </c>
      <c r="D6034" s="3" t="str">
        <f t="shared" si="388"/>
        <v>SÁBADO</v>
      </c>
      <c r="E6034" s="427"/>
      <c r="F6034" s="31">
        <f>IFERROR(VLOOKUP(E6034,BD!$L$2:$Q$244,2,0),0)</f>
        <v>0</v>
      </c>
      <c r="G6034" s="424"/>
      <c r="H6034" s="31">
        <f>+IFERROR(VLOOKUP(E6034,BD!$L$2:$Q$244,6,0),0)</f>
        <v>0</v>
      </c>
      <c r="I6034" s="626">
        <f>IFERROR(G6034*VLOOKUP($E6034,BD!$L$2:$Q$244,5,0),0)</f>
        <v>0</v>
      </c>
      <c r="J6034" s="3">
        <f t="shared" si="389"/>
        <v>1900</v>
      </c>
    </row>
    <row r="6035" spans="1:10" s="9" customFormat="1" x14ac:dyDescent="0.25">
      <c r="A6035" s="447"/>
      <c r="B6035" s="55" t="str">
        <f t="shared" si="386"/>
        <v>ENERO</v>
      </c>
      <c r="C6035" s="55">
        <f t="shared" si="387"/>
        <v>1</v>
      </c>
      <c r="D6035" s="3" t="str">
        <f t="shared" si="388"/>
        <v>SÁBADO</v>
      </c>
      <c r="E6035" s="427"/>
      <c r="F6035" s="31">
        <f>IFERROR(VLOOKUP(E6035,BD!$L$2:$Q$244,2,0),0)</f>
        <v>0</v>
      </c>
      <c r="G6035" s="424"/>
      <c r="H6035" s="31">
        <f>+IFERROR(VLOOKUP(E6035,BD!$L$2:$Q$244,6,0),0)</f>
        <v>0</v>
      </c>
      <c r="I6035" s="626">
        <f>IFERROR(G6035*VLOOKUP($E6035,BD!$L$2:$Q$244,5,0),0)</f>
        <v>0</v>
      </c>
      <c r="J6035" s="3">
        <f t="shared" si="389"/>
        <v>1900</v>
      </c>
    </row>
    <row r="6036" spans="1:10" s="9" customFormat="1" x14ac:dyDescent="0.25">
      <c r="A6036" s="447"/>
      <c r="B6036" s="55" t="str">
        <f t="shared" si="386"/>
        <v>ENERO</v>
      </c>
      <c r="C6036" s="55">
        <f t="shared" si="387"/>
        <v>1</v>
      </c>
      <c r="D6036" s="3" t="str">
        <f t="shared" si="388"/>
        <v>SÁBADO</v>
      </c>
      <c r="E6036" s="427"/>
      <c r="F6036" s="31">
        <f>IFERROR(VLOOKUP(E6036,BD!$L$2:$Q$244,2,0),0)</f>
        <v>0</v>
      </c>
      <c r="G6036" s="424"/>
      <c r="H6036" s="31">
        <f>+IFERROR(VLOOKUP(E6036,BD!$L$2:$Q$244,6,0),0)</f>
        <v>0</v>
      </c>
      <c r="I6036" s="626">
        <f>IFERROR(G6036*VLOOKUP($E6036,BD!$L$2:$Q$244,5,0),0)</f>
        <v>0</v>
      </c>
      <c r="J6036" s="3">
        <f t="shared" si="389"/>
        <v>1900</v>
      </c>
    </row>
    <row r="6037" spans="1:10" s="9" customFormat="1" x14ac:dyDescent="0.25">
      <c r="A6037" s="447"/>
      <c r="B6037" s="55" t="str">
        <f t="shared" si="386"/>
        <v>ENERO</v>
      </c>
      <c r="C6037" s="55">
        <f t="shared" si="387"/>
        <v>1</v>
      </c>
      <c r="D6037" s="3" t="str">
        <f t="shared" si="388"/>
        <v>SÁBADO</v>
      </c>
      <c r="E6037" s="427"/>
      <c r="F6037" s="31">
        <f>IFERROR(VLOOKUP(E6037,BD!$L$2:$Q$244,2,0),0)</f>
        <v>0</v>
      </c>
      <c r="G6037" s="424"/>
      <c r="H6037" s="31">
        <f>+IFERROR(VLOOKUP(E6037,BD!$L$2:$Q$244,6,0),0)</f>
        <v>0</v>
      </c>
      <c r="I6037" s="626">
        <f>IFERROR(G6037*VLOOKUP($E6037,BD!$L$2:$Q$244,5,0),0)</f>
        <v>0</v>
      </c>
      <c r="J6037" s="3">
        <f t="shared" si="389"/>
        <v>1900</v>
      </c>
    </row>
    <row r="6038" spans="1:10" s="9" customFormat="1" x14ac:dyDescent="0.25">
      <c r="A6038" s="447"/>
      <c r="B6038" s="55" t="str">
        <f t="shared" si="386"/>
        <v>ENERO</v>
      </c>
      <c r="C6038" s="55">
        <f t="shared" si="387"/>
        <v>1</v>
      </c>
      <c r="D6038" s="3" t="str">
        <f t="shared" si="388"/>
        <v>SÁBADO</v>
      </c>
      <c r="E6038" s="427"/>
      <c r="F6038" s="31">
        <f>IFERROR(VLOOKUP(E6038,BD!$L$2:$Q$244,2,0),0)</f>
        <v>0</v>
      </c>
      <c r="G6038" s="425"/>
      <c r="H6038" s="31">
        <f>+IFERROR(VLOOKUP(E6038,BD!$L$2:$Q$244,6,0),0)</f>
        <v>0</v>
      </c>
      <c r="I6038" s="626">
        <f>IFERROR(G6038*VLOOKUP($E6038,BD!$L$2:$Q$244,5,0),0)</f>
        <v>0</v>
      </c>
      <c r="J6038" s="3">
        <f t="shared" si="389"/>
        <v>1900</v>
      </c>
    </row>
    <row r="6039" spans="1:10" s="9" customFormat="1" x14ac:dyDescent="0.25">
      <c r="A6039" s="447"/>
      <c r="B6039" s="55" t="str">
        <f t="shared" si="386"/>
        <v>ENERO</v>
      </c>
      <c r="C6039" s="55">
        <f t="shared" si="387"/>
        <v>1</v>
      </c>
      <c r="D6039" s="3" t="str">
        <f t="shared" si="388"/>
        <v>SÁBADO</v>
      </c>
      <c r="E6039" s="427"/>
      <c r="F6039" s="31">
        <f>IFERROR(VLOOKUP(E6039,BD!$L$2:$Q$244,2,0),0)</f>
        <v>0</v>
      </c>
      <c r="G6039" s="424"/>
      <c r="H6039" s="31">
        <f>+IFERROR(VLOOKUP(E6039,BD!$L$2:$Q$244,6,0),0)</f>
        <v>0</v>
      </c>
      <c r="I6039" s="626">
        <f>IFERROR(G6039*VLOOKUP($E6039,BD!$L$2:$Q$244,5,0),0)</f>
        <v>0</v>
      </c>
      <c r="J6039" s="3">
        <f t="shared" si="389"/>
        <v>1900</v>
      </c>
    </row>
    <row r="6040" spans="1:10" s="9" customFormat="1" x14ac:dyDescent="0.25">
      <c r="A6040" s="447"/>
      <c r="B6040" s="55" t="str">
        <f t="shared" si="386"/>
        <v>ENERO</v>
      </c>
      <c r="C6040" s="55">
        <f t="shared" si="387"/>
        <v>1</v>
      </c>
      <c r="D6040" s="3" t="str">
        <f t="shared" si="388"/>
        <v>SÁBADO</v>
      </c>
      <c r="E6040" s="427"/>
      <c r="F6040" s="31">
        <f>IFERROR(VLOOKUP(E6040,BD!$L$2:$Q$244,2,0),0)</f>
        <v>0</v>
      </c>
      <c r="G6040" s="424"/>
      <c r="H6040" s="31">
        <f>+IFERROR(VLOOKUP(E6040,BD!$L$2:$Q$244,6,0),0)</f>
        <v>0</v>
      </c>
      <c r="I6040" s="626">
        <f>IFERROR(G6040*VLOOKUP($E6040,BD!$L$2:$Q$244,5,0),0)</f>
        <v>0</v>
      </c>
      <c r="J6040" s="3">
        <f t="shared" si="389"/>
        <v>1900</v>
      </c>
    </row>
    <row r="6041" spans="1:10" s="9" customFormat="1" x14ac:dyDescent="0.25">
      <c r="A6041" s="447"/>
      <c r="B6041" s="55" t="str">
        <f t="shared" si="386"/>
        <v>ENERO</v>
      </c>
      <c r="C6041" s="55">
        <f t="shared" si="387"/>
        <v>1</v>
      </c>
      <c r="D6041" s="3" t="str">
        <f t="shared" si="388"/>
        <v>SÁBADO</v>
      </c>
      <c r="E6041" s="427"/>
      <c r="F6041" s="31">
        <f>IFERROR(VLOOKUP(E6041,BD!$L$2:$Q$244,2,0),0)</f>
        <v>0</v>
      </c>
      <c r="G6041" s="424"/>
      <c r="H6041" s="31">
        <f>+IFERROR(VLOOKUP(E6041,BD!$L$2:$Q$244,6,0),0)</f>
        <v>0</v>
      </c>
      <c r="I6041" s="626">
        <f>IFERROR(G6041*VLOOKUP($E6041,BD!$L$2:$Q$244,5,0),0)</f>
        <v>0</v>
      </c>
      <c r="J6041" s="3">
        <f t="shared" si="389"/>
        <v>1900</v>
      </c>
    </row>
    <row r="6042" spans="1:10" s="9" customFormat="1" x14ac:dyDescent="0.25">
      <c r="A6042" s="447"/>
      <c r="B6042" s="55" t="str">
        <f t="shared" si="386"/>
        <v>ENERO</v>
      </c>
      <c r="C6042" s="55">
        <f t="shared" si="387"/>
        <v>1</v>
      </c>
      <c r="D6042" s="3" t="str">
        <f t="shared" si="388"/>
        <v>SÁBADO</v>
      </c>
      <c r="E6042" s="427"/>
      <c r="F6042" s="31">
        <f>IFERROR(VLOOKUP(E6042,BD!$L$2:$Q$244,2,0),0)</f>
        <v>0</v>
      </c>
      <c r="G6042" s="424"/>
      <c r="H6042" s="31">
        <f>+IFERROR(VLOOKUP(E6042,BD!$L$2:$Q$244,6,0),0)</f>
        <v>0</v>
      </c>
      <c r="I6042" s="626">
        <f>IFERROR(G6042*VLOOKUP($E6042,BD!$L$2:$Q$244,5,0),0)</f>
        <v>0</v>
      </c>
      <c r="J6042" s="3">
        <f t="shared" si="389"/>
        <v>1900</v>
      </c>
    </row>
    <row r="6043" spans="1:10" s="9" customFormat="1" x14ac:dyDescent="0.25">
      <c r="A6043" s="447"/>
      <c r="B6043" s="55" t="str">
        <f t="shared" si="386"/>
        <v>ENERO</v>
      </c>
      <c r="C6043" s="55">
        <f t="shared" si="387"/>
        <v>1</v>
      </c>
      <c r="D6043" s="3" t="str">
        <f t="shared" si="388"/>
        <v>SÁBADO</v>
      </c>
      <c r="E6043" s="427"/>
      <c r="F6043" s="31">
        <f>IFERROR(VLOOKUP(E6043,BD!$L$2:$Q$244,2,0),0)</f>
        <v>0</v>
      </c>
      <c r="G6043" s="424"/>
      <c r="H6043" s="31">
        <f>+IFERROR(VLOOKUP(E6043,BD!$L$2:$Q$244,6,0),0)</f>
        <v>0</v>
      </c>
      <c r="I6043" s="626">
        <f>IFERROR(G6043*VLOOKUP($E6043,BD!$L$2:$Q$244,5,0),0)</f>
        <v>0</v>
      </c>
      <c r="J6043" s="3">
        <f t="shared" si="389"/>
        <v>1900</v>
      </c>
    </row>
    <row r="6044" spans="1:10" s="9" customFormat="1" x14ac:dyDescent="0.25">
      <c r="A6044" s="447"/>
      <c r="B6044" s="55" t="str">
        <f t="shared" si="386"/>
        <v>ENERO</v>
      </c>
      <c r="C6044" s="55">
        <f t="shared" si="387"/>
        <v>1</v>
      </c>
      <c r="D6044" s="3" t="str">
        <f t="shared" si="388"/>
        <v>SÁBADO</v>
      </c>
      <c r="E6044" s="427"/>
      <c r="F6044" s="31">
        <f>IFERROR(VLOOKUP(E6044,BD!$L$2:$Q$244,2,0),0)</f>
        <v>0</v>
      </c>
      <c r="G6044" s="424"/>
      <c r="H6044" s="31">
        <f>+IFERROR(VLOOKUP(E6044,BD!$L$2:$Q$244,6,0),0)</f>
        <v>0</v>
      </c>
      <c r="I6044" s="626">
        <f>IFERROR(G6044*VLOOKUP($E6044,BD!$L$2:$Q$244,5,0),0)</f>
        <v>0</v>
      </c>
      <c r="J6044" s="3">
        <f t="shared" si="389"/>
        <v>1900</v>
      </c>
    </row>
    <row r="6045" spans="1:10" s="9" customFormat="1" x14ac:dyDescent="0.25">
      <c r="A6045" s="447"/>
      <c r="B6045" s="55" t="str">
        <f t="shared" si="386"/>
        <v>ENERO</v>
      </c>
      <c r="C6045" s="55">
        <f t="shared" si="387"/>
        <v>1</v>
      </c>
      <c r="D6045" s="3" t="str">
        <f t="shared" si="388"/>
        <v>SÁBADO</v>
      </c>
      <c r="E6045" s="427"/>
      <c r="F6045" s="31">
        <f>IFERROR(VLOOKUP(E6045,BD!$L$2:$Q$244,2,0),0)</f>
        <v>0</v>
      </c>
      <c r="G6045" s="424"/>
      <c r="H6045" s="31">
        <f>+IFERROR(VLOOKUP(E6045,BD!$L$2:$Q$244,6,0),0)</f>
        <v>0</v>
      </c>
      <c r="I6045" s="626">
        <f>IFERROR(G6045*VLOOKUP($E6045,BD!$L$2:$Q$244,5,0),0)</f>
        <v>0</v>
      </c>
      <c r="J6045" s="3">
        <f t="shared" si="389"/>
        <v>1900</v>
      </c>
    </row>
    <row r="6046" spans="1:10" s="9" customFormat="1" x14ac:dyDescent="0.25">
      <c r="A6046" s="447"/>
      <c r="B6046" s="55" t="str">
        <f t="shared" si="386"/>
        <v>ENERO</v>
      </c>
      <c r="C6046" s="55">
        <f t="shared" si="387"/>
        <v>1</v>
      </c>
      <c r="D6046" s="3" t="str">
        <f t="shared" si="388"/>
        <v>SÁBADO</v>
      </c>
      <c r="E6046" s="427"/>
      <c r="F6046" s="31">
        <f>IFERROR(VLOOKUP(E6046,BD!$L$2:$Q$244,2,0),0)</f>
        <v>0</v>
      </c>
      <c r="G6046" s="424"/>
      <c r="H6046" s="31">
        <f>+IFERROR(VLOOKUP(E6046,BD!$L$2:$Q$244,6,0),0)</f>
        <v>0</v>
      </c>
      <c r="I6046" s="626">
        <f>IFERROR(G6046*VLOOKUP($E6046,BD!$L$2:$Q$244,5,0),0)</f>
        <v>0</v>
      </c>
      <c r="J6046" s="3">
        <f t="shared" si="389"/>
        <v>1900</v>
      </c>
    </row>
    <row r="6047" spans="1:10" s="9" customFormat="1" x14ac:dyDescent="0.25">
      <c r="A6047" s="447"/>
      <c r="B6047" s="55" t="str">
        <f t="shared" si="386"/>
        <v>ENERO</v>
      </c>
      <c r="C6047" s="55">
        <f t="shared" si="387"/>
        <v>1</v>
      </c>
      <c r="D6047" s="3" t="str">
        <f t="shared" si="388"/>
        <v>SÁBADO</v>
      </c>
      <c r="E6047" s="427"/>
      <c r="F6047" s="31">
        <f>IFERROR(VLOOKUP(E6047,BD!$L$2:$Q$244,2,0),0)</f>
        <v>0</v>
      </c>
      <c r="G6047" s="424"/>
      <c r="H6047" s="31">
        <f>+IFERROR(VLOOKUP(E6047,BD!$L$2:$Q$244,6,0),0)</f>
        <v>0</v>
      </c>
      <c r="I6047" s="626">
        <f>IFERROR(G6047*VLOOKUP($E6047,BD!$L$2:$Q$244,5,0),0)</f>
        <v>0</v>
      </c>
      <c r="J6047" s="3">
        <f t="shared" si="389"/>
        <v>1900</v>
      </c>
    </row>
    <row r="6048" spans="1:10" s="9" customFormat="1" x14ac:dyDescent="0.25">
      <c r="A6048" s="447"/>
      <c r="B6048" s="55" t="str">
        <f t="shared" si="386"/>
        <v>ENERO</v>
      </c>
      <c r="C6048" s="55">
        <f t="shared" si="387"/>
        <v>1</v>
      </c>
      <c r="D6048" s="3" t="str">
        <f t="shared" si="388"/>
        <v>SÁBADO</v>
      </c>
      <c r="E6048" s="427"/>
      <c r="F6048" s="31">
        <f>IFERROR(VLOOKUP(E6048,BD!$L$2:$Q$244,2,0),0)</f>
        <v>0</v>
      </c>
      <c r="G6048" s="424"/>
      <c r="H6048" s="31">
        <f>+IFERROR(VLOOKUP(E6048,BD!$L$2:$Q$244,6,0),0)</f>
        <v>0</v>
      </c>
      <c r="I6048" s="626">
        <f>IFERROR(G6048*VLOOKUP($E6048,BD!$L$2:$Q$244,5,0),0)</f>
        <v>0</v>
      </c>
      <c r="J6048" s="3">
        <f t="shared" si="389"/>
        <v>1900</v>
      </c>
    </row>
    <row r="6049" spans="1:10" s="9" customFormat="1" x14ac:dyDescent="0.25">
      <c r="A6049" s="447"/>
      <c r="B6049" s="55" t="str">
        <f t="shared" si="386"/>
        <v>ENERO</v>
      </c>
      <c r="C6049" s="55">
        <f t="shared" si="387"/>
        <v>1</v>
      </c>
      <c r="D6049" s="3" t="str">
        <f t="shared" si="388"/>
        <v>SÁBADO</v>
      </c>
      <c r="E6049" s="427"/>
      <c r="F6049" s="31">
        <f>IFERROR(VLOOKUP(E6049,BD!$L$2:$Q$244,2,0),0)</f>
        <v>0</v>
      </c>
      <c r="G6049" s="424"/>
      <c r="H6049" s="31">
        <f>+IFERROR(VLOOKUP(E6049,BD!$L$2:$Q$244,6,0),0)</f>
        <v>0</v>
      </c>
      <c r="I6049" s="626">
        <f>IFERROR(G6049*VLOOKUP($E6049,BD!$L$2:$Q$244,5,0),0)</f>
        <v>0</v>
      </c>
      <c r="J6049" s="3">
        <f t="shared" si="389"/>
        <v>1900</v>
      </c>
    </row>
    <row r="6050" spans="1:10" s="9" customFormat="1" x14ac:dyDescent="0.25">
      <c r="A6050" s="447"/>
      <c r="B6050" s="55" t="str">
        <f t="shared" si="386"/>
        <v>ENERO</v>
      </c>
      <c r="C6050" s="55">
        <f t="shared" si="387"/>
        <v>1</v>
      </c>
      <c r="D6050" s="3" t="str">
        <f t="shared" si="388"/>
        <v>SÁBADO</v>
      </c>
      <c r="E6050" s="427"/>
      <c r="F6050" s="31">
        <f>IFERROR(VLOOKUP(E6050,BD!$L$2:$Q$244,2,0),0)</f>
        <v>0</v>
      </c>
      <c r="G6050" s="424"/>
      <c r="H6050" s="31">
        <f>+IFERROR(VLOOKUP(E6050,BD!$L$2:$Q$244,6,0),0)</f>
        <v>0</v>
      </c>
      <c r="I6050" s="626">
        <f>IFERROR(G6050*VLOOKUP($E6050,BD!$L$2:$Q$244,5,0),0)</f>
        <v>0</v>
      </c>
      <c r="J6050" s="3">
        <f t="shared" si="389"/>
        <v>1900</v>
      </c>
    </row>
    <row r="6051" spans="1:10" s="9" customFormat="1" x14ac:dyDescent="0.25">
      <c r="A6051" s="447"/>
      <c r="B6051" s="55" t="str">
        <f t="shared" si="386"/>
        <v>ENERO</v>
      </c>
      <c r="C6051" s="55">
        <f t="shared" si="387"/>
        <v>1</v>
      </c>
      <c r="D6051" s="3" t="str">
        <f t="shared" si="388"/>
        <v>SÁBADO</v>
      </c>
      <c r="E6051" s="427"/>
      <c r="F6051" s="31">
        <f>IFERROR(VLOOKUP(E6051,BD!$L$2:$Q$244,2,0),0)</f>
        <v>0</v>
      </c>
      <c r="G6051" s="424"/>
      <c r="H6051" s="31">
        <f>+IFERROR(VLOOKUP(E6051,BD!$L$2:$Q$244,6,0),0)</f>
        <v>0</v>
      </c>
      <c r="I6051" s="626">
        <f>IFERROR(G6051*VLOOKUP($E6051,BD!$L$2:$Q$244,5,0),0)</f>
        <v>0</v>
      </c>
      <c r="J6051" s="3">
        <f t="shared" si="389"/>
        <v>1900</v>
      </c>
    </row>
    <row r="6052" spans="1:10" s="9" customFormat="1" x14ac:dyDescent="0.25">
      <c r="A6052" s="447"/>
      <c r="B6052" s="55" t="str">
        <f t="shared" si="386"/>
        <v>ENERO</v>
      </c>
      <c r="C6052" s="55">
        <f t="shared" si="387"/>
        <v>1</v>
      </c>
      <c r="D6052" s="3" t="str">
        <f t="shared" si="388"/>
        <v>SÁBADO</v>
      </c>
      <c r="E6052" s="427"/>
      <c r="F6052" s="31">
        <f>IFERROR(VLOOKUP(E6052,BD!$L$2:$Q$244,2,0),0)</f>
        <v>0</v>
      </c>
      <c r="G6052" s="425"/>
      <c r="H6052" s="31">
        <f>+IFERROR(VLOOKUP(E6052,BD!$L$2:$Q$244,6,0),0)</f>
        <v>0</v>
      </c>
      <c r="I6052" s="626">
        <f>IFERROR(G6052*VLOOKUP($E6052,BD!$L$2:$Q$244,5,0),0)</f>
        <v>0</v>
      </c>
      <c r="J6052" s="3">
        <f t="shared" si="389"/>
        <v>1900</v>
      </c>
    </row>
    <row r="6053" spans="1:10" s="9" customFormat="1" x14ac:dyDescent="0.25">
      <c r="A6053" s="447"/>
      <c r="B6053" s="55" t="str">
        <f t="shared" si="386"/>
        <v>ENERO</v>
      </c>
      <c r="C6053" s="55">
        <f t="shared" si="387"/>
        <v>1</v>
      </c>
      <c r="D6053" s="3" t="str">
        <f t="shared" si="388"/>
        <v>SÁBADO</v>
      </c>
      <c r="E6053" s="427"/>
      <c r="F6053" s="31">
        <f>IFERROR(VLOOKUP(E6053,BD!$L$2:$Q$244,2,0),0)</f>
        <v>0</v>
      </c>
      <c r="G6053" s="424"/>
      <c r="H6053" s="31">
        <f>+IFERROR(VLOOKUP(E6053,BD!$L$2:$Q$244,6,0),0)</f>
        <v>0</v>
      </c>
      <c r="I6053" s="626">
        <f>IFERROR(G6053*VLOOKUP($E6053,BD!$L$2:$Q$244,5,0),0)</f>
        <v>0</v>
      </c>
      <c r="J6053" s="3">
        <f t="shared" si="389"/>
        <v>1900</v>
      </c>
    </row>
    <row r="6054" spans="1:10" s="9" customFormat="1" x14ac:dyDescent="0.25">
      <c r="A6054" s="447"/>
      <c r="B6054" s="55" t="str">
        <f t="shared" si="386"/>
        <v>ENERO</v>
      </c>
      <c r="C6054" s="55">
        <f t="shared" si="387"/>
        <v>1</v>
      </c>
      <c r="D6054" s="3" t="str">
        <f t="shared" si="388"/>
        <v>SÁBADO</v>
      </c>
      <c r="E6054" s="427"/>
      <c r="F6054" s="31">
        <f>IFERROR(VLOOKUP(E6054,BD!$L$2:$Q$244,2,0),0)</f>
        <v>0</v>
      </c>
      <c r="G6054" s="424"/>
      <c r="H6054" s="31">
        <f>+IFERROR(VLOOKUP(E6054,BD!$L$2:$Q$244,6,0),0)</f>
        <v>0</v>
      </c>
      <c r="I6054" s="626">
        <f>IFERROR(G6054*VLOOKUP($E6054,BD!$L$2:$Q$244,5,0),0)</f>
        <v>0</v>
      </c>
      <c r="J6054" s="3">
        <f t="shared" si="389"/>
        <v>1900</v>
      </c>
    </row>
    <row r="6055" spans="1:10" s="9" customFormat="1" x14ac:dyDescent="0.25">
      <c r="A6055" s="447"/>
      <c r="B6055" s="55" t="str">
        <f t="shared" si="386"/>
        <v>ENERO</v>
      </c>
      <c r="C6055" s="55">
        <f t="shared" si="387"/>
        <v>1</v>
      </c>
      <c r="D6055" s="3" t="str">
        <f t="shared" si="388"/>
        <v>SÁBADO</v>
      </c>
      <c r="E6055" s="427"/>
      <c r="F6055" s="31">
        <f>IFERROR(VLOOKUP(E6055,BD!$L$2:$Q$244,2,0),0)</f>
        <v>0</v>
      </c>
      <c r="G6055" s="424"/>
      <c r="H6055" s="31">
        <f>+IFERROR(VLOOKUP(E6055,BD!$L$2:$Q$244,6,0),0)</f>
        <v>0</v>
      </c>
      <c r="I6055" s="626">
        <f>IFERROR(G6055*VLOOKUP($E6055,BD!$L$2:$Q$244,5,0),0)</f>
        <v>0</v>
      </c>
      <c r="J6055" s="3">
        <f t="shared" si="389"/>
        <v>1900</v>
      </c>
    </row>
    <row r="6056" spans="1:10" s="9" customFormat="1" x14ac:dyDescent="0.25">
      <c r="A6056" s="447"/>
      <c r="B6056" s="55" t="str">
        <f t="shared" si="386"/>
        <v>ENERO</v>
      </c>
      <c r="C6056" s="55">
        <f t="shared" si="387"/>
        <v>1</v>
      </c>
      <c r="D6056" s="3" t="str">
        <f t="shared" si="388"/>
        <v>SÁBADO</v>
      </c>
      <c r="E6056" s="427"/>
      <c r="F6056" s="31">
        <f>IFERROR(VLOOKUP(E6056,BD!$L$2:$Q$244,2,0),0)</f>
        <v>0</v>
      </c>
      <c r="G6056" s="424"/>
      <c r="H6056" s="31">
        <f>+IFERROR(VLOOKUP(E6056,BD!$L$2:$Q$244,6,0),0)</f>
        <v>0</v>
      </c>
      <c r="I6056" s="626">
        <f>IFERROR(G6056*VLOOKUP($E6056,BD!$L$2:$Q$244,5,0),0)</f>
        <v>0</v>
      </c>
      <c r="J6056" s="3">
        <f t="shared" si="389"/>
        <v>1900</v>
      </c>
    </row>
    <row r="6057" spans="1:10" s="9" customFormat="1" x14ac:dyDescent="0.25">
      <c r="A6057" s="447"/>
      <c r="B6057" s="55" t="str">
        <f t="shared" si="386"/>
        <v>ENERO</v>
      </c>
      <c r="C6057" s="55">
        <f t="shared" si="387"/>
        <v>1</v>
      </c>
      <c r="D6057" s="3" t="str">
        <f t="shared" si="388"/>
        <v>SÁBADO</v>
      </c>
      <c r="E6057" s="427"/>
      <c r="F6057" s="31">
        <f>IFERROR(VLOOKUP(E6057,BD!$L$2:$Q$244,2,0),0)</f>
        <v>0</v>
      </c>
      <c r="G6057" s="424"/>
      <c r="H6057" s="31">
        <f>+IFERROR(VLOOKUP(E6057,BD!$L$2:$Q$244,6,0),0)</f>
        <v>0</v>
      </c>
      <c r="I6057" s="626">
        <f>IFERROR(G6057*VLOOKUP($E6057,BD!$L$2:$Q$244,5,0),0)</f>
        <v>0</v>
      </c>
      <c r="J6057" s="3">
        <f t="shared" si="389"/>
        <v>1900</v>
      </c>
    </row>
    <row r="6058" spans="1:10" s="9" customFormat="1" x14ac:dyDescent="0.25">
      <c r="A6058" s="447"/>
      <c r="B6058" s="55" t="str">
        <f t="shared" si="386"/>
        <v>ENERO</v>
      </c>
      <c r="C6058" s="55">
        <f t="shared" si="387"/>
        <v>1</v>
      </c>
      <c r="D6058" s="3" t="str">
        <f t="shared" si="388"/>
        <v>SÁBADO</v>
      </c>
      <c r="E6058" s="427"/>
      <c r="F6058" s="31">
        <f>IFERROR(VLOOKUP(E6058,BD!$L$2:$Q$244,2,0),0)</f>
        <v>0</v>
      </c>
      <c r="G6058" s="424"/>
      <c r="H6058" s="31">
        <f>+IFERROR(VLOOKUP(E6058,BD!$L$2:$Q$244,6,0),0)</f>
        <v>0</v>
      </c>
      <c r="I6058" s="626">
        <f>IFERROR(G6058*VLOOKUP($E6058,BD!$L$2:$Q$244,5,0),0)</f>
        <v>0</v>
      </c>
      <c r="J6058" s="3">
        <f t="shared" si="389"/>
        <v>1900</v>
      </c>
    </row>
    <row r="6059" spans="1:10" s="9" customFormat="1" x14ac:dyDescent="0.25">
      <c r="A6059" s="447"/>
      <c r="B6059" s="55" t="str">
        <f t="shared" si="386"/>
        <v>ENERO</v>
      </c>
      <c r="C6059" s="55">
        <f t="shared" si="387"/>
        <v>1</v>
      </c>
      <c r="D6059" s="3" t="str">
        <f t="shared" si="388"/>
        <v>SÁBADO</v>
      </c>
      <c r="E6059" s="427"/>
      <c r="F6059" s="31">
        <f>IFERROR(VLOOKUP(E6059,BD!$L$2:$Q$244,2,0),0)</f>
        <v>0</v>
      </c>
      <c r="G6059" s="424"/>
      <c r="H6059" s="31">
        <f>+IFERROR(VLOOKUP(E6059,BD!$L$2:$Q$244,6,0),0)</f>
        <v>0</v>
      </c>
      <c r="I6059" s="626">
        <f>IFERROR(G6059*VLOOKUP($E6059,BD!$L$2:$Q$244,5,0),0)</f>
        <v>0</v>
      </c>
      <c r="J6059" s="3">
        <f t="shared" si="389"/>
        <v>1900</v>
      </c>
    </row>
    <row r="6060" spans="1:10" s="9" customFormat="1" x14ac:dyDescent="0.25">
      <c r="A6060" s="447"/>
      <c r="B6060" s="55" t="str">
        <f t="shared" si="386"/>
        <v>ENERO</v>
      </c>
      <c r="C6060" s="55">
        <f t="shared" si="387"/>
        <v>1</v>
      </c>
      <c r="D6060" s="3" t="str">
        <f t="shared" si="388"/>
        <v>SÁBADO</v>
      </c>
      <c r="E6060" s="427"/>
      <c r="F6060" s="31">
        <f>IFERROR(VLOOKUP(E6060,BD!$L$2:$Q$244,2,0),0)</f>
        <v>0</v>
      </c>
      <c r="G6060" s="424"/>
      <c r="H6060" s="31">
        <f>+IFERROR(VLOOKUP(E6060,BD!$L$2:$Q$244,6,0),0)</f>
        <v>0</v>
      </c>
      <c r="I6060" s="626">
        <f>IFERROR(G6060*VLOOKUP($E6060,BD!$L$2:$Q$244,5,0),0)</f>
        <v>0</v>
      </c>
      <c r="J6060" s="3">
        <f t="shared" si="389"/>
        <v>1900</v>
      </c>
    </row>
    <row r="6061" spans="1:10" s="9" customFormat="1" x14ac:dyDescent="0.25">
      <c r="A6061" s="447"/>
      <c r="B6061" s="55" t="str">
        <f t="shared" si="386"/>
        <v>ENERO</v>
      </c>
      <c r="C6061" s="55">
        <f t="shared" si="387"/>
        <v>1</v>
      </c>
      <c r="D6061" s="3" t="str">
        <f t="shared" si="388"/>
        <v>SÁBADO</v>
      </c>
      <c r="E6061" s="427"/>
      <c r="F6061" s="31">
        <f>IFERROR(VLOOKUP(E6061,BD!$L$2:$Q$244,2,0),0)</f>
        <v>0</v>
      </c>
      <c r="G6061" s="424"/>
      <c r="H6061" s="31">
        <f>+IFERROR(VLOOKUP(E6061,BD!$L$2:$Q$244,6,0),0)</f>
        <v>0</v>
      </c>
      <c r="I6061" s="626">
        <f>IFERROR(G6061*VLOOKUP($E6061,BD!$L$2:$Q$244,5,0),0)</f>
        <v>0</v>
      </c>
      <c r="J6061" s="3">
        <f t="shared" si="389"/>
        <v>1900</v>
      </c>
    </row>
    <row r="6062" spans="1:10" s="9" customFormat="1" x14ac:dyDescent="0.25">
      <c r="A6062" s="447"/>
      <c r="B6062" s="55" t="str">
        <f t="shared" si="386"/>
        <v>ENERO</v>
      </c>
      <c r="C6062" s="55">
        <f t="shared" si="387"/>
        <v>1</v>
      </c>
      <c r="D6062" s="3" t="str">
        <f t="shared" si="388"/>
        <v>SÁBADO</v>
      </c>
      <c r="E6062" s="427"/>
      <c r="F6062" s="31">
        <f>IFERROR(VLOOKUP(E6062,BD!$L$2:$Q$244,2,0),0)</f>
        <v>0</v>
      </c>
      <c r="G6062" s="424"/>
      <c r="H6062" s="31">
        <f>+IFERROR(VLOOKUP(E6062,BD!$L$2:$Q$244,6,0),0)</f>
        <v>0</v>
      </c>
      <c r="I6062" s="626">
        <f>IFERROR(G6062*VLOOKUP($E6062,BD!$L$2:$Q$244,5,0),0)</f>
        <v>0</v>
      </c>
      <c r="J6062" s="3">
        <f t="shared" si="389"/>
        <v>1900</v>
      </c>
    </row>
    <row r="6063" spans="1:10" s="9" customFormat="1" x14ac:dyDescent="0.25">
      <c r="A6063" s="447"/>
      <c r="B6063" s="55" t="str">
        <f t="shared" si="386"/>
        <v>ENERO</v>
      </c>
      <c r="C6063" s="55">
        <f t="shared" si="387"/>
        <v>1</v>
      </c>
      <c r="D6063" s="3" t="str">
        <f t="shared" si="388"/>
        <v>SÁBADO</v>
      </c>
      <c r="E6063" s="427"/>
      <c r="F6063" s="31">
        <f>IFERROR(VLOOKUP(E6063,BD!$L$2:$Q$244,2,0),0)</f>
        <v>0</v>
      </c>
      <c r="G6063" s="424"/>
      <c r="H6063" s="31">
        <f>+IFERROR(VLOOKUP(E6063,BD!$L$2:$Q$244,6,0),0)</f>
        <v>0</v>
      </c>
      <c r="I6063" s="626">
        <f>IFERROR(G6063*VLOOKUP($E6063,BD!$L$2:$Q$244,5,0),0)</f>
        <v>0</v>
      </c>
      <c r="J6063" s="3">
        <f t="shared" si="389"/>
        <v>1900</v>
      </c>
    </row>
    <row r="6064" spans="1:10" s="9" customFormat="1" x14ac:dyDescent="0.25">
      <c r="A6064" s="447"/>
      <c r="B6064" s="55" t="str">
        <f t="shared" si="386"/>
        <v>ENERO</v>
      </c>
      <c r="C6064" s="55">
        <f t="shared" si="387"/>
        <v>1</v>
      </c>
      <c r="D6064" s="3" t="str">
        <f t="shared" si="388"/>
        <v>SÁBADO</v>
      </c>
      <c r="E6064" s="427"/>
      <c r="F6064" s="31">
        <f>IFERROR(VLOOKUP(E6064,BD!$L$2:$Q$244,2,0),0)</f>
        <v>0</v>
      </c>
      <c r="G6064" s="424"/>
      <c r="H6064" s="31">
        <f>+IFERROR(VLOOKUP(E6064,BD!$L$2:$Q$244,6,0),0)</f>
        <v>0</v>
      </c>
      <c r="I6064" s="626">
        <f>IFERROR(G6064*VLOOKUP($E6064,BD!$L$2:$Q$244,5,0),0)</f>
        <v>0</v>
      </c>
      <c r="J6064" s="3">
        <f t="shared" si="389"/>
        <v>1900</v>
      </c>
    </row>
    <row r="6065" spans="1:10" s="9" customFormat="1" x14ac:dyDescent="0.25">
      <c r="A6065" s="447"/>
      <c r="B6065" s="55" t="str">
        <f t="shared" si="386"/>
        <v>ENERO</v>
      </c>
      <c r="C6065" s="55">
        <f t="shared" si="387"/>
        <v>1</v>
      </c>
      <c r="D6065" s="3" t="str">
        <f t="shared" si="388"/>
        <v>SÁBADO</v>
      </c>
      <c r="E6065" s="427"/>
      <c r="F6065" s="31">
        <f>IFERROR(VLOOKUP(E6065,BD!$L$2:$Q$244,2,0),0)</f>
        <v>0</v>
      </c>
      <c r="G6065" s="424"/>
      <c r="H6065" s="31">
        <f>+IFERROR(VLOOKUP(E6065,BD!$L$2:$Q$244,6,0),0)</f>
        <v>0</v>
      </c>
      <c r="I6065" s="626">
        <f>IFERROR(G6065*VLOOKUP($E6065,BD!$L$2:$Q$244,5,0),0)</f>
        <v>0</v>
      </c>
      <c r="J6065" s="3">
        <f t="shared" si="389"/>
        <v>1900</v>
      </c>
    </row>
    <row r="6066" spans="1:10" s="9" customFormat="1" x14ac:dyDescent="0.25">
      <c r="A6066" s="447"/>
      <c r="B6066" s="55" t="str">
        <f t="shared" si="386"/>
        <v>ENERO</v>
      </c>
      <c r="C6066" s="55">
        <f t="shared" si="387"/>
        <v>1</v>
      </c>
      <c r="D6066" s="3" t="str">
        <f t="shared" si="388"/>
        <v>SÁBADO</v>
      </c>
      <c r="E6066" s="427"/>
      <c r="F6066" s="31">
        <f>IFERROR(VLOOKUP(E6066,BD!$L$2:$Q$244,2,0),0)</f>
        <v>0</v>
      </c>
      <c r="G6066" s="425"/>
      <c r="H6066" s="31">
        <f>+IFERROR(VLOOKUP(E6066,BD!$L$2:$Q$244,6,0),0)</f>
        <v>0</v>
      </c>
      <c r="I6066" s="626">
        <f>IFERROR(G6066*VLOOKUP($E6066,BD!$L$2:$Q$244,5,0),0)</f>
        <v>0</v>
      </c>
      <c r="J6066" s="3">
        <f t="shared" si="389"/>
        <v>1900</v>
      </c>
    </row>
    <row r="6067" spans="1:10" s="9" customFormat="1" x14ac:dyDescent="0.25">
      <c r="A6067" s="447"/>
      <c r="B6067" s="55" t="str">
        <f t="shared" si="386"/>
        <v>ENERO</v>
      </c>
      <c r="C6067" s="55">
        <f t="shared" si="387"/>
        <v>1</v>
      </c>
      <c r="D6067" s="3" t="str">
        <f t="shared" si="388"/>
        <v>SÁBADO</v>
      </c>
      <c r="E6067" s="427"/>
      <c r="F6067" s="31">
        <f>IFERROR(VLOOKUP(E6067,BD!$L$2:$Q$244,2,0),0)</f>
        <v>0</v>
      </c>
      <c r="G6067" s="424"/>
      <c r="H6067" s="31">
        <f>+IFERROR(VLOOKUP(E6067,BD!$L$2:$Q$244,6,0),0)</f>
        <v>0</v>
      </c>
      <c r="I6067" s="626">
        <f>IFERROR(G6067*VLOOKUP($E6067,BD!$L$2:$Q$244,5,0),0)</f>
        <v>0</v>
      </c>
      <c r="J6067" s="3">
        <f t="shared" si="389"/>
        <v>1900</v>
      </c>
    </row>
    <row r="6068" spans="1:10" s="9" customFormat="1" x14ac:dyDescent="0.25">
      <c r="A6068" s="447"/>
      <c r="B6068" s="55" t="str">
        <f t="shared" si="386"/>
        <v>ENERO</v>
      </c>
      <c r="C6068" s="55">
        <f t="shared" si="387"/>
        <v>1</v>
      </c>
      <c r="D6068" s="3" t="str">
        <f t="shared" si="388"/>
        <v>SÁBADO</v>
      </c>
      <c r="E6068" s="427"/>
      <c r="F6068" s="31">
        <f>IFERROR(VLOOKUP(E6068,BD!$L$2:$Q$244,2,0),0)</f>
        <v>0</v>
      </c>
      <c r="G6068" s="424"/>
      <c r="H6068" s="31">
        <f>+IFERROR(VLOOKUP(E6068,BD!$L$2:$Q$244,6,0),0)</f>
        <v>0</v>
      </c>
      <c r="I6068" s="626">
        <f>IFERROR(G6068*VLOOKUP($E6068,BD!$L$2:$Q$244,5,0),0)</f>
        <v>0</v>
      </c>
      <c r="J6068" s="3">
        <f t="shared" si="389"/>
        <v>1900</v>
      </c>
    </row>
    <row r="6069" spans="1:10" s="9" customFormat="1" x14ac:dyDescent="0.25">
      <c r="A6069" s="447"/>
      <c r="B6069" s="55" t="str">
        <f t="shared" si="386"/>
        <v>ENERO</v>
      </c>
      <c r="C6069" s="55">
        <f t="shared" si="387"/>
        <v>1</v>
      </c>
      <c r="D6069" s="3" t="str">
        <f t="shared" si="388"/>
        <v>SÁBADO</v>
      </c>
      <c r="E6069" s="427"/>
      <c r="F6069" s="31">
        <f>IFERROR(VLOOKUP(E6069,BD!$L$2:$Q$244,2,0),0)</f>
        <v>0</v>
      </c>
      <c r="G6069" s="424"/>
      <c r="H6069" s="31">
        <f>+IFERROR(VLOOKUP(E6069,BD!$L$2:$Q$244,6,0),0)</f>
        <v>0</v>
      </c>
      <c r="I6069" s="626">
        <f>IFERROR(G6069*VLOOKUP($E6069,BD!$L$2:$Q$244,5,0),0)</f>
        <v>0</v>
      </c>
      <c r="J6069" s="3">
        <f t="shared" si="389"/>
        <v>1900</v>
      </c>
    </row>
    <row r="6070" spans="1:10" s="9" customFormat="1" x14ac:dyDescent="0.25">
      <c r="A6070" s="447"/>
      <c r="B6070" s="55" t="str">
        <f t="shared" si="386"/>
        <v>ENERO</v>
      </c>
      <c r="C6070" s="55">
        <f t="shared" si="387"/>
        <v>1</v>
      </c>
      <c r="D6070" s="3" t="str">
        <f t="shared" si="388"/>
        <v>SÁBADO</v>
      </c>
      <c r="E6070" s="427"/>
      <c r="F6070" s="31">
        <f>IFERROR(VLOOKUP(E6070,BD!$L$2:$Q$244,2,0),0)</f>
        <v>0</v>
      </c>
      <c r="G6070" s="424"/>
      <c r="H6070" s="31">
        <f>+IFERROR(VLOOKUP(E6070,BD!$L$2:$Q$244,6,0),0)</f>
        <v>0</v>
      </c>
      <c r="I6070" s="626">
        <f>IFERROR(G6070*VLOOKUP($E6070,BD!$L$2:$Q$244,5,0),0)</f>
        <v>0</v>
      </c>
      <c r="J6070" s="3">
        <f t="shared" si="389"/>
        <v>1900</v>
      </c>
    </row>
    <row r="6071" spans="1:10" s="9" customFormat="1" x14ac:dyDescent="0.25">
      <c r="A6071" s="447"/>
      <c r="B6071" s="55" t="str">
        <f t="shared" si="386"/>
        <v>ENERO</v>
      </c>
      <c r="C6071" s="55">
        <f t="shared" si="387"/>
        <v>1</v>
      </c>
      <c r="D6071" s="3" t="str">
        <f t="shared" si="388"/>
        <v>SÁBADO</v>
      </c>
      <c r="E6071" s="427"/>
      <c r="F6071" s="31">
        <f>IFERROR(VLOOKUP(E6071,BD!$L$2:$Q$244,2,0),0)</f>
        <v>0</v>
      </c>
      <c r="G6071" s="424"/>
      <c r="H6071" s="31">
        <f>+IFERROR(VLOOKUP(E6071,BD!$L$2:$Q$244,6,0),0)</f>
        <v>0</v>
      </c>
      <c r="I6071" s="626">
        <f>IFERROR(G6071*VLOOKUP($E6071,BD!$L$2:$Q$244,5,0),0)</f>
        <v>0</v>
      </c>
      <c r="J6071" s="3">
        <f t="shared" si="389"/>
        <v>1900</v>
      </c>
    </row>
    <row r="6072" spans="1:10" s="9" customFormat="1" x14ac:dyDescent="0.25">
      <c r="A6072" s="447"/>
      <c r="B6072" s="55" t="str">
        <f t="shared" si="386"/>
        <v>ENERO</v>
      </c>
      <c r="C6072" s="55">
        <f t="shared" si="387"/>
        <v>1</v>
      </c>
      <c r="D6072" s="3" t="str">
        <f t="shared" si="388"/>
        <v>SÁBADO</v>
      </c>
      <c r="E6072" s="427"/>
      <c r="F6072" s="31">
        <f>IFERROR(VLOOKUP(E6072,BD!$L$2:$Q$244,2,0),0)</f>
        <v>0</v>
      </c>
      <c r="G6072" s="424"/>
      <c r="H6072" s="31">
        <f>+IFERROR(VLOOKUP(E6072,BD!$L$2:$Q$244,6,0),0)</f>
        <v>0</v>
      </c>
      <c r="I6072" s="626">
        <f>IFERROR(G6072*VLOOKUP($E6072,BD!$L$2:$Q$244,5,0),0)</f>
        <v>0</v>
      </c>
      <c r="J6072" s="3">
        <f t="shared" si="389"/>
        <v>1900</v>
      </c>
    </row>
    <row r="6073" spans="1:10" s="9" customFormat="1" x14ac:dyDescent="0.25">
      <c r="A6073" s="447"/>
      <c r="B6073" s="55" t="str">
        <f t="shared" si="386"/>
        <v>ENERO</v>
      </c>
      <c r="C6073" s="55">
        <f t="shared" si="387"/>
        <v>1</v>
      </c>
      <c r="D6073" s="3" t="str">
        <f t="shared" si="388"/>
        <v>SÁBADO</v>
      </c>
      <c r="E6073" s="427"/>
      <c r="F6073" s="31">
        <f>IFERROR(VLOOKUP(E6073,BD!$L$2:$Q$244,2,0),0)</f>
        <v>0</v>
      </c>
      <c r="G6073" s="424"/>
      <c r="H6073" s="31">
        <f>+IFERROR(VLOOKUP(E6073,BD!$L$2:$Q$244,6,0),0)</f>
        <v>0</v>
      </c>
      <c r="I6073" s="626">
        <f>IFERROR(G6073*VLOOKUP($E6073,BD!$L$2:$Q$244,5,0),0)</f>
        <v>0</v>
      </c>
      <c r="J6073" s="3">
        <f t="shared" si="389"/>
        <v>1900</v>
      </c>
    </row>
    <row r="6074" spans="1:10" s="9" customFormat="1" x14ac:dyDescent="0.25">
      <c r="A6074" s="447"/>
      <c r="B6074" s="55" t="str">
        <f t="shared" si="386"/>
        <v>ENERO</v>
      </c>
      <c r="C6074" s="55">
        <f t="shared" si="387"/>
        <v>1</v>
      </c>
      <c r="D6074" s="3" t="str">
        <f t="shared" si="388"/>
        <v>SÁBADO</v>
      </c>
      <c r="E6074" s="427"/>
      <c r="F6074" s="31">
        <f>IFERROR(VLOOKUP(E6074,BD!$L$2:$Q$244,2,0),0)</f>
        <v>0</v>
      </c>
      <c r="G6074" s="424"/>
      <c r="H6074" s="31">
        <f>+IFERROR(VLOOKUP(E6074,BD!$L$2:$Q$244,6,0),0)</f>
        <v>0</v>
      </c>
      <c r="I6074" s="626">
        <f>IFERROR(G6074*VLOOKUP($E6074,BD!$L$2:$Q$244,5,0),0)</f>
        <v>0</v>
      </c>
      <c r="J6074" s="3">
        <f t="shared" si="389"/>
        <v>1900</v>
      </c>
    </row>
    <row r="6075" spans="1:10" s="9" customFormat="1" x14ac:dyDescent="0.25">
      <c r="A6075" s="447"/>
      <c r="B6075" s="55" t="str">
        <f t="shared" si="386"/>
        <v>ENERO</v>
      </c>
      <c r="C6075" s="55">
        <f t="shared" si="387"/>
        <v>1</v>
      </c>
      <c r="D6075" s="3" t="str">
        <f t="shared" si="388"/>
        <v>SÁBADO</v>
      </c>
      <c r="E6075" s="427"/>
      <c r="F6075" s="31">
        <f>IFERROR(VLOOKUP(E6075,BD!$L$2:$Q$244,2,0),0)</f>
        <v>0</v>
      </c>
      <c r="G6075" s="424"/>
      <c r="H6075" s="31">
        <f>+IFERROR(VLOOKUP(E6075,BD!$L$2:$Q$244,6,0),0)</f>
        <v>0</v>
      </c>
      <c r="I6075" s="626">
        <f>IFERROR(G6075*VLOOKUP($E6075,BD!$L$2:$Q$244,5,0),0)</f>
        <v>0</v>
      </c>
      <c r="J6075" s="3">
        <f t="shared" si="389"/>
        <v>1900</v>
      </c>
    </row>
    <row r="6076" spans="1:10" s="9" customFormat="1" x14ac:dyDescent="0.25">
      <c r="A6076" s="447"/>
      <c r="B6076" s="55" t="str">
        <f t="shared" si="386"/>
        <v>ENERO</v>
      </c>
      <c r="C6076" s="55">
        <f t="shared" si="387"/>
        <v>1</v>
      </c>
      <c r="D6076" s="3" t="str">
        <f t="shared" si="388"/>
        <v>SÁBADO</v>
      </c>
      <c r="E6076" s="427"/>
      <c r="F6076" s="31">
        <f>IFERROR(VLOOKUP(E6076,BD!$L$2:$Q$244,2,0),0)</f>
        <v>0</v>
      </c>
      <c r="G6076" s="424"/>
      <c r="H6076" s="31">
        <f>+IFERROR(VLOOKUP(E6076,BD!$L$2:$Q$244,6,0),0)</f>
        <v>0</v>
      </c>
      <c r="I6076" s="626">
        <f>IFERROR(G6076*VLOOKUP($E6076,BD!$L$2:$Q$244,5,0),0)</f>
        <v>0</v>
      </c>
      <c r="J6076" s="3">
        <f t="shared" si="389"/>
        <v>1900</v>
      </c>
    </row>
    <row r="6077" spans="1:10" s="9" customFormat="1" x14ac:dyDescent="0.25">
      <c r="A6077" s="447"/>
      <c r="B6077" s="55" t="str">
        <f t="shared" ref="B6077:B6140" si="390">UPPER(TEXT(A6077,"MMMM"))</f>
        <v>ENERO</v>
      </c>
      <c r="C6077" s="55">
        <f t="shared" ref="C6077:C6140" si="391">WEEKNUM(A6077,16)</f>
        <v>1</v>
      </c>
      <c r="D6077" s="3" t="str">
        <f t="shared" ref="D6077:D6140" si="392">UPPER(TEXT(A6077,"DDDD"))</f>
        <v>SÁBADO</v>
      </c>
      <c r="E6077" s="427"/>
      <c r="F6077" s="31">
        <f>IFERROR(VLOOKUP(E6077,BD!$L$2:$Q$244,2,0),0)</f>
        <v>0</v>
      </c>
      <c r="G6077" s="424"/>
      <c r="H6077" s="31">
        <f>+IFERROR(VLOOKUP(E6077,BD!$L$2:$Q$244,6,0),0)</f>
        <v>0</v>
      </c>
      <c r="I6077" s="626">
        <f>IFERROR(G6077*VLOOKUP($E6077,BD!$L$2:$Q$244,5,0),0)</f>
        <v>0</v>
      </c>
      <c r="J6077" s="3">
        <f t="shared" ref="J6077:J6140" si="393">+YEAR(A6077)</f>
        <v>1900</v>
      </c>
    </row>
    <row r="6078" spans="1:10" s="9" customFormat="1" x14ac:dyDescent="0.25">
      <c r="A6078" s="447"/>
      <c r="B6078" s="55" t="str">
        <f t="shared" si="390"/>
        <v>ENERO</v>
      </c>
      <c r="C6078" s="55">
        <f t="shared" si="391"/>
        <v>1</v>
      </c>
      <c r="D6078" s="3" t="str">
        <f t="shared" si="392"/>
        <v>SÁBADO</v>
      </c>
      <c r="E6078" s="427"/>
      <c r="F6078" s="31">
        <f>IFERROR(VLOOKUP(E6078,BD!$L$2:$Q$244,2,0),0)</f>
        <v>0</v>
      </c>
      <c r="G6078" s="424"/>
      <c r="H6078" s="31">
        <f>+IFERROR(VLOOKUP(E6078,BD!$L$2:$Q$244,6,0),0)</f>
        <v>0</v>
      </c>
      <c r="I6078" s="626">
        <f>IFERROR(G6078*VLOOKUP($E6078,BD!$L$2:$Q$244,5,0),0)</f>
        <v>0</v>
      </c>
      <c r="J6078" s="3">
        <f t="shared" si="393"/>
        <v>1900</v>
      </c>
    </row>
    <row r="6079" spans="1:10" s="9" customFormat="1" x14ac:dyDescent="0.25">
      <c r="A6079" s="447"/>
      <c r="B6079" s="55" t="str">
        <f t="shared" si="390"/>
        <v>ENERO</v>
      </c>
      <c r="C6079" s="55">
        <f t="shared" si="391"/>
        <v>1</v>
      </c>
      <c r="D6079" s="3" t="str">
        <f t="shared" si="392"/>
        <v>SÁBADO</v>
      </c>
      <c r="E6079" s="427"/>
      <c r="F6079" s="31">
        <f>IFERROR(VLOOKUP(E6079,BD!$L$2:$Q$244,2,0),0)</f>
        <v>0</v>
      </c>
      <c r="G6079" s="424"/>
      <c r="H6079" s="31">
        <f>+IFERROR(VLOOKUP(E6079,BD!$L$2:$Q$244,6,0),0)</f>
        <v>0</v>
      </c>
      <c r="I6079" s="626">
        <f>IFERROR(G6079*VLOOKUP($E6079,BD!$L$2:$Q$244,5,0),0)</f>
        <v>0</v>
      </c>
      <c r="J6079" s="3">
        <f t="shared" si="393"/>
        <v>1900</v>
      </c>
    </row>
    <row r="6080" spans="1:10" s="9" customFormat="1" x14ac:dyDescent="0.25">
      <c r="A6080" s="447"/>
      <c r="B6080" s="55" t="str">
        <f t="shared" si="390"/>
        <v>ENERO</v>
      </c>
      <c r="C6080" s="55">
        <f t="shared" si="391"/>
        <v>1</v>
      </c>
      <c r="D6080" s="3" t="str">
        <f t="shared" si="392"/>
        <v>SÁBADO</v>
      </c>
      <c r="E6080" s="427"/>
      <c r="F6080" s="31">
        <f>IFERROR(VLOOKUP(E6080,BD!$L$2:$Q$244,2,0),0)</f>
        <v>0</v>
      </c>
      <c r="G6080" s="425"/>
      <c r="H6080" s="31">
        <f>+IFERROR(VLOOKUP(E6080,BD!$L$2:$Q$244,6,0),0)</f>
        <v>0</v>
      </c>
      <c r="I6080" s="626">
        <f>IFERROR(G6080*VLOOKUP($E6080,BD!$L$2:$Q$244,5,0),0)</f>
        <v>0</v>
      </c>
      <c r="J6080" s="3">
        <f t="shared" si="393"/>
        <v>1900</v>
      </c>
    </row>
    <row r="6081" spans="1:10" s="9" customFormat="1" x14ac:dyDescent="0.25">
      <c r="A6081" s="447"/>
      <c r="B6081" s="55" t="str">
        <f t="shared" si="390"/>
        <v>ENERO</v>
      </c>
      <c r="C6081" s="55">
        <f t="shared" si="391"/>
        <v>1</v>
      </c>
      <c r="D6081" s="3" t="str">
        <f t="shared" si="392"/>
        <v>SÁBADO</v>
      </c>
      <c r="E6081" s="427"/>
      <c r="F6081" s="31">
        <f>IFERROR(VLOOKUP(E6081,BD!$L$2:$Q$244,2,0),0)</f>
        <v>0</v>
      </c>
      <c r="G6081" s="424"/>
      <c r="H6081" s="31">
        <f>+IFERROR(VLOOKUP(E6081,BD!$L$2:$Q$244,6,0),0)</f>
        <v>0</v>
      </c>
      <c r="I6081" s="626">
        <f>IFERROR(G6081*VLOOKUP($E6081,BD!$L$2:$Q$244,5,0),0)</f>
        <v>0</v>
      </c>
      <c r="J6081" s="3">
        <f t="shared" si="393"/>
        <v>1900</v>
      </c>
    </row>
    <row r="6082" spans="1:10" s="9" customFormat="1" x14ac:dyDescent="0.25">
      <c r="A6082" s="447"/>
      <c r="B6082" s="55" t="str">
        <f t="shared" si="390"/>
        <v>ENERO</v>
      </c>
      <c r="C6082" s="55">
        <f t="shared" si="391"/>
        <v>1</v>
      </c>
      <c r="D6082" s="3" t="str">
        <f t="shared" si="392"/>
        <v>SÁBADO</v>
      </c>
      <c r="E6082" s="427"/>
      <c r="F6082" s="31">
        <f>IFERROR(VLOOKUP(E6082,BD!$L$2:$Q$244,2,0),0)</f>
        <v>0</v>
      </c>
      <c r="G6082" s="424"/>
      <c r="H6082" s="31">
        <f>+IFERROR(VLOOKUP(E6082,BD!$L$2:$Q$244,6,0),0)</f>
        <v>0</v>
      </c>
      <c r="I6082" s="626">
        <f>IFERROR(G6082*VLOOKUP($E6082,BD!$L$2:$Q$244,5,0),0)</f>
        <v>0</v>
      </c>
      <c r="J6082" s="3">
        <f t="shared" si="393"/>
        <v>1900</v>
      </c>
    </row>
    <row r="6083" spans="1:10" s="9" customFormat="1" x14ac:dyDescent="0.25">
      <c r="A6083" s="447"/>
      <c r="B6083" s="55" t="str">
        <f t="shared" si="390"/>
        <v>ENERO</v>
      </c>
      <c r="C6083" s="55">
        <f t="shared" si="391"/>
        <v>1</v>
      </c>
      <c r="D6083" s="3" t="str">
        <f t="shared" si="392"/>
        <v>SÁBADO</v>
      </c>
      <c r="E6083" s="427"/>
      <c r="F6083" s="31">
        <f>IFERROR(VLOOKUP(E6083,BD!$L$2:$Q$244,2,0),0)</f>
        <v>0</v>
      </c>
      <c r="G6083" s="424"/>
      <c r="H6083" s="31">
        <f>+IFERROR(VLOOKUP(E6083,BD!$L$2:$Q$244,6,0),0)</f>
        <v>0</v>
      </c>
      <c r="I6083" s="626">
        <f>IFERROR(G6083*VLOOKUP($E6083,BD!$L$2:$Q$244,5,0),0)</f>
        <v>0</v>
      </c>
      <c r="J6083" s="3">
        <f t="shared" si="393"/>
        <v>1900</v>
      </c>
    </row>
    <row r="6084" spans="1:10" s="9" customFormat="1" x14ac:dyDescent="0.25">
      <c r="A6084" s="447"/>
      <c r="B6084" s="55" t="str">
        <f t="shared" si="390"/>
        <v>ENERO</v>
      </c>
      <c r="C6084" s="55">
        <f t="shared" si="391"/>
        <v>1</v>
      </c>
      <c r="D6084" s="3" t="str">
        <f t="shared" si="392"/>
        <v>SÁBADO</v>
      </c>
      <c r="E6084" s="427"/>
      <c r="F6084" s="31">
        <f>IFERROR(VLOOKUP(E6084,BD!$L$2:$Q$244,2,0),0)</f>
        <v>0</v>
      </c>
      <c r="G6084" s="424"/>
      <c r="H6084" s="31">
        <f>+IFERROR(VLOOKUP(E6084,BD!$L$2:$Q$244,6,0),0)</f>
        <v>0</v>
      </c>
      <c r="I6084" s="626">
        <f>IFERROR(G6084*VLOOKUP($E6084,BD!$L$2:$Q$244,5,0),0)</f>
        <v>0</v>
      </c>
      <c r="J6084" s="3">
        <f t="shared" si="393"/>
        <v>1900</v>
      </c>
    </row>
    <row r="6085" spans="1:10" s="9" customFormat="1" x14ac:dyDescent="0.25">
      <c r="A6085" s="447"/>
      <c r="B6085" s="55" t="str">
        <f t="shared" si="390"/>
        <v>ENERO</v>
      </c>
      <c r="C6085" s="55">
        <f t="shared" si="391"/>
        <v>1</v>
      </c>
      <c r="D6085" s="3" t="str">
        <f t="shared" si="392"/>
        <v>SÁBADO</v>
      </c>
      <c r="E6085" s="427"/>
      <c r="F6085" s="31">
        <f>IFERROR(VLOOKUP(E6085,BD!$L$2:$Q$244,2,0),0)</f>
        <v>0</v>
      </c>
      <c r="G6085" s="424"/>
      <c r="H6085" s="31">
        <f>+IFERROR(VLOOKUP(E6085,BD!$L$2:$Q$244,6,0),0)</f>
        <v>0</v>
      </c>
      <c r="I6085" s="626">
        <f>IFERROR(G6085*VLOOKUP($E6085,BD!$L$2:$Q$244,5,0),0)</f>
        <v>0</v>
      </c>
      <c r="J6085" s="3">
        <f t="shared" si="393"/>
        <v>1900</v>
      </c>
    </row>
    <row r="6086" spans="1:10" s="9" customFormat="1" x14ac:dyDescent="0.25">
      <c r="A6086" s="447"/>
      <c r="B6086" s="55" t="str">
        <f t="shared" si="390"/>
        <v>ENERO</v>
      </c>
      <c r="C6086" s="55">
        <f t="shared" si="391"/>
        <v>1</v>
      </c>
      <c r="D6086" s="3" t="str">
        <f t="shared" si="392"/>
        <v>SÁBADO</v>
      </c>
      <c r="E6086" s="427"/>
      <c r="F6086" s="31">
        <f>IFERROR(VLOOKUP(E6086,BD!$L$2:$Q$244,2,0),0)</f>
        <v>0</v>
      </c>
      <c r="G6086" s="424"/>
      <c r="H6086" s="31">
        <f>+IFERROR(VLOOKUP(E6086,BD!$L$2:$Q$244,6,0),0)</f>
        <v>0</v>
      </c>
      <c r="I6086" s="626">
        <f>IFERROR(G6086*VLOOKUP($E6086,BD!$L$2:$Q$244,5,0),0)</f>
        <v>0</v>
      </c>
      <c r="J6086" s="3">
        <f t="shared" si="393"/>
        <v>1900</v>
      </c>
    </row>
    <row r="6087" spans="1:10" s="9" customFormat="1" x14ac:dyDescent="0.25">
      <c r="A6087" s="447"/>
      <c r="B6087" s="55" t="str">
        <f t="shared" si="390"/>
        <v>ENERO</v>
      </c>
      <c r="C6087" s="55">
        <f t="shared" si="391"/>
        <v>1</v>
      </c>
      <c r="D6087" s="3" t="str">
        <f t="shared" si="392"/>
        <v>SÁBADO</v>
      </c>
      <c r="E6087" s="427"/>
      <c r="F6087" s="31">
        <f>IFERROR(VLOOKUP(E6087,BD!$L$2:$Q$244,2,0),0)</f>
        <v>0</v>
      </c>
      <c r="G6087" s="424"/>
      <c r="H6087" s="31">
        <f>+IFERROR(VLOOKUP(E6087,BD!$L$2:$Q$244,6,0),0)</f>
        <v>0</v>
      </c>
      <c r="I6087" s="626">
        <f>IFERROR(G6087*VLOOKUP($E6087,BD!$L$2:$Q$244,5,0),0)</f>
        <v>0</v>
      </c>
      <c r="J6087" s="3">
        <f t="shared" si="393"/>
        <v>1900</v>
      </c>
    </row>
    <row r="6088" spans="1:10" s="9" customFormat="1" x14ac:dyDescent="0.25">
      <c r="A6088" s="447"/>
      <c r="B6088" s="55" t="str">
        <f t="shared" si="390"/>
        <v>ENERO</v>
      </c>
      <c r="C6088" s="55">
        <f t="shared" si="391"/>
        <v>1</v>
      </c>
      <c r="D6088" s="3" t="str">
        <f t="shared" si="392"/>
        <v>SÁBADO</v>
      </c>
      <c r="E6088" s="427"/>
      <c r="F6088" s="31">
        <f>IFERROR(VLOOKUP(E6088,BD!$L$2:$Q$244,2,0),0)</f>
        <v>0</v>
      </c>
      <c r="G6088" s="424"/>
      <c r="H6088" s="31">
        <f>+IFERROR(VLOOKUP(E6088,BD!$L$2:$Q$244,6,0),0)</f>
        <v>0</v>
      </c>
      <c r="I6088" s="626">
        <f>IFERROR(G6088*VLOOKUP($E6088,BD!$L$2:$Q$244,5,0),0)</f>
        <v>0</v>
      </c>
      <c r="J6088" s="3">
        <f t="shared" si="393"/>
        <v>1900</v>
      </c>
    </row>
    <row r="6089" spans="1:10" s="9" customFormat="1" x14ac:dyDescent="0.25">
      <c r="A6089" s="447"/>
      <c r="B6089" s="55" t="str">
        <f t="shared" si="390"/>
        <v>ENERO</v>
      </c>
      <c r="C6089" s="55">
        <f t="shared" si="391"/>
        <v>1</v>
      </c>
      <c r="D6089" s="3" t="str">
        <f t="shared" si="392"/>
        <v>SÁBADO</v>
      </c>
      <c r="E6089" s="427"/>
      <c r="F6089" s="31">
        <f>IFERROR(VLOOKUP(E6089,BD!$L$2:$Q$244,2,0),0)</f>
        <v>0</v>
      </c>
      <c r="G6089" s="424"/>
      <c r="H6089" s="31">
        <f>+IFERROR(VLOOKUP(E6089,BD!$L$2:$Q$244,6,0),0)</f>
        <v>0</v>
      </c>
      <c r="I6089" s="626">
        <f>IFERROR(G6089*VLOOKUP($E6089,BD!$L$2:$Q$244,5,0),0)</f>
        <v>0</v>
      </c>
      <c r="J6089" s="3">
        <f t="shared" si="393"/>
        <v>1900</v>
      </c>
    </row>
    <row r="6090" spans="1:10" s="9" customFormat="1" x14ac:dyDescent="0.25">
      <c r="A6090" s="447"/>
      <c r="B6090" s="55" t="str">
        <f t="shared" si="390"/>
        <v>ENERO</v>
      </c>
      <c r="C6090" s="55">
        <f t="shared" si="391"/>
        <v>1</v>
      </c>
      <c r="D6090" s="3" t="str">
        <f t="shared" si="392"/>
        <v>SÁBADO</v>
      </c>
      <c r="E6090" s="427"/>
      <c r="F6090" s="31">
        <f>IFERROR(VLOOKUP(E6090,BD!$L$2:$Q$244,2,0),0)</f>
        <v>0</v>
      </c>
      <c r="G6090" s="424"/>
      <c r="H6090" s="31">
        <f>+IFERROR(VLOOKUP(E6090,BD!$L$2:$Q$244,6,0),0)</f>
        <v>0</v>
      </c>
      <c r="I6090" s="626">
        <f>IFERROR(G6090*VLOOKUP($E6090,BD!$L$2:$Q$244,5,0),0)</f>
        <v>0</v>
      </c>
      <c r="J6090" s="3">
        <f t="shared" si="393"/>
        <v>1900</v>
      </c>
    </row>
    <row r="6091" spans="1:10" s="9" customFormat="1" x14ac:dyDescent="0.25">
      <c r="A6091" s="447"/>
      <c r="B6091" s="55" t="str">
        <f t="shared" si="390"/>
        <v>ENERO</v>
      </c>
      <c r="C6091" s="55">
        <f t="shared" si="391"/>
        <v>1</v>
      </c>
      <c r="D6091" s="3" t="str">
        <f t="shared" si="392"/>
        <v>SÁBADO</v>
      </c>
      <c r="E6091" s="427"/>
      <c r="F6091" s="31">
        <f>IFERROR(VLOOKUP(E6091,BD!$L$2:$Q$244,2,0),0)</f>
        <v>0</v>
      </c>
      <c r="G6091" s="424"/>
      <c r="H6091" s="31">
        <f>+IFERROR(VLOOKUP(E6091,BD!$L$2:$Q$244,6,0),0)</f>
        <v>0</v>
      </c>
      <c r="I6091" s="626">
        <f>IFERROR(G6091*VLOOKUP($E6091,BD!$L$2:$Q$244,5,0),0)</f>
        <v>0</v>
      </c>
      <c r="J6091" s="3">
        <f t="shared" si="393"/>
        <v>1900</v>
      </c>
    </row>
    <row r="6092" spans="1:10" s="9" customFormat="1" x14ac:dyDescent="0.25">
      <c r="A6092" s="447"/>
      <c r="B6092" s="55" t="str">
        <f t="shared" si="390"/>
        <v>ENERO</v>
      </c>
      <c r="C6092" s="55">
        <f t="shared" si="391"/>
        <v>1</v>
      </c>
      <c r="D6092" s="3" t="str">
        <f t="shared" si="392"/>
        <v>SÁBADO</v>
      </c>
      <c r="E6092" s="427"/>
      <c r="F6092" s="31">
        <f>IFERROR(VLOOKUP(E6092,BD!$L$2:$Q$244,2,0),0)</f>
        <v>0</v>
      </c>
      <c r="G6092" s="424"/>
      <c r="H6092" s="31">
        <f>+IFERROR(VLOOKUP(E6092,BD!$L$2:$Q$244,6,0),0)</f>
        <v>0</v>
      </c>
      <c r="I6092" s="626">
        <f>IFERROR(G6092*VLOOKUP($E6092,BD!$L$2:$Q$244,5,0),0)</f>
        <v>0</v>
      </c>
      <c r="J6092" s="3">
        <f t="shared" si="393"/>
        <v>1900</v>
      </c>
    </row>
    <row r="6093" spans="1:10" s="9" customFormat="1" x14ac:dyDescent="0.25">
      <c r="A6093" s="447"/>
      <c r="B6093" s="55" t="str">
        <f t="shared" si="390"/>
        <v>ENERO</v>
      </c>
      <c r="C6093" s="55">
        <f t="shared" si="391"/>
        <v>1</v>
      </c>
      <c r="D6093" s="3" t="str">
        <f t="shared" si="392"/>
        <v>SÁBADO</v>
      </c>
      <c r="E6093" s="427"/>
      <c r="F6093" s="31">
        <f>IFERROR(VLOOKUP(E6093,BD!$L$2:$Q$244,2,0),0)</f>
        <v>0</v>
      </c>
      <c r="G6093" s="424"/>
      <c r="H6093" s="31">
        <f>+IFERROR(VLOOKUP(E6093,BD!$L$2:$Q$244,6,0),0)</f>
        <v>0</v>
      </c>
      <c r="I6093" s="626">
        <f>IFERROR(G6093*VLOOKUP($E6093,BD!$L$2:$Q$244,5,0),0)</f>
        <v>0</v>
      </c>
      <c r="J6093" s="3">
        <f t="shared" si="393"/>
        <v>1900</v>
      </c>
    </row>
    <row r="6094" spans="1:10" s="9" customFormat="1" x14ac:dyDescent="0.25">
      <c r="A6094" s="447"/>
      <c r="B6094" s="55" t="str">
        <f t="shared" si="390"/>
        <v>ENERO</v>
      </c>
      <c r="C6094" s="55">
        <f t="shared" si="391"/>
        <v>1</v>
      </c>
      <c r="D6094" s="3" t="str">
        <f t="shared" si="392"/>
        <v>SÁBADO</v>
      </c>
      <c r="E6094" s="427"/>
      <c r="F6094" s="31">
        <f>IFERROR(VLOOKUP(E6094,BD!$L$2:$Q$244,2,0),0)</f>
        <v>0</v>
      </c>
      <c r="G6094" s="425"/>
      <c r="H6094" s="31">
        <f>+IFERROR(VLOOKUP(E6094,BD!$L$2:$Q$244,6,0),0)</f>
        <v>0</v>
      </c>
      <c r="I6094" s="626">
        <f>IFERROR(G6094*VLOOKUP($E6094,BD!$L$2:$Q$244,5,0),0)</f>
        <v>0</v>
      </c>
      <c r="J6094" s="3">
        <f t="shared" si="393"/>
        <v>1900</v>
      </c>
    </row>
    <row r="6095" spans="1:10" s="9" customFormat="1" x14ac:dyDescent="0.25">
      <c r="A6095" s="447"/>
      <c r="B6095" s="55" t="str">
        <f t="shared" si="390"/>
        <v>ENERO</v>
      </c>
      <c r="C6095" s="55">
        <f t="shared" si="391"/>
        <v>1</v>
      </c>
      <c r="D6095" s="3" t="str">
        <f t="shared" si="392"/>
        <v>SÁBADO</v>
      </c>
      <c r="E6095" s="427"/>
      <c r="F6095" s="31">
        <f>IFERROR(VLOOKUP(E6095,BD!$L$2:$Q$244,2,0),0)</f>
        <v>0</v>
      </c>
      <c r="G6095" s="424"/>
      <c r="H6095" s="31">
        <f>+IFERROR(VLOOKUP(E6095,BD!$L$2:$Q$244,6,0),0)</f>
        <v>0</v>
      </c>
      <c r="I6095" s="626">
        <f>IFERROR(G6095*VLOOKUP($E6095,BD!$L$2:$Q$244,5,0),0)</f>
        <v>0</v>
      </c>
      <c r="J6095" s="3">
        <f t="shared" si="393"/>
        <v>1900</v>
      </c>
    </row>
    <row r="6096" spans="1:10" s="9" customFormat="1" x14ac:dyDescent="0.25">
      <c r="A6096" s="447"/>
      <c r="B6096" s="55" t="str">
        <f t="shared" si="390"/>
        <v>ENERO</v>
      </c>
      <c r="C6096" s="55">
        <f t="shared" si="391"/>
        <v>1</v>
      </c>
      <c r="D6096" s="3" t="str">
        <f t="shared" si="392"/>
        <v>SÁBADO</v>
      </c>
      <c r="E6096" s="427"/>
      <c r="F6096" s="31">
        <f>IFERROR(VLOOKUP(E6096,BD!$L$2:$Q$244,2,0),0)</f>
        <v>0</v>
      </c>
      <c r="G6096" s="424"/>
      <c r="H6096" s="31">
        <f>+IFERROR(VLOOKUP(E6096,BD!$L$2:$Q$244,6,0),0)</f>
        <v>0</v>
      </c>
      <c r="I6096" s="626">
        <f>IFERROR(G6096*VLOOKUP($E6096,BD!$L$2:$Q$244,5,0),0)</f>
        <v>0</v>
      </c>
      <c r="J6096" s="3">
        <f t="shared" si="393"/>
        <v>1900</v>
      </c>
    </row>
    <row r="6097" spans="1:10" s="9" customFormat="1" x14ac:dyDescent="0.25">
      <c r="A6097" s="447"/>
      <c r="B6097" s="55" t="str">
        <f t="shared" si="390"/>
        <v>ENERO</v>
      </c>
      <c r="C6097" s="55">
        <f t="shared" si="391"/>
        <v>1</v>
      </c>
      <c r="D6097" s="3" t="str">
        <f t="shared" si="392"/>
        <v>SÁBADO</v>
      </c>
      <c r="E6097" s="427"/>
      <c r="F6097" s="31">
        <f>IFERROR(VLOOKUP(E6097,BD!$L$2:$Q$244,2,0),0)</f>
        <v>0</v>
      </c>
      <c r="G6097" s="424"/>
      <c r="H6097" s="31">
        <f>+IFERROR(VLOOKUP(E6097,BD!$L$2:$Q$244,6,0),0)</f>
        <v>0</v>
      </c>
      <c r="I6097" s="626">
        <f>IFERROR(G6097*VLOOKUP($E6097,BD!$L$2:$Q$244,5,0),0)</f>
        <v>0</v>
      </c>
      <c r="J6097" s="3">
        <f t="shared" si="393"/>
        <v>1900</v>
      </c>
    </row>
    <row r="6098" spans="1:10" s="9" customFormat="1" x14ac:dyDescent="0.25">
      <c r="A6098" s="447"/>
      <c r="B6098" s="55" t="str">
        <f t="shared" si="390"/>
        <v>ENERO</v>
      </c>
      <c r="C6098" s="55">
        <f t="shared" si="391"/>
        <v>1</v>
      </c>
      <c r="D6098" s="3" t="str">
        <f t="shared" si="392"/>
        <v>SÁBADO</v>
      </c>
      <c r="E6098" s="427"/>
      <c r="F6098" s="31">
        <f>IFERROR(VLOOKUP(E6098,BD!$L$2:$Q$244,2,0),0)</f>
        <v>0</v>
      </c>
      <c r="G6098" s="424"/>
      <c r="H6098" s="31">
        <f>+IFERROR(VLOOKUP(E6098,BD!$L$2:$Q$244,6,0),0)</f>
        <v>0</v>
      </c>
      <c r="I6098" s="626">
        <f>IFERROR(G6098*VLOOKUP($E6098,BD!$L$2:$Q$244,5,0),0)</f>
        <v>0</v>
      </c>
      <c r="J6098" s="3">
        <f t="shared" si="393"/>
        <v>1900</v>
      </c>
    </row>
    <row r="6099" spans="1:10" s="9" customFormat="1" x14ac:dyDescent="0.25">
      <c r="A6099" s="447"/>
      <c r="B6099" s="55" t="str">
        <f t="shared" si="390"/>
        <v>ENERO</v>
      </c>
      <c r="C6099" s="55">
        <f t="shared" si="391"/>
        <v>1</v>
      </c>
      <c r="D6099" s="3" t="str">
        <f t="shared" si="392"/>
        <v>SÁBADO</v>
      </c>
      <c r="E6099" s="427"/>
      <c r="F6099" s="31">
        <f>IFERROR(VLOOKUP(E6099,BD!$L$2:$Q$244,2,0),0)</f>
        <v>0</v>
      </c>
      <c r="G6099" s="424"/>
      <c r="H6099" s="31">
        <f>+IFERROR(VLOOKUP(E6099,BD!$L$2:$Q$244,6,0),0)</f>
        <v>0</v>
      </c>
      <c r="I6099" s="626">
        <f>IFERROR(G6099*VLOOKUP($E6099,BD!$L$2:$Q$244,5,0),0)</f>
        <v>0</v>
      </c>
      <c r="J6099" s="3">
        <f t="shared" si="393"/>
        <v>1900</v>
      </c>
    </row>
    <row r="6100" spans="1:10" s="9" customFormat="1" x14ac:dyDescent="0.25">
      <c r="A6100" s="447"/>
      <c r="B6100" s="55" t="str">
        <f t="shared" si="390"/>
        <v>ENERO</v>
      </c>
      <c r="C6100" s="55">
        <f t="shared" si="391"/>
        <v>1</v>
      </c>
      <c r="D6100" s="3" t="str">
        <f t="shared" si="392"/>
        <v>SÁBADO</v>
      </c>
      <c r="E6100" s="427"/>
      <c r="F6100" s="31">
        <f>IFERROR(VLOOKUP(E6100,BD!$L$2:$Q$244,2,0),0)</f>
        <v>0</v>
      </c>
      <c r="G6100" s="424"/>
      <c r="H6100" s="31">
        <f>+IFERROR(VLOOKUP(E6100,BD!$L$2:$Q$244,6,0),0)</f>
        <v>0</v>
      </c>
      <c r="I6100" s="626">
        <f>IFERROR(G6100*VLOOKUP($E6100,BD!$L$2:$Q$244,5,0),0)</f>
        <v>0</v>
      </c>
      <c r="J6100" s="3">
        <f t="shared" si="393"/>
        <v>1900</v>
      </c>
    </row>
    <row r="6101" spans="1:10" s="9" customFormat="1" x14ac:dyDescent="0.25">
      <c r="A6101" s="447"/>
      <c r="B6101" s="55" t="str">
        <f t="shared" si="390"/>
        <v>ENERO</v>
      </c>
      <c r="C6101" s="55">
        <f t="shared" si="391"/>
        <v>1</v>
      </c>
      <c r="D6101" s="3" t="str">
        <f t="shared" si="392"/>
        <v>SÁBADO</v>
      </c>
      <c r="E6101" s="427"/>
      <c r="F6101" s="31">
        <f>IFERROR(VLOOKUP(E6101,BD!$L$2:$Q$244,2,0),0)</f>
        <v>0</v>
      </c>
      <c r="G6101" s="424"/>
      <c r="H6101" s="31">
        <f>+IFERROR(VLOOKUP(E6101,BD!$L$2:$Q$244,6,0),0)</f>
        <v>0</v>
      </c>
      <c r="I6101" s="626">
        <f>IFERROR(G6101*VLOOKUP($E6101,BD!$L$2:$Q$244,5,0),0)</f>
        <v>0</v>
      </c>
      <c r="J6101" s="3">
        <f t="shared" si="393"/>
        <v>1900</v>
      </c>
    </row>
    <row r="6102" spans="1:10" s="9" customFormat="1" x14ac:dyDescent="0.25">
      <c r="A6102" s="447"/>
      <c r="B6102" s="55" t="str">
        <f t="shared" si="390"/>
        <v>ENERO</v>
      </c>
      <c r="C6102" s="55">
        <f t="shared" si="391"/>
        <v>1</v>
      </c>
      <c r="D6102" s="3" t="str">
        <f t="shared" si="392"/>
        <v>SÁBADO</v>
      </c>
      <c r="E6102" s="427"/>
      <c r="F6102" s="31">
        <f>IFERROR(VLOOKUP(E6102,BD!$L$2:$Q$244,2,0),0)</f>
        <v>0</v>
      </c>
      <c r="G6102" s="424"/>
      <c r="H6102" s="31">
        <f>+IFERROR(VLOOKUP(E6102,BD!$L$2:$Q$244,6,0),0)</f>
        <v>0</v>
      </c>
      <c r="I6102" s="626">
        <f>IFERROR(G6102*VLOOKUP($E6102,BD!$L$2:$Q$244,5,0),0)</f>
        <v>0</v>
      </c>
      <c r="J6102" s="3">
        <f t="shared" si="393"/>
        <v>1900</v>
      </c>
    </row>
    <row r="6103" spans="1:10" s="9" customFormat="1" x14ac:dyDescent="0.25">
      <c r="A6103" s="447"/>
      <c r="B6103" s="55" t="str">
        <f t="shared" si="390"/>
        <v>ENERO</v>
      </c>
      <c r="C6103" s="55">
        <f t="shared" si="391"/>
        <v>1</v>
      </c>
      <c r="D6103" s="3" t="str">
        <f t="shared" si="392"/>
        <v>SÁBADO</v>
      </c>
      <c r="E6103" s="427"/>
      <c r="F6103" s="31">
        <f>IFERROR(VLOOKUP(E6103,BD!$L$2:$Q$244,2,0),0)</f>
        <v>0</v>
      </c>
      <c r="G6103" s="424"/>
      <c r="H6103" s="31">
        <f>+IFERROR(VLOOKUP(E6103,BD!$L$2:$Q$244,6,0),0)</f>
        <v>0</v>
      </c>
      <c r="I6103" s="626">
        <f>IFERROR(G6103*VLOOKUP($E6103,BD!$L$2:$Q$244,5,0),0)</f>
        <v>0</v>
      </c>
      <c r="J6103" s="3">
        <f t="shared" si="393"/>
        <v>1900</v>
      </c>
    </row>
    <row r="6104" spans="1:10" s="9" customFormat="1" x14ac:dyDescent="0.25">
      <c r="A6104" s="447"/>
      <c r="B6104" s="55" t="str">
        <f t="shared" si="390"/>
        <v>ENERO</v>
      </c>
      <c r="C6104" s="55">
        <f t="shared" si="391"/>
        <v>1</v>
      </c>
      <c r="D6104" s="3" t="str">
        <f t="shared" si="392"/>
        <v>SÁBADO</v>
      </c>
      <c r="E6104" s="427"/>
      <c r="F6104" s="31">
        <f>IFERROR(VLOOKUP(E6104,BD!$L$2:$Q$244,2,0),0)</f>
        <v>0</v>
      </c>
      <c r="G6104" s="424"/>
      <c r="H6104" s="31">
        <f>+IFERROR(VLOOKUP(E6104,BD!$L$2:$Q$244,6,0),0)</f>
        <v>0</v>
      </c>
      <c r="I6104" s="626">
        <f>IFERROR(G6104*VLOOKUP($E6104,BD!$L$2:$Q$244,5,0),0)</f>
        <v>0</v>
      </c>
      <c r="J6104" s="3">
        <f t="shared" si="393"/>
        <v>1900</v>
      </c>
    </row>
    <row r="6105" spans="1:10" s="9" customFormat="1" x14ac:dyDescent="0.25">
      <c r="A6105" s="447"/>
      <c r="B6105" s="55" t="str">
        <f t="shared" si="390"/>
        <v>ENERO</v>
      </c>
      <c r="C6105" s="55">
        <f t="shared" si="391"/>
        <v>1</v>
      </c>
      <c r="D6105" s="3" t="str">
        <f t="shared" si="392"/>
        <v>SÁBADO</v>
      </c>
      <c r="E6105" s="427"/>
      <c r="F6105" s="31">
        <f>IFERROR(VLOOKUP(E6105,BD!$L$2:$Q$244,2,0),0)</f>
        <v>0</v>
      </c>
      <c r="G6105" s="424"/>
      <c r="H6105" s="31">
        <f>+IFERROR(VLOOKUP(E6105,BD!$L$2:$Q$244,6,0),0)</f>
        <v>0</v>
      </c>
      <c r="I6105" s="626">
        <f>IFERROR(G6105*VLOOKUP($E6105,BD!$L$2:$Q$244,5,0),0)</f>
        <v>0</v>
      </c>
      <c r="J6105" s="3">
        <f t="shared" si="393"/>
        <v>1900</v>
      </c>
    </row>
    <row r="6106" spans="1:10" s="9" customFormat="1" x14ac:dyDescent="0.25">
      <c r="A6106" s="447"/>
      <c r="B6106" s="55" t="str">
        <f t="shared" si="390"/>
        <v>ENERO</v>
      </c>
      <c r="C6106" s="55">
        <f t="shared" si="391"/>
        <v>1</v>
      </c>
      <c r="D6106" s="3" t="str">
        <f t="shared" si="392"/>
        <v>SÁBADO</v>
      </c>
      <c r="E6106" s="427"/>
      <c r="F6106" s="31">
        <f>IFERROR(VLOOKUP(E6106,BD!$L$2:$Q$244,2,0),0)</f>
        <v>0</v>
      </c>
      <c r="G6106" s="424"/>
      <c r="H6106" s="31">
        <f>+IFERROR(VLOOKUP(E6106,BD!$L$2:$Q$244,6,0),0)</f>
        <v>0</v>
      </c>
      <c r="I6106" s="626">
        <f>IFERROR(G6106*VLOOKUP($E6106,BD!$L$2:$Q$244,5,0),0)</f>
        <v>0</v>
      </c>
      <c r="J6106" s="3">
        <f t="shared" si="393"/>
        <v>1900</v>
      </c>
    </row>
    <row r="6107" spans="1:10" s="9" customFormat="1" x14ac:dyDescent="0.25">
      <c r="A6107" s="447"/>
      <c r="B6107" s="55" t="str">
        <f t="shared" si="390"/>
        <v>ENERO</v>
      </c>
      <c r="C6107" s="55">
        <f t="shared" si="391"/>
        <v>1</v>
      </c>
      <c r="D6107" s="3" t="str">
        <f t="shared" si="392"/>
        <v>SÁBADO</v>
      </c>
      <c r="E6107" s="427"/>
      <c r="F6107" s="31">
        <f>IFERROR(VLOOKUP(E6107,BD!$L$2:$Q$244,2,0),0)</f>
        <v>0</v>
      </c>
      <c r="G6107" s="424"/>
      <c r="H6107" s="31">
        <f>+IFERROR(VLOOKUP(E6107,BD!$L$2:$Q$244,6,0),0)</f>
        <v>0</v>
      </c>
      <c r="I6107" s="626">
        <f>IFERROR(G6107*VLOOKUP($E6107,BD!$L$2:$Q$244,5,0),0)</f>
        <v>0</v>
      </c>
      <c r="J6107" s="3">
        <f t="shared" si="393"/>
        <v>1900</v>
      </c>
    </row>
    <row r="6108" spans="1:10" s="9" customFormat="1" x14ac:dyDescent="0.25">
      <c r="A6108" s="447"/>
      <c r="B6108" s="55" t="str">
        <f t="shared" si="390"/>
        <v>ENERO</v>
      </c>
      <c r="C6108" s="55">
        <f t="shared" si="391"/>
        <v>1</v>
      </c>
      <c r="D6108" s="3" t="str">
        <f t="shared" si="392"/>
        <v>SÁBADO</v>
      </c>
      <c r="E6108" s="427"/>
      <c r="F6108" s="31">
        <f>IFERROR(VLOOKUP(E6108,BD!$L$2:$Q$244,2,0),0)</f>
        <v>0</v>
      </c>
      <c r="G6108" s="425"/>
      <c r="H6108" s="31">
        <f>+IFERROR(VLOOKUP(E6108,BD!$L$2:$Q$244,6,0),0)</f>
        <v>0</v>
      </c>
      <c r="I6108" s="626">
        <f>IFERROR(G6108*VLOOKUP($E6108,BD!$L$2:$Q$244,5,0),0)</f>
        <v>0</v>
      </c>
      <c r="J6108" s="3">
        <f t="shared" si="393"/>
        <v>1900</v>
      </c>
    </row>
    <row r="6109" spans="1:10" s="9" customFormat="1" x14ac:dyDescent="0.25">
      <c r="A6109" s="447"/>
      <c r="B6109" s="55" t="str">
        <f t="shared" si="390"/>
        <v>ENERO</v>
      </c>
      <c r="C6109" s="55">
        <f t="shared" si="391"/>
        <v>1</v>
      </c>
      <c r="D6109" s="3" t="str">
        <f t="shared" si="392"/>
        <v>SÁBADO</v>
      </c>
      <c r="E6109" s="427"/>
      <c r="F6109" s="31">
        <f>IFERROR(VLOOKUP(E6109,BD!$L$2:$Q$244,2,0),0)</f>
        <v>0</v>
      </c>
      <c r="G6109" s="424"/>
      <c r="H6109" s="31">
        <f>+IFERROR(VLOOKUP(E6109,BD!$L$2:$Q$244,6,0),0)</f>
        <v>0</v>
      </c>
      <c r="I6109" s="626">
        <f>IFERROR(G6109*VLOOKUP($E6109,BD!$L$2:$Q$244,5,0),0)</f>
        <v>0</v>
      </c>
      <c r="J6109" s="3">
        <f t="shared" si="393"/>
        <v>1900</v>
      </c>
    </row>
    <row r="6110" spans="1:10" s="9" customFormat="1" x14ac:dyDescent="0.25">
      <c r="A6110" s="447"/>
      <c r="B6110" s="55" t="str">
        <f t="shared" si="390"/>
        <v>ENERO</v>
      </c>
      <c r="C6110" s="55">
        <f t="shared" si="391"/>
        <v>1</v>
      </c>
      <c r="D6110" s="3" t="str">
        <f t="shared" si="392"/>
        <v>SÁBADO</v>
      </c>
      <c r="E6110" s="427"/>
      <c r="F6110" s="31">
        <f>IFERROR(VLOOKUP(E6110,BD!$L$2:$Q$244,2,0),0)</f>
        <v>0</v>
      </c>
      <c r="G6110" s="424"/>
      <c r="H6110" s="31">
        <f>+IFERROR(VLOOKUP(E6110,BD!$L$2:$Q$244,6,0),0)</f>
        <v>0</v>
      </c>
      <c r="I6110" s="626">
        <f>IFERROR(G6110*VLOOKUP($E6110,BD!$L$2:$Q$244,5,0),0)</f>
        <v>0</v>
      </c>
      <c r="J6110" s="3">
        <f t="shared" si="393"/>
        <v>1900</v>
      </c>
    </row>
    <row r="6111" spans="1:10" s="9" customFormat="1" x14ac:dyDescent="0.25">
      <c r="A6111" s="447"/>
      <c r="B6111" s="55" t="str">
        <f t="shared" si="390"/>
        <v>ENERO</v>
      </c>
      <c r="C6111" s="55">
        <f t="shared" si="391"/>
        <v>1</v>
      </c>
      <c r="D6111" s="3" t="str">
        <f t="shared" si="392"/>
        <v>SÁBADO</v>
      </c>
      <c r="E6111" s="427"/>
      <c r="F6111" s="31">
        <f>IFERROR(VLOOKUP(E6111,BD!$L$2:$Q$244,2,0),0)</f>
        <v>0</v>
      </c>
      <c r="G6111" s="424"/>
      <c r="H6111" s="31">
        <f>+IFERROR(VLOOKUP(E6111,BD!$L$2:$Q$244,6,0),0)</f>
        <v>0</v>
      </c>
      <c r="I6111" s="626">
        <f>IFERROR(G6111*VLOOKUP($E6111,BD!$L$2:$Q$244,5,0),0)</f>
        <v>0</v>
      </c>
      <c r="J6111" s="3">
        <f t="shared" si="393"/>
        <v>1900</v>
      </c>
    </row>
    <row r="6112" spans="1:10" s="9" customFormat="1" x14ac:dyDescent="0.25">
      <c r="A6112" s="447"/>
      <c r="B6112" s="55" t="str">
        <f t="shared" si="390"/>
        <v>ENERO</v>
      </c>
      <c r="C6112" s="55">
        <f t="shared" si="391"/>
        <v>1</v>
      </c>
      <c r="D6112" s="3" t="str">
        <f t="shared" si="392"/>
        <v>SÁBADO</v>
      </c>
      <c r="E6112" s="427"/>
      <c r="F6112" s="31">
        <f>IFERROR(VLOOKUP(E6112,BD!$L$2:$Q$244,2,0),0)</f>
        <v>0</v>
      </c>
      <c r="G6112" s="424"/>
      <c r="H6112" s="31">
        <f>+IFERROR(VLOOKUP(E6112,BD!$L$2:$Q$244,6,0),0)</f>
        <v>0</v>
      </c>
      <c r="I6112" s="626">
        <f>IFERROR(G6112*VLOOKUP($E6112,BD!$L$2:$Q$244,5,0),0)</f>
        <v>0</v>
      </c>
      <c r="J6112" s="3">
        <f t="shared" si="393"/>
        <v>1900</v>
      </c>
    </row>
    <row r="6113" spans="1:10" s="9" customFormat="1" x14ac:dyDescent="0.25">
      <c r="A6113" s="447"/>
      <c r="B6113" s="55" t="str">
        <f t="shared" si="390"/>
        <v>ENERO</v>
      </c>
      <c r="C6113" s="55">
        <f t="shared" si="391"/>
        <v>1</v>
      </c>
      <c r="D6113" s="3" t="str">
        <f t="shared" si="392"/>
        <v>SÁBADO</v>
      </c>
      <c r="E6113" s="427"/>
      <c r="F6113" s="31">
        <f>IFERROR(VLOOKUP(E6113,BD!$L$2:$Q$244,2,0),0)</f>
        <v>0</v>
      </c>
      <c r="G6113" s="424"/>
      <c r="H6113" s="31">
        <f>+IFERROR(VLOOKUP(E6113,BD!$L$2:$Q$244,6,0),0)</f>
        <v>0</v>
      </c>
      <c r="I6113" s="626">
        <f>IFERROR(G6113*VLOOKUP($E6113,BD!$L$2:$Q$244,5,0),0)</f>
        <v>0</v>
      </c>
      <c r="J6113" s="3">
        <f t="shared" si="393"/>
        <v>1900</v>
      </c>
    </row>
    <row r="6114" spans="1:10" s="9" customFormat="1" x14ac:dyDescent="0.25">
      <c r="A6114" s="447"/>
      <c r="B6114" s="55" t="str">
        <f t="shared" si="390"/>
        <v>ENERO</v>
      </c>
      <c r="C6114" s="55">
        <f t="shared" si="391"/>
        <v>1</v>
      </c>
      <c r="D6114" s="3" t="str">
        <f t="shared" si="392"/>
        <v>SÁBADO</v>
      </c>
      <c r="E6114" s="427"/>
      <c r="F6114" s="31">
        <f>IFERROR(VLOOKUP(E6114,BD!$L$2:$Q$244,2,0),0)</f>
        <v>0</v>
      </c>
      <c r="G6114" s="424"/>
      <c r="H6114" s="31">
        <f>+IFERROR(VLOOKUP(E6114,BD!$L$2:$Q$244,6,0),0)</f>
        <v>0</v>
      </c>
      <c r="I6114" s="626">
        <f>IFERROR(G6114*VLOOKUP($E6114,BD!$L$2:$Q$244,5,0),0)</f>
        <v>0</v>
      </c>
      <c r="J6114" s="3">
        <f t="shared" si="393"/>
        <v>1900</v>
      </c>
    </row>
    <row r="6115" spans="1:10" s="9" customFormat="1" x14ac:dyDescent="0.25">
      <c r="A6115" s="447"/>
      <c r="B6115" s="55" t="str">
        <f t="shared" si="390"/>
        <v>ENERO</v>
      </c>
      <c r="C6115" s="55">
        <f t="shared" si="391"/>
        <v>1</v>
      </c>
      <c r="D6115" s="3" t="str">
        <f t="shared" si="392"/>
        <v>SÁBADO</v>
      </c>
      <c r="E6115" s="427"/>
      <c r="F6115" s="31">
        <f>IFERROR(VLOOKUP(E6115,BD!$L$2:$Q$244,2,0),0)</f>
        <v>0</v>
      </c>
      <c r="G6115" s="424"/>
      <c r="H6115" s="31">
        <f>+IFERROR(VLOOKUP(E6115,BD!$L$2:$Q$244,6,0),0)</f>
        <v>0</v>
      </c>
      <c r="I6115" s="626">
        <f>IFERROR(G6115*VLOOKUP($E6115,BD!$L$2:$Q$244,5,0),0)</f>
        <v>0</v>
      </c>
      <c r="J6115" s="3">
        <f t="shared" si="393"/>
        <v>1900</v>
      </c>
    </row>
    <row r="6116" spans="1:10" s="9" customFormat="1" x14ac:dyDescent="0.25">
      <c r="A6116" s="447"/>
      <c r="B6116" s="55" t="str">
        <f t="shared" si="390"/>
        <v>ENERO</v>
      </c>
      <c r="C6116" s="55">
        <f t="shared" si="391"/>
        <v>1</v>
      </c>
      <c r="D6116" s="3" t="str">
        <f t="shared" si="392"/>
        <v>SÁBADO</v>
      </c>
      <c r="E6116" s="427"/>
      <c r="F6116" s="31">
        <f>IFERROR(VLOOKUP(E6116,BD!$L$2:$Q$244,2,0),0)</f>
        <v>0</v>
      </c>
      <c r="G6116" s="424"/>
      <c r="H6116" s="31">
        <f>+IFERROR(VLOOKUP(E6116,BD!$L$2:$Q$244,6,0),0)</f>
        <v>0</v>
      </c>
      <c r="I6116" s="626">
        <f>IFERROR(G6116*VLOOKUP($E6116,BD!$L$2:$Q$244,5,0),0)</f>
        <v>0</v>
      </c>
      <c r="J6116" s="3">
        <f t="shared" si="393"/>
        <v>1900</v>
      </c>
    </row>
    <row r="6117" spans="1:10" s="9" customFormat="1" x14ac:dyDescent="0.25">
      <c r="A6117" s="447"/>
      <c r="B6117" s="55" t="str">
        <f t="shared" si="390"/>
        <v>ENERO</v>
      </c>
      <c r="C6117" s="55">
        <f t="shared" si="391"/>
        <v>1</v>
      </c>
      <c r="D6117" s="3" t="str">
        <f t="shared" si="392"/>
        <v>SÁBADO</v>
      </c>
      <c r="E6117" s="427"/>
      <c r="F6117" s="31">
        <f>IFERROR(VLOOKUP(E6117,BD!$L$2:$Q$244,2,0),0)</f>
        <v>0</v>
      </c>
      <c r="G6117" s="424"/>
      <c r="H6117" s="31">
        <f>+IFERROR(VLOOKUP(E6117,BD!$L$2:$Q$244,6,0),0)</f>
        <v>0</v>
      </c>
      <c r="I6117" s="626">
        <f>IFERROR(G6117*VLOOKUP($E6117,BD!$L$2:$Q$244,5,0),0)</f>
        <v>0</v>
      </c>
      <c r="J6117" s="3">
        <f t="shared" si="393"/>
        <v>1900</v>
      </c>
    </row>
    <row r="6118" spans="1:10" s="9" customFormat="1" x14ac:dyDescent="0.25">
      <c r="A6118" s="447"/>
      <c r="B6118" s="55" t="str">
        <f t="shared" si="390"/>
        <v>ENERO</v>
      </c>
      <c r="C6118" s="55">
        <f t="shared" si="391"/>
        <v>1</v>
      </c>
      <c r="D6118" s="3" t="str">
        <f t="shared" si="392"/>
        <v>SÁBADO</v>
      </c>
      <c r="E6118" s="427"/>
      <c r="F6118" s="31">
        <f>IFERROR(VLOOKUP(E6118,BD!$L$2:$Q$244,2,0),0)</f>
        <v>0</v>
      </c>
      <c r="G6118" s="424"/>
      <c r="H6118" s="31">
        <f>+IFERROR(VLOOKUP(E6118,BD!$L$2:$Q$244,6,0),0)</f>
        <v>0</v>
      </c>
      <c r="I6118" s="626">
        <f>IFERROR(G6118*VLOOKUP($E6118,BD!$L$2:$Q$244,5,0),0)</f>
        <v>0</v>
      </c>
      <c r="J6118" s="3">
        <f t="shared" si="393"/>
        <v>1900</v>
      </c>
    </row>
    <row r="6119" spans="1:10" s="9" customFormat="1" x14ac:dyDescent="0.25">
      <c r="A6119" s="447"/>
      <c r="B6119" s="55" t="str">
        <f t="shared" si="390"/>
        <v>ENERO</v>
      </c>
      <c r="C6119" s="55">
        <f t="shared" si="391"/>
        <v>1</v>
      </c>
      <c r="D6119" s="3" t="str">
        <f t="shared" si="392"/>
        <v>SÁBADO</v>
      </c>
      <c r="E6119" s="427"/>
      <c r="F6119" s="31">
        <f>IFERROR(VLOOKUP(E6119,BD!$L$2:$Q$244,2,0),0)</f>
        <v>0</v>
      </c>
      <c r="G6119" s="424"/>
      <c r="H6119" s="31">
        <f>+IFERROR(VLOOKUP(E6119,BD!$L$2:$Q$244,6,0),0)</f>
        <v>0</v>
      </c>
      <c r="I6119" s="626">
        <f>IFERROR(G6119*VLOOKUP($E6119,BD!$L$2:$Q$244,5,0),0)</f>
        <v>0</v>
      </c>
      <c r="J6119" s="3">
        <f t="shared" si="393"/>
        <v>1900</v>
      </c>
    </row>
    <row r="6120" spans="1:10" s="9" customFormat="1" x14ac:dyDescent="0.25">
      <c r="A6120" s="447"/>
      <c r="B6120" s="55" t="str">
        <f t="shared" si="390"/>
        <v>ENERO</v>
      </c>
      <c r="C6120" s="55">
        <f t="shared" si="391"/>
        <v>1</v>
      </c>
      <c r="D6120" s="3" t="str">
        <f t="shared" si="392"/>
        <v>SÁBADO</v>
      </c>
      <c r="E6120" s="427"/>
      <c r="F6120" s="31">
        <f>IFERROR(VLOOKUP(E6120,BD!$L$2:$Q$244,2,0),0)</f>
        <v>0</v>
      </c>
      <c r="G6120" s="424"/>
      <c r="H6120" s="31">
        <f>+IFERROR(VLOOKUP(E6120,BD!$L$2:$Q$244,6,0),0)</f>
        <v>0</v>
      </c>
      <c r="I6120" s="626">
        <f>IFERROR(G6120*VLOOKUP($E6120,BD!$L$2:$Q$244,5,0),0)</f>
        <v>0</v>
      </c>
      <c r="J6120" s="3">
        <f t="shared" si="393"/>
        <v>1900</v>
      </c>
    </row>
    <row r="6121" spans="1:10" s="9" customFormat="1" x14ac:dyDescent="0.25">
      <c r="A6121" s="447"/>
      <c r="B6121" s="55" t="str">
        <f t="shared" si="390"/>
        <v>ENERO</v>
      </c>
      <c r="C6121" s="55">
        <f t="shared" si="391"/>
        <v>1</v>
      </c>
      <c r="D6121" s="3" t="str">
        <f t="shared" si="392"/>
        <v>SÁBADO</v>
      </c>
      <c r="E6121" s="427"/>
      <c r="F6121" s="31">
        <f>IFERROR(VLOOKUP(E6121,BD!$L$2:$Q$244,2,0),0)</f>
        <v>0</v>
      </c>
      <c r="G6121" s="424"/>
      <c r="H6121" s="31">
        <f>+IFERROR(VLOOKUP(E6121,BD!$L$2:$Q$244,6,0),0)</f>
        <v>0</v>
      </c>
      <c r="I6121" s="626">
        <f>IFERROR(G6121*VLOOKUP($E6121,BD!$L$2:$Q$244,5,0),0)</f>
        <v>0</v>
      </c>
      <c r="J6121" s="3">
        <f t="shared" si="393"/>
        <v>1900</v>
      </c>
    </row>
    <row r="6122" spans="1:10" s="9" customFormat="1" x14ac:dyDescent="0.25">
      <c r="A6122" s="447"/>
      <c r="B6122" s="55" t="str">
        <f t="shared" si="390"/>
        <v>ENERO</v>
      </c>
      <c r="C6122" s="55">
        <f t="shared" si="391"/>
        <v>1</v>
      </c>
      <c r="D6122" s="3" t="str">
        <f t="shared" si="392"/>
        <v>SÁBADO</v>
      </c>
      <c r="E6122" s="427"/>
      <c r="F6122" s="31">
        <f>IFERROR(VLOOKUP(E6122,BD!$L$2:$Q$244,2,0),0)</f>
        <v>0</v>
      </c>
      <c r="G6122" s="425"/>
      <c r="H6122" s="31">
        <f>+IFERROR(VLOOKUP(E6122,BD!$L$2:$Q$244,6,0),0)</f>
        <v>0</v>
      </c>
      <c r="I6122" s="626">
        <f>IFERROR(G6122*VLOOKUP($E6122,BD!$L$2:$Q$244,5,0),0)</f>
        <v>0</v>
      </c>
      <c r="J6122" s="3">
        <f t="shared" si="393"/>
        <v>1900</v>
      </c>
    </row>
    <row r="6123" spans="1:10" s="9" customFormat="1" x14ac:dyDescent="0.25">
      <c r="A6123" s="447"/>
      <c r="B6123" s="55" t="str">
        <f t="shared" si="390"/>
        <v>ENERO</v>
      </c>
      <c r="C6123" s="55">
        <f t="shared" si="391"/>
        <v>1</v>
      </c>
      <c r="D6123" s="3" t="str">
        <f t="shared" si="392"/>
        <v>SÁBADO</v>
      </c>
      <c r="E6123" s="427"/>
      <c r="F6123" s="31">
        <f>IFERROR(VLOOKUP(E6123,BD!$L$2:$Q$244,2,0),0)</f>
        <v>0</v>
      </c>
      <c r="G6123" s="424"/>
      <c r="H6123" s="31">
        <f>+IFERROR(VLOOKUP(E6123,BD!$L$2:$Q$244,6,0),0)</f>
        <v>0</v>
      </c>
      <c r="I6123" s="626">
        <f>IFERROR(G6123*VLOOKUP($E6123,BD!$L$2:$Q$244,5,0),0)</f>
        <v>0</v>
      </c>
      <c r="J6123" s="3">
        <f t="shared" si="393"/>
        <v>1900</v>
      </c>
    </row>
    <row r="6124" spans="1:10" s="9" customFormat="1" x14ac:dyDescent="0.25">
      <c r="A6124" s="447"/>
      <c r="B6124" s="55" t="str">
        <f t="shared" si="390"/>
        <v>ENERO</v>
      </c>
      <c r="C6124" s="55">
        <f t="shared" si="391"/>
        <v>1</v>
      </c>
      <c r="D6124" s="3" t="str">
        <f t="shared" si="392"/>
        <v>SÁBADO</v>
      </c>
      <c r="E6124" s="427"/>
      <c r="F6124" s="31">
        <f>IFERROR(VLOOKUP(E6124,BD!$L$2:$Q$244,2,0),0)</f>
        <v>0</v>
      </c>
      <c r="G6124" s="424"/>
      <c r="H6124" s="31">
        <f>+IFERROR(VLOOKUP(E6124,BD!$L$2:$Q$244,6,0),0)</f>
        <v>0</v>
      </c>
      <c r="I6124" s="626">
        <f>IFERROR(G6124*VLOOKUP($E6124,BD!$L$2:$Q$244,5,0),0)</f>
        <v>0</v>
      </c>
      <c r="J6124" s="3">
        <f t="shared" si="393"/>
        <v>1900</v>
      </c>
    </row>
    <row r="6125" spans="1:10" s="9" customFormat="1" x14ac:dyDescent="0.25">
      <c r="A6125" s="447"/>
      <c r="B6125" s="55" t="str">
        <f t="shared" si="390"/>
        <v>ENERO</v>
      </c>
      <c r="C6125" s="55">
        <f t="shared" si="391"/>
        <v>1</v>
      </c>
      <c r="D6125" s="3" t="str">
        <f t="shared" si="392"/>
        <v>SÁBADO</v>
      </c>
      <c r="E6125" s="427"/>
      <c r="F6125" s="31">
        <f>IFERROR(VLOOKUP(E6125,BD!$L$2:$Q$244,2,0),0)</f>
        <v>0</v>
      </c>
      <c r="G6125" s="424"/>
      <c r="H6125" s="31">
        <f>+IFERROR(VLOOKUP(E6125,BD!$L$2:$Q$244,6,0),0)</f>
        <v>0</v>
      </c>
      <c r="I6125" s="626">
        <f>IFERROR(G6125*VLOOKUP($E6125,BD!$L$2:$Q$244,5,0),0)</f>
        <v>0</v>
      </c>
      <c r="J6125" s="3">
        <f t="shared" si="393"/>
        <v>1900</v>
      </c>
    </row>
    <row r="6126" spans="1:10" s="9" customFormat="1" x14ac:dyDescent="0.25">
      <c r="A6126" s="447"/>
      <c r="B6126" s="55" t="str">
        <f t="shared" si="390"/>
        <v>ENERO</v>
      </c>
      <c r="C6126" s="55">
        <f t="shared" si="391"/>
        <v>1</v>
      </c>
      <c r="D6126" s="3" t="str">
        <f t="shared" si="392"/>
        <v>SÁBADO</v>
      </c>
      <c r="E6126" s="427"/>
      <c r="F6126" s="31">
        <f>IFERROR(VLOOKUP(E6126,BD!$L$2:$Q$244,2,0),0)</f>
        <v>0</v>
      </c>
      <c r="G6126" s="424"/>
      <c r="H6126" s="31">
        <f>+IFERROR(VLOOKUP(E6126,BD!$L$2:$Q$244,6,0),0)</f>
        <v>0</v>
      </c>
      <c r="I6126" s="626">
        <f>IFERROR(G6126*VLOOKUP($E6126,BD!$L$2:$Q$244,5,0),0)</f>
        <v>0</v>
      </c>
      <c r="J6126" s="3">
        <f t="shared" si="393"/>
        <v>1900</v>
      </c>
    </row>
    <row r="6127" spans="1:10" s="9" customFormat="1" x14ac:dyDescent="0.25">
      <c r="A6127" s="447"/>
      <c r="B6127" s="55" t="str">
        <f t="shared" si="390"/>
        <v>ENERO</v>
      </c>
      <c r="C6127" s="55">
        <f t="shared" si="391"/>
        <v>1</v>
      </c>
      <c r="D6127" s="3" t="str">
        <f t="shared" si="392"/>
        <v>SÁBADO</v>
      </c>
      <c r="E6127" s="427"/>
      <c r="F6127" s="31">
        <f>IFERROR(VLOOKUP(E6127,BD!$L$2:$Q$244,2,0),0)</f>
        <v>0</v>
      </c>
      <c r="G6127" s="424"/>
      <c r="H6127" s="31">
        <f>+IFERROR(VLOOKUP(E6127,BD!$L$2:$Q$244,6,0),0)</f>
        <v>0</v>
      </c>
      <c r="I6127" s="626">
        <f>IFERROR(G6127*VLOOKUP($E6127,BD!$L$2:$Q$244,5,0),0)</f>
        <v>0</v>
      </c>
      <c r="J6127" s="3">
        <f t="shared" si="393"/>
        <v>1900</v>
      </c>
    </row>
    <row r="6128" spans="1:10" s="9" customFormat="1" x14ac:dyDescent="0.25">
      <c r="A6128" s="447"/>
      <c r="B6128" s="55" t="str">
        <f t="shared" si="390"/>
        <v>ENERO</v>
      </c>
      <c r="C6128" s="55">
        <f t="shared" si="391"/>
        <v>1</v>
      </c>
      <c r="D6128" s="3" t="str">
        <f t="shared" si="392"/>
        <v>SÁBADO</v>
      </c>
      <c r="E6128" s="427"/>
      <c r="F6128" s="31">
        <f>IFERROR(VLOOKUP(E6128,BD!$L$2:$Q$244,2,0),0)</f>
        <v>0</v>
      </c>
      <c r="G6128" s="424"/>
      <c r="H6128" s="31">
        <f>+IFERROR(VLOOKUP(E6128,BD!$L$2:$Q$244,6,0),0)</f>
        <v>0</v>
      </c>
      <c r="I6128" s="626">
        <f>IFERROR(G6128*VLOOKUP($E6128,BD!$L$2:$Q$244,5,0),0)</f>
        <v>0</v>
      </c>
      <c r="J6128" s="3">
        <f t="shared" si="393"/>
        <v>1900</v>
      </c>
    </row>
    <row r="6129" spans="1:10" s="9" customFormat="1" x14ac:dyDescent="0.25">
      <c r="A6129" s="447"/>
      <c r="B6129" s="55" t="str">
        <f t="shared" si="390"/>
        <v>ENERO</v>
      </c>
      <c r="C6129" s="55">
        <f t="shared" si="391"/>
        <v>1</v>
      </c>
      <c r="D6129" s="3" t="str">
        <f t="shared" si="392"/>
        <v>SÁBADO</v>
      </c>
      <c r="E6129" s="427"/>
      <c r="F6129" s="31">
        <f>IFERROR(VLOOKUP(E6129,BD!$L$2:$Q$244,2,0),0)</f>
        <v>0</v>
      </c>
      <c r="G6129" s="424"/>
      <c r="H6129" s="31">
        <f>+IFERROR(VLOOKUP(E6129,BD!$L$2:$Q$244,6,0),0)</f>
        <v>0</v>
      </c>
      <c r="I6129" s="626">
        <f>IFERROR(G6129*VLOOKUP($E6129,BD!$L$2:$Q$244,5,0),0)</f>
        <v>0</v>
      </c>
      <c r="J6129" s="3">
        <f t="shared" si="393"/>
        <v>1900</v>
      </c>
    </row>
    <row r="6130" spans="1:10" s="9" customFormat="1" x14ac:dyDescent="0.25">
      <c r="A6130" s="447"/>
      <c r="B6130" s="55" t="str">
        <f t="shared" si="390"/>
        <v>ENERO</v>
      </c>
      <c r="C6130" s="55">
        <f t="shared" si="391"/>
        <v>1</v>
      </c>
      <c r="D6130" s="3" t="str">
        <f t="shared" si="392"/>
        <v>SÁBADO</v>
      </c>
      <c r="E6130" s="427"/>
      <c r="F6130" s="31">
        <f>IFERROR(VLOOKUP(E6130,BD!$L$2:$Q$244,2,0),0)</f>
        <v>0</v>
      </c>
      <c r="G6130" s="424"/>
      <c r="H6130" s="31">
        <f>+IFERROR(VLOOKUP(E6130,BD!$L$2:$Q$244,6,0),0)</f>
        <v>0</v>
      </c>
      <c r="I6130" s="626">
        <f>IFERROR(G6130*VLOOKUP($E6130,BD!$L$2:$Q$244,5,0),0)</f>
        <v>0</v>
      </c>
      <c r="J6130" s="3">
        <f t="shared" si="393"/>
        <v>1900</v>
      </c>
    </row>
    <row r="6131" spans="1:10" s="9" customFormat="1" x14ac:dyDescent="0.25">
      <c r="A6131" s="447"/>
      <c r="B6131" s="55" t="str">
        <f t="shared" si="390"/>
        <v>ENERO</v>
      </c>
      <c r="C6131" s="55">
        <f t="shared" si="391"/>
        <v>1</v>
      </c>
      <c r="D6131" s="3" t="str">
        <f t="shared" si="392"/>
        <v>SÁBADO</v>
      </c>
      <c r="E6131" s="427"/>
      <c r="F6131" s="31">
        <f>IFERROR(VLOOKUP(E6131,BD!$L$2:$Q$244,2,0),0)</f>
        <v>0</v>
      </c>
      <c r="G6131" s="424"/>
      <c r="H6131" s="31">
        <f>+IFERROR(VLOOKUP(E6131,BD!$L$2:$Q$244,6,0),0)</f>
        <v>0</v>
      </c>
      <c r="I6131" s="626">
        <f>IFERROR(G6131*VLOOKUP($E6131,BD!$L$2:$Q$244,5,0),0)</f>
        <v>0</v>
      </c>
      <c r="J6131" s="3">
        <f t="shared" si="393"/>
        <v>1900</v>
      </c>
    </row>
    <row r="6132" spans="1:10" s="9" customFormat="1" x14ac:dyDescent="0.25">
      <c r="A6132" s="447"/>
      <c r="B6132" s="55" t="str">
        <f t="shared" si="390"/>
        <v>ENERO</v>
      </c>
      <c r="C6132" s="55">
        <f t="shared" si="391"/>
        <v>1</v>
      </c>
      <c r="D6132" s="3" t="str">
        <f t="shared" si="392"/>
        <v>SÁBADO</v>
      </c>
      <c r="E6132" s="427"/>
      <c r="F6132" s="31">
        <f>IFERROR(VLOOKUP(E6132,BD!$L$2:$Q$244,2,0),0)</f>
        <v>0</v>
      </c>
      <c r="G6132" s="424"/>
      <c r="H6132" s="31">
        <f>+IFERROR(VLOOKUP(E6132,BD!$L$2:$Q$244,6,0),0)</f>
        <v>0</v>
      </c>
      <c r="I6132" s="626">
        <f>IFERROR(G6132*VLOOKUP($E6132,BD!$L$2:$Q$244,5,0),0)</f>
        <v>0</v>
      </c>
      <c r="J6132" s="3">
        <f t="shared" si="393"/>
        <v>1900</v>
      </c>
    </row>
    <row r="6133" spans="1:10" s="9" customFormat="1" x14ac:dyDescent="0.25">
      <c r="A6133" s="447"/>
      <c r="B6133" s="55" t="str">
        <f t="shared" si="390"/>
        <v>ENERO</v>
      </c>
      <c r="C6133" s="55">
        <f t="shared" si="391"/>
        <v>1</v>
      </c>
      <c r="D6133" s="3" t="str">
        <f t="shared" si="392"/>
        <v>SÁBADO</v>
      </c>
      <c r="E6133" s="427"/>
      <c r="F6133" s="31">
        <f>IFERROR(VLOOKUP(E6133,BD!$L$2:$Q$244,2,0),0)</f>
        <v>0</v>
      </c>
      <c r="G6133" s="424"/>
      <c r="H6133" s="31">
        <f>+IFERROR(VLOOKUP(E6133,BD!$L$2:$Q$244,6,0),0)</f>
        <v>0</v>
      </c>
      <c r="I6133" s="626">
        <f>IFERROR(G6133*VLOOKUP($E6133,BD!$L$2:$Q$244,5,0),0)</f>
        <v>0</v>
      </c>
      <c r="J6133" s="3">
        <f t="shared" si="393"/>
        <v>1900</v>
      </c>
    </row>
    <row r="6134" spans="1:10" s="9" customFormat="1" x14ac:dyDescent="0.25">
      <c r="A6134" s="447"/>
      <c r="B6134" s="55" t="str">
        <f t="shared" si="390"/>
        <v>ENERO</v>
      </c>
      <c r="C6134" s="55">
        <f t="shared" si="391"/>
        <v>1</v>
      </c>
      <c r="D6134" s="3" t="str">
        <f t="shared" si="392"/>
        <v>SÁBADO</v>
      </c>
      <c r="E6134" s="427"/>
      <c r="F6134" s="31">
        <f>IFERROR(VLOOKUP(E6134,BD!$L$2:$Q$244,2,0),0)</f>
        <v>0</v>
      </c>
      <c r="G6134" s="424"/>
      <c r="H6134" s="31">
        <f>+IFERROR(VLOOKUP(E6134,BD!$L$2:$Q$244,6,0),0)</f>
        <v>0</v>
      </c>
      <c r="I6134" s="626">
        <f>IFERROR(G6134*VLOOKUP($E6134,BD!$L$2:$Q$244,5,0),0)</f>
        <v>0</v>
      </c>
      <c r="J6134" s="3">
        <f t="shared" si="393"/>
        <v>1900</v>
      </c>
    </row>
    <row r="6135" spans="1:10" s="9" customFormat="1" x14ac:dyDescent="0.25">
      <c r="A6135" s="447"/>
      <c r="B6135" s="55" t="str">
        <f t="shared" si="390"/>
        <v>ENERO</v>
      </c>
      <c r="C6135" s="55">
        <f t="shared" si="391"/>
        <v>1</v>
      </c>
      <c r="D6135" s="3" t="str">
        <f t="shared" si="392"/>
        <v>SÁBADO</v>
      </c>
      <c r="E6135" s="427"/>
      <c r="F6135" s="31">
        <f>IFERROR(VLOOKUP(E6135,BD!$L$2:$Q$244,2,0),0)</f>
        <v>0</v>
      </c>
      <c r="G6135" s="424"/>
      <c r="H6135" s="31">
        <f>+IFERROR(VLOOKUP(E6135,BD!$L$2:$Q$244,6,0),0)</f>
        <v>0</v>
      </c>
      <c r="I6135" s="626">
        <f>IFERROR(G6135*VLOOKUP($E6135,BD!$L$2:$Q$244,5,0),0)</f>
        <v>0</v>
      </c>
      <c r="J6135" s="3">
        <f t="shared" si="393"/>
        <v>1900</v>
      </c>
    </row>
    <row r="6136" spans="1:10" s="9" customFormat="1" x14ac:dyDescent="0.25">
      <c r="A6136" s="447"/>
      <c r="B6136" s="55" t="str">
        <f t="shared" si="390"/>
        <v>ENERO</v>
      </c>
      <c r="C6136" s="55">
        <f t="shared" si="391"/>
        <v>1</v>
      </c>
      <c r="D6136" s="3" t="str">
        <f t="shared" si="392"/>
        <v>SÁBADO</v>
      </c>
      <c r="E6136" s="427"/>
      <c r="F6136" s="31">
        <f>IFERROR(VLOOKUP(E6136,BD!$L$2:$Q$244,2,0),0)</f>
        <v>0</v>
      </c>
      <c r="G6136" s="425"/>
      <c r="H6136" s="31">
        <f>+IFERROR(VLOOKUP(E6136,BD!$L$2:$Q$244,6,0),0)</f>
        <v>0</v>
      </c>
      <c r="I6136" s="626">
        <f>IFERROR(G6136*VLOOKUP($E6136,BD!$L$2:$Q$244,5,0),0)</f>
        <v>0</v>
      </c>
      <c r="J6136" s="3">
        <f t="shared" si="393"/>
        <v>1900</v>
      </c>
    </row>
    <row r="6137" spans="1:10" s="9" customFormat="1" x14ac:dyDescent="0.25">
      <c r="A6137" s="447"/>
      <c r="B6137" s="55" t="str">
        <f t="shared" si="390"/>
        <v>ENERO</v>
      </c>
      <c r="C6137" s="55">
        <f t="shared" si="391"/>
        <v>1</v>
      </c>
      <c r="D6137" s="3" t="str">
        <f t="shared" si="392"/>
        <v>SÁBADO</v>
      </c>
      <c r="E6137" s="427"/>
      <c r="F6137" s="31">
        <f>IFERROR(VLOOKUP(E6137,BD!$L$2:$Q$244,2,0),0)</f>
        <v>0</v>
      </c>
      <c r="G6137" s="424"/>
      <c r="H6137" s="31">
        <f>+IFERROR(VLOOKUP(E6137,BD!$L$2:$Q$244,6,0),0)</f>
        <v>0</v>
      </c>
      <c r="I6137" s="626">
        <f>IFERROR(G6137*VLOOKUP($E6137,BD!$L$2:$Q$244,5,0),0)</f>
        <v>0</v>
      </c>
      <c r="J6137" s="3">
        <f t="shared" si="393"/>
        <v>1900</v>
      </c>
    </row>
    <row r="6138" spans="1:10" s="9" customFormat="1" x14ac:dyDescent="0.25">
      <c r="A6138" s="447"/>
      <c r="B6138" s="55" t="str">
        <f t="shared" si="390"/>
        <v>ENERO</v>
      </c>
      <c r="C6138" s="55">
        <f t="shared" si="391"/>
        <v>1</v>
      </c>
      <c r="D6138" s="3" t="str">
        <f t="shared" si="392"/>
        <v>SÁBADO</v>
      </c>
      <c r="E6138" s="427"/>
      <c r="F6138" s="31">
        <f>IFERROR(VLOOKUP(E6138,BD!$L$2:$Q$244,2,0),0)</f>
        <v>0</v>
      </c>
      <c r="G6138" s="424"/>
      <c r="H6138" s="31">
        <f>+IFERROR(VLOOKUP(E6138,BD!$L$2:$Q$244,6,0),0)</f>
        <v>0</v>
      </c>
      <c r="I6138" s="626">
        <f>IFERROR(G6138*VLOOKUP($E6138,BD!$L$2:$Q$244,5,0),0)</f>
        <v>0</v>
      </c>
      <c r="J6138" s="3">
        <f t="shared" si="393"/>
        <v>1900</v>
      </c>
    </row>
    <row r="6139" spans="1:10" s="9" customFormat="1" x14ac:dyDescent="0.25">
      <c r="A6139" s="447"/>
      <c r="B6139" s="55" t="str">
        <f t="shared" si="390"/>
        <v>ENERO</v>
      </c>
      <c r="C6139" s="55">
        <f t="shared" si="391"/>
        <v>1</v>
      </c>
      <c r="D6139" s="3" t="str">
        <f t="shared" si="392"/>
        <v>SÁBADO</v>
      </c>
      <c r="E6139" s="427"/>
      <c r="F6139" s="31">
        <f>IFERROR(VLOOKUP(E6139,BD!$L$2:$Q$244,2,0),0)</f>
        <v>0</v>
      </c>
      <c r="G6139" s="424"/>
      <c r="H6139" s="31">
        <f>+IFERROR(VLOOKUP(E6139,BD!$L$2:$Q$244,6,0),0)</f>
        <v>0</v>
      </c>
      <c r="I6139" s="626">
        <f>IFERROR(G6139*VLOOKUP($E6139,BD!$L$2:$Q$244,5,0),0)</f>
        <v>0</v>
      </c>
      <c r="J6139" s="3">
        <f t="shared" si="393"/>
        <v>1900</v>
      </c>
    </row>
    <row r="6140" spans="1:10" s="9" customFormat="1" x14ac:dyDescent="0.25">
      <c r="A6140" s="447"/>
      <c r="B6140" s="55" t="str">
        <f t="shared" si="390"/>
        <v>ENERO</v>
      </c>
      <c r="C6140" s="55">
        <f t="shared" si="391"/>
        <v>1</v>
      </c>
      <c r="D6140" s="3" t="str">
        <f t="shared" si="392"/>
        <v>SÁBADO</v>
      </c>
      <c r="E6140" s="427"/>
      <c r="F6140" s="31">
        <f>IFERROR(VLOOKUP(E6140,BD!$L$2:$Q$244,2,0),0)</f>
        <v>0</v>
      </c>
      <c r="G6140" s="424"/>
      <c r="H6140" s="31">
        <f>+IFERROR(VLOOKUP(E6140,BD!$L$2:$Q$244,6,0),0)</f>
        <v>0</v>
      </c>
      <c r="I6140" s="626">
        <f>IFERROR(G6140*VLOOKUP($E6140,BD!$L$2:$Q$244,5,0),0)</f>
        <v>0</v>
      </c>
      <c r="J6140" s="3">
        <f t="shared" si="393"/>
        <v>1900</v>
      </c>
    </row>
    <row r="6141" spans="1:10" s="9" customFormat="1" x14ac:dyDescent="0.25">
      <c r="A6141" s="447"/>
      <c r="B6141" s="55" t="str">
        <f t="shared" ref="B6141:B6204" si="394">UPPER(TEXT(A6141,"MMMM"))</f>
        <v>ENERO</v>
      </c>
      <c r="C6141" s="55">
        <f t="shared" ref="C6141:C6204" si="395">WEEKNUM(A6141,16)</f>
        <v>1</v>
      </c>
      <c r="D6141" s="3" t="str">
        <f t="shared" ref="D6141:D6204" si="396">UPPER(TEXT(A6141,"DDDD"))</f>
        <v>SÁBADO</v>
      </c>
      <c r="E6141" s="427"/>
      <c r="F6141" s="31">
        <f>IFERROR(VLOOKUP(E6141,BD!$L$2:$Q$244,2,0),0)</f>
        <v>0</v>
      </c>
      <c r="G6141" s="424"/>
      <c r="H6141" s="31">
        <f>+IFERROR(VLOOKUP(E6141,BD!$L$2:$Q$244,6,0),0)</f>
        <v>0</v>
      </c>
      <c r="I6141" s="626">
        <f>IFERROR(G6141*VLOOKUP($E6141,BD!$L$2:$Q$244,5,0),0)</f>
        <v>0</v>
      </c>
      <c r="J6141" s="3">
        <f t="shared" ref="J6141:J6204" si="397">+YEAR(A6141)</f>
        <v>1900</v>
      </c>
    </row>
    <row r="6142" spans="1:10" s="9" customFormat="1" x14ac:dyDescent="0.25">
      <c r="A6142" s="447"/>
      <c r="B6142" s="55" t="str">
        <f t="shared" si="394"/>
        <v>ENERO</v>
      </c>
      <c r="C6142" s="55">
        <f t="shared" si="395"/>
        <v>1</v>
      </c>
      <c r="D6142" s="3" t="str">
        <f t="shared" si="396"/>
        <v>SÁBADO</v>
      </c>
      <c r="E6142" s="427"/>
      <c r="F6142" s="31">
        <f>IFERROR(VLOOKUP(E6142,BD!$L$2:$Q$244,2,0),0)</f>
        <v>0</v>
      </c>
      <c r="G6142" s="424"/>
      <c r="H6142" s="31">
        <f>+IFERROR(VLOOKUP(E6142,BD!$L$2:$Q$244,6,0),0)</f>
        <v>0</v>
      </c>
      <c r="I6142" s="626">
        <f>IFERROR(G6142*VLOOKUP($E6142,BD!$L$2:$Q$244,5,0),0)</f>
        <v>0</v>
      </c>
      <c r="J6142" s="3">
        <f t="shared" si="397"/>
        <v>1900</v>
      </c>
    </row>
    <row r="6143" spans="1:10" s="9" customFormat="1" x14ac:dyDescent="0.25">
      <c r="A6143" s="447"/>
      <c r="B6143" s="55" t="str">
        <f t="shared" si="394"/>
        <v>ENERO</v>
      </c>
      <c r="C6143" s="55">
        <f t="shared" si="395"/>
        <v>1</v>
      </c>
      <c r="D6143" s="3" t="str">
        <f t="shared" si="396"/>
        <v>SÁBADO</v>
      </c>
      <c r="E6143" s="427"/>
      <c r="F6143" s="31">
        <f>IFERROR(VLOOKUP(E6143,BD!$L$2:$Q$244,2,0),0)</f>
        <v>0</v>
      </c>
      <c r="G6143" s="424"/>
      <c r="H6143" s="31">
        <f>+IFERROR(VLOOKUP(E6143,BD!$L$2:$Q$244,6,0),0)</f>
        <v>0</v>
      </c>
      <c r="I6143" s="626">
        <f>IFERROR(G6143*VLOOKUP($E6143,BD!$L$2:$Q$244,5,0),0)</f>
        <v>0</v>
      </c>
      <c r="J6143" s="3">
        <f t="shared" si="397"/>
        <v>1900</v>
      </c>
    </row>
    <row r="6144" spans="1:10" s="9" customFormat="1" x14ac:dyDescent="0.25">
      <c r="A6144" s="447"/>
      <c r="B6144" s="55" t="str">
        <f t="shared" si="394"/>
        <v>ENERO</v>
      </c>
      <c r="C6144" s="55">
        <f t="shared" si="395"/>
        <v>1</v>
      </c>
      <c r="D6144" s="3" t="str">
        <f t="shared" si="396"/>
        <v>SÁBADO</v>
      </c>
      <c r="E6144" s="427"/>
      <c r="F6144" s="31">
        <f>IFERROR(VLOOKUP(E6144,BD!$L$2:$Q$244,2,0),0)</f>
        <v>0</v>
      </c>
      <c r="G6144" s="424"/>
      <c r="H6144" s="31">
        <f>+IFERROR(VLOOKUP(E6144,BD!$L$2:$Q$244,6,0),0)</f>
        <v>0</v>
      </c>
      <c r="I6144" s="626">
        <f>IFERROR(G6144*VLOOKUP($E6144,BD!$L$2:$Q$244,5,0),0)</f>
        <v>0</v>
      </c>
      <c r="J6144" s="3">
        <f t="shared" si="397"/>
        <v>1900</v>
      </c>
    </row>
    <row r="6145" spans="1:10" s="9" customFormat="1" x14ac:dyDescent="0.25">
      <c r="A6145" s="447"/>
      <c r="B6145" s="55" t="str">
        <f t="shared" si="394"/>
        <v>ENERO</v>
      </c>
      <c r="C6145" s="55">
        <f t="shared" si="395"/>
        <v>1</v>
      </c>
      <c r="D6145" s="3" t="str">
        <f t="shared" si="396"/>
        <v>SÁBADO</v>
      </c>
      <c r="E6145" s="427"/>
      <c r="F6145" s="31">
        <f>IFERROR(VLOOKUP(E6145,BD!$L$2:$Q$244,2,0),0)</f>
        <v>0</v>
      </c>
      <c r="G6145" s="424"/>
      <c r="H6145" s="31">
        <f>+IFERROR(VLOOKUP(E6145,BD!$L$2:$Q$244,6,0),0)</f>
        <v>0</v>
      </c>
      <c r="I6145" s="626">
        <f>IFERROR(G6145*VLOOKUP($E6145,BD!$L$2:$Q$244,5,0),0)</f>
        <v>0</v>
      </c>
      <c r="J6145" s="3">
        <f t="shared" si="397"/>
        <v>1900</v>
      </c>
    </row>
    <row r="6146" spans="1:10" s="9" customFormat="1" x14ac:dyDescent="0.25">
      <c r="A6146" s="447"/>
      <c r="B6146" s="55" t="str">
        <f t="shared" si="394"/>
        <v>ENERO</v>
      </c>
      <c r="C6146" s="55">
        <f t="shared" si="395"/>
        <v>1</v>
      </c>
      <c r="D6146" s="3" t="str">
        <f t="shared" si="396"/>
        <v>SÁBADO</v>
      </c>
      <c r="E6146" s="427"/>
      <c r="F6146" s="31">
        <f>IFERROR(VLOOKUP(E6146,BD!$L$2:$Q$244,2,0),0)</f>
        <v>0</v>
      </c>
      <c r="G6146" s="424"/>
      <c r="H6146" s="31">
        <f>+IFERROR(VLOOKUP(E6146,BD!$L$2:$Q$244,6,0),0)</f>
        <v>0</v>
      </c>
      <c r="I6146" s="626">
        <f>IFERROR(G6146*VLOOKUP($E6146,BD!$L$2:$Q$244,5,0),0)</f>
        <v>0</v>
      </c>
      <c r="J6146" s="3">
        <f t="shared" si="397"/>
        <v>1900</v>
      </c>
    </row>
    <row r="6147" spans="1:10" s="9" customFormat="1" x14ac:dyDescent="0.25">
      <c r="A6147" s="447"/>
      <c r="B6147" s="55" t="str">
        <f t="shared" si="394"/>
        <v>ENERO</v>
      </c>
      <c r="C6147" s="55">
        <f t="shared" si="395"/>
        <v>1</v>
      </c>
      <c r="D6147" s="3" t="str">
        <f t="shared" si="396"/>
        <v>SÁBADO</v>
      </c>
      <c r="E6147" s="427"/>
      <c r="F6147" s="31">
        <f>IFERROR(VLOOKUP(E6147,BD!$L$2:$Q$244,2,0),0)</f>
        <v>0</v>
      </c>
      <c r="G6147" s="424"/>
      <c r="H6147" s="31">
        <f>+IFERROR(VLOOKUP(E6147,BD!$L$2:$Q$244,6,0),0)</f>
        <v>0</v>
      </c>
      <c r="I6147" s="626">
        <f>IFERROR(G6147*VLOOKUP($E6147,BD!$L$2:$Q$244,5,0),0)</f>
        <v>0</v>
      </c>
      <c r="J6147" s="3">
        <f t="shared" si="397"/>
        <v>1900</v>
      </c>
    </row>
    <row r="6148" spans="1:10" s="9" customFormat="1" x14ac:dyDescent="0.25">
      <c r="A6148" s="447"/>
      <c r="B6148" s="55" t="str">
        <f t="shared" si="394"/>
        <v>ENERO</v>
      </c>
      <c r="C6148" s="55">
        <f t="shared" si="395"/>
        <v>1</v>
      </c>
      <c r="D6148" s="3" t="str">
        <f t="shared" si="396"/>
        <v>SÁBADO</v>
      </c>
      <c r="E6148" s="427"/>
      <c r="F6148" s="31">
        <f>IFERROR(VLOOKUP(E6148,BD!$L$2:$Q$244,2,0),0)</f>
        <v>0</v>
      </c>
      <c r="G6148" s="424"/>
      <c r="H6148" s="31">
        <f>+IFERROR(VLOOKUP(E6148,BD!$L$2:$Q$244,6,0),0)</f>
        <v>0</v>
      </c>
      <c r="I6148" s="626">
        <f>IFERROR(G6148*VLOOKUP($E6148,BD!$L$2:$Q$244,5,0),0)</f>
        <v>0</v>
      </c>
      <c r="J6148" s="3">
        <f t="shared" si="397"/>
        <v>1900</v>
      </c>
    </row>
    <row r="6149" spans="1:10" s="9" customFormat="1" x14ac:dyDescent="0.25">
      <c r="A6149" s="447"/>
      <c r="B6149" s="55" t="str">
        <f t="shared" si="394"/>
        <v>ENERO</v>
      </c>
      <c r="C6149" s="55">
        <f t="shared" si="395"/>
        <v>1</v>
      </c>
      <c r="D6149" s="3" t="str">
        <f t="shared" si="396"/>
        <v>SÁBADO</v>
      </c>
      <c r="E6149" s="427"/>
      <c r="F6149" s="31">
        <f>IFERROR(VLOOKUP(E6149,BD!$L$2:$Q$244,2,0),0)</f>
        <v>0</v>
      </c>
      <c r="G6149" s="424"/>
      <c r="H6149" s="31">
        <f>+IFERROR(VLOOKUP(E6149,BD!$L$2:$Q$244,6,0),0)</f>
        <v>0</v>
      </c>
      <c r="I6149" s="626">
        <f>IFERROR(G6149*VLOOKUP($E6149,BD!$L$2:$Q$244,5,0),0)</f>
        <v>0</v>
      </c>
      <c r="J6149" s="3">
        <f t="shared" si="397"/>
        <v>1900</v>
      </c>
    </row>
    <row r="6150" spans="1:10" s="9" customFormat="1" x14ac:dyDescent="0.25">
      <c r="A6150" s="447"/>
      <c r="B6150" s="55" t="str">
        <f t="shared" si="394"/>
        <v>ENERO</v>
      </c>
      <c r="C6150" s="55">
        <f t="shared" si="395"/>
        <v>1</v>
      </c>
      <c r="D6150" s="3" t="str">
        <f t="shared" si="396"/>
        <v>SÁBADO</v>
      </c>
      <c r="E6150" s="427"/>
      <c r="F6150" s="31">
        <f>IFERROR(VLOOKUP(E6150,BD!$L$2:$Q$244,2,0),0)</f>
        <v>0</v>
      </c>
      <c r="G6150" s="425"/>
      <c r="H6150" s="31">
        <f>+IFERROR(VLOOKUP(E6150,BD!$L$2:$Q$244,6,0),0)</f>
        <v>0</v>
      </c>
      <c r="I6150" s="626">
        <f>IFERROR(G6150*VLOOKUP($E6150,BD!$L$2:$Q$244,5,0),0)</f>
        <v>0</v>
      </c>
      <c r="J6150" s="3">
        <f t="shared" si="397"/>
        <v>1900</v>
      </c>
    </row>
    <row r="6151" spans="1:10" s="9" customFormat="1" x14ac:dyDescent="0.25">
      <c r="A6151" s="447"/>
      <c r="B6151" s="55" t="str">
        <f t="shared" si="394"/>
        <v>ENERO</v>
      </c>
      <c r="C6151" s="55">
        <f t="shared" si="395"/>
        <v>1</v>
      </c>
      <c r="D6151" s="3" t="str">
        <f t="shared" si="396"/>
        <v>SÁBADO</v>
      </c>
      <c r="E6151" s="427"/>
      <c r="F6151" s="31">
        <f>IFERROR(VLOOKUP(E6151,BD!$L$2:$Q$244,2,0),0)</f>
        <v>0</v>
      </c>
      <c r="G6151" s="424"/>
      <c r="H6151" s="31">
        <f>+IFERROR(VLOOKUP(E6151,BD!$L$2:$Q$244,6,0),0)</f>
        <v>0</v>
      </c>
      <c r="I6151" s="626">
        <f>IFERROR(G6151*VLOOKUP($E6151,BD!$L$2:$Q$244,5,0),0)</f>
        <v>0</v>
      </c>
      <c r="J6151" s="3">
        <f t="shared" si="397"/>
        <v>1900</v>
      </c>
    </row>
    <row r="6152" spans="1:10" s="9" customFormat="1" x14ac:dyDescent="0.25">
      <c r="A6152" s="447"/>
      <c r="B6152" s="55" t="str">
        <f t="shared" si="394"/>
        <v>ENERO</v>
      </c>
      <c r="C6152" s="55">
        <f t="shared" si="395"/>
        <v>1</v>
      </c>
      <c r="D6152" s="3" t="str">
        <f t="shared" si="396"/>
        <v>SÁBADO</v>
      </c>
      <c r="E6152" s="427"/>
      <c r="F6152" s="31">
        <f>IFERROR(VLOOKUP(E6152,BD!$L$2:$Q$244,2,0),0)</f>
        <v>0</v>
      </c>
      <c r="G6152" s="424"/>
      <c r="H6152" s="31">
        <f>+IFERROR(VLOOKUP(E6152,BD!$L$2:$Q$244,6,0),0)</f>
        <v>0</v>
      </c>
      <c r="I6152" s="626">
        <f>IFERROR(G6152*VLOOKUP($E6152,BD!$L$2:$Q$244,5,0),0)</f>
        <v>0</v>
      </c>
      <c r="J6152" s="3">
        <f t="shared" si="397"/>
        <v>1900</v>
      </c>
    </row>
    <row r="6153" spans="1:10" s="9" customFormat="1" x14ac:dyDescent="0.25">
      <c r="A6153" s="447"/>
      <c r="B6153" s="55" t="str">
        <f t="shared" si="394"/>
        <v>ENERO</v>
      </c>
      <c r="C6153" s="55">
        <f t="shared" si="395"/>
        <v>1</v>
      </c>
      <c r="D6153" s="3" t="str">
        <f t="shared" si="396"/>
        <v>SÁBADO</v>
      </c>
      <c r="E6153" s="427"/>
      <c r="F6153" s="31">
        <f>IFERROR(VLOOKUP(E6153,BD!$L$2:$Q$244,2,0),0)</f>
        <v>0</v>
      </c>
      <c r="G6153" s="424"/>
      <c r="H6153" s="31">
        <f>+IFERROR(VLOOKUP(E6153,BD!$L$2:$Q$244,6,0),0)</f>
        <v>0</v>
      </c>
      <c r="I6153" s="626">
        <f>IFERROR(G6153*VLOOKUP($E6153,BD!$L$2:$Q$244,5,0),0)</f>
        <v>0</v>
      </c>
      <c r="J6153" s="3">
        <f t="shared" si="397"/>
        <v>1900</v>
      </c>
    </row>
    <row r="6154" spans="1:10" s="9" customFormat="1" x14ac:dyDescent="0.25">
      <c r="A6154" s="447"/>
      <c r="B6154" s="55" t="str">
        <f t="shared" si="394"/>
        <v>ENERO</v>
      </c>
      <c r="C6154" s="55">
        <f t="shared" si="395"/>
        <v>1</v>
      </c>
      <c r="D6154" s="3" t="str">
        <f t="shared" si="396"/>
        <v>SÁBADO</v>
      </c>
      <c r="E6154" s="427"/>
      <c r="F6154" s="31">
        <f>IFERROR(VLOOKUP(E6154,BD!$L$2:$Q$244,2,0),0)</f>
        <v>0</v>
      </c>
      <c r="G6154" s="424"/>
      <c r="H6154" s="31">
        <f>+IFERROR(VLOOKUP(E6154,BD!$L$2:$Q$244,6,0),0)</f>
        <v>0</v>
      </c>
      <c r="I6154" s="626">
        <f>IFERROR(G6154*VLOOKUP($E6154,BD!$L$2:$Q$244,5,0),0)</f>
        <v>0</v>
      </c>
      <c r="J6154" s="3">
        <f t="shared" si="397"/>
        <v>1900</v>
      </c>
    </row>
    <row r="6155" spans="1:10" s="9" customFormat="1" x14ac:dyDescent="0.25">
      <c r="A6155" s="447"/>
      <c r="B6155" s="55" t="str">
        <f t="shared" si="394"/>
        <v>ENERO</v>
      </c>
      <c r="C6155" s="55">
        <f t="shared" si="395"/>
        <v>1</v>
      </c>
      <c r="D6155" s="3" t="str">
        <f t="shared" si="396"/>
        <v>SÁBADO</v>
      </c>
      <c r="E6155" s="427"/>
      <c r="F6155" s="31">
        <f>IFERROR(VLOOKUP(E6155,BD!$L$2:$Q$244,2,0),0)</f>
        <v>0</v>
      </c>
      <c r="G6155" s="424"/>
      <c r="H6155" s="31">
        <f>+IFERROR(VLOOKUP(E6155,BD!$L$2:$Q$244,6,0),0)</f>
        <v>0</v>
      </c>
      <c r="I6155" s="626">
        <f>IFERROR(G6155*VLOOKUP($E6155,BD!$L$2:$Q$244,5,0),0)</f>
        <v>0</v>
      </c>
      <c r="J6155" s="3">
        <f t="shared" si="397"/>
        <v>1900</v>
      </c>
    </row>
    <row r="6156" spans="1:10" s="9" customFormat="1" x14ac:dyDescent="0.25">
      <c r="A6156" s="447"/>
      <c r="B6156" s="55" t="str">
        <f t="shared" si="394"/>
        <v>ENERO</v>
      </c>
      <c r="C6156" s="55">
        <f t="shared" si="395"/>
        <v>1</v>
      </c>
      <c r="D6156" s="3" t="str">
        <f t="shared" si="396"/>
        <v>SÁBADO</v>
      </c>
      <c r="E6156" s="427"/>
      <c r="F6156" s="31">
        <f>IFERROR(VLOOKUP(E6156,BD!$L$2:$Q$244,2,0),0)</f>
        <v>0</v>
      </c>
      <c r="G6156" s="424"/>
      <c r="H6156" s="31">
        <f>+IFERROR(VLOOKUP(E6156,BD!$L$2:$Q$244,6,0),0)</f>
        <v>0</v>
      </c>
      <c r="I6156" s="626">
        <f>IFERROR(G6156*VLOOKUP($E6156,BD!$L$2:$Q$244,5,0),0)</f>
        <v>0</v>
      </c>
      <c r="J6156" s="3">
        <f t="shared" si="397"/>
        <v>1900</v>
      </c>
    </row>
    <row r="6157" spans="1:10" s="9" customFormat="1" x14ac:dyDescent="0.25">
      <c r="A6157" s="447"/>
      <c r="B6157" s="55" t="str">
        <f t="shared" si="394"/>
        <v>ENERO</v>
      </c>
      <c r="C6157" s="55">
        <f t="shared" si="395"/>
        <v>1</v>
      </c>
      <c r="D6157" s="3" t="str">
        <f t="shared" si="396"/>
        <v>SÁBADO</v>
      </c>
      <c r="E6157" s="427"/>
      <c r="F6157" s="31">
        <f>IFERROR(VLOOKUP(E6157,BD!$L$2:$Q$244,2,0),0)</f>
        <v>0</v>
      </c>
      <c r="G6157" s="424"/>
      <c r="H6157" s="31">
        <f>+IFERROR(VLOOKUP(E6157,BD!$L$2:$Q$244,6,0),0)</f>
        <v>0</v>
      </c>
      <c r="I6157" s="626">
        <f>IFERROR(G6157*VLOOKUP($E6157,BD!$L$2:$Q$244,5,0),0)</f>
        <v>0</v>
      </c>
      <c r="J6157" s="3">
        <f t="shared" si="397"/>
        <v>1900</v>
      </c>
    </row>
    <row r="6158" spans="1:10" s="9" customFormat="1" x14ac:dyDescent="0.25">
      <c r="A6158" s="447"/>
      <c r="B6158" s="55" t="str">
        <f t="shared" si="394"/>
        <v>ENERO</v>
      </c>
      <c r="C6158" s="55">
        <f t="shared" si="395"/>
        <v>1</v>
      </c>
      <c r="D6158" s="3" t="str">
        <f t="shared" si="396"/>
        <v>SÁBADO</v>
      </c>
      <c r="E6158" s="427"/>
      <c r="F6158" s="31">
        <f>IFERROR(VLOOKUP(E6158,BD!$L$2:$Q$244,2,0),0)</f>
        <v>0</v>
      </c>
      <c r="G6158" s="424"/>
      <c r="H6158" s="31">
        <f>+IFERROR(VLOOKUP(E6158,BD!$L$2:$Q$244,6,0),0)</f>
        <v>0</v>
      </c>
      <c r="I6158" s="626">
        <f>IFERROR(G6158*VLOOKUP($E6158,BD!$L$2:$Q$244,5,0),0)</f>
        <v>0</v>
      </c>
      <c r="J6158" s="3">
        <f t="shared" si="397"/>
        <v>1900</v>
      </c>
    </row>
    <row r="6159" spans="1:10" s="9" customFormat="1" x14ac:dyDescent="0.25">
      <c r="A6159" s="447"/>
      <c r="B6159" s="55" t="str">
        <f t="shared" si="394"/>
        <v>ENERO</v>
      </c>
      <c r="C6159" s="55">
        <f t="shared" si="395"/>
        <v>1</v>
      </c>
      <c r="D6159" s="3" t="str">
        <f t="shared" si="396"/>
        <v>SÁBADO</v>
      </c>
      <c r="E6159" s="427"/>
      <c r="F6159" s="31">
        <f>IFERROR(VLOOKUP(E6159,BD!$L$2:$Q$244,2,0),0)</f>
        <v>0</v>
      </c>
      <c r="G6159" s="424"/>
      <c r="H6159" s="31">
        <f>+IFERROR(VLOOKUP(E6159,BD!$L$2:$Q$244,6,0),0)</f>
        <v>0</v>
      </c>
      <c r="I6159" s="626">
        <f>IFERROR(G6159*VLOOKUP($E6159,BD!$L$2:$Q$244,5,0),0)</f>
        <v>0</v>
      </c>
      <c r="J6159" s="3">
        <f t="shared" si="397"/>
        <v>1900</v>
      </c>
    </row>
    <row r="6160" spans="1:10" s="9" customFormat="1" x14ac:dyDescent="0.25">
      <c r="A6160" s="447"/>
      <c r="B6160" s="55" t="str">
        <f t="shared" si="394"/>
        <v>ENERO</v>
      </c>
      <c r="C6160" s="55">
        <f t="shared" si="395"/>
        <v>1</v>
      </c>
      <c r="D6160" s="3" t="str">
        <f t="shared" si="396"/>
        <v>SÁBADO</v>
      </c>
      <c r="E6160" s="427"/>
      <c r="F6160" s="31">
        <f>IFERROR(VLOOKUP(E6160,BD!$L$2:$Q$244,2,0),0)</f>
        <v>0</v>
      </c>
      <c r="G6160" s="424"/>
      <c r="H6160" s="31">
        <f>+IFERROR(VLOOKUP(E6160,BD!$L$2:$Q$244,6,0),0)</f>
        <v>0</v>
      </c>
      <c r="I6160" s="626">
        <f>IFERROR(G6160*VLOOKUP($E6160,BD!$L$2:$Q$244,5,0),0)</f>
        <v>0</v>
      </c>
      <c r="J6160" s="3">
        <f t="shared" si="397"/>
        <v>1900</v>
      </c>
    </row>
    <row r="6161" spans="1:10" s="9" customFormat="1" x14ac:dyDescent="0.25">
      <c r="A6161" s="447"/>
      <c r="B6161" s="55" t="str">
        <f t="shared" si="394"/>
        <v>ENERO</v>
      </c>
      <c r="C6161" s="55">
        <f t="shared" si="395"/>
        <v>1</v>
      </c>
      <c r="D6161" s="3" t="str">
        <f t="shared" si="396"/>
        <v>SÁBADO</v>
      </c>
      <c r="E6161" s="427"/>
      <c r="F6161" s="31">
        <f>IFERROR(VLOOKUP(E6161,BD!$L$2:$Q$244,2,0),0)</f>
        <v>0</v>
      </c>
      <c r="G6161" s="424"/>
      <c r="H6161" s="31">
        <f>+IFERROR(VLOOKUP(E6161,BD!$L$2:$Q$244,6,0),0)</f>
        <v>0</v>
      </c>
      <c r="I6161" s="626">
        <f>IFERROR(G6161*VLOOKUP($E6161,BD!$L$2:$Q$244,5,0),0)</f>
        <v>0</v>
      </c>
      <c r="J6161" s="3">
        <f t="shared" si="397"/>
        <v>1900</v>
      </c>
    </row>
    <row r="6162" spans="1:10" s="9" customFormat="1" x14ac:dyDescent="0.25">
      <c r="A6162" s="447"/>
      <c r="B6162" s="55" t="str">
        <f t="shared" si="394"/>
        <v>ENERO</v>
      </c>
      <c r="C6162" s="55">
        <f t="shared" si="395"/>
        <v>1</v>
      </c>
      <c r="D6162" s="3" t="str">
        <f t="shared" si="396"/>
        <v>SÁBADO</v>
      </c>
      <c r="E6162" s="427"/>
      <c r="F6162" s="31">
        <f>IFERROR(VLOOKUP(E6162,BD!$L$2:$Q$244,2,0),0)</f>
        <v>0</v>
      </c>
      <c r="G6162" s="424"/>
      <c r="H6162" s="31">
        <f>+IFERROR(VLOOKUP(E6162,BD!$L$2:$Q$244,6,0),0)</f>
        <v>0</v>
      </c>
      <c r="I6162" s="626">
        <f>IFERROR(G6162*VLOOKUP($E6162,BD!$L$2:$Q$244,5,0),0)</f>
        <v>0</v>
      </c>
      <c r="J6162" s="3">
        <f t="shared" si="397"/>
        <v>1900</v>
      </c>
    </row>
    <row r="6163" spans="1:10" s="9" customFormat="1" x14ac:dyDescent="0.25">
      <c r="A6163" s="447"/>
      <c r="B6163" s="55" t="str">
        <f t="shared" si="394"/>
        <v>ENERO</v>
      </c>
      <c r="C6163" s="55">
        <f t="shared" si="395"/>
        <v>1</v>
      </c>
      <c r="D6163" s="3" t="str">
        <f t="shared" si="396"/>
        <v>SÁBADO</v>
      </c>
      <c r="E6163" s="427"/>
      <c r="F6163" s="31">
        <f>IFERROR(VLOOKUP(E6163,BD!$L$2:$Q$244,2,0),0)</f>
        <v>0</v>
      </c>
      <c r="G6163" s="424"/>
      <c r="H6163" s="31">
        <f>+IFERROR(VLOOKUP(E6163,BD!$L$2:$Q$244,6,0),0)</f>
        <v>0</v>
      </c>
      <c r="I6163" s="626">
        <f>IFERROR(G6163*VLOOKUP($E6163,BD!$L$2:$Q$244,5,0),0)</f>
        <v>0</v>
      </c>
      <c r="J6163" s="3">
        <f t="shared" si="397"/>
        <v>1900</v>
      </c>
    </row>
    <row r="6164" spans="1:10" s="9" customFormat="1" x14ac:dyDescent="0.25">
      <c r="A6164" s="447"/>
      <c r="B6164" s="55" t="str">
        <f t="shared" si="394"/>
        <v>ENERO</v>
      </c>
      <c r="C6164" s="55">
        <f t="shared" si="395"/>
        <v>1</v>
      </c>
      <c r="D6164" s="3" t="str">
        <f t="shared" si="396"/>
        <v>SÁBADO</v>
      </c>
      <c r="E6164" s="427"/>
      <c r="F6164" s="31">
        <f>IFERROR(VLOOKUP(E6164,BD!$L$2:$Q$244,2,0),0)</f>
        <v>0</v>
      </c>
      <c r="G6164" s="425"/>
      <c r="H6164" s="31">
        <f>+IFERROR(VLOOKUP(E6164,BD!$L$2:$Q$244,6,0),0)</f>
        <v>0</v>
      </c>
      <c r="I6164" s="626">
        <f>IFERROR(G6164*VLOOKUP($E6164,BD!$L$2:$Q$244,5,0),0)</f>
        <v>0</v>
      </c>
      <c r="J6164" s="3">
        <f t="shared" si="397"/>
        <v>1900</v>
      </c>
    </row>
    <row r="6165" spans="1:10" s="9" customFormat="1" x14ac:dyDescent="0.25">
      <c r="A6165" s="447"/>
      <c r="B6165" s="55" t="str">
        <f t="shared" si="394"/>
        <v>ENERO</v>
      </c>
      <c r="C6165" s="55">
        <f t="shared" si="395"/>
        <v>1</v>
      </c>
      <c r="D6165" s="3" t="str">
        <f t="shared" si="396"/>
        <v>SÁBADO</v>
      </c>
      <c r="E6165" s="427"/>
      <c r="F6165" s="31">
        <f>IFERROR(VLOOKUP(E6165,BD!$L$2:$Q$244,2,0),0)</f>
        <v>0</v>
      </c>
      <c r="G6165" s="424"/>
      <c r="H6165" s="31">
        <f>+IFERROR(VLOOKUP(E6165,BD!$L$2:$Q$244,6,0),0)</f>
        <v>0</v>
      </c>
      <c r="I6165" s="626">
        <f>IFERROR(G6165*VLOOKUP($E6165,BD!$L$2:$Q$244,5,0),0)</f>
        <v>0</v>
      </c>
      <c r="J6165" s="3">
        <f t="shared" si="397"/>
        <v>1900</v>
      </c>
    </row>
    <row r="6166" spans="1:10" s="9" customFormat="1" x14ac:dyDescent="0.25">
      <c r="A6166" s="447"/>
      <c r="B6166" s="55" t="str">
        <f t="shared" si="394"/>
        <v>ENERO</v>
      </c>
      <c r="C6166" s="55">
        <f t="shared" si="395"/>
        <v>1</v>
      </c>
      <c r="D6166" s="3" t="str">
        <f t="shared" si="396"/>
        <v>SÁBADO</v>
      </c>
      <c r="E6166" s="427"/>
      <c r="F6166" s="31">
        <f>IFERROR(VLOOKUP(E6166,BD!$L$2:$Q$244,2,0),0)</f>
        <v>0</v>
      </c>
      <c r="G6166" s="424"/>
      <c r="H6166" s="31">
        <f>+IFERROR(VLOOKUP(E6166,BD!$L$2:$Q$244,6,0),0)</f>
        <v>0</v>
      </c>
      <c r="I6166" s="626">
        <f>IFERROR(G6166*VLOOKUP($E6166,BD!$L$2:$Q$244,5,0),0)</f>
        <v>0</v>
      </c>
      <c r="J6166" s="3">
        <f t="shared" si="397"/>
        <v>1900</v>
      </c>
    </row>
    <row r="6167" spans="1:10" s="9" customFormat="1" x14ac:dyDescent="0.25">
      <c r="A6167" s="447"/>
      <c r="B6167" s="55" t="str">
        <f t="shared" si="394"/>
        <v>ENERO</v>
      </c>
      <c r="C6167" s="55">
        <f t="shared" si="395"/>
        <v>1</v>
      </c>
      <c r="D6167" s="3" t="str">
        <f t="shared" si="396"/>
        <v>SÁBADO</v>
      </c>
      <c r="E6167" s="427"/>
      <c r="F6167" s="31">
        <f>IFERROR(VLOOKUP(E6167,BD!$L$2:$Q$244,2,0),0)</f>
        <v>0</v>
      </c>
      <c r="G6167" s="424"/>
      <c r="H6167" s="31">
        <f>+IFERROR(VLOOKUP(E6167,BD!$L$2:$Q$244,6,0),0)</f>
        <v>0</v>
      </c>
      <c r="I6167" s="626">
        <f>IFERROR(G6167*VLOOKUP($E6167,BD!$L$2:$Q$244,5,0),0)</f>
        <v>0</v>
      </c>
      <c r="J6167" s="3">
        <f t="shared" si="397"/>
        <v>1900</v>
      </c>
    </row>
    <row r="6168" spans="1:10" s="9" customFormat="1" x14ac:dyDescent="0.25">
      <c r="A6168" s="447"/>
      <c r="B6168" s="55" t="str">
        <f t="shared" si="394"/>
        <v>ENERO</v>
      </c>
      <c r="C6168" s="55">
        <f t="shared" si="395"/>
        <v>1</v>
      </c>
      <c r="D6168" s="3" t="str">
        <f t="shared" si="396"/>
        <v>SÁBADO</v>
      </c>
      <c r="E6168" s="427"/>
      <c r="F6168" s="31">
        <f>IFERROR(VLOOKUP(E6168,BD!$L$2:$Q$244,2,0),0)</f>
        <v>0</v>
      </c>
      <c r="G6168" s="424"/>
      <c r="H6168" s="31">
        <f>+IFERROR(VLOOKUP(E6168,BD!$L$2:$Q$244,6,0),0)</f>
        <v>0</v>
      </c>
      <c r="I6168" s="626">
        <f>IFERROR(G6168*VLOOKUP($E6168,BD!$L$2:$Q$244,5,0),0)</f>
        <v>0</v>
      </c>
      <c r="J6168" s="3">
        <f t="shared" si="397"/>
        <v>1900</v>
      </c>
    </row>
    <row r="6169" spans="1:10" s="9" customFormat="1" x14ac:dyDescent="0.25">
      <c r="A6169" s="447"/>
      <c r="B6169" s="55" t="str">
        <f t="shared" si="394"/>
        <v>ENERO</v>
      </c>
      <c r="C6169" s="55">
        <f t="shared" si="395"/>
        <v>1</v>
      </c>
      <c r="D6169" s="3" t="str">
        <f t="shared" si="396"/>
        <v>SÁBADO</v>
      </c>
      <c r="E6169" s="427"/>
      <c r="F6169" s="31">
        <f>IFERROR(VLOOKUP(E6169,BD!$L$2:$Q$244,2,0),0)</f>
        <v>0</v>
      </c>
      <c r="G6169" s="424"/>
      <c r="H6169" s="31">
        <f>+IFERROR(VLOOKUP(E6169,BD!$L$2:$Q$244,6,0),0)</f>
        <v>0</v>
      </c>
      <c r="I6169" s="626">
        <f>IFERROR(G6169*VLOOKUP($E6169,BD!$L$2:$Q$244,5,0),0)</f>
        <v>0</v>
      </c>
      <c r="J6169" s="3">
        <f t="shared" si="397"/>
        <v>1900</v>
      </c>
    </row>
    <row r="6170" spans="1:10" s="9" customFormat="1" x14ac:dyDescent="0.25">
      <c r="A6170" s="447"/>
      <c r="B6170" s="55" t="str">
        <f t="shared" si="394"/>
        <v>ENERO</v>
      </c>
      <c r="C6170" s="55">
        <f t="shared" si="395"/>
        <v>1</v>
      </c>
      <c r="D6170" s="3" t="str">
        <f t="shared" si="396"/>
        <v>SÁBADO</v>
      </c>
      <c r="E6170" s="427"/>
      <c r="F6170" s="31">
        <f>IFERROR(VLOOKUP(E6170,BD!$L$2:$Q$244,2,0),0)</f>
        <v>0</v>
      </c>
      <c r="G6170" s="424"/>
      <c r="H6170" s="31">
        <f>+IFERROR(VLOOKUP(E6170,BD!$L$2:$Q$244,6,0),0)</f>
        <v>0</v>
      </c>
      <c r="I6170" s="626">
        <f>IFERROR(G6170*VLOOKUP($E6170,BD!$L$2:$Q$244,5,0),0)</f>
        <v>0</v>
      </c>
      <c r="J6170" s="3">
        <f t="shared" si="397"/>
        <v>1900</v>
      </c>
    </row>
    <row r="6171" spans="1:10" s="9" customFormat="1" x14ac:dyDescent="0.25">
      <c r="A6171" s="447"/>
      <c r="B6171" s="55" t="str">
        <f t="shared" si="394"/>
        <v>ENERO</v>
      </c>
      <c r="C6171" s="55">
        <f t="shared" si="395"/>
        <v>1</v>
      </c>
      <c r="D6171" s="3" t="str">
        <f t="shared" si="396"/>
        <v>SÁBADO</v>
      </c>
      <c r="E6171" s="427"/>
      <c r="F6171" s="31">
        <f>IFERROR(VLOOKUP(E6171,BD!$L$2:$Q$244,2,0),0)</f>
        <v>0</v>
      </c>
      <c r="G6171" s="424"/>
      <c r="H6171" s="31">
        <f>+IFERROR(VLOOKUP(E6171,BD!$L$2:$Q$244,6,0),0)</f>
        <v>0</v>
      </c>
      <c r="I6171" s="626">
        <f>IFERROR(G6171*VLOOKUP($E6171,BD!$L$2:$Q$244,5,0),0)</f>
        <v>0</v>
      </c>
      <c r="J6171" s="3">
        <f t="shared" si="397"/>
        <v>1900</v>
      </c>
    </row>
    <row r="6172" spans="1:10" s="9" customFormat="1" x14ac:dyDescent="0.25">
      <c r="A6172" s="447"/>
      <c r="B6172" s="55" t="str">
        <f t="shared" si="394"/>
        <v>ENERO</v>
      </c>
      <c r="C6172" s="55">
        <f t="shared" si="395"/>
        <v>1</v>
      </c>
      <c r="D6172" s="3" t="str">
        <f t="shared" si="396"/>
        <v>SÁBADO</v>
      </c>
      <c r="E6172" s="427"/>
      <c r="F6172" s="31">
        <f>IFERROR(VLOOKUP(E6172,BD!$L$2:$Q$244,2,0),0)</f>
        <v>0</v>
      </c>
      <c r="G6172" s="424"/>
      <c r="H6172" s="31">
        <f>+IFERROR(VLOOKUP(E6172,BD!$L$2:$Q$244,6,0),0)</f>
        <v>0</v>
      </c>
      <c r="I6172" s="626">
        <f>IFERROR(G6172*VLOOKUP($E6172,BD!$L$2:$Q$244,5,0),0)</f>
        <v>0</v>
      </c>
      <c r="J6172" s="3">
        <f t="shared" si="397"/>
        <v>1900</v>
      </c>
    </row>
    <row r="6173" spans="1:10" s="9" customFormat="1" x14ac:dyDescent="0.25">
      <c r="A6173" s="447"/>
      <c r="B6173" s="55" t="str">
        <f t="shared" si="394"/>
        <v>ENERO</v>
      </c>
      <c r="C6173" s="55">
        <f t="shared" si="395"/>
        <v>1</v>
      </c>
      <c r="D6173" s="3" t="str">
        <f t="shared" si="396"/>
        <v>SÁBADO</v>
      </c>
      <c r="E6173" s="427"/>
      <c r="F6173" s="31">
        <f>IFERROR(VLOOKUP(E6173,BD!$L$2:$Q$244,2,0),0)</f>
        <v>0</v>
      </c>
      <c r="G6173" s="424"/>
      <c r="H6173" s="31">
        <f>+IFERROR(VLOOKUP(E6173,BD!$L$2:$Q$244,6,0),0)</f>
        <v>0</v>
      </c>
      <c r="I6173" s="626">
        <f>IFERROR(G6173*VLOOKUP($E6173,BD!$L$2:$Q$244,5,0),0)</f>
        <v>0</v>
      </c>
      <c r="J6173" s="3">
        <f t="shared" si="397"/>
        <v>1900</v>
      </c>
    </row>
    <row r="6174" spans="1:10" s="9" customFormat="1" x14ac:dyDescent="0.25">
      <c r="A6174" s="447"/>
      <c r="B6174" s="55" t="str">
        <f t="shared" si="394"/>
        <v>ENERO</v>
      </c>
      <c r="C6174" s="55">
        <f t="shared" si="395"/>
        <v>1</v>
      </c>
      <c r="D6174" s="3" t="str">
        <f t="shared" si="396"/>
        <v>SÁBADO</v>
      </c>
      <c r="E6174" s="427"/>
      <c r="F6174" s="31">
        <f>IFERROR(VLOOKUP(E6174,BD!$L$2:$Q$244,2,0),0)</f>
        <v>0</v>
      </c>
      <c r="G6174" s="424"/>
      <c r="H6174" s="31">
        <f>+IFERROR(VLOOKUP(E6174,BD!$L$2:$Q$244,6,0),0)</f>
        <v>0</v>
      </c>
      <c r="I6174" s="626">
        <f>IFERROR(G6174*VLOOKUP($E6174,BD!$L$2:$Q$244,5,0),0)</f>
        <v>0</v>
      </c>
      <c r="J6174" s="3">
        <f t="shared" si="397"/>
        <v>1900</v>
      </c>
    </row>
    <row r="6175" spans="1:10" s="9" customFormat="1" x14ac:dyDescent="0.25">
      <c r="A6175" s="447"/>
      <c r="B6175" s="55" t="str">
        <f t="shared" si="394"/>
        <v>ENERO</v>
      </c>
      <c r="C6175" s="55">
        <f t="shared" si="395"/>
        <v>1</v>
      </c>
      <c r="D6175" s="3" t="str">
        <f t="shared" si="396"/>
        <v>SÁBADO</v>
      </c>
      <c r="E6175" s="427"/>
      <c r="F6175" s="31">
        <f>IFERROR(VLOOKUP(E6175,BD!$L$2:$Q$244,2,0),0)</f>
        <v>0</v>
      </c>
      <c r="G6175" s="424"/>
      <c r="H6175" s="31">
        <f>+IFERROR(VLOOKUP(E6175,BD!$L$2:$Q$244,6,0),0)</f>
        <v>0</v>
      </c>
      <c r="I6175" s="626">
        <f>IFERROR(G6175*VLOOKUP($E6175,BD!$L$2:$Q$244,5,0),0)</f>
        <v>0</v>
      </c>
      <c r="J6175" s="3">
        <f t="shared" si="397"/>
        <v>1900</v>
      </c>
    </row>
    <row r="6176" spans="1:10" s="9" customFormat="1" x14ac:dyDescent="0.25">
      <c r="A6176" s="447"/>
      <c r="B6176" s="55" t="str">
        <f t="shared" si="394"/>
        <v>ENERO</v>
      </c>
      <c r="C6176" s="55">
        <f t="shared" si="395"/>
        <v>1</v>
      </c>
      <c r="D6176" s="3" t="str">
        <f t="shared" si="396"/>
        <v>SÁBADO</v>
      </c>
      <c r="E6176" s="427"/>
      <c r="F6176" s="31">
        <f>IFERROR(VLOOKUP(E6176,BD!$L$2:$Q$244,2,0),0)</f>
        <v>0</v>
      </c>
      <c r="G6176" s="424"/>
      <c r="H6176" s="31">
        <f>+IFERROR(VLOOKUP(E6176,BD!$L$2:$Q$244,6,0),0)</f>
        <v>0</v>
      </c>
      <c r="I6176" s="626">
        <f>IFERROR(G6176*VLOOKUP($E6176,BD!$L$2:$Q$244,5,0),0)</f>
        <v>0</v>
      </c>
      <c r="J6176" s="3">
        <f t="shared" si="397"/>
        <v>1900</v>
      </c>
    </row>
    <row r="6177" spans="1:10" s="9" customFormat="1" x14ac:dyDescent="0.25">
      <c r="A6177" s="447"/>
      <c r="B6177" s="55" t="str">
        <f t="shared" si="394"/>
        <v>ENERO</v>
      </c>
      <c r="C6177" s="55">
        <f t="shared" si="395"/>
        <v>1</v>
      </c>
      <c r="D6177" s="3" t="str">
        <f t="shared" si="396"/>
        <v>SÁBADO</v>
      </c>
      <c r="E6177" s="427"/>
      <c r="F6177" s="31">
        <f>IFERROR(VLOOKUP(E6177,BD!$L$2:$Q$244,2,0),0)</f>
        <v>0</v>
      </c>
      <c r="G6177" s="424"/>
      <c r="H6177" s="31">
        <f>+IFERROR(VLOOKUP(E6177,BD!$L$2:$Q$244,6,0),0)</f>
        <v>0</v>
      </c>
      <c r="I6177" s="626">
        <f>IFERROR(G6177*VLOOKUP($E6177,BD!$L$2:$Q$244,5,0),0)</f>
        <v>0</v>
      </c>
      <c r="J6177" s="3">
        <f t="shared" si="397"/>
        <v>1900</v>
      </c>
    </row>
    <row r="6178" spans="1:10" s="9" customFormat="1" x14ac:dyDescent="0.25">
      <c r="A6178" s="447"/>
      <c r="B6178" s="55" t="str">
        <f t="shared" si="394"/>
        <v>ENERO</v>
      </c>
      <c r="C6178" s="55">
        <f t="shared" si="395"/>
        <v>1</v>
      </c>
      <c r="D6178" s="3" t="str">
        <f t="shared" si="396"/>
        <v>SÁBADO</v>
      </c>
      <c r="E6178" s="427"/>
      <c r="F6178" s="31">
        <f>IFERROR(VLOOKUP(E6178,BD!$L$2:$Q$244,2,0),0)</f>
        <v>0</v>
      </c>
      <c r="G6178" s="425"/>
      <c r="H6178" s="31">
        <f>+IFERROR(VLOOKUP(E6178,BD!$L$2:$Q$244,6,0),0)</f>
        <v>0</v>
      </c>
      <c r="I6178" s="626">
        <f>IFERROR(G6178*VLOOKUP($E6178,BD!$L$2:$Q$244,5,0),0)</f>
        <v>0</v>
      </c>
      <c r="J6178" s="3">
        <f t="shared" si="397"/>
        <v>1900</v>
      </c>
    </row>
    <row r="6179" spans="1:10" s="9" customFormat="1" x14ac:dyDescent="0.25">
      <c r="A6179" s="447"/>
      <c r="B6179" s="55" t="str">
        <f t="shared" si="394"/>
        <v>ENERO</v>
      </c>
      <c r="C6179" s="55">
        <f t="shared" si="395"/>
        <v>1</v>
      </c>
      <c r="D6179" s="3" t="str">
        <f t="shared" si="396"/>
        <v>SÁBADO</v>
      </c>
      <c r="E6179" s="427"/>
      <c r="F6179" s="31">
        <f>IFERROR(VLOOKUP(E6179,BD!$L$2:$Q$244,2,0),0)</f>
        <v>0</v>
      </c>
      <c r="G6179" s="424"/>
      <c r="H6179" s="31">
        <f>+IFERROR(VLOOKUP(E6179,BD!$L$2:$Q$244,6,0),0)</f>
        <v>0</v>
      </c>
      <c r="I6179" s="626">
        <f>IFERROR(G6179*VLOOKUP($E6179,BD!$L$2:$Q$244,5,0),0)</f>
        <v>0</v>
      </c>
      <c r="J6179" s="3">
        <f t="shared" si="397"/>
        <v>1900</v>
      </c>
    </row>
    <row r="6180" spans="1:10" s="9" customFormat="1" x14ac:dyDescent="0.25">
      <c r="A6180" s="447"/>
      <c r="B6180" s="55" t="str">
        <f t="shared" si="394"/>
        <v>ENERO</v>
      </c>
      <c r="C6180" s="55">
        <f t="shared" si="395"/>
        <v>1</v>
      </c>
      <c r="D6180" s="3" t="str">
        <f t="shared" si="396"/>
        <v>SÁBADO</v>
      </c>
      <c r="E6180" s="427"/>
      <c r="F6180" s="31">
        <f>IFERROR(VLOOKUP(E6180,BD!$L$2:$Q$244,2,0),0)</f>
        <v>0</v>
      </c>
      <c r="G6180" s="424"/>
      <c r="H6180" s="31">
        <f>+IFERROR(VLOOKUP(E6180,BD!$L$2:$Q$244,6,0),0)</f>
        <v>0</v>
      </c>
      <c r="I6180" s="626">
        <f>IFERROR(G6180*VLOOKUP($E6180,BD!$L$2:$Q$244,5,0),0)</f>
        <v>0</v>
      </c>
      <c r="J6180" s="3">
        <f t="shared" si="397"/>
        <v>1900</v>
      </c>
    </row>
    <row r="6181" spans="1:10" s="9" customFormat="1" x14ac:dyDescent="0.25">
      <c r="A6181" s="447"/>
      <c r="B6181" s="55" t="str">
        <f t="shared" si="394"/>
        <v>ENERO</v>
      </c>
      <c r="C6181" s="55">
        <f t="shared" si="395"/>
        <v>1</v>
      </c>
      <c r="D6181" s="3" t="str">
        <f t="shared" si="396"/>
        <v>SÁBADO</v>
      </c>
      <c r="E6181" s="427"/>
      <c r="F6181" s="31">
        <f>IFERROR(VLOOKUP(E6181,BD!$L$2:$Q$244,2,0),0)</f>
        <v>0</v>
      </c>
      <c r="G6181" s="424"/>
      <c r="H6181" s="31">
        <f>+IFERROR(VLOOKUP(E6181,BD!$L$2:$Q$244,6,0),0)</f>
        <v>0</v>
      </c>
      <c r="I6181" s="626">
        <f>IFERROR(G6181*VLOOKUP($E6181,BD!$L$2:$Q$244,5,0),0)</f>
        <v>0</v>
      </c>
      <c r="J6181" s="3">
        <f t="shared" si="397"/>
        <v>1900</v>
      </c>
    </row>
    <row r="6182" spans="1:10" s="9" customFormat="1" x14ac:dyDescent="0.25">
      <c r="A6182" s="447"/>
      <c r="B6182" s="55" t="str">
        <f t="shared" si="394"/>
        <v>ENERO</v>
      </c>
      <c r="C6182" s="55">
        <f t="shared" si="395"/>
        <v>1</v>
      </c>
      <c r="D6182" s="3" t="str">
        <f t="shared" si="396"/>
        <v>SÁBADO</v>
      </c>
      <c r="E6182" s="427"/>
      <c r="F6182" s="31">
        <f>IFERROR(VLOOKUP(E6182,BD!$L$2:$Q$244,2,0),0)</f>
        <v>0</v>
      </c>
      <c r="G6182" s="424"/>
      <c r="H6182" s="31">
        <f>+IFERROR(VLOOKUP(E6182,BD!$L$2:$Q$244,6,0),0)</f>
        <v>0</v>
      </c>
      <c r="I6182" s="626">
        <f>IFERROR(G6182*VLOOKUP($E6182,BD!$L$2:$Q$244,5,0),0)</f>
        <v>0</v>
      </c>
      <c r="J6182" s="3">
        <f t="shared" si="397"/>
        <v>1900</v>
      </c>
    </row>
    <row r="6183" spans="1:10" s="9" customFormat="1" x14ac:dyDescent="0.25">
      <c r="A6183" s="447"/>
      <c r="B6183" s="55" t="str">
        <f t="shared" si="394"/>
        <v>ENERO</v>
      </c>
      <c r="C6183" s="55">
        <f t="shared" si="395"/>
        <v>1</v>
      </c>
      <c r="D6183" s="3" t="str">
        <f t="shared" si="396"/>
        <v>SÁBADO</v>
      </c>
      <c r="E6183" s="427"/>
      <c r="F6183" s="31">
        <f>IFERROR(VLOOKUP(E6183,BD!$L$2:$Q$244,2,0),0)</f>
        <v>0</v>
      </c>
      <c r="G6183" s="424"/>
      <c r="H6183" s="31">
        <f>+IFERROR(VLOOKUP(E6183,BD!$L$2:$Q$244,6,0),0)</f>
        <v>0</v>
      </c>
      <c r="I6183" s="626">
        <f>IFERROR(G6183*VLOOKUP($E6183,BD!$L$2:$Q$244,5,0),0)</f>
        <v>0</v>
      </c>
      <c r="J6183" s="3">
        <f t="shared" si="397"/>
        <v>1900</v>
      </c>
    </row>
    <row r="6184" spans="1:10" s="9" customFormat="1" x14ac:dyDescent="0.25">
      <c r="A6184" s="447"/>
      <c r="B6184" s="55" t="str">
        <f t="shared" si="394"/>
        <v>ENERO</v>
      </c>
      <c r="C6184" s="55">
        <f t="shared" si="395"/>
        <v>1</v>
      </c>
      <c r="D6184" s="3" t="str">
        <f t="shared" si="396"/>
        <v>SÁBADO</v>
      </c>
      <c r="E6184" s="427"/>
      <c r="F6184" s="31">
        <f>IFERROR(VLOOKUP(E6184,BD!$L$2:$Q$244,2,0),0)</f>
        <v>0</v>
      </c>
      <c r="G6184" s="424"/>
      <c r="H6184" s="31">
        <f>+IFERROR(VLOOKUP(E6184,BD!$L$2:$Q$244,6,0),0)</f>
        <v>0</v>
      </c>
      <c r="I6184" s="626">
        <f>IFERROR(G6184*VLOOKUP($E6184,BD!$L$2:$Q$244,5,0),0)</f>
        <v>0</v>
      </c>
      <c r="J6184" s="3">
        <f t="shared" si="397"/>
        <v>1900</v>
      </c>
    </row>
    <row r="6185" spans="1:10" s="9" customFormat="1" x14ac:dyDescent="0.25">
      <c r="A6185" s="447"/>
      <c r="B6185" s="55" t="str">
        <f t="shared" si="394"/>
        <v>ENERO</v>
      </c>
      <c r="C6185" s="55">
        <f t="shared" si="395"/>
        <v>1</v>
      </c>
      <c r="D6185" s="3" t="str">
        <f t="shared" si="396"/>
        <v>SÁBADO</v>
      </c>
      <c r="E6185" s="427"/>
      <c r="F6185" s="31">
        <f>IFERROR(VLOOKUP(E6185,BD!$L$2:$Q$244,2,0),0)</f>
        <v>0</v>
      </c>
      <c r="G6185" s="424"/>
      <c r="H6185" s="31">
        <f>+IFERROR(VLOOKUP(E6185,BD!$L$2:$Q$244,6,0),0)</f>
        <v>0</v>
      </c>
      <c r="I6185" s="626">
        <f>IFERROR(G6185*VLOOKUP($E6185,BD!$L$2:$Q$244,5,0),0)</f>
        <v>0</v>
      </c>
      <c r="J6185" s="3">
        <f t="shared" si="397"/>
        <v>1900</v>
      </c>
    </row>
    <row r="6186" spans="1:10" s="9" customFormat="1" x14ac:dyDescent="0.25">
      <c r="A6186" s="447"/>
      <c r="B6186" s="55" t="str">
        <f t="shared" si="394"/>
        <v>ENERO</v>
      </c>
      <c r="C6186" s="55">
        <f t="shared" si="395"/>
        <v>1</v>
      </c>
      <c r="D6186" s="3" t="str">
        <f t="shared" si="396"/>
        <v>SÁBADO</v>
      </c>
      <c r="E6186" s="427"/>
      <c r="F6186" s="31">
        <f>IFERROR(VLOOKUP(E6186,BD!$L$2:$Q$244,2,0),0)</f>
        <v>0</v>
      </c>
      <c r="G6186" s="424"/>
      <c r="H6186" s="31">
        <f>+IFERROR(VLOOKUP(E6186,BD!$L$2:$Q$244,6,0),0)</f>
        <v>0</v>
      </c>
      <c r="I6186" s="626">
        <f>IFERROR(G6186*VLOOKUP($E6186,BD!$L$2:$Q$244,5,0),0)</f>
        <v>0</v>
      </c>
      <c r="J6186" s="3">
        <f t="shared" si="397"/>
        <v>1900</v>
      </c>
    </row>
    <row r="6187" spans="1:10" s="9" customFormat="1" x14ac:dyDescent="0.25">
      <c r="A6187" s="447"/>
      <c r="B6187" s="55" t="str">
        <f t="shared" si="394"/>
        <v>ENERO</v>
      </c>
      <c r="C6187" s="55">
        <f t="shared" si="395"/>
        <v>1</v>
      </c>
      <c r="D6187" s="3" t="str">
        <f t="shared" si="396"/>
        <v>SÁBADO</v>
      </c>
      <c r="E6187" s="427"/>
      <c r="F6187" s="31">
        <f>IFERROR(VLOOKUP(E6187,BD!$L$2:$Q$244,2,0),0)</f>
        <v>0</v>
      </c>
      <c r="G6187" s="424"/>
      <c r="H6187" s="31">
        <f>+IFERROR(VLOOKUP(E6187,BD!$L$2:$Q$244,6,0),0)</f>
        <v>0</v>
      </c>
      <c r="I6187" s="626">
        <f>IFERROR(G6187*VLOOKUP($E6187,BD!$L$2:$Q$244,5,0),0)</f>
        <v>0</v>
      </c>
      <c r="J6187" s="3">
        <f t="shared" si="397"/>
        <v>1900</v>
      </c>
    </row>
    <row r="6188" spans="1:10" s="9" customFormat="1" x14ac:dyDescent="0.25">
      <c r="A6188" s="447"/>
      <c r="B6188" s="55" t="str">
        <f t="shared" si="394"/>
        <v>ENERO</v>
      </c>
      <c r="C6188" s="55">
        <f t="shared" si="395"/>
        <v>1</v>
      </c>
      <c r="D6188" s="3" t="str">
        <f t="shared" si="396"/>
        <v>SÁBADO</v>
      </c>
      <c r="E6188" s="427"/>
      <c r="F6188" s="31">
        <f>IFERROR(VLOOKUP(E6188,BD!$L$2:$Q$244,2,0),0)</f>
        <v>0</v>
      </c>
      <c r="G6188" s="424"/>
      <c r="H6188" s="31">
        <f>+IFERROR(VLOOKUP(E6188,BD!$L$2:$Q$244,6,0),0)</f>
        <v>0</v>
      </c>
      <c r="I6188" s="626">
        <f>IFERROR(G6188*VLOOKUP($E6188,BD!$L$2:$Q$244,5,0),0)</f>
        <v>0</v>
      </c>
      <c r="J6188" s="3">
        <f t="shared" si="397"/>
        <v>1900</v>
      </c>
    </row>
    <row r="6189" spans="1:10" s="9" customFormat="1" x14ac:dyDescent="0.25">
      <c r="A6189" s="447"/>
      <c r="B6189" s="55" t="str">
        <f t="shared" si="394"/>
        <v>ENERO</v>
      </c>
      <c r="C6189" s="55">
        <f t="shared" si="395"/>
        <v>1</v>
      </c>
      <c r="D6189" s="3" t="str">
        <f t="shared" si="396"/>
        <v>SÁBADO</v>
      </c>
      <c r="E6189" s="427"/>
      <c r="F6189" s="31">
        <f>IFERROR(VLOOKUP(E6189,BD!$L$2:$Q$244,2,0),0)</f>
        <v>0</v>
      </c>
      <c r="G6189" s="424"/>
      <c r="H6189" s="31">
        <f>+IFERROR(VLOOKUP(E6189,BD!$L$2:$Q$244,6,0),0)</f>
        <v>0</v>
      </c>
      <c r="I6189" s="626">
        <f>IFERROR(G6189*VLOOKUP($E6189,BD!$L$2:$Q$244,5,0),0)</f>
        <v>0</v>
      </c>
      <c r="J6189" s="3">
        <f t="shared" si="397"/>
        <v>1900</v>
      </c>
    </row>
    <row r="6190" spans="1:10" s="9" customFormat="1" x14ac:dyDescent="0.25">
      <c r="A6190" s="447"/>
      <c r="B6190" s="55" t="str">
        <f t="shared" si="394"/>
        <v>ENERO</v>
      </c>
      <c r="C6190" s="55">
        <f t="shared" si="395"/>
        <v>1</v>
      </c>
      <c r="D6190" s="3" t="str">
        <f t="shared" si="396"/>
        <v>SÁBADO</v>
      </c>
      <c r="E6190" s="427"/>
      <c r="F6190" s="31">
        <f>IFERROR(VLOOKUP(E6190,BD!$L$2:$Q$244,2,0),0)</f>
        <v>0</v>
      </c>
      <c r="G6190" s="424"/>
      <c r="H6190" s="31">
        <f>+IFERROR(VLOOKUP(E6190,BD!$L$2:$Q$244,6,0),0)</f>
        <v>0</v>
      </c>
      <c r="I6190" s="626">
        <f>IFERROR(G6190*VLOOKUP($E6190,BD!$L$2:$Q$244,5,0),0)</f>
        <v>0</v>
      </c>
      <c r="J6190" s="3">
        <f t="shared" si="397"/>
        <v>1900</v>
      </c>
    </row>
    <row r="6191" spans="1:10" s="9" customFormat="1" x14ac:dyDescent="0.25">
      <c r="A6191" s="447"/>
      <c r="B6191" s="55" t="str">
        <f t="shared" si="394"/>
        <v>ENERO</v>
      </c>
      <c r="C6191" s="55">
        <f t="shared" si="395"/>
        <v>1</v>
      </c>
      <c r="D6191" s="3" t="str">
        <f t="shared" si="396"/>
        <v>SÁBADO</v>
      </c>
      <c r="E6191" s="427"/>
      <c r="F6191" s="31">
        <f>IFERROR(VLOOKUP(E6191,BD!$L$2:$Q$244,2,0),0)</f>
        <v>0</v>
      </c>
      <c r="G6191" s="424"/>
      <c r="H6191" s="31">
        <f>+IFERROR(VLOOKUP(E6191,BD!$L$2:$Q$244,6,0),0)</f>
        <v>0</v>
      </c>
      <c r="I6191" s="626">
        <f>IFERROR(G6191*VLOOKUP($E6191,BD!$L$2:$Q$244,5,0),0)</f>
        <v>0</v>
      </c>
      <c r="J6191" s="3">
        <f t="shared" si="397"/>
        <v>1900</v>
      </c>
    </row>
    <row r="6192" spans="1:10" s="9" customFormat="1" x14ac:dyDescent="0.25">
      <c r="A6192" s="447"/>
      <c r="B6192" s="55" t="str">
        <f t="shared" si="394"/>
        <v>ENERO</v>
      </c>
      <c r="C6192" s="55">
        <f t="shared" si="395"/>
        <v>1</v>
      </c>
      <c r="D6192" s="3" t="str">
        <f t="shared" si="396"/>
        <v>SÁBADO</v>
      </c>
      <c r="E6192" s="427"/>
      <c r="F6192" s="31">
        <f>IFERROR(VLOOKUP(E6192,BD!$L$2:$Q$244,2,0),0)</f>
        <v>0</v>
      </c>
      <c r="G6192" s="425"/>
      <c r="H6192" s="31">
        <f>+IFERROR(VLOOKUP(E6192,BD!$L$2:$Q$244,6,0),0)</f>
        <v>0</v>
      </c>
      <c r="I6192" s="626">
        <f>IFERROR(G6192*VLOOKUP($E6192,BD!$L$2:$Q$244,5,0),0)</f>
        <v>0</v>
      </c>
      <c r="J6192" s="3">
        <f t="shared" si="397"/>
        <v>1900</v>
      </c>
    </row>
    <row r="6193" spans="1:10" s="9" customFormat="1" x14ac:dyDescent="0.25">
      <c r="A6193" s="447"/>
      <c r="B6193" s="55" t="str">
        <f t="shared" si="394"/>
        <v>ENERO</v>
      </c>
      <c r="C6193" s="55">
        <f t="shared" si="395"/>
        <v>1</v>
      </c>
      <c r="D6193" s="3" t="str">
        <f t="shared" si="396"/>
        <v>SÁBADO</v>
      </c>
      <c r="E6193" s="427"/>
      <c r="F6193" s="31">
        <f>IFERROR(VLOOKUP(E6193,BD!$L$2:$Q$244,2,0),0)</f>
        <v>0</v>
      </c>
      <c r="G6193" s="424"/>
      <c r="H6193" s="31">
        <f>+IFERROR(VLOOKUP(E6193,BD!$L$2:$Q$244,6,0),0)</f>
        <v>0</v>
      </c>
      <c r="I6193" s="626">
        <f>IFERROR(G6193*VLOOKUP($E6193,BD!$L$2:$Q$244,5,0),0)</f>
        <v>0</v>
      </c>
      <c r="J6193" s="3">
        <f t="shared" si="397"/>
        <v>1900</v>
      </c>
    </row>
    <row r="6194" spans="1:10" s="9" customFormat="1" x14ac:dyDescent="0.25">
      <c r="A6194" s="447"/>
      <c r="B6194" s="55" t="str">
        <f t="shared" si="394"/>
        <v>ENERO</v>
      </c>
      <c r="C6194" s="55">
        <f t="shared" si="395"/>
        <v>1</v>
      </c>
      <c r="D6194" s="3" t="str">
        <f t="shared" si="396"/>
        <v>SÁBADO</v>
      </c>
      <c r="E6194" s="427"/>
      <c r="F6194" s="31">
        <f>IFERROR(VLOOKUP(E6194,BD!$L$2:$Q$244,2,0),0)</f>
        <v>0</v>
      </c>
      <c r="G6194" s="424"/>
      <c r="H6194" s="31">
        <f>+IFERROR(VLOOKUP(E6194,BD!$L$2:$Q$244,6,0),0)</f>
        <v>0</v>
      </c>
      <c r="I6194" s="626">
        <f>IFERROR(G6194*VLOOKUP($E6194,BD!$L$2:$Q$244,5,0),0)</f>
        <v>0</v>
      </c>
      <c r="J6194" s="3">
        <f t="shared" si="397"/>
        <v>1900</v>
      </c>
    </row>
    <row r="6195" spans="1:10" s="9" customFormat="1" x14ac:dyDescent="0.25">
      <c r="A6195" s="447"/>
      <c r="B6195" s="55" t="str">
        <f t="shared" si="394"/>
        <v>ENERO</v>
      </c>
      <c r="C6195" s="55">
        <f t="shared" si="395"/>
        <v>1</v>
      </c>
      <c r="D6195" s="3" t="str">
        <f t="shared" si="396"/>
        <v>SÁBADO</v>
      </c>
      <c r="E6195" s="427"/>
      <c r="F6195" s="31">
        <f>IFERROR(VLOOKUP(E6195,BD!$L$2:$Q$244,2,0),0)</f>
        <v>0</v>
      </c>
      <c r="G6195" s="424"/>
      <c r="H6195" s="31">
        <f>+IFERROR(VLOOKUP(E6195,BD!$L$2:$Q$244,6,0),0)</f>
        <v>0</v>
      </c>
      <c r="I6195" s="626">
        <f>IFERROR(G6195*VLOOKUP($E6195,BD!$L$2:$Q$244,5,0),0)</f>
        <v>0</v>
      </c>
      <c r="J6195" s="3">
        <f t="shared" si="397"/>
        <v>1900</v>
      </c>
    </row>
    <row r="6196" spans="1:10" s="9" customFormat="1" x14ac:dyDescent="0.25">
      <c r="A6196" s="447"/>
      <c r="B6196" s="55" t="str">
        <f t="shared" si="394"/>
        <v>ENERO</v>
      </c>
      <c r="C6196" s="55">
        <f t="shared" si="395"/>
        <v>1</v>
      </c>
      <c r="D6196" s="3" t="str">
        <f t="shared" si="396"/>
        <v>SÁBADO</v>
      </c>
      <c r="E6196" s="427"/>
      <c r="F6196" s="31">
        <f>IFERROR(VLOOKUP(E6196,BD!$L$2:$Q$244,2,0),0)</f>
        <v>0</v>
      </c>
      <c r="G6196" s="424"/>
      <c r="H6196" s="31">
        <f>+IFERROR(VLOOKUP(E6196,BD!$L$2:$Q$244,6,0),0)</f>
        <v>0</v>
      </c>
      <c r="I6196" s="626">
        <f>IFERROR(G6196*VLOOKUP($E6196,BD!$L$2:$Q$244,5,0),0)</f>
        <v>0</v>
      </c>
      <c r="J6196" s="3">
        <f t="shared" si="397"/>
        <v>1900</v>
      </c>
    </row>
    <row r="6197" spans="1:10" s="9" customFormat="1" x14ac:dyDescent="0.25">
      <c r="A6197" s="447"/>
      <c r="B6197" s="55" t="str">
        <f t="shared" si="394"/>
        <v>ENERO</v>
      </c>
      <c r="C6197" s="55">
        <f t="shared" si="395"/>
        <v>1</v>
      </c>
      <c r="D6197" s="3" t="str">
        <f t="shared" si="396"/>
        <v>SÁBADO</v>
      </c>
      <c r="E6197" s="427"/>
      <c r="F6197" s="31">
        <f>IFERROR(VLOOKUP(E6197,BD!$L$2:$Q$244,2,0),0)</f>
        <v>0</v>
      </c>
      <c r="G6197" s="424"/>
      <c r="H6197" s="31">
        <f>+IFERROR(VLOOKUP(E6197,BD!$L$2:$Q$244,6,0),0)</f>
        <v>0</v>
      </c>
      <c r="I6197" s="626">
        <f>IFERROR(G6197*VLOOKUP($E6197,BD!$L$2:$Q$244,5,0),0)</f>
        <v>0</v>
      </c>
      <c r="J6197" s="3">
        <f t="shared" si="397"/>
        <v>1900</v>
      </c>
    </row>
    <row r="6198" spans="1:10" s="9" customFormat="1" x14ac:dyDescent="0.25">
      <c r="A6198" s="447"/>
      <c r="B6198" s="55" t="str">
        <f t="shared" si="394"/>
        <v>ENERO</v>
      </c>
      <c r="C6198" s="55">
        <f t="shared" si="395"/>
        <v>1</v>
      </c>
      <c r="D6198" s="3" t="str">
        <f t="shared" si="396"/>
        <v>SÁBADO</v>
      </c>
      <c r="E6198" s="427"/>
      <c r="F6198" s="31">
        <f>IFERROR(VLOOKUP(E6198,BD!$L$2:$Q$244,2,0),0)</f>
        <v>0</v>
      </c>
      <c r="G6198" s="424"/>
      <c r="H6198" s="31">
        <f>+IFERROR(VLOOKUP(E6198,BD!$L$2:$Q$244,6,0),0)</f>
        <v>0</v>
      </c>
      <c r="I6198" s="626">
        <f>IFERROR(G6198*VLOOKUP($E6198,BD!$L$2:$Q$244,5,0),0)</f>
        <v>0</v>
      </c>
      <c r="J6198" s="3">
        <f t="shared" si="397"/>
        <v>1900</v>
      </c>
    </row>
    <row r="6199" spans="1:10" s="9" customFormat="1" x14ac:dyDescent="0.25">
      <c r="A6199" s="447"/>
      <c r="B6199" s="55" t="str">
        <f t="shared" si="394"/>
        <v>ENERO</v>
      </c>
      <c r="C6199" s="55">
        <f t="shared" si="395"/>
        <v>1</v>
      </c>
      <c r="D6199" s="3" t="str">
        <f t="shared" si="396"/>
        <v>SÁBADO</v>
      </c>
      <c r="E6199" s="427"/>
      <c r="F6199" s="31">
        <f>IFERROR(VLOOKUP(E6199,BD!$L$2:$Q$244,2,0),0)</f>
        <v>0</v>
      </c>
      <c r="G6199" s="424"/>
      <c r="H6199" s="31">
        <f>+IFERROR(VLOOKUP(E6199,BD!$L$2:$Q$244,6,0),0)</f>
        <v>0</v>
      </c>
      <c r="I6199" s="626">
        <f>IFERROR(G6199*VLOOKUP($E6199,BD!$L$2:$Q$244,5,0),0)</f>
        <v>0</v>
      </c>
      <c r="J6199" s="3">
        <f t="shared" si="397"/>
        <v>1900</v>
      </c>
    </row>
    <row r="6200" spans="1:10" s="9" customFormat="1" x14ac:dyDescent="0.25">
      <c r="A6200" s="447"/>
      <c r="B6200" s="55" t="str">
        <f t="shared" si="394"/>
        <v>ENERO</v>
      </c>
      <c r="C6200" s="55">
        <f t="shared" si="395"/>
        <v>1</v>
      </c>
      <c r="D6200" s="3" t="str">
        <f t="shared" si="396"/>
        <v>SÁBADO</v>
      </c>
      <c r="E6200" s="427"/>
      <c r="F6200" s="31">
        <f>IFERROR(VLOOKUP(E6200,BD!$L$2:$Q$244,2,0),0)</f>
        <v>0</v>
      </c>
      <c r="G6200" s="424"/>
      <c r="H6200" s="31">
        <f>+IFERROR(VLOOKUP(E6200,BD!$L$2:$Q$244,6,0),0)</f>
        <v>0</v>
      </c>
      <c r="I6200" s="626">
        <f>IFERROR(G6200*VLOOKUP($E6200,BD!$L$2:$Q$244,5,0),0)</f>
        <v>0</v>
      </c>
      <c r="J6200" s="3">
        <f t="shared" si="397"/>
        <v>1900</v>
      </c>
    </row>
    <row r="6201" spans="1:10" s="9" customFormat="1" x14ac:dyDescent="0.25">
      <c r="A6201" s="447"/>
      <c r="B6201" s="55" t="str">
        <f t="shared" si="394"/>
        <v>ENERO</v>
      </c>
      <c r="C6201" s="55">
        <f t="shared" si="395"/>
        <v>1</v>
      </c>
      <c r="D6201" s="3" t="str">
        <f t="shared" si="396"/>
        <v>SÁBADO</v>
      </c>
      <c r="E6201" s="427"/>
      <c r="F6201" s="31">
        <f>IFERROR(VLOOKUP(E6201,BD!$L$2:$Q$244,2,0),0)</f>
        <v>0</v>
      </c>
      <c r="G6201" s="424"/>
      <c r="H6201" s="31">
        <f>+IFERROR(VLOOKUP(E6201,BD!$L$2:$Q$244,6,0),0)</f>
        <v>0</v>
      </c>
      <c r="I6201" s="626">
        <f>IFERROR(G6201*VLOOKUP($E6201,BD!$L$2:$Q$244,5,0),0)</f>
        <v>0</v>
      </c>
      <c r="J6201" s="3">
        <f t="shared" si="397"/>
        <v>1900</v>
      </c>
    </row>
    <row r="6202" spans="1:10" s="9" customFormat="1" x14ac:dyDescent="0.25">
      <c r="A6202" s="447"/>
      <c r="B6202" s="55" t="str">
        <f t="shared" si="394"/>
        <v>ENERO</v>
      </c>
      <c r="C6202" s="55">
        <f t="shared" si="395"/>
        <v>1</v>
      </c>
      <c r="D6202" s="3" t="str">
        <f t="shared" si="396"/>
        <v>SÁBADO</v>
      </c>
      <c r="E6202" s="427"/>
      <c r="F6202" s="31">
        <f>IFERROR(VLOOKUP(E6202,BD!$L$2:$Q$244,2,0),0)</f>
        <v>0</v>
      </c>
      <c r="G6202" s="424"/>
      <c r="H6202" s="31">
        <f>+IFERROR(VLOOKUP(E6202,BD!$L$2:$Q$244,6,0),0)</f>
        <v>0</v>
      </c>
      <c r="I6202" s="626">
        <f>IFERROR(G6202*VLOOKUP($E6202,BD!$L$2:$Q$244,5,0),0)</f>
        <v>0</v>
      </c>
      <c r="J6202" s="3">
        <f t="shared" si="397"/>
        <v>1900</v>
      </c>
    </row>
    <row r="6203" spans="1:10" s="9" customFormat="1" x14ac:dyDescent="0.25">
      <c r="A6203" s="447"/>
      <c r="B6203" s="55" t="str">
        <f t="shared" si="394"/>
        <v>ENERO</v>
      </c>
      <c r="C6203" s="55">
        <f t="shared" si="395"/>
        <v>1</v>
      </c>
      <c r="D6203" s="3" t="str">
        <f t="shared" si="396"/>
        <v>SÁBADO</v>
      </c>
      <c r="E6203" s="427"/>
      <c r="F6203" s="31">
        <f>IFERROR(VLOOKUP(E6203,BD!$L$2:$Q$244,2,0),0)</f>
        <v>0</v>
      </c>
      <c r="G6203" s="424"/>
      <c r="H6203" s="31">
        <f>+IFERROR(VLOOKUP(E6203,BD!$L$2:$Q$244,6,0),0)</f>
        <v>0</v>
      </c>
      <c r="I6203" s="626">
        <f>IFERROR(G6203*VLOOKUP($E6203,BD!$L$2:$Q$244,5,0),0)</f>
        <v>0</v>
      </c>
      <c r="J6203" s="3">
        <f t="shared" si="397"/>
        <v>1900</v>
      </c>
    </row>
    <row r="6204" spans="1:10" s="9" customFormat="1" x14ac:dyDescent="0.25">
      <c r="A6204" s="447"/>
      <c r="B6204" s="55" t="str">
        <f t="shared" si="394"/>
        <v>ENERO</v>
      </c>
      <c r="C6204" s="55">
        <f t="shared" si="395"/>
        <v>1</v>
      </c>
      <c r="D6204" s="3" t="str">
        <f t="shared" si="396"/>
        <v>SÁBADO</v>
      </c>
      <c r="E6204" s="427"/>
      <c r="F6204" s="31">
        <f>IFERROR(VLOOKUP(E6204,BD!$L$2:$Q$244,2,0),0)</f>
        <v>0</v>
      </c>
      <c r="G6204" s="424"/>
      <c r="H6204" s="31">
        <f>+IFERROR(VLOOKUP(E6204,BD!$L$2:$Q$244,6,0),0)</f>
        <v>0</v>
      </c>
      <c r="I6204" s="626">
        <f>IFERROR(G6204*VLOOKUP($E6204,BD!$L$2:$Q$244,5,0),0)</f>
        <v>0</v>
      </c>
      <c r="J6204" s="3">
        <f t="shared" si="397"/>
        <v>1900</v>
      </c>
    </row>
    <row r="6205" spans="1:10" s="9" customFormat="1" x14ac:dyDescent="0.25">
      <c r="A6205" s="447"/>
      <c r="B6205" s="55" t="str">
        <f t="shared" ref="B6205:B6268" si="398">UPPER(TEXT(A6205,"MMMM"))</f>
        <v>ENERO</v>
      </c>
      <c r="C6205" s="55">
        <f t="shared" ref="C6205:C6268" si="399">WEEKNUM(A6205,16)</f>
        <v>1</v>
      </c>
      <c r="D6205" s="3" t="str">
        <f t="shared" ref="D6205:D6268" si="400">UPPER(TEXT(A6205,"DDDD"))</f>
        <v>SÁBADO</v>
      </c>
      <c r="E6205" s="427"/>
      <c r="F6205" s="31">
        <f>IFERROR(VLOOKUP(E6205,BD!$L$2:$Q$244,2,0),0)</f>
        <v>0</v>
      </c>
      <c r="G6205" s="424"/>
      <c r="H6205" s="31">
        <f>+IFERROR(VLOOKUP(E6205,BD!$L$2:$Q$244,6,0),0)</f>
        <v>0</v>
      </c>
      <c r="I6205" s="626">
        <f>IFERROR(G6205*VLOOKUP($E6205,BD!$L$2:$Q$244,5,0),0)</f>
        <v>0</v>
      </c>
      <c r="J6205" s="3">
        <f t="shared" ref="J6205:J6268" si="401">+YEAR(A6205)</f>
        <v>1900</v>
      </c>
    </row>
    <row r="6206" spans="1:10" s="9" customFormat="1" x14ac:dyDescent="0.25">
      <c r="A6206" s="447"/>
      <c r="B6206" s="55" t="str">
        <f t="shared" si="398"/>
        <v>ENERO</v>
      </c>
      <c r="C6206" s="55">
        <f t="shared" si="399"/>
        <v>1</v>
      </c>
      <c r="D6206" s="3" t="str">
        <f t="shared" si="400"/>
        <v>SÁBADO</v>
      </c>
      <c r="E6206" s="427"/>
      <c r="F6206" s="31">
        <f>IFERROR(VLOOKUP(E6206,BD!$L$2:$Q$244,2,0),0)</f>
        <v>0</v>
      </c>
      <c r="G6206" s="424"/>
      <c r="H6206" s="31">
        <f>+IFERROR(VLOOKUP(E6206,BD!$L$2:$Q$244,6,0),0)</f>
        <v>0</v>
      </c>
      <c r="I6206" s="626">
        <f>IFERROR(G6206*VLOOKUP($E6206,BD!$L$2:$Q$244,5,0),0)</f>
        <v>0</v>
      </c>
      <c r="J6206" s="3">
        <f t="shared" si="401"/>
        <v>1900</v>
      </c>
    </row>
    <row r="6207" spans="1:10" s="9" customFormat="1" x14ac:dyDescent="0.25">
      <c r="A6207" s="447"/>
      <c r="B6207" s="55" t="str">
        <f t="shared" si="398"/>
        <v>ENERO</v>
      </c>
      <c r="C6207" s="55">
        <f t="shared" si="399"/>
        <v>1</v>
      </c>
      <c r="D6207" s="3" t="str">
        <f t="shared" si="400"/>
        <v>SÁBADO</v>
      </c>
      <c r="E6207" s="427"/>
      <c r="F6207" s="31">
        <f>IFERROR(VLOOKUP(E6207,BD!$L$2:$Q$244,2,0),0)</f>
        <v>0</v>
      </c>
      <c r="G6207" s="424"/>
      <c r="H6207" s="31">
        <f>+IFERROR(VLOOKUP(E6207,BD!$L$2:$Q$244,6,0),0)</f>
        <v>0</v>
      </c>
      <c r="I6207" s="626">
        <f>IFERROR(G6207*VLOOKUP($E6207,BD!$L$2:$Q$244,5,0),0)</f>
        <v>0</v>
      </c>
      <c r="J6207" s="3">
        <f t="shared" si="401"/>
        <v>1900</v>
      </c>
    </row>
    <row r="6208" spans="1:10" s="9" customFormat="1" x14ac:dyDescent="0.25">
      <c r="A6208" s="447"/>
      <c r="B6208" s="55" t="str">
        <f t="shared" si="398"/>
        <v>ENERO</v>
      </c>
      <c r="C6208" s="55">
        <f t="shared" si="399"/>
        <v>1</v>
      </c>
      <c r="D6208" s="3" t="str">
        <f t="shared" si="400"/>
        <v>SÁBADO</v>
      </c>
      <c r="E6208" s="427"/>
      <c r="F6208" s="31">
        <f>IFERROR(VLOOKUP(E6208,BD!$L$2:$Q$244,2,0),0)</f>
        <v>0</v>
      </c>
      <c r="G6208" s="424"/>
      <c r="H6208" s="31">
        <f>+IFERROR(VLOOKUP(E6208,BD!$L$2:$Q$244,6,0),0)</f>
        <v>0</v>
      </c>
      <c r="I6208" s="626">
        <f>IFERROR(G6208*VLOOKUP($E6208,BD!$L$2:$Q$244,5,0),0)</f>
        <v>0</v>
      </c>
      <c r="J6208" s="3">
        <f t="shared" si="401"/>
        <v>1900</v>
      </c>
    </row>
    <row r="6209" spans="1:10" s="9" customFormat="1" x14ac:dyDescent="0.25">
      <c r="A6209" s="447"/>
      <c r="B6209" s="55" t="str">
        <f t="shared" si="398"/>
        <v>ENERO</v>
      </c>
      <c r="C6209" s="55">
        <f t="shared" si="399"/>
        <v>1</v>
      </c>
      <c r="D6209" s="3" t="str">
        <f t="shared" si="400"/>
        <v>SÁBADO</v>
      </c>
      <c r="E6209" s="427"/>
      <c r="F6209" s="31">
        <f>IFERROR(VLOOKUP(E6209,BD!$L$2:$Q$244,2,0),0)</f>
        <v>0</v>
      </c>
      <c r="G6209" s="424"/>
      <c r="H6209" s="31">
        <f>+IFERROR(VLOOKUP(E6209,BD!$L$2:$Q$244,6,0),0)</f>
        <v>0</v>
      </c>
      <c r="I6209" s="626">
        <f>IFERROR(G6209*VLOOKUP($E6209,BD!$L$2:$Q$244,5,0),0)</f>
        <v>0</v>
      </c>
      <c r="J6209" s="3">
        <f t="shared" si="401"/>
        <v>1900</v>
      </c>
    </row>
    <row r="6210" spans="1:10" s="9" customFormat="1" x14ac:dyDescent="0.25">
      <c r="A6210" s="447"/>
      <c r="B6210" s="55" t="str">
        <f t="shared" si="398"/>
        <v>ENERO</v>
      </c>
      <c r="C6210" s="55">
        <f t="shared" si="399"/>
        <v>1</v>
      </c>
      <c r="D6210" s="3" t="str">
        <f t="shared" si="400"/>
        <v>SÁBADO</v>
      </c>
      <c r="E6210" s="427"/>
      <c r="F6210" s="31">
        <f>IFERROR(VLOOKUP(E6210,BD!$L$2:$Q$244,2,0),0)</f>
        <v>0</v>
      </c>
      <c r="G6210" s="424"/>
      <c r="H6210" s="31">
        <f>+IFERROR(VLOOKUP(E6210,BD!$L$2:$Q$244,6,0),0)</f>
        <v>0</v>
      </c>
      <c r="I6210" s="626">
        <f>IFERROR(G6210*VLOOKUP($E6210,BD!$L$2:$Q$244,5,0),0)</f>
        <v>0</v>
      </c>
      <c r="J6210" s="3">
        <f t="shared" si="401"/>
        <v>1900</v>
      </c>
    </row>
    <row r="6211" spans="1:10" s="9" customFormat="1" x14ac:dyDescent="0.25">
      <c r="A6211" s="447"/>
      <c r="B6211" s="55" t="str">
        <f t="shared" si="398"/>
        <v>ENERO</v>
      </c>
      <c r="C6211" s="55">
        <f t="shared" si="399"/>
        <v>1</v>
      </c>
      <c r="D6211" s="3" t="str">
        <f t="shared" si="400"/>
        <v>SÁBADO</v>
      </c>
      <c r="E6211" s="427"/>
      <c r="F6211" s="31">
        <f>IFERROR(VLOOKUP(E6211,BD!$L$2:$Q$244,2,0),0)</f>
        <v>0</v>
      </c>
      <c r="G6211" s="424"/>
      <c r="H6211" s="31">
        <f>+IFERROR(VLOOKUP(E6211,BD!$L$2:$Q$244,6,0),0)</f>
        <v>0</v>
      </c>
      <c r="I6211" s="626">
        <f>IFERROR(G6211*VLOOKUP($E6211,BD!$L$2:$Q$244,5,0),0)</f>
        <v>0</v>
      </c>
      <c r="J6211" s="3">
        <f t="shared" si="401"/>
        <v>1900</v>
      </c>
    </row>
    <row r="6212" spans="1:10" s="9" customFormat="1" x14ac:dyDescent="0.25">
      <c r="A6212" s="447"/>
      <c r="B6212" s="55" t="str">
        <f t="shared" si="398"/>
        <v>ENERO</v>
      </c>
      <c r="C6212" s="55">
        <f t="shared" si="399"/>
        <v>1</v>
      </c>
      <c r="D6212" s="3" t="str">
        <f t="shared" si="400"/>
        <v>SÁBADO</v>
      </c>
      <c r="E6212" s="427"/>
      <c r="F6212" s="31">
        <f>IFERROR(VLOOKUP(E6212,BD!$L$2:$Q$244,2,0),0)</f>
        <v>0</v>
      </c>
      <c r="G6212" s="424"/>
      <c r="H6212" s="31">
        <f>+IFERROR(VLOOKUP(E6212,BD!$L$2:$Q$244,6,0),0)</f>
        <v>0</v>
      </c>
      <c r="I6212" s="626">
        <f>IFERROR(G6212*VLOOKUP($E6212,BD!$L$2:$Q$244,5,0),0)</f>
        <v>0</v>
      </c>
      <c r="J6212" s="3">
        <f t="shared" si="401"/>
        <v>1900</v>
      </c>
    </row>
    <row r="6213" spans="1:10" s="9" customFormat="1" x14ac:dyDescent="0.25">
      <c r="A6213" s="447"/>
      <c r="B6213" s="55" t="str">
        <f t="shared" si="398"/>
        <v>ENERO</v>
      </c>
      <c r="C6213" s="55">
        <f t="shared" si="399"/>
        <v>1</v>
      </c>
      <c r="D6213" s="3" t="str">
        <f t="shared" si="400"/>
        <v>SÁBADO</v>
      </c>
      <c r="E6213" s="427"/>
      <c r="F6213" s="31">
        <f>IFERROR(VLOOKUP(E6213,BD!$L$2:$Q$244,2,0),0)</f>
        <v>0</v>
      </c>
      <c r="G6213" s="424"/>
      <c r="H6213" s="31">
        <f>+IFERROR(VLOOKUP(E6213,BD!$L$2:$Q$244,6,0),0)</f>
        <v>0</v>
      </c>
      <c r="I6213" s="626">
        <f>IFERROR(G6213*VLOOKUP($E6213,BD!$L$2:$Q$244,5,0),0)</f>
        <v>0</v>
      </c>
      <c r="J6213" s="3">
        <f t="shared" si="401"/>
        <v>1900</v>
      </c>
    </row>
    <row r="6214" spans="1:10" s="9" customFormat="1" x14ac:dyDescent="0.25">
      <c r="A6214" s="447"/>
      <c r="B6214" s="55" t="str">
        <f t="shared" si="398"/>
        <v>ENERO</v>
      </c>
      <c r="C6214" s="55">
        <f t="shared" si="399"/>
        <v>1</v>
      </c>
      <c r="D6214" s="3" t="str">
        <f t="shared" si="400"/>
        <v>SÁBADO</v>
      </c>
      <c r="E6214" s="427"/>
      <c r="F6214" s="31">
        <f>IFERROR(VLOOKUP(E6214,BD!$L$2:$Q$244,2,0),0)</f>
        <v>0</v>
      </c>
      <c r="G6214" s="424"/>
      <c r="H6214" s="31">
        <f>+IFERROR(VLOOKUP(E6214,BD!$L$2:$Q$244,6,0),0)</f>
        <v>0</v>
      </c>
      <c r="I6214" s="626">
        <f>IFERROR(G6214*VLOOKUP($E6214,BD!$L$2:$Q$244,5,0),0)</f>
        <v>0</v>
      </c>
      <c r="J6214" s="3">
        <f t="shared" si="401"/>
        <v>1900</v>
      </c>
    </row>
    <row r="6215" spans="1:10" s="9" customFormat="1" x14ac:dyDescent="0.25">
      <c r="A6215" s="447"/>
      <c r="B6215" s="55" t="str">
        <f t="shared" si="398"/>
        <v>ENERO</v>
      </c>
      <c r="C6215" s="55">
        <f t="shared" si="399"/>
        <v>1</v>
      </c>
      <c r="D6215" s="3" t="str">
        <f t="shared" si="400"/>
        <v>SÁBADO</v>
      </c>
      <c r="E6215" s="427"/>
      <c r="F6215" s="31">
        <f>IFERROR(VLOOKUP(E6215,BD!$L$2:$Q$244,2,0),0)</f>
        <v>0</v>
      </c>
      <c r="G6215" s="424"/>
      <c r="H6215" s="31">
        <f>+IFERROR(VLOOKUP(E6215,BD!$L$2:$Q$244,6,0),0)</f>
        <v>0</v>
      </c>
      <c r="I6215" s="626">
        <f>IFERROR(G6215*VLOOKUP($E6215,BD!$L$2:$Q$244,5,0),0)</f>
        <v>0</v>
      </c>
      <c r="J6215" s="3">
        <f t="shared" si="401"/>
        <v>1900</v>
      </c>
    </row>
    <row r="6216" spans="1:10" s="9" customFormat="1" x14ac:dyDescent="0.25">
      <c r="A6216" s="447"/>
      <c r="B6216" s="55" t="str">
        <f t="shared" si="398"/>
        <v>ENERO</v>
      </c>
      <c r="C6216" s="55">
        <f t="shared" si="399"/>
        <v>1</v>
      </c>
      <c r="D6216" s="3" t="str">
        <f t="shared" si="400"/>
        <v>SÁBADO</v>
      </c>
      <c r="E6216" s="427"/>
      <c r="F6216" s="31">
        <f>IFERROR(VLOOKUP(E6216,BD!$L$2:$Q$244,2,0),0)</f>
        <v>0</v>
      </c>
      <c r="G6216" s="424"/>
      <c r="H6216" s="31">
        <f>+IFERROR(VLOOKUP(E6216,BD!$L$2:$Q$244,6,0),0)</f>
        <v>0</v>
      </c>
      <c r="I6216" s="626">
        <f>IFERROR(G6216*VLOOKUP($E6216,BD!$L$2:$Q$244,5,0),0)</f>
        <v>0</v>
      </c>
      <c r="J6216" s="3">
        <f t="shared" si="401"/>
        <v>1900</v>
      </c>
    </row>
    <row r="6217" spans="1:10" s="9" customFormat="1" x14ac:dyDescent="0.25">
      <c r="A6217" s="447"/>
      <c r="B6217" s="55" t="str">
        <f t="shared" si="398"/>
        <v>ENERO</v>
      </c>
      <c r="C6217" s="55">
        <f t="shared" si="399"/>
        <v>1</v>
      </c>
      <c r="D6217" s="3" t="str">
        <f t="shared" si="400"/>
        <v>SÁBADO</v>
      </c>
      <c r="E6217" s="427"/>
      <c r="F6217" s="31">
        <f>IFERROR(VLOOKUP(E6217,BD!$L$2:$Q$244,2,0),0)</f>
        <v>0</v>
      </c>
      <c r="G6217" s="424"/>
      <c r="H6217" s="31">
        <f>+IFERROR(VLOOKUP(E6217,BD!$L$2:$Q$244,6,0),0)</f>
        <v>0</v>
      </c>
      <c r="I6217" s="626">
        <f>IFERROR(G6217*VLOOKUP($E6217,BD!$L$2:$Q$244,5,0),0)</f>
        <v>0</v>
      </c>
      <c r="J6217" s="3">
        <f t="shared" si="401"/>
        <v>1900</v>
      </c>
    </row>
    <row r="6218" spans="1:10" s="9" customFormat="1" x14ac:dyDescent="0.25">
      <c r="A6218" s="447"/>
      <c r="B6218" s="55" t="str">
        <f t="shared" si="398"/>
        <v>ENERO</v>
      </c>
      <c r="C6218" s="55">
        <f t="shared" si="399"/>
        <v>1</v>
      </c>
      <c r="D6218" s="3" t="str">
        <f t="shared" si="400"/>
        <v>SÁBADO</v>
      </c>
      <c r="E6218" s="427"/>
      <c r="F6218" s="31">
        <f>IFERROR(VLOOKUP(E6218,BD!$L$2:$Q$244,2,0),0)</f>
        <v>0</v>
      </c>
      <c r="G6218" s="424"/>
      <c r="H6218" s="31">
        <f>+IFERROR(VLOOKUP(E6218,BD!$L$2:$Q$244,6,0),0)</f>
        <v>0</v>
      </c>
      <c r="I6218" s="626">
        <f>IFERROR(G6218*VLOOKUP($E6218,BD!$L$2:$Q$244,5,0),0)</f>
        <v>0</v>
      </c>
      <c r="J6218" s="3">
        <f t="shared" si="401"/>
        <v>1900</v>
      </c>
    </row>
    <row r="6219" spans="1:10" s="9" customFormat="1" x14ac:dyDescent="0.25">
      <c r="A6219" s="447"/>
      <c r="B6219" s="55" t="str">
        <f t="shared" si="398"/>
        <v>ENERO</v>
      </c>
      <c r="C6219" s="55">
        <f t="shared" si="399"/>
        <v>1</v>
      </c>
      <c r="D6219" s="3" t="str">
        <f t="shared" si="400"/>
        <v>SÁBADO</v>
      </c>
      <c r="E6219" s="427"/>
      <c r="F6219" s="31">
        <f>IFERROR(VLOOKUP(E6219,BD!$L$2:$Q$244,2,0),0)</f>
        <v>0</v>
      </c>
      <c r="G6219" s="424"/>
      <c r="H6219" s="31">
        <f>+IFERROR(VLOOKUP(E6219,BD!$L$2:$Q$244,6,0),0)</f>
        <v>0</v>
      </c>
      <c r="I6219" s="626">
        <f>IFERROR(G6219*VLOOKUP($E6219,BD!$L$2:$Q$244,5,0),0)</f>
        <v>0</v>
      </c>
      <c r="J6219" s="3">
        <f t="shared" si="401"/>
        <v>1900</v>
      </c>
    </row>
    <row r="6220" spans="1:10" s="9" customFormat="1" x14ac:dyDescent="0.25">
      <c r="A6220" s="447"/>
      <c r="B6220" s="55" t="str">
        <f t="shared" si="398"/>
        <v>ENERO</v>
      </c>
      <c r="C6220" s="55">
        <f t="shared" si="399"/>
        <v>1</v>
      </c>
      <c r="D6220" s="3" t="str">
        <f t="shared" si="400"/>
        <v>SÁBADO</v>
      </c>
      <c r="E6220" s="427"/>
      <c r="F6220" s="31">
        <f>IFERROR(VLOOKUP(E6220,BD!$L$2:$Q$244,2,0),0)</f>
        <v>0</v>
      </c>
      <c r="G6220" s="424"/>
      <c r="H6220" s="31">
        <f>+IFERROR(VLOOKUP(E6220,BD!$L$2:$Q$244,6,0),0)</f>
        <v>0</v>
      </c>
      <c r="I6220" s="626">
        <f>IFERROR(G6220*VLOOKUP($E6220,BD!$L$2:$Q$244,5,0),0)</f>
        <v>0</v>
      </c>
      <c r="J6220" s="3">
        <f t="shared" si="401"/>
        <v>1900</v>
      </c>
    </row>
    <row r="6221" spans="1:10" s="9" customFormat="1" x14ac:dyDescent="0.25">
      <c r="A6221" s="447"/>
      <c r="B6221" s="55" t="str">
        <f t="shared" si="398"/>
        <v>ENERO</v>
      </c>
      <c r="C6221" s="55">
        <f t="shared" si="399"/>
        <v>1</v>
      </c>
      <c r="D6221" s="3" t="str">
        <f t="shared" si="400"/>
        <v>SÁBADO</v>
      </c>
      <c r="E6221" s="427"/>
      <c r="F6221" s="31">
        <f>IFERROR(VLOOKUP(E6221,BD!$L$2:$Q$244,2,0),0)</f>
        <v>0</v>
      </c>
      <c r="G6221" s="424"/>
      <c r="H6221" s="31">
        <f>+IFERROR(VLOOKUP(E6221,BD!$L$2:$Q$244,6,0),0)</f>
        <v>0</v>
      </c>
      <c r="I6221" s="626">
        <f>IFERROR(G6221*VLOOKUP($E6221,BD!$L$2:$Q$244,5,0),0)</f>
        <v>0</v>
      </c>
      <c r="J6221" s="3">
        <f t="shared" si="401"/>
        <v>1900</v>
      </c>
    </row>
    <row r="6222" spans="1:10" s="9" customFormat="1" x14ac:dyDescent="0.25">
      <c r="A6222" s="447"/>
      <c r="B6222" s="55" t="str">
        <f t="shared" si="398"/>
        <v>ENERO</v>
      </c>
      <c r="C6222" s="55">
        <f t="shared" si="399"/>
        <v>1</v>
      </c>
      <c r="D6222" s="3" t="str">
        <f t="shared" si="400"/>
        <v>SÁBADO</v>
      </c>
      <c r="E6222" s="427"/>
      <c r="F6222" s="31">
        <f>IFERROR(VLOOKUP(E6222,BD!$L$2:$Q$244,2,0),0)</f>
        <v>0</v>
      </c>
      <c r="G6222" s="424"/>
      <c r="H6222" s="31">
        <f>+IFERROR(VLOOKUP(E6222,BD!$L$2:$Q$244,6,0),0)</f>
        <v>0</v>
      </c>
      <c r="I6222" s="626">
        <f>IFERROR(G6222*VLOOKUP($E6222,BD!$L$2:$Q$244,5,0),0)</f>
        <v>0</v>
      </c>
      <c r="J6222" s="3">
        <f t="shared" si="401"/>
        <v>1900</v>
      </c>
    </row>
    <row r="6223" spans="1:10" s="9" customFormat="1" x14ac:dyDescent="0.25">
      <c r="A6223" s="447"/>
      <c r="B6223" s="55" t="str">
        <f t="shared" si="398"/>
        <v>ENERO</v>
      </c>
      <c r="C6223" s="55">
        <f t="shared" si="399"/>
        <v>1</v>
      </c>
      <c r="D6223" s="3" t="str">
        <f t="shared" si="400"/>
        <v>SÁBADO</v>
      </c>
      <c r="E6223" s="427"/>
      <c r="F6223" s="31">
        <f>IFERROR(VLOOKUP(E6223,BD!$L$2:$Q$244,2,0),0)</f>
        <v>0</v>
      </c>
      <c r="G6223" s="424"/>
      <c r="H6223" s="31">
        <f>+IFERROR(VLOOKUP(E6223,BD!$L$2:$Q$244,6,0),0)</f>
        <v>0</v>
      </c>
      <c r="I6223" s="626">
        <f>IFERROR(G6223*VLOOKUP($E6223,BD!$L$2:$Q$244,5,0),0)</f>
        <v>0</v>
      </c>
      <c r="J6223" s="3">
        <f t="shared" si="401"/>
        <v>1900</v>
      </c>
    </row>
    <row r="6224" spans="1:10" s="9" customFormat="1" x14ac:dyDescent="0.25">
      <c r="A6224" s="447"/>
      <c r="B6224" s="55" t="str">
        <f t="shared" si="398"/>
        <v>ENERO</v>
      </c>
      <c r="C6224" s="55">
        <f t="shared" si="399"/>
        <v>1</v>
      </c>
      <c r="D6224" s="3" t="str">
        <f t="shared" si="400"/>
        <v>SÁBADO</v>
      </c>
      <c r="E6224" s="427"/>
      <c r="F6224" s="31">
        <f>IFERROR(VLOOKUP(E6224,BD!$L$2:$Q$244,2,0),0)</f>
        <v>0</v>
      </c>
      <c r="G6224" s="424"/>
      <c r="H6224" s="31">
        <f>+IFERROR(VLOOKUP(E6224,BD!$L$2:$Q$244,6,0),0)</f>
        <v>0</v>
      </c>
      <c r="I6224" s="626">
        <f>IFERROR(G6224*VLOOKUP($E6224,BD!$L$2:$Q$244,5,0),0)</f>
        <v>0</v>
      </c>
      <c r="J6224" s="3">
        <f t="shared" si="401"/>
        <v>1900</v>
      </c>
    </row>
    <row r="6225" spans="1:10" s="9" customFormat="1" x14ac:dyDescent="0.25">
      <c r="A6225" s="447"/>
      <c r="B6225" s="55" t="str">
        <f t="shared" si="398"/>
        <v>ENERO</v>
      </c>
      <c r="C6225" s="55">
        <f t="shared" si="399"/>
        <v>1</v>
      </c>
      <c r="D6225" s="3" t="str">
        <f t="shared" si="400"/>
        <v>SÁBADO</v>
      </c>
      <c r="E6225" s="427"/>
      <c r="F6225" s="31">
        <f>IFERROR(VLOOKUP(E6225,BD!$L$2:$Q$244,2,0),0)</f>
        <v>0</v>
      </c>
      <c r="G6225" s="424"/>
      <c r="H6225" s="31">
        <f>+IFERROR(VLOOKUP(E6225,BD!$L$2:$Q$244,6,0),0)</f>
        <v>0</v>
      </c>
      <c r="I6225" s="626">
        <f>IFERROR(G6225*VLOOKUP($E6225,BD!$L$2:$Q$244,5,0),0)</f>
        <v>0</v>
      </c>
      <c r="J6225" s="3">
        <f t="shared" si="401"/>
        <v>1900</v>
      </c>
    </row>
    <row r="6226" spans="1:10" s="9" customFormat="1" x14ac:dyDescent="0.25">
      <c r="A6226" s="447"/>
      <c r="B6226" s="55" t="str">
        <f t="shared" si="398"/>
        <v>ENERO</v>
      </c>
      <c r="C6226" s="55">
        <f t="shared" si="399"/>
        <v>1</v>
      </c>
      <c r="D6226" s="3" t="str">
        <f t="shared" si="400"/>
        <v>SÁBADO</v>
      </c>
      <c r="E6226" s="427"/>
      <c r="F6226" s="31">
        <f>IFERROR(VLOOKUP(E6226,BD!$L$2:$Q$244,2,0),0)</f>
        <v>0</v>
      </c>
      <c r="G6226" s="424"/>
      <c r="H6226" s="31">
        <f>+IFERROR(VLOOKUP(E6226,BD!$L$2:$Q$244,6,0),0)</f>
        <v>0</v>
      </c>
      <c r="I6226" s="626">
        <f>IFERROR(G6226*VLOOKUP($E6226,BD!$L$2:$Q$244,5,0),0)</f>
        <v>0</v>
      </c>
      <c r="J6226" s="3">
        <f t="shared" si="401"/>
        <v>1900</v>
      </c>
    </row>
    <row r="6227" spans="1:10" s="9" customFormat="1" x14ac:dyDescent="0.25">
      <c r="A6227" s="447"/>
      <c r="B6227" s="55" t="str">
        <f t="shared" si="398"/>
        <v>ENERO</v>
      </c>
      <c r="C6227" s="55">
        <f t="shared" si="399"/>
        <v>1</v>
      </c>
      <c r="D6227" s="3" t="str">
        <f t="shared" si="400"/>
        <v>SÁBADO</v>
      </c>
      <c r="E6227" s="427"/>
      <c r="F6227" s="31">
        <f>IFERROR(VLOOKUP(E6227,BD!$L$2:$Q$244,2,0),0)</f>
        <v>0</v>
      </c>
      <c r="G6227" s="424"/>
      <c r="H6227" s="31">
        <f>+IFERROR(VLOOKUP(E6227,BD!$L$2:$Q$244,6,0),0)</f>
        <v>0</v>
      </c>
      <c r="I6227" s="626">
        <f>IFERROR(G6227*VLOOKUP($E6227,BD!$L$2:$Q$244,5,0),0)</f>
        <v>0</v>
      </c>
      <c r="J6227" s="3">
        <f t="shared" si="401"/>
        <v>1900</v>
      </c>
    </row>
    <row r="6228" spans="1:10" s="9" customFormat="1" x14ac:dyDescent="0.25">
      <c r="A6228" s="447"/>
      <c r="B6228" s="55" t="str">
        <f t="shared" si="398"/>
        <v>ENERO</v>
      </c>
      <c r="C6228" s="55">
        <f t="shared" si="399"/>
        <v>1</v>
      </c>
      <c r="D6228" s="3" t="str">
        <f t="shared" si="400"/>
        <v>SÁBADO</v>
      </c>
      <c r="E6228" s="427"/>
      <c r="F6228" s="31">
        <f>IFERROR(VLOOKUP(E6228,BD!$L$2:$Q$244,2,0),0)</f>
        <v>0</v>
      </c>
      <c r="G6228" s="424"/>
      <c r="H6228" s="31">
        <f>+IFERROR(VLOOKUP(E6228,BD!$L$2:$Q$244,6,0),0)</f>
        <v>0</v>
      </c>
      <c r="I6228" s="626">
        <f>IFERROR(G6228*VLOOKUP($E6228,BD!$L$2:$Q$244,5,0),0)</f>
        <v>0</v>
      </c>
      <c r="J6228" s="3">
        <f t="shared" si="401"/>
        <v>1900</v>
      </c>
    </row>
    <row r="6229" spans="1:10" s="9" customFormat="1" x14ac:dyDescent="0.25">
      <c r="A6229" s="447"/>
      <c r="B6229" s="55" t="str">
        <f t="shared" si="398"/>
        <v>ENERO</v>
      </c>
      <c r="C6229" s="55">
        <f t="shared" si="399"/>
        <v>1</v>
      </c>
      <c r="D6229" s="3" t="str">
        <f t="shared" si="400"/>
        <v>SÁBADO</v>
      </c>
      <c r="E6229" s="427"/>
      <c r="F6229" s="31">
        <f>IFERROR(VLOOKUP(E6229,BD!$L$2:$Q$244,2,0),0)</f>
        <v>0</v>
      </c>
      <c r="G6229" s="424"/>
      <c r="H6229" s="31">
        <f>+IFERROR(VLOOKUP(E6229,BD!$L$2:$Q$244,6,0),0)</f>
        <v>0</v>
      </c>
      <c r="I6229" s="626">
        <f>IFERROR(G6229*VLOOKUP($E6229,BD!$L$2:$Q$244,5,0),0)</f>
        <v>0</v>
      </c>
      <c r="J6229" s="3">
        <f t="shared" si="401"/>
        <v>1900</v>
      </c>
    </row>
    <row r="6230" spans="1:10" s="9" customFormat="1" x14ac:dyDescent="0.25">
      <c r="A6230" s="447"/>
      <c r="B6230" s="55" t="str">
        <f t="shared" si="398"/>
        <v>ENERO</v>
      </c>
      <c r="C6230" s="55">
        <f t="shared" si="399"/>
        <v>1</v>
      </c>
      <c r="D6230" s="3" t="str">
        <f t="shared" si="400"/>
        <v>SÁBADO</v>
      </c>
      <c r="E6230" s="427"/>
      <c r="F6230" s="31">
        <f>IFERROR(VLOOKUP(E6230,BD!$L$2:$Q$244,2,0),0)</f>
        <v>0</v>
      </c>
      <c r="G6230" s="424"/>
      <c r="H6230" s="31">
        <f>+IFERROR(VLOOKUP(E6230,BD!$L$2:$Q$244,6,0),0)</f>
        <v>0</v>
      </c>
      <c r="I6230" s="626">
        <f>IFERROR(G6230*VLOOKUP($E6230,BD!$L$2:$Q$244,5,0),0)</f>
        <v>0</v>
      </c>
      <c r="J6230" s="3">
        <f t="shared" si="401"/>
        <v>1900</v>
      </c>
    </row>
    <row r="6231" spans="1:10" s="9" customFormat="1" x14ac:dyDescent="0.25">
      <c r="A6231" s="447"/>
      <c r="B6231" s="55" t="str">
        <f t="shared" si="398"/>
        <v>ENERO</v>
      </c>
      <c r="C6231" s="55">
        <f t="shared" si="399"/>
        <v>1</v>
      </c>
      <c r="D6231" s="3" t="str">
        <f t="shared" si="400"/>
        <v>SÁBADO</v>
      </c>
      <c r="E6231" s="427"/>
      <c r="F6231" s="31">
        <f>IFERROR(VLOOKUP(E6231,BD!$L$2:$Q$244,2,0),0)</f>
        <v>0</v>
      </c>
      <c r="G6231" s="424"/>
      <c r="H6231" s="31">
        <f>+IFERROR(VLOOKUP(E6231,BD!$L$2:$Q$244,6,0),0)</f>
        <v>0</v>
      </c>
      <c r="I6231" s="626">
        <f>IFERROR(G6231*VLOOKUP($E6231,BD!$L$2:$Q$244,5,0),0)</f>
        <v>0</v>
      </c>
      <c r="J6231" s="3">
        <f t="shared" si="401"/>
        <v>1900</v>
      </c>
    </row>
    <row r="6232" spans="1:10" s="9" customFormat="1" x14ac:dyDescent="0.25">
      <c r="A6232" s="447"/>
      <c r="B6232" s="55" t="str">
        <f t="shared" si="398"/>
        <v>ENERO</v>
      </c>
      <c r="C6232" s="55">
        <f t="shared" si="399"/>
        <v>1</v>
      </c>
      <c r="D6232" s="3" t="str">
        <f t="shared" si="400"/>
        <v>SÁBADO</v>
      </c>
      <c r="E6232" s="427"/>
      <c r="F6232" s="31">
        <f>IFERROR(VLOOKUP(E6232,BD!$L$2:$Q$244,2,0),0)</f>
        <v>0</v>
      </c>
      <c r="G6232" s="424"/>
      <c r="H6232" s="31">
        <f>+IFERROR(VLOOKUP(E6232,BD!$L$2:$Q$244,6,0),0)</f>
        <v>0</v>
      </c>
      <c r="I6232" s="626">
        <f>IFERROR(G6232*VLOOKUP($E6232,BD!$L$2:$Q$244,5,0),0)</f>
        <v>0</v>
      </c>
      <c r="J6232" s="3">
        <f t="shared" si="401"/>
        <v>1900</v>
      </c>
    </row>
    <row r="6233" spans="1:10" s="9" customFormat="1" x14ac:dyDescent="0.25">
      <c r="A6233" s="447"/>
      <c r="B6233" s="55" t="str">
        <f t="shared" si="398"/>
        <v>ENERO</v>
      </c>
      <c r="C6233" s="55">
        <f t="shared" si="399"/>
        <v>1</v>
      </c>
      <c r="D6233" s="3" t="str">
        <f t="shared" si="400"/>
        <v>SÁBADO</v>
      </c>
      <c r="E6233" s="427"/>
      <c r="F6233" s="31">
        <f>IFERROR(VLOOKUP(E6233,BD!$L$2:$Q$244,2,0),0)</f>
        <v>0</v>
      </c>
      <c r="G6233" s="424"/>
      <c r="H6233" s="31">
        <f>+IFERROR(VLOOKUP(E6233,BD!$L$2:$Q$244,6,0),0)</f>
        <v>0</v>
      </c>
      <c r="I6233" s="626">
        <f>IFERROR(G6233*VLOOKUP($E6233,BD!$L$2:$Q$244,5,0),0)</f>
        <v>0</v>
      </c>
      <c r="J6233" s="3">
        <f t="shared" si="401"/>
        <v>1900</v>
      </c>
    </row>
    <row r="6234" spans="1:10" s="9" customFormat="1" x14ac:dyDescent="0.25">
      <c r="A6234" s="447"/>
      <c r="B6234" s="55" t="str">
        <f t="shared" si="398"/>
        <v>ENERO</v>
      </c>
      <c r="C6234" s="55">
        <f t="shared" si="399"/>
        <v>1</v>
      </c>
      <c r="D6234" s="3" t="str">
        <f t="shared" si="400"/>
        <v>SÁBADO</v>
      </c>
      <c r="E6234" s="427"/>
      <c r="F6234" s="31">
        <f>IFERROR(VLOOKUP(E6234,BD!$L$2:$Q$244,2,0),0)</f>
        <v>0</v>
      </c>
      <c r="G6234" s="424"/>
      <c r="H6234" s="31">
        <f>+IFERROR(VLOOKUP(E6234,BD!$L$2:$Q$244,6,0),0)</f>
        <v>0</v>
      </c>
      <c r="I6234" s="626">
        <f>IFERROR(G6234*VLOOKUP($E6234,BD!$L$2:$Q$244,5,0),0)</f>
        <v>0</v>
      </c>
      <c r="J6234" s="3">
        <f t="shared" si="401"/>
        <v>1900</v>
      </c>
    </row>
    <row r="6235" spans="1:10" s="9" customFormat="1" x14ac:dyDescent="0.25">
      <c r="A6235" s="447"/>
      <c r="B6235" s="55" t="str">
        <f t="shared" si="398"/>
        <v>ENERO</v>
      </c>
      <c r="C6235" s="55">
        <f t="shared" si="399"/>
        <v>1</v>
      </c>
      <c r="D6235" s="3" t="str">
        <f t="shared" si="400"/>
        <v>SÁBADO</v>
      </c>
      <c r="E6235" s="427"/>
      <c r="F6235" s="31">
        <f>IFERROR(VLOOKUP(E6235,BD!$L$2:$Q$244,2,0),0)</f>
        <v>0</v>
      </c>
      <c r="G6235" s="424"/>
      <c r="H6235" s="31">
        <f>+IFERROR(VLOOKUP(E6235,BD!$L$2:$Q$244,6,0),0)</f>
        <v>0</v>
      </c>
      <c r="I6235" s="626">
        <f>IFERROR(G6235*VLOOKUP($E6235,BD!$L$2:$Q$244,5,0),0)</f>
        <v>0</v>
      </c>
      <c r="J6235" s="3">
        <f t="shared" si="401"/>
        <v>1900</v>
      </c>
    </row>
    <row r="6236" spans="1:10" s="9" customFormat="1" x14ac:dyDescent="0.25">
      <c r="A6236" s="447"/>
      <c r="B6236" s="55" t="str">
        <f t="shared" si="398"/>
        <v>ENERO</v>
      </c>
      <c r="C6236" s="55">
        <f t="shared" si="399"/>
        <v>1</v>
      </c>
      <c r="D6236" s="3" t="str">
        <f t="shared" si="400"/>
        <v>SÁBADO</v>
      </c>
      <c r="E6236" s="427"/>
      <c r="F6236" s="31">
        <f>IFERROR(VLOOKUP(E6236,BD!$L$2:$Q$244,2,0),0)</f>
        <v>0</v>
      </c>
      <c r="G6236" s="424"/>
      <c r="H6236" s="31">
        <f>+IFERROR(VLOOKUP(E6236,BD!$L$2:$Q$244,6,0),0)</f>
        <v>0</v>
      </c>
      <c r="I6236" s="626">
        <f>IFERROR(G6236*VLOOKUP($E6236,BD!$L$2:$Q$244,5,0),0)</f>
        <v>0</v>
      </c>
      <c r="J6236" s="3">
        <f t="shared" si="401"/>
        <v>1900</v>
      </c>
    </row>
    <row r="6237" spans="1:10" s="9" customFormat="1" x14ac:dyDescent="0.25">
      <c r="A6237" s="447"/>
      <c r="B6237" s="55" t="str">
        <f t="shared" si="398"/>
        <v>ENERO</v>
      </c>
      <c r="C6237" s="55">
        <f t="shared" si="399"/>
        <v>1</v>
      </c>
      <c r="D6237" s="3" t="str">
        <f t="shared" si="400"/>
        <v>SÁBADO</v>
      </c>
      <c r="E6237" s="427"/>
      <c r="F6237" s="31">
        <f>IFERROR(VLOOKUP(E6237,BD!$L$2:$Q$244,2,0),0)</f>
        <v>0</v>
      </c>
      <c r="G6237" s="424"/>
      <c r="H6237" s="31">
        <f>+IFERROR(VLOOKUP(E6237,BD!$L$2:$Q$244,6,0),0)</f>
        <v>0</v>
      </c>
      <c r="I6237" s="626">
        <f>IFERROR(G6237*VLOOKUP($E6237,BD!$L$2:$Q$244,5,0),0)</f>
        <v>0</v>
      </c>
      <c r="J6237" s="3">
        <f t="shared" si="401"/>
        <v>1900</v>
      </c>
    </row>
    <row r="6238" spans="1:10" s="9" customFormat="1" x14ac:dyDescent="0.25">
      <c r="A6238" s="447"/>
      <c r="B6238" s="55" t="str">
        <f t="shared" si="398"/>
        <v>ENERO</v>
      </c>
      <c r="C6238" s="55">
        <f t="shared" si="399"/>
        <v>1</v>
      </c>
      <c r="D6238" s="3" t="str">
        <f t="shared" si="400"/>
        <v>SÁBADO</v>
      </c>
      <c r="E6238" s="427"/>
      <c r="F6238" s="31">
        <f>IFERROR(VLOOKUP(E6238,BD!$L$2:$Q$244,2,0),0)</f>
        <v>0</v>
      </c>
      <c r="G6238" s="424"/>
      <c r="H6238" s="31">
        <f>+IFERROR(VLOOKUP(E6238,BD!$L$2:$Q$244,6,0),0)</f>
        <v>0</v>
      </c>
      <c r="I6238" s="626">
        <f>IFERROR(G6238*VLOOKUP($E6238,BD!$L$2:$Q$244,5,0),0)</f>
        <v>0</v>
      </c>
      <c r="J6238" s="3">
        <f t="shared" si="401"/>
        <v>1900</v>
      </c>
    </row>
    <row r="6239" spans="1:10" s="9" customFormat="1" x14ac:dyDescent="0.25">
      <c r="A6239" s="447"/>
      <c r="B6239" s="55" t="str">
        <f t="shared" si="398"/>
        <v>ENERO</v>
      </c>
      <c r="C6239" s="55">
        <f t="shared" si="399"/>
        <v>1</v>
      </c>
      <c r="D6239" s="3" t="str">
        <f t="shared" si="400"/>
        <v>SÁBADO</v>
      </c>
      <c r="E6239" s="427"/>
      <c r="F6239" s="31">
        <f>IFERROR(VLOOKUP(E6239,BD!$L$2:$Q$244,2,0),0)</f>
        <v>0</v>
      </c>
      <c r="G6239" s="424"/>
      <c r="H6239" s="31">
        <f>+IFERROR(VLOOKUP(E6239,BD!$L$2:$Q$244,6,0),0)</f>
        <v>0</v>
      </c>
      <c r="I6239" s="626">
        <f>IFERROR(G6239*VLOOKUP($E6239,BD!$L$2:$Q$244,5,0),0)</f>
        <v>0</v>
      </c>
      <c r="J6239" s="3">
        <f t="shared" si="401"/>
        <v>1900</v>
      </c>
    </row>
    <row r="6240" spans="1:10" s="9" customFormat="1" x14ac:dyDescent="0.25">
      <c r="A6240" s="447"/>
      <c r="B6240" s="55" t="str">
        <f t="shared" si="398"/>
        <v>ENERO</v>
      </c>
      <c r="C6240" s="55">
        <f t="shared" si="399"/>
        <v>1</v>
      </c>
      <c r="D6240" s="3" t="str">
        <f t="shared" si="400"/>
        <v>SÁBADO</v>
      </c>
      <c r="E6240" s="427"/>
      <c r="F6240" s="31">
        <f>IFERROR(VLOOKUP(E6240,BD!$L$2:$Q$244,2,0),0)</f>
        <v>0</v>
      </c>
      <c r="G6240" s="424"/>
      <c r="H6240" s="31">
        <f>+IFERROR(VLOOKUP(E6240,BD!$L$2:$Q$244,6,0),0)</f>
        <v>0</v>
      </c>
      <c r="I6240" s="626">
        <f>IFERROR(G6240*VLOOKUP($E6240,BD!$L$2:$Q$244,5,0),0)</f>
        <v>0</v>
      </c>
      <c r="J6240" s="3">
        <f t="shared" si="401"/>
        <v>1900</v>
      </c>
    </row>
    <row r="6241" spans="1:10" s="9" customFormat="1" x14ac:dyDescent="0.25">
      <c r="A6241" s="447"/>
      <c r="B6241" s="55" t="str">
        <f t="shared" si="398"/>
        <v>ENERO</v>
      </c>
      <c r="C6241" s="55">
        <f t="shared" si="399"/>
        <v>1</v>
      </c>
      <c r="D6241" s="3" t="str">
        <f t="shared" si="400"/>
        <v>SÁBADO</v>
      </c>
      <c r="E6241" s="427"/>
      <c r="F6241" s="31">
        <f>IFERROR(VLOOKUP(E6241,BD!$L$2:$Q$244,2,0),0)</f>
        <v>0</v>
      </c>
      <c r="G6241" s="424"/>
      <c r="H6241" s="31">
        <f>+IFERROR(VLOOKUP(E6241,BD!$L$2:$Q$244,6,0),0)</f>
        <v>0</v>
      </c>
      <c r="I6241" s="626">
        <f>IFERROR(G6241*VLOOKUP($E6241,BD!$L$2:$Q$244,5,0),0)</f>
        <v>0</v>
      </c>
      <c r="J6241" s="3">
        <f t="shared" si="401"/>
        <v>1900</v>
      </c>
    </row>
    <row r="6242" spans="1:10" s="9" customFormat="1" x14ac:dyDescent="0.25">
      <c r="A6242" s="447"/>
      <c r="B6242" s="55" t="str">
        <f t="shared" si="398"/>
        <v>ENERO</v>
      </c>
      <c r="C6242" s="55">
        <f t="shared" si="399"/>
        <v>1</v>
      </c>
      <c r="D6242" s="3" t="str">
        <f t="shared" si="400"/>
        <v>SÁBADO</v>
      </c>
      <c r="E6242" s="427"/>
      <c r="F6242" s="31">
        <f>IFERROR(VLOOKUP(E6242,BD!$L$2:$Q$244,2,0),0)</f>
        <v>0</v>
      </c>
      <c r="G6242" s="424"/>
      <c r="H6242" s="31">
        <f>+IFERROR(VLOOKUP(E6242,BD!$L$2:$Q$244,6,0),0)</f>
        <v>0</v>
      </c>
      <c r="I6242" s="626">
        <f>IFERROR(G6242*VLOOKUP($E6242,BD!$L$2:$Q$244,5,0),0)</f>
        <v>0</v>
      </c>
      <c r="J6242" s="3">
        <f t="shared" si="401"/>
        <v>1900</v>
      </c>
    </row>
    <row r="6243" spans="1:10" s="9" customFormat="1" x14ac:dyDescent="0.25">
      <c r="A6243" s="447"/>
      <c r="B6243" s="55" t="str">
        <f t="shared" si="398"/>
        <v>ENERO</v>
      </c>
      <c r="C6243" s="55">
        <f t="shared" si="399"/>
        <v>1</v>
      </c>
      <c r="D6243" s="3" t="str">
        <f t="shared" si="400"/>
        <v>SÁBADO</v>
      </c>
      <c r="E6243" s="427"/>
      <c r="F6243" s="31">
        <f>IFERROR(VLOOKUP(E6243,BD!$L$2:$Q$244,2,0),0)</f>
        <v>0</v>
      </c>
      <c r="G6243" s="424"/>
      <c r="H6243" s="31">
        <f>+IFERROR(VLOOKUP(E6243,BD!$L$2:$Q$244,6,0),0)</f>
        <v>0</v>
      </c>
      <c r="I6243" s="626">
        <f>IFERROR(G6243*VLOOKUP($E6243,BD!$L$2:$Q$244,5,0),0)</f>
        <v>0</v>
      </c>
      <c r="J6243" s="3">
        <f t="shared" si="401"/>
        <v>1900</v>
      </c>
    </row>
    <row r="6244" spans="1:10" s="9" customFormat="1" x14ac:dyDescent="0.25">
      <c r="A6244" s="447"/>
      <c r="B6244" s="55" t="str">
        <f t="shared" si="398"/>
        <v>ENERO</v>
      </c>
      <c r="C6244" s="55">
        <f t="shared" si="399"/>
        <v>1</v>
      </c>
      <c r="D6244" s="3" t="str">
        <f t="shared" si="400"/>
        <v>SÁBADO</v>
      </c>
      <c r="E6244" s="427"/>
      <c r="F6244" s="31">
        <f>IFERROR(VLOOKUP(E6244,BD!$L$2:$Q$244,2,0),0)</f>
        <v>0</v>
      </c>
      <c r="G6244" s="424"/>
      <c r="H6244" s="31">
        <f>+IFERROR(VLOOKUP(E6244,BD!$L$2:$Q$244,6,0),0)</f>
        <v>0</v>
      </c>
      <c r="I6244" s="626">
        <f>IFERROR(G6244*VLOOKUP($E6244,BD!$L$2:$Q$244,5,0),0)</f>
        <v>0</v>
      </c>
      <c r="J6244" s="3">
        <f t="shared" si="401"/>
        <v>1900</v>
      </c>
    </row>
    <row r="6245" spans="1:10" s="9" customFormat="1" x14ac:dyDescent="0.25">
      <c r="A6245" s="447"/>
      <c r="B6245" s="55" t="str">
        <f t="shared" si="398"/>
        <v>ENERO</v>
      </c>
      <c r="C6245" s="55">
        <f t="shared" si="399"/>
        <v>1</v>
      </c>
      <c r="D6245" s="3" t="str">
        <f t="shared" si="400"/>
        <v>SÁBADO</v>
      </c>
      <c r="E6245" s="427"/>
      <c r="F6245" s="31">
        <f>IFERROR(VLOOKUP(E6245,BD!$L$2:$Q$244,2,0),0)</f>
        <v>0</v>
      </c>
      <c r="G6245" s="424"/>
      <c r="H6245" s="31">
        <f>+IFERROR(VLOOKUP(E6245,BD!$L$2:$Q$244,6,0),0)</f>
        <v>0</v>
      </c>
      <c r="I6245" s="626">
        <f>IFERROR(G6245*VLOOKUP($E6245,BD!$L$2:$Q$244,5,0),0)</f>
        <v>0</v>
      </c>
      <c r="J6245" s="3">
        <f t="shared" si="401"/>
        <v>1900</v>
      </c>
    </row>
    <row r="6246" spans="1:10" s="9" customFormat="1" x14ac:dyDescent="0.25">
      <c r="A6246" s="447"/>
      <c r="B6246" s="55" t="str">
        <f t="shared" si="398"/>
        <v>ENERO</v>
      </c>
      <c r="C6246" s="55">
        <f t="shared" si="399"/>
        <v>1</v>
      </c>
      <c r="D6246" s="3" t="str">
        <f t="shared" si="400"/>
        <v>SÁBADO</v>
      </c>
      <c r="E6246" s="427"/>
      <c r="F6246" s="31">
        <f>IFERROR(VLOOKUP(E6246,BD!$L$2:$Q$244,2,0),0)</f>
        <v>0</v>
      </c>
      <c r="G6246" s="424"/>
      <c r="H6246" s="31">
        <f>+IFERROR(VLOOKUP(E6246,BD!$L$2:$Q$244,6,0),0)</f>
        <v>0</v>
      </c>
      <c r="I6246" s="626">
        <f>IFERROR(G6246*VLOOKUP($E6246,BD!$L$2:$Q$244,5,0),0)</f>
        <v>0</v>
      </c>
      <c r="J6246" s="3">
        <f t="shared" si="401"/>
        <v>1900</v>
      </c>
    </row>
    <row r="6247" spans="1:10" s="9" customFormat="1" x14ac:dyDescent="0.25">
      <c r="A6247" s="447"/>
      <c r="B6247" s="55" t="str">
        <f t="shared" si="398"/>
        <v>ENERO</v>
      </c>
      <c r="C6247" s="55">
        <f t="shared" si="399"/>
        <v>1</v>
      </c>
      <c r="D6247" s="3" t="str">
        <f t="shared" si="400"/>
        <v>SÁBADO</v>
      </c>
      <c r="E6247" s="427"/>
      <c r="F6247" s="31">
        <f>IFERROR(VLOOKUP(E6247,BD!$L$2:$Q$244,2,0),0)</f>
        <v>0</v>
      </c>
      <c r="G6247" s="424"/>
      <c r="H6247" s="31">
        <f>+IFERROR(VLOOKUP(E6247,BD!$L$2:$Q$244,6,0),0)</f>
        <v>0</v>
      </c>
      <c r="I6247" s="626">
        <f>IFERROR(G6247*VLOOKUP($E6247,BD!$L$2:$Q$244,5,0),0)</f>
        <v>0</v>
      </c>
      <c r="J6247" s="3">
        <f t="shared" si="401"/>
        <v>1900</v>
      </c>
    </row>
    <row r="6248" spans="1:10" s="9" customFormat="1" x14ac:dyDescent="0.25">
      <c r="A6248" s="447"/>
      <c r="B6248" s="55" t="str">
        <f t="shared" si="398"/>
        <v>ENERO</v>
      </c>
      <c r="C6248" s="55">
        <f t="shared" si="399"/>
        <v>1</v>
      </c>
      <c r="D6248" s="3" t="str">
        <f t="shared" si="400"/>
        <v>SÁBADO</v>
      </c>
      <c r="E6248" s="427"/>
      <c r="F6248" s="31">
        <f>IFERROR(VLOOKUP(E6248,BD!$L$2:$Q$244,2,0),0)</f>
        <v>0</v>
      </c>
      <c r="G6248" s="424"/>
      <c r="H6248" s="31">
        <f>+IFERROR(VLOOKUP(E6248,BD!$L$2:$Q$244,6,0),0)</f>
        <v>0</v>
      </c>
      <c r="I6248" s="626">
        <f>IFERROR(G6248*VLOOKUP($E6248,BD!$L$2:$Q$244,5,0),0)</f>
        <v>0</v>
      </c>
      <c r="J6248" s="3">
        <f t="shared" si="401"/>
        <v>1900</v>
      </c>
    </row>
    <row r="6249" spans="1:10" s="9" customFormat="1" x14ac:dyDescent="0.25">
      <c r="A6249" s="447"/>
      <c r="B6249" s="55" t="str">
        <f t="shared" si="398"/>
        <v>ENERO</v>
      </c>
      <c r="C6249" s="55">
        <f t="shared" si="399"/>
        <v>1</v>
      </c>
      <c r="D6249" s="3" t="str">
        <f t="shared" si="400"/>
        <v>SÁBADO</v>
      </c>
      <c r="E6249" s="427"/>
      <c r="F6249" s="31">
        <f>IFERROR(VLOOKUP(E6249,BD!$L$2:$Q$244,2,0),0)</f>
        <v>0</v>
      </c>
      <c r="G6249" s="424"/>
      <c r="H6249" s="31">
        <f>+IFERROR(VLOOKUP(E6249,BD!$L$2:$Q$244,6,0),0)</f>
        <v>0</v>
      </c>
      <c r="I6249" s="626">
        <f>IFERROR(G6249*VLOOKUP($E6249,BD!$L$2:$Q$244,5,0),0)</f>
        <v>0</v>
      </c>
      <c r="J6249" s="3">
        <f t="shared" si="401"/>
        <v>1900</v>
      </c>
    </row>
    <row r="6250" spans="1:10" s="9" customFormat="1" x14ac:dyDescent="0.25">
      <c r="A6250" s="447"/>
      <c r="B6250" s="55" t="str">
        <f t="shared" si="398"/>
        <v>ENERO</v>
      </c>
      <c r="C6250" s="55">
        <f t="shared" si="399"/>
        <v>1</v>
      </c>
      <c r="D6250" s="3" t="str">
        <f t="shared" si="400"/>
        <v>SÁBADO</v>
      </c>
      <c r="E6250" s="427"/>
      <c r="F6250" s="31">
        <f>IFERROR(VLOOKUP(E6250,BD!$L$2:$Q$244,2,0),0)</f>
        <v>0</v>
      </c>
      <c r="G6250" s="424"/>
      <c r="H6250" s="31">
        <f>+IFERROR(VLOOKUP(E6250,BD!$L$2:$Q$244,6,0),0)</f>
        <v>0</v>
      </c>
      <c r="I6250" s="626">
        <f>IFERROR(G6250*VLOOKUP($E6250,BD!$L$2:$Q$244,5,0),0)</f>
        <v>0</v>
      </c>
      <c r="J6250" s="3">
        <f t="shared" si="401"/>
        <v>1900</v>
      </c>
    </row>
    <row r="6251" spans="1:10" s="9" customFormat="1" x14ac:dyDescent="0.25">
      <c r="A6251" s="447"/>
      <c r="B6251" s="55" t="str">
        <f t="shared" si="398"/>
        <v>ENERO</v>
      </c>
      <c r="C6251" s="55">
        <f t="shared" si="399"/>
        <v>1</v>
      </c>
      <c r="D6251" s="3" t="str">
        <f t="shared" si="400"/>
        <v>SÁBADO</v>
      </c>
      <c r="E6251" s="427"/>
      <c r="F6251" s="31">
        <f>IFERROR(VLOOKUP(E6251,BD!$L$2:$Q$244,2,0),0)</f>
        <v>0</v>
      </c>
      <c r="G6251" s="424"/>
      <c r="H6251" s="31">
        <f>+IFERROR(VLOOKUP(E6251,BD!$L$2:$Q$244,6,0),0)</f>
        <v>0</v>
      </c>
      <c r="I6251" s="626">
        <f>IFERROR(G6251*VLOOKUP($E6251,BD!$L$2:$Q$244,5,0),0)</f>
        <v>0</v>
      </c>
      <c r="J6251" s="3">
        <f t="shared" si="401"/>
        <v>1900</v>
      </c>
    </row>
    <row r="6252" spans="1:10" s="9" customFormat="1" x14ac:dyDescent="0.25">
      <c r="A6252" s="447"/>
      <c r="B6252" s="55" t="str">
        <f t="shared" si="398"/>
        <v>ENERO</v>
      </c>
      <c r="C6252" s="55">
        <f t="shared" si="399"/>
        <v>1</v>
      </c>
      <c r="D6252" s="3" t="str">
        <f t="shared" si="400"/>
        <v>SÁBADO</v>
      </c>
      <c r="E6252" s="427"/>
      <c r="F6252" s="31">
        <f>IFERROR(VLOOKUP(E6252,BD!$L$2:$Q$244,2,0),0)</f>
        <v>0</v>
      </c>
      <c r="G6252" s="424"/>
      <c r="H6252" s="31">
        <f>+IFERROR(VLOOKUP(E6252,BD!$L$2:$Q$244,6,0),0)</f>
        <v>0</v>
      </c>
      <c r="I6252" s="626">
        <f>IFERROR(G6252*VLOOKUP($E6252,BD!$L$2:$Q$244,5,0),0)</f>
        <v>0</v>
      </c>
      <c r="J6252" s="3">
        <f t="shared" si="401"/>
        <v>1900</v>
      </c>
    </row>
    <row r="6253" spans="1:10" s="9" customFormat="1" x14ac:dyDescent="0.25">
      <c r="A6253" s="447"/>
      <c r="B6253" s="55" t="str">
        <f t="shared" si="398"/>
        <v>ENERO</v>
      </c>
      <c r="C6253" s="55">
        <f t="shared" si="399"/>
        <v>1</v>
      </c>
      <c r="D6253" s="3" t="str">
        <f t="shared" si="400"/>
        <v>SÁBADO</v>
      </c>
      <c r="E6253" s="427"/>
      <c r="F6253" s="31">
        <f>IFERROR(VLOOKUP(E6253,BD!$L$2:$Q$244,2,0),0)</f>
        <v>0</v>
      </c>
      <c r="G6253" s="424"/>
      <c r="H6253" s="31">
        <f>+IFERROR(VLOOKUP(E6253,BD!$L$2:$Q$244,6,0),0)</f>
        <v>0</v>
      </c>
      <c r="I6253" s="626">
        <f>IFERROR(G6253*VLOOKUP($E6253,BD!$L$2:$Q$244,5,0),0)</f>
        <v>0</v>
      </c>
      <c r="J6253" s="3">
        <f t="shared" si="401"/>
        <v>1900</v>
      </c>
    </row>
    <row r="6254" spans="1:10" s="9" customFormat="1" x14ac:dyDescent="0.25">
      <c r="A6254" s="447"/>
      <c r="B6254" s="55" t="str">
        <f t="shared" si="398"/>
        <v>ENERO</v>
      </c>
      <c r="C6254" s="55">
        <f t="shared" si="399"/>
        <v>1</v>
      </c>
      <c r="D6254" s="3" t="str">
        <f t="shared" si="400"/>
        <v>SÁBADO</v>
      </c>
      <c r="E6254" s="427"/>
      <c r="F6254" s="31">
        <f>IFERROR(VLOOKUP(E6254,BD!$L$2:$Q$244,2,0),0)</f>
        <v>0</v>
      </c>
      <c r="G6254" s="424"/>
      <c r="H6254" s="31">
        <f>+IFERROR(VLOOKUP(E6254,BD!$L$2:$Q$244,6,0),0)</f>
        <v>0</v>
      </c>
      <c r="I6254" s="626">
        <f>IFERROR(G6254*VLOOKUP($E6254,BD!$L$2:$Q$244,5,0),0)</f>
        <v>0</v>
      </c>
      <c r="J6254" s="3">
        <f t="shared" si="401"/>
        <v>1900</v>
      </c>
    </row>
    <row r="6255" spans="1:10" s="9" customFormat="1" x14ac:dyDescent="0.25">
      <c r="A6255" s="447"/>
      <c r="B6255" s="55" t="str">
        <f t="shared" si="398"/>
        <v>ENERO</v>
      </c>
      <c r="C6255" s="55">
        <f t="shared" si="399"/>
        <v>1</v>
      </c>
      <c r="D6255" s="3" t="str">
        <f t="shared" si="400"/>
        <v>SÁBADO</v>
      </c>
      <c r="E6255" s="427"/>
      <c r="F6255" s="31">
        <f>IFERROR(VLOOKUP(E6255,BD!$L$2:$Q$244,2,0),0)</f>
        <v>0</v>
      </c>
      <c r="G6255" s="424"/>
      <c r="H6255" s="31">
        <f>+IFERROR(VLOOKUP(E6255,BD!$L$2:$Q$244,6,0),0)</f>
        <v>0</v>
      </c>
      <c r="I6255" s="626">
        <f>IFERROR(G6255*VLOOKUP($E6255,BD!$L$2:$Q$244,5,0),0)</f>
        <v>0</v>
      </c>
      <c r="J6255" s="3">
        <f t="shared" si="401"/>
        <v>1900</v>
      </c>
    </row>
    <row r="6256" spans="1:10" s="9" customFormat="1" x14ac:dyDescent="0.25">
      <c r="A6256" s="447"/>
      <c r="B6256" s="55" t="str">
        <f t="shared" si="398"/>
        <v>ENERO</v>
      </c>
      <c r="C6256" s="55">
        <f t="shared" si="399"/>
        <v>1</v>
      </c>
      <c r="D6256" s="3" t="str">
        <f t="shared" si="400"/>
        <v>SÁBADO</v>
      </c>
      <c r="E6256" s="427"/>
      <c r="F6256" s="31">
        <f>IFERROR(VLOOKUP(E6256,BD!$L$2:$Q$244,2,0),0)</f>
        <v>0</v>
      </c>
      <c r="G6256" s="424"/>
      <c r="H6256" s="31">
        <f>+IFERROR(VLOOKUP(E6256,BD!$L$2:$Q$244,6,0),0)</f>
        <v>0</v>
      </c>
      <c r="I6256" s="626">
        <f>IFERROR(G6256*VLOOKUP($E6256,BD!$L$2:$Q$244,5,0),0)</f>
        <v>0</v>
      </c>
      <c r="J6256" s="3">
        <f t="shared" si="401"/>
        <v>1900</v>
      </c>
    </row>
    <row r="6257" spans="1:10" s="9" customFormat="1" x14ac:dyDescent="0.25">
      <c r="A6257" s="447"/>
      <c r="B6257" s="55" t="str">
        <f t="shared" si="398"/>
        <v>ENERO</v>
      </c>
      <c r="C6257" s="55">
        <f t="shared" si="399"/>
        <v>1</v>
      </c>
      <c r="D6257" s="3" t="str">
        <f t="shared" si="400"/>
        <v>SÁBADO</v>
      </c>
      <c r="E6257" s="427"/>
      <c r="F6257" s="31">
        <f>IFERROR(VLOOKUP(E6257,BD!$L$2:$Q$244,2,0),0)</f>
        <v>0</v>
      </c>
      <c r="G6257" s="424"/>
      <c r="H6257" s="31">
        <f>+IFERROR(VLOOKUP(E6257,BD!$L$2:$Q$244,6,0),0)</f>
        <v>0</v>
      </c>
      <c r="I6257" s="626">
        <f>IFERROR(G6257*VLOOKUP($E6257,BD!$L$2:$Q$244,5,0),0)</f>
        <v>0</v>
      </c>
      <c r="J6257" s="3">
        <f t="shared" si="401"/>
        <v>1900</v>
      </c>
    </row>
    <row r="6258" spans="1:10" s="9" customFormat="1" x14ac:dyDescent="0.25">
      <c r="A6258" s="447"/>
      <c r="B6258" s="55" t="str">
        <f t="shared" si="398"/>
        <v>ENERO</v>
      </c>
      <c r="C6258" s="55">
        <f t="shared" si="399"/>
        <v>1</v>
      </c>
      <c r="D6258" s="3" t="str">
        <f t="shared" si="400"/>
        <v>SÁBADO</v>
      </c>
      <c r="E6258" s="427"/>
      <c r="F6258" s="31">
        <f>IFERROR(VLOOKUP(E6258,BD!$L$2:$Q$244,2,0),0)</f>
        <v>0</v>
      </c>
      <c r="G6258" s="424"/>
      <c r="H6258" s="31">
        <f>+IFERROR(VLOOKUP(E6258,BD!$L$2:$Q$244,6,0),0)</f>
        <v>0</v>
      </c>
      <c r="I6258" s="626">
        <f>IFERROR(G6258*VLOOKUP($E6258,BD!$L$2:$Q$244,5,0),0)</f>
        <v>0</v>
      </c>
      <c r="J6258" s="3">
        <f t="shared" si="401"/>
        <v>1900</v>
      </c>
    </row>
    <row r="6259" spans="1:10" s="9" customFormat="1" x14ac:dyDescent="0.25">
      <c r="A6259" s="447"/>
      <c r="B6259" s="55" t="str">
        <f t="shared" si="398"/>
        <v>ENERO</v>
      </c>
      <c r="C6259" s="55">
        <f t="shared" si="399"/>
        <v>1</v>
      </c>
      <c r="D6259" s="3" t="str">
        <f t="shared" si="400"/>
        <v>SÁBADO</v>
      </c>
      <c r="E6259" s="427"/>
      <c r="F6259" s="31">
        <f>IFERROR(VLOOKUP(E6259,BD!$L$2:$Q$244,2,0),0)</f>
        <v>0</v>
      </c>
      <c r="G6259" s="424"/>
      <c r="H6259" s="31">
        <f>+IFERROR(VLOOKUP(E6259,BD!$L$2:$Q$244,6,0),0)</f>
        <v>0</v>
      </c>
      <c r="I6259" s="626">
        <f>IFERROR(G6259*VLOOKUP($E6259,BD!$L$2:$Q$244,5,0),0)</f>
        <v>0</v>
      </c>
      <c r="J6259" s="3">
        <f t="shared" si="401"/>
        <v>1900</v>
      </c>
    </row>
    <row r="6260" spans="1:10" s="9" customFormat="1" x14ac:dyDescent="0.25">
      <c r="A6260" s="447"/>
      <c r="B6260" s="55" t="str">
        <f t="shared" si="398"/>
        <v>ENERO</v>
      </c>
      <c r="C6260" s="55">
        <f t="shared" si="399"/>
        <v>1</v>
      </c>
      <c r="D6260" s="3" t="str">
        <f t="shared" si="400"/>
        <v>SÁBADO</v>
      </c>
      <c r="E6260" s="427"/>
      <c r="F6260" s="31">
        <f>IFERROR(VLOOKUP(E6260,BD!$L$2:$Q$244,2,0),0)</f>
        <v>0</v>
      </c>
      <c r="G6260" s="424"/>
      <c r="H6260" s="31">
        <f>+IFERROR(VLOOKUP(E6260,BD!$L$2:$Q$244,6,0),0)</f>
        <v>0</v>
      </c>
      <c r="I6260" s="626">
        <f>IFERROR(G6260*VLOOKUP($E6260,BD!$L$2:$Q$244,5,0),0)</f>
        <v>0</v>
      </c>
      <c r="J6260" s="3">
        <f t="shared" si="401"/>
        <v>1900</v>
      </c>
    </row>
    <row r="6261" spans="1:10" s="9" customFormat="1" x14ac:dyDescent="0.25">
      <c r="A6261" s="447"/>
      <c r="B6261" s="55" t="str">
        <f t="shared" si="398"/>
        <v>ENERO</v>
      </c>
      <c r="C6261" s="55">
        <f t="shared" si="399"/>
        <v>1</v>
      </c>
      <c r="D6261" s="3" t="str">
        <f t="shared" si="400"/>
        <v>SÁBADO</v>
      </c>
      <c r="E6261" s="427"/>
      <c r="F6261" s="31">
        <f>IFERROR(VLOOKUP(E6261,BD!$L$2:$Q$244,2,0),0)</f>
        <v>0</v>
      </c>
      <c r="G6261" s="424"/>
      <c r="H6261" s="31">
        <f>+IFERROR(VLOOKUP(E6261,BD!$L$2:$Q$244,6,0),0)</f>
        <v>0</v>
      </c>
      <c r="I6261" s="626">
        <f>IFERROR(G6261*VLOOKUP($E6261,BD!$L$2:$Q$244,5,0),0)</f>
        <v>0</v>
      </c>
      <c r="J6261" s="3">
        <f t="shared" si="401"/>
        <v>1900</v>
      </c>
    </row>
    <row r="6262" spans="1:10" s="9" customFormat="1" x14ac:dyDescent="0.25">
      <c r="A6262" s="447"/>
      <c r="B6262" s="55" t="str">
        <f t="shared" si="398"/>
        <v>ENERO</v>
      </c>
      <c r="C6262" s="55">
        <f t="shared" si="399"/>
        <v>1</v>
      </c>
      <c r="D6262" s="3" t="str">
        <f t="shared" si="400"/>
        <v>SÁBADO</v>
      </c>
      <c r="E6262" s="427"/>
      <c r="F6262" s="31">
        <f>IFERROR(VLOOKUP(E6262,BD!$L$2:$Q$244,2,0),0)</f>
        <v>0</v>
      </c>
      <c r="G6262" s="424"/>
      <c r="H6262" s="31">
        <f>+IFERROR(VLOOKUP(E6262,BD!$L$2:$Q$244,6,0),0)</f>
        <v>0</v>
      </c>
      <c r="I6262" s="626">
        <f>IFERROR(G6262*VLOOKUP($E6262,BD!$L$2:$Q$244,5,0),0)</f>
        <v>0</v>
      </c>
      <c r="J6262" s="3">
        <f t="shared" si="401"/>
        <v>1900</v>
      </c>
    </row>
    <row r="6263" spans="1:10" s="9" customFormat="1" x14ac:dyDescent="0.25">
      <c r="A6263" s="447"/>
      <c r="B6263" s="55" t="str">
        <f t="shared" si="398"/>
        <v>ENERO</v>
      </c>
      <c r="C6263" s="55">
        <f t="shared" si="399"/>
        <v>1</v>
      </c>
      <c r="D6263" s="3" t="str">
        <f t="shared" si="400"/>
        <v>SÁBADO</v>
      </c>
      <c r="E6263" s="427"/>
      <c r="F6263" s="31">
        <f>IFERROR(VLOOKUP(E6263,BD!$L$2:$Q$244,2,0),0)</f>
        <v>0</v>
      </c>
      <c r="G6263" s="424"/>
      <c r="H6263" s="31">
        <f>+IFERROR(VLOOKUP(E6263,BD!$L$2:$Q$244,6,0),0)</f>
        <v>0</v>
      </c>
      <c r="I6263" s="626">
        <f>IFERROR(G6263*VLOOKUP($E6263,BD!$L$2:$Q$244,5,0),0)</f>
        <v>0</v>
      </c>
      <c r="J6263" s="3">
        <f t="shared" si="401"/>
        <v>1900</v>
      </c>
    </row>
    <row r="6264" spans="1:10" s="9" customFormat="1" x14ac:dyDescent="0.25">
      <c r="A6264" s="447"/>
      <c r="B6264" s="55" t="str">
        <f t="shared" si="398"/>
        <v>ENERO</v>
      </c>
      <c r="C6264" s="55">
        <f t="shared" si="399"/>
        <v>1</v>
      </c>
      <c r="D6264" s="3" t="str">
        <f t="shared" si="400"/>
        <v>SÁBADO</v>
      </c>
      <c r="E6264" s="427"/>
      <c r="F6264" s="31">
        <f>IFERROR(VLOOKUP(E6264,BD!$L$2:$Q$244,2,0),0)</f>
        <v>0</v>
      </c>
      <c r="G6264" s="424"/>
      <c r="H6264" s="31">
        <f>+IFERROR(VLOOKUP(E6264,BD!$L$2:$Q$244,6,0),0)</f>
        <v>0</v>
      </c>
      <c r="I6264" s="626">
        <f>IFERROR(G6264*VLOOKUP($E6264,BD!$L$2:$Q$244,5,0),0)</f>
        <v>0</v>
      </c>
      <c r="J6264" s="3">
        <f t="shared" si="401"/>
        <v>1900</v>
      </c>
    </row>
    <row r="6265" spans="1:10" s="9" customFormat="1" x14ac:dyDescent="0.25">
      <c r="A6265" s="447"/>
      <c r="B6265" s="55" t="str">
        <f t="shared" si="398"/>
        <v>ENERO</v>
      </c>
      <c r="C6265" s="55">
        <f t="shared" si="399"/>
        <v>1</v>
      </c>
      <c r="D6265" s="3" t="str">
        <f t="shared" si="400"/>
        <v>SÁBADO</v>
      </c>
      <c r="E6265" s="427"/>
      <c r="F6265" s="31">
        <f>IFERROR(VLOOKUP(E6265,BD!$L$2:$Q$244,2,0),0)</f>
        <v>0</v>
      </c>
      <c r="G6265" s="424"/>
      <c r="H6265" s="31">
        <f>+IFERROR(VLOOKUP(E6265,BD!$L$2:$Q$244,6,0),0)</f>
        <v>0</v>
      </c>
      <c r="I6265" s="626">
        <f>IFERROR(G6265*VLOOKUP($E6265,BD!$L$2:$Q$244,5,0),0)</f>
        <v>0</v>
      </c>
      <c r="J6265" s="3">
        <f t="shared" si="401"/>
        <v>1900</v>
      </c>
    </row>
    <row r="6266" spans="1:10" s="9" customFormat="1" x14ac:dyDescent="0.25">
      <c r="A6266" s="447"/>
      <c r="B6266" s="55" t="str">
        <f t="shared" si="398"/>
        <v>ENERO</v>
      </c>
      <c r="C6266" s="55">
        <f t="shared" si="399"/>
        <v>1</v>
      </c>
      <c r="D6266" s="3" t="str">
        <f t="shared" si="400"/>
        <v>SÁBADO</v>
      </c>
      <c r="E6266" s="427"/>
      <c r="F6266" s="31">
        <f>IFERROR(VLOOKUP(E6266,BD!$L$2:$Q$244,2,0),0)</f>
        <v>0</v>
      </c>
      <c r="G6266" s="424"/>
      <c r="H6266" s="31">
        <f>+IFERROR(VLOOKUP(E6266,BD!$L$2:$Q$244,6,0),0)</f>
        <v>0</v>
      </c>
      <c r="I6266" s="626">
        <f>IFERROR(G6266*VLOOKUP($E6266,BD!$L$2:$Q$244,5,0),0)</f>
        <v>0</v>
      </c>
      <c r="J6266" s="3">
        <f t="shared" si="401"/>
        <v>1900</v>
      </c>
    </row>
    <row r="6267" spans="1:10" s="9" customFormat="1" x14ac:dyDescent="0.25">
      <c r="A6267" s="447"/>
      <c r="B6267" s="55" t="str">
        <f t="shared" si="398"/>
        <v>ENERO</v>
      </c>
      <c r="C6267" s="55">
        <f t="shared" si="399"/>
        <v>1</v>
      </c>
      <c r="D6267" s="3" t="str">
        <f t="shared" si="400"/>
        <v>SÁBADO</v>
      </c>
      <c r="E6267" s="427"/>
      <c r="F6267" s="31">
        <f>IFERROR(VLOOKUP(E6267,BD!$L$2:$Q$244,2,0),0)</f>
        <v>0</v>
      </c>
      <c r="G6267" s="424"/>
      <c r="H6267" s="31">
        <f>+IFERROR(VLOOKUP(E6267,BD!$L$2:$Q$244,6,0),0)</f>
        <v>0</v>
      </c>
      <c r="I6267" s="626">
        <f>IFERROR(G6267*VLOOKUP($E6267,BD!$L$2:$Q$244,5,0),0)</f>
        <v>0</v>
      </c>
      <c r="J6267" s="3">
        <f t="shared" si="401"/>
        <v>1900</v>
      </c>
    </row>
    <row r="6268" spans="1:10" s="9" customFormat="1" x14ac:dyDescent="0.25">
      <c r="A6268" s="447"/>
      <c r="B6268" s="55" t="str">
        <f t="shared" si="398"/>
        <v>ENERO</v>
      </c>
      <c r="C6268" s="55">
        <f t="shared" si="399"/>
        <v>1</v>
      </c>
      <c r="D6268" s="3" t="str">
        <f t="shared" si="400"/>
        <v>SÁBADO</v>
      </c>
      <c r="E6268" s="427"/>
      <c r="F6268" s="31">
        <f>IFERROR(VLOOKUP(E6268,BD!$L$2:$Q$244,2,0),0)</f>
        <v>0</v>
      </c>
      <c r="G6268" s="424"/>
      <c r="H6268" s="31">
        <f>+IFERROR(VLOOKUP(E6268,BD!$L$2:$Q$244,6,0),0)</f>
        <v>0</v>
      </c>
      <c r="I6268" s="626">
        <f>IFERROR(G6268*VLOOKUP($E6268,BD!$L$2:$Q$244,5,0),0)</f>
        <v>0</v>
      </c>
      <c r="J6268" s="3">
        <f t="shared" si="401"/>
        <v>1900</v>
      </c>
    </row>
    <row r="6269" spans="1:10" s="9" customFormat="1" x14ac:dyDescent="0.25">
      <c r="A6269" s="447"/>
      <c r="B6269" s="55" t="str">
        <f t="shared" ref="B6269:B6332" si="402">UPPER(TEXT(A6269,"MMMM"))</f>
        <v>ENERO</v>
      </c>
      <c r="C6269" s="55">
        <f t="shared" ref="C6269:C6332" si="403">WEEKNUM(A6269,16)</f>
        <v>1</v>
      </c>
      <c r="D6269" s="3" t="str">
        <f t="shared" ref="D6269:D6332" si="404">UPPER(TEXT(A6269,"DDDD"))</f>
        <v>SÁBADO</v>
      </c>
      <c r="E6269" s="427"/>
      <c r="F6269" s="31">
        <f>IFERROR(VLOOKUP(E6269,BD!$L$2:$Q$244,2,0),0)</f>
        <v>0</v>
      </c>
      <c r="G6269" s="424"/>
      <c r="H6269" s="31">
        <f>+IFERROR(VLOOKUP(E6269,BD!$L$2:$Q$244,6,0),0)</f>
        <v>0</v>
      </c>
      <c r="I6269" s="626">
        <f>IFERROR(G6269*VLOOKUP($E6269,BD!$L$2:$Q$244,5,0),0)</f>
        <v>0</v>
      </c>
      <c r="J6269" s="3">
        <f t="shared" ref="J6269:J6332" si="405">+YEAR(A6269)</f>
        <v>1900</v>
      </c>
    </row>
    <row r="6270" spans="1:10" s="9" customFormat="1" x14ac:dyDescent="0.25">
      <c r="A6270" s="447"/>
      <c r="B6270" s="55" t="str">
        <f t="shared" si="402"/>
        <v>ENERO</v>
      </c>
      <c r="C6270" s="55">
        <f t="shared" si="403"/>
        <v>1</v>
      </c>
      <c r="D6270" s="3" t="str">
        <f t="shared" si="404"/>
        <v>SÁBADO</v>
      </c>
      <c r="E6270" s="427"/>
      <c r="F6270" s="31">
        <f>IFERROR(VLOOKUP(E6270,BD!$L$2:$Q$244,2,0),0)</f>
        <v>0</v>
      </c>
      <c r="G6270" s="424"/>
      <c r="H6270" s="31">
        <f>+IFERROR(VLOOKUP(E6270,BD!$L$2:$Q$244,6,0),0)</f>
        <v>0</v>
      </c>
      <c r="I6270" s="626">
        <f>IFERROR(G6270*VLOOKUP($E6270,BD!$L$2:$Q$244,5,0),0)</f>
        <v>0</v>
      </c>
      <c r="J6270" s="3">
        <f t="shared" si="405"/>
        <v>1900</v>
      </c>
    </row>
    <row r="6271" spans="1:10" s="9" customFormat="1" x14ac:dyDescent="0.25">
      <c r="A6271" s="447"/>
      <c r="B6271" s="55" t="str">
        <f t="shared" si="402"/>
        <v>ENERO</v>
      </c>
      <c r="C6271" s="55">
        <f t="shared" si="403"/>
        <v>1</v>
      </c>
      <c r="D6271" s="3" t="str">
        <f t="shared" si="404"/>
        <v>SÁBADO</v>
      </c>
      <c r="E6271" s="427"/>
      <c r="F6271" s="31">
        <f>IFERROR(VLOOKUP(E6271,BD!$L$2:$Q$244,2,0),0)</f>
        <v>0</v>
      </c>
      <c r="G6271" s="424"/>
      <c r="H6271" s="31">
        <f>+IFERROR(VLOOKUP(E6271,BD!$L$2:$Q$244,6,0),0)</f>
        <v>0</v>
      </c>
      <c r="I6271" s="626">
        <f>IFERROR(G6271*VLOOKUP($E6271,BD!$L$2:$Q$244,5,0),0)</f>
        <v>0</v>
      </c>
      <c r="J6271" s="3">
        <f t="shared" si="405"/>
        <v>1900</v>
      </c>
    </row>
    <row r="6272" spans="1:10" s="9" customFormat="1" x14ac:dyDescent="0.25">
      <c r="A6272" s="447"/>
      <c r="B6272" s="55" t="str">
        <f t="shared" si="402"/>
        <v>ENERO</v>
      </c>
      <c r="C6272" s="55">
        <f t="shared" si="403"/>
        <v>1</v>
      </c>
      <c r="D6272" s="3" t="str">
        <f t="shared" si="404"/>
        <v>SÁBADO</v>
      </c>
      <c r="E6272" s="427"/>
      <c r="F6272" s="31">
        <f>IFERROR(VLOOKUP(E6272,BD!$L$2:$Q$244,2,0),0)</f>
        <v>0</v>
      </c>
      <c r="G6272" s="424"/>
      <c r="H6272" s="31">
        <f>+IFERROR(VLOOKUP(E6272,BD!$L$2:$Q$244,6,0),0)</f>
        <v>0</v>
      </c>
      <c r="I6272" s="626">
        <f>IFERROR(G6272*VLOOKUP($E6272,BD!$L$2:$Q$244,5,0),0)</f>
        <v>0</v>
      </c>
      <c r="J6272" s="3">
        <f t="shared" si="405"/>
        <v>1900</v>
      </c>
    </row>
    <row r="6273" spans="1:10" s="9" customFormat="1" x14ac:dyDescent="0.25">
      <c r="A6273" s="447"/>
      <c r="B6273" s="55" t="str">
        <f t="shared" si="402"/>
        <v>ENERO</v>
      </c>
      <c r="C6273" s="55">
        <f t="shared" si="403"/>
        <v>1</v>
      </c>
      <c r="D6273" s="3" t="str">
        <f t="shared" si="404"/>
        <v>SÁBADO</v>
      </c>
      <c r="E6273" s="427"/>
      <c r="F6273" s="31">
        <f>IFERROR(VLOOKUP(E6273,BD!$L$2:$Q$244,2,0),0)</f>
        <v>0</v>
      </c>
      <c r="G6273" s="424"/>
      <c r="H6273" s="31">
        <f>+IFERROR(VLOOKUP(E6273,BD!$L$2:$Q$244,6,0),0)</f>
        <v>0</v>
      </c>
      <c r="I6273" s="626">
        <f>IFERROR(G6273*VLOOKUP($E6273,BD!$L$2:$Q$244,5,0),0)</f>
        <v>0</v>
      </c>
      <c r="J6273" s="3">
        <f t="shared" si="405"/>
        <v>1900</v>
      </c>
    </row>
    <row r="6274" spans="1:10" s="9" customFormat="1" x14ac:dyDescent="0.25">
      <c r="A6274" s="447"/>
      <c r="B6274" s="55" t="str">
        <f t="shared" si="402"/>
        <v>ENERO</v>
      </c>
      <c r="C6274" s="55">
        <f t="shared" si="403"/>
        <v>1</v>
      </c>
      <c r="D6274" s="3" t="str">
        <f t="shared" si="404"/>
        <v>SÁBADO</v>
      </c>
      <c r="E6274" s="427"/>
      <c r="F6274" s="31">
        <f>IFERROR(VLOOKUP(E6274,BD!$L$2:$Q$244,2,0),0)</f>
        <v>0</v>
      </c>
      <c r="G6274" s="424"/>
      <c r="H6274" s="31">
        <f>+IFERROR(VLOOKUP(E6274,BD!$L$2:$Q$244,6,0),0)</f>
        <v>0</v>
      </c>
      <c r="I6274" s="626">
        <f>IFERROR(G6274*VLOOKUP($E6274,BD!$L$2:$Q$244,5,0),0)</f>
        <v>0</v>
      </c>
      <c r="J6274" s="3">
        <f t="shared" si="405"/>
        <v>1900</v>
      </c>
    </row>
    <row r="6275" spans="1:10" s="9" customFormat="1" x14ac:dyDescent="0.25">
      <c r="A6275" s="447"/>
      <c r="B6275" s="55" t="str">
        <f t="shared" si="402"/>
        <v>ENERO</v>
      </c>
      <c r="C6275" s="55">
        <f t="shared" si="403"/>
        <v>1</v>
      </c>
      <c r="D6275" s="3" t="str">
        <f t="shared" si="404"/>
        <v>SÁBADO</v>
      </c>
      <c r="E6275" s="427"/>
      <c r="F6275" s="31">
        <f>IFERROR(VLOOKUP(E6275,BD!$L$2:$Q$244,2,0),0)</f>
        <v>0</v>
      </c>
      <c r="G6275" s="424"/>
      <c r="H6275" s="31">
        <f>+IFERROR(VLOOKUP(E6275,BD!$L$2:$Q$244,6,0),0)</f>
        <v>0</v>
      </c>
      <c r="I6275" s="626">
        <f>IFERROR(G6275*VLOOKUP($E6275,BD!$L$2:$Q$244,5,0),0)</f>
        <v>0</v>
      </c>
      <c r="J6275" s="3">
        <f t="shared" si="405"/>
        <v>1900</v>
      </c>
    </row>
    <row r="6276" spans="1:10" s="9" customFormat="1" x14ac:dyDescent="0.25">
      <c r="A6276" s="447"/>
      <c r="B6276" s="55" t="str">
        <f t="shared" si="402"/>
        <v>ENERO</v>
      </c>
      <c r="C6276" s="55">
        <f t="shared" si="403"/>
        <v>1</v>
      </c>
      <c r="D6276" s="3" t="str">
        <f t="shared" si="404"/>
        <v>SÁBADO</v>
      </c>
      <c r="E6276" s="427"/>
      <c r="F6276" s="31">
        <f>IFERROR(VLOOKUP(E6276,BD!$L$2:$Q$244,2,0),0)</f>
        <v>0</v>
      </c>
      <c r="G6276" s="424"/>
      <c r="H6276" s="31">
        <f>+IFERROR(VLOOKUP(E6276,BD!$L$2:$Q$244,6,0),0)</f>
        <v>0</v>
      </c>
      <c r="I6276" s="626">
        <f>IFERROR(G6276*VLOOKUP($E6276,BD!$L$2:$Q$244,5,0),0)</f>
        <v>0</v>
      </c>
      <c r="J6276" s="3">
        <f t="shared" si="405"/>
        <v>1900</v>
      </c>
    </row>
    <row r="6277" spans="1:10" s="9" customFormat="1" x14ac:dyDescent="0.25">
      <c r="A6277" s="447"/>
      <c r="B6277" s="55" t="str">
        <f t="shared" si="402"/>
        <v>ENERO</v>
      </c>
      <c r="C6277" s="55">
        <f t="shared" si="403"/>
        <v>1</v>
      </c>
      <c r="D6277" s="3" t="str">
        <f t="shared" si="404"/>
        <v>SÁBADO</v>
      </c>
      <c r="E6277" s="427"/>
      <c r="F6277" s="31">
        <f>IFERROR(VLOOKUP(E6277,BD!$L$2:$Q$244,2,0),0)</f>
        <v>0</v>
      </c>
      <c r="G6277" s="424"/>
      <c r="H6277" s="31">
        <f>+IFERROR(VLOOKUP(E6277,BD!$L$2:$Q$244,6,0),0)</f>
        <v>0</v>
      </c>
      <c r="I6277" s="626">
        <f>IFERROR(G6277*VLOOKUP($E6277,BD!$L$2:$Q$244,5,0),0)</f>
        <v>0</v>
      </c>
      <c r="J6277" s="3">
        <f t="shared" si="405"/>
        <v>1900</v>
      </c>
    </row>
    <row r="6278" spans="1:10" s="9" customFormat="1" x14ac:dyDescent="0.25">
      <c r="A6278" s="447"/>
      <c r="B6278" s="55" t="str">
        <f t="shared" si="402"/>
        <v>ENERO</v>
      </c>
      <c r="C6278" s="55">
        <f t="shared" si="403"/>
        <v>1</v>
      </c>
      <c r="D6278" s="3" t="str">
        <f t="shared" si="404"/>
        <v>SÁBADO</v>
      </c>
      <c r="E6278" s="427"/>
      <c r="F6278" s="31">
        <f>IFERROR(VLOOKUP(E6278,BD!$L$2:$Q$244,2,0),0)</f>
        <v>0</v>
      </c>
      <c r="G6278" s="424"/>
      <c r="H6278" s="31">
        <f>+IFERROR(VLOOKUP(E6278,BD!$L$2:$Q$244,6,0),0)</f>
        <v>0</v>
      </c>
      <c r="I6278" s="626">
        <f>IFERROR(G6278*VLOOKUP($E6278,BD!$L$2:$Q$244,5,0),0)</f>
        <v>0</v>
      </c>
      <c r="J6278" s="3">
        <f t="shared" si="405"/>
        <v>1900</v>
      </c>
    </row>
    <row r="6279" spans="1:10" s="9" customFormat="1" x14ac:dyDescent="0.25">
      <c r="A6279" s="447"/>
      <c r="B6279" s="55" t="str">
        <f t="shared" si="402"/>
        <v>ENERO</v>
      </c>
      <c r="C6279" s="55">
        <f t="shared" si="403"/>
        <v>1</v>
      </c>
      <c r="D6279" s="3" t="str">
        <f t="shared" si="404"/>
        <v>SÁBADO</v>
      </c>
      <c r="E6279" s="427"/>
      <c r="F6279" s="31">
        <f>IFERROR(VLOOKUP(E6279,BD!$L$2:$Q$244,2,0),0)</f>
        <v>0</v>
      </c>
      <c r="G6279" s="424"/>
      <c r="H6279" s="31">
        <f>+IFERROR(VLOOKUP(E6279,BD!$L$2:$Q$244,6,0),0)</f>
        <v>0</v>
      </c>
      <c r="I6279" s="626">
        <f>IFERROR(G6279*VLOOKUP($E6279,BD!$L$2:$Q$244,5,0),0)</f>
        <v>0</v>
      </c>
      <c r="J6279" s="3">
        <f t="shared" si="405"/>
        <v>1900</v>
      </c>
    </row>
    <row r="6280" spans="1:10" s="9" customFormat="1" x14ac:dyDescent="0.25">
      <c r="A6280" s="447"/>
      <c r="B6280" s="55" t="str">
        <f t="shared" si="402"/>
        <v>ENERO</v>
      </c>
      <c r="C6280" s="55">
        <f t="shared" si="403"/>
        <v>1</v>
      </c>
      <c r="D6280" s="3" t="str">
        <f t="shared" si="404"/>
        <v>SÁBADO</v>
      </c>
      <c r="E6280" s="427"/>
      <c r="F6280" s="31">
        <f>IFERROR(VLOOKUP(E6280,BD!$L$2:$Q$244,2,0),0)</f>
        <v>0</v>
      </c>
      <c r="G6280" s="424"/>
      <c r="H6280" s="31">
        <f>+IFERROR(VLOOKUP(E6280,BD!$L$2:$Q$244,6,0),0)</f>
        <v>0</v>
      </c>
      <c r="I6280" s="626">
        <f>IFERROR(G6280*VLOOKUP($E6280,BD!$L$2:$Q$244,5,0),0)</f>
        <v>0</v>
      </c>
      <c r="J6280" s="3">
        <f t="shared" si="405"/>
        <v>1900</v>
      </c>
    </row>
    <row r="6281" spans="1:10" s="9" customFormat="1" x14ac:dyDescent="0.25">
      <c r="A6281" s="447"/>
      <c r="B6281" s="55" t="str">
        <f t="shared" si="402"/>
        <v>ENERO</v>
      </c>
      <c r="C6281" s="55">
        <f t="shared" si="403"/>
        <v>1</v>
      </c>
      <c r="D6281" s="3" t="str">
        <f t="shared" si="404"/>
        <v>SÁBADO</v>
      </c>
      <c r="E6281" s="427"/>
      <c r="F6281" s="31">
        <f>IFERROR(VLOOKUP(E6281,BD!$L$2:$Q$244,2,0),0)</f>
        <v>0</v>
      </c>
      <c r="G6281" s="424"/>
      <c r="H6281" s="31">
        <f>+IFERROR(VLOOKUP(E6281,BD!$L$2:$Q$244,6,0),0)</f>
        <v>0</v>
      </c>
      <c r="I6281" s="626">
        <f>IFERROR(G6281*VLOOKUP($E6281,BD!$L$2:$Q$244,5,0),0)</f>
        <v>0</v>
      </c>
      <c r="J6281" s="3">
        <f t="shared" si="405"/>
        <v>1900</v>
      </c>
    </row>
    <row r="6282" spans="1:10" s="9" customFormat="1" x14ac:dyDescent="0.25">
      <c r="A6282" s="447"/>
      <c r="B6282" s="55" t="str">
        <f t="shared" si="402"/>
        <v>ENERO</v>
      </c>
      <c r="C6282" s="55">
        <f t="shared" si="403"/>
        <v>1</v>
      </c>
      <c r="D6282" s="3" t="str">
        <f t="shared" si="404"/>
        <v>SÁBADO</v>
      </c>
      <c r="E6282" s="427"/>
      <c r="F6282" s="31">
        <f>IFERROR(VLOOKUP(E6282,BD!$L$2:$Q$244,2,0),0)</f>
        <v>0</v>
      </c>
      <c r="G6282" s="424"/>
      <c r="H6282" s="31">
        <f>+IFERROR(VLOOKUP(E6282,BD!$L$2:$Q$244,6,0),0)</f>
        <v>0</v>
      </c>
      <c r="I6282" s="626">
        <f>IFERROR(G6282*VLOOKUP($E6282,BD!$L$2:$Q$244,5,0),0)</f>
        <v>0</v>
      </c>
      <c r="J6282" s="3">
        <f t="shared" si="405"/>
        <v>1900</v>
      </c>
    </row>
    <row r="6283" spans="1:10" s="9" customFormat="1" x14ac:dyDescent="0.25">
      <c r="A6283" s="447"/>
      <c r="B6283" s="55" t="str">
        <f t="shared" si="402"/>
        <v>ENERO</v>
      </c>
      <c r="C6283" s="55">
        <f t="shared" si="403"/>
        <v>1</v>
      </c>
      <c r="D6283" s="3" t="str">
        <f t="shared" si="404"/>
        <v>SÁBADO</v>
      </c>
      <c r="E6283" s="427"/>
      <c r="F6283" s="31">
        <f>IFERROR(VLOOKUP(E6283,BD!$L$2:$Q$244,2,0),0)</f>
        <v>0</v>
      </c>
      <c r="G6283" s="424"/>
      <c r="H6283" s="31">
        <f>+IFERROR(VLOOKUP(E6283,BD!$L$2:$Q$244,6,0),0)</f>
        <v>0</v>
      </c>
      <c r="I6283" s="626">
        <f>IFERROR(G6283*VLOOKUP($E6283,BD!$L$2:$Q$244,5,0),0)</f>
        <v>0</v>
      </c>
      <c r="J6283" s="3">
        <f t="shared" si="405"/>
        <v>1900</v>
      </c>
    </row>
    <row r="6284" spans="1:10" s="9" customFormat="1" x14ac:dyDescent="0.25">
      <c r="A6284" s="447"/>
      <c r="B6284" s="55" t="str">
        <f t="shared" si="402"/>
        <v>ENERO</v>
      </c>
      <c r="C6284" s="55">
        <f t="shared" si="403"/>
        <v>1</v>
      </c>
      <c r="D6284" s="3" t="str">
        <f t="shared" si="404"/>
        <v>SÁBADO</v>
      </c>
      <c r="E6284" s="427"/>
      <c r="F6284" s="31">
        <f>IFERROR(VLOOKUP(E6284,BD!$L$2:$Q$244,2,0),0)</f>
        <v>0</v>
      </c>
      <c r="G6284" s="424"/>
      <c r="H6284" s="31">
        <f>+IFERROR(VLOOKUP(E6284,BD!$L$2:$Q$244,6,0),0)</f>
        <v>0</v>
      </c>
      <c r="I6284" s="626">
        <f>IFERROR(G6284*VLOOKUP($E6284,BD!$L$2:$Q$244,5,0),0)</f>
        <v>0</v>
      </c>
      <c r="J6284" s="3">
        <f t="shared" si="405"/>
        <v>1900</v>
      </c>
    </row>
    <row r="6285" spans="1:10" s="9" customFormat="1" x14ac:dyDescent="0.25">
      <c r="A6285" s="447"/>
      <c r="B6285" s="55" t="str">
        <f t="shared" si="402"/>
        <v>ENERO</v>
      </c>
      <c r="C6285" s="55">
        <f t="shared" si="403"/>
        <v>1</v>
      </c>
      <c r="D6285" s="3" t="str">
        <f t="shared" si="404"/>
        <v>SÁBADO</v>
      </c>
      <c r="E6285" s="427"/>
      <c r="F6285" s="31">
        <f>IFERROR(VLOOKUP(E6285,BD!$L$2:$Q$244,2,0),0)</f>
        <v>0</v>
      </c>
      <c r="G6285" s="424"/>
      <c r="H6285" s="31">
        <f>+IFERROR(VLOOKUP(E6285,BD!$L$2:$Q$244,6,0),0)</f>
        <v>0</v>
      </c>
      <c r="I6285" s="626">
        <f>IFERROR(G6285*VLOOKUP($E6285,BD!$L$2:$Q$244,5,0),0)</f>
        <v>0</v>
      </c>
      <c r="J6285" s="3">
        <f t="shared" si="405"/>
        <v>1900</v>
      </c>
    </row>
    <row r="6286" spans="1:10" s="9" customFormat="1" x14ac:dyDescent="0.25">
      <c r="A6286" s="447"/>
      <c r="B6286" s="55" t="str">
        <f t="shared" si="402"/>
        <v>ENERO</v>
      </c>
      <c r="C6286" s="55">
        <f t="shared" si="403"/>
        <v>1</v>
      </c>
      <c r="D6286" s="3" t="str">
        <f t="shared" si="404"/>
        <v>SÁBADO</v>
      </c>
      <c r="E6286" s="427"/>
      <c r="F6286" s="31">
        <f>IFERROR(VLOOKUP(E6286,BD!$L$2:$Q$244,2,0),0)</f>
        <v>0</v>
      </c>
      <c r="G6286" s="424"/>
      <c r="H6286" s="31">
        <f>+IFERROR(VLOOKUP(E6286,BD!$L$2:$Q$244,6,0),0)</f>
        <v>0</v>
      </c>
      <c r="I6286" s="626">
        <f>IFERROR(G6286*VLOOKUP($E6286,BD!$L$2:$Q$244,5,0),0)</f>
        <v>0</v>
      </c>
      <c r="J6286" s="3">
        <f t="shared" si="405"/>
        <v>1900</v>
      </c>
    </row>
    <row r="6287" spans="1:10" s="9" customFormat="1" x14ac:dyDescent="0.25">
      <c r="A6287" s="447"/>
      <c r="B6287" s="55" t="str">
        <f t="shared" si="402"/>
        <v>ENERO</v>
      </c>
      <c r="C6287" s="55">
        <f t="shared" si="403"/>
        <v>1</v>
      </c>
      <c r="D6287" s="3" t="str">
        <f t="shared" si="404"/>
        <v>SÁBADO</v>
      </c>
      <c r="E6287" s="427"/>
      <c r="F6287" s="31">
        <f>IFERROR(VLOOKUP(E6287,BD!$L$2:$Q$244,2,0),0)</f>
        <v>0</v>
      </c>
      <c r="G6287" s="424"/>
      <c r="H6287" s="31">
        <f>+IFERROR(VLOOKUP(E6287,BD!$L$2:$Q$244,6,0),0)</f>
        <v>0</v>
      </c>
      <c r="I6287" s="626">
        <f>IFERROR(G6287*VLOOKUP($E6287,BD!$L$2:$Q$244,5,0),0)</f>
        <v>0</v>
      </c>
      <c r="J6287" s="3">
        <f t="shared" si="405"/>
        <v>1900</v>
      </c>
    </row>
    <row r="6288" spans="1:10" s="9" customFormat="1" x14ac:dyDescent="0.25">
      <c r="A6288" s="447"/>
      <c r="B6288" s="55" t="str">
        <f t="shared" si="402"/>
        <v>ENERO</v>
      </c>
      <c r="C6288" s="55">
        <f t="shared" si="403"/>
        <v>1</v>
      </c>
      <c r="D6288" s="3" t="str">
        <f t="shared" si="404"/>
        <v>SÁBADO</v>
      </c>
      <c r="E6288" s="427"/>
      <c r="F6288" s="31">
        <f>IFERROR(VLOOKUP(E6288,BD!$L$2:$Q$244,2,0),0)</f>
        <v>0</v>
      </c>
      <c r="G6288" s="424"/>
      <c r="H6288" s="31">
        <f>+IFERROR(VLOOKUP(E6288,BD!$L$2:$Q$244,6,0),0)</f>
        <v>0</v>
      </c>
      <c r="I6288" s="626">
        <f>IFERROR(G6288*VLOOKUP($E6288,BD!$L$2:$Q$244,5,0),0)</f>
        <v>0</v>
      </c>
      <c r="J6288" s="3">
        <f t="shared" si="405"/>
        <v>1900</v>
      </c>
    </row>
    <row r="6289" spans="1:10" s="9" customFormat="1" x14ac:dyDescent="0.25">
      <c r="A6289" s="447"/>
      <c r="B6289" s="55" t="str">
        <f t="shared" si="402"/>
        <v>ENERO</v>
      </c>
      <c r="C6289" s="55">
        <f t="shared" si="403"/>
        <v>1</v>
      </c>
      <c r="D6289" s="3" t="str">
        <f t="shared" si="404"/>
        <v>SÁBADO</v>
      </c>
      <c r="E6289" s="427"/>
      <c r="F6289" s="31">
        <f>IFERROR(VLOOKUP(E6289,BD!$L$2:$Q$244,2,0),0)</f>
        <v>0</v>
      </c>
      <c r="G6289" s="424"/>
      <c r="H6289" s="31">
        <f>+IFERROR(VLOOKUP(E6289,BD!$L$2:$Q$244,6,0),0)</f>
        <v>0</v>
      </c>
      <c r="I6289" s="626">
        <f>IFERROR(G6289*VLOOKUP($E6289,BD!$L$2:$Q$244,5,0),0)</f>
        <v>0</v>
      </c>
      <c r="J6289" s="3">
        <f t="shared" si="405"/>
        <v>1900</v>
      </c>
    </row>
    <row r="6290" spans="1:10" s="9" customFormat="1" x14ac:dyDescent="0.25">
      <c r="A6290" s="447"/>
      <c r="B6290" s="55" t="str">
        <f t="shared" si="402"/>
        <v>ENERO</v>
      </c>
      <c r="C6290" s="55">
        <f t="shared" si="403"/>
        <v>1</v>
      </c>
      <c r="D6290" s="3" t="str">
        <f t="shared" si="404"/>
        <v>SÁBADO</v>
      </c>
      <c r="E6290" s="427"/>
      <c r="F6290" s="31">
        <f>IFERROR(VLOOKUP(E6290,BD!$L$2:$Q$244,2,0),0)</f>
        <v>0</v>
      </c>
      <c r="G6290" s="424"/>
      <c r="H6290" s="31">
        <f>+IFERROR(VLOOKUP(E6290,BD!$L$2:$Q$244,6,0),0)</f>
        <v>0</v>
      </c>
      <c r="I6290" s="626">
        <f>IFERROR(G6290*VLOOKUP($E6290,BD!$L$2:$Q$244,5,0),0)</f>
        <v>0</v>
      </c>
      <c r="J6290" s="3">
        <f t="shared" si="405"/>
        <v>1900</v>
      </c>
    </row>
    <row r="6291" spans="1:10" s="9" customFormat="1" x14ac:dyDescent="0.25">
      <c r="A6291" s="447"/>
      <c r="B6291" s="55" t="str">
        <f t="shared" si="402"/>
        <v>ENERO</v>
      </c>
      <c r="C6291" s="55">
        <f t="shared" si="403"/>
        <v>1</v>
      </c>
      <c r="D6291" s="3" t="str">
        <f t="shared" si="404"/>
        <v>SÁBADO</v>
      </c>
      <c r="E6291" s="427"/>
      <c r="F6291" s="31">
        <f>IFERROR(VLOOKUP(E6291,BD!$L$2:$Q$244,2,0),0)</f>
        <v>0</v>
      </c>
      <c r="G6291" s="424"/>
      <c r="H6291" s="31">
        <f>+IFERROR(VLOOKUP(E6291,BD!$L$2:$Q$244,6,0),0)</f>
        <v>0</v>
      </c>
      <c r="I6291" s="626">
        <f>IFERROR(G6291*VLOOKUP($E6291,BD!$L$2:$Q$244,5,0),0)</f>
        <v>0</v>
      </c>
      <c r="J6291" s="3">
        <f t="shared" si="405"/>
        <v>1900</v>
      </c>
    </row>
    <row r="6292" spans="1:10" s="9" customFormat="1" x14ac:dyDescent="0.25">
      <c r="A6292" s="447"/>
      <c r="B6292" s="55" t="str">
        <f t="shared" si="402"/>
        <v>ENERO</v>
      </c>
      <c r="C6292" s="55">
        <f t="shared" si="403"/>
        <v>1</v>
      </c>
      <c r="D6292" s="3" t="str">
        <f t="shared" si="404"/>
        <v>SÁBADO</v>
      </c>
      <c r="E6292" s="427"/>
      <c r="F6292" s="31">
        <f>IFERROR(VLOOKUP(E6292,BD!$L$2:$Q$244,2,0),0)</f>
        <v>0</v>
      </c>
      <c r="G6292" s="424"/>
      <c r="H6292" s="31">
        <f>+IFERROR(VLOOKUP(E6292,BD!$L$2:$Q$244,6,0),0)</f>
        <v>0</v>
      </c>
      <c r="I6292" s="626">
        <f>IFERROR(G6292*VLOOKUP($E6292,BD!$L$2:$Q$244,5,0),0)</f>
        <v>0</v>
      </c>
      <c r="J6292" s="3">
        <f t="shared" si="405"/>
        <v>1900</v>
      </c>
    </row>
    <row r="6293" spans="1:10" s="9" customFormat="1" x14ac:dyDescent="0.25">
      <c r="A6293" s="447"/>
      <c r="B6293" s="55" t="str">
        <f t="shared" si="402"/>
        <v>ENERO</v>
      </c>
      <c r="C6293" s="55">
        <f t="shared" si="403"/>
        <v>1</v>
      </c>
      <c r="D6293" s="3" t="str">
        <f t="shared" si="404"/>
        <v>SÁBADO</v>
      </c>
      <c r="E6293" s="427"/>
      <c r="F6293" s="31">
        <f>IFERROR(VLOOKUP(E6293,BD!$L$2:$Q$244,2,0),0)</f>
        <v>0</v>
      </c>
      <c r="G6293" s="424"/>
      <c r="H6293" s="31">
        <f>+IFERROR(VLOOKUP(E6293,BD!$L$2:$Q$244,6,0),0)</f>
        <v>0</v>
      </c>
      <c r="I6293" s="626">
        <f>IFERROR(G6293*VLOOKUP($E6293,BD!$L$2:$Q$244,5,0),0)</f>
        <v>0</v>
      </c>
      <c r="J6293" s="3">
        <f t="shared" si="405"/>
        <v>1900</v>
      </c>
    </row>
    <row r="6294" spans="1:10" s="9" customFormat="1" x14ac:dyDescent="0.25">
      <c r="A6294" s="447"/>
      <c r="B6294" s="55" t="str">
        <f t="shared" si="402"/>
        <v>ENERO</v>
      </c>
      <c r="C6294" s="55">
        <f t="shared" si="403"/>
        <v>1</v>
      </c>
      <c r="D6294" s="3" t="str">
        <f t="shared" si="404"/>
        <v>SÁBADO</v>
      </c>
      <c r="E6294" s="427"/>
      <c r="F6294" s="31">
        <f>IFERROR(VLOOKUP(E6294,BD!$L$2:$Q$244,2,0),0)</f>
        <v>0</v>
      </c>
      <c r="G6294" s="424"/>
      <c r="H6294" s="31">
        <f>+IFERROR(VLOOKUP(E6294,BD!$L$2:$Q$244,6,0),0)</f>
        <v>0</v>
      </c>
      <c r="I6294" s="626">
        <f>IFERROR(G6294*VLOOKUP($E6294,BD!$L$2:$Q$244,5,0),0)</f>
        <v>0</v>
      </c>
      <c r="J6294" s="3">
        <f t="shared" si="405"/>
        <v>1900</v>
      </c>
    </row>
    <row r="6295" spans="1:10" s="9" customFormat="1" x14ac:dyDescent="0.25">
      <c r="A6295" s="447"/>
      <c r="B6295" s="55" t="str">
        <f t="shared" si="402"/>
        <v>ENERO</v>
      </c>
      <c r="C6295" s="55">
        <f t="shared" si="403"/>
        <v>1</v>
      </c>
      <c r="D6295" s="3" t="str">
        <f t="shared" si="404"/>
        <v>SÁBADO</v>
      </c>
      <c r="E6295" s="427"/>
      <c r="F6295" s="31">
        <f>IFERROR(VLOOKUP(E6295,BD!$L$2:$Q$244,2,0),0)</f>
        <v>0</v>
      </c>
      <c r="G6295" s="424"/>
      <c r="H6295" s="31">
        <f>+IFERROR(VLOOKUP(E6295,BD!$L$2:$Q$244,6,0),0)</f>
        <v>0</v>
      </c>
      <c r="I6295" s="626">
        <f>IFERROR(G6295*VLOOKUP($E6295,BD!$L$2:$Q$244,5,0),0)</f>
        <v>0</v>
      </c>
      <c r="J6295" s="3">
        <f t="shared" si="405"/>
        <v>1900</v>
      </c>
    </row>
    <row r="6296" spans="1:10" s="9" customFormat="1" x14ac:dyDescent="0.25">
      <c r="A6296" s="447"/>
      <c r="B6296" s="55" t="str">
        <f t="shared" si="402"/>
        <v>ENERO</v>
      </c>
      <c r="C6296" s="55">
        <f t="shared" si="403"/>
        <v>1</v>
      </c>
      <c r="D6296" s="3" t="str">
        <f t="shared" si="404"/>
        <v>SÁBADO</v>
      </c>
      <c r="E6296" s="427"/>
      <c r="F6296" s="31">
        <f>IFERROR(VLOOKUP(E6296,BD!$L$2:$Q$244,2,0),0)</f>
        <v>0</v>
      </c>
      <c r="G6296" s="424"/>
      <c r="H6296" s="31">
        <f>+IFERROR(VLOOKUP(E6296,BD!$L$2:$Q$244,6,0),0)</f>
        <v>0</v>
      </c>
      <c r="I6296" s="626">
        <f>IFERROR(G6296*VLOOKUP($E6296,BD!$L$2:$Q$244,5,0),0)</f>
        <v>0</v>
      </c>
      <c r="J6296" s="3">
        <f t="shared" si="405"/>
        <v>1900</v>
      </c>
    </row>
    <row r="6297" spans="1:10" s="9" customFormat="1" x14ac:dyDescent="0.25">
      <c r="A6297" s="447"/>
      <c r="B6297" s="55" t="str">
        <f t="shared" si="402"/>
        <v>ENERO</v>
      </c>
      <c r="C6297" s="55">
        <f t="shared" si="403"/>
        <v>1</v>
      </c>
      <c r="D6297" s="3" t="str">
        <f t="shared" si="404"/>
        <v>SÁBADO</v>
      </c>
      <c r="E6297" s="427"/>
      <c r="F6297" s="31">
        <f>IFERROR(VLOOKUP(E6297,BD!$L$2:$Q$244,2,0),0)</f>
        <v>0</v>
      </c>
      <c r="G6297" s="424"/>
      <c r="H6297" s="31">
        <f>+IFERROR(VLOOKUP(E6297,BD!$L$2:$Q$244,6,0),0)</f>
        <v>0</v>
      </c>
      <c r="I6297" s="626">
        <f>IFERROR(G6297*VLOOKUP($E6297,BD!$L$2:$Q$244,5,0),0)</f>
        <v>0</v>
      </c>
      <c r="J6297" s="3">
        <f t="shared" si="405"/>
        <v>1900</v>
      </c>
    </row>
    <row r="6298" spans="1:10" s="9" customFormat="1" x14ac:dyDescent="0.25">
      <c r="A6298" s="447"/>
      <c r="B6298" s="55" t="str">
        <f t="shared" si="402"/>
        <v>ENERO</v>
      </c>
      <c r="C6298" s="55">
        <f t="shared" si="403"/>
        <v>1</v>
      </c>
      <c r="D6298" s="3" t="str">
        <f t="shared" si="404"/>
        <v>SÁBADO</v>
      </c>
      <c r="E6298" s="427"/>
      <c r="F6298" s="31">
        <f>IFERROR(VLOOKUP(E6298,BD!$L$2:$Q$244,2,0),0)</f>
        <v>0</v>
      </c>
      <c r="G6298" s="424"/>
      <c r="H6298" s="31">
        <f>+IFERROR(VLOOKUP(E6298,BD!$L$2:$Q$244,6,0),0)</f>
        <v>0</v>
      </c>
      <c r="I6298" s="626">
        <f>IFERROR(G6298*VLOOKUP($E6298,BD!$L$2:$Q$244,5,0),0)</f>
        <v>0</v>
      </c>
      <c r="J6298" s="3">
        <f t="shared" si="405"/>
        <v>1900</v>
      </c>
    </row>
    <row r="6299" spans="1:10" s="9" customFormat="1" x14ac:dyDescent="0.25">
      <c r="A6299" s="447"/>
      <c r="B6299" s="55" t="str">
        <f t="shared" si="402"/>
        <v>ENERO</v>
      </c>
      <c r="C6299" s="55">
        <f t="shared" si="403"/>
        <v>1</v>
      </c>
      <c r="D6299" s="3" t="str">
        <f t="shared" si="404"/>
        <v>SÁBADO</v>
      </c>
      <c r="E6299" s="427"/>
      <c r="F6299" s="31">
        <f>IFERROR(VLOOKUP(E6299,BD!$L$2:$Q$244,2,0),0)</f>
        <v>0</v>
      </c>
      <c r="G6299" s="424"/>
      <c r="H6299" s="31">
        <f>+IFERROR(VLOOKUP(E6299,BD!$L$2:$Q$244,6,0),0)</f>
        <v>0</v>
      </c>
      <c r="I6299" s="626">
        <f>IFERROR(G6299*VLOOKUP($E6299,BD!$L$2:$Q$244,5,0),0)</f>
        <v>0</v>
      </c>
      <c r="J6299" s="3">
        <f t="shared" si="405"/>
        <v>1900</v>
      </c>
    </row>
    <row r="6300" spans="1:10" s="9" customFormat="1" x14ac:dyDescent="0.25">
      <c r="A6300" s="447"/>
      <c r="B6300" s="55" t="str">
        <f t="shared" si="402"/>
        <v>ENERO</v>
      </c>
      <c r="C6300" s="55">
        <f t="shared" si="403"/>
        <v>1</v>
      </c>
      <c r="D6300" s="3" t="str">
        <f t="shared" si="404"/>
        <v>SÁBADO</v>
      </c>
      <c r="E6300" s="427"/>
      <c r="F6300" s="31">
        <f>IFERROR(VLOOKUP(E6300,BD!$L$2:$Q$244,2,0),0)</f>
        <v>0</v>
      </c>
      <c r="G6300" s="424"/>
      <c r="H6300" s="31">
        <f>+IFERROR(VLOOKUP(E6300,BD!$L$2:$Q$244,6,0),0)</f>
        <v>0</v>
      </c>
      <c r="I6300" s="626">
        <f>IFERROR(G6300*VLOOKUP($E6300,BD!$L$2:$Q$244,5,0),0)</f>
        <v>0</v>
      </c>
      <c r="J6300" s="3">
        <f t="shared" si="405"/>
        <v>1900</v>
      </c>
    </row>
    <row r="6301" spans="1:10" s="9" customFormat="1" x14ac:dyDescent="0.25">
      <c r="A6301" s="447"/>
      <c r="B6301" s="55" t="str">
        <f t="shared" si="402"/>
        <v>ENERO</v>
      </c>
      <c r="C6301" s="55">
        <f t="shared" si="403"/>
        <v>1</v>
      </c>
      <c r="D6301" s="3" t="str">
        <f t="shared" si="404"/>
        <v>SÁBADO</v>
      </c>
      <c r="E6301" s="427"/>
      <c r="F6301" s="31">
        <f>IFERROR(VLOOKUP(E6301,BD!$L$2:$Q$244,2,0),0)</f>
        <v>0</v>
      </c>
      <c r="G6301" s="424"/>
      <c r="H6301" s="31">
        <f>+IFERROR(VLOOKUP(E6301,BD!$L$2:$Q$244,6,0),0)</f>
        <v>0</v>
      </c>
      <c r="I6301" s="626">
        <f>IFERROR(G6301*VLOOKUP($E6301,BD!$L$2:$Q$244,5,0),0)</f>
        <v>0</v>
      </c>
      <c r="J6301" s="3">
        <f t="shared" si="405"/>
        <v>1900</v>
      </c>
    </row>
    <row r="6302" spans="1:10" s="9" customFormat="1" x14ac:dyDescent="0.25">
      <c r="A6302" s="447"/>
      <c r="B6302" s="55" t="str">
        <f t="shared" si="402"/>
        <v>ENERO</v>
      </c>
      <c r="C6302" s="55">
        <f t="shared" si="403"/>
        <v>1</v>
      </c>
      <c r="D6302" s="3" t="str">
        <f t="shared" si="404"/>
        <v>SÁBADO</v>
      </c>
      <c r="E6302" s="427"/>
      <c r="F6302" s="31">
        <f>IFERROR(VLOOKUP(E6302,BD!$L$2:$Q$244,2,0),0)</f>
        <v>0</v>
      </c>
      <c r="G6302" s="424"/>
      <c r="H6302" s="31">
        <f>+IFERROR(VLOOKUP(E6302,BD!$L$2:$Q$244,6,0),0)</f>
        <v>0</v>
      </c>
      <c r="I6302" s="626">
        <f>IFERROR(G6302*VLOOKUP($E6302,BD!$L$2:$Q$244,5,0),0)</f>
        <v>0</v>
      </c>
      <c r="J6302" s="3">
        <f t="shared" si="405"/>
        <v>1900</v>
      </c>
    </row>
    <row r="6303" spans="1:10" s="9" customFormat="1" x14ac:dyDescent="0.25">
      <c r="A6303" s="447"/>
      <c r="B6303" s="55" t="str">
        <f t="shared" si="402"/>
        <v>ENERO</v>
      </c>
      <c r="C6303" s="55">
        <f t="shared" si="403"/>
        <v>1</v>
      </c>
      <c r="D6303" s="3" t="str">
        <f t="shared" si="404"/>
        <v>SÁBADO</v>
      </c>
      <c r="E6303" s="427"/>
      <c r="F6303" s="31">
        <f>IFERROR(VLOOKUP(E6303,BD!$L$2:$Q$244,2,0),0)</f>
        <v>0</v>
      </c>
      <c r="G6303" s="424"/>
      <c r="H6303" s="31">
        <f>+IFERROR(VLOOKUP(E6303,BD!$L$2:$Q$244,6,0),0)</f>
        <v>0</v>
      </c>
      <c r="I6303" s="626">
        <f>IFERROR(G6303*VLOOKUP($E6303,BD!$L$2:$Q$244,5,0),0)</f>
        <v>0</v>
      </c>
      <c r="J6303" s="3">
        <f t="shared" si="405"/>
        <v>1900</v>
      </c>
    </row>
    <row r="6304" spans="1:10" s="9" customFormat="1" x14ac:dyDescent="0.25">
      <c r="A6304" s="447"/>
      <c r="B6304" s="55" t="str">
        <f t="shared" si="402"/>
        <v>ENERO</v>
      </c>
      <c r="C6304" s="55">
        <f t="shared" si="403"/>
        <v>1</v>
      </c>
      <c r="D6304" s="3" t="str">
        <f t="shared" si="404"/>
        <v>SÁBADO</v>
      </c>
      <c r="E6304" s="427"/>
      <c r="F6304" s="31">
        <f>IFERROR(VLOOKUP(E6304,BD!$L$2:$Q$244,2,0),0)</f>
        <v>0</v>
      </c>
      <c r="G6304" s="424"/>
      <c r="H6304" s="31">
        <f>+IFERROR(VLOOKUP(E6304,BD!$L$2:$Q$244,6,0),0)</f>
        <v>0</v>
      </c>
      <c r="I6304" s="626">
        <f>IFERROR(G6304*VLOOKUP($E6304,BD!$L$2:$Q$244,5,0),0)</f>
        <v>0</v>
      </c>
      <c r="J6304" s="3">
        <f t="shared" si="405"/>
        <v>1900</v>
      </c>
    </row>
    <row r="6305" spans="1:10" s="9" customFormat="1" x14ac:dyDescent="0.25">
      <c r="A6305" s="447"/>
      <c r="B6305" s="55" t="str">
        <f t="shared" si="402"/>
        <v>ENERO</v>
      </c>
      <c r="C6305" s="55">
        <f t="shared" si="403"/>
        <v>1</v>
      </c>
      <c r="D6305" s="3" t="str">
        <f t="shared" si="404"/>
        <v>SÁBADO</v>
      </c>
      <c r="E6305" s="427"/>
      <c r="F6305" s="31">
        <f>IFERROR(VLOOKUP(E6305,BD!$L$2:$Q$244,2,0),0)</f>
        <v>0</v>
      </c>
      <c r="G6305" s="424"/>
      <c r="H6305" s="31">
        <f>+IFERROR(VLOOKUP(E6305,BD!$L$2:$Q$244,6,0),0)</f>
        <v>0</v>
      </c>
      <c r="I6305" s="626">
        <f>IFERROR(G6305*VLOOKUP($E6305,BD!$L$2:$Q$244,5,0),0)</f>
        <v>0</v>
      </c>
      <c r="J6305" s="3">
        <f t="shared" si="405"/>
        <v>1900</v>
      </c>
    </row>
    <row r="6306" spans="1:10" s="9" customFormat="1" x14ac:dyDescent="0.25">
      <c r="A6306" s="447"/>
      <c r="B6306" s="55" t="str">
        <f t="shared" si="402"/>
        <v>ENERO</v>
      </c>
      <c r="C6306" s="55">
        <f t="shared" si="403"/>
        <v>1</v>
      </c>
      <c r="D6306" s="3" t="str">
        <f t="shared" si="404"/>
        <v>SÁBADO</v>
      </c>
      <c r="E6306" s="427"/>
      <c r="F6306" s="31">
        <f>IFERROR(VLOOKUP(E6306,BD!$L$2:$Q$244,2,0),0)</f>
        <v>0</v>
      </c>
      <c r="G6306" s="424"/>
      <c r="H6306" s="31">
        <f>+IFERROR(VLOOKUP(E6306,BD!$L$2:$Q$244,6,0),0)</f>
        <v>0</v>
      </c>
      <c r="I6306" s="626">
        <f>IFERROR(G6306*VLOOKUP($E6306,BD!$L$2:$Q$244,5,0),0)</f>
        <v>0</v>
      </c>
      <c r="J6306" s="3">
        <f t="shared" si="405"/>
        <v>1900</v>
      </c>
    </row>
    <row r="6307" spans="1:10" s="9" customFormat="1" x14ac:dyDescent="0.25">
      <c r="A6307" s="447"/>
      <c r="B6307" s="55" t="str">
        <f t="shared" si="402"/>
        <v>ENERO</v>
      </c>
      <c r="C6307" s="55">
        <f t="shared" si="403"/>
        <v>1</v>
      </c>
      <c r="D6307" s="3" t="str">
        <f t="shared" si="404"/>
        <v>SÁBADO</v>
      </c>
      <c r="E6307" s="427"/>
      <c r="F6307" s="31">
        <f>IFERROR(VLOOKUP(E6307,BD!$L$2:$Q$244,2,0),0)</f>
        <v>0</v>
      </c>
      <c r="G6307" s="424"/>
      <c r="H6307" s="31">
        <f>+IFERROR(VLOOKUP(E6307,BD!$L$2:$Q$244,6,0),0)</f>
        <v>0</v>
      </c>
      <c r="I6307" s="626">
        <f>IFERROR(G6307*VLOOKUP($E6307,BD!$L$2:$Q$244,5,0),0)</f>
        <v>0</v>
      </c>
      <c r="J6307" s="3">
        <f t="shared" si="405"/>
        <v>1900</v>
      </c>
    </row>
    <row r="6308" spans="1:10" s="9" customFormat="1" x14ac:dyDescent="0.25">
      <c r="A6308" s="447"/>
      <c r="B6308" s="55" t="str">
        <f t="shared" si="402"/>
        <v>ENERO</v>
      </c>
      <c r="C6308" s="55">
        <f t="shared" si="403"/>
        <v>1</v>
      </c>
      <c r="D6308" s="3" t="str">
        <f t="shared" si="404"/>
        <v>SÁBADO</v>
      </c>
      <c r="E6308" s="427"/>
      <c r="F6308" s="31">
        <f>IFERROR(VLOOKUP(E6308,BD!$L$2:$Q$244,2,0),0)</f>
        <v>0</v>
      </c>
      <c r="G6308" s="424"/>
      <c r="H6308" s="31">
        <f>+IFERROR(VLOOKUP(E6308,BD!$L$2:$Q$244,6,0),0)</f>
        <v>0</v>
      </c>
      <c r="I6308" s="626">
        <f>IFERROR(G6308*VLOOKUP($E6308,BD!$L$2:$Q$244,5,0),0)</f>
        <v>0</v>
      </c>
      <c r="J6308" s="3">
        <f t="shared" si="405"/>
        <v>1900</v>
      </c>
    </row>
    <row r="6309" spans="1:10" s="9" customFormat="1" x14ac:dyDescent="0.25">
      <c r="A6309" s="447"/>
      <c r="B6309" s="55" t="str">
        <f t="shared" si="402"/>
        <v>ENERO</v>
      </c>
      <c r="C6309" s="55">
        <f t="shared" si="403"/>
        <v>1</v>
      </c>
      <c r="D6309" s="3" t="str">
        <f t="shared" si="404"/>
        <v>SÁBADO</v>
      </c>
      <c r="E6309" s="427"/>
      <c r="F6309" s="31">
        <f>IFERROR(VLOOKUP(E6309,BD!$L$2:$Q$244,2,0),0)</f>
        <v>0</v>
      </c>
      <c r="G6309" s="424"/>
      <c r="H6309" s="31">
        <f>+IFERROR(VLOOKUP(E6309,BD!$L$2:$Q$244,6,0),0)</f>
        <v>0</v>
      </c>
      <c r="I6309" s="626">
        <f>IFERROR(G6309*VLOOKUP($E6309,BD!$L$2:$Q$244,5,0),0)</f>
        <v>0</v>
      </c>
      <c r="J6309" s="3">
        <f t="shared" si="405"/>
        <v>1900</v>
      </c>
    </row>
    <row r="6310" spans="1:10" s="9" customFormat="1" x14ac:dyDescent="0.25">
      <c r="A6310" s="447"/>
      <c r="B6310" s="55" t="str">
        <f t="shared" si="402"/>
        <v>ENERO</v>
      </c>
      <c r="C6310" s="55">
        <f t="shared" si="403"/>
        <v>1</v>
      </c>
      <c r="D6310" s="3" t="str">
        <f t="shared" si="404"/>
        <v>SÁBADO</v>
      </c>
      <c r="E6310" s="427"/>
      <c r="F6310" s="31">
        <f>IFERROR(VLOOKUP(E6310,BD!$L$2:$Q$244,2,0),0)</f>
        <v>0</v>
      </c>
      <c r="G6310" s="424"/>
      <c r="H6310" s="31">
        <f>+IFERROR(VLOOKUP(E6310,BD!$L$2:$Q$244,6,0),0)</f>
        <v>0</v>
      </c>
      <c r="I6310" s="626">
        <f>IFERROR(G6310*VLOOKUP($E6310,BD!$L$2:$Q$244,5,0),0)</f>
        <v>0</v>
      </c>
      <c r="J6310" s="3">
        <f t="shared" si="405"/>
        <v>1900</v>
      </c>
    </row>
    <row r="6311" spans="1:10" s="9" customFormat="1" x14ac:dyDescent="0.25">
      <c r="A6311" s="447"/>
      <c r="B6311" s="55" t="str">
        <f t="shared" si="402"/>
        <v>ENERO</v>
      </c>
      <c r="C6311" s="55">
        <f t="shared" si="403"/>
        <v>1</v>
      </c>
      <c r="D6311" s="3" t="str">
        <f t="shared" si="404"/>
        <v>SÁBADO</v>
      </c>
      <c r="E6311" s="427"/>
      <c r="F6311" s="31">
        <f>IFERROR(VLOOKUP(E6311,BD!$L$2:$Q$244,2,0),0)</f>
        <v>0</v>
      </c>
      <c r="G6311" s="424"/>
      <c r="H6311" s="31">
        <f>+IFERROR(VLOOKUP(E6311,BD!$L$2:$Q$244,6,0),0)</f>
        <v>0</v>
      </c>
      <c r="I6311" s="626">
        <f>IFERROR(G6311*VLOOKUP($E6311,BD!$L$2:$Q$244,5,0),0)</f>
        <v>0</v>
      </c>
      <c r="J6311" s="3">
        <f t="shared" si="405"/>
        <v>1900</v>
      </c>
    </row>
    <row r="6312" spans="1:10" s="9" customFormat="1" x14ac:dyDescent="0.25">
      <c r="A6312" s="447"/>
      <c r="B6312" s="55" t="str">
        <f t="shared" si="402"/>
        <v>ENERO</v>
      </c>
      <c r="C6312" s="55">
        <f t="shared" si="403"/>
        <v>1</v>
      </c>
      <c r="D6312" s="3" t="str">
        <f t="shared" si="404"/>
        <v>SÁBADO</v>
      </c>
      <c r="E6312" s="427"/>
      <c r="F6312" s="31">
        <f>IFERROR(VLOOKUP(E6312,BD!$L$2:$Q$244,2,0),0)</f>
        <v>0</v>
      </c>
      <c r="G6312" s="424"/>
      <c r="H6312" s="31">
        <f>+IFERROR(VLOOKUP(E6312,BD!$L$2:$Q$244,6,0),0)</f>
        <v>0</v>
      </c>
      <c r="I6312" s="626">
        <f>IFERROR(G6312*VLOOKUP($E6312,BD!$L$2:$Q$244,5,0),0)</f>
        <v>0</v>
      </c>
      <c r="J6312" s="3">
        <f t="shared" si="405"/>
        <v>1900</v>
      </c>
    </row>
    <row r="6313" spans="1:10" s="9" customFormat="1" x14ac:dyDescent="0.25">
      <c r="A6313" s="447"/>
      <c r="B6313" s="55" t="str">
        <f t="shared" si="402"/>
        <v>ENERO</v>
      </c>
      <c r="C6313" s="55">
        <f t="shared" si="403"/>
        <v>1</v>
      </c>
      <c r="D6313" s="3" t="str">
        <f t="shared" si="404"/>
        <v>SÁBADO</v>
      </c>
      <c r="E6313" s="427"/>
      <c r="F6313" s="31">
        <f>IFERROR(VLOOKUP(E6313,BD!$L$2:$Q$244,2,0),0)</f>
        <v>0</v>
      </c>
      <c r="G6313" s="424"/>
      <c r="H6313" s="31">
        <f>+IFERROR(VLOOKUP(E6313,BD!$L$2:$Q$244,6,0),0)</f>
        <v>0</v>
      </c>
      <c r="I6313" s="626">
        <f>IFERROR(G6313*VLOOKUP($E6313,BD!$L$2:$Q$244,5,0),0)</f>
        <v>0</v>
      </c>
      <c r="J6313" s="3">
        <f t="shared" si="405"/>
        <v>1900</v>
      </c>
    </row>
    <row r="6314" spans="1:10" s="9" customFormat="1" x14ac:dyDescent="0.25">
      <c r="A6314" s="447"/>
      <c r="B6314" s="55" t="str">
        <f t="shared" si="402"/>
        <v>ENERO</v>
      </c>
      <c r="C6314" s="55">
        <f t="shared" si="403"/>
        <v>1</v>
      </c>
      <c r="D6314" s="3" t="str">
        <f t="shared" si="404"/>
        <v>SÁBADO</v>
      </c>
      <c r="E6314" s="427"/>
      <c r="F6314" s="31">
        <f>IFERROR(VLOOKUP(E6314,BD!$L$2:$Q$244,2,0),0)</f>
        <v>0</v>
      </c>
      <c r="G6314" s="424"/>
      <c r="H6314" s="31">
        <f>+IFERROR(VLOOKUP(E6314,BD!$L$2:$Q$244,6,0),0)</f>
        <v>0</v>
      </c>
      <c r="I6314" s="626">
        <f>IFERROR(G6314*VLOOKUP($E6314,BD!$L$2:$Q$244,5,0),0)</f>
        <v>0</v>
      </c>
      <c r="J6314" s="3">
        <f t="shared" si="405"/>
        <v>1900</v>
      </c>
    </row>
    <row r="6315" spans="1:10" s="9" customFormat="1" x14ac:dyDescent="0.25">
      <c r="A6315" s="447"/>
      <c r="B6315" s="55" t="str">
        <f t="shared" si="402"/>
        <v>ENERO</v>
      </c>
      <c r="C6315" s="55">
        <f t="shared" si="403"/>
        <v>1</v>
      </c>
      <c r="D6315" s="3" t="str">
        <f t="shared" si="404"/>
        <v>SÁBADO</v>
      </c>
      <c r="E6315" s="427"/>
      <c r="F6315" s="31">
        <f>IFERROR(VLOOKUP(E6315,BD!$L$2:$Q$244,2,0),0)</f>
        <v>0</v>
      </c>
      <c r="G6315" s="424"/>
      <c r="H6315" s="31">
        <f>+IFERROR(VLOOKUP(E6315,BD!$L$2:$Q$244,6,0),0)</f>
        <v>0</v>
      </c>
      <c r="I6315" s="626">
        <f>IFERROR(G6315*VLOOKUP($E6315,BD!$L$2:$Q$244,5,0),0)</f>
        <v>0</v>
      </c>
      <c r="J6315" s="3">
        <f t="shared" si="405"/>
        <v>1900</v>
      </c>
    </row>
    <row r="6316" spans="1:10" s="9" customFormat="1" x14ac:dyDescent="0.25">
      <c r="A6316" s="447"/>
      <c r="B6316" s="55" t="str">
        <f t="shared" si="402"/>
        <v>ENERO</v>
      </c>
      <c r="C6316" s="55">
        <f t="shared" si="403"/>
        <v>1</v>
      </c>
      <c r="D6316" s="3" t="str">
        <f t="shared" si="404"/>
        <v>SÁBADO</v>
      </c>
      <c r="E6316" s="427"/>
      <c r="F6316" s="31">
        <f>IFERROR(VLOOKUP(E6316,BD!$L$2:$Q$244,2,0),0)</f>
        <v>0</v>
      </c>
      <c r="G6316" s="424"/>
      <c r="H6316" s="31">
        <f>+IFERROR(VLOOKUP(E6316,BD!$L$2:$Q$244,6,0),0)</f>
        <v>0</v>
      </c>
      <c r="I6316" s="626">
        <f>IFERROR(G6316*VLOOKUP($E6316,BD!$L$2:$Q$244,5,0),0)</f>
        <v>0</v>
      </c>
      <c r="J6316" s="3">
        <f t="shared" si="405"/>
        <v>1900</v>
      </c>
    </row>
    <row r="6317" spans="1:10" s="9" customFormat="1" x14ac:dyDescent="0.25">
      <c r="A6317" s="447"/>
      <c r="B6317" s="55" t="str">
        <f t="shared" si="402"/>
        <v>ENERO</v>
      </c>
      <c r="C6317" s="55">
        <f t="shared" si="403"/>
        <v>1</v>
      </c>
      <c r="D6317" s="3" t="str">
        <f t="shared" si="404"/>
        <v>SÁBADO</v>
      </c>
      <c r="E6317" s="427"/>
      <c r="F6317" s="31">
        <f>IFERROR(VLOOKUP(E6317,BD!$L$2:$Q$244,2,0),0)</f>
        <v>0</v>
      </c>
      <c r="G6317" s="424"/>
      <c r="H6317" s="31">
        <f>+IFERROR(VLOOKUP(E6317,BD!$L$2:$Q$244,6,0),0)</f>
        <v>0</v>
      </c>
      <c r="I6317" s="626">
        <f>IFERROR(G6317*VLOOKUP($E6317,BD!$L$2:$Q$244,5,0),0)</f>
        <v>0</v>
      </c>
      <c r="J6317" s="3">
        <f t="shared" si="405"/>
        <v>1900</v>
      </c>
    </row>
    <row r="6318" spans="1:10" s="9" customFormat="1" x14ac:dyDescent="0.25">
      <c r="A6318" s="447"/>
      <c r="B6318" s="55" t="str">
        <f t="shared" si="402"/>
        <v>ENERO</v>
      </c>
      <c r="C6318" s="55">
        <f t="shared" si="403"/>
        <v>1</v>
      </c>
      <c r="D6318" s="3" t="str">
        <f t="shared" si="404"/>
        <v>SÁBADO</v>
      </c>
      <c r="E6318" s="427"/>
      <c r="F6318" s="31">
        <f>IFERROR(VLOOKUP(E6318,BD!$L$2:$Q$244,2,0),0)</f>
        <v>0</v>
      </c>
      <c r="G6318" s="424"/>
      <c r="H6318" s="31">
        <f>+IFERROR(VLOOKUP(E6318,BD!$L$2:$Q$244,6,0),0)</f>
        <v>0</v>
      </c>
      <c r="I6318" s="626">
        <f>IFERROR(G6318*VLOOKUP($E6318,BD!$L$2:$Q$244,5,0),0)</f>
        <v>0</v>
      </c>
      <c r="J6318" s="3">
        <f t="shared" si="405"/>
        <v>1900</v>
      </c>
    </row>
    <row r="6319" spans="1:10" s="9" customFormat="1" x14ac:dyDescent="0.25">
      <c r="A6319" s="447"/>
      <c r="B6319" s="55" t="str">
        <f t="shared" si="402"/>
        <v>ENERO</v>
      </c>
      <c r="C6319" s="55">
        <f t="shared" si="403"/>
        <v>1</v>
      </c>
      <c r="D6319" s="3" t="str">
        <f t="shared" si="404"/>
        <v>SÁBADO</v>
      </c>
      <c r="E6319" s="427"/>
      <c r="F6319" s="31">
        <f>IFERROR(VLOOKUP(E6319,BD!$L$2:$Q$244,2,0),0)</f>
        <v>0</v>
      </c>
      <c r="G6319" s="424"/>
      <c r="H6319" s="31">
        <f>+IFERROR(VLOOKUP(E6319,BD!$L$2:$Q$244,6,0),0)</f>
        <v>0</v>
      </c>
      <c r="I6319" s="626">
        <f>IFERROR(G6319*VLOOKUP($E6319,BD!$L$2:$Q$244,5,0),0)</f>
        <v>0</v>
      </c>
      <c r="J6319" s="3">
        <f t="shared" si="405"/>
        <v>1900</v>
      </c>
    </row>
    <row r="6320" spans="1:10" s="9" customFormat="1" x14ac:dyDescent="0.25">
      <c r="A6320" s="447"/>
      <c r="B6320" s="55" t="str">
        <f t="shared" si="402"/>
        <v>ENERO</v>
      </c>
      <c r="C6320" s="55">
        <f t="shared" si="403"/>
        <v>1</v>
      </c>
      <c r="D6320" s="3" t="str">
        <f t="shared" si="404"/>
        <v>SÁBADO</v>
      </c>
      <c r="E6320" s="427"/>
      <c r="F6320" s="31">
        <f>IFERROR(VLOOKUP(E6320,BD!$L$2:$Q$244,2,0),0)</f>
        <v>0</v>
      </c>
      <c r="G6320" s="424"/>
      <c r="H6320" s="31">
        <f>+IFERROR(VLOOKUP(E6320,BD!$L$2:$Q$244,6,0),0)</f>
        <v>0</v>
      </c>
      <c r="I6320" s="626">
        <f>IFERROR(G6320*VLOOKUP($E6320,BD!$L$2:$Q$244,5,0),0)</f>
        <v>0</v>
      </c>
      <c r="J6320" s="3">
        <f t="shared" si="405"/>
        <v>1900</v>
      </c>
    </row>
    <row r="6321" spans="1:10" s="9" customFormat="1" x14ac:dyDescent="0.25">
      <c r="A6321" s="447"/>
      <c r="B6321" s="55" t="str">
        <f t="shared" si="402"/>
        <v>ENERO</v>
      </c>
      <c r="C6321" s="55">
        <f t="shared" si="403"/>
        <v>1</v>
      </c>
      <c r="D6321" s="3" t="str">
        <f t="shared" si="404"/>
        <v>SÁBADO</v>
      </c>
      <c r="E6321" s="427"/>
      <c r="F6321" s="31">
        <f>IFERROR(VLOOKUP(E6321,BD!$L$2:$Q$244,2,0),0)</f>
        <v>0</v>
      </c>
      <c r="G6321" s="424"/>
      <c r="H6321" s="31">
        <f>+IFERROR(VLOOKUP(E6321,BD!$L$2:$Q$244,6,0),0)</f>
        <v>0</v>
      </c>
      <c r="I6321" s="626">
        <f>IFERROR(G6321*VLOOKUP($E6321,BD!$L$2:$Q$244,5,0),0)</f>
        <v>0</v>
      </c>
      <c r="J6321" s="3">
        <f t="shared" si="405"/>
        <v>1900</v>
      </c>
    </row>
    <row r="6322" spans="1:10" s="9" customFormat="1" x14ac:dyDescent="0.25">
      <c r="A6322" s="447"/>
      <c r="B6322" s="55" t="str">
        <f t="shared" si="402"/>
        <v>ENERO</v>
      </c>
      <c r="C6322" s="55">
        <f t="shared" si="403"/>
        <v>1</v>
      </c>
      <c r="D6322" s="3" t="str">
        <f t="shared" si="404"/>
        <v>SÁBADO</v>
      </c>
      <c r="E6322" s="427"/>
      <c r="F6322" s="31">
        <f>IFERROR(VLOOKUP(E6322,BD!$L$2:$Q$244,2,0),0)</f>
        <v>0</v>
      </c>
      <c r="G6322" s="424"/>
      <c r="H6322" s="31">
        <f>+IFERROR(VLOOKUP(E6322,BD!$L$2:$Q$244,6,0),0)</f>
        <v>0</v>
      </c>
      <c r="I6322" s="626">
        <f>IFERROR(G6322*VLOOKUP($E6322,BD!$L$2:$Q$244,5,0),0)</f>
        <v>0</v>
      </c>
      <c r="J6322" s="3">
        <f t="shared" si="405"/>
        <v>1900</v>
      </c>
    </row>
    <row r="6323" spans="1:10" s="9" customFormat="1" x14ac:dyDescent="0.25">
      <c r="A6323" s="447"/>
      <c r="B6323" s="55" t="str">
        <f t="shared" si="402"/>
        <v>ENERO</v>
      </c>
      <c r="C6323" s="55">
        <f t="shared" si="403"/>
        <v>1</v>
      </c>
      <c r="D6323" s="3" t="str">
        <f t="shared" si="404"/>
        <v>SÁBADO</v>
      </c>
      <c r="E6323" s="427"/>
      <c r="F6323" s="31">
        <f>IFERROR(VLOOKUP(E6323,BD!$L$2:$Q$244,2,0),0)</f>
        <v>0</v>
      </c>
      <c r="G6323" s="424"/>
      <c r="H6323" s="31">
        <f>+IFERROR(VLOOKUP(E6323,BD!$L$2:$Q$244,6,0),0)</f>
        <v>0</v>
      </c>
      <c r="I6323" s="626">
        <f>IFERROR(G6323*VLOOKUP($E6323,BD!$L$2:$Q$244,5,0),0)</f>
        <v>0</v>
      </c>
      <c r="J6323" s="3">
        <f t="shared" si="405"/>
        <v>1900</v>
      </c>
    </row>
    <row r="6324" spans="1:10" s="9" customFormat="1" x14ac:dyDescent="0.25">
      <c r="A6324" s="447"/>
      <c r="B6324" s="55" t="str">
        <f t="shared" si="402"/>
        <v>ENERO</v>
      </c>
      <c r="C6324" s="55">
        <f t="shared" si="403"/>
        <v>1</v>
      </c>
      <c r="D6324" s="3" t="str">
        <f t="shared" si="404"/>
        <v>SÁBADO</v>
      </c>
      <c r="E6324" s="427"/>
      <c r="F6324" s="31">
        <f>IFERROR(VLOOKUP(E6324,BD!$L$2:$Q$244,2,0),0)</f>
        <v>0</v>
      </c>
      <c r="G6324" s="424"/>
      <c r="H6324" s="31">
        <f>+IFERROR(VLOOKUP(E6324,BD!$L$2:$Q$244,6,0),0)</f>
        <v>0</v>
      </c>
      <c r="I6324" s="626">
        <f>IFERROR(G6324*VLOOKUP($E6324,BD!$L$2:$Q$244,5,0),0)</f>
        <v>0</v>
      </c>
      <c r="J6324" s="3">
        <f t="shared" si="405"/>
        <v>1900</v>
      </c>
    </row>
    <row r="6325" spans="1:10" s="9" customFormat="1" x14ac:dyDescent="0.25">
      <c r="A6325" s="447"/>
      <c r="B6325" s="55" t="str">
        <f t="shared" si="402"/>
        <v>ENERO</v>
      </c>
      <c r="C6325" s="55">
        <f t="shared" si="403"/>
        <v>1</v>
      </c>
      <c r="D6325" s="3" t="str">
        <f t="shared" si="404"/>
        <v>SÁBADO</v>
      </c>
      <c r="E6325" s="427"/>
      <c r="F6325" s="31">
        <f>IFERROR(VLOOKUP(E6325,BD!$L$2:$Q$244,2,0),0)</f>
        <v>0</v>
      </c>
      <c r="G6325" s="424"/>
      <c r="H6325" s="31">
        <f>+IFERROR(VLOOKUP(E6325,BD!$L$2:$Q$244,6,0),0)</f>
        <v>0</v>
      </c>
      <c r="I6325" s="626">
        <f>IFERROR(G6325*VLOOKUP($E6325,BD!$L$2:$Q$244,5,0),0)</f>
        <v>0</v>
      </c>
      <c r="J6325" s="3">
        <f t="shared" si="405"/>
        <v>1900</v>
      </c>
    </row>
    <row r="6326" spans="1:10" s="9" customFormat="1" x14ac:dyDescent="0.25">
      <c r="A6326" s="447"/>
      <c r="B6326" s="55" t="str">
        <f t="shared" si="402"/>
        <v>ENERO</v>
      </c>
      <c r="C6326" s="55">
        <f t="shared" si="403"/>
        <v>1</v>
      </c>
      <c r="D6326" s="3" t="str">
        <f t="shared" si="404"/>
        <v>SÁBADO</v>
      </c>
      <c r="E6326" s="427"/>
      <c r="F6326" s="31">
        <f>IFERROR(VLOOKUP(E6326,BD!$L$2:$Q$244,2,0),0)</f>
        <v>0</v>
      </c>
      <c r="G6326" s="424"/>
      <c r="H6326" s="31">
        <f>+IFERROR(VLOOKUP(E6326,BD!$L$2:$Q$244,6,0),0)</f>
        <v>0</v>
      </c>
      <c r="I6326" s="626">
        <f>IFERROR(G6326*VLOOKUP($E6326,BD!$L$2:$Q$244,5,0),0)</f>
        <v>0</v>
      </c>
      <c r="J6326" s="3">
        <f t="shared" si="405"/>
        <v>1900</v>
      </c>
    </row>
    <row r="6327" spans="1:10" s="9" customFormat="1" x14ac:dyDescent="0.25">
      <c r="A6327" s="447"/>
      <c r="B6327" s="55" t="str">
        <f t="shared" si="402"/>
        <v>ENERO</v>
      </c>
      <c r="C6327" s="55">
        <f t="shared" si="403"/>
        <v>1</v>
      </c>
      <c r="D6327" s="3" t="str">
        <f t="shared" si="404"/>
        <v>SÁBADO</v>
      </c>
      <c r="E6327" s="427"/>
      <c r="F6327" s="31">
        <f>IFERROR(VLOOKUP(E6327,BD!$L$2:$Q$244,2,0),0)</f>
        <v>0</v>
      </c>
      <c r="G6327" s="424"/>
      <c r="H6327" s="31">
        <f>+IFERROR(VLOOKUP(E6327,BD!$L$2:$Q$244,6,0),0)</f>
        <v>0</v>
      </c>
      <c r="I6327" s="626">
        <f>IFERROR(G6327*VLOOKUP($E6327,BD!$L$2:$Q$244,5,0),0)</f>
        <v>0</v>
      </c>
      <c r="J6327" s="3">
        <f t="shared" si="405"/>
        <v>1900</v>
      </c>
    </row>
    <row r="6328" spans="1:10" s="9" customFormat="1" x14ac:dyDescent="0.25">
      <c r="A6328" s="447"/>
      <c r="B6328" s="55" t="str">
        <f t="shared" si="402"/>
        <v>ENERO</v>
      </c>
      <c r="C6328" s="55">
        <f t="shared" si="403"/>
        <v>1</v>
      </c>
      <c r="D6328" s="3" t="str">
        <f t="shared" si="404"/>
        <v>SÁBADO</v>
      </c>
      <c r="E6328" s="427"/>
      <c r="F6328" s="31">
        <f>IFERROR(VLOOKUP(E6328,BD!$L$2:$Q$244,2,0),0)</f>
        <v>0</v>
      </c>
      <c r="G6328" s="424"/>
      <c r="H6328" s="31">
        <f>+IFERROR(VLOOKUP(E6328,BD!$L$2:$Q$244,6,0),0)</f>
        <v>0</v>
      </c>
      <c r="I6328" s="626">
        <f>IFERROR(G6328*VLOOKUP($E6328,BD!$L$2:$Q$244,5,0),0)</f>
        <v>0</v>
      </c>
      <c r="J6328" s="3">
        <f t="shared" si="405"/>
        <v>1900</v>
      </c>
    </row>
    <row r="6329" spans="1:10" s="9" customFormat="1" x14ac:dyDescent="0.25">
      <c r="A6329" s="447"/>
      <c r="B6329" s="55" t="str">
        <f t="shared" si="402"/>
        <v>ENERO</v>
      </c>
      <c r="C6329" s="55">
        <f t="shared" si="403"/>
        <v>1</v>
      </c>
      <c r="D6329" s="3" t="str">
        <f t="shared" si="404"/>
        <v>SÁBADO</v>
      </c>
      <c r="E6329" s="427"/>
      <c r="F6329" s="31">
        <f>IFERROR(VLOOKUP(E6329,BD!$L$2:$Q$244,2,0),0)</f>
        <v>0</v>
      </c>
      <c r="G6329" s="424"/>
      <c r="H6329" s="31">
        <f>+IFERROR(VLOOKUP(E6329,BD!$L$2:$Q$244,6,0),0)</f>
        <v>0</v>
      </c>
      <c r="I6329" s="626">
        <f>IFERROR(G6329*VLOOKUP($E6329,BD!$L$2:$Q$244,5,0),0)</f>
        <v>0</v>
      </c>
      <c r="J6329" s="3">
        <f t="shared" si="405"/>
        <v>1900</v>
      </c>
    </row>
    <row r="6330" spans="1:10" s="9" customFormat="1" x14ac:dyDescent="0.25">
      <c r="A6330" s="447"/>
      <c r="B6330" s="55" t="str">
        <f t="shared" si="402"/>
        <v>ENERO</v>
      </c>
      <c r="C6330" s="55">
        <f t="shared" si="403"/>
        <v>1</v>
      </c>
      <c r="D6330" s="3" t="str">
        <f t="shared" si="404"/>
        <v>SÁBADO</v>
      </c>
      <c r="E6330" s="427"/>
      <c r="F6330" s="31">
        <f>IFERROR(VLOOKUP(E6330,BD!$L$2:$Q$244,2,0),0)</f>
        <v>0</v>
      </c>
      <c r="G6330" s="424"/>
      <c r="H6330" s="31">
        <f>+IFERROR(VLOOKUP(E6330,BD!$L$2:$Q$244,6,0),0)</f>
        <v>0</v>
      </c>
      <c r="I6330" s="626">
        <f>IFERROR(G6330*VLOOKUP($E6330,BD!$L$2:$Q$244,5,0),0)</f>
        <v>0</v>
      </c>
      <c r="J6330" s="3">
        <f t="shared" si="405"/>
        <v>1900</v>
      </c>
    </row>
    <row r="6331" spans="1:10" s="9" customFormat="1" x14ac:dyDescent="0.25">
      <c r="A6331" s="447"/>
      <c r="B6331" s="55" t="str">
        <f t="shared" si="402"/>
        <v>ENERO</v>
      </c>
      <c r="C6331" s="55">
        <f t="shared" si="403"/>
        <v>1</v>
      </c>
      <c r="D6331" s="3" t="str">
        <f t="shared" si="404"/>
        <v>SÁBADO</v>
      </c>
      <c r="E6331" s="427"/>
      <c r="F6331" s="31">
        <f>IFERROR(VLOOKUP(E6331,BD!$L$2:$Q$244,2,0),0)</f>
        <v>0</v>
      </c>
      <c r="G6331" s="424"/>
      <c r="H6331" s="31">
        <f>+IFERROR(VLOOKUP(E6331,BD!$L$2:$Q$244,6,0),0)</f>
        <v>0</v>
      </c>
      <c r="I6331" s="626">
        <f>IFERROR(G6331*VLOOKUP($E6331,BD!$L$2:$Q$244,5,0),0)</f>
        <v>0</v>
      </c>
      <c r="J6331" s="3">
        <f t="shared" si="405"/>
        <v>1900</v>
      </c>
    </row>
    <row r="6332" spans="1:10" s="9" customFormat="1" x14ac:dyDescent="0.25">
      <c r="A6332" s="447"/>
      <c r="B6332" s="55" t="str">
        <f t="shared" si="402"/>
        <v>ENERO</v>
      </c>
      <c r="C6332" s="55">
        <f t="shared" si="403"/>
        <v>1</v>
      </c>
      <c r="D6332" s="3" t="str">
        <f t="shared" si="404"/>
        <v>SÁBADO</v>
      </c>
      <c r="E6332" s="427"/>
      <c r="F6332" s="31">
        <f>IFERROR(VLOOKUP(E6332,BD!$L$2:$Q$244,2,0),0)</f>
        <v>0</v>
      </c>
      <c r="G6332" s="424"/>
      <c r="H6332" s="31">
        <f>+IFERROR(VLOOKUP(E6332,BD!$L$2:$Q$244,6,0),0)</f>
        <v>0</v>
      </c>
      <c r="I6332" s="626">
        <f>IFERROR(G6332*VLOOKUP($E6332,BD!$L$2:$Q$244,5,0),0)</f>
        <v>0</v>
      </c>
      <c r="J6332" s="3">
        <f t="shared" si="405"/>
        <v>1900</v>
      </c>
    </row>
    <row r="6333" spans="1:10" s="9" customFormat="1" x14ac:dyDescent="0.25">
      <c r="A6333" s="447"/>
      <c r="B6333" s="55" t="str">
        <f t="shared" ref="B6333:B6396" si="406">UPPER(TEXT(A6333,"MMMM"))</f>
        <v>ENERO</v>
      </c>
      <c r="C6333" s="55">
        <f t="shared" ref="C6333:C6396" si="407">WEEKNUM(A6333,16)</f>
        <v>1</v>
      </c>
      <c r="D6333" s="3" t="str">
        <f t="shared" ref="D6333:D6396" si="408">UPPER(TEXT(A6333,"DDDD"))</f>
        <v>SÁBADO</v>
      </c>
      <c r="E6333" s="427"/>
      <c r="F6333" s="31">
        <f>IFERROR(VLOOKUP(E6333,BD!$L$2:$Q$244,2,0),0)</f>
        <v>0</v>
      </c>
      <c r="G6333" s="424"/>
      <c r="H6333" s="31">
        <f>+IFERROR(VLOOKUP(E6333,BD!$L$2:$Q$244,6,0),0)</f>
        <v>0</v>
      </c>
      <c r="I6333" s="626">
        <f>IFERROR(G6333*VLOOKUP($E6333,BD!$L$2:$Q$244,5,0),0)</f>
        <v>0</v>
      </c>
      <c r="J6333" s="3">
        <f t="shared" ref="J6333:J6396" si="409">+YEAR(A6333)</f>
        <v>1900</v>
      </c>
    </row>
    <row r="6334" spans="1:10" s="9" customFormat="1" x14ac:dyDescent="0.25">
      <c r="A6334" s="447"/>
      <c r="B6334" s="55" t="str">
        <f t="shared" si="406"/>
        <v>ENERO</v>
      </c>
      <c r="C6334" s="55">
        <f t="shared" si="407"/>
        <v>1</v>
      </c>
      <c r="D6334" s="3" t="str">
        <f t="shared" si="408"/>
        <v>SÁBADO</v>
      </c>
      <c r="E6334" s="427"/>
      <c r="F6334" s="31">
        <f>IFERROR(VLOOKUP(E6334,BD!$L$2:$Q$244,2,0),0)</f>
        <v>0</v>
      </c>
      <c r="G6334" s="424"/>
      <c r="H6334" s="31">
        <f>+IFERROR(VLOOKUP(E6334,BD!$L$2:$Q$244,6,0),0)</f>
        <v>0</v>
      </c>
      <c r="I6334" s="626">
        <f>IFERROR(G6334*VLOOKUP($E6334,BD!$L$2:$Q$244,5,0),0)</f>
        <v>0</v>
      </c>
      <c r="J6334" s="3">
        <f t="shared" si="409"/>
        <v>1900</v>
      </c>
    </row>
    <row r="6335" spans="1:10" s="9" customFormat="1" x14ac:dyDescent="0.25">
      <c r="A6335" s="447"/>
      <c r="B6335" s="55" t="str">
        <f t="shared" si="406"/>
        <v>ENERO</v>
      </c>
      <c r="C6335" s="55">
        <f t="shared" si="407"/>
        <v>1</v>
      </c>
      <c r="D6335" s="3" t="str">
        <f t="shared" si="408"/>
        <v>SÁBADO</v>
      </c>
      <c r="E6335" s="427"/>
      <c r="F6335" s="31">
        <f>IFERROR(VLOOKUP(E6335,BD!$L$2:$Q$244,2,0),0)</f>
        <v>0</v>
      </c>
      <c r="G6335" s="424"/>
      <c r="H6335" s="31">
        <f>+IFERROR(VLOOKUP(E6335,BD!$L$2:$Q$244,6,0),0)</f>
        <v>0</v>
      </c>
      <c r="I6335" s="626">
        <f>IFERROR(G6335*VLOOKUP($E6335,BD!$L$2:$Q$244,5,0),0)</f>
        <v>0</v>
      </c>
      <c r="J6335" s="3">
        <f t="shared" si="409"/>
        <v>1900</v>
      </c>
    </row>
    <row r="6336" spans="1:10" s="9" customFormat="1" x14ac:dyDescent="0.25">
      <c r="A6336" s="447"/>
      <c r="B6336" s="55" t="str">
        <f t="shared" si="406"/>
        <v>ENERO</v>
      </c>
      <c r="C6336" s="55">
        <f t="shared" si="407"/>
        <v>1</v>
      </c>
      <c r="D6336" s="3" t="str">
        <f t="shared" si="408"/>
        <v>SÁBADO</v>
      </c>
      <c r="E6336" s="427"/>
      <c r="F6336" s="31">
        <f>IFERROR(VLOOKUP(E6336,BD!$L$2:$Q$244,2,0),0)</f>
        <v>0</v>
      </c>
      <c r="G6336" s="424"/>
      <c r="H6336" s="31">
        <f>+IFERROR(VLOOKUP(E6336,BD!$L$2:$Q$244,6,0),0)</f>
        <v>0</v>
      </c>
      <c r="I6336" s="626">
        <f>IFERROR(G6336*VLOOKUP($E6336,BD!$L$2:$Q$244,5,0),0)</f>
        <v>0</v>
      </c>
      <c r="J6336" s="3">
        <f t="shared" si="409"/>
        <v>1900</v>
      </c>
    </row>
    <row r="6337" spans="1:10" s="9" customFormat="1" x14ac:dyDescent="0.25">
      <c r="A6337" s="447"/>
      <c r="B6337" s="55" t="str">
        <f t="shared" si="406"/>
        <v>ENERO</v>
      </c>
      <c r="C6337" s="55">
        <f t="shared" si="407"/>
        <v>1</v>
      </c>
      <c r="D6337" s="3" t="str">
        <f t="shared" si="408"/>
        <v>SÁBADO</v>
      </c>
      <c r="E6337" s="427"/>
      <c r="F6337" s="31">
        <f>IFERROR(VLOOKUP(E6337,BD!$L$2:$Q$244,2,0),0)</f>
        <v>0</v>
      </c>
      <c r="G6337" s="424"/>
      <c r="H6337" s="31">
        <f>+IFERROR(VLOOKUP(E6337,BD!$L$2:$Q$244,6,0),0)</f>
        <v>0</v>
      </c>
      <c r="I6337" s="626">
        <f>IFERROR(G6337*VLOOKUP($E6337,BD!$L$2:$Q$244,5,0),0)</f>
        <v>0</v>
      </c>
      <c r="J6337" s="3">
        <f t="shared" si="409"/>
        <v>1900</v>
      </c>
    </row>
    <row r="6338" spans="1:10" s="9" customFormat="1" x14ac:dyDescent="0.25">
      <c r="A6338" s="447"/>
      <c r="B6338" s="55" t="str">
        <f t="shared" si="406"/>
        <v>ENERO</v>
      </c>
      <c r="C6338" s="55">
        <f t="shared" si="407"/>
        <v>1</v>
      </c>
      <c r="D6338" s="3" t="str">
        <f t="shared" si="408"/>
        <v>SÁBADO</v>
      </c>
      <c r="E6338" s="427"/>
      <c r="F6338" s="31">
        <f>IFERROR(VLOOKUP(E6338,BD!$L$2:$Q$244,2,0),0)</f>
        <v>0</v>
      </c>
      <c r="G6338" s="424"/>
      <c r="H6338" s="31">
        <f>+IFERROR(VLOOKUP(E6338,BD!$L$2:$Q$244,6,0),0)</f>
        <v>0</v>
      </c>
      <c r="I6338" s="626">
        <f>IFERROR(G6338*VLOOKUP($E6338,BD!$L$2:$Q$244,5,0),0)</f>
        <v>0</v>
      </c>
      <c r="J6338" s="3">
        <f t="shared" si="409"/>
        <v>1900</v>
      </c>
    </row>
    <row r="6339" spans="1:10" s="9" customFormat="1" x14ac:dyDescent="0.25">
      <c r="A6339" s="447"/>
      <c r="B6339" s="55" t="str">
        <f t="shared" si="406"/>
        <v>ENERO</v>
      </c>
      <c r="C6339" s="55">
        <f t="shared" si="407"/>
        <v>1</v>
      </c>
      <c r="D6339" s="3" t="str">
        <f t="shared" si="408"/>
        <v>SÁBADO</v>
      </c>
      <c r="E6339" s="427"/>
      <c r="F6339" s="31">
        <f>IFERROR(VLOOKUP(E6339,BD!$L$2:$Q$244,2,0),0)</f>
        <v>0</v>
      </c>
      <c r="G6339" s="424"/>
      <c r="H6339" s="31">
        <f>+IFERROR(VLOOKUP(E6339,BD!$L$2:$Q$244,6,0),0)</f>
        <v>0</v>
      </c>
      <c r="I6339" s="626">
        <f>IFERROR(G6339*VLOOKUP($E6339,BD!$L$2:$Q$244,5,0),0)</f>
        <v>0</v>
      </c>
      <c r="J6339" s="3">
        <f t="shared" si="409"/>
        <v>1900</v>
      </c>
    </row>
    <row r="6340" spans="1:10" s="9" customFormat="1" x14ac:dyDescent="0.25">
      <c r="A6340" s="447"/>
      <c r="B6340" s="55" t="str">
        <f t="shared" si="406"/>
        <v>ENERO</v>
      </c>
      <c r="C6340" s="55">
        <f t="shared" si="407"/>
        <v>1</v>
      </c>
      <c r="D6340" s="3" t="str">
        <f t="shared" si="408"/>
        <v>SÁBADO</v>
      </c>
      <c r="E6340" s="427"/>
      <c r="F6340" s="31">
        <f>IFERROR(VLOOKUP(E6340,BD!$L$2:$Q$244,2,0),0)</f>
        <v>0</v>
      </c>
      <c r="G6340" s="424"/>
      <c r="H6340" s="31">
        <f>+IFERROR(VLOOKUP(E6340,BD!$L$2:$Q$244,6,0),0)</f>
        <v>0</v>
      </c>
      <c r="I6340" s="626">
        <f>IFERROR(G6340*VLOOKUP($E6340,BD!$L$2:$Q$244,5,0),0)</f>
        <v>0</v>
      </c>
      <c r="J6340" s="3">
        <f t="shared" si="409"/>
        <v>1900</v>
      </c>
    </row>
    <row r="6341" spans="1:10" s="9" customFormat="1" x14ac:dyDescent="0.25">
      <c r="A6341" s="447"/>
      <c r="B6341" s="55" t="str">
        <f t="shared" si="406"/>
        <v>ENERO</v>
      </c>
      <c r="C6341" s="55">
        <f t="shared" si="407"/>
        <v>1</v>
      </c>
      <c r="D6341" s="3" t="str">
        <f t="shared" si="408"/>
        <v>SÁBADO</v>
      </c>
      <c r="E6341" s="427"/>
      <c r="F6341" s="31">
        <f>IFERROR(VLOOKUP(E6341,BD!$L$2:$Q$244,2,0),0)</f>
        <v>0</v>
      </c>
      <c r="G6341" s="424"/>
      <c r="H6341" s="31">
        <f>+IFERROR(VLOOKUP(E6341,BD!$L$2:$Q$244,6,0),0)</f>
        <v>0</v>
      </c>
      <c r="I6341" s="626">
        <f>IFERROR(G6341*VLOOKUP($E6341,BD!$L$2:$Q$244,5,0),0)</f>
        <v>0</v>
      </c>
      <c r="J6341" s="3">
        <f t="shared" si="409"/>
        <v>1900</v>
      </c>
    </row>
    <row r="6342" spans="1:10" s="9" customFormat="1" x14ac:dyDescent="0.25">
      <c r="A6342" s="447"/>
      <c r="B6342" s="55" t="str">
        <f t="shared" si="406"/>
        <v>ENERO</v>
      </c>
      <c r="C6342" s="55">
        <f t="shared" si="407"/>
        <v>1</v>
      </c>
      <c r="D6342" s="3" t="str">
        <f t="shared" si="408"/>
        <v>SÁBADO</v>
      </c>
      <c r="E6342" s="427"/>
      <c r="F6342" s="31">
        <f>IFERROR(VLOOKUP(E6342,BD!$L$2:$Q$244,2,0),0)</f>
        <v>0</v>
      </c>
      <c r="G6342" s="424"/>
      <c r="H6342" s="31">
        <f>+IFERROR(VLOOKUP(E6342,BD!$L$2:$Q$244,6,0),0)</f>
        <v>0</v>
      </c>
      <c r="I6342" s="626">
        <f>IFERROR(G6342*VLOOKUP($E6342,BD!$L$2:$Q$244,5,0),0)</f>
        <v>0</v>
      </c>
      <c r="J6342" s="3">
        <f t="shared" si="409"/>
        <v>1900</v>
      </c>
    </row>
    <row r="6343" spans="1:10" s="9" customFormat="1" x14ac:dyDescent="0.25">
      <c r="A6343" s="447"/>
      <c r="B6343" s="55" t="str">
        <f t="shared" si="406"/>
        <v>ENERO</v>
      </c>
      <c r="C6343" s="55">
        <f t="shared" si="407"/>
        <v>1</v>
      </c>
      <c r="D6343" s="3" t="str">
        <f t="shared" si="408"/>
        <v>SÁBADO</v>
      </c>
      <c r="E6343" s="427"/>
      <c r="F6343" s="31">
        <f>IFERROR(VLOOKUP(E6343,BD!$L$2:$Q$244,2,0),0)</f>
        <v>0</v>
      </c>
      <c r="G6343" s="424"/>
      <c r="H6343" s="31">
        <f>+IFERROR(VLOOKUP(E6343,BD!$L$2:$Q$244,6,0),0)</f>
        <v>0</v>
      </c>
      <c r="I6343" s="626">
        <f>IFERROR(G6343*VLOOKUP($E6343,BD!$L$2:$Q$244,5,0),0)</f>
        <v>0</v>
      </c>
      <c r="J6343" s="3">
        <f t="shared" si="409"/>
        <v>1900</v>
      </c>
    </row>
    <row r="6344" spans="1:10" s="9" customFormat="1" x14ac:dyDescent="0.25">
      <c r="A6344" s="447"/>
      <c r="B6344" s="55" t="str">
        <f t="shared" si="406"/>
        <v>ENERO</v>
      </c>
      <c r="C6344" s="55">
        <f t="shared" si="407"/>
        <v>1</v>
      </c>
      <c r="D6344" s="3" t="str">
        <f t="shared" si="408"/>
        <v>SÁBADO</v>
      </c>
      <c r="E6344" s="427"/>
      <c r="F6344" s="31">
        <f>IFERROR(VLOOKUP(E6344,BD!$L$2:$Q$244,2,0),0)</f>
        <v>0</v>
      </c>
      <c r="G6344" s="424"/>
      <c r="H6344" s="31">
        <f>+IFERROR(VLOOKUP(E6344,BD!$L$2:$Q$244,6,0),0)</f>
        <v>0</v>
      </c>
      <c r="I6344" s="626">
        <f>IFERROR(G6344*VLOOKUP($E6344,BD!$L$2:$Q$244,5,0),0)</f>
        <v>0</v>
      </c>
      <c r="J6344" s="3">
        <f t="shared" si="409"/>
        <v>1900</v>
      </c>
    </row>
    <row r="6345" spans="1:10" s="9" customFormat="1" x14ac:dyDescent="0.25">
      <c r="A6345" s="447"/>
      <c r="B6345" s="55" t="str">
        <f t="shared" si="406"/>
        <v>ENERO</v>
      </c>
      <c r="C6345" s="55">
        <f t="shared" si="407"/>
        <v>1</v>
      </c>
      <c r="D6345" s="3" t="str">
        <f t="shared" si="408"/>
        <v>SÁBADO</v>
      </c>
      <c r="E6345" s="427"/>
      <c r="F6345" s="31">
        <f>IFERROR(VLOOKUP(E6345,BD!$L$2:$Q$244,2,0),0)</f>
        <v>0</v>
      </c>
      <c r="G6345" s="424"/>
      <c r="H6345" s="31">
        <f>+IFERROR(VLOOKUP(E6345,BD!$L$2:$Q$244,6,0),0)</f>
        <v>0</v>
      </c>
      <c r="I6345" s="626">
        <f>IFERROR(G6345*VLOOKUP($E6345,BD!$L$2:$Q$244,5,0),0)</f>
        <v>0</v>
      </c>
      <c r="J6345" s="3">
        <f t="shared" si="409"/>
        <v>1900</v>
      </c>
    </row>
    <row r="6346" spans="1:10" s="9" customFormat="1" x14ac:dyDescent="0.25">
      <c r="A6346" s="447"/>
      <c r="B6346" s="55" t="str">
        <f t="shared" si="406"/>
        <v>ENERO</v>
      </c>
      <c r="C6346" s="55">
        <f t="shared" si="407"/>
        <v>1</v>
      </c>
      <c r="D6346" s="3" t="str">
        <f t="shared" si="408"/>
        <v>SÁBADO</v>
      </c>
      <c r="E6346" s="427"/>
      <c r="F6346" s="31">
        <f>IFERROR(VLOOKUP(E6346,BD!$L$2:$Q$244,2,0),0)</f>
        <v>0</v>
      </c>
      <c r="G6346" s="424"/>
      <c r="H6346" s="31">
        <f>+IFERROR(VLOOKUP(E6346,BD!$L$2:$Q$244,6,0),0)</f>
        <v>0</v>
      </c>
      <c r="I6346" s="626">
        <f>IFERROR(G6346*VLOOKUP($E6346,BD!$L$2:$Q$244,5,0),0)</f>
        <v>0</v>
      </c>
      <c r="J6346" s="3">
        <f t="shared" si="409"/>
        <v>1900</v>
      </c>
    </row>
    <row r="6347" spans="1:10" s="9" customFormat="1" x14ac:dyDescent="0.25">
      <c r="A6347" s="447"/>
      <c r="B6347" s="55" t="str">
        <f t="shared" si="406"/>
        <v>ENERO</v>
      </c>
      <c r="C6347" s="55">
        <f t="shared" si="407"/>
        <v>1</v>
      </c>
      <c r="D6347" s="3" t="str">
        <f t="shared" si="408"/>
        <v>SÁBADO</v>
      </c>
      <c r="E6347" s="427"/>
      <c r="F6347" s="31">
        <f>IFERROR(VLOOKUP(E6347,BD!$L$2:$Q$244,2,0),0)</f>
        <v>0</v>
      </c>
      <c r="G6347" s="424"/>
      <c r="H6347" s="31">
        <f>+IFERROR(VLOOKUP(E6347,BD!$L$2:$Q$244,6,0),0)</f>
        <v>0</v>
      </c>
      <c r="I6347" s="626">
        <f>IFERROR(G6347*VLOOKUP($E6347,BD!$L$2:$Q$244,5,0),0)</f>
        <v>0</v>
      </c>
      <c r="J6347" s="3">
        <f t="shared" si="409"/>
        <v>1900</v>
      </c>
    </row>
    <row r="6348" spans="1:10" s="9" customFormat="1" x14ac:dyDescent="0.25">
      <c r="A6348" s="447"/>
      <c r="B6348" s="55" t="str">
        <f t="shared" si="406"/>
        <v>ENERO</v>
      </c>
      <c r="C6348" s="55">
        <f t="shared" si="407"/>
        <v>1</v>
      </c>
      <c r="D6348" s="3" t="str">
        <f t="shared" si="408"/>
        <v>SÁBADO</v>
      </c>
      <c r="E6348" s="427"/>
      <c r="F6348" s="31">
        <f>IFERROR(VLOOKUP(E6348,BD!$L$2:$Q$244,2,0),0)</f>
        <v>0</v>
      </c>
      <c r="G6348" s="424"/>
      <c r="H6348" s="31">
        <f>+IFERROR(VLOOKUP(E6348,BD!$L$2:$Q$244,6,0),0)</f>
        <v>0</v>
      </c>
      <c r="I6348" s="626">
        <f>IFERROR(G6348*VLOOKUP($E6348,BD!$L$2:$Q$244,5,0),0)</f>
        <v>0</v>
      </c>
      <c r="J6348" s="3">
        <f t="shared" si="409"/>
        <v>1900</v>
      </c>
    </row>
    <row r="6349" spans="1:10" s="9" customFormat="1" x14ac:dyDescent="0.25">
      <c r="A6349" s="447"/>
      <c r="B6349" s="55" t="str">
        <f t="shared" si="406"/>
        <v>ENERO</v>
      </c>
      <c r="C6349" s="55">
        <f t="shared" si="407"/>
        <v>1</v>
      </c>
      <c r="D6349" s="3" t="str">
        <f t="shared" si="408"/>
        <v>SÁBADO</v>
      </c>
      <c r="E6349" s="427"/>
      <c r="F6349" s="31">
        <f>IFERROR(VLOOKUP(E6349,BD!$L$2:$Q$244,2,0),0)</f>
        <v>0</v>
      </c>
      <c r="G6349" s="424"/>
      <c r="H6349" s="31">
        <f>+IFERROR(VLOOKUP(E6349,BD!$L$2:$Q$244,6,0),0)</f>
        <v>0</v>
      </c>
      <c r="I6349" s="626">
        <f>IFERROR(G6349*VLOOKUP($E6349,BD!$L$2:$Q$244,5,0),0)</f>
        <v>0</v>
      </c>
      <c r="J6349" s="3">
        <f t="shared" si="409"/>
        <v>1900</v>
      </c>
    </row>
    <row r="6350" spans="1:10" s="9" customFormat="1" x14ac:dyDescent="0.25">
      <c r="A6350" s="447"/>
      <c r="B6350" s="55" t="str">
        <f t="shared" si="406"/>
        <v>ENERO</v>
      </c>
      <c r="C6350" s="55">
        <f t="shared" si="407"/>
        <v>1</v>
      </c>
      <c r="D6350" s="3" t="str">
        <f t="shared" si="408"/>
        <v>SÁBADO</v>
      </c>
      <c r="E6350" s="427"/>
      <c r="F6350" s="31">
        <f>IFERROR(VLOOKUP(E6350,BD!$L$2:$Q$244,2,0),0)</f>
        <v>0</v>
      </c>
      <c r="G6350" s="424"/>
      <c r="H6350" s="31">
        <f>+IFERROR(VLOOKUP(E6350,BD!$L$2:$Q$244,6,0),0)</f>
        <v>0</v>
      </c>
      <c r="I6350" s="626">
        <f>IFERROR(G6350*VLOOKUP($E6350,BD!$L$2:$Q$244,5,0),0)</f>
        <v>0</v>
      </c>
      <c r="J6350" s="3">
        <f t="shared" si="409"/>
        <v>1900</v>
      </c>
    </row>
    <row r="6351" spans="1:10" s="9" customFormat="1" x14ac:dyDescent="0.25">
      <c r="A6351" s="447"/>
      <c r="B6351" s="55" t="str">
        <f t="shared" si="406"/>
        <v>ENERO</v>
      </c>
      <c r="C6351" s="55">
        <f t="shared" si="407"/>
        <v>1</v>
      </c>
      <c r="D6351" s="3" t="str">
        <f t="shared" si="408"/>
        <v>SÁBADO</v>
      </c>
      <c r="E6351" s="427"/>
      <c r="F6351" s="31">
        <f>IFERROR(VLOOKUP(E6351,BD!$L$2:$Q$244,2,0),0)</f>
        <v>0</v>
      </c>
      <c r="G6351" s="424"/>
      <c r="H6351" s="31">
        <f>+IFERROR(VLOOKUP(E6351,BD!$L$2:$Q$244,6,0),0)</f>
        <v>0</v>
      </c>
      <c r="I6351" s="626">
        <f>IFERROR(G6351*VLOOKUP($E6351,BD!$L$2:$Q$244,5,0),0)</f>
        <v>0</v>
      </c>
      <c r="J6351" s="3">
        <f t="shared" si="409"/>
        <v>1900</v>
      </c>
    </row>
    <row r="6352" spans="1:10" s="9" customFormat="1" x14ac:dyDescent="0.25">
      <c r="A6352" s="447"/>
      <c r="B6352" s="55" t="str">
        <f t="shared" si="406"/>
        <v>ENERO</v>
      </c>
      <c r="C6352" s="55">
        <f t="shared" si="407"/>
        <v>1</v>
      </c>
      <c r="D6352" s="3" t="str">
        <f t="shared" si="408"/>
        <v>SÁBADO</v>
      </c>
      <c r="E6352" s="427"/>
      <c r="F6352" s="31">
        <f>IFERROR(VLOOKUP(E6352,BD!$L$2:$Q$244,2,0),0)</f>
        <v>0</v>
      </c>
      <c r="G6352" s="424"/>
      <c r="H6352" s="31">
        <f>+IFERROR(VLOOKUP(E6352,BD!$L$2:$Q$244,6,0),0)</f>
        <v>0</v>
      </c>
      <c r="I6352" s="626">
        <f>IFERROR(G6352*VLOOKUP($E6352,BD!$L$2:$Q$244,5,0),0)</f>
        <v>0</v>
      </c>
      <c r="J6352" s="3">
        <f t="shared" si="409"/>
        <v>1900</v>
      </c>
    </row>
    <row r="6353" spans="1:10" s="9" customFormat="1" x14ac:dyDescent="0.25">
      <c r="A6353" s="447"/>
      <c r="B6353" s="55" t="str">
        <f t="shared" si="406"/>
        <v>ENERO</v>
      </c>
      <c r="C6353" s="55">
        <f t="shared" si="407"/>
        <v>1</v>
      </c>
      <c r="D6353" s="3" t="str">
        <f t="shared" si="408"/>
        <v>SÁBADO</v>
      </c>
      <c r="E6353" s="427"/>
      <c r="F6353" s="31">
        <f>IFERROR(VLOOKUP(E6353,BD!$L$2:$Q$244,2,0),0)</f>
        <v>0</v>
      </c>
      <c r="G6353" s="424"/>
      <c r="H6353" s="31">
        <f>+IFERROR(VLOOKUP(E6353,BD!$L$2:$Q$244,6,0),0)</f>
        <v>0</v>
      </c>
      <c r="I6353" s="626">
        <f>IFERROR(G6353*VLOOKUP($E6353,BD!$L$2:$Q$244,5,0),0)</f>
        <v>0</v>
      </c>
      <c r="J6353" s="3">
        <f t="shared" si="409"/>
        <v>1900</v>
      </c>
    </row>
    <row r="6354" spans="1:10" s="9" customFormat="1" x14ac:dyDescent="0.25">
      <c r="A6354" s="447"/>
      <c r="B6354" s="55" t="str">
        <f t="shared" si="406"/>
        <v>ENERO</v>
      </c>
      <c r="C6354" s="55">
        <f t="shared" si="407"/>
        <v>1</v>
      </c>
      <c r="D6354" s="3" t="str">
        <f t="shared" si="408"/>
        <v>SÁBADO</v>
      </c>
      <c r="E6354" s="427"/>
      <c r="F6354" s="31">
        <f>IFERROR(VLOOKUP(E6354,BD!$L$2:$Q$244,2,0),0)</f>
        <v>0</v>
      </c>
      <c r="G6354" s="424"/>
      <c r="H6354" s="31">
        <f>+IFERROR(VLOOKUP(E6354,BD!$L$2:$Q$244,6,0),0)</f>
        <v>0</v>
      </c>
      <c r="I6354" s="626">
        <f>IFERROR(G6354*VLOOKUP($E6354,BD!$L$2:$Q$244,5,0),0)</f>
        <v>0</v>
      </c>
      <c r="J6354" s="3">
        <f t="shared" si="409"/>
        <v>1900</v>
      </c>
    </row>
    <row r="6355" spans="1:10" s="9" customFormat="1" x14ac:dyDescent="0.25">
      <c r="A6355" s="447"/>
      <c r="B6355" s="55" t="str">
        <f t="shared" si="406"/>
        <v>ENERO</v>
      </c>
      <c r="C6355" s="55">
        <f t="shared" si="407"/>
        <v>1</v>
      </c>
      <c r="D6355" s="3" t="str">
        <f t="shared" si="408"/>
        <v>SÁBADO</v>
      </c>
      <c r="E6355" s="427"/>
      <c r="F6355" s="31">
        <f>IFERROR(VLOOKUP(E6355,BD!$L$2:$Q$244,2,0),0)</f>
        <v>0</v>
      </c>
      <c r="G6355" s="424"/>
      <c r="H6355" s="31">
        <f>+IFERROR(VLOOKUP(E6355,BD!$L$2:$Q$244,6,0),0)</f>
        <v>0</v>
      </c>
      <c r="I6355" s="626">
        <f>IFERROR(G6355*VLOOKUP($E6355,BD!$L$2:$Q$244,5,0),0)</f>
        <v>0</v>
      </c>
      <c r="J6355" s="3">
        <f t="shared" si="409"/>
        <v>1900</v>
      </c>
    </row>
    <row r="6356" spans="1:10" s="9" customFormat="1" x14ac:dyDescent="0.25">
      <c r="A6356" s="447"/>
      <c r="B6356" s="55" t="str">
        <f t="shared" si="406"/>
        <v>ENERO</v>
      </c>
      <c r="C6356" s="55">
        <f t="shared" si="407"/>
        <v>1</v>
      </c>
      <c r="D6356" s="3" t="str">
        <f t="shared" si="408"/>
        <v>SÁBADO</v>
      </c>
      <c r="E6356" s="427"/>
      <c r="F6356" s="31">
        <f>IFERROR(VLOOKUP(E6356,BD!$L$2:$Q$244,2,0),0)</f>
        <v>0</v>
      </c>
      <c r="G6356" s="424"/>
      <c r="H6356" s="31">
        <f>+IFERROR(VLOOKUP(E6356,BD!$L$2:$Q$244,6,0),0)</f>
        <v>0</v>
      </c>
      <c r="I6356" s="626">
        <f>IFERROR(G6356*VLOOKUP($E6356,BD!$L$2:$Q$244,5,0),0)</f>
        <v>0</v>
      </c>
      <c r="J6356" s="3">
        <f t="shared" si="409"/>
        <v>1900</v>
      </c>
    </row>
    <row r="6357" spans="1:10" s="9" customFormat="1" x14ac:dyDescent="0.25">
      <c r="A6357" s="447"/>
      <c r="B6357" s="55" t="str">
        <f t="shared" si="406"/>
        <v>ENERO</v>
      </c>
      <c r="C6357" s="55">
        <f t="shared" si="407"/>
        <v>1</v>
      </c>
      <c r="D6357" s="3" t="str">
        <f t="shared" si="408"/>
        <v>SÁBADO</v>
      </c>
      <c r="E6357" s="427"/>
      <c r="F6357" s="31">
        <f>IFERROR(VLOOKUP(E6357,BD!$L$2:$Q$244,2,0),0)</f>
        <v>0</v>
      </c>
      <c r="G6357" s="424"/>
      <c r="H6357" s="31">
        <f>+IFERROR(VLOOKUP(E6357,BD!$L$2:$Q$244,6,0),0)</f>
        <v>0</v>
      </c>
      <c r="I6357" s="626">
        <f>IFERROR(G6357*VLOOKUP($E6357,BD!$L$2:$Q$244,5,0),0)</f>
        <v>0</v>
      </c>
      <c r="J6357" s="3">
        <f t="shared" si="409"/>
        <v>1900</v>
      </c>
    </row>
    <row r="6358" spans="1:10" s="9" customFormat="1" x14ac:dyDescent="0.25">
      <c r="A6358" s="447"/>
      <c r="B6358" s="55" t="str">
        <f t="shared" si="406"/>
        <v>ENERO</v>
      </c>
      <c r="C6358" s="55">
        <f t="shared" si="407"/>
        <v>1</v>
      </c>
      <c r="D6358" s="3" t="str">
        <f t="shared" si="408"/>
        <v>SÁBADO</v>
      </c>
      <c r="E6358" s="427"/>
      <c r="F6358" s="31">
        <f>IFERROR(VLOOKUP(E6358,BD!$L$2:$Q$244,2,0),0)</f>
        <v>0</v>
      </c>
      <c r="G6358" s="424"/>
      <c r="H6358" s="31">
        <f>+IFERROR(VLOOKUP(E6358,BD!$L$2:$Q$244,6,0),0)</f>
        <v>0</v>
      </c>
      <c r="I6358" s="626">
        <f>IFERROR(G6358*VLOOKUP($E6358,BD!$L$2:$Q$244,5,0),0)</f>
        <v>0</v>
      </c>
      <c r="J6358" s="3">
        <f t="shared" si="409"/>
        <v>1900</v>
      </c>
    </row>
    <row r="6359" spans="1:10" s="9" customFormat="1" x14ac:dyDescent="0.25">
      <c r="A6359" s="447"/>
      <c r="B6359" s="55" t="str">
        <f t="shared" si="406"/>
        <v>ENERO</v>
      </c>
      <c r="C6359" s="55">
        <f t="shared" si="407"/>
        <v>1</v>
      </c>
      <c r="D6359" s="3" t="str">
        <f t="shared" si="408"/>
        <v>SÁBADO</v>
      </c>
      <c r="E6359" s="427"/>
      <c r="F6359" s="31">
        <f>IFERROR(VLOOKUP(E6359,BD!$L$2:$Q$244,2,0),0)</f>
        <v>0</v>
      </c>
      <c r="G6359" s="424"/>
      <c r="H6359" s="31">
        <f>+IFERROR(VLOOKUP(E6359,BD!$L$2:$Q$244,6,0),0)</f>
        <v>0</v>
      </c>
      <c r="I6359" s="626">
        <f>IFERROR(G6359*VLOOKUP($E6359,BD!$L$2:$Q$244,5,0),0)</f>
        <v>0</v>
      </c>
      <c r="J6359" s="3">
        <f t="shared" si="409"/>
        <v>1900</v>
      </c>
    </row>
    <row r="6360" spans="1:10" s="9" customFormat="1" x14ac:dyDescent="0.25">
      <c r="A6360" s="447"/>
      <c r="B6360" s="55" t="str">
        <f t="shared" si="406"/>
        <v>ENERO</v>
      </c>
      <c r="C6360" s="55">
        <f t="shared" si="407"/>
        <v>1</v>
      </c>
      <c r="D6360" s="3" t="str">
        <f t="shared" si="408"/>
        <v>SÁBADO</v>
      </c>
      <c r="E6360" s="427"/>
      <c r="F6360" s="31">
        <f>IFERROR(VLOOKUP(E6360,BD!$L$2:$Q$244,2,0),0)</f>
        <v>0</v>
      </c>
      <c r="G6360" s="424"/>
      <c r="H6360" s="31">
        <f>+IFERROR(VLOOKUP(E6360,BD!$L$2:$Q$244,6,0),0)</f>
        <v>0</v>
      </c>
      <c r="I6360" s="626">
        <f>IFERROR(G6360*VLOOKUP($E6360,BD!$L$2:$Q$244,5,0),0)</f>
        <v>0</v>
      </c>
      <c r="J6360" s="3">
        <f t="shared" si="409"/>
        <v>1900</v>
      </c>
    </row>
    <row r="6361" spans="1:10" s="9" customFormat="1" x14ac:dyDescent="0.25">
      <c r="A6361" s="447"/>
      <c r="B6361" s="55" t="str">
        <f t="shared" si="406"/>
        <v>ENERO</v>
      </c>
      <c r="C6361" s="55">
        <f t="shared" si="407"/>
        <v>1</v>
      </c>
      <c r="D6361" s="3" t="str">
        <f t="shared" si="408"/>
        <v>SÁBADO</v>
      </c>
      <c r="E6361" s="427"/>
      <c r="F6361" s="31">
        <f>IFERROR(VLOOKUP(E6361,BD!$L$2:$Q$244,2,0),0)</f>
        <v>0</v>
      </c>
      <c r="G6361" s="424"/>
      <c r="H6361" s="31">
        <f>+IFERROR(VLOOKUP(E6361,BD!$L$2:$Q$244,6,0),0)</f>
        <v>0</v>
      </c>
      <c r="I6361" s="626">
        <f>IFERROR(G6361*VLOOKUP($E6361,BD!$L$2:$Q$244,5,0),0)</f>
        <v>0</v>
      </c>
      <c r="J6361" s="3">
        <f t="shared" si="409"/>
        <v>1900</v>
      </c>
    </row>
    <row r="6362" spans="1:10" s="9" customFormat="1" x14ac:dyDescent="0.25">
      <c r="A6362" s="447"/>
      <c r="B6362" s="55" t="str">
        <f t="shared" si="406"/>
        <v>ENERO</v>
      </c>
      <c r="C6362" s="55">
        <f t="shared" si="407"/>
        <v>1</v>
      </c>
      <c r="D6362" s="3" t="str">
        <f t="shared" si="408"/>
        <v>SÁBADO</v>
      </c>
      <c r="E6362" s="427"/>
      <c r="F6362" s="31">
        <f>IFERROR(VLOOKUP(E6362,BD!$L$2:$Q$244,2,0),0)</f>
        <v>0</v>
      </c>
      <c r="G6362" s="424"/>
      <c r="H6362" s="31">
        <f>+IFERROR(VLOOKUP(E6362,BD!$L$2:$Q$244,6,0),0)</f>
        <v>0</v>
      </c>
      <c r="I6362" s="626">
        <f>IFERROR(G6362*VLOOKUP($E6362,BD!$L$2:$Q$244,5,0),0)</f>
        <v>0</v>
      </c>
      <c r="J6362" s="3">
        <f t="shared" si="409"/>
        <v>1900</v>
      </c>
    </row>
    <row r="6363" spans="1:10" s="9" customFormat="1" x14ac:dyDescent="0.25">
      <c r="A6363" s="447"/>
      <c r="B6363" s="55" t="str">
        <f t="shared" si="406"/>
        <v>ENERO</v>
      </c>
      <c r="C6363" s="55">
        <f t="shared" si="407"/>
        <v>1</v>
      </c>
      <c r="D6363" s="3" t="str">
        <f t="shared" si="408"/>
        <v>SÁBADO</v>
      </c>
      <c r="E6363" s="427"/>
      <c r="F6363" s="31">
        <f>IFERROR(VLOOKUP(E6363,BD!$L$2:$Q$244,2,0),0)</f>
        <v>0</v>
      </c>
      <c r="G6363" s="424"/>
      <c r="H6363" s="31">
        <f>+IFERROR(VLOOKUP(E6363,BD!$L$2:$Q$244,6,0),0)</f>
        <v>0</v>
      </c>
      <c r="I6363" s="626">
        <f>IFERROR(G6363*VLOOKUP($E6363,BD!$L$2:$Q$244,5,0),0)</f>
        <v>0</v>
      </c>
      <c r="J6363" s="3">
        <f t="shared" si="409"/>
        <v>1900</v>
      </c>
    </row>
    <row r="6364" spans="1:10" s="9" customFormat="1" x14ac:dyDescent="0.25">
      <c r="A6364" s="447"/>
      <c r="B6364" s="55" t="str">
        <f t="shared" si="406"/>
        <v>ENERO</v>
      </c>
      <c r="C6364" s="55">
        <f t="shared" si="407"/>
        <v>1</v>
      </c>
      <c r="D6364" s="3" t="str">
        <f t="shared" si="408"/>
        <v>SÁBADO</v>
      </c>
      <c r="E6364" s="427"/>
      <c r="F6364" s="31">
        <f>IFERROR(VLOOKUP(E6364,BD!$L$2:$Q$244,2,0),0)</f>
        <v>0</v>
      </c>
      <c r="G6364" s="424"/>
      <c r="H6364" s="31">
        <f>+IFERROR(VLOOKUP(E6364,BD!$L$2:$Q$244,6,0),0)</f>
        <v>0</v>
      </c>
      <c r="I6364" s="626">
        <f>IFERROR(G6364*VLOOKUP($E6364,BD!$L$2:$Q$244,5,0),0)</f>
        <v>0</v>
      </c>
      <c r="J6364" s="3">
        <f t="shared" si="409"/>
        <v>1900</v>
      </c>
    </row>
    <row r="6365" spans="1:10" s="9" customFormat="1" x14ac:dyDescent="0.25">
      <c r="A6365" s="447"/>
      <c r="B6365" s="55" t="str">
        <f t="shared" si="406"/>
        <v>ENERO</v>
      </c>
      <c r="C6365" s="55">
        <f t="shared" si="407"/>
        <v>1</v>
      </c>
      <c r="D6365" s="3" t="str">
        <f t="shared" si="408"/>
        <v>SÁBADO</v>
      </c>
      <c r="E6365" s="427"/>
      <c r="F6365" s="31">
        <f>IFERROR(VLOOKUP(E6365,BD!$L$2:$Q$244,2,0),0)</f>
        <v>0</v>
      </c>
      <c r="G6365" s="424"/>
      <c r="H6365" s="31">
        <f>+IFERROR(VLOOKUP(E6365,BD!$L$2:$Q$244,6,0),0)</f>
        <v>0</v>
      </c>
      <c r="I6365" s="626">
        <f>IFERROR(G6365*VLOOKUP($E6365,BD!$L$2:$Q$244,5,0),0)</f>
        <v>0</v>
      </c>
      <c r="J6365" s="3">
        <f t="shared" si="409"/>
        <v>1900</v>
      </c>
    </row>
    <row r="6366" spans="1:10" s="9" customFormat="1" x14ac:dyDescent="0.25">
      <c r="A6366" s="447"/>
      <c r="B6366" s="55" t="str">
        <f t="shared" si="406"/>
        <v>ENERO</v>
      </c>
      <c r="C6366" s="55">
        <f t="shared" si="407"/>
        <v>1</v>
      </c>
      <c r="D6366" s="3" t="str">
        <f t="shared" si="408"/>
        <v>SÁBADO</v>
      </c>
      <c r="E6366" s="427"/>
      <c r="F6366" s="31">
        <f>IFERROR(VLOOKUP(E6366,BD!$L$2:$Q$244,2,0),0)</f>
        <v>0</v>
      </c>
      <c r="G6366" s="424"/>
      <c r="H6366" s="31">
        <f>+IFERROR(VLOOKUP(E6366,BD!$L$2:$Q$244,6,0),0)</f>
        <v>0</v>
      </c>
      <c r="I6366" s="626">
        <f>IFERROR(G6366*VLOOKUP($E6366,BD!$L$2:$Q$244,5,0),0)</f>
        <v>0</v>
      </c>
      <c r="J6366" s="3">
        <f t="shared" si="409"/>
        <v>1900</v>
      </c>
    </row>
    <row r="6367" spans="1:10" s="9" customFormat="1" x14ac:dyDescent="0.25">
      <c r="A6367" s="447"/>
      <c r="B6367" s="55" t="str">
        <f t="shared" si="406"/>
        <v>ENERO</v>
      </c>
      <c r="C6367" s="55">
        <f t="shared" si="407"/>
        <v>1</v>
      </c>
      <c r="D6367" s="3" t="str">
        <f t="shared" si="408"/>
        <v>SÁBADO</v>
      </c>
      <c r="E6367" s="427"/>
      <c r="F6367" s="31">
        <f>IFERROR(VLOOKUP(E6367,BD!$L$2:$Q$244,2,0),0)</f>
        <v>0</v>
      </c>
      <c r="G6367" s="424"/>
      <c r="H6367" s="31">
        <f>+IFERROR(VLOOKUP(E6367,BD!$L$2:$Q$244,6,0),0)</f>
        <v>0</v>
      </c>
      <c r="I6367" s="626">
        <f>IFERROR(G6367*VLOOKUP($E6367,BD!$L$2:$Q$244,5,0),0)</f>
        <v>0</v>
      </c>
      <c r="J6367" s="3">
        <f t="shared" si="409"/>
        <v>1900</v>
      </c>
    </row>
    <row r="6368" spans="1:10" s="9" customFormat="1" x14ac:dyDescent="0.25">
      <c r="A6368" s="447"/>
      <c r="B6368" s="55" t="str">
        <f t="shared" si="406"/>
        <v>ENERO</v>
      </c>
      <c r="C6368" s="55">
        <f t="shared" si="407"/>
        <v>1</v>
      </c>
      <c r="D6368" s="3" t="str">
        <f t="shared" si="408"/>
        <v>SÁBADO</v>
      </c>
      <c r="E6368" s="427"/>
      <c r="F6368" s="31">
        <f>IFERROR(VLOOKUP(E6368,BD!$L$2:$Q$244,2,0),0)</f>
        <v>0</v>
      </c>
      <c r="G6368" s="424"/>
      <c r="H6368" s="31">
        <f>+IFERROR(VLOOKUP(E6368,BD!$L$2:$Q$244,6,0),0)</f>
        <v>0</v>
      </c>
      <c r="I6368" s="626">
        <f>IFERROR(G6368*VLOOKUP($E6368,BD!$L$2:$Q$244,5,0),0)</f>
        <v>0</v>
      </c>
      <c r="J6368" s="3">
        <f t="shared" si="409"/>
        <v>1900</v>
      </c>
    </row>
    <row r="6369" spans="1:10" s="9" customFormat="1" x14ac:dyDescent="0.25">
      <c r="A6369" s="447"/>
      <c r="B6369" s="55" t="str">
        <f t="shared" si="406"/>
        <v>ENERO</v>
      </c>
      <c r="C6369" s="55">
        <f t="shared" si="407"/>
        <v>1</v>
      </c>
      <c r="D6369" s="3" t="str">
        <f t="shared" si="408"/>
        <v>SÁBADO</v>
      </c>
      <c r="E6369" s="427"/>
      <c r="F6369" s="31">
        <f>IFERROR(VLOOKUP(E6369,BD!$L$2:$Q$244,2,0),0)</f>
        <v>0</v>
      </c>
      <c r="G6369" s="424"/>
      <c r="H6369" s="31">
        <f>+IFERROR(VLOOKUP(E6369,BD!$L$2:$Q$244,6,0),0)</f>
        <v>0</v>
      </c>
      <c r="I6369" s="626">
        <f>IFERROR(G6369*VLOOKUP($E6369,BD!$L$2:$Q$244,5,0),0)</f>
        <v>0</v>
      </c>
      <c r="J6369" s="3">
        <f t="shared" si="409"/>
        <v>1900</v>
      </c>
    </row>
    <row r="6370" spans="1:10" s="9" customFormat="1" x14ac:dyDescent="0.25">
      <c r="A6370" s="447"/>
      <c r="B6370" s="55" t="str">
        <f t="shared" si="406"/>
        <v>ENERO</v>
      </c>
      <c r="C6370" s="55">
        <f t="shared" si="407"/>
        <v>1</v>
      </c>
      <c r="D6370" s="3" t="str">
        <f t="shared" si="408"/>
        <v>SÁBADO</v>
      </c>
      <c r="E6370" s="427"/>
      <c r="F6370" s="31">
        <f>IFERROR(VLOOKUP(E6370,BD!$L$2:$Q$244,2,0),0)</f>
        <v>0</v>
      </c>
      <c r="G6370" s="424"/>
      <c r="H6370" s="31">
        <f>+IFERROR(VLOOKUP(E6370,BD!$L$2:$Q$244,6,0),0)</f>
        <v>0</v>
      </c>
      <c r="I6370" s="626">
        <f>IFERROR(G6370*VLOOKUP($E6370,BD!$L$2:$Q$244,5,0),0)</f>
        <v>0</v>
      </c>
      <c r="J6370" s="3">
        <f t="shared" si="409"/>
        <v>1900</v>
      </c>
    </row>
    <row r="6371" spans="1:10" s="9" customFormat="1" x14ac:dyDescent="0.25">
      <c r="A6371" s="447"/>
      <c r="B6371" s="55" t="str">
        <f t="shared" si="406"/>
        <v>ENERO</v>
      </c>
      <c r="C6371" s="55">
        <f t="shared" si="407"/>
        <v>1</v>
      </c>
      <c r="D6371" s="3" t="str">
        <f t="shared" si="408"/>
        <v>SÁBADO</v>
      </c>
      <c r="E6371" s="427"/>
      <c r="F6371" s="31">
        <f>IFERROR(VLOOKUP(E6371,BD!$L$2:$Q$244,2,0),0)</f>
        <v>0</v>
      </c>
      <c r="G6371" s="424"/>
      <c r="H6371" s="31">
        <f>+IFERROR(VLOOKUP(E6371,BD!$L$2:$Q$244,6,0),0)</f>
        <v>0</v>
      </c>
      <c r="I6371" s="626">
        <f>IFERROR(G6371*VLOOKUP($E6371,BD!$L$2:$Q$244,5,0),0)</f>
        <v>0</v>
      </c>
      <c r="J6371" s="3">
        <f t="shared" si="409"/>
        <v>1900</v>
      </c>
    </row>
    <row r="6372" spans="1:10" s="9" customFormat="1" x14ac:dyDescent="0.25">
      <c r="A6372" s="447"/>
      <c r="B6372" s="55" t="str">
        <f t="shared" si="406"/>
        <v>ENERO</v>
      </c>
      <c r="C6372" s="55">
        <f t="shared" si="407"/>
        <v>1</v>
      </c>
      <c r="D6372" s="3" t="str">
        <f t="shared" si="408"/>
        <v>SÁBADO</v>
      </c>
      <c r="E6372" s="427"/>
      <c r="F6372" s="31">
        <f>IFERROR(VLOOKUP(E6372,BD!$L$2:$Q$244,2,0),0)</f>
        <v>0</v>
      </c>
      <c r="G6372" s="424"/>
      <c r="H6372" s="31">
        <f>+IFERROR(VLOOKUP(E6372,BD!$L$2:$Q$244,6,0),0)</f>
        <v>0</v>
      </c>
      <c r="I6372" s="626">
        <f>IFERROR(G6372*VLOOKUP($E6372,BD!$L$2:$Q$244,5,0),0)</f>
        <v>0</v>
      </c>
      <c r="J6372" s="3">
        <f t="shared" si="409"/>
        <v>1900</v>
      </c>
    </row>
    <row r="6373" spans="1:10" s="9" customFormat="1" x14ac:dyDescent="0.25">
      <c r="A6373" s="447"/>
      <c r="B6373" s="55" t="str">
        <f t="shared" si="406"/>
        <v>ENERO</v>
      </c>
      <c r="C6373" s="55">
        <f t="shared" si="407"/>
        <v>1</v>
      </c>
      <c r="D6373" s="3" t="str">
        <f t="shared" si="408"/>
        <v>SÁBADO</v>
      </c>
      <c r="E6373" s="427"/>
      <c r="F6373" s="31">
        <f>IFERROR(VLOOKUP(E6373,BD!$L$2:$Q$244,2,0),0)</f>
        <v>0</v>
      </c>
      <c r="G6373" s="424"/>
      <c r="H6373" s="31">
        <f>+IFERROR(VLOOKUP(E6373,BD!$L$2:$Q$244,6,0),0)</f>
        <v>0</v>
      </c>
      <c r="I6373" s="626">
        <f>IFERROR(G6373*VLOOKUP($E6373,BD!$L$2:$Q$244,5,0),0)</f>
        <v>0</v>
      </c>
      <c r="J6373" s="3">
        <f t="shared" si="409"/>
        <v>1900</v>
      </c>
    </row>
    <row r="6374" spans="1:10" s="9" customFormat="1" x14ac:dyDescent="0.25">
      <c r="A6374" s="447"/>
      <c r="B6374" s="55" t="str">
        <f t="shared" si="406"/>
        <v>ENERO</v>
      </c>
      <c r="C6374" s="55">
        <f t="shared" si="407"/>
        <v>1</v>
      </c>
      <c r="D6374" s="3" t="str">
        <f t="shared" si="408"/>
        <v>SÁBADO</v>
      </c>
      <c r="E6374" s="427"/>
      <c r="F6374" s="31">
        <f>IFERROR(VLOOKUP(E6374,BD!$L$2:$Q$244,2,0),0)</f>
        <v>0</v>
      </c>
      <c r="G6374" s="424"/>
      <c r="H6374" s="31">
        <f>+IFERROR(VLOOKUP(E6374,BD!$L$2:$Q$244,6,0),0)</f>
        <v>0</v>
      </c>
      <c r="I6374" s="626">
        <f>IFERROR(G6374*VLOOKUP($E6374,BD!$L$2:$Q$244,5,0),0)</f>
        <v>0</v>
      </c>
      <c r="J6374" s="3">
        <f t="shared" si="409"/>
        <v>1900</v>
      </c>
    </row>
    <row r="6375" spans="1:10" s="9" customFormat="1" x14ac:dyDescent="0.25">
      <c r="A6375" s="447"/>
      <c r="B6375" s="55" t="str">
        <f t="shared" si="406"/>
        <v>ENERO</v>
      </c>
      <c r="C6375" s="55">
        <f t="shared" si="407"/>
        <v>1</v>
      </c>
      <c r="D6375" s="3" t="str">
        <f t="shared" si="408"/>
        <v>SÁBADO</v>
      </c>
      <c r="E6375" s="427"/>
      <c r="F6375" s="31">
        <f>IFERROR(VLOOKUP(E6375,BD!$L$2:$Q$244,2,0),0)</f>
        <v>0</v>
      </c>
      <c r="G6375" s="424"/>
      <c r="H6375" s="31">
        <f>+IFERROR(VLOOKUP(E6375,BD!$L$2:$Q$244,6,0),0)</f>
        <v>0</v>
      </c>
      <c r="I6375" s="626">
        <f>IFERROR(G6375*VLOOKUP($E6375,BD!$L$2:$Q$244,5,0),0)</f>
        <v>0</v>
      </c>
      <c r="J6375" s="3">
        <f t="shared" si="409"/>
        <v>1900</v>
      </c>
    </row>
    <row r="6376" spans="1:10" s="9" customFormat="1" x14ac:dyDescent="0.25">
      <c r="A6376" s="447"/>
      <c r="B6376" s="55" t="str">
        <f t="shared" si="406"/>
        <v>ENERO</v>
      </c>
      <c r="C6376" s="55">
        <f t="shared" si="407"/>
        <v>1</v>
      </c>
      <c r="D6376" s="3" t="str">
        <f t="shared" si="408"/>
        <v>SÁBADO</v>
      </c>
      <c r="E6376" s="427"/>
      <c r="F6376" s="31">
        <f>IFERROR(VLOOKUP(E6376,BD!$L$2:$Q$244,2,0),0)</f>
        <v>0</v>
      </c>
      <c r="G6376" s="424"/>
      <c r="H6376" s="31">
        <f>+IFERROR(VLOOKUP(E6376,BD!$L$2:$Q$244,6,0),0)</f>
        <v>0</v>
      </c>
      <c r="I6376" s="626">
        <f>IFERROR(G6376*VLOOKUP($E6376,BD!$L$2:$Q$244,5,0),0)</f>
        <v>0</v>
      </c>
      <c r="J6376" s="3">
        <f t="shared" si="409"/>
        <v>1900</v>
      </c>
    </row>
    <row r="6377" spans="1:10" s="9" customFormat="1" x14ac:dyDescent="0.25">
      <c r="A6377" s="447"/>
      <c r="B6377" s="55" t="str">
        <f t="shared" si="406"/>
        <v>ENERO</v>
      </c>
      <c r="C6377" s="55">
        <f t="shared" si="407"/>
        <v>1</v>
      </c>
      <c r="D6377" s="3" t="str">
        <f t="shared" si="408"/>
        <v>SÁBADO</v>
      </c>
      <c r="E6377" s="427"/>
      <c r="F6377" s="31">
        <f>IFERROR(VLOOKUP(E6377,BD!$L$2:$Q$244,2,0),0)</f>
        <v>0</v>
      </c>
      <c r="G6377" s="424"/>
      <c r="H6377" s="31">
        <f>+IFERROR(VLOOKUP(E6377,BD!$L$2:$Q$244,6,0),0)</f>
        <v>0</v>
      </c>
      <c r="I6377" s="626">
        <f>IFERROR(G6377*VLOOKUP($E6377,BD!$L$2:$Q$244,5,0),0)</f>
        <v>0</v>
      </c>
      <c r="J6377" s="3">
        <f t="shared" si="409"/>
        <v>1900</v>
      </c>
    </row>
    <row r="6378" spans="1:10" s="9" customFormat="1" x14ac:dyDescent="0.25">
      <c r="A6378" s="447"/>
      <c r="B6378" s="55" t="str">
        <f t="shared" si="406"/>
        <v>ENERO</v>
      </c>
      <c r="C6378" s="55">
        <f t="shared" si="407"/>
        <v>1</v>
      </c>
      <c r="D6378" s="3" t="str">
        <f t="shared" si="408"/>
        <v>SÁBADO</v>
      </c>
      <c r="E6378" s="427"/>
      <c r="F6378" s="31">
        <f>IFERROR(VLOOKUP(E6378,BD!$L$2:$Q$244,2,0),0)</f>
        <v>0</v>
      </c>
      <c r="G6378" s="424"/>
      <c r="H6378" s="31">
        <f>+IFERROR(VLOOKUP(E6378,BD!$L$2:$Q$244,6,0),0)</f>
        <v>0</v>
      </c>
      <c r="I6378" s="626">
        <f>IFERROR(G6378*VLOOKUP($E6378,BD!$L$2:$Q$244,5,0),0)</f>
        <v>0</v>
      </c>
      <c r="J6378" s="3">
        <f t="shared" si="409"/>
        <v>1900</v>
      </c>
    </row>
    <row r="6379" spans="1:10" s="9" customFormat="1" x14ac:dyDescent="0.25">
      <c r="A6379" s="447"/>
      <c r="B6379" s="55" t="str">
        <f t="shared" si="406"/>
        <v>ENERO</v>
      </c>
      <c r="C6379" s="55">
        <f t="shared" si="407"/>
        <v>1</v>
      </c>
      <c r="D6379" s="3" t="str">
        <f t="shared" si="408"/>
        <v>SÁBADO</v>
      </c>
      <c r="E6379" s="427"/>
      <c r="F6379" s="31">
        <f>IFERROR(VLOOKUP(E6379,BD!$L$2:$Q$244,2,0),0)</f>
        <v>0</v>
      </c>
      <c r="G6379" s="424"/>
      <c r="H6379" s="31">
        <f>+IFERROR(VLOOKUP(E6379,BD!$L$2:$Q$244,6,0),0)</f>
        <v>0</v>
      </c>
      <c r="I6379" s="626">
        <f>IFERROR(G6379*VLOOKUP($E6379,BD!$L$2:$Q$244,5,0),0)</f>
        <v>0</v>
      </c>
      <c r="J6379" s="3">
        <f t="shared" si="409"/>
        <v>1900</v>
      </c>
    </row>
    <row r="6380" spans="1:10" s="9" customFormat="1" x14ac:dyDescent="0.25">
      <c r="A6380" s="447"/>
      <c r="B6380" s="55" t="str">
        <f t="shared" si="406"/>
        <v>ENERO</v>
      </c>
      <c r="C6380" s="55">
        <f t="shared" si="407"/>
        <v>1</v>
      </c>
      <c r="D6380" s="3" t="str">
        <f t="shared" si="408"/>
        <v>SÁBADO</v>
      </c>
      <c r="E6380" s="427"/>
      <c r="F6380" s="31">
        <f>IFERROR(VLOOKUP(E6380,BD!$L$2:$Q$244,2,0),0)</f>
        <v>0</v>
      </c>
      <c r="G6380" s="424"/>
      <c r="H6380" s="31">
        <f>+IFERROR(VLOOKUP(E6380,BD!$L$2:$Q$244,6,0),0)</f>
        <v>0</v>
      </c>
      <c r="I6380" s="626">
        <f>IFERROR(G6380*VLOOKUP($E6380,BD!$L$2:$Q$244,5,0),0)</f>
        <v>0</v>
      </c>
      <c r="J6380" s="3">
        <f t="shared" si="409"/>
        <v>1900</v>
      </c>
    </row>
    <row r="6381" spans="1:10" s="9" customFormat="1" x14ac:dyDescent="0.25">
      <c r="A6381" s="447"/>
      <c r="B6381" s="55" t="str">
        <f t="shared" si="406"/>
        <v>ENERO</v>
      </c>
      <c r="C6381" s="55">
        <f t="shared" si="407"/>
        <v>1</v>
      </c>
      <c r="D6381" s="3" t="str">
        <f t="shared" si="408"/>
        <v>SÁBADO</v>
      </c>
      <c r="E6381" s="427"/>
      <c r="F6381" s="31">
        <f>IFERROR(VLOOKUP(E6381,BD!$L$2:$Q$244,2,0),0)</f>
        <v>0</v>
      </c>
      <c r="G6381" s="424"/>
      <c r="H6381" s="31">
        <f>+IFERROR(VLOOKUP(E6381,BD!$L$2:$Q$244,6,0),0)</f>
        <v>0</v>
      </c>
      <c r="I6381" s="626">
        <f>IFERROR(G6381*VLOOKUP($E6381,BD!$L$2:$Q$244,5,0),0)</f>
        <v>0</v>
      </c>
      <c r="J6381" s="3">
        <f t="shared" si="409"/>
        <v>1900</v>
      </c>
    </row>
    <row r="6382" spans="1:10" s="9" customFormat="1" x14ac:dyDescent="0.25">
      <c r="A6382" s="447"/>
      <c r="B6382" s="55" t="str">
        <f t="shared" si="406"/>
        <v>ENERO</v>
      </c>
      <c r="C6382" s="55">
        <f t="shared" si="407"/>
        <v>1</v>
      </c>
      <c r="D6382" s="3" t="str">
        <f t="shared" si="408"/>
        <v>SÁBADO</v>
      </c>
      <c r="E6382" s="427"/>
      <c r="F6382" s="31">
        <f>IFERROR(VLOOKUP(E6382,BD!$L$2:$Q$244,2,0),0)</f>
        <v>0</v>
      </c>
      <c r="G6382" s="424"/>
      <c r="H6382" s="31">
        <f>+IFERROR(VLOOKUP(E6382,BD!$L$2:$Q$244,6,0),0)</f>
        <v>0</v>
      </c>
      <c r="I6382" s="626">
        <f>IFERROR(G6382*VLOOKUP($E6382,BD!$L$2:$Q$244,5,0),0)</f>
        <v>0</v>
      </c>
      <c r="J6382" s="3">
        <f t="shared" si="409"/>
        <v>1900</v>
      </c>
    </row>
    <row r="6383" spans="1:10" s="9" customFormat="1" x14ac:dyDescent="0.25">
      <c r="A6383" s="447"/>
      <c r="B6383" s="55" t="str">
        <f t="shared" si="406"/>
        <v>ENERO</v>
      </c>
      <c r="C6383" s="55">
        <f t="shared" si="407"/>
        <v>1</v>
      </c>
      <c r="D6383" s="3" t="str">
        <f t="shared" si="408"/>
        <v>SÁBADO</v>
      </c>
      <c r="E6383" s="427"/>
      <c r="F6383" s="31">
        <f>IFERROR(VLOOKUP(E6383,BD!$L$2:$Q$244,2,0),0)</f>
        <v>0</v>
      </c>
      <c r="G6383" s="424"/>
      <c r="H6383" s="31">
        <f>+IFERROR(VLOOKUP(E6383,BD!$L$2:$Q$244,6,0),0)</f>
        <v>0</v>
      </c>
      <c r="I6383" s="626">
        <f>IFERROR(G6383*VLOOKUP($E6383,BD!$L$2:$Q$244,5,0),0)</f>
        <v>0</v>
      </c>
      <c r="J6383" s="3">
        <f t="shared" si="409"/>
        <v>1900</v>
      </c>
    </row>
    <row r="6384" spans="1:10" s="9" customFormat="1" x14ac:dyDescent="0.25">
      <c r="A6384" s="447"/>
      <c r="B6384" s="55" t="str">
        <f t="shared" si="406"/>
        <v>ENERO</v>
      </c>
      <c r="C6384" s="55">
        <f t="shared" si="407"/>
        <v>1</v>
      </c>
      <c r="D6384" s="3" t="str">
        <f t="shared" si="408"/>
        <v>SÁBADO</v>
      </c>
      <c r="E6384" s="427"/>
      <c r="F6384" s="31">
        <f>IFERROR(VLOOKUP(E6384,BD!$L$2:$Q$244,2,0),0)</f>
        <v>0</v>
      </c>
      <c r="G6384" s="424"/>
      <c r="H6384" s="31">
        <f>+IFERROR(VLOOKUP(E6384,BD!$L$2:$Q$244,6,0),0)</f>
        <v>0</v>
      </c>
      <c r="I6384" s="626">
        <f>IFERROR(G6384*VLOOKUP($E6384,BD!$L$2:$Q$244,5,0),0)</f>
        <v>0</v>
      </c>
      <c r="J6384" s="3">
        <f t="shared" si="409"/>
        <v>1900</v>
      </c>
    </row>
    <row r="6385" spans="1:10" s="9" customFormat="1" x14ac:dyDescent="0.25">
      <c r="A6385" s="447"/>
      <c r="B6385" s="55" t="str">
        <f t="shared" si="406"/>
        <v>ENERO</v>
      </c>
      <c r="C6385" s="55">
        <f t="shared" si="407"/>
        <v>1</v>
      </c>
      <c r="D6385" s="3" t="str">
        <f t="shared" si="408"/>
        <v>SÁBADO</v>
      </c>
      <c r="E6385" s="427"/>
      <c r="F6385" s="31">
        <f>IFERROR(VLOOKUP(E6385,BD!$L$2:$Q$244,2,0),0)</f>
        <v>0</v>
      </c>
      <c r="G6385" s="424"/>
      <c r="H6385" s="31">
        <f>+IFERROR(VLOOKUP(E6385,BD!$L$2:$Q$244,6,0),0)</f>
        <v>0</v>
      </c>
      <c r="I6385" s="626">
        <f>IFERROR(G6385*VLOOKUP($E6385,BD!$L$2:$Q$244,5,0),0)</f>
        <v>0</v>
      </c>
      <c r="J6385" s="3">
        <f t="shared" si="409"/>
        <v>1900</v>
      </c>
    </row>
    <row r="6386" spans="1:10" s="9" customFormat="1" x14ac:dyDescent="0.25">
      <c r="A6386" s="447"/>
      <c r="B6386" s="55" t="str">
        <f t="shared" si="406"/>
        <v>ENERO</v>
      </c>
      <c r="C6386" s="55">
        <f t="shared" si="407"/>
        <v>1</v>
      </c>
      <c r="D6386" s="3" t="str">
        <f t="shared" si="408"/>
        <v>SÁBADO</v>
      </c>
      <c r="E6386" s="427"/>
      <c r="F6386" s="31">
        <f>IFERROR(VLOOKUP(E6386,BD!$L$2:$Q$244,2,0),0)</f>
        <v>0</v>
      </c>
      <c r="G6386" s="424"/>
      <c r="H6386" s="31">
        <f>+IFERROR(VLOOKUP(E6386,BD!$L$2:$Q$244,6,0),0)</f>
        <v>0</v>
      </c>
      <c r="I6386" s="626">
        <f>IFERROR(G6386*VLOOKUP($E6386,BD!$L$2:$Q$244,5,0),0)</f>
        <v>0</v>
      </c>
      <c r="J6386" s="3">
        <f t="shared" si="409"/>
        <v>1900</v>
      </c>
    </row>
    <row r="6387" spans="1:10" s="9" customFormat="1" x14ac:dyDescent="0.25">
      <c r="A6387" s="447"/>
      <c r="B6387" s="55" t="str">
        <f t="shared" si="406"/>
        <v>ENERO</v>
      </c>
      <c r="C6387" s="55">
        <f t="shared" si="407"/>
        <v>1</v>
      </c>
      <c r="D6387" s="3" t="str">
        <f t="shared" si="408"/>
        <v>SÁBADO</v>
      </c>
      <c r="E6387" s="427"/>
      <c r="F6387" s="31">
        <f>IFERROR(VLOOKUP(E6387,BD!$L$2:$Q$244,2,0),0)</f>
        <v>0</v>
      </c>
      <c r="G6387" s="424"/>
      <c r="H6387" s="31">
        <f>+IFERROR(VLOOKUP(E6387,BD!$L$2:$Q$244,6,0),0)</f>
        <v>0</v>
      </c>
      <c r="I6387" s="626">
        <f>IFERROR(G6387*VLOOKUP($E6387,BD!$L$2:$Q$244,5,0),0)</f>
        <v>0</v>
      </c>
      <c r="J6387" s="3">
        <f t="shared" si="409"/>
        <v>1900</v>
      </c>
    </row>
    <row r="6388" spans="1:10" s="9" customFormat="1" x14ac:dyDescent="0.25">
      <c r="A6388" s="447"/>
      <c r="B6388" s="55" t="str">
        <f t="shared" si="406"/>
        <v>ENERO</v>
      </c>
      <c r="C6388" s="55">
        <f t="shared" si="407"/>
        <v>1</v>
      </c>
      <c r="D6388" s="3" t="str">
        <f t="shared" si="408"/>
        <v>SÁBADO</v>
      </c>
      <c r="E6388" s="427"/>
      <c r="F6388" s="31">
        <f>IFERROR(VLOOKUP(E6388,BD!$L$2:$Q$244,2,0),0)</f>
        <v>0</v>
      </c>
      <c r="G6388" s="424"/>
      <c r="H6388" s="31">
        <f>+IFERROR(VLOOKUP(E6388,BD!$L$2:$Q$244,6,0),0)</f>
        <v>0</v>
      </c>
      <c r="I6388" s="626">
        <f>IFERROR(G6388*VLOOKUP($E6388,BD!$L$2:$Q$244,5,0),0)</f>
        <v>0</v>
      </c>
      <c r="J6388" s="3">
        <f t="shared" si="409"/>
        <v>1900</v>
      </c>
    </row>
    <row r="6389" spans="1:10" s="9" customFormat="1" x14ac:dyDescent="0.25">
      <c r="A6389" s="447"/>
      <c r="B6389" s="55" t="str">
        <f t="shared" si="406"/>
        <v>ENERO</v>
      </c>
      <c r="C6389" s="55">
        <f t="shared" si="407"/>
        <v>1</v>
      </c>
      <c r="D6389" s="3" t="str">
        <f t="shared" si="408"/>
        <v>SÁBADO</v>
      </c>
      <c r="E6389" s="427"/>
      <c r="F6389" s="31">
        <f>IFERROR(VLOOKUP(E6389,BD!$L$2:$Q$244,2,0),0)</f>
        <v>0</v>
      </c>
      <c r="G6389" s="424"/>
      <c r="H6389" s="31">
        <f>+IFERROR(VLOOKUP(E6389,BD!$L$2:$Q$244,6,0),0)</f>
        <v>0</v>
      </c>
      <c r="I6389" s="626">
        <f>IFERROR(G6389*VLOOKUP($E6389,BD!$L$2:$Q$244,5,0),0)</f>
        <v>0</v>
      </c>
      <c r="J6389" s="3">
        <f t="shared" si="409"/>
        <v>1900</v>
      </c>
    </row>
    <row r="6390" spans="1:10" s="9" customFormat="1" x14ac:dyDescent="0.25">
      <c r="A6390" s="447"/>
      <c r="B6390" s="55" t="str">
        <f t="shared" si="406"/>
        <v>ENERO</v>
      </c>
      <c r="C6390" s="55">
        <f t="shared" si="407"/>
        <v>1</v>
      </c>
      <c r="D6390" s="3" t="str">
        <f t="shared" si="408"/>
        <v>SÁBADO</v>
      </c>
      <c r="E6390" s="427"/>
      <c r="F6390" s="31">
        <f>IFERROR(VLOOKUP(E6390,BD!$L$2:$Q$244,2,0),0)</f>
        <v>0</v>
      </c>
      <c r="G6390" s="424"/>
      <c r="H6390" s="31">
        <f>+IFERROR(VLOOKUP(E6390,BD!$L$2:$Q$244,6,0),0)</f>
        <v>0</v>
      </c>
      <c r="I6390" s="626">
        <f>IFERROR(G6390*VLOOKUP($E6390,BD!$L$2:$Q$244,5,0),0)</f>
        <v>0</v>
      </c>
      <c r="J6390" s="3">
        <f t="shared" si="409"/>
        <v>1900</v>
      </c>
    </row>
    <row r="6391" spans="1:10" s="9" customFormat="1" x14ac:dyDescent="0.25">
      <c r="A6391" s="447"/>
      <c r="B6391" s="55" t="str">
        <f t="shared" si="406"/>
        <v>ENERO</v>
      </c>
      <c r="C6391" s="55">
        <f t="shared" si="407"/>
        <v>1</v>
      </c>
      <c r="D6391" s="3" t="str">
        <f t="shared" si="408"/>
        <v>SÁBADO</v>
      </c>
      <c r="E6391" s="427"/>
      <c r="F6391" s="31">
        <f>IFERROR(VLOOKUP(E6391,BD!$L$2:$Q$244,2,0),0)</f>
        <v>0</v>
      </c>
      <c r="G6391" s="424"/>
      <c r="H6391" s="31">
        <f>+IFERROR(VLOOKUP(E6391,BD!$L$2:$Q$244,6,0),0)</f>
        <v>0</v>
      </c>
      <c r="I6391" s="626">
        <f>IFERROR(G6391*VLOOKUP($E6391,BD!$L$2:$Q$244,5,0),0)</f>
        <v>0</v>
      </c>
      <c r="J6391" s="3">
        <f t="shared" si="409"/>
        <v>1900</v>
      </c>
    </row>
    <row r="6392" spans="1:10" s="9" customFormat="1" x14ac:dyDescent="0.25">
      <c r="A6392" s="447"/>
      <c r="B6392" s="55" t="str">
        <f t="shared" si="406"/>
        <v>ENERO</v>
      </c>
      <c r="C6392" s="55">
        <f t="shared" si="407"/>
        <v>1</v>
      </c>
      <c r="D6392" s="3" t="str">
        <f t="shared" si="408"/>
        <v>SÁBADO</v>
      </c>
      <c r="E6392" s="427"/>
      <c r="F6392" s="31">
        <f>IFERROR(VLOOKUP(E6392,BD!$L$2:$Q$244,2,0),0)</f>
        <v>0</v>
      </c>
      <c r="G6392" s="424"/>
      <c r="H6392" s="31">
        <f>+IFERROR(VLOOKUP(E6392,BD!$L$2:$Q$244,6,0),0)</f>
        <v>0</v>
      </c>
      <c r="I6392" s="626">
        <f>IFERROR(G6392*VLOOKUP($E6392,BD!$L$2:$Q$244,5,0),0)</f>
        <v>0</v>
      </c>
      <c r="J6392" s="3">
        <f t="shared" si="409"/>
        <v>1900</v>
      </c>
    </row>
    <row r="6393" spans="1:10" s="9" customFormat="1" x14ac:dyDescent="0.25">
      <c r="A6393" s="447"/>
      <c r="B6393" s="55" t="str">
        <f t="shared" si="406"/>
        <v>ENERO</v>
      </c>
      <c r="C6393" s="55">
        <f t="shared" si="407"/>
        <v>1</v>
      </c>
      <c r="D6393" s="3" t="str">
        <f t="shared" si="408"/>
        <v>SÁBADO</v>
      </c>
      <c r="E6393" s="427"/>
      <c r="F6393" s="31">
        <f>IFERROR(VLOOKUP(E6393,BD!$L$2:$Q$244,2,0),0)</f>
        <v>0</v>
      </c>
      <c r="G6393" s="424"/>
      <c r="H6393" s="31">
        <f>+IFERROR(VLOOKUP(E6393,BD!$L$2:$Q$244,6,0),0)</f>
        <v>0</v>
      </c>
      <c r="I6393" s="626">
        <f>IFERROR(G6393*VLOOKUP($E6393,BD!$L$2:$Q$244,5,0),0)</f>
        <v>0</v>
      </c>
      <c r="J6393" s="3">
        <f t="shared" si="409"/>
        <v>1900</v>
      </c>
    </row>
    <row r="6394" spans="1:10" s="9" customFormat="1" x14ac:dyDescent="0.25">
      <c r="A6394" s="447"/>
      <c r="B6394" s="55" t="str">
        <f t="shared" si="406"/>
        <v>ENERO</v>
      </c>
      <c r="C6394" s="55">
        <f t="shared" si="407"/>
        <v>1</v>
      </c>
      <c r="D6394" s="3" t="str">
        <f t="shared" si="408"/>
        <v>SÁBADO</v>
      </c>
      <c r="E6394" s="427"/>
      <c r="F6394" s="31">
        <f>IFERROR(VLOOKUP(E6394,BD!$L$2:$Q$244,2,0),0)</f>
        <v>0</v>
      </c>
      <c r="G6394" s="424"/>
      <c r="H6394" s="31">
        <f>+IFERROR(VLOOKUP(E6394,BD!$L$2:$Q$244,6,0),0)</f>
        <v>0</v>
      </c>
      <c r="I6394" s="626">
        <f>IFERROR(G6394*VLOOKUP($E6394,BD!$L$2:$Q$244,5,0),0)</f>
        <v>0</v>
      </c>
      <c r="J6394" s="3">
        <f t="shared" si="409"/>
        <v>1900</v>
      </c>
    </row>
    <row r="6395" spans="1:10" s="9" customFormat="1" x14ac:dyDescent="0.25">
      <c r="A6395" s="447"/>
      <c r="B6395" s="55" t="str">
        <f t="shared" si="406"/>
        <v>ENERO</v>
      </c>
      <c r="C6395" s="55">
        <f t="shared" si="407"/>
        <v>1</v>
      </c>
      <c r="D6395" s="3" t="str">
        <f t="shared" si="408"/>
        <v>SÁBADO</v>
      </c>
      <c r="E6395" s="427"/>
      <c r="F6395" s="31">
        <f>IFERROR(VLOOKUP(E6395,BD!$L$2:$Q$244,2,0),0)</f>
        <v>0</v>
      </c>
      <c r="G6395" s="424"/>
      <c r="H6395" s="31">
        <f>+IFERROR(VLOOKUP(E6395,BD!$L$2:$Q$244,6,0),0)</f>
        <v>0</v>
      </c>
      <c r="I6395" s="626">
        <f>IFERROR(G6395*VLOOKUP($E6395,BD!$L$2:$Q$244,5,0),0)</f>
        <v>0</v>
      </c>
      <c r="J6395" s="3">
        <f t="shared" si="409"/>
        <v>1900</v>
      </c>
    </row>
    <row r="6396" spans="1:10" s="9" customFormat="1" x14ac:dyDescent="0.25">
      <c r="A6396" s="447"/>
      <c r="B6396" s="55" t="str">
        <f t="shared" si="406"/>
        <v>ENERO</v>
      </c>
      <c r="C6396" s="55">
        <f t="shared" si="407"/>
        <v>1</v>
      </c>
      <c r="D6396" s="3" t="str">
        <f t="shared" si="408"/>
        <v>SÁBADO</v>
      </c>
      <c r="E6396" s="427"/>
      <c r="F6396" s="31">
        <f>IFERROR(VLOOKUP(E6396,BD!$L$2:$Q$244,2,0),0)</f>
        <v>0</v>
      </c>
      <c r="G6396" s="424"/>
      <c r="H6396" s="31">
        <f>+IFERROR(VLOOKUP(E6396,BD!$L$2:$Q$244,6,0),0)</f>
        <v>0</v>
      </c>
      <c r="I6396" s="626">
        <f>IFERROR(G6396*VLOOKUP($E6396,BD!$L$2:$Q$244,5,0),0)</f>
        <v>0</v>
      </c>
      <c r="J6396" s="3">
        <f t="shared" si="409"/>
        <v>1900</v>
      </c>
    </row>
    <row r="6397" spans="1:10" s="9" customFormat="1" x14ac:dyDescent="0.25">
      <c r="A6397" s="447"/>
      <c r="B6397" s="55" t="str">
        <f t="shared" ref="B6397:B6460" si="410">UPPER(TEXT(A6397,"MMMM"))</f>
        <v>ENERO</v>
      </c>
      <c r="C6397" s="55">
        <f t="shared" ref="C6397:C6460" si="411">WEEKNUM(A6397,16)</f>
        <v>1</v>
      </c>
      <c r="D6397" s="3" t="str">
        <f t="shared" ref="D6397:D6460" si="412">UPPER(TEXT(A6397,"DDDD"))</f>
        <v>SÁBADO</v>
      </c>
      <c r="E6397" s="427"/>
      <c r="F6397" s="31">
        <f>IFERROR(VLOOKUP(E6397,BD!$L$2:$Q$244,2,0),0)</f>
        <v>0</v>
      </c>
      <c r="G6397" s="424"/>
      <c r="H6397" s="31">
        <f>+IFERROR(VLOOKUP(E6397,BD!$L$2:$Q$244,6,0),0)</f>
        <v>0</v>
      </c>
      <c r="I6397" s="626">
        <f>IFERROR(G6397*VLOOKUP($E6397,BD!$L$2:$Q$244,5,0),0)</f>
        <v>0</v>
      </c>
      <c r="J6397" s="3">
        <f t="shared" ref="J6397:J6460" si="413">+YEAR(A6397)</f>
        <v>1900</v>
      </c>
    </row>
    <row r="6398" spans="1:10" s="9" customFormat="1" x14ac:dyDescent="0.25">
      <c r="A6398" s="447"/>
      <c r="B6398" s="55" t="str">
        <f t="shared" si="410"/>
        <v>ENERO</v>
      </c>
      <c r="C6398" s="55">
        <f t="shared" si="411"/>
        <v>1</v>
      </c>
      <c r="D6398" s="3" t="str">
        <f t="shared" si="412"/>
        <v>SÁBADO</v>
      </c>
      <c r="E6398" s="427"/>
      <c r="F6398" s="31">
        <f>IFERROR(VLOOKUP(E6398,BD!$L$2:$Q$244,2,0),0)</f>
        <v>0</v>
      </c>
      <c r="G6398" s="424"/>
      <c r="H6398" s="31">
        <f>+IFERROR(VLOOKUP(E6398,BD!$L$2:$Q$244,6,0),0)</f>
        <v>0</v>
      </c>
      <c r="I6398" s="626">
        <f>IFERROR(G6398*VLOOKUP($E6398,BD!$L$2:$Q$244,5,0),0)</f>
        <v>0</v>
      </c>
      <c r="J6398" s="3">
        <f t="shared" si="413"/>
        <v>1900</v>
      </c>
    </row>
    <row r="6399" spans="1:10" s="9" customFormat="1" x14ac:dyDescent="0.25">
      <c r="A6399" s="447"/>
      <c r="B6399" s="55" t="str">
        <f t="shared" si="410"/>
        <v>ENERO</v>
      </c>
      <c r="C6399" s="55">
        <f t="shared" si="411"/>
        <v>1</v>
      </c>
      <c r="D6399" s="3" t="str">
        <f t="shared" si="412"/>
        <v>SÁBADO</v>
      </c>
      <c r="E6399" s="427"/>
      <c r="F6399" s="31">
        <f>IFERROR(VLOOKUP(E6399,BD!$L$2:$Q$244,2,0),0)</f>
        <v>0</v>
      </c>
      <c r="G6399" s="424"/>
      <c r="H6399" s="31">
        <f>+IFERROR(VLOOKUP(E6399,BD!$L$2:$Q$244,6,0),0)</f>
        <v>0</v>
      </c>
      <c r="I6399" s="626">
        <f>IFERROR(G6399*VLOOKUP($E6399,BD!$L$2:$Q$244,5,0),0)</f>
        <v>0</v>
      </c>
      <c r="J6399" s="3">
        <f t="shared" si="413"/>
        <v>1900</v>
      </c>
    </row>
    <row r="6400" spans="1:10" s="9" customFormat="1" x14ac:dyDescent="0.25">
      <c r="A6400" s="447"/>
      <c r="B6400" s="55" t="str">
        <f t="shared" si="410"/>
        <v>ENERO</v>
      </c>
      <c r="C6400" s="55">
        <f t="shared" si="411"/>
        <v>1</v>
      </c>
      <c r="D6400" s="3" t="str">
        <f t="shared" si="412"/>
        <v>SÁBADO</v>
      </c>
      <c r="E6400" s="427"/>
      <c r="F6400" s="31">
        <f>IFERROR(VLOOKUP(E6400,BD!$L$2:$Q$244,2,0),0)</f>
        <v>0</v>
      </c>
      <c r="G6400" s="424"/>
      <c r="H6400" s="31">
        <f>+IFERROR(VLOOKUP(E6400,BD!$L$2:$Q$244,6,0),0)</f>
        <v>0</v>
      </c>
      <c r="I6400" s="626">
        <f>IFERROR(G6400*VLOOKUP($E6400,BD!$L$2:$Q$244,5,0),0)</f>
        <v>0</v>
      </c>
      <c r="J6400" s="3">
        <f t="shared" si="413"/>
        <v>1900</v>
      </c>
    </row>
    <row r="6401" spans="1:10" s="9" customFormat="1" x14ac:dyDescent="0.25">
      <c r="A6401" s="447"/>
      <c r="B6401" s="55" t="str">
        <f t="shared" si="410"/>
        <v>ENERO</v>
      </c>
      <c r="C6401" s="55">
        <f t="shared" si="411"/>
        <v>1</v>
      </c>
      <c r="D6401" s="3" t="str">
        <f t="shared" si="412"/>
        <v>SÁBADO</v>
      </c>
      <c r="E6401" s="427"/>
      <c r="F6401" s="31">
        <f>IFERROR(VLOOKUP(E6401,BD!$L$2:$Q$244,2,0),0)</f>
        <v>0</v>
      </c>
      <c r="G6401" s="424"/>
      <c r="H6401" s="31">
        <f>+IFERROR(VLOOKUP(E6401,BD!$L$2:$Q$244,6,0),0)</f>
        <v>0</v>
      </c>
      <c r="I6401" s="626">
        <f>IFERROR(G6401*VLOOKUP($E6401,BD!$L$2:$Q$244,5,0),0)</f>
        <v>0</v>
      </c>
      <c r="J6401" s="3">
        <f t="shared" si="413"/>
        <v>1900</v>
      </c>
    </row>
    <row r="6402" spans="1:10" s="9" customFormat="1" x14ac:dyDescent="0.25">
      <c r="A6402" s="447"/>
      <c r="B6402" s="55" t="str">
        <f t="shared" si="410"/>
        <v>ENERO</v>
      </c>
      <c r="C6402" s="55">
        <f t="shared" si="411"/>
        <v>1</v>
      </c>
      <c r="D6402" s="3" t="str">
        <f t="shared" si="412"/>
        <v>SÁBADO</v>
      </c>
      <c r="E6402" s="427"/>
      <c r="F6402" s="31">
        <f>IFERROR(VLOOKUP(E6402,BD!$L$2:$Q$244,2,0),0)</f>
        <v>0</v>
      </c>
      <c r="G6402" s="424"/>
      <c r="H6402" s="31">
        <f>+IFERROR(VLOOKUP(E6402,BD!$L$2:$Q$244,6,0),0)</f>
        <v>0</v>
      </c>
      <c r="I6402" s="626">
        <f>IFERROR(G6402*VLOOKUP($E6402,BD!$L$2:$Q$244,5,0),0)</f>
        <v>0</v>
      </c>
      <c r="J6402" s="3">
        <f t="shared" si="413"/>
        <v>1900</v>
      </c>
    </row>
    <row r="6403" spans="1:10" s="9" customFormat="1" x14ac:dyDescent="0.25">
      <c r="A6403" s="447"/>
      <c r="B6403" s="55" t="str">
        <f t="shared" si="410"/>
        <v>ENERO</v>
      </c>
      <c r="C6403" s="55">
        <f t="shared" si="411"/>
        <v>1</v>
      </c>
      <c r="D6403" s="3" t="str">
        <f t="shared" si="412"/>
        <v>SÁBADO</v>
      </c>
      <c r="E6403" s="427"/>
      <c r="F6403" s="31">
        <f>IFERROR(VLOOKUP(E6403,BD!$L$2:$Q$244,2,0),0)</f>
        <v>0</v>
      </c>
      <c r="G6403" s="424"/>
      <c r="H6403" s="31">
        <f>+IFERROR(VLOOKUP(E6403,BD!$L$2:$Q$244,6,0),0)</f>
        <v>0</v>
      </c>
      <c r="I6403" s="626">
        <f>IFERROR(G6403*VLOOKUP($E6403,BD!$L$2:$Q$244,5,0),0)</f>
        <v>0</v>
      </c>
      <c r="J6403" s="3">
        <f t="shared" si="413"/>
        <v>1900</v>
      </c>
    </row>
    <row r="6404" spans="1:10" s="9" customFormat="1" x14ac:dyDescent="0.25">
      <c r="A6404" s="447"/>
      <c r="B6404" s="55" t="str">
        <f t="shared" si="410"/>
        <v>ENERO</v>
      </c>
      <c r="C6404" s="55">
        <f t="shared" si="411"/>
        <v>1</v>
      </c>
      <c r="D6404" s="3" t="str">
        <f t="shared" si="412"/>
        <v>SÁBADO</v>
      </c>
      <c r="E6404" s="427"/>
      <c r="F6404" s="31">
        <f>IFERROR(VLOOKUP(E6404,BD!$L$2:$Q$244,2,0),0)</f>
        <v>0</v>
      </c>
      <c r="G6404" s="424"/>
      <c r="H6404" s="31">
        <f>+IFERROR(VLOOKUP(E6404,BD!$L$2:$Q$244,6,0),0)</f>
        <v>0</v>
      </c>
      <c r="I6404" s="626">
        <f>IFERROR(G6404*VLOOKUP($E6404,BD!$L$2:$Q$244,5,0),0)</f>
        <v>0</v>
      </c>
      <c r="J6404" s="3">
        <f t="shared" si="413"/>
        <v>1900</v>
      </c>
    </row>
    <row r="6405" spans="1:10" s="9" customFormat="1" x14ac:dyDescent="0.25">
      <c r="A6405" s="447"/>
      <c r="B6405" s="55" t="str">
        <f t="shared" si="410"/>
        <v>ENERO</v>
      </c>
      <c r="C6405" s="55">
        <f t="shared" si="411"/>
        <v>1</v>
      </c>
      <c r="D6405" s="3" t="str">
        <f t="shared" si="412"/>
        <v>SÁBADO</v>
      </c>
      <c r="E6405" s="427"/>
      <c r="F6405" s="31">
        <f>IFERROR(VLOOKUP(E6405,BD!$L$2:$Q$244,2,0),0)</f>
        <v>0</v>
      </c>
      <c r="G6405" s="424"/>
      <c r="H6405" s="31">
        <f>+IFERROR(VLOOKUP(E6405,BD!$L$2:$Q$244,6,0),0)</f>
        <v>0</v>
      </c>
      <c r="I6405" s="626">
        <f>IFERROR(G6405*VLOOKUP($E6405,BD!$L$2:$Q$244,5,0),0)</f>
        <v>0</v>
      </c>
      <c r="J6405" s="3">
        <f t="shared" si="413"/>
        <v>1900</v>
      </c>
    </row>
    <row r="6406" spans="1:10" s="9" customFormat="1" x14ac:dyDescent="0.25">
      <c r="A6406" s="447"/>
      <c r="B6406" s="55" t="str">
        <f t="shared" si="410"/>
        <v>ENERO</v>
      </c>
      <c r="C6406" s="55">
        <f t="shared" si="411"/>
        <v>1</v>
      </c>
      <c r="D6406" s="3" t="str">
        <f t="shared" si="412"/>
        <v>SÁBADO</v>
      </c>
      <c r="E6406" s="427"/>
      <c r="F6406" s="31">
        <f>IFERROR(VLOOKUP(E6406,BD!$L$2:$Q$244,2,0),0)</f>
        <v>0</v>
      </c>
      <c r="G6406" s="424"/>
      <c r="H6406" s="31">
        <f>+IFERROR(VLOOKUP(E6406,BD!$L$2:$Q$244,6,0),0)</f>
        <v>0</v>
      </c>
      <c r="I6406" s="626">
        <f>IFERROR(G6406*VLOOKUP($E6406,BD!$L$2:$Q$244,5,0),0)</f>
        <v>0</v>
      </c>
      <c r="J6406" s="3">
        <f t="shared" si="413"/>
        <v>1900</v>
      </c>
    </row>
    <row r="6407" spans="1:10" s="9" customFormat="1" x14ac:dyDescent="0.25">
      <c r="A6407" s="447"/>
      <c r="B6407" s="55" t="str">
        <f t="shared" si="410"/>
        <v>ENERO</v>
      </c>
      <c r="C6407" s="55">
        <f t="shared" si="411"/>
        <v>1</v>
      </c>
      <c r="D6407" s="3" t="str">
        <f t="shared" si="412"/>
        <v>SÁBADO</v>
      </c>
      <c r="E6407" s="427"/>
      <c r="F6407" s="31">
        <f>IFERROR(VLOOKUP(E6407,BD!$L$2:$Q$244,2,0),0)</f>
        <v>0</v>
      </c>
      <c r="G6407" s="424"/>
      <c r="H6407" s="31">
        <f>+IFERROR(VLOOKUP(E6407,BD!$L$2:$Q$244,6,0),0)</f>
        <v>0</v>
      </c>
      <c r="I6407" s="626">
        <f>IFERROR(G6407*VLOOKUP($E6407,BD!$L$2:$Q$244,5,0),0)</f>
        <v>0</v>
      </c>
      <c r="J6407" s="3">
        <f t="shared" si="413"/>
        <v>1900</v>
      </c>
    </row>
    <row r="6408" spans="1:10" s="9" customFormat="1" x14ac:dyDescent="0.25">
      <c r="A6408" s="447"/>
      <c r="B6408" s="55" t="str">
        <f t="shared" si="410"/>
        <v>ENERO</v>
      </c>
      <c r="C6408" s="55">
        <f t="shared" si="411"/>
        <v>1</v>
      </c>
      <c r="D6408" s="3" t="str">
        <f t="shared" si="412"/>
        <v>SÁBADO</v>
      </c>
      <c r="E6408" s="427"/>
      <c r="F6408" s="31">
        <f>IFERROR(VLOOKUP(E6408,BD!$L$2:$Q$244,2,0),0)</f>
        <v>0</v>
      </c>
      <c r="G6408" s="424"/>
      <c r="H6408" s="31">
        <f>+IFERROR(VLOOKUP(E6408,BD!$L$2:$Q$244,6,0),0)</f>
        <v>0</v>
      </c>
      <c r="I6408" s="626">
        <f>IFERROR(G6408*VLOOKUP($E6408,BD!$L$2:$Q$244,5,0),0)</f>
        <v>0</v>
      </c>
      <c r="J6408" s="3">
        <f t="shared" si="413"/>
        <v>1900</v>
      </c>
    </row>
    <row r="6409" spans="1:10" s="9" customFormat="1" x14ac:dyDescent="0.25">
      <c r="A6409" s="447"/>
      <c r="B6409" s="55" t="str">
        <f t="shared" si="410"/>
        <v>ENERO</v>
      </c>
      <c r="C6409" s="55">
        <f t="shared" si="411"/>
        <v>1</v>
      </c>
      <c r="D6409" s="3" t="str">
        <f t="shared" si="412"/>
        <v>SÁBADO</v>
      </c>
      <c r="E6409" s="427"/>
      <c r="F6409" s="31">
        <f>IFERROR(VLOOKUP(E6409,BD!$L$2:$Q$244,2,0),0)</f>
        <v>0</v>
      </c>
      <c r="G6409" s="424"/>
      <c r="H6409" s="31">
        <f>+IFERROR(VLOOKUP(E6409,BD!$L$2:$Q$244,6,0),0)</f>
        <v>0</v>
      </c>
      <c r="I6409" s="626">
        <f>IFERROR(G6409*VLOOKUP($E6409,BD!$L$2:$Q$244,5,0),0)</f>
        <v>0</v>
      </c>
      <c r="J6409" s="3">
        <f t="shared" si="413"/>
        <v>1900</v>
      </c>
    </row>
    <row r="6410" spans="1:10" s="9" customFormat="1" x14ac:dyDescent="0.25">
      <c r="A6410" s="447"/>
      <c r="B6410" s="55" t="str">
        <f t="shared" si="410"/>
        <v>ENERO</v>
      </c>
      <c r="C6410" s="55">
        <f t="shared" si="411"/>
        <v>1</v>
      </c>
      <c r="D6410" s="3" t="str">
        <f t="shared" si="412"/>
        <v>SÁBADO</v>
      </c>
      <c r="E6410" s="427"/>
      <c r="F6410" s="31">
        <f>IFERROR(VLOOKUP(E6410,BD!$L$2:$Q$244,2,0),0)</f>
        <v>0</v>
      </c>
      <c r="G6410" s="424"/>
      <c r="H6410" s="31">
        <f>+IFERROR(VLOOKUP(E6410,BD!$L$2:$Q$244,6,0),0)</f>
        <v>0</v>
      </c>
      <c r="I6410" s="626">
        <f>IFERROR(G6410*VLOOKUP($E6410,BD!$L$2:$Q$244,5,0),0)</f>
        <v>0</v>
      </c>
      <c r="J6410" s="3">
        <f t="shared" si="413"/>
        <v>1900</v>
      </c>
    </row>
    <row r="6411" spans="1:10" s="9" customFormat="1" x14ac:dyDescent="0.25">
      <c r="A6411" s="447"/>
      <c r="B6411" s="55" t="str">
        <f t="shared" si="410"/>
        <v>ENERO</v>
      </c>
      <c r="C6411" s="55">
        <f t="shared" si="411"/>
        <v>1</v>
      </c>
      <c r="D6411" s="3" t="str">
        <f t="shared" si="412"/>
        <v>SÁBADO</v>
      </c>
      <c r="E6411" s="427"/>
      <c r="F6411" s="31">
        <f>IFERROR(VLOOKUP(E6411,BD!$L$2:$Q$244,2,0),0)</f>
        <v>0</v>
      </c>
      <c r="G6411" s="424"/>
      <c r="H6411" s="31">
        <f>+IFERROR(VLOOKUP(E6411,BD!$L$2:$Q$244,6,0),0)</f>
        <v>0</v>
      </c>
      <c r="I6411" s="626">
        <f>IFERROR(G6411*VLOOKUP($E6411,BD!$L$2:$Q$244,5,0),0)</f>
        <v>0</v>
      </c>
      <c r="J6411" s="3">
        <f t="shared" si="413"/>
        <v>1900</v>
      </c>
    </row>
    <row r="6412" spans="1:10" s="9" customFormat="1" x14ac:dyDescent="0.25">
      <c r="A6412" s="447"/>
      <c r="B6412" s="55" t="str">
        <f t="shared" si="410"/>
        <v>ENERO</v>
      </c>
      <c r="C6412" s="55">
        <f t="shared" si="411"/>
        <v>1</v>
      </c>
      <c r="D6412" s="3" t="str">
        <f t="shared" si="412"/>
        <v>SÁBADO</v>
      </c>
      <c r="E6412" s="427"/>
      <c r="F6412" s="31">
        <f>IFERROR(VLOOKUP(E6412,BD!$L$2:$Q$244,2,0),0)</f>
        <v>0</v>
      </c>
      <c r="G6412" s="424"/>
      <c r="H6412" s="31">
        <f>+IFERROR(VLOOKUP(E6412,BD!$L$2:$Q$244,6,0),0)</f>
        <v>0</v>
      </c>
      <c r="I6412" s="626">
        <f>IFERROR(G6412*VLOOKUP($E6412,BD!$L$2:$Q$244,5,0),0)</f>
        <v>0</v>
      </c>
      <c r="J6412" s="3">
        <f t="shared" si="413"/>
        <v>1900</v>
      </c>
    </row>
    <row r="6413" spans="1:10" s="9" customFormat="1" x14ac:dyDescent="0.25">
      <c r="A6413" s="447"/>
      <c r="B6413" s="55" t="str">
        <f t="shared" si="410"/>
        <v>ENERO</v>
      </c>
      <c r="C6413" s="55">
        <f t="shared" si="411"/>
        <v>1</v>
      </c>
      <c r="D6413" s="3" t="str">
        <f t="shared" si="412"/>
        <v>SÁBADO</v>
      </c>
      <c r="E6413" s="427"/>
      <c r="F6413" s="31">
        <f>IFERROR(VLOOKUP(E6413,BD!$L$2:$Q$244,2,0),0)</f>
        <v>0</v>
      </c>
      <c r="G6413" s="424"/>
      <c r="H6413" s="31">
        <f>+IFERROR(VLOOKUP(E6413,BD!$L$2:$Q$244,6,0),0)</f>
        <v>0</v>
      </c>
      <c r="I6413" s="626">
        <f>IFERROR(G6413*VLOOKUP($E6413,BD!$L$2:$Q$244,5,0),0)</f>
        <v>0</v>
      </c>
      <c r="J6413" s="3">
        <f t="shared" si="413"/>
        <v>1900</v>
      </c>
    </row>
    <row r="6414" spans="1:10" s="9" customFormat="1" x14ac:dyDescent="0.25">
      <c r="A6414" s="447"/>
      <c r="B6414" s="55" t="str">
        <f t="shared" si="410"/>
        <v>ENERO</v>
      </c>
      <c r="C6414" s="55">
        <f t="shared" si="411"/>
        <v>1</v>
      </c>
      <c r="D6414" s="3" t="str">
        <f t="shared" si="412"/>
        <v>SÁBADO</v>
      </c>
      <c r="E6414" s="427"/>
      <c r="F6414" s="31">
        <f>IFERROR(VLOOKUP(E6414,BD!$L$2:$Q$244,2,0),0)</f>
        <v>0</v>
      </c>
      <c r="G6414" s="424"/>
      <c r="H6414" s="31">
        <f>+IFERROR(VLOOKUP(E6414,BD!$L$2:$Q$244,6,0),0)</f>
        <v>0</v>
      </c>
      <c r="I6414" s="626">
        <f>IFERROR(G6414*VLOOKUP($E6414,BD!$L$2:$Q$244,5,0),0)</f>
        <v>0</v>
      </c>
      <c r="J6414" s="3">
        <f t="shared" si="413"/>
        <v>1900</v>
      </c>
    </row>
    <row r="6415" spans="1:10" s="9" customFormat="1" x14ac:dyDescent="0.25">
      <c r="A6415" s="447"/>
      <c r="B6415" s="55" t="str">
        <f t="shared" si="410"/>
        <v>ENERO</v>
      </c>
      <c r="C6415" s="55">
        <f t="shared" si="411"/>
        <v>1</v>
      </c>
      <c r="D6415" s="3" t="str">
        <f t="shared" si="412"/>
        <v>SÁBADO</v>
      </c>
      <c r="E6415" s="427"/>
      <c r="F6415" s="31">
        <f>IFERROR(VLOOKUP(E6415,BD!$L$2:$Q$244,2,0),0)</f>
        <v>0</v>
      </c>
      <c r="G6415" s="424"/>
      <c r="H6415" s="31">
        <f>+IFERROR(VLOOKUP(E6415,BD!$L$2:$Q$244,6,0),0)</f>
        <v>0</v>
      </c>
      <c r="I6415" s="626">
        <f>IFERROR(G6415*VLOOKUP($E6415,BD!$L$2:$Q$244,5,0),0)</f>
        <v>0</v>
      </c>
      <c r="J6415" s="3">
        <f t="shared" si="413"/>
        <v>1900</v>
      </c>
    </row>
    <row r="6416" spans="1:10" s="9" customFormat="1" x14ac:dyDescent="0.25">
      <c r="A6416" s="447"/>
      <c r="B6416" s="55" t="str">
        <f t="shared" si="410"/>
        <v>ENERO</v>
      </c>
      <c r="C6416" s="55">
        <f t="shared" si="411"/>
        <v>1</v>
      </c>
      <c r="D6416" s="3" t="str">
        <f t="shared" si="412"/>
        <v>SÁBADO</v>
      </c>
      <c r="E6416" s="427"/>
      <c r="F6416" s="31">
        <f>IFERROR(VLOOKUP(E6416,BD!$L$2:$Q$244,2,0),0)</f>
        <v>0</v>
      </c>
      <c r="G6416" s="424"/>
      <c r="H6416" s="31">
        <f>+IFERROR(VLOOKUP(E6416,BD!$L$2:$Q$244,6,0),0)</f>
        <v>0</v>
      </c>
      <c r="I6416" s="626">
        <f>IFERROR(G6416*VLOOKUP($E6416,BD!$L$2:$Q$244,5,0),0)</f>
        <v>0</v>
      </c>
      <c r="J6416" s="3">
        <f t="shared" si="413"/>
        <v>1900</v>
      </c>
    </row>
    <row r="6417" spans="1:10" s="9" customFormat="1" x14ac:dyDescent="0.25">
      <c r="A6417" s="447"/>
      <c r="B6417" s="55" t="str">
        <f t="shared" si="410"/>
        <v>ENERO</v>
      </c>
      <c r="C6417" s="55">
        <f t="shared" si="411"/>
        <v>1</v>
      </c>
      <c r="D6417" s="3" t="str">
        <f t="shared" si="412"/>
        <v>SÁBADO</v>
      </c>
      <c r="E6417" s="427"/>
      <c r="F6417" s="31">
        <f>IFERROR(VLOOKUP(E6417,BD!$L$2:$Q$244,2,0),0)</f>
        <v>0</v>
      </c>
      <c r="G6417" s="424"/>
      <c r="H6417" s="31">
        <f>+IFERROR(VLOOKUP(E6417,BD!$L$2:$Q$244,6,0),0)</f>
        <v>0</v>
      </c>
      <c r="I6417" s="626">
        <f>IFERROR(G6417*VLOOKUP($E6417,BD!$L$2:$Q$244,5,0),0)</f>
        <v>0</v>
      </c>
      <c r="J6417" s="3">
        <f t="shared" si="413"/>
        <v>1900</v>
      </c>
    </row>
    <row r="6418" spans="1:10" s="9" customFormat="1" x14ac:dyDescent="0.25">
      <c r="A6418" s="447"/>
      <c r="B6418" s="55" t="str">
        <f t="shared" si="410"/>
        <v>ENERO</v>
      </c>
      <c r="C6418" s="55">
        <f t="shared" si="411"/>
        <v>1</v>
      </c>
      <c r="D6418" s="3" t="str">
        <f t="shared" si="412"/>
        <v>SÁBADO</v>
      </c>
      <c r="E6418" s="427"/>
      <c r="F6418" s="31">
        <f>IFERROR(VLOOKUP(E6418,BD!$L$2:$Q$244,2,0),0)</f>
        <v>0</v>
      </c>
      <c r="G6418" s="424"/>
      <c r="H6418" s="31">
        <f>+IFERROR(VLOOKUP(E6418,BD!$L$2:$Q$244,6,0),0)</f>
        <v>0</v>
      </c>
      <c r="I6418" s="626">
        <f>IFERROR(G6418*VLOOKUP($E6418,BD!$L$2:$Q$244,5,0),0)</f>
        <v>0</v>
      </c>
      <c r="J6418" s="3">
        <f t="shared" si="413"/>
        <v>1900</v>
      </c>
    </row>
    <row r="6419" spans="1:10" s="9" customFormat="1" x14ac:dyDescent="0.25">
      <c r="A6419" s="447"/>
      <c r="B6419" s="55" t="str">
        <f t="shared" si="410"/>
        <v>ENERO</v>
      </c>
      <c r="C6419" s="55">
        <f t="shared" si="411"/>
        <v>1</v>
      </c>
      <c r="D6419" s="3" t="str">
        <f t="shared" si="412"/>
        <v>SÁBADO</v>
      </c>
      <c r="E6419" s="427"/>
      <c r="F6419" s="31">
        <f>IFERROR(VLOOKUP(E6419,BD!$L$2:$Q$244,2,0),0)</f>
        <v>0</v>
      </c>
      <c r="G6419" s="424"/>
      <c r="H6419" s="31">
        <f>+IFERROR(VLOOKUP(E6419,BD!$L$2:$Q$244,6,0),0)</f>
        <v>0</v>
      </c>
      <c r="I6419" s="626">
        <f>IFERROR(G6419*VLOOKUP($E6419,BD!$L$2:$Q$244,5,0),0)</f>
        <v>0</v>
      </c>
      <c r="J6419" s="3">
        <f t="shared" si="413"/>
        <v>1900</v>
      </c>
    </row>
    <row r="6420" spans="1:10" s="9" customFormat="1" x14ac:dyDescent="0.25">
      <c r="A6420" s="447"/>
      <c r="B6420" s="55" t="str">
        <f t="shared" si="410"/>
        <v>ENERO</v>
      </c>
      <c r="C6420" s="55">
        <f t="shared" si="411"/>
        <v>1</v>
      </c>
      <c r="D6420" s="3" t="str">
        <f t="shared" si="412"/>
        <v>SÁBADO</v>
      </c>
      <c r="E6420" s="427"/>
      <c r="F6420" s="31">
        <f>IFERROR(VLOOKUP(E6420,BD!$L$2:$Q$244,2,0),0)</f>
        <v>0</v>
      </c>
      <c r="G6420" s="424"/>
      <c r="H6420" s="31">
        <f>+IFERROR(VLOOKUP(E6420,BD!$L$2:$Q$244,6,0),0)</f>
        <v>0</v>
      </c>
      <c r="I6420" s="626">
        <f>IFERROR(G6420*VLOOKUP($E6420,BD!$L$2:$Q$244,5,0),0)</f>
        <v>0</v>
      </c>
      <c r="J6420" s="3">
        <f t="shared" si="413"/>
        <v>1900</v>
      </c>
    </row>
    <row r="6421" spans="1:10" s="9" customFormat="1" x14ac:dyDescent="0.25">
      <c r="A6421" s="447"/>
      <c r="B6421" s="55" t="str">
        <f t="shared" si="410"/>
        <v>ENERO</v>
      </c>
      <c r="C6421" s="55">
        <f t="shared" si="411"/>
        <v>1</v>
      </c>
      <c r="D6421" s="3" t="str">
        <f t="shared" si="412"/>
        <v>SÁBADO</v>
      </c>
      <c r="E6421" s="427"/>
      <c r="F6421" s="31">
        <f>IFERROR(VLOOKUP(E6421,BD!$L$2:$Q$244,2,0),0)</f>
        <v>0</v>
      </c>
      <c r="G6421" s="424"/>
      <c r="H6421" s="31">
        <f>+IFERROR(VLOOKUP(E6421,BD!$L$2:$Q$244,6,0),0)</f>
        <v>0</v>
      </c>
      <c r="I6421" s="626">
        <f>IFERROR(G6421*VLOOKUP($E6421,BD!$L$2:$Q$244,5,0),0)</f>
        <v>0</v>
      </c>
      <c r="J6421" s="3">
        <f t="shared" si="413"/>
        <v>1900</v>
      </c>
    </row>
    <row r="6422" spans="1:10" s="9" customFormat="1" x14ac:dyDescent="0.25">
      <c r="A6422" s="447"/>
      <c r="B6422" s="55" t="str">
        <f t="shared" si="410"/>
        <v>ENERO</v>
      </c>
      <c r="C6422" s="55">
        <f t="shared" si="411"/>
        <v>1</v>
      </c>
      <c r="D6422" s="3" t="str">
        <f t="shared" si="412"/>
        <v>SÁBADO</v>
      </c>
      <c r="E6422" s="427"/>
      <c r="F6422" s="31">
        <f>IFERROR(VLOOKUP(E6422,BD!$L$2:$Q$244,2,0),0)</f>
        <v>0</v>
      </c>
      <c r="G6422" s="424"/>
      <c r="H6422" s="31">
        <f>+IFERROR(VLOOKUP(E6422,BD!$L$2:$Q$244,6,0),0)</f>
        <v>0</v>
      </c>
      <c r="I6422" s="626">
        <f>IFERROR(G6422*VLOOKUP($E6422,BD!$L$2:$Q$244,5,0),0)</f>
        <v>0</v>
      </c>
      <c r="J6422" s="3">
        <f t="shared" si="413"/>
        <v>1900</v>
      </c>
    </row>
    <row r="6423" spans="1:10" s="9" customFormat="1" x14ac:dyDescent="0.25">
      <c r="A6423" s="447"/>
      <c r="B6423" s="55" t="str">
        <f t="shared" si="410"/>
        <v>ENERO</v>
      </c>
      <c r="C6423" s="55">
        <f t="shared" si="411"/>
        <v>1</v>
      </c>
      <c r="D6423" s="3" t="str">
        <f t="shared" si="412"/>
        <v>SÁBADO</v>
      </c>
      <c r="E6423" s="427"/>
      <c r="F6423" s="31">
        <f>IFERROR(VLOOKUP(E6423,BD!$L$2:$Q$244,2,0),0)</f>
        <v>0</v>
      </c>
      <c r="G6423" s="424"/>
      <c r="H6423" s="31">
        <f>+IFERROR(VLOOKUP(E6423,BD!$L$2:$Q$244,6,0),0)</f>
        <v>0</v>
      </c>
      <c r="I6423" s="626">
        <f>IFERROR(G6423*VLOOKUP($E6423,BD!$L$2:$Q$244,5,0),0)</f>
        <v>0</v>
      </c>
      <c r="J6423" s="3">
        <f t="shared" si="413"/>
        <v>1900</v>
      </c>
    </row>
    <row r="6424" spans="1:10" s="9" customFormat="1" x14ac:dyDescent="0.25">
      <c r="A6424" s="447"/>
      <c r="B6424" s="55" t="str">
        <f t="shared" si="410"/>
        <v>ENERO</v>
      </c>
      <c r="C6424" s="55">
        <f t="shared" si="411"/>
        <v>1</v>
      </c>
      <c r="D6424" s="3" t="str">
        <f t="shared" si="412"/>
        <v>SÁBADO</v>
      </c>
      <c r="E6424" s="427"/>
      <c r="F6424" s="31">
        <f>IFERROR(VLOOKUP(E6424,BD!$L$2:$Q$244,2,0),0)</f>
        <v>0</v>
      </c>
      <c r="G6424" s="424"/>
      <c r="H6424" s="31">
        <f>+IFERROR(VLOOKUP(E6424,BD!$L$2:$Q$244,6,0),0)</f>
        <v>0</v>
      </c>
      <c r="I6424" s="626">
        <f>IFERROR(G6424*VLOOKUP($E6424,BD!$L$2:$Q$244,5,0),0)</f>
        <v>0</v>
      </c>
      <c r="J6424" s="3">
        <f t="shared" si="413"/>
        <v>1900</v>
      </c>
    </row>
    <row r="6425" spans="1:10" s="9" customFormat="1" x14ac:dyDescent="0.25">
      <c r="A6425" s="447"/>
      <c r="B6425" s="55" t="str">
        <f t="shared" si="410"/>
        <v>ENERO</v>
      </c>
      <c r="C6425" s="55">
        <f t="shared" si="411"/>
        <v>1</v>
      </c>
      <c r="D6425" s="3" t="str">
        <f t="shared" si="412"/>
        <v>SÁBADO</v>
      </c>
      <c r="E6425" s="427"/>
      <c r="F6425" s="31">
        <f>IFERROR(VLOOKUP(E6425,BD!$L$2:$Q$244,2,0),0)</f>
        <v>0</v>
      </c>
      <c r="G6425" s="424"/>
      <c r="H6425" s="31">
        <f>+IFERROR(VLOOKUP(E6425,BD!$L$2:$Q$244,6,0),0)</f>
        <v>0</v>
      </c>
      <c r="I6425" s="626">
        <f>IFERROR(G6425*VLOOKUP($E6425,BD!$L$2:$Q$244,5,0),0)</f>
        <v>0</v>
      </c>
      <c r="J6425" s="3">
        <f t="shared" si="413"/>
        <v>1900</v>
      </c>
    </row>
    <row r="6426" spans="1:10" s="9" customFormat="1" x14ac:dyDescent="0.25">
      <c r="A6426" s="447"/>
      <c r="B6426" s="55" t="str">
        <f t="shared" si="410"/>
        <v>ENERO</v>
      </c>
      <c r="C6426" s="55">
        <f t="shared" si="411"/>
        <v>1</v>
      </c>
      <c r="D6426" s="3" t="str">
        <f t="shared" si="412"/>
        <v>SÁBADO</v>
      </c>
      <c r="E6426" s="427"/>
      <c r="F6426" s="31">
        <f>IFERROR(VLOOKUP(E6426,BD!$L$2:$Q$244,2,0),0)</f>
        <v>0</v>
      </c>
      <c r="G6426" s="424"/>
      <c r="H6426" s="31">
        <f>+IFERROR(VLOOKUP(E6426,BD!$L$2:$Q$244,6,0),0)</f>
        <v>0</v>
      </c>
      <c r="I6426" s="626">
        <f>IFERROR(G6426*VLOOKUP($E6426,BD!$L$2:$Q$244,5,0),0)</f>
        <v>0</v>
      </c>
      <c r="J6426" s="3">
        <f t="shared" si="413"/>
        <v>1900</v>
      </c>
    </row>
    <row r="6427" spans="1:10" s="9" customFormat="1" x14ac:dyDescent="0.25">
      <c r="A6427" s="447"/>
      <c r="B6427" s="55" t="str">
        <f t="shared" si="410"/>
        <v>ENERO</v>
      </c>
      <c r="C6427" s="55">
        <f t="shared" si="411"/>
        <v>1</v>
      </c>
      <c r="D6427" s="3" t="str">
        <f t="shared" si="412"/>
        <v>SÁBADO</v>
      </c>
      <c r="E6427" s="427"/>
      <c r="F6427" s="31">
        <f>IFERROR(VLOOKUP(E6427,BD!$L$2:$Q$244,2,0),0)</f>
        <v>0</v>
      </c>
      <c r="G6427" s="424"/>
      <c r="H6427" s="31">
        <f>+IFERROR(VLOOKUP(E6427,BD!$L$2:$Q$244,6,0),0)</f>
        <v>0</v>
      </c>
      <c r="I6427" s="626">
        <f>IFERROR(G6427*VLOOKUP($E6427,BD!$L$2:$Q$244,5,0),0)</f>
        <v>0</v>
      </c>
      <c r="J6427" s="3">
        <f t="shared" si="413"/>
        <v>1900</v>
      </c>
    </row>
    <row r="6428" spans="1:10" s="9" customFormat="1" x14ac:dyDescent="0.25">
      <c r="A6428" s="447"/>
      <c r="B6428" s="55" t="str">
        <f t="shared" si="410"/>
        <v>ENERO</v>
      </c>
      <c r="C6428" s="55">
        <f t="shared" si="411"/>
        <v>1</v>
      </c>
      <c r="D6428" s="3" t="str">
        <f t="shared" si="412"/>
        <v>SÁBADO</v>
      </c>
      <c r="E6428" s="427"/>
      <c r="F6428" s="31">
        <f>IFERROR(VLOOKUP(E6428,BD!$L$2:$Q$244,2,0),0)</f>
        <v>0</v>
      </c>
      <c r="G6428" s="424"/>
      <c r="H6428" s="31">
        <f>+IFERROR(VLOOKUP(E6428,BD!$L$2:$Q$244,6,0),0)</f>
        <v>0</v>
      </c>
      <c r="I6428" s="626">
        <f>IFERROR(G6428*VLOOKUP($E6428,BD!$L$2:$Q$244,5,0),0)</f>
        <v>0</v>
      </c>
      <c r="J6428" s="3">
        <f t="shared" si="413"/>
        <v>1900</v>
      </c>
    </row>
    <row r="6429" spans="1:10" s="9" customFormat="1" x14ac:dyDescent="0.25">
      <c r="A6429" s="447"/>
      <c r="B6429" s="55" t="str">
        <f t="shared" si="410"/>
        <v>ENERO</v>
      </c>
      <c r="C6429" s="55">
        <f t="shared" si="411"/>
        <v>1</v>
      </c>
      <c r="D6429" s="3" t="str">
        <f t="shared" si="412"/>
        <v>SÁBADO</v>
      </c>
      <c r="E6429" s="427"/>
      <c r="F6429" s="31">
        <f>IFERROR(VLOOKUP(E6429,BD!$L$2:$Q$244,2,0),0)</f>
        <v>0</v>
      </c>
      <c r="G6429" s="424"/>
      <c r="H6429" s="31">
        <f>+IFERROR(VLOOKUP(E6429,BD!$L$2:$Q$244,6,0),0)</f>
        <v>0</v>
      </c>
      <c r="I6429" s="626">
        <f>IFERROR(G6429*VLOOKUP($E6429,BD!$L$2:$Q$244,5,0),0)</f>
        <v>0</v>
      </c>
      <c r="J6429" s="3">
        <f t="shared" si="413"/>
        <v>1900</v>
      </c>
    </row>
    <row r="6430" spans="1:10" s="9" customFormat="1" x14ac:dyDescent="0.25">
      <c r="A6430" s="447"/>
      <c r="B6430" s="55" t="str">
        <f t="shared" si="410"/>
        <v>ENERO</v>
      </c>
      <c r="C6430" s="55">
        <f t="shared" si="411"/>
        <v>1</v>
      </c>
      <c r="D6430" s="3" t="str">
        <f t="shared" si="412"/>
        <v>SÁBADO</v>
      </c>
      <c r="E6430" s="427"/>
      <c r="F6430" s="31">
        <f>IFERROR(VLOOKUP(E6430,BD!$L$2:$Q$244,2,0),0)</f>
        <v>0</v>
      </c>
      <c r="G6430" s="424"/>
      <c r="H6430" s="31">
        <f>+IFERROR(VLOOKUP(E6430,BD!$L$2:$Q$244,6,0),0)</f>
        <v>0</v>
      </c>
      <c r="I6430" s="626">
        <f>IFERROR(G6430*VLOOKUP($E6430,BD!$L$2:$Q$244,5,0),0)</f>
        <v>0</v>
      </c>
      <c r="J6430" s="3">
        <f t="shared" si="413"/>
        <v>1900</v>
      </c>
    </row>
    <row r="6431" spans="1:10" s="9" customFormat="1" x14ac:dyDescent="0.25">
      <c r="A6431" s="447"/>
      <c r="B6431" s="55" t="str">
        <f t="shared" si="410"/>
        <v>ENERO</v>
      </c>
      <c r="C6431" s="55">
        <f t="shared" si="411"/>
        <v>1</v>
      </c>
      <c r="D6431" s="3" t="str">
        <f t="shared" si="412"/>
        <v>SÁBADO</v>
      </c>
      <c r="E6431" s="427"/>
      <c r="F6431" s="31">
        <f>IFERROR(VLOOKUP(E6431,BD!$L$2:$Q$244,2,0),0)</f>
        <v>0</v>
      </c>
      <c r="G6431" s="424"/>
      <c r="H6431" s="31">
        <f>+IFERROR(VLOOKUP(E6431,BD!$L$2:$Q$244,6,0),0)</f>
        <v>0</v>
      </c>
      <c r="I6431" s="626">
        <f>IFERROR(G6431*VLOOKUP($E6431,BD!$L$2:$Q$244,5,0),0)</f>
        <v>0</v>
      </c>
      <c r="J6431" s="3">
        <f t="shared" si="413"/>
        <v>1900</v>
      </c>
    </row>
    <row r="6432" spans="1:10" s="9" customFormat="1" x14ac:dyDescent="0.25">
      <c r="A6432" s="447"/>
      <c r="B6432" s="55" t="str">
        <f t="shared" si="410"/>
        <v>ENERO</v>
      </c>
      <c r="C6432" s="55">
        <f t="shared" si="411"/>
        <v>1</v>
      </c>
      <c r="D6432" s="3" t="str">
        <f t="shared" si="412"/>
        <v>SÁBADO</v>
      </c>
      <c r="E6432" s="427"/>
      <c r="F6432" s="31">
        <f>IFERROR(VLOOKUP(E6432,BD!$L$2:$Q$244,2,0),0)</f>
        <v>0</v>
      </c>
      <c r="G6432" s="424"/>
      <c r="H6432" s="31">
        <f>+IFERROR(VLOOKUP(E6432,BD!$L$2:$Q$244,6,0),0)</f>
        <v>0</v>
      </c>
      <c r="I6432" s="626">
        <f>IFERROR(G6432*VLOOKUP($E6432,BD!$L$2:$Q$244,5,0),0)</f>
        <v>0</v>
      </c>
      <c r="J6432" s="3">
        <f t="shared" si="413"/>
        <v>1900</v>
      </c>
    </row>
    <row r="6433" spans="1:10" s="9" customFormat="1" x14ac:dyDescent="0.25">
      <c r="A6433" s="447"/>
      <c r="B6433" s="55" t="str">
        <f t="shared" si="410"/>
        <v>ENERO</v>
      </c>
      <c r="C6433" s="55">
        <f t="shared" si="411"/>
        <v>1</v>
      </c>
      <c r="D6433" s="3" t="str">
        <f t="shared" si="412"/>
        <v>SÁBADO</v>
      </c>
      <c r="E6433" s="427"/>
      <c r="F6433" s="31">
        <f>IFERROR(VLOOKUP(E6433,BD!$L$2:$Q$244,2,0),0)</f>
        <v>0</v>
      </c>
      <c r="G6433" s="424"/>
      <c r="H6433" s="31">
        <f>+IFERROR(VLOOKUP(E6433,BD!$L$2:$Q$244,6,0),0)</f>
        <v>0</v>
      </c>
      <c r="I6433" s="626">
        <f>IFERROR(G6433*VLOOKUP($E6433,BD!$L$2:$Q$244,5,0),0)</f>
        <v>0</v>
      </c>
      <c r="J6433" s="3">
        <f t="shared" si="413"/>
        <v>1900</v>
      </c>
    </row>
    <row r="6434" spans="1:10" s="9" customFormat="1" x14ac:dyDescent="0.25">
      <c r="A6434" s="447"/>
      <c r="B6434" s="55" t="str">
        <f t="shared" si="410"/>
        <v>ENERO</v>
      </c>
      <c r="C6434" s="55">
        <f t="shared" si="411"/>
        <v>1</v>
      </c>
      <c r="D6434" s="3" t="str">
        <f t="shared" si="412"/>
        <v>SÁBADO</v>
      </c>
      <c r="E6434" s="427"/>
      <c r="F6434" s="31">
        <f>IFERROR(VLOOKUP(E6434,BD!$L$2:$Q$244,2,0),0)</f>
        <v>0</v>
      </c>
      <c r="G6434" s="424"/>
      <c r="H6434" s="31">
        <f>+IFERROR(VLOOKUP(E6434,BD!$L$2:$Q$244,6,0),0)</f>
        <v>0</v>
      </c>
      <c r="I6434" s="626">
        <f>IFERROR(G6434*VLOOKUP($E6434,BD!$L$2:$Q$244,5,0),0)</f>
        <v>0</v>
      </c>
      <c r="J6434" s="3">
        <f t="shared" si="413"/>
        <v>1900</v>
      </c>
    </row>
    <row r="6435" spans="1:10" s="9" customFormat="1" x14ac:dyDescent="0.25">
      <c r="A6435" s="447"/>
      <c r="B6435" s="55" t="str">
        <f t="shared" si="410"/>
        <v>ENERO</v>
      </c>
      <c r="C6435" s="55">
        <f t="shared" si="411"/>
        <v>1</v>
      </c>
      <c r="D6435" s="3" t="str">
        <f t="shared" si="412"/>
        <v>SÁBADO</v>
      </c>
      <c r="E6435" s="427"/>
      <c r="F6435" s="31">
        <f>IFERROR(VLOOKUP(E6435,BD!$L$2:$Q$244,2,0),0)</f>
        <v>0</v>
      </c>
      <c r="G6435" s="424"/>
      <c r="H6435" s="31">
        <f>+IFERROR(VLOOKUP(E6435,BD!$L$2:$Q$244,6,0),0)</f>
        <v>0</v>
      </c>
      <c r="I6435" s="626">
        <f>IFERROR(G6435*VLOOKUP($E6435,BD!$L$2:$Q$244,5,0),0)</f>
        <v>0</v>
      </c>
      <c r="J6435" s="3">
        <f t="shared" si="413"/>
        <v>1900</v>
      </c>
    </row>
    <row r="6436" spans="1:10" s="9" customFormat="1" x14ac:dyDescent="0.25">
      <c r="A6436" s="447"/>
      <c r="B6436" s="55" t="str">
        <f t="shared" si="410"/>
        <v>ENERO</v>
      </c>
      <c r="C6436" s="55">
        <f t="shared" si="411"/>
        <v>1</v>
      </c>
      <c r="D6436" s="3" t="str">
        <f t="shared" si="412"/>
        <v>SÁBADO</v>
      </c>
      <c r="E6436" s="427"/>
      <c r="F6436" s="31">
        <f>IFERROR(VLOOKUP(E6436,BD!$L$2:$Q$244,2,0),0)</f>
        <v>0</v>
      </c>
      <c r="G6436" s="425"/>
      <c r="H6436" s="31">
        <f>+IFERROR(VLOOKUP(E6436,BD!$L$2:$Q$244,6,0),0)</f>
        <v>0</v>
      </c>
      <c r="I6436" s="626">
        <f>IFERROR(G6436*VLOOKUP($E6436,BD!$L$2:$Q$244,5,0),0)</f>
        <v>0</v>
      </c>
      <c r="J6436" s="3">
        <f t="shared" si="413"/>
        <v>1900</v>
      </c>
    </row>
    <row r="6437" spans="1:10" s="9" customFormat="1" x14ac:dyDescent="0.25">
      <c r="A6437" s="447"/>
      <c r="B6437" s="55" t="str">
        <f t="shared" si="410"/>
        <v>ENERO</v>
      </c>
      <c r="C6437" s="55">
        <f t="shared" si="411"/>
        <v>1</v>
      </c>
      <c r="D6437" s="3" t="str">
        <f t="shared" si="412"/>
        <v>SÁBADO</v>
      </c>
      <c r="E6437" s="427"/>
      <c r="F6437" s="31">
        <f>IFERROR(VLOOKUP(E6437,BD!$L$2:$Q$244,2,0),0)</f>
        <v>0</v>
      </c>
      <c r="G6437" s="424"/>
      <c r="H6437" s="31">
        <f>+IFERROR(VLOOKUP(E6437,BD!$L$2:$Q$244,6,0),0)</f>
        <v>0</v>
      </c>
      <c r="I6437" s="626">
        <f>IFERROR(G6437*VLOOKUP($E6437,BD!$L$2:$Q$244,5,0),0)</f>
        <v>0</v>
      </c>
      <c r="J6437" s="3">
        <f t="shared" si="413"/>
        <v>1900</v>
      </c>
    </row>
    <row r="6438" spans="1:10" s="9" customFormat="1" x14ac:dyDescent="0.25">
      <c r="A6438" s="447"/>
      <c r="B6438" s="55" t="str">
        <f t="shared" si="410"/>
        <v>ENERO</v>
      </c>
      <c r="C6438" s="55">
        <f t="shared" si="411"/>
        <v>1</v>
      </c>
      <c r="D6438" s="3" t="str">
        <f t="shared" si="412"/>
        <v>SÁBADO</v>
      </c>
      <c r="E6438" s="427"/>
      <c r="F6438" s="31">
        <f>IFERROR(VLOOKUP(E6438,BD!$L$2:$Q$244,2,0),0)</f>
        <v>0</v>
      </c>
      <c r="G6438" s="424"/>
      <c r="H6438" s="31">
        <f>+IFERROR(VLOOKUP(E6438,BD!$L$2:$Q$244,6,0),0)</f>
        <v>0</v>
      </c>
      <c r="I6438" s="626">
        <f>IFERROR(G6438*VLOOKUP($E6438,BD!$L$2:$Q$244,5,0),0)</f>
        <v>0</v>
      </c>
      <c r="J6438" s="3">
        <f t="shared" si="413"/>
        <v>1900</v>
      </c>
    </row>
    <row r="6439" spans="1:10" s="9" customFormat="1" x14ac:dyDescent="0.25">
      <c r="A6439" s="447"/>
      <c r="B6439" s="55" t="str">
        <f t="shared" si="410"/>
        <v>ENERO</v>
      </c>
      <c r="C6439" s="55">
        <f t="shared" si="411"/>
        <v>1</v>
      </c>
      <c r="D6439" s="3" t="str">
        <f t="shared" si="412"/>
        <v>SÁBADO</v>
      </c>
      <c r="E6439" s="427"/>
      <c r="F6439" s="31">
        <f>IFERROR(VLOOKUP(E6439,BD!$L$2:$Q$244,2,0),0)</f>
        <v>0</v>
      </c>
      <c r="G6439" s="424"/>
      <c r="H6439" s="31">
        <f>+IFERROR(VLOOKUP(E6439,BD!$L$2:$Q$244,6,0),0)</f>
        <v>0</v>
      </c>
      <c r="I6439" s="626">
        <f>IFERROR(G6439*VLOOKUP($E6439,BD!$L$2:$Q$244,5,0),0)</f>
        <v>0</v>
      </c>
      <c r="J6439" s="3">
        <f t="shared" si="413"/>
        <v>1900</v>
      </c>
    </row>
    <row r="6440" spans="1:10" s="9" customFormat="1" x14ac:dyDescent="0.25">
      <c r="A6440" s="447"/>
      <c r="B6440" s="55" t="str">
        <f t="shared" si="410"/>
        <v>ENERO</v>
      </c>
      <c r="C6440" s="55">
        <f t="shared" si="411"/>
        <v>1</v>
      </c>
      <c r="D6440" s="3" t="str">
        <f t="shared" si="412"/>
        <v>SÁBADO</v>
      </c>
      <c r="E6440" s="427"/>
      <c r="F6440" s="31">
        <f>IFERROR(VLOOKUP(E6440,BD!$L$2:$Q$244,2,0),0)</f>
        <v>0</v>
      </c>
      <c r="G6440" s="424"/>
      <c r="H6440" s="31">
        <f>+IFERROR(VLOOKUP(E6440,BD!$L$2:$Q$244,6,0),0)</f>
        <v>0</v>
      </c>
      <c r="I6440" s="626">
        <f>IFERROR(G6440*VLOOKUP($E6440,BD!$L$2:$Q$244,5,0),0)</f>
        <v>0</v>
      </c>
      <c r="J6440" s="3">
        <f t="shared" si="413"/>
        <v>1900</v>
      </c>
    </row>
    <row r="6441" spans="1:10" s="9" customFormat="1" x14ac:dyDescent="0.25">
      <c r="A6441" s="447"/>
      <c r="B6441" s="55" t="str">
        <f t="shared" si="410"/>
        <v>ENERO</v>
      </c>
      <c r="C6441" s="55">
        <f t="shared" si="411"/>
        <v>1</v>
      </c>
      <c r="D6441" s="3" t="str">
        <f t="shared" si="412"/>
        <v>SÁBADO</v>
      </c>
      <c r="E6441" s="427"/>
      <c r="F6441" s="31">
        <f>IFERROR(VLOOKUP(E6441,BD!$L$2:$Q$244,2,0),0)</f>
        <v>0</v>
      </c>
      <c r="G6441" s="424"/>
      <c r="H6441" s="31">
        <f>+IFERROR(VLOOKUP(E6441,BD!$L$2:$Q$244,6,0),0)</f>
        <v>0</v>
      </c>
      <c r="I6441" s="626">
        <f>IFERROR(G6441*VLOOKUP($E6441,BD!$L$2:$Q$244,5,0),0)</f>
        <v>0</v>
      </c>
      <c r="J6441" s="3">
        <f t="shared" si="413"/>
        <v>1900</v>
      </c>
    </row>
    <row r="6442" spans="1:10" s="9" customFormat="1" x14ac:dyDescent="0.25">
      <c r="A6442" s="447"/>
      <c r="B6442" s="55" t="str">
        <f t="shared" si="410"/>
        <v>ENERO</v>
      </c>
      <c r="C6442" s="55">
        <f t="shared" si="411"/>
        <v>1</v>
      </c>
      <c r="D6442" s="3" t="str">
        <f t="shared" si="412"/>
        <v>SÁBADO</v>
      </c>
      <c r="E6442" s="427"/>
      <c r="F6442" s="31">
        <f>IFERROR(VLOOKUP(E6442,BD!$L$2:$Q$244,2,0),0)</f>
        <v>0</v>
      </c>
      <c r="G6442" s="424"/>
      <c r="H6442" s="31">
        <f>+IFERROR(VLOOKUP(E6442,BD!$L$2:$Q$244,6,0),0)</f>
        <v>0</v>
      </c>
      <c r="I6442" s="626">
        <f>IFERROR(G6442*VLOOKUP($E6442,BD!$L$2:$Q$244,5,0),0)</f>
        <v>0</v>
      </c>
      <c r="J6442" s="3">
        <f t="shared" si="413"/>
        <v>1900</v>
      </c>
    </row>
    <row r="6443" spans="1:10" s="9" customFormat="1" x14ac:dyDescent="0.25">
      <c r="A6443" s="447"/>
      <c r="B6443" s="55" t="str">
        <f t="shared" si="410"/>
        <v>ENERO</v>
      </c>
      <c r="C6443" s="55">
        <f t="shared" si="411"/>
        <v>1</v>
      </c>
      <c r="D6443" s="3" t="str">
        <f t="shared" si="412"/>
        <v>SÁBADO</v>
      </c>
      <c r="E6443" s="427"/>
      <c r="F6443" s="31">
        <f>IFERROR(VLOOKUP(E6443,BD!$L$2:$Q$244,2,0),0)</f>
        <v>0</v>
      </c>
      <c r="G6443" s="424"/>
      <c r="H6443" s="31">
        <f>+IFERROR(VLOOKUP(E6443,BD!$L$2:$Q$244,6,0),0)</f>
        <v>0</v>
      </c>
      <c r="I6443" s="626">
        <f>IFERROR(G6443*VLOOKUP($E6443,BD!$L$2:$Q$244,5,0),0)</f>
        <v>0</v>
      </c>
      <c r="J6443" s="3">
        <f t="shared" si="413"/>
        <v>1900</v>
      </c>
    </row>
    <row r="6444" spans="1:10" s="9" customFormat="1" x14ac:dyDescent="0.25">
      <c r="A6444" s="447"/>
      <c r="B6444" s="55" t="str">
        <f t="shared" si="410"/>
        <v>ENERO</v>
      </c>
      <c r="C6444" s="55">
        <f t="shared" si="411"/>
        <v>1</v>
      </c>
      <c r="D6444" s="3" t="str">
        <f t="shared" si="412"/>
        <v>SÁBADO</v>
      </c>
      <c r="E6444" s="427"/>
      <c r="F6444" s="31">
        <f>IFERROR(VLOOKUP(E6444,BD!$L$2:$Q$244,2,0),0)</f>
        <v>0</v>
      </c>
      <c r="G6444" s="424"/>
      <c r="H6444" s="31">
        <f>+IFERROR(VLOOKUP(E6444,BD!$L$2:$Q$244,6,0),0)</f>
        <v>0</v>
      </c>
      <c r="I6444" s="626">
        <f>IFERROR(G6444*VLOOKUP($E6444,BD!$L$2:$Q$244,5,0),0)</f>
        <v>0</v>
      </c>
      <c r="J6444" s="3">
        <f t="shared" si="413"/>
        <v>1900</v>
      </c>
    </row>
    <row r="6445" spans="1:10" s="9" customFormat="1" x14ac:dyDescent="0.25">
      <c r="A6445" s="447"/>
      <c r="B6445" s="55" t="str">
        <f t="shared" si="410"/>
        <v>ENERO</v>
      </c>
      <c r="C6445" s="55">
        <f t="shared" si="411"/>
        <v>1</v>
      </c>
      <c r="D6445" s="3" t="str">
        <f t="shared" si="412"/>
        <v>SÁBADO</v>
      </c>
      <c r="E6445" s="427"/>
      <c r="F6445" s="31">
        <f>IFERROR(VLOOKUP(E6445,BD!$L$2:$Q$244,2,0),0)</f>
        <v>0</v>
      </c>
      <c r="G6445" s="424"/>
      <c r="H6445" s="31">
        <f>+IFERROR(VLOOKUP(E6445,BD!$L$2:$Q$244,6,0),0)</f>
        <v>0</v>
      </c>
      <c r="I6445" s="626">
        <f>IFERROR(G6445*VLOOKUP($E6445,BD!$L$2:$Q$244,5,0),0)</f>
        <v>0</v>
      </c>
      <c r="J6445" s="3">
        <f t="shared" si="413"/>
        <v>1900</v>
      </c>
    </row>
    <row r="6446" spans="1:10" s="9" customFormat="1" x14ac:dyDescent="0.25">
      <c r="A6446" s="447"/>
      <c r="B6446" s="55" t="str">
        <f t="shared" si="410"/>
        <v>ENERO</v>
      </c>
      <c r="C6446" s="55">
        <f t="shared" si="411"/>
        <v>1</v>
      </c>
      <c r="D6446" s="3" t="str">
        <f t="shared" si="412"/>
        <v>SÁBADO</v>
      </c>
      <c r="E6446" s="427"/>
      <c r="F6446" s="31">
        <f>IFERROR(VLOOKUP(E6446,BD!$L$2:$Q$244,2,0),0)</f>
        <v>0</v>
      </c>
      <c r="G6446" s="424"/>
      <c r="H6446" s="31">
        <f>+IFERROR(VLOOKUP(E6446,BD!$L$2:$Q$244,6,0),0)</f>
        <v>0</v>
      </c>
      <c r="I6446" s="626">
        <f>IFERROR(G6446*VLOOKUP($E6446,BD!$L$2:$Q$244,5,0),0)</f>
        <v>0</v>
      </c>
      <c r="J6446" s="3">
        <f t="shared" si="413"/>
        <v>1900</v>
      </c>
    </row>
    <row r="6447" spans="1:10" s="9" customFormat="1" x14ac:dyDescent="0.25">
      <c r="A6447" s="447"/>
      <c r="B6447" s="55" t="str">
        <f t="shared" si="410"/>
        <v>ENERO</v>
      </c>
      <c r="C6447" s="55">
        <f t="shared" si="411"/>
        <v>1</v>
      </c>
      <c r="D6447" s="3" t="str">
        <f t="shared" si="412"/>
        <v>SÁBADO</v>
      </c>
      <c r="E6447" s="427"/>
      <c r="F6447" s="31">
        <f>IFERROR(VLOOKUP(E6447,BD!$L$2:$Q$244,2,0),0)</f>
        <v>0</v>
      </c>
      <c r="G6447" s="424"/>
      <c r="H6447" s="31">
        <f>+IFERROR(VLOOKUP(E6447,BD!$L$2:$Q$244,6,0),0)</f>
        <v>0</v>
      </c>
      <c r="I6447" s="626">
        <f>IFERROR(G6447*VLOOKUP($E6447,BD!$L$2:$Q$244,5,0),0)</f>
        <v>0</v>
      </c>
      <c r="J6447" s="3">
        <f t="shared" si="413"/>
        <v>1900</v>
      </c>
    </row>
    <row r="6448" spans="1:10" s="9" customFormat="1" x14ac:dyDescent="0.25">
      <c r="A6448" s="447"/>
      <c r="B6448" s="55" t="str">
        <f t="shared" si="410"/>
        <v>ENERO</v>
      </c>
      <c r="C6448" s="55">
        <f t="shared" si="411"/>
        <v>1</v>
      </c>
      <c r="D6448" s="3" t="str">
        <f t="shared" si="412"/>
        <v>SÁBADO</v>
      </c>
      <c r="E6448" s="427"/>
      <c r="F6448" s="31">
        <f>IFERROR(VLOOKUP(E6448,BD!$L$2:$Q$244,2,0),0)</f>
        <v>0</v>
      </c>
      <c r="G6448" s="424"/>
      <c r="H6448" s="31">
        <f>+IFERROR(VLOOKUP(E6448,BD!$L$2:$Q$244,6,0),0)</f>
        <v>0</v>
      </c>
      <c r="I6448" s="626">
        <f>IFERROR(G6448*VLOOKUP($E6448,BD!$L$2:$Q$244,5,0),0)</f>
        <v>0</v>
      </c>
      <c r="J6448" s="3">
        <f t="shared" si="413"/>
        <v>1900</v>
      </c>
    </row>
    <row r="6449" spans="1:10" s="9" customFormat="1" x14ac:dyDescent="0.25">
      <c r="A6449" s="447"/>
      <c r="B6449" s="55" t="str">
        <f t="shared" si="410"/>
        <v>ENERO</v>
      </c>
      <c r="C6449" s="55">
        <f t="shared" si="411"/>
        <v>1</v>
      </c>
      <c r="D6449" s="3" t="str">
        <f t="shared" si="412"/>
        <v>SÁBADO</v>
      </c>
      <c r="E6449" s="427"/>
      <c r="F6449" s="31">
        <f>IFERROR(VLOOKUP(E6449,BD!$L$2:$Q$244,2,0),0)</f>
        <v>0</v>
      </c>
      <c r="G6449" s="424"/>
      <c r="H6449" s="31">
        <f>+IFERROR(VLOOKUP(E6449,BD!$L$2:$Q$244,6,0),0)</f>
        <v>0</v>
      </c>
      <c r="I6449" s="626">
        <f>IFERROR(G6449*VLOOKUP($E6449,BD!$L$2:$Q$244,5,0),0)</f>
        <v>0</v>
      </c>
      <c r="J6449" s="3">
        <f t="shared" si="413"/>
        <v>1900</v>
      </c>
    </row>
    <row r="6450" spans="1:10" s="9" customFormat="1" x14ac:dyDescent="0.25">
      <c r="A6450" s="447"/>
      <c r="B6450" s="55" t="str">
        <f t="shared" si="410"/>
        <v>ENERO</v>
      </c>
      <c r="C6450" s="55">
        <f t="shared" si="411"/>
        <v>1</v>
      </c>
      <c r="D6450" s="3" t="str">
        <f t="shared" si="412"/>
        <v>SÁBADO</v>
      </c>
      <c r="E6450" s="427"/>
      <c r="F6450" s="31">
        <f>IFERROR(VLOOKUP(E6450,BD!$L$2:$Q$244,2,0),0)</f>
        <v>0</v>
      </c>
      <c r="G6450" s="424"/>
      <c r="H6450" s="31">
        <f>+IFERROR(VLOOKUP(E6450,BD!$L$2:$Q$244,6,0),0)</f>
        <v>0</v>
      </c>
      <c r="I6450" s="626">
        <f>IFERROR(G6450*VLOOKUP($E6450,BD!$L$2:$Q$244,5,0),0)</f>
        <v>0</v>
      </c>
      <c r="J6450" s="3">
        <f t="shared" si="413"/>
        <v>1900</v>
      </c>
    </row>
    <row r="6451" spans="1:10" s="9" customFormat="1" x14ac:dyDescent="0.25">
      <c r="A6451" s="447"/>
      <c r="B6451" s="55" t="str">
        <f t="shared" si="410"/>
        <v>ENERO</v>
      </c>
      <c r="C6451" s="55">
        <f t="shared" si="411"/>
        <v>1</v>
      </c>
      <c r="D6451" s="3" t="str">
        <f t="shared" si="412"/>
        <v>SÁBADO</v>
      </c>
      <c r="E6451" s="427"/>
      <c r="F6451" s="31">
        <f>IFERROR(VLOOKUP(E6451,BD!$L$2:$Q$244,2,0),0)</f>
        <v>0</v>
      </c>
      <c r="G6451" s="424"/>
      <c r="H6451" s="31">
        <f>+IFERROR(VLOOKUP(E6451,BD!$L$2:$Q$244,6,0),0)</f>
        <v>0</v>
      </c>
      <c r="I6451" s="626">
        <f>IFERROR(G6451*VLOOKUP($E6451,BD!$L$2:$Q$244,5,0),0)</f>
        <v>0</v>
      </c>
      <c r="J6451" s="3">
        <f t="shared" si="413"/>
        <v>1900</v>
      </c>
    </row>
    <row r="6452" spans="1:10" s="9" customFormat="1" x14ac:dyDescent="0.25">
      <c r="A6452" s="447"/>
      <c r="B6452" s="55" t="str">
        <f t="shared" si="410"/>
        <v>ENERO</v>
      </c>
      <c r="C6452" s="55">
        <f t="shared" si="411"/>
        <v>1</v>
      </c>
      <c r="D6452" s="3" t="str">
        <f t="shared" si="412"/>
        <v>SÁBADO</v>
      </c>
      <c r="E6452" s="427"/>
      <c r="F6452" s="31">
        <f>IFERROR(VLOOKUP(E6452,BD!$L$2:$Q$244,2,0),0)</f>
        <v>0</v>
      </c>
      <c r="G6452" s="424"/>
      <c r="H6452" s="31">
        <f>+IFERROR(VLOOKUP(E6452,BD!$L$2:$Q$244,6,0),0)</f>
        <v>0</v>
      </c>
      <c r="I6452" s="626">
        <f>IFERROR(G6452*VLOOKUP($E6452,BD!$L$2:$Q$244,5,0),0)</f>
        <v>0</v>
      </c>
      <c r="J6452" s="3">
        <f t="shared" si="413"/>
        <v>1900</v>
      </c>
    </row>
    <row r="6453" spans="1:10" s="9" customFormat="1" x14ac:dyDescent="0.25">
      <c r="A6453" s="447"/>
      <c r="B6453" s="55" t="str">
        <f t="shared" si="410"/>
        <v>ENERO</v>
      </c>
      <c r="C6453" s="55">
        <f t="shared" si="411"/>
        <v>1</v>
      </c>
      <c r="D6453" s="3" t="str">
        <f t="shared" si="412"/>
        <v>SÁBADO</v>
      </c>
      <c r="E6453" s="427"/>
      <c r="F6453" s="31">
        <f>IFERROR(VLOOKUP(E6453,BD!$L$2:$Q$244,2,0),0)</f>
        <v>0</v>
      </c>
      <c r="G6453" s="424"/>
      <c r="H6453" s="31">
        <f>+IFERROR(VLOOKUP(E6453,BD!$L$2:$Q$244,6,0),0)</f>
        <v>0</v>
      </c>
      <c r="I6453" s="626">
        <f>IFERROR(G6453*VLOOKUP($E6453,BD!$L$2:$Q$244,5,0),0)</f>
        <v>0</v>
      </c>
      <c r="J6453" s="3">
        <f t="shared" si="413"/>
        <v>1900</v>
      </c>
    </row>
    <row r="6454" spans="1:10" s="9" customFormat="1" x14ac:dyDescent="0.25">
      <c r="A6454" s="447"/>
      <c r="B6454" s="55" t="str">
        <f t="shared" si="410"/>
        <v>ENERO</v>
      </c>
      <c r="C6454" s="55">
        <f t="shared" si="411"/>
        <v>1</v>
      </c>
      <c r="D6454" s="3" t="str">
        <f t="shared" si="412"/>
        <v>SÁBADO</v>
      </c>
      <c r="E6454" s="427"/>
      <c r="F6454" s="31">
        <f>IFERROR(VLOOKUP(E6454,BD!$L$2:$Q$244,2,0),0)</f>
        <v>0</v>
      </c>
      <c r="G6454" s="424"/>
      <c r="H6454" s="31">
        <f>+IFERROR(VLOOKUP(E6454,BD!$L$2:$Q$244,6,0),0)</f>
        <v>0</v>
      </c>
      <c r="I6454" s="626">
        <f>IFERROR(G6454*VLOOKUP($E6454,BD!$L$2:$Q$244,5,0),0)</f>
        <v>0</v>
      </c>
      <c r="J6454" s="3">
        <f t="shared" si="413"/>
        <v>1900</v>
      </c>
    </row>
    <row r="6455" spans="1:10" s="9" customFormat="1" x14ac:dyDescent="0.25">
      <c r="A6455" s="447"/>
      <c r="B6455" s="55" t="str">
        <f t="shared" si="410"/>
        <v>ENERO</v>
      </c>
      <c r="C6455" s="55">
        <f t="shared" si="411"/>
        <v>1</v>
      </c>
      <c r="D6455" s="3" t="str">
        <f t="shared" si="412"/>
        <v>SÁBADO</v>
      </c>
      <c r="E6455" s="427"/>
      <c r="F6455" s="31">
        <f>IFERROR(VLOOKUP(E6455,BD!$L$2:$Q$244,2,0),0)</f>
        <v>0</v>
      </c>
      <c r="G6455" s="424"/>
      <c r="H6455" s="31">
        <f>+IFERROR(VLOOKUP(E6455,BD!$L$2:$Q$244,6,0),0)</f>
        <v>0</v>
      </c>
      <c r="I6455" s="626">
        <f>IFERROR(G6455*VLOOKUP($E6455,BD!$L$2:$Q$244,5,0),0)</f>
        <v>0</v>
      </c>
      <c r="J6455" s="3">
        <f t="shared" si="413"/>
        <v>1900</v>
      </c>
    </row>
    <row r="6456" spans="1:10" s="9" customFormat="1" x14ac:dyDescent="0.25">
      <c r="A6456" s="447"/>
      <c r="B6456" s="55" t="str">
        <f t="shared" si="410"/>
        <v>ENERO</v>
      </c>
      <c r="C6456" s="55">
        <f t="shared" si="411"/>
        <v>1</v>
      </c>
      <c r="D6456" s="3" t="str">
        <f t="shared" si="412"/>
        <v>SÁBADO</v>
      </c>
      <c r="E6456" s="427"/>
      <c r="F6456" s="31">
        <f>IFERROR(VLOOKUP(E6456,BD!$L$2:$Q$244,2,0),0)</f>
        <v>0</v>
      </c>
      <c r="G6456" s="424"/>
      <c r="H6456" s="31">
        <f>+IFERROR(VLOOKUP(E6456,BD!$L$2:$Q$244,6,0),0)</f>
        <v>0</v>
      </c>
      <c r="I6456" s="626">
        <f>IFERROR(G6456*VLOOKUP($E6456,BD!$L$2:$Q$244,5,0),0)</f>
        <v>0</v>
      </c>
      <c r="J6456" s="3">
        <f t="shared" si="413"/>
        <v>1900</v>
      </c>
    </row>
    <row r="6457" spans="1:10" s="9" customFormat="1" x14ac:dyDescent="0.25">
      <c r="A6457" s="447"/>
      <c r="B6457" s="55" t="str">
        <f t="shared" si="410"/>
        <v>ENERO</v>
      </c>
      <c r="C6457" s="55">
        <f t="shared" si="411"/>
        <v>1</v>
      </c>
      <c r="D6457" s="3" t="str">
        <f t="shared" si="412"/>
        <v>SÁBADO</v>
      </c>
      <c r="E6457" s="427"/>
      <c r="F6457" s="31">
        <f>IFERROR(VLOOKUP(E6457,BD!$L$2:$Q$244,2,0),0)</f>
        <v>0</v>
      </c>
      <c r="G6457" s="424"/>
      <c r="H6457" s="31">
        <f>+IFERROR(VLOOKUP(E6457,BD!$L$2:$Q$244,6,0),0)</f>
        <v>0</v>
      </c>
      <c r="I6457" s="626">
        <f>IFERROR(G6457*VLOOKUP($E6457,BD!$L$2:$Q$244,5,0),0)</f>
        <v>0</v>
      </c>
      <c r="J6457" s="3">
        <f t="shared" si="413"/>
        <v>1900</v>
      </c>
    </row>
    <row r="6458" spans="1:10" s="9" customFormat="1" x14ac:dyDescent="0.25">
      <c r="A6458" s="447"/>
      <c r="B6458" s="55" t="str">
        <f t="shared" si="410"/>
        <v>ENERO</v>
      </c>
      <c r="C6458" s="55">
        <f t="shared" si="411"/>
        <v>1</v>
      </c>
      <c r="D6458" s="3" t="str">
        <f t="shared" si="412"/>
        <v>SÁBADO</v>
      </c>
      <c r="E6458" s="427"/>
      <c r="F6458" s="31">
        <f>IFERROR(VLOOKUP(E6458,BD!$L$2:$Q$244,2,0),0)</f>
        <v>0</v>
      </c>
      <c r="G6458" s="424"/>
      <c r="H6458" s="31">
        <f>+IFERROR(VLOOKUP(E6458,BD!$L$2:$Q$244,6,0),0)</f>
        <v>0</v>
      </c>
      <c r="I6458" s="626">
        <f>IFERROR(G6458*VLOOKUP($E6458,BD!$L$2:$Q$244,5,0),0)</f>
        <v>0</v>
      </c>
      <c r="J6458" s="3">
        <f t="shared" si="413"/>
        <v>1900</v>
      </c>
    </row>
    <row r="6459" spans="1:10" s="9" customFormat="1" x14ac:dyDescent="0.25">
      <c r="A6459" s="447"/>
      <c r="B6459" s="55" t="str">
        <f t="shared" si="410"/>
        <v>ENERO</v>
      </c>
      <c r="C6459" s="55">
        <f t="shared" si="411"/>
        <v>1</v>
      </c>
      <c r="D6459" s="3" t="str">
        <f t="shared" si="412"/>
        <v>SÁBADO</v>
      </c>
      <c r="E6459" s="427"/>
      <c r="F6459" s="31">
        <f>IFERROR(VLOOKUP(E6459,BD!$L$2:$Q$244,2,0),0)</f>
        <v>0</v>
      </c>
      <c r="G6459" s="424"/>
      <c r="H6459" s="31">
        <f>+IFERROR(VLOOKUP(E6459,BD!$L$2:$Q$244,6,0),0)</f>
        <v>0</v>
      </c>
      <c r="I6459" s="626">
        <f>IFERROR(G6459*VLOOKUP($E6459,BD!$L$2:$Q$244,5,0),0)</f>
        <v>0</v>
      </c>
      <c r="J6459" s="3">
        <f t="shared" si="413"/>
        <v>1900</v>
      </c>
    </row>
    <row r="6460" spans="1:10" s="9" customFormat="1" x14ac:dyDescent="0.25">
      <c r="A6460" s="447"/>
      <c r="B6460" s="55" t="str">
        <f t="shared" si="410"/>
        <v>ENERO</v>
      </c>
      <c r="C6460" s="55">
        <f t="shared" si="411"/>
        <v>1</v>
      </c>
      <c r="D6460" s="3" t="str">
        <f t="shared" si="412"/>
        <v>SÁBADO</v>
      </c>
      <c r="E6460" s="427"/>
      <c r="F6460" s="31">
        <f>IFERROR(VLOOKUP(E6460,BD!$L$2:$Q$244,2,0),0)</f>
        <v>0</v>
      </c>
      <c r="G6460" s="424"/>
      <c r="H6460" s="31">
        <f>+IFERROR(VLOOKUP(E6460,BD!$L$2:$Q$244,6,0),0)</f>
        <v>0</v>
      </c>
      <c r="I6460" s="626">
        <f>IFERROR(G6460*VLOOKUP($E6460,BD!$L$2:$Q$244,5,0),0)</f>
        <v>0</v>
      </c>
      <c r="J6460" s="3">
        <f t="shared" si="413"/>
        <v>1900</v>
      </c>
    </row>
    <row r="6461" spans="1:10" s="9" customFormat="1" x14ac:dyDescent="0.25">
      <c r="A6461" s="447"/>
      <c r="B6461" s="55" t="str">
        <f t="shared" ref="B6461:B6524" si="414">UPPER(TEXT(A6461,"MMMM"))</f>
        <v>ENERO</v>
      </c>
      <c r="C6461" s="55">
        <f t="shared" ref="C6461:C6524" si="415">WEEKNUM(A6461,16)</f>
        <v>1</v>
      </c>
      <c r="D6461" s="3" t="str">
        <f t="shared" ref="D6461:D6524" si="416">UPPER(TEXT(A6461,"DDDD"))</f>
        <v>SÁBADO</v>
      </c>
      <c r="E6461" s="427"/>
      <c r="F6461" s="31">
        <f>IFERROR(VLOOKUP(E6461,BD!$L$2:$Q$244,2,0),0)</f>
        <v>0</v>
      </c>
      <c r="G6461" s="424"/>
      <c r="H6461" s="31">
        <f>+IFERROR(VLOOKUP(E6461,BD!$L$2:$Q$244,6,0),0)</f>
        <v>0</v>
      </c>
      <c r="I6461" s="626">
        <f>IFERROR(G6461*VLOOKUP($E6461,BD!$L$2:$Q$244,5,0),0)</f>
        <v>0</v>
      </c>
      <c r="J6461" s="3">
        <f t="shared" ref="J6461:J6524" si="417">+YEAR(A6461)</f>
        <v>1900</v>
      </c>
    </row>
    <row r="6462" spans="1:10" s="9" customFormat="1" x14ac:dyDescent="0.25">
      <c r="A6462" s="447"/>
      <c r="B6462" s="55" t="str">
        <f t="shared" si="414"/>
        <v>ENERO</v>
      </c>
      <c r="C6462" s="55">
        <f t="shared" si="415"/>
        <v>1</v>
      </c>
      <c r="D6462" s="3" t="str">
        <f t="shared" si="416"/>
        <v>SÁBADO</v>
      </c>
      <c r="E6462" s="427"/>
      <c r="F6462" s="31">
        <f>IFERROR(VLOOKUP(E6462,BD!$L$2:$Q$244,2,0),0)</f>
        <v>0</v>
      </c>
      <c r="G6462" s="424"/>
      <c r="H6462" s="31">
        <f>+IFERROR(VLOOKUP(E6462,BD!$L$2:$Q$244,6,0),0)</f>
        <v>0</v>
      </c>
      <c r="I6462" s="626">
        <f>IFERROR(G6462*VLOOKUP($E6462,BD!$L$2:$Q$244,5,0),0)</f>
        <v>0</v>
      </c>
      <c r="J6462" s="3">
        <f t="shared" si="417"/>
        <v>1900</v>
      </c>
    </row>
    <row r="6463" spans="1:10" s="9" customFormat="1" x14ac:dyDescent="0.25">
      <c r="A6463" s="447"/>
      <c r="B6463" s="55" t="str">
        <f t="shared" si="414"/>
        <v>ENERO</v>
      </c>
      <c r="C6463" s="55">
        <f t="shared" si="415"/>
        <v>1</v>
      </c>
      <c r="D6463" s="3" t="str">
        <f t="shared" si="416"/>
        <v>SÁBADO</v>
      </c>
      <c r="E6463" s="427"/>
      <c r="F6463" s="31">
        <f>IFERROR(VLOOKUP(E6463,BD!$L$2:$Q$244,2,0),0)</f>
        <v>0</v>
      </c>
      <c r="G6463" s="424"/>
      <c r="H6463" s="31">
        <f>+IFERROR(VLOOKUP(E6463,BD!$L$2:$Q$244,6,0),0)</f>
        <v>0</v>
      </c>
      <c r="I6463" s="626">
        <f>IFERROR(G6463*VLOOKUP($E6463,BD!$L$2:$Q$244,5,0),0)</f>
        <v>0</v>
      </c>
      <c r="J6463" s="3">
        <f t="shared" si="417"/>
        <v>1900</v>
      </c>
    </row>
    <row r="6464" spans="1:10" s="9" customFormat="1" x14ac:dyDescent="0.25">
      <c r="A6464" s="447"/>
      <c r="B6464" s="55" t="str">
        <f t="shared" si="414"/>
        <v>ENERO</v>
      </c>
      <c r="C6464" s="55">
        <f t="shared" si="415"/>
        <v>1</v>
      </c>
      <c r="D6464" s="3" t="str">
        <f t="shared" si="416"/>
        <v>SÁBADO</v>
      </c>
      <c r="E6464" s="427"/>
      <c r="F6464" s="31">
        <f>IFERROR(VLOOKUP(E6464,BD!$L$2:$Q$244,2,0),0)</f>
        <v>0</v>
      </c>
      <c r="G6464" s="424"/>
      <c r="H6464" s="31">
        <f>+IFERROR(VLOOKUP(E6464,BD!$L$2:$Q$244,6,0),0)</f>
        <v>0</v>
      </c>
      <c r="I6464" s="626">
        <f>IFERROR(G6464*VLOOKUP($E6464,BD!$L$2:$Q$244,5,0),0)</f>
        <v>0</v>
      </c>
      <c r="J6464" s="3">
        <f t="shared" si="417"/>
        <v>1900</v>
      </c>
    </row>
    <row r="6465" spans="1:10" s="9" customFormat="1" x14ac:dyDescent="0.25">
      <c r="A6465" s="447"/>
      <c r="B6465" s="55" t="str">
        <f t="shared" si="414"/>
        <v>ENERO</v>
      </c>
      <c r="C6465" s="55">
        <f t="shared" si="415"/>
        <v>1</v>
      </c>
      <c r="D6465" s="3" t="str">
        <f t="shared" si="416"/>
        <v>SÁBADO</v>
      </c>
      <c r="E6465" s="427"/>
      <c r="F6465" s="31">
        <f>IFERROR(VLOOKUP(E6465,BD!$L$2:$Q$244,2,0),0)</f>
        <v>0</v>
      </c>
      <c r="G6465" s="424"/>
      <c r="H6465" s="31">
        <f>+IFERROR(VLOOKUP(E6465,BD!$L$2:$Q$244,6,0),0)</f>
        <v>0</v>
      </c>
      <c r="I6465" s="626">
        <f>IFERROR(G6465*VLOOKUP($E6465,BD!$L$2:$Q$244,5,0),0)</f>
        <v>0</v>
      </c>
      <c r="J6465" s="3">
        <f t="shared" si="417"/>
        <v>1900</v>
      </c>
    </row>
    <row r="6466" spans="1:10" s="9" customFormat="1" x14ac:dyDescent="0.25">
      <c r="A6466" s="447"/>
      <c r="B6466" s="55" t="str">
        <f t="shared" si="414"/>
        <v>ENERO</v>
      </c>
      <c r="C6466" s="55">
        <f t="shared" si="415"/>
        <v>1</v>
      </c>
      <c r="D6466" s="3" t="str">
        <f t="shared" si="416"/>
        <v>SÁBADO</v>
      </c>
      <c r="E6466" s="427"/>
      <c r="F6466" s="31">
        <f>IFERROR(VLOOKUP(E6466,BD!$L$2:$Q$244,2,0),0)</f>
        <v>0</v>
      </c>
      <c r="G6466" s="424"/>
      <c r="H6466" s="31">
        <f>+IFERROR(VLOOKUP(E6466,BD!$L$2:$Q$244,6,0),0)</f>
        <v>0</v>
      </c>
      <c r="I6466" s="626">
        <f>IFERROR(G6466*VLOOKUP($E6466,BD!$L$2:$Q$244,5,0),0)</f>
        <v>0</v>
      </c>
      <c r="J6466" s="3">
        <f t="shared" si="417"/>
        <v>1900</v>
      </c>
    </row>
    <row r="6467" spans="1:10" s="9" customFormat="1" x14ac:dyDescent="0.25">
      <c r="A6467" s="447"/>
      <c r="B6467" s="55" t="str">
        <f t="shared" si="414"/>
        <v>ENERO</v>
      </c>
      <c r="C6467" s="55">
        <f t="shared" si="415"/>
        <v>1</v>
      </c>
      <c r="D6467" s="3" t="str">
        <f t="shared" si="416"/>
        <v>SÁBADO</v>
      </c>
      <c r="E6467" s="427"/>
      <c r="F6467" s="31">
        <f>IFERROR(VLOOKUP(E6467,BD!$L$2:$Q$244,2,0),0)</f>
        <v>0</v>
      </c>
      <c r="G6467" s="424"/>
      <c r="H6467" s="31">
        <f>+IFERROR(VLOOKUP(E6467,BD!$L$2:$Q$244,6,0),0)</f>
        <v>0</v>
      </c>
      <c r="I6467" s="626">
        <f>IFERROR(G6467*VLOOKUP($E6467,BD!$L$2:$Q$244,5,0),0)</f>
        <v>0</v>
      </c>
      <c r="J6467" s="3">
        <f t="shared" si="417"/>
        <v>1900</v>
      </c>
    </row>
    <row r="6468" spans="1:10" s="9" customFormat="1" x14ac:dyDescent="0.25">
      <c r="A6468" s="447"/>
      <c r="B6468" s="55" t="str">
        <f t="shared" si="414"/>
        <v>ENERO</v>
      </c>
      <c r="C6468" s="55">
        <f t="shared" si="415"/>
        <v>1</v>
      </c>
      <c r="D6468" s="3" t="str">
        <f t="shared" si="416"/>
        <v>SÁBADO</v>
      </c>
      <c r="E6468" s="427"/>
      <c r="F6468" s="31">
        <f>IFERROR(VLOOKUP(E6468,BD!$L$2:$Q$244,2,0),0)</f>
        <v>0</v>
      </c>
      <c r="G6468" s="424"/>
      <c r="H6468" s="31">
        <f>+IFERROR(VLOOKUP(E6468,BD!$L$2:$Q$244,6,0),0)</f>
        <v>0</v>
      </c>
      <c r="I6468" s="626">
        <f>IFERROR(G6468*VLOOKUP($E6468,BD!$L$2:$Q$244,5,0),0)</f>
        <v>0</v>
      </c>
      <c r="J6468" s="3">
        <f t="shared" si="417"/>
        <v>1900</v>
      </c>
    </row>
    <row r="6469" spans="1:10" s="9" customFormat="1" x14ac:dyDescent="0.25">
      <c r="A6469" s="447"/>
      <c r="B6469" s="55" t="str">
        <f t="shared" si="414"/>
        <v>ENERO</v>
      </c>
      <c r="C6469" s="55">
        <f t="shared" si="415"/>
        <v>1</v>
      </c>
      <c r="D6469" s="3" t="str">
        <f t="shared" si="416"/>
        <v>SÁBADO</v>
      </c>
      <c r="E6469" s="427"/>
      <c r="F6469" s="31">
        <f>IFERROR(VLOOKUP(E6469,BD!$L$2:$Q$244,2,0),0)</f>
        <v>0</v>
      </c>
      <c r="G6469" s="424"/>
      <c r="H6469" s="31">
        <f>+IFERROR(VLOOKUP(E6469,BD!$L$2:$Q$244,6,0),0)</f>
        <v>0</v>
      </c>
      <c r="I6469" s="626">
        <f>IFERROR(G6469*VLOOKUP($E6469,BD!$L$2:$Q$244,5,0),0)</f>
        <v>0</v>
      </c>
      <c r="J6469" s="3">
        <f t="shared" si="417"/>
        <v>1900</v>
      </c>
    </row>
    <row r="6470" spans="1:10" s="9" customFormat="1" x14ac:dyDescent="0.25">
      <c r="A6470" s="447"/>
      <c r="B6470" s="55" t="str">
        <f t="shared" si="414"/>
        <v>ENERO</v>
      </c>
      <c r="C6470" s="55">
        <f t="shared" si="415"/>
        <v>1</v>
      </c>
      <c r="D6470" s="3" t="str">
        <f t="shared" si="416"/>
        <v>SÁBADO</v>
      </c>
      <c r="E6470" s="427"/>
      <c r="F6470" s="31">
        <f>IFERROR(VLOOKUP(E6470,BD!$L$2:$Q$244,2,0),0)</f>
        <v>0</v>
      </c>
      <c r="G6470" s="424"/>
      <c r="H6470" s="31">
        <f>+IFERROR(VLOOKUP(E6470,BD!$L$2:$Q$244,6,0),0)</f>
        <v>0</v>
      </c>
      <c r="I6470" s="626">
        <f>IFERROR(G6470*VLOOKUP($E6470,BD!$L$2:$Q$244,5,0),0)</f>
        <v>0</v>
      </c>
      <c r="J6470" s="3">
        <f t="shared" si="417"/>
        <v>1900</v>
      </c>
    </row>
    <row r="6471" spans="1:10" s="9" customFormat="1" x14ac:dyDescent="0.25">
      <c r="A6471" s="447"/>
      <c r="B6471" s="55" t="str">
        <f t="shared" si="414"/>
        <v>ENERO</v>
      </c>
      <c r="C6471" s="55">
        <f t="shared" si="415"/>
        <v>1</v>
      </c>
      <c r="D6471" s="3" t="str">
        <f t="shared" si="416"/>
        <v>SÁBADO</v>
      </c>
      <c r="E6471" s="427"/>
      <c r="F6471" s="31">
        <f>IFERROR(VLOOKUP(E6471,BD!$L$2:$Q$244,2,0),0)</f>
        <v>0</v>
      </c>
      <c r="G6471" s="424"/>
      <c r="H6471" s="31">
        <f>+IFERROR(VLOOKUP(E6471,BD!$L$2:$Q$244,6,0),0)</f>
        <v>0</v>
      </c>
      <c r="I6471" s="626">
        <f>IFERROR(G6471*VLOOKUP($E6471,BD!$L$2:$Q$244,5,0),0)</f>
        <v>0</v>
      </c>
      <c r="J6471" s="3">
        <f t="shared" si="417"/>
        <v>1900</v>
      </c>
    </row>
    <row r="6472" spans="1:10" s="9" customFormat="1" x14ac:dyDescent="0.25">
      <c r="A6472" s="447"/>
      <c r="B6472" s="55" t="str">
        <f t="shared" si="414"/>
        <v>ENERO</v>
      </c>
      <c r="C6472" s="55">
        <f t="shared" si="415"/>
        <v>1</v>
      </c>
      <c r="D6472" s="3" t="str">
        <f t="shared" si="416"/>
        <v>SÁBADO</v>
      </c>
      <c r="E6472" s="427"/>
      <c r="F6472" s="31">
        <f>IFERROR(VLOOKUP(E6472,BD!$L$2:$Q$244,2,0),0)</f>
        <v>0</v>
      </c>
      <c r="G6472" s="424"/>
      <c r="H6472" s="31">
        <f>+IFERROR(VLOOKUP(E6472,BD!$L$2:$Q$244,6,0),0)</f>
        <v>0</v>
      </c>
      <c r="I6472" s="626">
        <f>IFERROR(G6472*VLOOKUP($E6472,BD!$L$2:$Q$244,5,0),0)</f>
        <v>0</v>
      </c>
      <c r="J6472" s="3">
        <f t="shared" si="417"/>
        <v>1900</v>
      </c>
    </row>
    <row r="6473" spans="1:10" s="9" customFormat="1" x14ac:dyDescent="0.25">
      <c r="A6473" s="447"/>
      <c r="B6473" s="55" t="str">
        <f t="shared" si="414"/>
        <v>ENERO</v>
      </c>
      <c r="C6473" s="55">
        <f t="shared" si="415"/>
        <v>1</v>
      </c>
      <c r="D6473" s="3" t="str">
        <f t="shared" si="416"/>
        <v>SÁBADO</v>
      </c>
      <c r="E6473" s="427"/>
      <c r="F6473" s="31">
        <f>IFERROR(VLOOKUP(E6473,BD!$L$2:$Q$244,2,0),0)</f>
        <v>0</v>
      </c>
      <c r="G6473" s="424"/>
      <c r="H6473" s="31">
        <f>+IFERROR(VLOOKUP(E6473,BD!$L$2:$Q$244,6,0),0)</f>
        <v>0</v>
      </c>
      <c r="I6473" s="626">
        <f>IFERROR(G6473*VLOOKUP($E6473,BD!$L$2:$Q$244,5,0),0)</f>
        <v>0</v>
      </c>
      <c r="J6473" s="3">
        <f t="shared" si="417"/>
        <v>1900</v>
      </c>
    </row>
    <row r="6474" spans="1:10" s="9" customFormat="1" x14ac:dyDescent="0.25">
      <c r="A6474" s="447"/>
      <c r="B6474" s="55" t="str">
        <f t="shared" si="414"/>
        <v>ENERO</v>
      </c>
      <c r="C6474" s="55">
        <f t="shared" si="415"/>
        <v>1</v>
      </c>
      <c r="D6474" s="3" t="str">
        <f t="shared" si="416"/>
        <v>SÁBADO</v>
      </c>
      <c r="E6474" s="427"/>
      <c r="F6474" s="31">
        <f>IFERROR(VLOOKUP(E6474,BD!$L$2:$Q$244,2,0),0)</f>
        <v>0</v>
      </c>
      <c r="G6474" s="424"/>
      <c r="H6474" s="31">
        <f>+IFERROR(VLOOKUP(E6474,BD!$L$2:$Q$244,6,0),0)</f>
        <v>0</v>
      </c>
      <c r="I6474" s="626">
        <f>IFERROR(G6474*VLOOKUP($E6474,BD!$L$2:$Q$244,5,0),0)</f>
        <v>0</v>
      </c>
      <c r="J6474" s="3">
        <f t="shared" si="417"/>
        <v>1900</v>
      </c>
    </row>
    <row r="6475" spans="1:10" s="9" customFormat="1" x14ac:dyDescent="0.25">
      <c r="A6475" s="447"/>
      <c r="B6475" s="55" t="str">
        <f t="shared" si="414"/>
        <v>ENERO</v>
      </c>
      <c r="C6475" s="55">
        <f t="shared" si="415"/>
        <v>1</v>
      </c>
      <c r="D6475" s="3" t="str">
        <f t="shared" si="416"/>
        <v>SÁBADO</v>
      </c>
      <c r="E6475" s="427"/>
      <c r="F6475" s="31">
        <f>IFERROR(VLOOKUP(E6475,BD!$L$2:$Q$244,2,0),0)</f>
        <v>0</v>
      </c>
      <c r="G6475" s="424"/>
      <c r="H6475" s="31">
        <f>+IFERROR(VLOOKUP(E6475,BD!$L$2:$Q$244,6,0),0)</f>
        <v>0</v>
      </c>
      <c r="I6475" s="626">
        <f>IFERROR(G6475*VLOOKUP($E6475,BD!$L$2:$Q$244,5,0),0)</f>
        <v>0</v>
      </c>
      <c r="J6475" s="3">
        <f t="shared" si="417"/>
        <v>1900</v>
      </c>
    </row>
    <row r="6476" spans="1:10" s="9" customFormat="1" x14ac:dyDescent="0.25">
      <c r="A6476" s="447"/>
      <c r="B6476" s="55" t="str">
        <f t="shared" si="414"/>
        <v>ENERO</v>
      </c>
      <c r="C6476" s="55">
        <f t="shared" si="415"/>
        <v>1</v>
      </c>
      <c r="D6476" s="3" t="str">
        <f t="shared" si="416"/>
        <v>SÁBADO</v>
      </c>
      <c r="E6476" s="427"/>
      <c r="F6476" s="31">
        <f>IFERROR(VLOOKUP(E6476,BD!$L$2:$Q$244,2,0),0)</f>
        <v>0</v>
      </c>
      <c r="G6476" s="424"/>
      <c r="H6476" s="31">
        <f>+IFERROR(VLOOKUP(E6476,BD!$L$2:$Q$244,6,0),0)</f>
        <v>0</v>
      </c>
      <c r="I6476" s="626">
        <f>IFERROR(G6476*VLOOKUP($E6476,BD!$L$2:$Q$244,5,0),0)</f>
        <v>0</v>
      </c>
      <c r="J6476" s="3">
        <f t="shared" si="417"/>
        <v>1900</v>
      </c>
    </row>
    <row r="6477" spans="1:10" s="9" customFormat="1" x14ac:dyDescent="0.25">
      <c r="A6477" s="447"/>
      <c r="B6477" s="55" t="str">
        <f t="shared" si="414"/>
        <v>ENERO</v>
      </c>
      <c r="C6477" s="55">
        <f t="shared" si="415"/>
        <v>1</v>
      </c>
      <c r="D6477" s="3" t="str">
        <f t="shared" si="416"/>
        <v>SÁBADO</v>
      </c>
      <c r="E6477" s="427"/>
      <c r="F6477" s="31">
        <f>IFERROR(VLOOKUP(E6477,BD!$L$2:$Q$244,2,0),0)</f>
        <v>0</v>
      </c>
      <c r="G6477" s="424"/>
      <c r="H6477" s="31">
        <f>+IFERROR(VLOOKUP(E6477,BD!$L$2:$Q$244,6,0),0)</f>
        <v>0</v>
      </c>
      <c r="I6477" s="626">
        <f>IFERROR(G6477*VLOOKUP($E6477,BD!$L$2:$Q$244,5,0),0)</f>
        <v>0</v>
      </c>
      <c r="J6477" s="3">
        <f t="shared" si="417"/>
        <v>1900</v>
      </c>
    </row>
    <row r="6478" spans="1:10" s="9" customFormat="1" x14ac:dyDescent="0.25">
      <c r="A6478" s="447"/>
      <c r="B6478" s="55" t="str">
        <f t="shared" si="414"/>
        <v>ENERO</v>
      </c>
      <c r="C6478" s="55">
        <f t="shared" si="415"/>
        <v>1</v>
      </c>
      <c r="D6478" s="3" t="str">
        <f t="shared" si="416"/>
        <v>SÁBADO</v>
      </c>
      <c r="E6478" s="427"/>
      <c r="F6478" s="31">
        <f>IFERROR(VLOOKUP(E6478,BD!$L$2:$Q$244,2,0),0)</f>
        <v>0</v>
      </c>
      <c r="G6478" s="424"/>
      <c r="H6478" s="31">
        <f>+IFERROR(VLOOKUP(E6478,BD!$L$2:$Q$244,6,0),0)</f>
        <v>0</v>
      </c>
      <c r="I6478" s="626">
        <f>IFERROR(G6478*VLOOKUP($E6478,BD!$L$2:$Q$244,5,0),0)</f>
        <v>0</v>
      </c>
      <c r="J6478" s="3">
        <f t="shared" si="417"/>
        <v>1900</v>
      </c>
    </row>
    <row r="6479" spans="1:10" s="9" customFormat="1" x14ac:dyDescent="0.25">
      <c r="A6479" s="447"/>
      <c r="B6479" s="55" t="str">
        <f t="shared" si="414"/>
        <v>ENERO</v>
      </c>
      <c r="C6479" s="55">
        <f t="shared" si="415"/>
        <v>1</v>
      </c>
      <c r="D6479" s="3" t="str">
        <f t="shared" si="416"/>
        <v>SÁBADO</v>
      </c>
      <c r="E6479" s="427"/>
      <c r="F6479" s="31">
        <f>IFERROR(VLOOKUP(E6479,BD!$L$2:$Q$244,2,0),0)</f>
        <v>0</v>
      </c>
      <c r="G6479" s="424"/>
      <c r="H6479" s="31">
        <f>+IFERROR(VLOOKUP(E6479,BD!$L$2:$Q$244,6,0),0)</f>
        <v>0</v>
      </c>
      <c r="I6479" s="626">
        <f>IFERROR(G6479*VLOOKUP($E6479,BD!$L$2:$Q$244,5,0),0)</f>
        <v>0</v>
      </c>
      <c r="J6479" s="3">
        <f t="shared" si="417"/>
        <v>1900</v>
      </c>
    </row>
    <row r="6480" spans="1:10" s="9" customFormat="1" x14ac:dyDescent="0.25">
      <c r="A6480" s="447"/>
      <c r="B6480" s="55" t="str">
        <f t="shared" si="414"/>
        <v>ENERO</v>
      </c>
      <c r="C6480" s="55">
        <f t="shared" si="415"/>
        <v>1</v>
      </c>
      <c r="D6480" s="3" t="str">
        <f t="shared" si="416"/>
        <v>SÁBADO</v>
      </c>
      <c r="E6480" s="427"/>
      <c r="F6480" s="31">
        <f>IFERROR(VLOOKUP(E6480,BD!$L$2:$Q$244,2,0),0)</f>
        <v>0</v>
      </c>
      <c r="G6480" s="424"/>
      <c r="H6480" s="31">
        <f>+IFERROR(VLOOKUP(E6480,BD!$L$2:$Q$244,6,0),0)</f>
        <v>0</v>
      </c>
      <c r="I6480" s="626">
        <f>IFERROR(G6480*VLOOKUP($E6480,BD!$L$2:$Q$244,5,0),0)</f>
        <v>0</v>
      </c>
      <c r="J6480" s="3">
        <f t="shared" si="417"/>
        <v>1900</v>
      </c>
    </row>
    <row r="6481" spans="1:10" s="9" customFormat="1" x14ac:dyDescent="0.25">
      <c r="A6481" s="447"/>
      <c r="B6481" s="55" t="str">
        <f t="shared" si="414"/>
        <v>ENERO</v>
      </c>
      <c r="C6481" s="55">
        <f t="shared" si="415"/>
        <v>1</v>
      </c>
      <c r="D6481" s="3" t="str">
        <f t="shared" si="416"/>
        <v>SÁBADO</v>
      </c>
      <c r="E6481" s="427"/>
      <c r="F6481" s="31">
        <f>IFERROR(VLOOKUP(E6481,BD!$L$2:$Q$244,2,0),0)</f>
        <v>0</v>
      </c>
      <c r="G6481" s="424"/>
      <c r="H6481" s="31">
        <f>+IFERROR(VLOOKUP(E6481,BD!$L$2:$Q$244,6,0),0)</f>
        <v>0</v>
      </c>
      <c r="I6481" s="626">
        <f>IFERROR(G6481*VLOOKUP($E6481,BD!$L$2:$Q$244,5,0),0)</f>
        <v>0</v>
      </c>
      <c r="J6481" s="3">
        <f t="shared" si="417"/>
        <v>1900</v>
      </c>
    </row>
    <row r="6482" spans="1:10" s="9" customFormat="1" x14ac:dyDescent="0.25">
      <c r="A6482" s="447"/>
      <c r="B6482" s="55" t="str">
        <f t="shared" si="414"/>
        <v>ENERO</v>
      </c>
      <c r="C6482" s="55">
        <f t="shared" si="415"/>
        <v>1</v>
      </c>
      <c r="D6482" s="3" t="str">
        <f t="shared" si="416"/>
        <v>SÁBADO</v>
      </c>
      <c r="E6482" s="427"/>
      <c r="F6482" s="31">
        <f>IFERROR(VLOOKUP(E6482,BD!$L$2:$Q$244,2,0),0)</f>
        <v>0</v>
      </c>
      <c r="G6482" s="424"/>
      <c r="H6482" s="31">
        <f>+IFERROR(VLOOKUP(E6482,BD!$L$2:$Q$244,6,0),0)</f>
        <v>0</v>
      </c>
      <c r="I6482" s="626">
        <f>IFERROR(G6482*VLOOKUP($E6482,BD!$L$2:$Q$244,5,0),0)</f>
        <v>0</v>
      </c>
      <c r="J6482" s="3">
        <f t="shared" si="417"/>
        <v>1900</v>
      </c>
    </row>
    <row r="6483" spans="1:10" s="9" customFormat="1" x14ac:dyDescent="0.25">
      <c r="A6483" s="447"/>
      <c r="B6483" s="55" t="str">
        <f t="shared" si="414"/>
        <v>ENERO</v>
      </c>
      <c r="C6483" s="55">
        <f t="shared" si="415"/>
        <v>1</v>
      </c>
      <c r="D6483" s="3" t="str">
        <f t="shared" si="416"/>
        <v>SÁBADO</v>
      </c>
      <c r="E6483" s="427"/>
      <c r="F6483" s="31">
        <f>IFERROR(VLOOKUP(E6483,BD!$L$2:$Q$244,2,0),0)</f>
        <v>0</v>
      </c>
      <c r="G6483" s="424"/>
      <c r="H6483" s="31">
        <f>+IFERROR(VLOOKUP(E6483,BD!$L$2:$Q$244,6,0),0)</f>
        <v>0</v>
      </c>
      <c r="I6483" s="626">
        <f>IFERROR(G6483*VLOOKUP($E6483,BD!$L$2:$Q$244,5,0),0)</f>
        <v>0</v>
      </c>
      <c r="J6483" s="3">
        <f t="shared" si="417"/>
        <v>1900</v>
      </c>
    </row>
    <row r="6484" spans="1:10" s="9" customFormat="1" x14ac:dyDescent="0.25">
      <c r="A6484" s="447"/>
      <c r="B6484" s="55" t="str">
        <f t="shared" si="414"/>
        <v>ENERO</v>
      </c>
      <c r="C6484" s="55">
        <f t="shared" si="415"/>
        <v>1</v>
      </c>
      <c r="D6484" s="3" t="str">
        <f t="shared" si="416"/>
        <v>SÁBADO</v>
      </c>
      <c r="E6484" s="427"/>
      <c r="F6484" s="31">
        <f>IFERROR(VLOOKUP(E6484,BD!$L$2:$Q$244,2,0),0)</f>
        <v>0</v>
      </c>
      <c r="G6484" s="424"/>
      <c r="H6484" s="31">
        <f>+IFERROR(VLOOKUP(E6484,BD!$L$2:$Q$244,6,0),0)</f>
        <v>0</v>
      </c>
      <c r="I6484" s="626">
        <f>IFERROR(G6484*VLOOKUP($E6484,BD!$L$2:$Q$244,5,0),0)</f>
        <v>0</v>
      </c>
      <c r="J6484" s="3">
        <f t="shared" si="417"/>
        <v>1900</v>
      </c>
    </row>
    <row r="6485" spans="1:10" s="9" customFormat="1" x14ac:dyDescent="0.25">
      <c r="A6485" s="447"/>
      <c r="B6485" s="55" t="str">
        <f t="shared" si="414"/>
        <v>ENERO</v>
      </c>
      <c r="C6485" s="55">
        <f t="shared" si="415"/>
        <v>1</v>
      </c>
      <c r="D6485" s="3" t="str">
        <f t="shared" si="416"/>
        <v>SÁBADO</v>
      </c>
      <c r="E6485" s="427"/>
      <c r="F6485" s="31">
        <f>IFERROR(VLOOKUP(E6485,BD!$L$2:$Q$244,2,0),0)</f>
        <v>0</v>
      </c>
      <c r="G6485" s="424"/>
      <c r="H6485" s="31">
        <f>+IFERROR(VLOOKUP(E6485,BD!$L$2:$Q$244,6,0),0)</f>
        <v>0</v>
      </c>
      <c r="I6485" s="626">
        <f>IFERROR(G6485*VLOOKUP($E6485,BD!$L$2:$Q$244,5,0),0)</f>
        <v>0</v>
      </c>
      <c r="J6485" s="3">
        <f t="shared" si="417"/>
        <v>1900</v>
      </c>
    </row>
    <row r="6486" spans="1:10" s="9" customFormat="1" x14ac:dyDescent="0.25">
      <c r="A6486" s="447"/>
      <c r="B6486" s="55" t="str">
        <f t="shared" si="414"/>
        <v>ENERO</v>
      </c>
      <c r="C6486" s="55">
        <f t="shared" si="415"/>
        <v>1</v>
      </c>
      <c r="D6486" s="3" t="str">
        <f t="shared" si="416"/>
        <v>SÁBADO</v>
      </c>
      <c r="E6486" s="427"/>
      <c r="F6486" s="31">
        <f>IFERROR(VLOOKUP(E6486,BD!$L$2:$Q$244,2,0),0)</f>
        <v>0</v>
      </c>
      <c r="G6486" s="424"/>
      <c r="H6486" s="31">
        <f>+IFERROR(VLOOKUP(E6486,BD!$L$2:$Q$244,6,0),0)</f>
        <v>0</v>
      </c>
      <c r="I6486" s="626">
        <f>IFERROR(G6486*VLOOKUP($E6486,BD!$L$2:$Q$244,5,0),0)</f>
        <v>0</v>
      </c>
      <c r="J6486" s="3">
        <f t="shared" si="417"/>
        <v>1900</v>
      </c>
    </row>
    <row r="6487" spans="1:10" s="9" customFormat="1" x14ac:dyDescent="0.25">
      <c r="A6487" s="447"/>
      <c r="B6487" s="55" t="str">
        <f t="shared" si="414"/>
        <v>ENERO</v>
      </c>
      <c r="C6487" s="55">
        <f t="shared" si="415"/>
        <v>1</v>
      </c>
      <c r="D6487" s="3" t="str">
        <f t="shared" si="416"/>
        <v>SÁBADO</v>
      </c>
      <c r="E6487" s="427"/>
      <c r="F6487" s="31">
        <f>IFERROR(VLOOKUP(E6487,BD!$L$2:$Q$244,2,0),0)</f>
        <v>0</v>
      </c>
      <c r="G6487" s="424"/>
      <c r="H6487" s="31">
        <f>+IFERROR(VLOOKUP(E6487,BD!$L$2:$Q$244,6,0),0)</f>
        <v>0</v>
      </c>
      <c r="I6487" s="626">
        <f>IFERROR(G6487*VLOOKUP($E6487,BD!$L$2:$Q$244,5,0),0)</f>
        <v>0</v>
      </c>
      <c r="J6487" s="3">
        <f t="shared" si="417"/>
        <v>1900</v>
      </c>
    </row>
    <row r="6488" spans="1:10" s="9" customFormat="1" x14ac:dyDescent="0.25">
      <c r="A6488" s="447"/>
      <c r="B6488" s="55" t="str">
        <f t="shared" si="414"/>
        <v>ENERO</v>
      </c>
      <c r="C6488" s="55">
        <f t="shared" si="415"/>
        <v>1</v>
      </c>
      <c r="D6488" s="3" t="str">
        <f t="shared" si="416"/>
        <v>SÁBADO</v>
      </c>
      <c r="E6488" s="427"/>
      <c r="F6488" s="31">
        <f>IFERROR(VLOOKUP(E6488,BD!$L$2:$Q$244,2,0),0)</f>
        <v>0</v>
      </c>
      <c r="G6488" s="424"/>
      <c r="H6488" s="31">
        <f>+IFERROR(VLOOKUP(E6488,BD!$L$2:$Q$244,6,0),0)</f>
        <v>0</v>
      </c>
      <c r="I6488" s="626">
        <f>IFERROR(G6488*VLOOKUP($E6488,BD!$L$2:$Q$244,5,0),0)</f>
        <v>0</v>
      </c>
      <c r="J6488" s="3">
        <f t="shared" si="417"/>
        <v>1900</v>
      </c>
    </row>
    <row r="6489" spans="1:10" s="9" customFormat="1" x14ac:dyDescent="0.25">
      <c r="A6489" s="447"/>
      <c r="B6489" s="55" t="str">
        <f t="shared" si="414"/>
        <v>ENERO</v>
      </c>
      <c r="C6489" s="55">
        <f t="shared" si="415"/>
        <v>1</v>
      </c>
      <c r="D6489" s="3" t="str">
        <f t="shared" si="416"/>
        <v>SÁBADO</v>
      </c>
      <c r="E6489" s="427"/>
      <c r="F6489" s="31">
        <f>IFERROR(VLOOKUP(E6489,BD!$L$2:$Q$244,2,0),0)</f>
        <v>0</v>
      </c>
      <c r="G6489" s="424"/>
      <c r="H6489" s="31">
        <f>+IFERROR(VLOOKUP(E6489,BD!$L$2:$Q$244,6,0),0)</f>
        <v>0</v>
      </c>
      <c r="I6489" s="626">
        <f>IFERROR(G6489*VLOOKUP($E6489,BD!$L$2:$Q$244,5,0),0)</f>
        <v>0</v>
      </c>
      <c r="J6489" s="3">
        <f t="shared" si="417"/>
        <v>1900</v>
      </c>
    </row>
    <row r="6490" spans="1:10" s="9" customFormat="1" x14ac:dyDescent="0.25">
      <c r="A6490" s="447"/>
      <c r="B6490" s="55" t="str">
        <f t="shared" si="414"/>
        <v>ENERO</v>
      </c>
      <c r="C6490" s="55">
        <f t="shared" si="415"/>
        <v>1</v>
      </c>
      <c r="D6490" s="3" t="str">
        <f t="shared" si="416"/>
        <v>SÁBADO</v>
      </c>
      <c r="E6490" s="427"/>
      <c r="F6490" s="31">
        <f>IFERROR(VLOOKUP(E6490,BD!$L$2:$Q$244,2,0),0)</f>
        <v>0</v>
      </c>
      <c r="G6490" s="424"/>
      <c r="H6490" s="31">
        <f>+IFERROR(VLOOKUP(E6490,BD!$L$2:$Q$244,6,0),0)</f>
        <v>0</v>
      </c>
      <c r="I6490" s="626">
        <f>IFERROR(G6490*VLOOKUP($E6490,BD!$L$2:$Q$244,5,0),0)</f>
        <v>0</v>
      </c>
      <c r="J6490" s="3">
        <f t="shared" si="417"/>
        <v>1900</v>
      </c>
    </row>
    <row r="6491" spans="1:10" s="9" customFormat="1" x14ac:dyDescent="0.25">
      <c r="A6491" s="447"/>
      <c r="B6491" s="55" t="str">
        <f t="shared" si="414"/>
        <v>ENERO</v>
      </c>
      <c r="C6491" s="55">
        <f t="shared" si="415"/>
        <v>1</v>
      </c>
      <c r="D6491" s="3" t="str">
        <f t="shared" si="416"/>
        <v>SÁBADO</v>
      </c>
      <c r="E6491" s="427"/>
      <c r="F6491" s="31">
        <f>IFERROR(VLOOKUP(E6491,BD!$L$2:$Q$244,2,0),0)</f>
        <v>0</v>
      </c>
      <c r="G6491" s="424"/>
      <c r="H6491" s="31">
        <f>+IFERROR(VLOOKUP(E6491,BD!$L$2:$Q$244,6,0),0)</f>
        <v>0</v>
      </c>
      <c r="I6491" s="626">
        <f>IFERROR(G6491*VLOOKUP($E6491,BD!$L$2:$Q$244,5,0),0)</f>
        <v>0</v>
      </c>
      <c r="J6491" s="3">
        <f t="shared" si="417"/>
        <v>1900</v>
      </c>
    </row>
    <row r="6492" spans="1:10" s="9" customFormat="1" x14ac:dyDescent="0.25">
      <c r="A6492" s="447"/>
      <c r="B6492" s="55" t="str">
        <f t="shared" si="414"/>
        <v>ENERO</v>
      </c>
      <c r="C6492" s="55">
        <f t="shared" si="415"/>
        <v>1</v>
      </c>
      <c r="D6492" s="3" t="str">
        <f t="shared" si="416"/>
        <v>SÁBADO</v>
      </c>
      <c r="E6492" s="427"/>
      <c r="F6492" s="31">
        <f>IFERROR(VLOOKUP(E6492,BD!$L$2:$Q$244,2,0),0)</f>
        <v>0</v>
      </c>
      <c r="G6492" s="424"/>
      <c r="H6492" s="31">
        <f>+IFERROR(VLOOKUP(E6492,BD!$L$2:$Q$244,6,0),0)</f>
        <v>0</v>
      </c>
      <c r="I6492" s="626">
        <f>IFERROR(G6492*VLOOKUP($E6492,BD!$L$2:$Q$244,5,0),0)</f>
        <v>0</v>
      </c>
      <c r="J6492" s="3">
        <f t="shared" si="417"/>
        <v>1900</v>
      </c>
    </row>
    <row r="6493" spans="1:10" s="9" customFormat="1" x14ac:dyDescent="0.25">
      <c r="A6493" s="447"/>
      <c r="B6493" s="55" t="str">
        <f t="shared" si="414"/>
        <v>ENERO</v>
      </c>
      <c r="C6493" s="55">
        <f t="shared" si="415"/>
        <v>1</v>
      </c>
      <c r="D6493" s="3" t="str">
        <f t="shared" si="416"/>
        <v>SÁBADO</v>
      </c>
      <c r="E6493" s="427"/>
      <c r="F6493" s="31">
        <f>IFERROR(VLOOKUP(E6493,BD!$L$2:$Q$244,2,0),0)</f>
        <v>0</v>
      </c>
      <c r="G6493" s="424"/>
      <c r="H6493" s="31">
        <f>+IFERROR(VLOOKUP(E6493,BD!$L$2:$Q$244,6,0),0)</f>
        <v>0</v>
      </c>
      <c r="I6493" s="626">
        <f>IFERROR(G6493*VLOOKUP($E6493,BD!$L$2:$Q$244,5,0),0)</f>
        <v>0</v>
      </c>
      <c r="J6493" s="3">
        <f t="shared" si="417"/>
        <v>1900</v>
      </c>
    </row>
    <row r="6494" spans="1:10" s="9" customFormat="1" x14ac:dyDescent="0.25">
      <c r="A6494" s="447"/>
      <c r="B6494" s="55" t="str">
        <f t="shared" si="414"/>
        <v>ENERO</v>
      </c>
      <c r="C6494" s="55">
        <f t="shared" si="415"/>
        <v>1</v>
      </c>
      <c r="D6494" s="3" t="str">
        <f t="shared" si="416"/>
        <v>SÁBADO</v>
      </c>
      <c r="E6494" s="427"/>
      <c r="F6494" s="31">
        <f>IFERROR(VLOOKUP(E6494,BD!$L$2:$Q$244,2,0),0)</f>
        <v>0</v>
      </c>
      <c r="G6494" s="424"/>
      <c r="H6494" s="31">
        <f>+IFERROR(VLOOKUP(E6494,BD!$L$2:$Q$244,6,0),0)</f>
        <v>0</v>
      </c>
      <c r="I6494" s="626">
        <f>IFERROR(G6494*VLOOKUP($E6494,BD!$L$2:$Q$244,5,0),0)</f>
        <v>0</v>
      </c>
      <c r="J6494" s="3">
        <f t="shared" si="417"/>
        <v>1900</v>
      </c>
    </row>
    <row r="6495" spans="1:10" s="9" customFormat="1" x14ac:dyDescent="0.25">
      <c r="A6495" s="447"/>
      <c r="B6495" s="55" t="str">
        <f t="shared" si="414"/>
        <v>ENERO</v>
      </c>
      <c r="C6495" s="55">
        <f t="shared" si="415"/>
        <v>1</v>
      </c>
      <c r="D6495" s="3" t="str">
        <f t="shared" si="416"/>
        <v>SÁBADO</v>
      </c>
      <c r="E6495" s="427"/>
      <c r="F6495" s="31">
        <f>IFERROR(VLOOKUP(E6495,BD!$L$2:$Q$244,2,0),0)</f>
        <v>0</v>
      </c>
      <c r="G6495" s="424"/>
      <c r="H6495" s="31">
        <f>+IFERROR(VLOOKUP(E6495,BD!$L$2:$Q$244,6,0),0)</f>
        <v>0</v>
      </c>
      <c r="I6495" s="626">
        <f>IFERROR(G6495*VLOOKUP($E6495,BD!$L$2:$Q$244,5,0),0)</f>
        <v>0</v>
      </c>
      <c r="J6495" s="3">
        <f t="shared" si="417"/>
        <v>1900</v>
      </c>
    </row>
    <row r="6496" spans="1:10" s="9" customFormat="1" x14ac:dyDescent="0.25">
      <c r="A6496" s="447"/>
      <c r="B6496" s="55" t="str">
        <f t="shared" si="414"/>
        <v>ENERO</v>
      </c>
      <c r="C6496" s="55">
        <f t="shared" si="415"/>
        <v>1</v>
      </c>
      <c r="D6496" s="3" t="str">
        <f t="shared" si="416"/>
        <v>SÁBADO</v>
      </c>
      <c r="E6496" s="427"/>
      <c r="F6496" s="31">
        <f>IFERROR(VLOOKUP(E6496,BD!$L$2:$Q$244,2,0),0)</f>
        <v>0</v>
      </c>
      <c r="G6496" s="424"/>
      <c r="H6496" s="31">
        <f>+IFERROR(VLOOKUP(E6496,BD!$L$2:$Q$244,6,0),0)</f>
        <v>0</v>
      </c>
      <c r="I6496" s="626">
        <f>IFERROR(G6496*VLOOKUP($E6496,BD!$L$2:$Q$244,5,0),0)</f>
        <v>0</v>
      </c>
      <c r="J6496" s="3">
        <f t="shared" si="417"/>
        <v>1900</v>
      </c>
    </row>
    <row r="6497" spans="1:10" s="9" customFormat="1" x14ac:dyDescent="0.25">
      <c r="A6497" s="447"/>
      <c r="B6497" s="55" t="str">
        <f t="shared" si="414"/>
        <v>ENERO</v>
      </c>
      <c r="C6497" s="55">
        <f t="shared" si="415"/>
        <v>1</v>
      </c>
      <c r="D6497" s="3" t="str">
        <f t="shared" si="416"/>
        <v>SÁBADO</v>
      </c>
      <c r="E6497" s="427"/>
      <c r="F6497" s="31">
        <f>IFERROR(VLOOKUP(E6497,BD!$L$2:$Q$244,2,0),0)</f>
        <v>0</v>
      </c>
      <c r="G6497" s="424"/>
      <c r="H6497" s="31">
        <f>+IFERROR(VLOOKUP(E6497,BD!$L$2:$Q$244,6,0),0)</f>
        <v>0</v>
      </c>
      <c r="I6497" s="626">
        <f>IFERROR(G6497*VLOOKUP($E6497,BD!$L$2:$Q$244,5,0),0)</f>
        <v>0</v>
      </c>
      <c r="J6497" s="3">
        <f t="shared" si="417"/>
        <v>1900</v>
      </c>
    </row>
    <row r="6498" spans="1:10" s="9" customFormat="1" x14ac:dyDescent="0.25">
      <c r="A6498" s="447"/>
      <c r="B6498" s="55" t="str">
        <f t="shared" si="414"/>
        <v>ENERO</v>
      </c>
      <c r="C6498" s="55">
        <f t="shared" si="415"/>
        <v>1</v>
      </c>
      <c r="D6498" s="3" t="str">
        <f t="shared" si="416"/>
        <v>SÁBADO</v>
      </c>
      <c r="E6498" s="427"/>
      <c r="F6498" s="31">
        <f>IFERROR(VLOOKUP(E6498,BD!$L$2:$Q$244,2,0),0)</f>
        <v>0</v>
      </c>
      <c r="G6498" s="424"/>
      <c r="H6498" s="31">
        <f>+IFERROR(VLOOKUP(E6498,BD!$L$2:$Q$244,6,0),0)</f>
        <v>0</v>
      </c>
      <c r="I6498" s="626">
        <f>IFERROR(G6498*VLOOKUP($E6498,BD!$L$2:$Q$244,5,0),0)</f>
        <v>0</v>
      </c>
      <c r="J6498" s="3">
        <f t="shared" si="417"/>
        <v>1900</v>
      </c>
    </row>
    <row r="6499" spans="1:10" s="9" customFormat="1" x14ac:dyDescent="0.25">
      <c r="A6499" s="447"/>
      <c r="B6499" s="55" t="str">
        <f t="shared" si="414"/>
        <v>ENERO</v>
      </c>
      <c r="C6499" s="55">
        <f t="shared" si="415"/>
        <v>1</v>
      </c>
      <c r="D6499" s="3" t="str">
        <f t="shared" si="416"/>
        <v>SÁBADO</v>
      </c>
      <c r="E6499" s="427"/>
      <c r="F6499" s="31">
        <f>IFERROR(VLOOKUP(E6499,BD!$L$2:$Q$244,2,0),0)</f>
        <v>0</v>
      </c>
      <c r="G6499" s="424"/>
      <c r="H6499" s="31">
        <f>+IFERROR(VLOOKUP(E6499,BD!$L$2:$Q$244,6,0),0)</f>
        <v>0</v>
      </c>
      <c r="I6499" s="626">
        <f>IFERROR(G6499*VLOOKUP($E6499,BD!$L$2:$Q$244,5,0),0)</f>
        <v>0</v>
      </c>
      <c r="J6499" s="3">
        <f t="shared" si="417"/>
        <v>1900</v>
      </c>
    </row>
    <row r="6500" spans="1:10" s="9" customFormat="1" x14ac:dyDescent="0.25">
      <c r="A6500" s="447"/>
      <c r="B6500" s="55" t="str">
        <f t="shared" si="414"/>
        <v>ENERO</v>
      </c>
      <c r="C6500" s="55">
        <f t="shared" si="415"/>
        <v>1</v>
      </c>
      <c r="D6500" s="3" t="str">
        <f t="shared" si="416"/>
        <v>SÁBADO</v>
      </c>
      <c r="E6500" s="427"/>
      <c r="F6500" s="31">
        <f>IFERROR(VLOOKUP(E6500,BD!$L$2:$Q$244,2,0),0)</f>
        <v>0</v>
      </c>
      <c r="G6500" s="424"/>
      <c r="H6500" s="31">
        <f>+IFERROR(VLOOKUP(E6500,BD!$L$2:$Q$244,6,0),0)</f>
        <v>0</v>
      </c>
      <c r="I6500" s="626">
        <f>IFERROR(G6500*VLOOKUP($E6500,BD!$L$2:$Q$244,5,0),0)</f>
        <v>0</v>
      </c>
      <c r="J6500" s="3">
        <f t="shared" si="417"/>
        <v>1900</v>
      </c>
    </row>
    <row r="6501" spans="1:10" s="9" customFormat="1" x14ac:dyDescent="0.25">
      <c r="A6501" s="447"/>
      <c r="B6501" s="55" t="str">
        <f t="shared" si="414"/>
        <v>ENERO</v>
      </c>
      <c r="C6501" s="55">
        <f t="shared" si="415"/>
        <v>1</v>
      </c>
      <c r="D6501" s="3" t="str">
        <f t="shared" si="416"/>
        <v>SÁBADO</v>
      </c>
      <c r="E6501" s="427"/>
      <c r="F6501" s="31">
        <f>IFERROR(VLOOKUP(E6501,BD!$L$2:$Q$244,2,0),0)</f>
        <v>0</v>
      </c>
      <c r="G6501" s="424"/>
      <c r="H6501" s="31">
        <f>+IFERROR(VLOOKUP(E6501,BD!$L$2:$Q$244,6,0),0)</f>
        <v>0</v>
      </c>
      <c r="I6501" s="626">
        <f>IFERROR(G6501*VLOOKUP($E6501,BD!$L$2:$Q$244,5,0),0)</f>
        <v>0</v>
      </c>
      <c r="J6501" s="3">
        <f t="shared" si="417"/>
        <v>1900</v>
      </c>
    </row>
    <row r="6502" spans="1:10" s="9" customFormat="1" x14ac:dyDescent="0.25">
      <c r="A6502" s="447"/>
      <c r="B6502" s="55" t="str">
        <f t="shared" si="414"/>
        <v>ENERO</v>
      </c>
      <c r="C6502" s="55">
        <f t="shared" si="415"/>
        <v>1</v>
      </c>
      <c r="D6502" s="3" t="str">
        <f t="shared" si="416"/>
        <v>SÁBADO</v>
      </c>
      <c r="E6502" s="427"/>
      <c r="F6502" s="31">
        <f>IFERROR(VLOOKUP(E6502,BD!$L$2:$Q$244,2,0),0)</f>
        <v>0</v>
      </c>
      <c r="G6502" s="424"/>
      <c r="H6502" s="31">
        <f>+IFERROR(VLOOKUP(E6502,BD!$L$2:$Q$244,6,0),0)</f>
        <v>0</v>
      </c>
      <c r="I6502" s="626">
        <f>IFERROR(G6502*VLOOKUP($E6502,BD!$L$2:$Q$244,5,0),0)</f>
        <v>0</v>
      </c>
      <c r="J6502" s="3">
        <f t="shared" si="417"/>
        <v>1900</v>
      </c>
    </row>
    <row r="6503" spans="1:10" s="9" customFormat="1" x14ac:dyDescent="0.25">
      <c r="A6503" s="447"/>
      <c r="B6503" s="55" t="str">
        <f t="shared" si="414"/>
        <v>ENERO</v>
      </c>
      <c r="C6503" s="55">
        <f t="shared" si="415"/>
        <v>1</v>
      </c>
      <c r="D6503" s="3" t="str">
        <f t="shared" si="416"/>
        <v>SÁBADO</v>
      </c>
      <c r="E6503" s="427"/>
      <c r="F6503" s="31">
        <f>IFERROR(VLOOKUP(E6503,BD!$L$2:$Q$244,2,0),0)</f>
        <v>0</v>
      </c>
      <c r="G6503" s="425"/>
      <c r="H6503" s="31">
        <f>+IFERROR(VLOOKUP(E6503,BD!$L$2:$Q$244,6,0),0)</f>
        <v>0</v>
      </c>
      <c r="I6503" s="626">
        <f>IFERROR(G6503*VLOOKUP($E6503,BD!$L$2:$Q$244,5,0),0)</f>
        <v>0</v>
      </c>
      <c r="J6503" s="3">
        <f t="shared" si="417"/>
        <v>1900</v>
      </c>
    </row>
    <row r="6504" spans="1:10" s="9" customFormat="1" x14ac:dyDescent="0.25">
      <c r="A6504" s="447"/>
      <c r="B6504" s="55" t="str">
        <f t="shared" si="414"/>
        <v>ENERO</v>
      </c>
      <c r="C6504" s="55">
        <f t="shared" si="415"/>
        <v>1</v>
      </c>
      <c r="D6504" s="3" t="str">
        <f t="shared" si="416"/>
        <v>SÁBADO</v>
      </c>
      <c r="E6504" s="427"/>
      <c r="F6504" s="31">
        <f>IFERROR(VLOOKUP(E6504,BD!$L$2:$Q$244,2,0),0)</f>
        <v>0</v>
      </c>
      <c r="G6504" s="424"/>
      <c r="H6504" s="31">
        <f>+IFERROR(VLOOKUP(E6504,BD!$L$2:$Q$244,6,0),0)</f>
        <v>0</v>
      </c>
      <c r="I6504" s="626">
        <f>IFERROR(G6504*VLOOKUP($E6504,BD!$L$2:$Q$244,5,0),0)</f>
        <v>0</v>
      </c>
      <c r="J6504" s="3">
        <f t="shared" si="417"/>
        <v>1900</v>
      </c>
    </row>
    <row r="6505" spans="1:10" s="9" customFormat="1" x14ac:dyDescent="0.25">
      <c r="A6505" s="447"/>
      <c r="B6505" s="55" t="str">
        <f t="shared" si="414"/>
        <v>ENERO</v>
      </c>
      <c r="C6505" s="55">
        <f t="shared" si="415"/>
        <v>1</v>
      </c>
      <c r="D6505" s="3" t="str">
        <f t="shared" si="416"/>
        <v>SÁBADO</v>
      </c>
      <c r="E6505" s="427"/>
      <c r="F6505" s="31">
        <f>IFERROR(VLOOKUP(E6505,BD!$L$2:$Q$244,2,0),0)</f>
        <v>0</v>
      </c>
      <c r="G6505" s="424"/>
      <c r="H6505" s="31">
        <f>+IFERROR(VLOOKUP(E6505,BD!$L$2:$Q$244,6,0),0)</f>
        <v>0</v>
      </c>
      <c r="I6505" s="626">
        <f>IFERROR(G6505*VLOOKUP($E6505,BD!$L$2:$Q$244,5,0),0)</f>
        <v>0</v>
      </c>
      <c r="J6505" s="3">
        <f t="shared" si="417"/>
        <v>1900</v>
      </c>
    </row>
    <row r="6506" spans="1:10" s="9" customFormat="1" x14ac:dyDescent="0.25">
      <c r="A6506" s="447"/>
      <c r="B6506" s="55" t="str">
        <f t="shared" si="414"/>
        <v>ENERO</v>
      </c>
      <c r="C6506" s="55">
        <f t="shared" si="415"/>
        <v>1</v>
      </c>
      <c r="D6506" s="3" t="str">
        <f t="shared" si="416"/>
        <v>SÁBADO</v>
      </c>
      <c r="E6506" s="427"/>
      <c r="F6506" s="31">
        <f>IFERROR(VLOOKUP(E6506,BD!$L$2:$Q$244,2,0),0)</f>
        <v>0</v>
      </c>
      <c r="G6506" s="424"/>
      <c r="H6506" s="31">
        <f>+IFERROR(VLOOKUP(E6506,BD!$L$2:$Q$244,6,0),0)</f>
        <v>0</v>
      </c>
      <c r="I6506" s="626">
        <f>IFERROR(G6506*VLOOKUP($E6506,BD!$L$2:$Q$244,5,0),0)</f>
        <v>0</v>
      </c>
      <c r="J6506" s="3">
        <f t="shared" si="417"/>
        <v>1900</v>
      </c>
    </row>
    <row r="6507" spans="1:10" s="9" customFormat="1" x14ac:dyDescent="0.25">
      <c r="A6507" s="447"/>
      <c r="B6507" s="55" t="str">
        <f t="shared" si="414"/>
        <v>ENERO</v>
      </c>
      <c r="C6507" s="55">
        <f t="shared" si="415"/>
        <v>1</v>
      </c>
      <c r="D6507" s="3" t="str">
        <f t="shared" si="416"/>
        <v>SÁBADO</v>
      </c>
      <c r="E6507" s="427"/>
      <c r="F6507" s="31">
        <f>IFERROR(VLOOKUP(E6507,BD!$L$2:$Q$244,2,0),0)</f>
        <v>0</v>
      </c>
      <c r="G6507" s="424"/>
      <c r="H6507" s="31">
        <f>+IFERROR(VLOOKUP(E6507,BD!$L$2:$Q$244,6,0),0)</f>
        <v>0</v>
      </c>
      <c r="I6507" s="626">
        <f>IFERROR(G6507*VLOOKUP($E6507,BD!$L$2:$Q$244,5,0),0)</f>
        <v>0</v>
      </c>
      <c r="J6507" s="3">
        <f t="shared" si="417"/>
        <v>1900</v>
      </c>
    </row>
    <row r="6508" spans="1:10" s="9" customFormat="1" x14ac:dyDescent="0.25">
      <c r="A6508" s="447"/>
      <c r="B6508" s="55" t="str">
        <f t="shared" si="414"/>
        <v>ENERO</v>
      </c>
      <c r="C6508" s="55">
        <f t="shared" si="415"/>
        <v>1</v>
      </c>
      <c r="D6508" s="3" t="str">
        <f t="shared" si="416"/>
        <v>SÁBADO</v>
      </c>
      <c r="E6508" s="427"/>
      <c r="F6508" s="31">
        <f>IFERROR(VLOOKUP(E6508,BD!$L$2:$Q$244,2,0),0)</f>
        <v>0</v>
      </c>
      <c r="G6508" s="424"/>
      <c r="H6508" s="31">
        <f>+IFERROR(VLOOKUP(E6508,BD!$L$2:$Q$244,6,0),0)</f>
        <v>0</v>
      </c>
      <c r="I6508" s="626">
        <f>IFERROR(G6508*VLOOKUP($E6508,BD!$L$2:$Q$244,5,0),0)</f>
        <v>0</v>
      </c>
      <c r="J6508" s="3">
        <f t="shared" si="417"/>
        <v>1900</v>
      </c>
    </row>
    <row r="6509" spans="1:10" s="9" customFormat="1" x14ac:dyDescent="0.25">
      <c r="A6509" s="447"/>
      <c r="B6509" s="55" t="str">
        <f t="shared" si="414"/>
        <v>ENERO</v>
      </c>
      <c r="C6509" s="55">
        <f t="shared" si="415"/>
        <v>1</v>
      </c>
      <c r="D6509" s="3" t="str">
        <f t="shared" si="416"/>
        <v>SÁBADO</v>
      </c>
      <c r="E6509" s="427"/>
      <c r="F6509" s="31">
        <f>IFERROR(VLOOKUP(E6509,BD!$L$2:$Q$244,2,0),0)</f>
        <v>0</v>
      </c>
      <c r="G6509" s="424"/>
      <c r="H6509" s="31">
        <f>+IFERROR(VLOOKUP(E6509,BD!$L$2:$Q$244,6,0),0)</f>
        <v>0</v>
      </c>
      <c r="I6509" s="626">
        <f>IFERROR(G6509*VLOOKUP($E6509,BD!$L$2:$Q$244,5,0),0)</f>
        <v>0</v>
      </c>
      <c r="J6509" s="3">
        <f t="shared" si="417"/>
        <v>1900</v>
      </c>
    </row>
    <row r="6510" spans="1:10" s="9" customFormat="1" x14ac:dyDescent="0.25">
      <c r="A6510" s="447"/>
      <c r="B6510" s="55" t="str">
        <f t="shared" si="414"/>
        <v>ENERO</v>
      </c>
      <c r="C6510" s="55">
        <f t="shared" si="415"/>
        <v>1</v>
      </c>
      <c r="D6510" s="3" t="str">
        <f t="shared" si="416"/>
        <v>SÁBADO</v>
      </c>
      <c r="E6510" s="427"/>
      <c r="F6510" s="31">
        <f>IFERROR(VLOOKUP(E6510,BD!$L$2:$Q$244,2,0),0)</f>
        <v>0</v>
      </c>
      <c r="G6510" s="424"/>
      <c r="H6510" s="31">
        <f>+IFERROR(VLOOKUP(E6510,BD!$L$2:$Q$244,6,0),0)</f>
        <v>0</v>
      </c>
      <c r="I6510" s="626">
        <f>IFERROR(G6510*VLOOKUP($E6510,BD!$L$2:$Q$244,5,0),0)</f>
        <v>0</v>
      </c>
      <c r="J6510" s="3">
        <f t="shared" si="417"/>
        <v>1900</v>
      </c>
    </row>
    <row r="6511" spans="1:10" s="9" customFormat="1" x14ac:dyDescent="0.25">
      <c r="A6511" s="447"/>
      <c r="B6511" s="55" t="str">
        <f t="shared" si="414"/>
        <v>ENERO</v>
      </c>
      <c r="C6511" s="55">
        <f t="shared" si="415"/>
        <v>1</v>
      </c>
      <c r="D6511" s="3" t="str">
        <f t="shared" si="416"/>
        <v>SÁBADO</v>
      </c>
      <c r="E6511" s="427"/>
      <c r="F6511" s="31">
        <f>IFERROR(VLOOKUP(E6511,BD!$L$2:$Q$244,2,0),0)</f>
        <v>0</v>
      </c>
      <c r="G6511" s="424"/>
      <c r="H6511" s="31">
        <f>+IFERROR(VLOOKUP(E6511,BD!$L$2:$Q$244,6,0),0)</f>
        <v>0</v>
      </c>
      <c r="I6511" s="626">
        <f>IFERROR(G6511*VLOOKUP($E6511,BD!$L$2:$Q$244,5,0),0)</f>
        <v>0</v>
      </c>
      <c r="J6511" s="3">
        <f t="shared" si="417"/>
        <v>1900</v>
      </c>
    </row>
    <row r="6512" spans="1:10" s="9" customFormat="1" x14ac:dyDescent="0.25">
      <c r="A6512" s="447"/>
      <c r="B6512" s="55" t="str">
        <f t="shared" si="414"/>
        <v>ENERO</v>
      </c>
      <c r="C6512" s="55">
        <f t="shared" si="415"/>
        <v>1</v>
      </c>
      <c r="D6512" s="3" t="str">
        <f t="shared" si="416"/>
        <v>SÁBADO</v>
      </c>
      <c r="E6512" s="427"/>
      <c r="F6512" s="31">
        <f>IFERROR(VLOOKUP(E6512,BD!$L$2:$Q$244,2,0),0)</f>
        <v>0</v>
      </c>
      <c r="G6512" s="424"/>
      <c r="H6512" s="31">
        <f>+IFERROR(VLOOKUP(E6512,BD!$L$2:$Q$244,6,0),0)</f>
        <v>0</v>
      </c>
      <c r="I6512" s="626">
        <f>IFERROR(G6512*VLOOKUP($E6512,BD!$L$2:$Q$244,5,0),0)</f>
        <v>0</v>
      </c>
      <c r="J6512" s="3">
        <f t="shared" si="417"/>
        <v>1900</v>
      </c>
    </row>
    <row r="6513" spans="1:10" s="9" customFormat="1" x14ac:dyDescent="0.25">
      <c r="A6513" s="447"/>
      <c r="B6513" s="55" t="str">
        <f t="shared" si="414"/>
        <v>ENERO</v>
      </c>
      <c r="C6513" s="55">
        <f t="shared" si="415"/>
        <v>1</v>
      </c>
      <c r="D6513" s="3" t="str">
        <f t="shared" si="416"/>
        <v>SÁBADO</v>
      </c>
      <c r="E6513" s="427"/>
      <c r="F6513" s="31">
        <f>IFERROR(VLOOKUP(E6513,BD!$L$2:$Q$244,2,0),0)</f>
        <v>0</v>
      </c>
      <c r="G6513" s="424"/>
      <c r="H6513" s="31">
        <f>+IFERROR(VLOOKUP(E6513,BD!$L$2:$Q$244,6,0),0)</f>
        <v>0</v>
      </c>
      <c r="I6513" s="626">
        <f>IFERROR(G6513*VLOOKUP($E6513,BD!$L$2:$Q$244,5,0),0)</f>
        <v>0</v>
      </c>
      <c r="J6513" s="3">
        <f t="shared" si="417"/>
        <v>1900</v>
      </c>
    </row>
    <row r="6514" spans="1:10" s="9" customFormat="1" x14ac:dyDescent="0.25">
      <c r="A6514" s="447"/>
      <c r="B6514" s="55" t="str">
        <f t="shared" si="414"/>
        <v>ENERO</v>
      </c>
      <c r="C6514" s="55">
        <f t="shared" si="415"/>
        <v>1</v>
      </c>
      <c r="D6514" s="3" t="str">
        <f t="shared" si="416"/>
        <v>SÁBADO</v>
      </c>
      <c r="E6514" s="427"/>
      <c r="F6514" s="31">
        <f>IFERROR(VLOOKUP(E6514,BD!$L$2:$Q$244,2,0),0)</f>
        <v>0</v>
      </c>
      <c r="G6514" s="424"/>
      <c r="H6514" s="31">
        <f>+IFERROR(VLOOKUP(E6514,BD!$L$2:$Q$244,6,0),0)</f>
        <v>0</v>
      </c>
      <c r="I6514" s="626">
        <f>IFERROR(G6514*VLOOKUP($E6514,BD!$L$2:$Q$244,5,0),0)</f>
        <v>0</v>
      </c>
      <c r="J6514" s="3">
        <f t="shared" si="417"/>
        <v>1900</v>
      </c>
    </row>
    <row r="6515" spans="1:10" s="9" customFormat="1" x14ac:dyDescent="0.25">
      <c r="A6515" s="447"/>
      <c r="B6515" s="55" t="str">
        <f t="shared" si="414"/>
        <v>ENERO</v>
      </c>
      <c r="C6515" s="55">
        <f t="shared" si="415"/>
        <v>1</v>
      </c>
      <c r="D6515" s="3" t="str">
        <f t="shared" si="416"/>
        <v>SÁBADO</v>
      </c>
      <c r="E6515" s="427"/>
      <c r="F6515" s="31">
        <f>IFERROR(VLOOKUP(E6515,BD!$L$2:$Q$244,2,0),0)</f>
        <v>0</v>
      </c>
      <c r="G6515" s="424"/>
      <c r="H6515" s="31">
        <f>+IFERROR(VLOOKUP(E6515,BD!$L$2:$Q$244,6,0),0)</f>
        <v>0</v>
      </c>
      <c r="I6515" s="626">
        <f>IFERROR(G6515*VLOOKUP($E6515,BD!$L$2:$Q$244,5,0),0)</f>
        <v>0</v>
      </c>
      <c r="J6515" s="3">
        <f t="shared" si="417"/>
        <v>1900</v>
      </c>
    </row>
    <row r="6516" spans="1:10" s="9" customFormat="1" x14ac:dyDescent="0.25">
      <c r="A6516" s="447"/>
      <c r="B6516" s="55" t="str">
        <f t="shared" si="414"/>
        <v>ENERO</v>
      </c>
      <c r="C6516" s="55">
        <f t="shared" si="415"/>
        <v>1</v>
      </c>
      <c r="D6516" s="3" t="str">
        <f t="shared" si="416"/>
        <v>SÁBADO</v>
      </c>
      <c r="E6516" s="427"/>
      <c r="F6516" s="31">
        <f>IFERROR(VLOOKUP(E6516,BD!$L$2:$Q$244,2,0),0)</f>
        <v>0</v>
      </c>
      <c r="G6516" s="424"/>
      <c r="H6516" s="31">
        <f>+IFERROR(VLOOKUP(E6516,BD!$L$2:$Q$244,6,0),0)</f>
        <v>0</v>
      </c>
      <c r="I6516" s="626">
        <f>IFERROR(G6516*VLOOKUP($E6516,BD!$L$2:$Q$244,5,0),0)</f>
        <v>0</v>
      </c>
      <c r="J6516" s="3">
        <f t="shared" si="417"/>
        <v>1900</v>
      </c>
    </row>
    <row r="6517" spans="1:10" s="9" customFormat="1" x14ac:dyDescent="0.25">
      <c r="A6517" s="447"/>
      <c r="B6517" s="55" t="str">
        <f t="shared" si="414"/>
        <v>ENERO</v>
      </c>
      <c r="C6517" s="55">
        <f t="shared" si="415"/>
        <v>1</v>
      </c>
      <c r="D6517" s="3" t="str">
        <f t="shared" si="416"/>
        <v>SÁBADO</v>
      </c>
      <c r="E6517" s="427"/>
      <c r="F6517" s="31">
        <f>IFERROR(VLOOKUP(E6517,BD!$L$2:$Q$244,2,0),0)</f>
        <v>0</v>
      </c>
      <c r="G6517" s="424"/>
      <c r="H6517" s="31">
        <f>+IFERROR(VLOOKUP(E6517,BD!$L$2:$Q$244,6,0),0)</f>
        <v>0</v>
      </c>
      <c r="I6517" s="626">
        <f>IFERROR(G6517*VLOOKUP($E6517,BD!$L$2:$Q$244,5,0),0)</f>
        <v>0</v>
      </c>
      <c r="J6517" s="3">
        <f t="shared" si="417"/>
        <v>1900</v>
      </c>
    </row>
    <row r="6518" spans="1:10" s="9" customFormat="1" x14ac:dyDescent="0.25">
      <c r="A6518" s="447"/>
      <c r="B6518" s="55" t="str">
        <f t="shared" si="414"/>
        <v>ENERO</v>
      </c>
      <c r="C6518" s="55">
        <f t="shared" si="415"/>
        <v>1</v>
      </c>
      <c r="D6518" s="3" t="str">
        <f t="shared" si="416"/>
        <v>SÁBADO</v>
      </c>
      <c r="E6518" s="427"/>
      <c r="F6518" s="31">
        <f>IFERROR(VLOOKUP(E6518,BD!$L$2:$Q$244,2,0),0)</f>
        <v>0</v>
      </c>
      <c r="G6518" s="424"/>
      <c r="H6518" s="31">
        <f>+IFERROR(VLOOKUP(E6518,BD!$L$2:$Q$244,6,0),0)</f>
        <v>0</v>
      </c>
      <c r="I6518" s="626">
        <f>IFERROR(G6518*VLOOKUP($E6518,BD!$L$2:$Q$244,5,0),0)</f>
        <v>0</v>
      </c>
      <c r="J6518" s="3">
        <f t="shared" si="417"/>
        <v>1900</v>
      </c>
    </row>
    <row r="6519" spans="1:10" s="9" customFormat="1" x14ac:dyDescent="0.25">
      <c r="A6519" s="447"/>
      <c r="B6519" s="55" t="str">
        <f t="shared" si="414"/>
        <v>ENERO</v>
      </c>
      <c r="C6519" s="55">
        <f t="shared" si="415"/>
        <v>1</v>
      </c>
      <c r="D6519" s="3" t="str">
        <f t="shared" si="416"/>
        <v>SÁBADO</v>
      </c>
      <c r="E6519" s="427"/>
      <c r="F6519" s="31">
        <f>IFERROR(VLOOKUP(E6519,BD!$L$2:$Q$244,2,0),0)</f>
        <v>0</v>
      </c>
      <c r="G6519" s="424"/>
      <c r="H6519" s="31">
        <f>+IFERROR(VLOOKUP(E6519,BD!$L$2:$Q$244,6,0),0)</f>
        <v>0</v>
      </c>
      <c r="I6519" s="626">
        <f>IFERROR(G6519*VLOOKUP($E6519,BD!$L$2:$Q$244,5,0),0)</f>
        <v>0</v>
      </c>
      <c r="J6519" s="3">
        <f t="shared" si="417"/>
        <v>1900</v>
      </c>
    </row>
    <row r="6520" spans="1:10" s="9" customFormat="1" x14ac:dyDescent="0.25">
      <c r="A6520" s="447"/>
      <c r="B6520" s="55" t="str">
        <f t="shared" si="414"/>
        <v>ENERO</v>
      </c>
      <c r="C6520" s="55">
        <f t="shared" si="415"/>
        <v>1</v>
      </c>
      <c r="D6520" s="3" t="str">
        <f t="shared" si="416"/>
        <v>SÁBADO</v>
      </c>
      <c r="E6520" s="427"/>
      <c r="F6520" s="31">
        <f>IFERROR(VLOOKUP(E6520,BD!$L$2:$Q$244,2,0),0)</f>
        <v>0</v>
      </c>
      <c r="G6520" s="424"/>
      <c r="H6520" s="31">
        <f>+IFERROR(VLOOKUP(E6520,BD!$L$2:$Q$244,6,0),0)</f>
        <v>0</v>
      </c>
      <c r="I6520" s="626">
        <f>IFERROR(G6520*VLOOKUP($E6520,BD!$L$2:$Q$244,5,0),0)</f>
        <v>0</v>
      </c>
      <c r="J6520" s="3">
        <f t="shared" si="417"/>
        <v>1900</v>
      </c>
    </row>
    <row r="6521" spans="1:10" s="9" customFormat="1" x14ac:dyDescent="0.25">
      <c r="A6521" s="447"/>
      <c r="B6521" s="55" t="str">
        <f t="shared" si="414"/>
        <v>ENERO</v>
      </c>
      <c r="C6521" s="55">
        <f t="shared" si="415"/>
        <v>1</v>
      </c>
      <c r="D6521" s="3" t="str">
        <f t="shared" si="416"/>
        <v>SÁBADO</v>
      </c>
      <c r="E6521" s="427"/>
      <c r="F6521" s="31">
        <f>IFERROR(VLOOKUP(E6521,BD!$L$2:$Q$244,2,0),0)</f>
        <v>0</v>
      </c>
      <c r="G6521" s="424"/>
      <c r="H6521" s="31">
        <f>+IFERROR(VLOOKUP(E6521,BD!$L$2:$Q$244,6,0),0)</f>
        <v>0</v>
      </c>
      <c r="I6521" s="626">
        <f>IFERROR(G6521*VLOOKUP($E6521,BD!$L$2:$Q$244,5,0),0)</f>
        <v>0</v>
      </c>
      <c r="J6521" s="3">
        <f t="shared" si="417"/>
        <v>1900</v>
      </c>
    </row>
    <row r="6522" spans="1:10" s="9" customFormat="1" x14ac:dyDescent="0.25">
      <c r="A6522" s="447"/>
      <c r="B6522" s="55" t="str">
        <f t="shared" si="414"/>
        <v>ENERO</v>
      </c>
      <c r="C6522" s="55">
        <f t="shared" si="415"/>
        <v>1</v>
      </c>
      <c r="D6522" s="3" t="str">
        <f t="shared" si="416"/>
        <v>SÁBADO</v>
      </c>
      <c r="E6522" s="427"/>
      <c r="F6522" s="31">
        <f>IFERROR(VLOOKUP(E6522,BD!$L$2:$Q$244,2,0),0)</f>
        <v>0</v>
      </c>
      <c r="G6522" s="424"/>
      <c r="H6522" s="31">
        <f>+IFERROR(VLOOKUP(E6522,BD!$L$2:$Q$244,6,0),0)</f>
        <v>0</v>
      </c>
      <c r="I6522" s="626">
        <f>IFERROR(G6522*VLOOKUP($E6522,BD!$L$2:$Q$244,5,0),0)</f>
        <v>0</v>
      </c>
      <c r="J6522" s="3">
        <f t="shared" si="417"/>
        <v>1900</v>
      </c>
    </row>
    <row r="6523" spans="1:10" s="9" customFormat="1" x14ac:dyDescent="0.25">
      <c r="A6523" s="447"/>
      <c r="B6523" s="55" t="str">
        <f t="shared" si="414"/>
        <v>ENERO</v>
      </c>
      <c r="C6523" s="55">
        <f t="shared" si="415"/>
        <v>1</v>
      </c>
      <c r="D6523" s="3" t="str">
        <f t="shared" si="416"/>
        <v>SÁBADO</v>
      </c>
      <c r="E6523" s="427"/>
      <c r="F6523" s="31">
        <f>IFERROR(VLOOKUP(E6523,BD!$L$2:$Q$244,2,0),0)</f>
        <v>0</v>
      </c>
      <c r="G6523" s="424"/>
      <c r="H6523" s="31">
        <f>+IFERROR(VLOOKUP(E6523,BD!$L$2:$Q$244,6,0),0)</f>
        <v>0</v>
      </c>
      <c r="I6523" s="626">
        <f>IFERROR(G6523*VLOOKUP($E6523,BD!$L$2:$Q$244,5,0),0)</f>
        <v>0</v>
      </c>
      <c r="J6523" s="3">
        <f t="shared" si="417"/>
        <v>1900</v>
      </c>
    </row>
    <row r="6524" spans="1:10" s="9" customFormat="1" x14ac:dyDescent="0.25">
      <c r="A6524" s="447"/>
      <c r="B6524" s="55" t="str">
        <f t="shared" si="414"/>
        <v>ENERO</v>
      </c>
      <c r="C6524" s="55">
        <f t="shared" si="415"/>
        <v>1</v>
      </c>
      <c r="D6524" s="3" t="str">
        <f t="shared" si="416"/>
        <v>SÁBADO</v>
      </c>
      <c r="E6524" s="427"/>
      <c r="F6524" s="31">
        <f>IFERROR(VLOOKUP(E6524,BD!$L$2:$Q$244,2,0),0)</f>
        <v>0</v>
      </c>
      <c r="G6524" s="424"/>
      <c r="H6524" s="31">
        <f>+IFERROR(VLOOKUP(E6524,BD!$L$2:$Q$244,6,0),0)</f>
        <v>0</v>
      </c>
      <c r="I6524" s="626">
        <f>IFERROR(G6524*VLOOKUP($E6524,BD!$L$2:$Q$244,5,0),0)</f>
        <v>0</v>
      </c>
      <c r="J6524" s="3">
        <f t="shared" si="417"/>
        <v>1900</v>
      </c>
    </row>
    <row r="6525" spans="1:10" s="9" customFormat="1" x14ac:dyDescent="0.25">
      <c r="A6525" s="447"/>
      <c r="B6525" s="55" t="str">
        <f t="shared" ref="B6525:B6588" si="418">UPPER(TEXT(A6525,"MMMM"))</f>
        <v>ENERO</v>
      </c>
      <c r="C6525" s="55">
        <f t="shared" ref="C6525:C6588" si="419">WEEKNUM(A6525,16)</f>
        <v>1</v>
      </c>
      <c r="D6525" s="3" t="str">
        <f t="shared" ref="D6525:D6588" si="420">UPPER(TEXT(A6525,"DDDD"))</f>
        <v>SÁBADO</v>
      </c>
      <c r="E6525" s="427"/>
      <c r="F6525" s="31">
        <f>IFERROR(VLOOKUP(E6525,BD!$L$2:$Q$244,2,0),0)</f>
        <v>0</v>
      </c>
      <c r="G6525" s="424"/>
      <c r="H6525" s="31">
        <f>+IFERROR(VLOOKUP(E6525,BD!$L$2:$Q$244,6,0),0)</f>
        <v>0</v>
      </c>
      <c r="I6525" s="626">
        <f>IFERROR(G6525*VLOOKUP($E6525,BD!$L$2:$Q$244,5,0),0)</f>
        <v>0</v>
      </c>
      <c r="J6525" s="3">
        <f t="shared" ref="J6525:J6588" si="421">+YEAR(A6525)</f>
        <v>1900</v>
      </c>
    </row>
    <row r="6526" spans="1:10" s="9" customFormat="1" x14ac:dyDescent="0.25">
      <c r="A6526" s="447"/>
      <c r="B6526" s="55" t="str">
        <f t="shared" si="418"/>
        <v>ENERO</v>
      </c>
      <c r="C6526" s="55">
        <f t="shared" si="419"/>
        <v>1</v>
      </c>
      <c r="D6526" s="3" t="str">
        <f t="shared" si="420"/>
        <v>SÁBADO</v>
      </c>
      <c r="E6526" s="427"/>
      <c r="F6526" s="31">
        <f>IFERROR(VLOOKUP(E6526,BD!$L$2:$Q$244,2,0),0)</f>
        <v>0</v>
      </c>
      <c r="G6526" s="424"/>
      <c r="H6526" s="31">
        <f>+IFERROR(VLOOKUP(E6526,BD!$L$2:$Q$244,6,0),0)</f>
        <v>0</v>
      </c>
      <c r="I6526" s="626">
        <f>IFERROR(G6526*VLOOKUP($E6526,BD!$L$2:$Q$244,5,0),0)</f>
        <v>0</v>
      </c>
      <c r="J6526" s="3">
        <f t="shared" si="421"/>
        <v>1900</v>
      </c>
    </row>
    <row r="6527" spans="1:10" s="9" customFormat="1" x14ac:dyDescent="0.25">
      <c r="A6527" s="447"/>
      <c r="B6527" s="55" t="str">
        <f t="shared" si="418"/>
        <v>ENERO</v>
      </c>
      <c r="C6527" s="55">
        <f t="shared" si="419"/>
        <v>1</v>
      </c>
      <c r="D6527" s="3" t="str">
        <f t="shared" si="420"/>
        <v>SÁBADO</v>
      </c>
      <c r="E6527" s="427"/>
      <c r="F6527" s="31">
        <f>IFERROR(VLOOKUP(E6527,BD!$L$2:$Q$244,2,0),0)</f>
        <v>0</v>
      </c>
      <c r="G6527" s="424"/>
      <c r="H6527" s="31">
        <f>+IFERROR(VLOOKUP(E6527,BD!$L$2:$Q$244,6,0),0)</f>
        <v>0</v>
      </c>
      <c r="I6527" s="626">
        <f>IFERROR(G6527*VLOOKUP($E6527,BD!$L$2:$Q$244,5,0),0)</f>
        <v>0</v>
      </c>
      <c r="J6527" s="3">
        <f t="shared" si="421"/>
        <v>1900</v>
      </c>
    </row>
    <row r="6528" spans="1:10" s="9" customFormat="1" x14ac:dyDescent="0.25">
      <c r="A6528" s="447"/>
      <c r="B6528" s="55" t="str">
        <f t="shared" si="418"/>
        <v>ENERO</v>
      </c>
      <c r="C6528" s="55">
        <f t="shared" si="419"/>
        <v>1</v>
      </c>
      <c r="D6528" s="3" t="str">
        <f t="shared" si="420"/>
        <v>SÁBADO</v>
      </c>
      <c r="E6528" s="427"/>
      <c r="F6528" s="31">
        <f>IFERROR(VLOOKUP(E6528,BD!$L$2:$Q$244,2,0),0)</f>
        <v>0</v>
      </c>
      <c r="G6528" s="424"/>
      <c r="H6528" s="31">
        <f>+IFERROR(VLOOKUP(E6528,BD!$L$2:$Q$244,6,0),0)</f>
        <v>0</v>
      </c>
      <c r="I6528" s="626">
        <f>IFERROR(G6528*VLOOKUP($E6528,BD!$L$2:$Q$244,5,0),0)</f>
        <v>0</v>
      </c>
      <c r="J6528" s="3">
        <f t="shared" si="421"/>
        <v>1900</v>
      </c>
    </row>
    <row r="6529" spans="1:10" s="9" customFormat="1" x14ac:dyDescent="0.25">
      <c r="A6529" s="447"/>
      <c r="B6529" s="55" t="str">
        <f t="shared" si="418"/>
        <v>ENERO</v>
      </c>
      <c r="C6529" s="55">
        <f t="shared" si="419"/>
        <v>1</v>
      </c>
      <c r="D6529" s="3" t="str">
        <f t="shared" si="420"/>
        <v>SÁBADO</v>
      </c>
      <c r="E6529" s="427"/>
      <c r="F6529" s="31">
        <f>IFERROR(VLOOKUP(E6529,BD!$L$2:$Q$244,2,0),0)</f>
        <v>0</v>
      </c>
      <c r="G6529" s="424"/>
      <c r="H6529" s="31">
        <f>+IFERROR(VLOOKUP(E6529,BD!$L$2:$Q$244,6,0),0)</f>
        <v>0</v>
      </c>
      <c r="I6529" s="626">
        <f>IFERROR(G6529*VLOOKUP($E6529,BD!$L$2:$Q$244,5,0),0)</f>
        <v>0</v>
      </c>
      <c r="J6529" s="3">
        <f t="shared" si="421"/>
        <v>1900</v>
      </c>
    </row>
    <row r="6530" spans="1:10" s="9" customFormat="1" x14ac:dyDescent="0.25">
      <c r="A6530" s="447"/>
      <c r="B6530" s="55" t="str">
        <f t="shared" si="418"/>
        <v>ENERO</v>
      </c>
      <c r="C6530" s="55">
        <f t="shared" si="419"/>
        <v>1</v>
      </c>
      <c r="D6530" s="3" t="str">
        <f t="shared" si="420"/>
        <v>SÁBADO</v>
      </c>
      <c r="E6530" s="427"/>
      <c r="F6530" s="31">
        <f>IFERROR(VLOOKUP(E6530,BD!$L$2:$Q$244,2,0),0)</f>
        <v>0</v>
      </c>
      <c r="G6530" s="424"/>
      <c r="H6530" s="31">
        <f>+IFERROR(VLOOKUP(E6530,BD!$L$2:$Q$244,6,0),0)</f>
        <v>0</v>
      </c>
      <c r="I6530" s="626">
        <f>IFERROR(G6530*VLOOKUP($E6530,BD!$L$2:$Q$244,5,0),0)</f>
        <v>0</v>
      </c>
      <c r="J6530" s="3">
        <f t="shared" si="421"/>
        <v>1900</v>
      </c>
    </row>
    <row r="6531" spans="1:10" s="9" customFormat="1" x14ac:dyDescent="0.25">
      <c r="A6531" s="447"/>
      <c r="B6531" s="55" t="str">
        <f t="shared" si="418"/>
        <v>ENERO</v>
      </c>
      <c r="C6531" s="55">
        <f t="shared" si="419"/>
        <v>1</v>
      </c>
      <c r="D6531" s="3" t="str">
        <f t="shared" si="420"/>
        <v>SÁBADO</v>
      </c>
      <c r="E6531" s="427"/>
      <c r="F6531" s="31">
        <f>IFERROR(VLOOKUP(E6531,BD!$L$2:$Q$244,2,0),0)</f>
        <v>0</v>
      </c>
      <c r="G6531" s="424"/>
      <c r="H6531" s="31">
        <f>+IFERROR(VLOOKUP(E6531,BD!$L$2:$Q$244,6,0),0)</f>
        <v>0</v>
      </c>
      <c r="I6531" s="626">
        <f>IFERROR(G6531*VLOOKUP($E6531,BD!$L$2:$Q$244,5,0),0)</f>
        <v>0</v>
      </c>
      <c r="J6531" s="3">
        <f t="shared" si="421"/>
        <v>1900</v>
      </c>
    </row>
    <row r="6532" spans="1:10" s="9" customFormat="1" x14ac:dyDescent="0.25">
      <c r="A6532" s="447"/>
      <c r="B6532" s="55" t="str">
        <f t="shared" si="418"/>
        <v>ENERO</v>
      </c>
      <c r="C6532" s="55">
        <f t="shared" si="419"/>
        <v>1</v>
      </c>
      <c r="D6532" s="3" t="str">
        <f t="shared" si="420"/>
        <v>SÁBADO</v>
      </c>
      <c r="E6532" s="427"/>
      <c r="F6532" s="31">
        <f>IFERROR(VLOOKUP(E6532,BD!$L$2:$Q$244,2,0),0)</f>
        <v>0</v>
      </c>
      <c r="G6532" s="424"/>
      <c r="H6532" s="31">
        <f>+IFERROR(VLOOKUP(E6532,BD!$L$2:$Q$244,6,0),0)</f>
        <v>0</v>
      </c>
      <c r="I6532" s="626">
        <f>IFERROR(G6532*VLOOKUP($E6532,BD!$L$2:$Q$244,5,0),0)</f>
        <v>0</v>
      </c>
      <c r="J6532" s="3">
        <f t="shared" si="421"/>
        <v>1900</v>
      </c>
    </row>
    <row r="6533" spans="1:10" s="9" customFormat="1" x14ac:dyDescent="0.25">
      <c r="A6533" s="447"/>
      <c r="B6533" s="55" t="str">
        <f t="shared" si="418"/>
        <v>ENERO</v>
      </c>
      <c r="C6533" s="55">
        <f t="shared" si="419"/>
        <v>1</v>
      </c>
      <c r="D6533" s="3" t="str">
        <f t="shared" si="420"/>
        <v>SÁBADO</v>
      </c>
      <c r="E6533" s="427"/>
      <c r="F6533" s="31">
        <f>IFERROR(VLOOKUP(E6533,BD!$L$2:$Q$244,2,0),0)</f>
        <v>0</v>
      </c>
      <c r="G6533" s="424"/>
      <c r="H6533" s="31">
        <f>+IFERROR(VLOOKUP(E6533,BD!$L$2:$Q$244,6,0),0)</f>
        <v>0</v>
      </c>
      <c r="I6533" s="626">
        <f>IFERROR(G6533*VLOOKUP($E6533,BD!$L$2:$Q$244,5,0),0)</f>
        <v>0</v>
      </c>
      <c r="J6533" s="3">
        <f t="shared" si="421"/>
        <v>1900</v>
      </c>
    </row>
    <row r="6534" spans="1:10" s="9" customFormat="1" x14ac:dyDescent="0.25">
      <c r="A6534" s="447"/>
      <c r="B6534" s="55" t="str">
        <f t="shared" si="418"/>
        <v>ENERO</v>
      </c>
      <c r="C6534" s="55">
        <f t="shared" si="419"/>
        <v>1</v>
      </c>
      <c r="D6534" s="3" t="str">
        <f t="shared" si="420"/>
        <v>SÁBADO</v>
      </c>
      <c r="E6534" s="427"/>
      <c r="F6534" s="31">
        <f>IFERROR(VLOOKUP(E6534,BD!$L$2:$Q$244,2,0),0)</f>
        <v>0</v>
      </c>
      <c r="G6534" s="424"/>
      <c r="H6534" s="31">
        <f>+IFERROR(VLOOKUP(E6534,BD!$L$2:$Q$244,6,0),0)</f>
        <v>0</v>
      </c>
      <c r="I6534" s="626">
        <f>IFERROR(G6534*VLOOKUP($E6534,BD!$L$2:$Q$244,5,0),0)</f>
        <v>0</v>
      </c>
      <c r="J6534" s="3">
        <f t="shared" si="421"/>
        <v>1900</v>
      </c>
    </row>
    <row r="6535" spans="1:10" s="9" customFormat="1" x14ac:dyDescent="0.25">
      <c r="A6535" s="447"/>
      <c r="B6535" s="55" t="str">
        <f t="shared" si="418"/>
        <v>ENERO</v>
      </c>
      <c r="C6535" s="55">
        <f t="shared" si="419"/>
        <v>1</v>
      </c>
      <c r="D6535" s="3" t="str">
        <f t="shared" si="420"/>
        <v>SÁBADO</v>
      </c>
      <c r="E6535" s="427"/>
      <c r="F6535" s="31">
        <f>IFERROR(VLOOKUP(E6535,BD!$L$2:$Q$244,2,0),0)</f>
        <v>0</v>
      </c>
      <c r="G6535" s="424"/>
      <c r="H6535" s="31">
        <f>+IFERROR(VLOOKUP(E6535,BD!$L$2:$Q$244,6,0),0)</f>
        <v>0</v>
      </c>
      <c r="I6535" s="626">
        <f>IFERROR(G6535*VLOOKUP($E6535,BD!$L$2:$Q$244,5,0),0)</f>
        <v>0</v>
      </c>
      <c r="J6535" s="3">
        <f t="shared" si="421"/>
        <v>1900</v>
      </c>
    </row>
    <row r="6536" spans="1:10" s="9" customFormat="1" x14ac:dyDescent="0.25">
      <c r="A6536" s="447"/>
      <c r="B6536" s="55" t="str">
        <f t="shared" si="418"/>
        <v>ENERO</v>
      </c>
      <c r="C6536" s="55">
        <f t="shared" si="419"/>
        <v>1</v>
      </c>
      <c r="D6536" s="3" t="str">
        <f t="shared" si="420"/>
        <v>SÁBADO</v>
      </c>
      <c r="E6536" s="427"/>
      <c r="F6536" s="31">
        <f>IFERROR(VLOOKUP(E6536,BD!$L$2:$Q$244,2,0),0)</f>
        <v>0</v>
      </c>
      <c r="G6536" s="424"/>
      <c r="H6536" s="31">
        <f>+IFERROR(VLOOKUP(E6536,BD!$L$2:$Q$244,6,0),0)</f>
        <v>0</v>
      </c>
      <c r="I6536" s="626">
        <f>IFERROR(G6536*VLOOKUP($E6536,BD!$L$2:$Q$244,5,0),0)</f>
        <v>0</v>
      </c>
      <c r="J6536" s="3">
        <f t="shared" si="421"/>
        <v>1900</v>
      </c>
    </row>
    <row r="6537" spans="1:10" s="9" customFormat="1" x14ac:dyDescent="0.25">
      <c r="A6537" s="447"/>
      <c r="B6537" s="55" t="str">
        <f t="shared" si="418"/>
        <v>ENERO</v>
      </c>
      <c r="C6537" s="55">
        <f t="shared" si="419"/>
        <v>1</v>
      </c>
      <c r="D6537" s="3" t="str">
        <f t="shared" si="420"/>
        <v>SÁBADO</v>
      </c>
      <c r="E6537" s="427"/>
      <c r="F6537" s="31">
        <f>IFERROR(VLOOKUP(E6537,BD!$L$2:$Q$244,2,0),0)</f>
        <v>0</v>
      </c>
      <c r="G6537" s="424"/>
      <c r="H6537" s="31">
        <f>+IFERROR(VLOOKUP(E6537,BD!$L$2:$Q$244,6,0),0)</f>
        <v>0</v>
      </c>
      <c r="I6537" s="626">
        <f>IFERROR(G6537*VLOOKUP($E6537,BD!$L$2:$Q$244,5,0),0)</f>
        <v>0</v>
      </c>
      <c r="J6537" s="3">
        <f t="shared" si="421"/>
        <v>1900</v>
      </c>
    </row>
    <row r="6538" spans="1:10" s="9" customFormat="1" x14ac:dyDescent="0.25">
      <c r="A6538" s="447"/>
      <c r="B6538" s="55" t="str">
        <f t="shared" si="418"/>
        <v>ENERO</v>
      </c>
      <c r="C6538" s="55">
        <f t="shared" si="419"/>
        <v>1</v>
      </c>
      <c r="D6538" s="3" t="str">
        <f t="shared" si="420"/>
        <v>SÁBADO</v>
      </c>
      <c r="E6538" s="427"/>
      <c r="F6538" s="31">
        <f>IFERROR(VLOOKUP(E6538,BD!$L$2:$Q$244,2,0),0)</f>
        <v>0</v>
      </c>
      <c r="G6538" s="424"/>
      <c r="H6538" s="31">
        <f>+IFERROR(VLOOKUP(E6538,BD!$L$2:$Q$244,6,0),0)</f>
        <v>0</v>
      </c>
      <c r="I6538" s="626">
        <f>IFERROR(G6538*VLOOKUP($E6538,BD!$L$2:$Q$244,5,0),0)</f>
        <v>0</v>
      </c>
      <c r="J6538" s="3">
        <f t="shared" si="421"/>
        <v>1900</v>
      </c>
    </row>
    <row r="6539" spans="1:10" s="9" customFormat="1" x14ac:dyDescent="0.25">
      <c r="A6539" s="447"/>
      <c r="B6539" s="55" t="str">
        <f t="shared" si="418"/>
        <v>ENERO</v>
      </c>
      <c r="C6539" s="55">
        <f t="shared" si="419"/>
        <v>1</v>
      </c>
      <c r="D6539" s="3" t="str">
        <f t="shared" si="420"/>
        <v>SÁBADO</v>
      </c>
      <c r="E6539" s="427"/>
      <c r="F6539" s="31">
        <f>IFERROR(VLOOKUP(E6539,BD!$L$2:$Q$244,2,0),0)</f>
        <v>0</v>
      </c>
      <c r="G6539" s="424"/>
      <c r="H6539" s="31">
        <f>+IFERROR(VLOOKUP(E6539,BD!$L$2:$Q$244,6,0),0)</f>
        <v>0</v>
      </c>
      <c r="I6539" s="626">
        <f>IFERROR(G6539*VLOOKUP($E6539,BD!$L$2:$Q$244,5,0),0)</f>
        <v>0</v>
      </c>
      <c r="J6539" s="3">
        <f t="shared" si="421"/>
        <v>1900</v>
      </c>
    </row>
    <row r="6540" spans="1:10" s="9" customFormat="1" x14ac:dyDescent="0.25">
      <c r="A6540" s="447"/>
      <c r="B6540" s="55" t="str">
        <f t="shared" si="418"/>
        <v>ENERO</v>
      </c>
      <c r="C6540" s="55">
        <f t="shared" si="419"/>
        <v>1</v>
      </c>
      <c r="D6540" s="3" t="str">
        <f t="shared" si="420"/>
        <v>SÁBADO</v>
      </c>
      <c r="E6540" s="427"/>
      <c r="F6540" s="31">
        <f>IFERROR(VLOOKUP(E6540,BD!$L$2:$Q$244,2,0),0)</f>
        <v>0</v>
      </c>
      <c r="G6540" s="424"/>
      <c r="H6540" s="31">
        <f>+IFERROR(VLOOKUP(E6540,BD!$L$2:$Q$244,6,0),0)</f>
        <v>0</v>
      </c>
      <c r="I6540" s="626">
        <f>IFERROR(G6540*VLOOKUP($E6540,BD!$L$2:$Q$244,5,0),0)</f>
        <v>0</v>
      </c>
      <c r="J6540" s="3">
        <f t="shared" si="421"/>
        <v>1900</v>
      </c>
    </row>
    <row r="6541" spans="1:10" s="9" customFormat="1" x14ac:dyDescent="0.25">
      <c r="A6541" s="447"/>
      <c r="B6541" s="55" t="str">
        <f t="shared" si="418"/>
        <v>ENERO</v>
      </c>
      <c r="C6541" s="55">
        <f t="shared" si="419"/>
        <v>1</v>
      </c>
      <c r="D6541" s="3" t="str">
        <f t="shared" si="420"/>
        <v>SÁBADO</v>
      </c>
      <c r="E6541" s="427"/>
      <c r="F6541" s="31">
        <f>IFERROR(VLOOKUP(E6541,BD!$L$2:$Q$244,2,0),0)</f>
        <v>0</v>
      </c>
      <c r="G6541" s="424"/>
      <c r="H6541" s="31">
        <f>+IFERROR(VLOOKUP(E6541,BD!$L$2:$Q$244,6,0),0)</f>
        <v>0</v>
      </c>
      <c r="I6541" s="626">
        <f>IFERROR(G6541*VLOOKUP($E6541,BD!$L$2:$Q$244,5,0),0)</f>
        <v>0</v>
      </c>
      <c r="J6541" s="3">
        <f t="shared" si="421"/>
        <v>1900</v>
      </c>
    </row>
    <row r="6542" spans="1:10" s="9" customFormat="1" x14ac:dyDescent="0.25">
      <c r="A6542" s="447"/>
      <c r="B6542" s="55" t="str">
        <f t="shared" si="418"/>
        <v>ENERO</v>
      </c>
      <c r="C6542" s="55">
        <f t="shared" si="419"/>
        <v>1</v>
      </c>
      <c r="D6542" s="3" t="str">
        <f t="shared" si="420"/>
        <v>SÁBADO</v>
      </c>
      <c r="E6542" s="427"/>
      <c r="F6542" s="31">
        <f>IFERROR(VLOOKUP(E6542,BD!$L$2:$Q$244,2,0),0)</f>
        <v>0</v>
      </c>
      <c r="G6542" s="424"/>
      <c r="H6542" s="31">
        <f>+IFERROR(VLOOKUP(E6542,BD!$L$2:$Q$244,6,0),0)</f>
        <v>0</v>
      </c>
      <c r="I6542" s="626">
        <f>IFERROR(G6542*VLOOKUP($E6542,BD!$L$2:$Q$244,5,0),0)</f>
        <v>0</v>
      </c>
      <c r="J6542" s="3">
        <f t="shared" si="421"/>
        <v>1900</v>
      </c>
    </row>
    <row r="6543" spans="1:10" s="9" customFormat="1" x14ac:dyDescent="0.25">
      <c r="A6543" s="447"/>
      <c r="B6543" s="55" t="str">
        <f t="shared" si="418"/>
        <v>ENERO</v>
      </c>
      <c r="C6543" s="55">
        <f t="shared" si="419"/>
        <v>1</v>
      </c>
      <c r="D6543" s="3" t="str">
        <f t="shared" si="420"/>
        <v>SÁBADO</v>
      </c>
      <c r="E6543" s="427"/>
      <c r="F6543" s="31">
        <f>IFERROR(VLOOKUP(E6543,BD!$L$2:$Q$244,2,0),0)</f>
        <v>0</v>
      </c>
      <c r="G6543" s="424"/>
      <c r="H6543" s="31">
        <f>+IFERROR(VLOOKUP(E6543,BD!$L$2:$Q$244,6,0),0)</f>
        <v>0</v>
      </c>
      <c r="I6543" s="626">
        <f>IFERROR(G6543*VLOOKUP($E6543,BD!$L$2:$Q$244,5,0),0)</f>
        <v>0</v>
      </c>
      <c r="J6543" s="3">
        <f t="shared" si="421"/>
        <v>1900</v>
      </c>
    </row>
    <row r="6544" spans="1:10" s="9" customFormat="1" x14ac:dyDescent="0.25">
      <c r="A6544" s="447"/>
      <c r="B6544" s="55" t="str">
        <f t="shared" si="418"/>
        <v>ENERO</v>
      </c>
      <c r="C6544" s="55">
        <f t="shared" si="419"/>
        <v>1</v>
      </c>
      <c r="D6544" s="3" t="str">
        <f t="shared" si="420"/>
        <v>SÁBADO</v>
      </c>
      <c r="E6544" s="427"/>
      <c r="F6544" s="31">
        <f>IFERROR(VLOOKUP(E6544,BD!$L$2:$Q$244,2,0),0)</f>
        <v>0</v>
      </c>
      <c r="G6544" s="424"/>
      <c r="H6544" s="31">
        <f>+IFERROR(VLOOKUP(E6544,BD!$L$2:$Q$244,6,0),0)</f>
        <v>0</v>
      </c>
      <c r="I6544" s="626">
        <f>IFERROR(G6544*VLOOKUP($E6544,BD!$L$2:$Q$244,5,0),0)</f>
        <v>0</v>
      </c>
      <c r="J6544" s="3">
        <f t="shared" si="421"/>
        <v>1900</v>
      </c>
    </row>
    <row r="6545" spans="1:10" s="9" customFormat="1" x14ac:dyDescent="0.25">
      <c r="A6545" s="447"/>
      <c r="B6545" s="55" t="str">
        <f t="shared" si="418"/>
        <v>ENERO</v>
      </c>
      <c r="C6545" s="55">
        <f t="shared" si="419"/>
        <v>1</v>
      </c>
      <c r="D6545" s="3" t="str">
        <f t="shared" si="420"/>
        <v>SÁBADO</v>
      </c>
      <c r="E6545" s="427"/>
      <c r="F6545" s="31">
        <f>IFERROR(VLOOKUP(E6545,BD!$L$2:$Q$244,2,0),0)</f>
        <v>0</v>
      </c>
      <c r="G6545" s="424"/>
      <c r="H6545" s="31">
        <f>+IFERROR(VLOOKUP(E6545,BD!$L$2:$Q$244,6,0),0)</f>
        <v>0</v>
      </c>
      <c r="I6545" s="626">
        <f>IFERROR(G6545*VLOOKUP($E6545,BD!$L$2:$Q$244,5,0),0)</f>
        <v>0</v>
      </c>
      <c r="J6545" s="3">
        <f t="shared" si="421"/>
        <v>1900</v>
      </c>
    </row>
    <row r="6546" spans="1:10" s="9" customFormat="1" x14ac:dyDescent="0.25">
      <c r="A6546" s="447"/>
      <c r="B6546" s="55" t="str">
        <f t="shared" si="418"/>
        <v>ENERO</v>
      </c>
      <c r="C6546" s="55">
        <f t="shared" si="419"/>
        <v>1</v>
      </c>
      <c r="D6546" s="3" t="str">
        <f t="shared" si="420"/>
        <v>SÁBADO</v>
      </c>
      <c r="E6546" s="427"/>
      <c r="F6546" s="31">
        <f>IFERROR(VLOOKUP(E6546,BD!$L$2:$Q$244,2,0),0)</f>
        <v>0</v>
      </c>
      <c r="G6546" s="424"/>
      <c r="H6546" s="31">
        <f>+IFERROR(VLOOKUP(E6546,BD!$L$2:$Q$244,6,0),0)</f>
        <v>0</v>
      </c>
      <c r="I6546" s="626">
        <f>IFERROR(G6546*VLOOKUP($E6546,BD!$L$2:$Q$244,5,0),0)</f>
        <v>0</v>
      </c>
      <c r="J6546" s="3">
        <f t="shared" si="421"/>
        <v>1900</v>
      </c>
    </row>
    <row r="6547" spans="1:10" s="9" customFormat="1" x14ac:dyDescent="0.25">
      <c r="A6547" s="447"/>
      <c r="B6547" s="55" t="str">
        <f t="shared" si="418"/>
        <v>ENERO</v>
      </c>
      <c r="C6547" s="55">
        <f t="shared" si="419"/>
        <v>1</v>
      </c>
      <c r="D6547" s="3" t="str">
        <f t="shared" si="420"/>
        <v>SÁBADO</v>
      </c>
      <c r="E6547" s="427"/>
      <c r="F6547" s="31">
        <f>IFERROR(VLOOKUP(E6547,BD!$L$2:$Q$244,2,0),0)</f>
        <v>0</v>
      </c>
      <c r="G6547" s="424"/>
      <c r="H6547" s="31">
        <f>+IFERROR(VLOOKUP(E6547,BD!$L$2:$Q$244,6,0),0)</f>
        <v>0</v>
      </c>
      <c r="I6547" s="626">
        <f>IFERROR(G6547*VLOOKUP($E6547,BD!$L$2:$Q$244,5,0),0)</f>
        <v>0</v>
      </c>
      <c r="J6547" s="3">
        <f t="shared" si="421"/>
        <v>1900</v>
      </c>
    </row>
    <row r="6548" spans="1:10" s="9" customFormat="1" x14ac:dyDescent="0.25">
      <c r="A6548" s="447"/>
      <c r="B6548" s="55" t="str">
        <f t="shared" si="418"/>
        <v>ENERO</v>
      </c>
      <c r="C6548" s="55">
        <f t="shared" si="419"/>
        <v>1</v>
      </c>
      <c r="D6548" s="3" t="str">
        <f t="shared" si="420"/>
        <v>SÁBADO</v>
      </c>
      <c r="E6548" s="427"/>
      <c r="F6548" s="31">
        <f>IFERROR(VLOOKUP(E6548,BD!$L$2:$Q$244,2,0),0)</f>
        <v>0</v>
      </c>
      <c r="G6548" s="424"/>
      <c r="H6548" s="31">
        <f>+IFERROR(VLOOKUP(E6548,BD!$L$2:$Q$244,6,0),0)</f>
        <v>0</v>
      </c>
      <c r="I6548" s="626">
        <f>IFERROR(G6548*VLOOKUP($E6548,BD!$L$2:$Q$244,5,0),0)</f>
        <v>0</v>
      </c>
      <c r="J6548" s="3">
        <f t="shared" si="421"/>
        <v>1900</v>
      </c>
    </row>
    <row r="6549" spans="1:10" s="9" customFormat="1" x14ac:dyDescent="0.25">
      <c r="A6549" s="447"/>
      <c r="B6549" s="55" t="str">
        <f t="shared" si="418"/>
        <v>ENERO</v>
      </c>
      <c r="C6549" s="55">
        <f t="shared" si="419"/>
        <v>1</v>
      </c>
      <c r="D6549" s="3" t="str">
        <f t="shared" si="420"/>
        <v>SÁBADO</v>
      </c>
      <c r="E6549" s="427"/>
      <c r="F6549" s="31">
        <f>IFERROR(VLOOKUP(E6549,BD!$L$2:$Q$244,2,0),0)</f>
        <v>0</v>
      </c>
      <c r="G6549" s="424"/>
      <c r="H6549" s="31">
        <f>+IFERROR(VLOOKUP(E6549,BD!$L$2:$Q$244,6,0),0)</f>
        <v>0</v>
      </c>
      <c r="I6549" s="626">
        <f>IFERROR(G6549*VLOOKUP($E6549,BD!$L$2:$Q$244,5,0),0)</f>
        <v>0</v>
      </c>
      <c r="J6549" s="3">
        <f t="shared" si="421"/>
        <v>1900</v>
      </c>
    </row>
    <row r="6550" spans="1:10" s="9" customFormat="1" x14ac:dyDescent="0.25">
      <c r="A6550" s="447"/>
      <c r="B6550" s="55" t="str">
        <f t="shared" si="418"/>
        <v>ENERO</v>
      </c>
      <c r="C6550" s="55">
        <f t="shared" si="419"/>
        <v>1</v>
      </c>
      <c r="D6550" s="3" t="str">
        <f t="shared" si="420"/>
        <v>SÁBADO</v>
      </c>
      <c r="E6550" s="427"/>
      <c r="F6550" s="31">
        <f>IFERROR(VLOOKUP(E6550,BD!$L$2:$Q$244,2,0),0)</f>
        <v>0</v>
      </c>
      <c r="G6550" s="424"/>
      <c r="H6550" s="31">
        <f>+IFERROR(VLOOKUP(E6550,BD!$L$2:$Q$244,6,0),0)</f>
        <v>0</v>
      </c>
      <c r="I6550" s="626">
        <f>IFERROR(G6550*VLOOKUP($E6550,BD!$L$2:$Q$244,5,0),0)</f>
        <v>0</v>
      </c>
      <c r="J6550" s="3">
        <f t="shared" si="421"/>
        <v>1900</v>
      </c>
    </row>
    <row r="6551" spans="1:10" s="9" customFormat="1" x14ac:dyDescent="0.25">
      <c r="A6551" s="447"/>
      <c r="B6551" s="55" t="str">
        <f t="shared" si="418"/>
        <v>ENERO</v>
      </c>
      <c r="C6551" s="55">
        <f t="shared" si="419"/>
        <v>1</v>
      </c>
      <c r="D6551" s="3" t="str">
        <f t="shared" si="420"/>
        <v>SÁBADO</v>
      </c>
      <c r="E6551" s="427"/>
      <c r="F6551" s="31">
        <f>IFERROR(VLOOKUP(E6551,BD!$L$2:$Q$244,2,0),0)</f>
        <v>0</v>
      </c>
      <c r="G6551" s="424"/>
      <c r="H6551" s="31">
        <f>+IFERROR(VLOOKUP(E6551,BD!$L$2:$Q$244,6,0),0)</f>
        <v>0</v>
      </c>
      <c r="I6551" s="626">
        <f>IFERROR(G6551*VLOOKUP($E6551,BD!$L$2:$Q$244,5,0),0)</f>
        <v>0</v>
      </c>
      <c r="J6551" s="3">
        <f t="shared" si="421"/>
        <v>1900</v>
      </c>
    </row>
    <row r="6552" spans="1:10" s="9" customFormat="1" x14ac:dyDescent="0.25">
      <c r="A6552" s="447"/>
      <c r="B6552" s="55" t="str">
        <f t="shared" si="418"/>
        <v>ENERO</v>
      </c>
      <c r="C6552" s="55">
        <f t="shared" si="419"/>
        <v>1</v>
      </c>
      <c r="D6552" s="3" t="str">
        <f t="shared" si="420"/>
        <v>SÁBADO</v>
      </c>
      <c r="E6552" s="427"/>
      <c r="F6552" s="31">
        <f>IFERROR(VLOOKUP(E6552,BD!$L$2:$Q$244,2,0),0)</f>
        <v>0</v>
      </c>
      <c r="G6552" s="424"/>
      <c r="H6552" s="31">
        <f>+IFERROR(VLOOKUP(E6552,BD!$L$2:$Q$244,6,0),0)</f>
        <v>0</v>
      </c>
      <c r="I6552" s="626">
        <f>IFERROR(G6552*VLOOKUP($E6552,BD!$L$2:$Q$244,5,0),0)</f>
        <v>0</v>
      </c>
      <c r="J6552" s="3">
        <f t="shared" si="421"/>
        <v>1900</v>
      </c>
    </row>
    <row r="6553" spans="1:10" s="9" customFormat="1" x14ac:dyDescent="0.25">
      <c r="A6553" s="447"/>
      <c r="B6553" s="55" t="str">
        <f t="shared" si="418"/>
        <v>ENERO</v>
      </c>
      <c r="C6553" s="55">
        <f t="shared" si="419"/>
        <v>1</v>
      </c>
      <c r="D6553" s="3" t="str">
        <f t="shared" si="420"/>
        <v>SÁBADO</v>
      </c>
      <c r="E6553" s="427"/>
      <c r="F6553" s="31">
        <f>IFERROR(VLOOKUP(E6553,BD!$L$2:$Q$244,2,0),0)</f>
        <v>0</v>
      </c>
      <c r="G6553" s="424"/>
      <c r="H6553" s="31">
        <f>+IFERROR(VLOOKUP(E6553,BD!$L$2:$Q$244,6,0),0)</f>
        <v>0</v>
      </c>
      <c r="I6553" s="626">
        <f>IFERROR(G6553*VLOOKUP($E6553,BD!$L$2:$Q$244,5,0),0)</f>
        <v>0</v>
      </c>
      <c r="J6553" s="3">
        <f t="shared" si="421"/>
        <v>1900</v>
      </c>
    </row>
    <row r="6554" spans="1:10" s="9" customFormat="1" x14ac:dyDescent="0.25">
      <c r="A6554" s="447"/>
      <c r="B6554" s="55" t="str">
        <f t="shared" si="418"/>
        <v>ENERO</v>
      </c>
      <c r="C6554" s="55">
        <f t="shared" si="419"/>
        <v>1</v>
      </c>
      <c r="D6554" s="3" t="str">
        <f t="shared" si="420"/>
        <v>SÁBADO</v>
      </c>
      <c r="E6554" s="427"/>
      <c r="F6554" s="31">
        <f>IFERROR(VLOOKUP(E6554,BD!$L$2:$Q$244,2,0),0)</f>
        <v>0</v>
      </c>
      <c r="G6554" s="424"/>
      <c r="H6554" s="31">
        <f>+IFERROR(VLOOKUP(E6554,BD!$L$2:$Q$244,6,0),0)</f>
        <v>0</v>
      </c>
      <c r="I6554" s="626">
        <f>IFERROR(G6554*VLOOKUP($E6554,BD!$L$2:$Q$244,5,0),0)</f>
        <v>0</v>
      </c>
      <c r="J6554" s="3">
        <f t="shared" si="421"/>
        <v>1900</v>
      </c>
    </row>
    <row r="6555" spans="1:10" s="9" customFormat="1" x14ac:dyDescent="0.25">
      <c r="A6555" s="447"/>
      <c r="B6555" s="55" t="str">
        <f t="shared" si="418"/>
        <v>ENERO</v>
      </c>
      <c r="C6555" s="55">
        <f t="shared" si="419"/>
        <v>1</v>
      </c>
      <c r="D6555" s="3" t="str">
        <f t="shared" si="420"/>
        <v>SÁBADO</v>
      </c>
      <c r="E6555" s="427"/>
      <c r="F6555" s="31">
        <f>IFERROR(VLOOKUP(E6555,BD!$L$2:$Q$244,2,0),0)</f>
        <v>0</v>
      </c>
      <c r="G6555" s="424"/>
      <c r="H6555" s="31">
        <f>+IFERROR(VLOOKUP(E6555,BD!$L$2:$Q$244,6,0),0)</f>
        <v>0</v>
      </c>
      <c r="I6555" s="626">
        <f>IFERROR(G6555*VLOOKUP($E6555,BD!$L$2:$Q$244,5,0),0)</f>
        <v>0</v>
      </c>
      <c r="J6555" s="3">
        <f t="shared" si="421"/>
        <v>1900</v>
      </c>
    </row>
    <row r="6556" spans="1:10" s="9" customFormat="1" x14ac:dyDescent="0.25">
      <c r="A6556" s="447"/>
      <c r="B6556" s="55" t="str">
        <f t="shared" si="418"/>
        <v>ENERO</v>
      </c>
      <c r="C6556" s="55">
        <f t="shared" si="419"/>
        <v>1</v>
      </c>
      <c r="D6556" s="3" t="str">
        <f t="shared" si="420"/>
        <v>SÁBADO</v>
      </c>
      <c r="E6556" s="427"/>
      <c r="F6556" s="31">
        <f>IFERROR(VLOOKUP(E6556,BD!$L$2:$Q$244,2,0),0)</f>
        <v>0</v>
      </c>
      <c r="G6556" s="424"/>
      <c r="H6556" s="31">
        <f>+IFERROR(VLOOKUP(E6556,BD!$L$2:$Q$244,6,0),0)</f>
        <v>0</v>
      </c>
      <c r="I6556" s="626">
        <f>IFERROR(G6556*VLOOKUP($E6556,BD!$L$2:$Q$244,5,0),0)</f>
        <v>0</v>
      </c>
      <c r="J6556" s="3">
        <f t="shared" si="421"/>
        <v>1900</v>
      </c>
    </row>
    <row r="6557" spans="1:10" s="9" customFormat="1" x14ac:dyDescent="0.25">
      <c r="A6557" s="447"/>
      <c r="B6557" s="55" t="str">
        <f t="shared" si="418"/>
        <v>ENERO</v>
      </c>
      <c r="C6557" s="55">
        <f t="shared" si="419"/>
        <v>1</v>
      </c>
      <c r="D6557" s="3" t="str">
        <f t="shared" si="420"/>
        <v>SÁBADO</v>
      </c>
      <c r="E6557" s="427"/>
      <c r="F6557" s="31">
        <f>IFERROR(VLOOKUP(E6557,BD!$L$2:$Q$244,2,0),0)</f>
        <v>0</v>
      </c>
      <c r="G6557" s="424"/>
      <c r="H6557" s="31">
        <f>+IFERROR(VLOOKUP(E6557,BD!$L$2:$Q$244,6,0),0)</f>
        <v>0</v>
      </c>
      <c r="I6557" s="626">
        <f>IFERROR(G6557*VLOOKUP($E6557,BD!$L$2:$Q$244,5,0),0)</f>
        <v>0</v>
      </c>
      <c r="J6557" s="3">
        <f t="shared" si="421"/>
        <v>1900</v>
      </c>
    </row>
    <row r="6558" spans="1:10" s="9" customFormat="1" x14ac:dyDescent="0.25">
      <c r="A6558" s="447"/>
      <c r="B6558" s="55" t="str">
        <f t="shared" si="418"/>
        <v>ENERO</v>
      </c>
      <c r="C6558" s="55">
        <f t="shared" si="419"/>
        <v>1</v>
      </c>
      <c r="D6558" s="3" t="str">
        <f t="shared" si="420"/>
        <v>SÁBADO</v>
      </c>
      <c r="E6558" s="427"/>
      <c r="F6558" s="31">
        <f>IFERROR(VLOOKUP(E6558,BD!$L$2:$Q$244,2,0),0)</f>
        <v>0</v>
      </c>
      <c r="G6558" s="424"/>
      <c r="H6558" s="31">
        <f>+IFERROR(VLOOKUP(E6558,BD!$L$2:$Q$244,6,0),0)</f>
        <v>0</v>
      </c>
      <c r="I6558" s="626">
        <f>IFERROR(G6558*VLOOKUP($E6558,BD!$L$2:$Q$244,5,0),0)</f>
        <v>0</v>
      </c>
      <c r="J6558" s="3">
        <f t="shared" si="421"/>
        <v>1900</v>
      </c>
    </row>
    <row r="6559" spans="1:10" s="9" customFormat="1" x14ac:dyDescent="0.25">
      <c r="A6559" s="447"/>
      <c r="B6559" s="55" t="str">
        <f t="shared" si="418"/>
        <v>ENERO</v>
      </c>
      <c r="C6559" s="55">
        <f t="shared" si="419"/>
        <v>1</v>
      </c>
      <c r="D6559" s="3" t="str">
        <f t="shared" si="420"/>
        <v>SÁBADO</v>
      </c>
      <c r="E6559" s="427"/>
      <c r="F6559" s="31">
        <f>IFERROR(VLOOKUP(E6559,BD!$L$2:$Q$244,2,0),0)</f>
        <v>0</v>
      </c>
      <c r="G6559" s="424"/>
      <c r="H6559" s="31">
        <f>+IFERROR(VLOOKUP(E6559,BD!$L$2:$Q$244,6,0),0)</f>
        <v>0</v>
      </c>
      <c r="I6559" s="626">
        <f>IFERROR(G6559*VLOOKUP($E6559,BD!$L$2:$Q$244,5,0),0)</f>
        <v>0</v>
      </c>
      <c r="J6559" s="3">
        <f t="shared" si="421"/>
        <v>1900</v>
      </c>
    </row>
    <row r="6560" spans="1:10" s="9" customFormat="1" x14ac:dyDescent="0.25">
      <c r="A6560" s="447"/>
      <c r="B6560" s="55" t="str">
        <f t="shared" si="418"/>
        <v>ENERO</v>
      </c>
      <c r="C6560" s="55">
        <f t="shared" si="419"/>
        <v>1</v>
      </c>
      <c r="D6560" s="3" t="str">
        <f t="shared" si="420"/>
        <v>SÁBADO</v>
      </c>
      <c r="E6560" s="427"/>
      <c r="F6560" s="31">
        <f>IFERROR(VLOOKUP(E6560,BD!$L$2:$Q$244,2,0),0)</f>
        <v>0</v>
      </c>
      <c r="G6560" s="424"/>
      <c r="H6560" s="31">
        <f>+IFERROR(VLOOKUP(E6560,BD!$L$2:$Q$244,6,0),0)</f>
        <v>0</v>
      </c>
      <c r="I6560" s="626">
        <f>IFERROR(G6560*VLOOKUP($E6560,BD!$L$2:$Q$244,5,0),0)</f>
        <v>0</v>
      </c>
      <c r="J6560" s="3">
        <f t="shared" si="421"/>
        <v>1900</v>
      </c>
    </row>
    <row r="6561" spans="1:10" s="9" customFormat="1" x14ac:dyDescent="0.25">
      <c r="A6561" s="447"/>
      <c r="B6561" s="55" t="str">
        <f t="shared" si="418"/>
        <v>ENERO</v>
      </c>
      <c r="C6561" s="55">
        <f t="shared" si="419"/>
        <v>1</v>
      </c>
      <c r="D6561" s="3" t="str">
        <f t="shared" si="420"/>
        <v>SÁBADO</v>
      </c>
      <c r="E6561" s="427"/>
      <c r="F6561" s="31">
        <f>IFERROR(VLOOKUP(E6561,BD!$L$2:$Q$244,2,0),0)</f>
        <v>0</v>
      </c>
      <c r="G6561" s="424"/>
      <c r="H6561" s="31">
        <f>+IFERROR(VLOOKUP(E6561,BD!$L$2:$Q$244,6,0),0)</f>
        <v>0</v>
      </c>
      <c r="I6561" s="626">
        <f>IFERROR(G6561*VLOOKUP($E6561,BD!$L$2:$Q$244,5,0),0)</f>
        <v>0</v>
      </c>
      <c r="J6561" s="3">
        <f t="shared" si="421"/>
        <v>1900</v>
      </c>
    </row>
    <row r="6562" spans="1:10" s="9" customFormat="1" x14ac:dyDescent="0.25">
      <c r="A6562" s="447"/>
      <c r="B6562" s="55" t="str">
        <f t="shared" si="418"/>
        <v>ENERO</v>
      </c>
      <c r="C6562" s="55">
        <f t="shared" si="419"/>
        <v>1</v>
      </c>
      <c r="D6562" s="3" t="str">
        <f t="shared" si="420"/>
        <v>SÁBADO</v>
      </c>
      <c r="E6562" s="427"/>
      <c r="F6562" s="31">
        <f>IFERROR(VLOOKUP(E6562,BD!$L$2:$Q$244,2,0),0)</f>
        <v>0</v>
      </c>
      <c r="G6562" s="424"/>
      <c r="H6562" s="31">
        <f>+IFERROR(VLOOKUP(E6562,BD!$L$2:$Q$244,6,0),0)</f>
        <v>0</v>
      </c>
      <c r="I6562" s="626">
        <f>IFERROR(G6562*VLOOKUP($E6562,BD!$L$2:$Q$244,5,0),0)</f>
        <v>0</v>
      </c>
      <c r="J6562" s="3">
        <f t="shared" si="421"/>
        <v>1900</v>
      </c>
    </row>
    <row r="6563" spans="1:10" s="9" customFormat="1" x14ac:dyDescent="0.25">
      <c r="A6563" s="447"/>
      <c r="B6563" s="55" t="str">
        <f t="shared" si="418"/>
        <v>ENERO</v>
      </c>
      <c r="C6563" s="55">
        <f t="shared" si="419"/>
        <v>1</v>
      </c>
      <c r="D6563" s="3" t="str">
        <f t="shared" si="420"/>
        <v>SÁBADO</v>
      </c>
      <c r="E6563" s="427"/>
      <c r="F6563" s="31">
        <f>IFERROR(VLOOKUP(E6563,BD!$L$2:$Q$244,2,0),0)</f>
        <v>0</v>
      </c>
      <c r="G6563" s="424"/>
      <c r="H6563" s="31">
        <f>+IFERROR(VLOOKUP(E6563,BD!$L$2:$Q$244,6,0),0)</f>
        <v>0</v>
      </c>
      <c r="I6563" s="626">
        <f>IFERROR(G6563*VLOOKUP($E6563,BD!$L$2:$Q$244,5,0),0)</f>
        <v>0</v>
      </c>
      <c r="J6563" s="3">
        <f t="shared" si="421"/>
        <v>1900</v>
      </c>
    </row>
    <row r="6564" spans="1:10" s="9" customFormat="1" x14ac:dyDescent="0.25">
      <c r="A6564" s="447"/>
      <c r="B6564" s="55" t="str">
        <f t="shared" si="418"/>
        <v>ENERO</v>
      </c>
      <c r="C6564" s="55">
        <f t="shared" si="419"/>
        <v>1</v>
      </c>
      <c r="D6564" s="3" t="str">
        <f t="shared" si="420"/>
        <v>SÁBADO</v>
      </c>
      <c r="E6564" s="427"/>
      <c r="F6564" s="31">
        <f>IFERROR(VLOOKUP(E6564,BD!$L$2:$Q$244,2,0),0)</f>
        <v>0</v>
      </c>
      <c r="G6564" s="424"/>
      <c r="H6564" s="31">
        <f>+IFERROR(VLOOKUP(E6564,BD!$L$2:$Q$244,6,0),0)</f>
        <v>0</v>
      </c>
      <c r="I6564" s="626">
        <f>IFERROR(G6564*VLOOKUP($E6564,BD!$L$2:$Q$244,5,0),0)</f>
        <v>0</v>
      </c>
      <c r="J6564" s="3">
        <f t="shared" si="421"/>
        <v>1900</v>
      </c>
    </row>
    <row r="6565" spans="1:10" s="9" customFormat="1" x14ac:dyDescent="0.25">
      <c r="A6565" s="447"/>
      <c r="B6565" s="55" t="str">
        <f t="shared" si="418"/>
        <v>ENERO</v>
      </c>
      <c r="C6565" s="55">
        <f t="shared" si="419"/>
        <v>1</v>
      </c>
      <c r="D6565" s="3" t="str">
        <f t="shared" si="420"/>
        <v>SÁBADO</v>
      </c>
      <c r="E6565" s="427"/>
      <c r="F6565" s="31">
        <f>IFERROR(VLOOKUP(E6565,BD!$L$2:$Q$244,2,0),0)</f>
        <v>0</v>
      </c>
      <c r="G6565" s="424"/>
      <c r="H6565" s="31">
        <f>+IFERROR(VLOOKUP(E6565,BD!$L$2:$Q$244,6,0),0)</f>
        <v>0</v>
      </c>
      <c r="I6565" s="626">
        <f>IFERROR(G6565*VLOOKUP($E6565,BD!$L$2:$Q$244,5,0),0)</f>
        <v>0</v>
      </c>
      <c r="J6565" s="3">
        <f t="shared" si="421"/>
        <v>1900</v>
      </c>
    </row>
    <row r="6566" spans="1:10" s="9" customFormat="1" x14ac:dyDescent="0.25">
      <c r="A6566" s="447"/>
      <c r="B6566" s="55" t="str">
        <f t="shared" si="418"/>
        <v>ENERO</v>
      </c>
      <c r="C6566" s="55">
        <f t="shared" si="419"/>
        <v>1</v>
      </c>
      <c r="D6566" s="3" t="str">
        <f t="shared" si="420"/>
        <v>SÁBADO</v>
      </c>
      <c r="E6566" s="427"/>
      <c r="F6566" s="31">
        <f>IFERROR(VLOOKUP(E6566,BD!$L$2:$Q$244,2,0),0)</f>
        <v>0</v>
      </c>
      <c r="G6566" s="424"/>
      <c r="H6566" s="31">
        <f>+IFERROR(VLOOKUP(E6566,BD!$L$2:$Q$244,6,0),0)</f>
        <v>0</v>
      </c>
      <c r="I6566" s="626">
        <f>IFERROR(G6566*VLOOKUP($E6566,BD!$L$2:$Q$244,5,0),0)</f>
        <v>0</v>
      </c>
      <c r="J6566" s="3">
        <f t="shared" si="421"/>
        <v>1900</v>
      </c>
    </row>
    <row r="6567" spans="1:10" s="9" customFormat="1" x14ac:dyDescent="0.25">
      <c r="A6567" s="447"/>
      <c r="B6567" s="55" t="str">
        <f t="shared" si="418"/>
        <v>ENERO</v>
      </c>
      <c r="C6567" s="55">
        <f t="shared" si="419"/>
        <v>1</v>
      </c>
      <c r="D6567" s="3" t="str">
        <f t="shared" si="420"/>
        <v>SÁBADO</v>
      </c>
      <c r="E6567" s="427"/>
      <c r="F6567" s="31">
        <f>IFERROR(VLOOKUP(E6567,BD!$L$2:$Q$244,2,0),0)</f>
        <v>0</v>
      </c>
      <c r="G6567" s="424"/>
      <c r="H6567" s="31">
        <f>+IFERROR(VLOOKUP(E6567,BD!$L$2:$Q$244,6,0),0)</f>
        <v>0</v>
      </c>
      <c r="I6567" s="626">
        <f>IFERROR(G6567*VLOOKUP($E6567,BD!$L$2:$Q$244,5,0),0)</f>
        <v>0</v>
      </c>
      <c r="J6567" s="3">
        <f t="shared" si="421"/>
        <v>1900</v>
      </c>
    </row>
    <row r="6568" spans="1:10" s="9" customFormat="1" x14ac:dyDescent="0.25">
      <c r="A6568" s="447"/>
      <c r="B6568" s="55" t="str">
        <f t="shared" si="418"/>
        <v>ENERO</v>
      </c>
      <c r="C6568" s="55">
        <f t="shared" si="419"/>
        <v>1</v>
      </c>
      <c r="D6568" s="3" t="str">
        <f t="shared" si="420"/>
        <v>SÁBADO</v>
      </c>
      <c r="E6568" s="427"/>
      <c r="F6568" s="31">
        <f>IFERROR(VLOOKUP(E6568,BD!$L$2:$Q$244,2,0),0)</f>
        <v>0</v>
      </c>
      <c r="G6568" s="424"/>
      <c r="H6568" s="31">
        <f>+IFERROR(VLOOKUP(E6568,BD!$L$2:$Q$244,6,0),0)</f>
        <v>0</v>
      </c>
      <c r="I6568" s="626">
        <f>IFERROR(G6568*VLOOKUP($E6568,BD!$L$2:$Q$244,5,0),0)</f>
        <v>0</v>
      </c>
      <c r="J6568" s="3">
        <f t="shared" si="421"/>
        <v>1900</v>
      </c>
    </row>
    <row r="6569" spans="1:10" s="9" customFormat="1" x14ac:dyDescent="0.25">
      <c r="A6569" s="447"/>
      <c r="B6569" s="55" t="str">
        <f t="shared" si="418"/>
        <v>ENERO</v>
      </c>
      <c r="C6569" s="55">
        <f t="shared" si="419"/>
        <v>1</v>
      </c>
      <c r="D6569" s="3" t="str">
        <f t="shared" si="420"/>
        <v>SÁBADO</v>
      </c>
      <c r="E6569" s="427"/>
      <c r="F6569" s="31">
        <f>IFERROR(VLOOKUP(E6569,BD!$L$2:$Q$244,2,0),0)</f>
        <v>0</v>
      </c>
      <c r="G6569" s="424"/>
      <c r="H6569" s="31">
        <f>+IFERROR(VLOOKUP(E6569,BD!$L$2:$Q$244,6,0),0)</f>
        <v>0</v>
      </c>
      <c r="I6569" s="626">
        <f>IFERROR(G6569*VLOOKUP($E6569,BD!$L$2:$Q$244,5,0),0)</f>
        <v>0</v>
      </c>
      <c r="J6569" s="3">
        <f t="shared" si="421"/>
        <v>1900</v>
      </c>
    </row>
    <row r="6570" spans="1:10" s="9" customFormat="1" x14ac:dyDescent="0.25">
      <c r="A6570" s="447"/>
      <c r="B6570" s="55" t="str">
        <f t="shared" si="418"/>
        <v>ENERO</v>
      </c>
      <c r="C6570" s="55">
        <f t="shared" si="419"/>
        <v>1</v>
      </c>
      <c r="D6570" s="3" t="str">
        <f t="shared" si="420"/>
        <v>SÁBADO</v>
      </c>
      <c r="E6570" s="427"/>
      <c r="F6570" s="31">
        <f>IFERROR(VLOOKUP(E6570,BD!$L$2:$Q$244,2,0),0)</f>
        <v>0</v>
      </c>
      <c r="G6570" s="424"/>
      <c r="H6570" s="31">
        <f>+IFERROR(VLOOKUP(E6570,BD!$L$2:$Q$244,6,0),0)</f>
        <v>0</v>
      </c>
      <c r="I6570" s="626">
        <f>IFERROR(G6570*VLOOKUP($E6570,BD!$L$2:$Q$244,5,0),0)</f>
        <v>0</v>
      </c>
      <c r="J6570" s="3">
        <f t="shared" si="421"/>
        <v>1900</v>
      </c>
    </row>
    <row r="6571" spans="1:10" s="9" customFormat="1" x14ac:dyDescent="0.25">
      <c r="A6571" s="447"/>
      <c r="B6571" s="55" t="str">
        <f t="shared" si="418"/>
        <v>ENERO</v>
      </c>
      <c r="C6571" s="55">
        <f t="shared" si="419"/>
        <v>1</v>
      </c>
      <c r="D6571" s="3" t="str">
        <f t="shared" si="420"/>
        <v>SÁBADO</v>
      </c>
      <c r="E6571" s="427"/>
      <c r="F6571" s="31">
        <f>IFERROR(VLOOKUP(E6571,BD!$L$2:$Q$244,2,0),0)</f>
        <v>0</v>
      </c>
      <c r="G6571" s="424"/>
      <c r="H6571" s="31">
        <f>+IFERROR(VLOOKUP(E6571,BD!$L$2:$Q$244,6,0),0)</f>
        <v>0</v>
      </c>
      <c r="I6571" s="626">
        <f>IFERROR(G6571*VLOOKUP($E6571,BD!$L$2:$Q$244,5,0),0)</f>
        <v>0</v>
      </c>
      <c r="J6571" s="3">
        <f t="shared" si="421"/>
        <v>1900</v>
      </c>
    </row>
    <row r="6572" spans="1:10" s="9" customFormat="1" x14ac:dyDescent="0.25">
      <c r="A6572" s="447"/>
      <c r="B6572" s="55" t="str">
        <f t="shared" si="418"/>
        <v>ENERO</v>
      </c>
      <c r="C6572" s="55">
        <f t="shared" si="419"/>
        <v>1</v>
      </c>
      <c r="D6572" s="3" t="str">
        <f t="shared" si="420"/>
        <v>SÁBADO</v>
      </c>
      <c r="E6572" s="427"/>
      <c r="F6572" s="31">
        <f>IFERROR(VLOOKUP(E6572,BD!$L$2:$Q$244,2,0),0)</f>
        <v>0</v>
      </c>
      <c r="G6572" s="424"/>
      <c r="H6572" s="31">
        <f>+IFERROR(VLOOKUP(E6572,BD!$L$2:$Q$244,6,0),0)</f>
        <v>0</v>
      </c>
      <c r="I6572" s="626">
        <f>IFERROR(G6572*VLOOKUP($E6572,BD!$L$2:$Q$244,5,0),0)</f>
        <v>0</v>
      </c>
      <c r="J6572" s="3">
        <f t="shared" si="421"/>
        <v>1900</v>
      </c>
    </row>
    <row r="6573" spans="1:10" s="9" customFormat="1" x14ac:dyDescent="0.25">
      <c r="A6573" s="447"/>
      <c r="B6573" s="55" t="str">
        <f t="shared" si="418"/>
        <v>ENERO</v>
      </c>
      <c r="C6573" s="55">
        <f t="shared" si="419"/>
        <v>1</v>
      </c>
      <c r="D6573" s="3" t="str">
        <f t="shared" si="420"/>
        <v>SÁBADO</v>
      </c>
      <c r="E6573" s="427"/>
      <c r="F6573" s="31">
        <f>IFERROR(VLOOKUP(E6573,BD!$L$2:$Q$244,2,0),0)</f>
        <v>0</v>
      </c>
      <c r="G6573" s="424"/>
      <c r="H6573" s="31">
        <f>+IFERROR(VLOOKUP(E6573,BD!$L$2:$Q$244,6,0),0)</f>
        <v>0</v>
      </c>
      <c r="I6573" s="626">
        <f>IFERROR(G6573*VLOOKUP($E6573,BD!$L$2:$Q$244,5,0),0)</f>
        <v>0</v>
      </c>
      <c r="J6573" s="3">
        <f t="shared" si="421"/>
        <v>1900</v>
      </c>
    </row>
    <row r="6574" spans="1:10" s="9" customFormat="1" x14ac:dyDescent="0.25">
      <c r="A6574" s="447"/>
      <c r="B6574" s="55" t="str">
        <f t="shared" si="418"/>
        <v>ENERO</v>
      </c>
      <c r="C6574" s="55">
        <f t="shared" si="419"/>
        <v>1</v>
      </c>
      <c r="D6574" s="3" t="str">
        <f t="shared" si="420"/>
        <v>SÁBADO</v>
      </c>
      <c r="E6574" s="427"/>
      <c r="F6574" s="31">
        <f>IFERROR(VLOOKUP(E6574,BD!$L$2:$Q$244,2,0),0)</f>
        <v>0</v>
      </c>
      <c r="G6574" s="424"/>
      <c r="H6574" s="31">
        <f>+IFERROR(VLOOKUP(E6574,BD!$L$2:$Q$244,6,0),0)</f>
        <v>0</v>
      </c>
      <c r="I6574" s="626">
        <f>IFERROR(G6574*VLOOKUP($E6574,BD!$L$2:$Q$244,5,0),0)</f>
        <v>0</v>
      </c>
      <c r="J6574" s="3">
        <f t="shared" si="421"/>
        <v>1900</v>
      </c>
    </row>
    <row r="6575" spans="1:10" s="9" customFormat="1" x14ac:dyDescent="0.25">
      <c r="A6575" s="447"/>
      <c r="B6575" s="55" t="str">
        <f t="shared" si="418"/>
        <v>ENERO</v>
      </c>
      <c r="C6575" s="55">
        <f t="shared" si="419"/>
        <v>1</v>
      </c>
      <c r="D6575" s="3" t="str">
        <f t="shared" si="420"/>
        <v>SÁBADO</v>
      </c>
      <c r="E6575" s="427"/>
      <c r="F6575" s="31">
        <f>IFERROR(VLOOKUP(E6575,BD!$L$2:$Q$244,2,0),0)</f>
        <v>0</v>
      </c>
      <c r="G6575" s="424"/>
      <c r="H6575" s="31">
        <f>+IFERROR(VLOOKUP(E6575,BD!$L$2:$Q$244,6,0),0)</f>
        <v>0</v>
      </c>
      <c r="I6575" s="626">
        <f>IFERROR(G6575*VLOOKUP($E6575,BD!$L$2:$Q$244,5,0),0)</f>
        <v>0</v>
      </c>
      <c r="J6575" s="3">
        <f t="shared" si="421"/>
        <v>1900</v>
      </c>
    </row>
    <row r="6576" spans="1:10" s="9" customFormat="1" x14ac:dyDescent="0.25">
      <c r="A6576" s="447"/>
      <c r="B6576" s="55" t="str">
        <f t="shared" si="418"/>
        <v>ENERO</v>
      </c>
      <c r="C6576" s="55">
        <f t="shared" si="419"/>
        <v>1</v>
      </c>
      <c r="D6576" s="3" t="str">
        <f t="shared" si="420"/>
        <v>SÁBADO</v>
      </c>
      <c r="E6576" s="427"/>
      <c r="F6576" s="31">
        <f>IFERROR(VLOOKUP(E6576,BD!$L$2:$Q$244,2,0),0)</f>
        <v>0</v>
      </c>
      <c r="G6576" s="424"/>
      <c r="H6576" s="31">
        <f>+IFERROR(VLOOKUP(E6576,BD!$L$2:$Q$244,6,0),0)</f>
        <v>0</v>
      </c>
      <c r="I6576" s="626">
        <f>IFERROR(G6576*VLOOKUP($E6576,BD!$L$2:$Q$244,5,0),0)</f>
        <v>0</v>
      </c>
      <c r="J6576" s="3">
        <f t="shared" si="421"/>
        <v>1900</v>
      </c>
    </row>
    <row r="6577" spans="1:10" s="9" customFormat="1" x14ac:dyDescent="0.25">
      <c r="A6577" s="447"/>
      <c r="B6577" s="55" t="str">
        <f t="shared" si="418"/>
        <v>ENERO</v>
      </c>
      <c r="C6577" s="55">
        <f t="shared" si="419"/>
        <v>1</v>
      </c>
      <c r="D6577" s="3" t="str">
        <f t="shared" si="420"/>
        <v>SÁBADO</v>
      </c>
      <c r="E6577" s="427"/>
      <c r="F6577" s="31">
        <f>IFERROR(VLOOKUP(E6577,BD!$L$2:$Q$244,2,0),0)</f>
        <v>0</v>
      </c>
      <c r="G6577" s="424"/>
      <c r="H6577" s="31">
        <f>+IFERROR(VLOOKUP(E6577,BD!$L$2:$Q$244,6,0),0)</f>
        <v>0</v>
      </c>
      <c r="I6577" s="626">
        <f>IFERROR(G6577*VLOOKUP($E6577,BD!$L$2:$Q$244,5,0),0)</f>
        <v>0</v>
      </c>
      <c r="J6577" s="3">
        <f t="shared" si="421"/>
        <v>1900</v>
      </c>
    </row>
    <row r="6578" spans="1:10" s="9" customFormat="1" x14ac:dyDescent="0.25">
      <c r="A6578" s="447"/>
      <c r="B6578" s="55" t="str">
        <f t="shared" si="418"/>
        <v>ENERO</v>
      </c>
      <c r="C6578" s="55">
        <f t="shared" si="419"/>
        <v>1</v>
      </c>
      <c r="D6578" s="3" t="str">
        <f t="shared" si="420"/>
        <v>SÁBADO</v>
      </c>
      <c r="E6578" s="427"/>
      <c r="F6578" s="31">
        <f>IFERROR(VLOOKUP(E6578,BD!$L$2:$Q$244,2,0),0)</f>
        <v>0</v>
      </c>
      <c r="G6578" s="424"/>
      <c r="H6578" s="31">
        <f>+IFERROR(VLOOKUP(E6578,BD!$L$2:$Q$244,6,0),0)</f>
        <v>0</v>
      </c>
      <c r="I6578" s="626">
        <f>IFERROR(G6578*VLOOKUP($E6578,BD!$L$2:$Q$244,5,0),0)</f>
        <v>0</v>
      </c>
      <c r="J6578" s="3">
        <f t="shared" si="421"/>
        <v>1900</v>
      </c>
    </row>
    <row r="6579" spans="1:10" s="9" customFormat="1" x14ac:dyDescent="0.25">
      <c r="A6579" s="447"/>
      <c r="B6579" s="55" t="str">
        <f t="shared" si="418"/>
        <v>ENERO</v>
      </c>
      <c r="C6579" s="55">
        <f t="shared" si="419"/>
        <v>1</v>
      </c>
      <c r="D6579" s="3" t="str">
        <f t="shared" si="420"/>
        <v>SÁBADO</v>
      </c>
      <c r="E6579" s="427"/>
      <c r="F6579" s="31">
        <f>IFERROR(VLOOKUP(E6579,BD!$L$2:$Q$244,2,0),0)</f>
        <v>0</v>
      </c>
      <c r="G6579" s="424"/>
      <c r="H6579" s="31">
        <f>+IFERROR(VLOOKUP(E6579,BD!$L$2:$Q$244,6,0),0)</f>
        <v>0</v>
      </c>
      <c r="I6579" s="626">
        <f>IFERROR(G6579*VLOOKUP($E6579,BD!$L$2:$Q$244,5,0),0)</f>
        <v>0</v>
      </c>
      <c r="J6579" s="3">
        <f t="shared" si="421"/>
        <v>1900</v>
      </c>
    </row>
    <row r="6580" spans="1:10" s="9" customFormat="1" x14ac:dyDescent="0.25">
      <c r="A6580" s="447"/>
      <c r="B6580" s="55" t="str">
        <f t="shared" si="418"/>
        <v>ENERO</v>
      </c>
      <c r="C6580" s="55">
        <f t="shared" si="419"/>
        <v>1</v>
      </c>
      <c r="D6580" s="3" t="str">
        <f t="shared" si="420"/>
        <v>SÁBADO</v>
      </c>
      <c r="E6580" s="427"/>
      <c r="F6580" s="31">
        <f>IFERROR(VLOOKUP(E6580,BD!$L$2:$Q$244,2,0),0)</f>
        <v>0</v>
      </c>
      <c r="G6580" s="424"/>
      <c r="H6580" s="31">
        <f>+IFERROR(VLOOKUP(E6580,BD!$L$2:$Q$244,6,0),0)</f>
        <v>0</v>
      </c>
      <c r="I6580" s="626">
        <f>IFERROR(G6580*VLOOKUP($E6580,BD!$L$2:$Q$244,5,0),0)</f>
        <v>0</v>
      </c>
      <c r="J6580" s="3">
        <f t="shared" si="421"/>
        <v>1900</v>
      </c>
    </row>
    <row r="6581" spans="1:10" s="9" customFormat="1" x14ac:dyDescent="0.25">
      <c r="A6581" s="447"/>
      <c r="B6581" s="55" t="str">
        <f t="shared" si="418"/>
        <v>ENERO</v>
      </c>
      <c r="C6581" s="55">
        <f t="shared" si="419"/>
        <v>1</v>
      </c>
      <c r="D6581" s="3" t="str">
        <f t="shared" si="420"/>
        <v>SÁBADO</v>
      </c>
      <c r="E6581" s="427"/>
      <c r="F6581" s="31">
        <f>IFERROR(VLOOKUP(E6581,BD!$L$2:$Q$244,2,0),0)</f>
        <v>0</v>
      </c>
      <c r="G6581" s="424"/>
      <c r="H6581" s="31">
        <f>+IFERROR(VLOOKUP(E6581,BD!$L$2:$Q$244,6,0),0)</f>
        <v>0</v>
      </c>
      <c r="I6581" s="626">
        <f>IFERROR(G6581*VLOOKUP($E6581,BD!$L$2:$Q$244,5,0),0)</f>
        <v>0</v>
      </c>
      <c r="J6581" s="3">
        <f t="shared" si="421"/>
        <v>1900</v>
      </c>
    </row>
    <row r="6582" spans="1:10" s="9" customFormat="1" x14ac:dyDescent="0.25">
      <c r="A6582" s="447"/>
      <c r="B6582" s="55" t="str">
        <f t="shared" si="418"/>
        <v>ENERO</v>
      </c>
      <c r="C6582" s="55">
        <f t="shared" si="419"/>
        <v>1</v>
      </c>
      <c r="D6582" s="3" t="str">
        <f t="shared" si="420"/>
        <v>SÁBADO</v>
      </c>
      <c r="E6582" s="427"/>
      <c r="F6582" s="31">
        <f>IFERROR(VLOOKUP(E6582,BD!$L$2:$Q$244,2,0),0)</f>
        <v>0</v>
      </c>
      <c r="G6582" s="424"/>
      <c r="H6582" s="31">
        <f>+IFERROR(VLOOKUP(E6582,BD!$L$2:$Q$244,6,0),0)</f>
        <v>0</v>
      </c>
      <c r="I6582" s="626">
        <f>IFERROR(G6582*VLOOKUP($E6582,BD!$L$2:$Q$244,5,0),0)</f>
        <v>0</v>
      </c>
      <c r="J6582" s="3">
        <f t="shared" si="421"/>
        <v>1900</v>
      </c>
    </row>
    <row r="6583" spans="1:10" s="9" customFormat="1" x14ac:dyDescent="0.25">
      <c r="A6583" s="447"/>
      <c r="B6583" s="55" t="str">
        <f t="shared" si="418"/>
        <v>ENERO</v>
      </c>
      <c r="C6583" s="55">
        <f t="shared" si="419"/>
        <v>1</v>
      </c>
      <c r="D6583" s="3" t="str">
        <f t="shared" si="420"/>
        <v>SÁBADO</v>
      </c>
      <c r="E6583" s="427"/>
      <c r="F6583" s="31">
        <f>IFERROR(VLOOKUP(E6583,BD!$L$2:$Q$244,2,0),0)</f>
        <v>0</v>
      </c>
      <c r="G6583" s="424"/>
      <c r="H6583" s="31">
        <f>+IFERROR(VLOOKUP(E6583,BD!$L$2:$Q$244,6,0),0)</f>
        <v>0</v>
      </c>
      <c r="I6583" s="626">
        <f>IFERROR(G6583*VLOOKUP($E6583,BD!$L$2:$Q$244,5,0),0)</f>
        <v>0</v>
      </c>
      <c r="J6583" s="3">
        <f t="shared" si="421"/>
        <v>1900</v>
      </c>
    </row>
    <row r="6584" spans="1:10" s="9" customFormat="1" x14ac:dyDescent="0.25">
      <c r="A6584" s="447"/>
      <c r="B6584" s="55" t="str">
        <f t="shared" si="418"/>
        <v>ENERO</v>
      </c>
      <c r="C6584" s="55">
        <f t="shared" si="419"/>
        <v>1</v>
      </c>
      <c r="D6584" s="3" t="str">
        <f t="shared" si="420"/>
        <v>SÁBADO</v>
      </c>
      <c r="E6584" s="427"/>
      <c r="F6584" s="31">
        <f>IFERROR(VLOOKUP(E6584,BD!$L$2:$Q$244,2,0),0)</f>
        <v>0</v>
      </c>
      <c r="G6584" s="424"/>
      <c r="H6584" s="31">
        <f>+IFERROR(VLOOKUP(E6584,BD!$L$2:$Q$244,6,0),0)</f>
        <v>0</v>
      </c>
      <c r="I6584" s="626">
        <f>IFERROR(G6584*VLOOKUP($E6584,BD!$L$2:$Q$244,5,0),0)</f>
        <v>0</v>
      </c>
      <c r="J6584" s="3">
        <f t="shared" si="421"/>
        <v>1900</v>
      </c>
    </row>
    <row r="6585" spans="1:10" s="9" customFormat="1" x14ac:dyDescent="0.25">
      <c r="A6585" s="447"/>
      <c r="B6585" s="55" t="str">
        <f t="shared" si="418"/>
        <v>ENERO</v>
      </c>
      <c r="C6585" s="55">
        <f t="shared" si="419"/>
        <v>1</v>
      </c>
      <c r="D6585" s="3" t="str">
        <f t="shared" si="420"/>
        <v>SÁBADO</v>
      </c>
      <c r="E6585" s="427"/>
      <c r="F6585" s="31">
        <f>IFERROR(VLOOKUP(E6585,BD!$L$2:$Q$244,2,0),0)</f>
        <v>0</v>
      </c>
      <c r="G6585" s="425"/>
      <c r="H6585" s="31">
        <f>+IFERROR(VLOOKUP(E6585,BD!$L$2:$Q$244,6,0),0)</f>
        <v>0</v>
      </c>
      <c r="I6585" s="626">
        <f>IFERROR(G6585*VLOOKUP($E6585,BD!$L$2:$Q$244,5,0),0)</f>
        <v>0</v>
      </c>
      <c r="J6585" s="3">
        <f t="shared" si="421"/>
        <v>1900</v>
      </c>
    </row>
    <row r="6586" spans="1:10" s="9" customFormat="1" x14ac:dyDescent="0.25">
      <c r="A6586" s="447"/>
      <c r="B6586" s="55" t="str">
        <f t="shared" si="418"/>
        <v>ENERO</v>
      </c>
      <c r="C6586" s="55">
        <f t="shared" si="419"/>
        <v>1</v>
      </c>
      <c r="D6586" s="3" t="str">
        <f t="shared" si="420"/>
        <v>SÁBADO</v>
      </c>
      <c r="E6586" s="427"/>
      <c r="F6586" s="31">
        <f>IFERROR(VLOOKUP(E6586,BD!$L$2:$Q$244,2,0),0)</f>
        <v>0</v>
      </c>
      <c r="G6586" s="424"/>
      <c r="H6586" s="31">
        <f>+IFERROR(VLOOKUP(E6586,BD!$L$2:$Q$244,6,0),0)</f>
        <v>0</v>
      </c>
      <c r="I6586" s="626">
        <f>IFERROR(G6586*VLOOKUP($E6586,BD!$L$2:$Q$244,5,0),0)</f>
        <v>0</v>
      </c>
      <c r="J6586" s="3">
        <f t="shared" si="421"/>
        <v>1900</v>
      </c>
    </row>
    <row r="6587" spans="1:10" s="9" customFormat="1" x14ac:dyDescent="0.25">
      <c r="A6587" s="447"/>
      <c r="B6587" s="55" t="str">
        <f t="shared" si="418"/>
        <v>ENERO</v>
      </c>
      <c r="C6587" s="55">
        <f t="shared" si="419"/>
        <v>1</v>
      </c>
      <c r="D6587" s="3" t="str">
        <f t="shared" si="420"/>
        <v>SÁBADO</v>
      </c>
      <c r="E6587" s="427"/>
      <c r="F6587" s="31">
        <f>IFERROR(VLOOKUP(E6587,BD!$L$2:$Q$244,2,0),0)</f>
        <v>0</v>
      </c>
      <c r="G6587" s="424"/>
      <c r="H6587" s="31">
        <f>+IFERROR(VLOOKUP(E6587,BD!$L$2:$Q$244,6,0),0)</f>
        <v>0</v>
      </c>
      <c r="I6587" s="626">
        <f>IFERROR(G6587*VLOOKUP($E6587,BD!$L$2:$Q$244,5,0),0)</f>
        <v>0</v>
      </c>
      <c r="J6587" s="3">
        <f t="shared" si="421"/>
        <v>1900</v>
      </c>
    </row>
    <row r="6588" spans="1:10" s="9" customFormat="1" x14ac:dyDescent="0.25">
      <c r="A6588" s="447"/>
      <c r="B6588" s="55" t="str">
        <f t="shared" si="418"/>
        <v>ENERO</v>
      </c>
      <c r="C6588" s="55">
        <f t="shared" si="419"/>
        <v>1</v>
      </c>
      <c r="D6588" s="3" t="str">
        <f t="shared" si="420"/>
        <v>SÁBADO</v>
      </c>
      <c r="E6588" s="427"/>
      <c r="F6588" s="31">
        <f>IFERROR(VLOOKUP(E6588,BD!$L$2:$Q$244,2,0),0)</f>
        <v>0</v>
      </c>
      <c r="G6588" s="424"/>
      <c r="H6588" s="31">
        <f>+IFERROR(VLOOKUP(E6588,BD!$L$2:$Q$244,6,0),0)</f>
        <v>0</v>
      </c>
      <c r="I6588" s="626">
        <f>IFERROR(G6588*VLOOKUP($E6588,BD!$L$2:$Q$244,5,0),0)</f>
        <v>0</v>
      </c>
      <c r="J6588" s="3">
        <f t="shared" si="421"/>
        <v>1900</v>
      </c>
    </row>
    <row r="6589" spans="1:10" s="9" customFormat="1" x14ac:dyDescent="0.25">
      <c r="A6589" s="447"/>
      <c r="B6589" s="55" t="str">
        <f t="shared" ref="B6589:B6652" si="422">UPPER(TEXT(A6589,"MMMM"))</f>
        <v>ENERO</v>
      </c>
      <c r="C6589" s="55">
        <f t="shared" ref="C6589:C6652" si="423">WEEKNUM(A6589,16)</f>
        <v>1</v>
      </c>
      <c r="D6589" s="3" t="str">
        <f t="shared" ref="D6589:D6652" si="424">UPPER(TEXT(A6589,"DDDD"))</f>
        <v>SÁBADO</v>
      </c>
      <c r="E6589" s="427"/>
      <c r="F6589" s="31">
        <f>IFERROR(VLOOKUP(E6589,BD!$L$2:$Q$244,2,0),0)</f>
        <v>0</v>
      </c>
      <c r="G6589" s="424"/>
      <c r="H6589" s="31">
        <f>+IFERROR(VLOOKUP(E6589,BD!$L$2:$Q$244,6,0),0)</f>
        <v>0</v>
      </c>
      <c r="I6589" s="626">
        <f>IFERROR(G6589*VLOOKUP($E6589,BD!$L$2:$Q$244,5,0),0)</f>
        <v>0</v>
      </c>
      <c r="J6589" s="3">
        <f t="shared" ref="J6589:J6652" si="425">+YEAR(A6589)</f>
        <v>1900</v>
      </c>
    </row>
    <row r="6590" spans="1:10" s="9" customFormat="1" x14ac:dyDescent="0.25">
      <c r="A6590" s="447"/>
      <c r="B6590" s="55" t="str">
        <f t="shared" si="422"/>
        <v>ENERO</v>
      </c>
      <c r="C6590" s="55">
        <f t="shared" si="423"/>
        <v>1</v>
      </c>
      <c r="D6590" s="3" t="str">
        <f t="shared" si="424"/>
        <v>SÁBADO</v>
      </c>
      <c r="E6590" s="427"/>
      <c r="F6590" s="31">
        <f>IFERROR(VLOOKUP(E6590,BD!$L$2:$Q$244,2,0),0)</f>
        <v>0</v>
      </c>
      <c r="G6590" s="424"/>
      <c r="H6590" s="31">
        <f>+IFERROR(VLOOKUP(E6590,BD!$L$2:$Q$244,6,0),0)</f>
        <v>0</v>
      </c>
      <c r="I6590" s="626">
        <f>IFERROR(G6590*VLOOKUP($E6590,BD!$L$2:$Q$244,5,0),0)</f>
        <v>0</v>
      </c>
      <c r="J6590" s="3">
        <f t="shared" si="425"/>
        <v>1900</v>
      </c>
    </row>
    <row r="6591" spans="1:10" s="9" customFormat="1" x14ac:dyDescent="0.25">
      <c r="A6591" s="447"/>
      <c r="B6591" s="55" t="str">
        <f t="shared" si="422"/>
        <v>ENERO</v>
      </c>
      <c r="C6591" s="55">
        <f t="shared" si="423"/>
        <v>1</v>
      </c>
      <c r="D6591" s="3" t="str">
        <f t="shared" si="424"/>
        <v>SÁBADO</v>
      </c>
      <c r="E6591" s="427"/>
      <c r="F6591" s="31">
        <f>IFERROR(VLOOKUP(E6591,BD!$L$2:$Q$244,2,0),0)</f>
        <v>0</v>
      </c>
      <c r="G6591" s="424"/>
      <c r="H6591" s="31">
        <f>+IFERROR(VLOOKUP(E6591,BD!$L$2:$Q$244,6,0),0)</f>
        <v>0</v>
      </c>
      <c r="I6591" s="626">
        <f>IFERROR(G6591*VLOOKUP($E6591,BD!$L$2:$Q$244,5,0),0)</f>
        <v>0</v>
      </c>
      <c r="J6591" s="3">
        <f t="shared" si="425"/>
        <v>1900</v>
      </c>
    </row>
    <row r="6592" spans="1:10" s="9" customFormat="1" x14ac:dyDescent="0.25">
      <c r="A6592" s="447"/>
      <c r="B6592" s="55" t="str">
        <f t="shared" si="422"/>
        <v>ENERO</v>
      </c>
      <c r="C6592" s="55">
        <f t="shared" si="423"/>
        <v>1</v>
      </c>
      <c r="D6592" s="3" t="str">
        <f t="shared" si="424"/>
        <v>SÁBADO</v>
      </c>
      <c r="E6592" s="427"/>
      <c r="F6592" s="31">
        <f>IFERROR(VLOOKUP(E6592,BD!$L$2:$Q$244,2,0),0)</f>
        <v>0</v>
      </c>
      <c r="G6592" s="424"/>
      <c r="H6592" s="31">
        <f>+IFERROR(VLOOKUP(E6592,BD!$L$2:$Q$244,6,0),0)</f>
        <v>0</v>
      </c>
      <c r="I6592" s="626">
        <f>IFERROR(G6592*VLOOKUP($E6592,BD!$L$2:$Q$244,5,0),0)</f>
        <v>0</v>
      </c>
      <c r="J6592" s="3">
        <f t="shared" si="425"/>
        <v>1900</v>
      </c>
    </row>
    <row r="6593" spans="1:10" s="9" customFormat="1" x14ac:dyDescent="0.25">
      <c r="A6593" s="447"/>
      <c r="B6593" s="55" t="str">
        <f t="shared" si="422"/>
        <v>ENERO</v>
      </c>
      <c r="C6593" s="55">
        <f t="shared" si="423"/>
        <v>1</v>
      </c>
      <c r="D6593" s="3" t="str">
        <f t="shared" si="424"/>
        <v>SÁBADO</v>
      </c>
      <c r="E6593" s="427"/>
      <c r="F6593" s="31">
        <f>IFERROR(VLOOKUP(E6593,BD!$L$2:$Q$244,2,0),0)</f>
        <v>0</v>
      </c>
      <c r="G6593" s="424"/>
      <c r="H6593" s="31">
        <f>+IFERROR(VLOOKUP(E6593,BD!$L$2:$Q$244,6,0),0)</f>
        <v>0</v>
      </c>
      <c r="I6593" s="626">
        <f>IFERROR(G6593*VLOOKUP($E6593,BD!$L$2:$Q$244,5,0),0)</f>
        <v>0</v>
      </c>
      <c r="J6593" s="3">
        <f t="shared" si="425"/>
        <v>1900</v>
      </c>
    </row>
    <row r="6594" spans="1:10" s="9" customFormat="1" x14ac:dyDescent="0.25">
      <c r="A6594" s="447"/>
      <c r="B6594" s="55" t="str">
        <f t="shared" si="422"/>
        <v>ENERO</v>
      </c>
      <c r="C6594" s="55">
        <f t="shared" si="423"/>
        <v>1</v>
      </c>
      <c r="D6594" s="3" t="str">
        <f t="shared" si="424"/>
        <v>SÁBADO</v>
      </c>
      <c r="E6594" s="427"/>
      <c r="F6594" s="31">
        <f>IFERROR(VLOOKUP(E6594,BD!$L$2:$Q$244,2,0),0)</f>
        <v>0</v>
      </c>
      <c r="G6594" s="424"/>
      <c r="H6594" s="31">
        <f>+IFERROR(VLOOKUP(E6594,BD!$L$2:$Q$244,6,0),0)</f>
        <v>0</v>
      </c>
      <c r="I6594" s="626">
        <f>IFERROR(G6594*VLOOKUP($E6594,BD!$L$2:$Q$244,5,0),0)</f>
        <v>0</v>
      </c>
      <c r="J6594" s="3">
        <f t="shared" si="425"/>
        <v>1900</v>
      </c>
    </row>
    <row r="6595" spans="1:10" s="9" customFormat="1" x14ac:dyDescent="0.25">
      <c r="A6595" s="447"/>
      <c r="B6595" s="55" t="str">
        <f t="shared" si="422"/>
        <v>ENERO</v>
      </c>
      <c r="C6595" s="55">
        <f t="shared" si="423"/>
        <v>1</v>
      </c>
      <c r="D6595" s="3" t="str">
        <f t="shared" si="424"/>
        <v>SÁBADO</v>
      </c>
      <c r="E6595" s="427"/>
      <c r="F6595" s="31">
        <f>IFERROR(VLOOKUP(E6595,BD!$L$2:$Q$244,2,0),0)</f>
        <v>0</v>
      </c>
      <c r="G6595" s="425"/>
      <c r="H6595" s="31">
        <f>+IFERROR(VLOOKUP(E6595,BD!$L$2:$Q$244,6,0),0)</f>
        <v>0</v>
      </c>
      <c r="I6595" s="626">
        <f>IFERROR(G6595*VLOOKUP($E6595,BD!$L$2:$Q$244,5,0),0)</f>
        <v>0</v>
      </c>
      <c r="J6595" s="3">
        <f t="shared" si="425"/>
        <v>1900</v>
      </c>
    </row>
    <row r="6596" spans="1:10" s="9" customFormat="1" x14ac:dyDescent="0.25">
      <c r="A6596" s="447"/>
      <c r="B6596" s="55" t="str">
        <f t="shared" si="422"/>
        <v>ENERO</v>
      </c>
      <c r="C6596" s="55">
        <f t="shared" si="423"/>
        <v>1</v>
      </c>
      <c r="D6596" s="3" t="str">
        <f t="shared" si="424"/>
        <v>SÁBADO</v>
      </c>
      <c r="E6596" s="427"/>
      <c r="F6596" s="31">
        <f>IFERROR(VLOOKUP(E6596,BD!$L$2:$Q$244,2,0),0)</f>
        <v>0</v>
      </c>
      <c r="G6596" s="424"/>
      <c r="H6596" s="31">
        <f>+IFERROR(VLOOKUP(E6596,BD!$L$2:$Q$244,6,0),0)</f>
        <v>0</v>
      </c>
      <c r="I6596" s="626">
        <f>IFERROR(G6596*VLOOKUP($E6596,BD!$L$2:$Q$244,5,0),0)</f>
        <v>0</v>
      </c>
      <c r="J6596" s="3">
        <f t="shared" si="425"/>
        <v>1900</v>
      </c>
    </row>
    <row r="6597" spans="1:10" s="9" customFormat="1" x14ac:dyDescent="0.25">
      <c r="A6597" s="447"/>
      <c r="B6597" s="55" t="str">
        <f t="shared" si="422"/>
        <v>ENERO</v>
      </c>
      <c r="C6597" s="55">
        <f t="shared" si="423"/>
        <v>1</v>
      </c>
      <c r="D6597" s="3" t="str">
        <f t="shared" si="424"/>
        <v>SÁBADO</v>
      </c>
      <c r="E6597" s="427"/>
      <c r="F6597" s="31">
        <f>IFERROR(VLOOKUP(E6597,BD!$L$2:$Q$244,2,0),0)</f>
        <v>0</v>
      </c>
      <c r="G6597" s="424"/>
      <c r="H6597" s="31">
        <f>+IFERROR(VLOOKUP(E6597,BD!$L$2:$Q$244,6,0),0)</f>
        <v>0</v>
      </c>
      <c r="I6597" s="626">
        <f>IFERROR(G6597*VLOOKUP($E6597,BD!$L$2:$Q$244,5,0),0)</f>
        <v>0</v>
      </c>
      <c r="J6597" s="3">
        <f t="shared" si="425"/>
        <v>1900</v>
      </c>
    </row>
    <row r="6598" spans="1:10" s="9" customFormat="1" x14ac:dyDescent="0.25">
      <c r="A6598" s="447"/>
      <c r="B6598" s="55" t="str">
        <f t="shared" si="422"/>
        <v>ENERO</v>
      </c>
      <c r="C6598" s="55">
        <f t="shared" si="423"/>
        <v>1</v>
      </c>
      <c r="D6598" s="3" t="str">
        <f t="shared" si="424"/>
        <v>SÁBADO</v>
      </c>
      <c r="E6598" s="427"/>
      <c r="F6598" s="31">
        <f>IFERROR(VLOOKUP(E6598,BD!$L$2:$Q$244,2,0),0)</f>
        <v>0</v>
      </c>
      <c r="G6598" s="424"/>
      <c r="H6598" s="31">
        <f>+IFERROR(VLOOKUP(E6598,BD!$L$2:$Q$244,6,0),0)</f>
        <v>0</v>
      </c>
      <c r="I6598" s="626">
        <f>IFERROR(G6598*VLOOKUP($E6598,BD!$L$2:$Q$244,5,0),0)</f>
        <v>0</v>
      </c>
      <c r="J6598" s="3">
        <f t="shared" si="425"/>
        <v>1900</v>
      </c>
    </row>
    <row r="6599" spans="1:10" s="9" customFormat="1" x14ac:dyDescent="0.25">
      <c r="A6599" s="447"/>
      <c r="B6599" s="55" t="str">
        <f t="shared" si="422"/>
        <v>ENERO</v>
      </c>
      <c r="C6599" s="55">
        <f t="shared" si="423"/>
        <v>1</v>
      </c>
      <c r="D6599" s="3" t="str">
        <f t="shared" si="424"/>
        <v>SÁBADO</v>
      </c>
      <c r="E6599" s="427"/>
      <c r="F6599" s="31">
        <f>IFERROR(VLOOKUP(E6599,BD!$L$2:$Q$244,2,0),0)</f>
        <v>0</v>
      </c>
      <c r="G6599" s="424"/>
      <c r="H6599" s="31">
        <f>+IFERROR(VLOOKUP(E6599,BD!$L$2:$Q$244,6,0),0)</f>
        <v>0</v>
      </c>
      <c r="I6599" s="626">
        <f>IFERROR(G6599*VLOOKUP($E6599,BD!$L$2:$Q$244,5,0),0)</f>
        <v>0</v>
      </c>
      <c r="J6599" s="3">
        <f t="shared" si="425"/>
        <v>1900</v>
      </c>
    </row>
    <row r="6600" spans="1:10" s="9" customFormat="1" x14ac:dyDescent="0.25">
      <c r="A6600" s="447"/>
      <c r="B6600" s="55" t="str">
        <f t="shared" si="422"/>
        <v>ENERO</v>
      </c>
      <c r="C6600" s="55">
        <f t="shared" si="423"/>
        <v>1</v>
      </c>
      <c r="D6600" s="3" t="str">
        <f t="shared" si="424"/>
        <v>SÁBADO</v>
      </c>
      <c r="E6600" s="427"/>
      <c r="F6600" s="31">
        <f>IFERROR(VLOOKUP(E6600,BD!$L$2:$Q$244,2,0),0)</f>
        <v>0</v>
      </c>
      <c r="G6600" s="424"/>
      <c r="H6600" s="31">
        <f>+IFERROR(VLOOKUP(E6600,BD!$L$2:$Q$244,6,0),0)</f>
        <v>0</v>
      </c>
      <c r="I6600" s="626">
        <f>IFERROR(G6600*VLOOKUP($E6600,BD!$L$2:$Q$244,5,0),0)</f>
        <v>0</v>
      </c>
      <c r="J6600" s="3">
        <f t="shared" si="425"/>
        <v>1900</v>
      </c>
    </row>
    <row r="6601" spans="1:10" s="9" customFormat="1" x14ac:dyDescent="0.25">
      <c r="A6601" s="447"/>
      <c r="B6601" s="55" t="str">
        <f t="shared" si="422"/>
        <v>ENERO</v>
      </c>
      <c r="C6601" s="55">
        <f t="shared" si="423"/>
        <v>1</v>
      </c>
      <c r="D6601" s="3" t="str">
        <f t="shared" si="424"/>
        <v>SÁBADO</v>
      </c>
      <c r="E6601" s="427"/>
      <c r="F6601" s="31">
        <f>IFERROR(VLOOKUP(E6601,BD!$L$2:$Q$244,2,0),0)</f>
        <v>0</v>
      </c>
      <c r="G6601" s="424"/>
      <c r="H6601" s="31">
        <f>+IFERROR(VLOOKUP(E6601,BD!$L$2:$Q$244,6,0),0)</f>
        <v>0</v>
      </c>
      <c r="I6601" s="626">
        <f>IFERROR(G6601*VLOOKUP($E6601,BD!$L$2:$Q$244,5,0),0)</f>
        <v>0</v>
      </c>
      <c r="J6601" s="3">
        <f t="shared" si="425"/>
        <v>1900</v>
      </c>
    </row>
    <row r="6602" spans="1:10" s="9" customFormat="1" x14ac:dyDescent="0.25">
      <c r="A6602" s="447"/>
      <c r="B6602" s="55" t="str">
        <f t="shared" si="422"/>
        <v>ENERO</v>
      </c>
      <c r="C6602" s="55">
        <f t="shared" si="423"/>
        <v>1</v>
      </c>
      <c r="D6602" s="3" t="str">
        <f t="shared" si="424"/>
        <v>SÁBADO</v>
      </c>
      <c r="E6602" s="427"/>
      <c r="F6602" s="31">
        <f>IFERROR(VLOOKUP(E6602,BD!$L$2:$Q$244,2,0),0)</f>
        <v>0</v>
      </c>
      <c r="G6602" s="424"/>
      <c r="H6602" s="31">
        <f>+IFERROR(VLOOKUP(E6602,BD!$L$2:$Q$244,6,0),0)</f>
        <v>0</v>
      </c>
      <c r="I6602" s="626">
        <f>IFERROR(G6602*VLOOKUP($E6602,BD!$L$2:$Q$244,5,0),0)</f>
        <v>0</v>
      </c>
      <c r="J6602" s="3">
        <f t="shared" si="425"/>
        <v>1900</v>
      </c>
    </row>
    <row r="6603" spans="1:10" s="9" customFormat="1" x14ac:dyDescent="0.25">
      <c r="A6603" s="447"/>
      <c r="B6603" s="55" t="str">
        <f t="shared" si="422"/>
        <v>ENERO</v>
      </c>
      <c r="C6603" s="55">
        <f t="shared" si="423"/>
        <v>1</v>
      </c>
      <c r="D6603" s="3" t="str">
        <f t="shared" si="424"/>
        <v>SÁBADO</v>
      </c>
      <c r="E6603" s="427"/>
      <c r="F6603" s="31">
        <f>IFERROR(VLOOKUP(E6603,BD!$L$2:$Q$244,2,0),0)</f>
        <v>0</v>
      </c>
      <c r="G6603" s="424"/>
      <c r="H6603" s="31">
        <f>+IFERROR(VLOOKUP(E6603,BD!$L$2:$Q$244,6,0),0)</f>
        <v>0</v>
      </c>
      <c r="I6603" s="626">
        <f>IFERROR(G6603*VLOOKUP($E6603,BD!$L$2:$Q$244,5,0),0)</f>
        <v>0</v>
      </c>
      <c r="J6603" s="3">
        <f t="shared" si="425"/>
        <v>1900</v>
      </c>
    </row>
    <row r="6604" spans="1:10" s="9" customFormat="1" x14ac:dyDescent="0.25">
      <c r="A6604" s="447"/>
      <c r="B6604" s="55" t="str">
        <f t="shared" si="422"/>
        <v>ENERO</v>
      </c>
      <c r="C6604" s="55">
        <f t="shared" si="423"/>
        <v>1</v>
      </c>
      <c r="D6604" s="3" t="str">
        <f t="shared" si="424"/>
        <v>SÁBADO</v>
      </c>
      <c r="E6604" s="427"/>
      <c r="F6604" s="31">
        <f>IFERROR(VLOOKUP(E6604,BD!$L$2:$Q$244,2,0),0)</f>
        <v>0</v>
      </c>
      <c r="G6604" s="424"/>
      <c r="H6604" s="31">
        <f>+IFERROR(VLOOKUP(E6604,BD!$L$2:$Q$244,6,0),0)</f>
        <v>0</v>
      </c>
      <c r="I6604" s="626">
        <f>IFERROR(G6604*VLOOKUP($E6604,BD!$L$2:$Q$244,5,0),0)</f>
        <v>0</v>
      </c>
      <c r="J6604" s="3">
        <f t="shared" si="425"/>
        <v>1900</v>
      </c>
    </row>
    <row r="6605" spans="1:10" s="9" customFormat="1" x14ac:dyDescent="0.25">
      <c r="A6605" s="447"/>
      <c r="B6605" s="55" t="str">
        <f t="shared" si="422"/>
        <v>ENERO</v>
      </c>
      <c r="C6605" s="55">
        <f t="shared" si="423"/>
        <v>1</v>
      </c>
      <c r="D6605" s="3" t="str">
        <f t="shared" si="424"/>
        <v>SÁBADO</v>
      </c>
      <c r="E6605" s="427"/>
      <c r="F6605" s="31">
        <f>IFERROR(VLOOKUP(E6605,BD!$L$2:$Q$244,2,0),0)</f>
        <v>0</v>
      </c>
      <c r="G6605" s="424"/>
      <c r="H6605" s="31">
        <f>+IFERROR(VLOOKUP(E6605,BD!$L$2:$Q$244,6,0),0)</f>
        <v>0</v>
      </c>
      <c r="I6605" s="626">
        <f>IFERROR(G6605*VLOOKUP($E6605,BD!$L$2:$Q$244,5,0),0)</f>
        <v>0</v>
      </c>
      <c r="J6605" s="3">
        <f t="shared" si="425"/>
        <v>1900</v>
      </c>
    </row>
    <row r="6606" spans="1:10" s="9" customFormat="1" x14ac:dyDescent="0.25">
      <c r="A6606" s="447"/>
      <c r="B6606" s="55" t="str">
        <f t="shared" si="422"/>
        <v>ENERO</v>
      </c>
      <c r="C6606" s="55">
        <f t="shared" si="423"/>
        <v>1</v>
      </c>
      <c r="D6606" s="3" t="str">
        <f t="shared" si="424"/>
        <v>SÁBADO</v>
      </c>
      <c r="E6606" s="427"/>
      <c r="F6606" s="31">
        <f>IFERROR(VLOOKUP(E6606,BD!$L$2:$Q$244,2,0),0)</f>
        <v>0</v>
      </c>
      <c r="G6606" s="424"/>
      <c r="H6606" s="31">
        <f>+IFERROR(VLOOKUP(E6606,BD!$L$2:$Q$244,6,0),0)</f>
        <v>0</v>
      </c>
      <c r="I6606" s="626">
        <f>IFERROR(G6606*VLOOKUP($E6606,BD!$L$2:$Q$244,5,0),0)</f>
        <v>0</v>
      </c>
      <c r="J6606" s="3">
        <f t="shared" si="425"/>
        <v>1900</v>
      </c>
    </row>
    <row r="6607" spans="1:10" s="9" customFormat="1" x14ac:dyDescent="0.25">
      <c r="A6607" s="447"/>
      <c r="B6607" s="55" t="str">
        <f t="shared" si="422"/>
        <v>ENERO</v>
      </c>
      <c r="C6607" s="55">
        <f t="shared" si="423"/>
        <v>1</v>
      </c>
      <c r="D6607" s="3" t="str">
        <f t="shared" si="424"/>
        <v>SÁBADO</v>
      </c>
      <c r="E6607" s="427"/>
      <c r="F6607" s="31">
        <f>IFERROR(VLOOKUP(E6607,BD!$L$2:$Q$244,2,0),0)</f>
        <v>0</v>
      </c>
      <c r="G6607" s="424"/>
      <c r="H6607" s="31">
        <f>+IFERROR(VLOOKUP(E6607,BD!$L$2:$Q$244,6,0),0)</f>
        <v>0</v>
      </c>
      <c r="I6607" s="626">
        <f>IFERROR(G6607*VLOOKUP($E6607,BD!$L$2:$Q$244,5,0),0)</f>
        <v>0</v>
      </c>
      <c r="J6607" s="3">
        <f t="shared" si="425"/>
        <v>1900</v>
      </c>
    </row>
    <row r="6608" spans="1:10" s="9" customFormat="1" x14ac:dyDescent="0.25">
      <c r="A6608" s="447"/>
      <c r="B6608" s="55" t="str">
        <f t="shared" si="422"/>
        <v>ENERO</v>
      </c>
      <c r="C6608" s="55">
        <f t="shared" si="423"/>
        <v>1</v>
      </c>
      <c r="D6608" s="3" t="str">
        <f t="shared" si="424"/>
        <v>SÁBADO</v>
      </c>
      <c r="E6608" s="427"/>
      <c r="F6608" s="31">
        <f>IFERROR(VLOOKUP(E6608,BD!$L$2:$Q$244,2,0),0)</f>
        <v>0</v>
      </c>
      <c r="G6608" s="424"/>
      <c r="H6608" s="31">
        <f>+IFERROR(VLOOKUP(E6608,BD!$L$2:$Q$244,6,0),0)</f>
        <v>0</v>
      </c>
      <c r="I6608" s="626">
        <f>IFERROR(G6608*VLOOKUP($E6608,BD!$L$2:$Q$244,5,0),0)</f>
        <v>0</v>
      </c>
      <c r="J6608" s="3">
        <f t="shared" si="425"/>
        <v>1900</v>
      </c>
    </row>
    <row r="6609" spans="1:10" s="9" customFormat="1" x14ac:dyDescent="0.25">
      <c r="A6609" s="447"/>
      <c r="B6609" s="55" t="str">
        <f t="shared" si="422"/>
        <v>ENERO</v>
      </c>
      <c r="C6609" s="55">
        <f t="shared" si="423"/>
        <v>1</v>
      </c>
      <c r="D6609" s="3" t="str">
        <f t="shared" si="424"/>
        <v>SÁBADO</v>
      </c>
      <c r="E6609" s="427"/>
      <c r="F6609" s="31">
        <f>IFERROR(VLOOKUP(E6609,BD!$L$2:$Q$244,2,0),0)</f>
        <v>0</v>
      </c>
      <c r="G6609" s="424"/>
      <c r="H6609" s="31">
        <f>+IFERROR(VLOOKUP(E6609,BD!$L$2:$Q$244,6,0),0)</f>
        <v>0</v>
      </c>
      <c r="I6609" s="626">
        <f>IFERROR(G6609*VLOOKUP($E6609,BD!$L$2:$Q$244,5,0),0)</f>
        <v>0</v>
      </c>
      <c r="J6609" s="3">
        <f t="shared" si="425"/>
        <v>1900</v>
      </c>
    </row>
    <row r="6610" spans="1:10" s="9" customFormat="1" x14ac:dyDescent="0.25">
      <c r="A6610" s="447"/>
      <c r="B6610" s="55" t="str">
        <f t="shared" si="422"/>
        <v>ENERO</v>
      </c>
      <c r="C6610" s="55">
        <f t="shared" si="423"/>
        <v>1</v>
      </c>
      <c r="D6610" s="3" t="str">
        <f t="shared" si="424"/>
        <v>SÁBADO</v>
      </c>
      <c r="E6610" s="427"/>
      <c r="F6610" s="31">
        <f>IFERROR(VLOOKUP(E6610,BD!$L$2:$Q$244,2,0),0)</f>
        <v>0</v>
      </c>
      <c r="G6610" s="424"/>
      <c r="H6610" s="31">
        <f>+IFERROR(VLOOKUP(E6610,BD!$L$2:$Q$244,6,0),0)</f>
        <v>0</v>
      </c>
      <c r="I6610" s="626">
        <f>IFERROR(G6610*VLOOKUP($E6610,BD!$L$2:$Q$244,5,0),0)</f>
        <v>0</v>
      </c>
      <c r="J6610" s="3">
        <f t="shared" si="425"/>
        <v>1900</v>
      </c>
    </row>
    <row r="6611" spans="1:10" s="9" customFormat="1" x14ac:dyDescent="0.25">
      <c r="A6611" s="447"/>
      <c r="B6611" s="55" t="str">
        <f t="shared" si="422"/>
        <v>ENERO</v>
      </c>
      <c r="C6611" s="55">
        <f t="shared" si="423"/>
        <v>1</v>
      </c>
      <c r="D6611" s="3" t="str">
        <f t="shared" si="424"/>
        <v>SÁBADO</v>
      </c>
      <c r="E6611" s="427"/>
      <c r="F6611" s="31">
        <f>IFERROR(VLOOKUP(E6611,BD!$L$2:$Q$244,2,0),0)</f>
        <v>0</v>
      </c>
      <c r="G6611" s="424"/>
      <c r="H6611" s="31">
        <f>+IFERROR(VLOOKUP(E6611,BD!$L$2:$Q$244,6,0),0)</f>
        <v>0</v>
      </c>
      <c r="I6611" s="626">
        <f>IFERROR(G6611*VLOOKUP($E6611,BD!$L$2:$Q$244,5,0),0)</f>
        <v>0</v>
      </c>
      <c r="J6611" s="3">
        <f t="shared" si="425"/>
        <v>1900</v>
      </c>
    </row>
    <row r="6612" spans="1:10" s="9" customFormat="1" x14ac:dyDescent="0.25">
      <c r="A6612" s="447"/>
      <c r="B6612" s="55" t="str">
        <f t="shared" si="422"/>
        <v>ENERO</v>
      </c>
      <c r="C6612" s="55">
        <f t="shared" si="423"/>
        <v>1</v>
      </c>
      <c r="D6612" s="3" t="str">
        <f t="shared" si="424"/>
        <v>SÁBADO</v>
      </c>
      <c r="E6612" s="427"/>
      <c r="F6612" s="31">
        <f>IFERROR(VLOOKUP(E6612,BD!$L$2:$Q$244,2,0),0)</f>
        <v>0</v>
      </c>
      <c r="G6612" s="424"/>
      <c r="H6612" s="31">
        <f>+IFERROR(VLOOKUP(E6612,BD!$L$2:$Q$244,6,0),0)</f>
        <v>0</v>
      </c>
      <c r="I6612" s="626">
        <f>IFERROR(G6612*VLOOKUP($E6612,BD!$L$2:$Q$244,5,0),0)</f>
        <v>0</v>
      </c>
      <c r="J6612" s="3">
        <f t="shared" si="425"/>
        <v>1900</v>
      </c>
    </row>
    <row r="6613" spans="1:10" s="9" customFormat="1" x14ac:dyDescent="0.25">
      <c r="A6613" s="447"/>
      <c r="B6613" s="55" t="str">
        <f t="shared" si="422"/>
        <v>ENERO</v>
      </c>
      <c r="C6613" s="55">
        <f t="shared" si="423"/>
        <v>1</v>
      </c>
      <c r="D6613" s="3" t="str">
        <f t="shared" si="424"/>
        <v>SÁBADO</v>
      </c>
      <c r="E6613" s="427"/>
      <c r="F6613" s="31">
        <f>IFERROR(VLOOKUP(E6613,BD!$L$2:$Q$244,2,0),0)</f>
        <v>0</v>
      </c>
      <c r="G6613" s="424"/>
      <c r="H6613" s="31">
        <f>+IFERROR(VLOOKUP(E6613,BD!$L$2:$Q$244,6,0),0)</f>
        <v>0</v>
      </c>
      <c r="I6613" s="626">
        <f>IFERROR(G6613*VLOOKUP($E6613,BD!$L$2:$Q$244,5,0),0)</f>
        <v>0</v>
      </c>
      <c r="J6613" s="3">
        <f t="shared" si="425"/>
        <v>1900</v>
      </c>
    </row>
    <row r="6614" spans="1:10" s="9" customFormat="1" x14ac:dyDescent="0.25">
      <c r="A6614" s="447"/>
      <c r="B6614" s="55" t="str">
        <f t="shared" si="422"/>
        <v>ENERO</v>
      </c>
      <c r="C6614" s="55">
        <f t="shared" si="423"/>
        <v>1</v>
      </c>
      <c r="D6614" s="3" t="str">
        <f t="shared" si="424"/>
        <v>SÁBADO</v>
      </c>
      <c r="E6614" s="427"/>
      <c r="F6614" s="31">
        <f>IFERROR(VLOOKUP(E6614,BD!$L$2:$Q$244,2,0),0)</f>
        <v>0</v>
      </c>
      <c r="G6614" s="424"/>
      <c r="H6614" s="31">
        <f>+IFERROR(VLOOKUP(E6614,BD!$L$2:$Q$244,6,0),0)</f>
        <v>0</v>
      </c>
      <c r="I6614" s="626">
        <f>IFERROR(G6614*VLOOKUP($E6614,BD!$L$2:$Q$244,5,0),0)</f>
        <v>0</v>
      </c>
      <c r="J6614" s="3">
        <f t="shared" si="425"/>
        <v>1900</v>
      </c>
    </row>
    <row r="6615" spans="1:10" s="9" customFormat="1" x14ac:dyDescent="0.25">
      <c r="A6615" s="447"/>
      <c r="B6615" s="55" t="str">
        <f t="shared" si="422"/>
        <v>ENERO</v>
      </c>
      <c r="C6615" s="55">
        <f t="shared" si="423"/>
        <v>1</v>
      </c>
      <c r="D6615" s="3" t="str">
        <f t="shared" si="424"/>
        <v>SÁBADO</v>
      </c>
      <c r="E6615" s="427"/>
      <c r="F6615" s="31">
        <f>IFERROR(VLOOKUP(E6615,BD!$L$2:$Q$244,2,0),0)</f>
        <v>0</v>
      </c>
      <c r="G6615" s="424"/>
      <c r="H6615" s="31">
        <f>+IFERROR(VLOOKUP(E6615,BD!$L$2:$Q$244,6,0),0)</f>
        <v>0</v>
      </c>
      <c r="I6615" s="626">
        <f>IFERROR(G6615*VLOOKUP($E6615,BD!$L$2:$Q$244,5,0),0)</f>
        <v>0</v>
      </c>
      <c r="J6615" s="3">
        <f t="shared" si="425"/>
        <v>1900</v>
      </c>
    </row>
    <row r="6616" spans="1:10" s="9" customFormat="1" x14ac:dyDescent="0.25">
      <c r="A6616" s="447"/>
      <c r="B6616" s="55" t="str">
        <f t="shared" si="422"/>
        <v>ENERO</v>
      </c>
      <c r="C6616" s="55">
        <f t="shared" si="423"/>
        <v>1</v>
      </c>
      <c r="D6616" s="3" t="str">
        <f t="shared" si="424"/>
        <v>SÁBADO</v>
      </c>
      <c r="E6616" s="427"/>
      <c r="F6616" s="31">
        <f>IFERROR(VLOOKUP(E6616,BD!$L$2:$Q$244,2,0),0)</f>
        <v>0</v>
      </c>
      <c r="G6616" s="424"/>
      <c r="H6616" s="31">
        <f>+IFERROR(VLOOKUP(E6616,BD!$L$2:$Q$244,6,0),0)</f>
        <v>0</v>
      </c>
      <c r="I6616" s="626">
        <f>IFERROR(G6616*VLOOKUP($E6616,BD!$L$2:$Q$244,5,0),0)</f>
        <v>0</v>
      </c>
      <c r="J6616" s="3">
        <f t="shared" si="425"/>
        <v>1900</v>
      </c>
    </row>
    <row r="6617" spans="1:10" s="9" customFormat="1" x14ac:dyDescent="0.25">
      <c r="A6617" s="447"/>
      <c r="B6617" s="55" t="str">
        <f t="shared" si="422"/>
        <v>ENERO</v>
      </c>
      <c r="C6617" s="55">
        <f t="shared" si="423"/>
        <v>1</v>
      </c>
      <c r="D6617" s="3" t="str">
        <f t="shared" si="424"/>
        <v>SÁBADO</v>
      </c>
      <c r="E6617" s="427"/>
      <c r="F6617" s="31">
        <f>IFERROR(VLOOKUP(E6617,BD!$L$2:$Q$244,2,0),0)</f>
        <v>0</v>
      </c>
      <c r="G6617" s="424"/>
      <c r="H6617" s="31">
        <f>+IFERROR(VLOOKUP(E6617,BD!$L$2:$Q$244,6,0),0)</f>
        <v>0</v>
      </c>
      <c r="I6617" s="626">
        <f>IFERROR(G6617*VLOOKUP($E6617,BD!$L$2:$Q$244,5,0),0)</f>
        <v>0</v>
      </c>
      <c r="J6617" s="3">
        <f t="shared" si="425"/>
        <v>1900</v>
      </c>
    </row>
    <row r="6618" spans="1:10" s="9" customFormat="1" x14ac:dyDescent="0.25">
      <c r="A6618" s="447"/>
      <c r="B6618" s="55" t="str">
        <f t="shared" si="422"/>
        <v>ENERO</v>
      </c>
      <c r="C6618" s="55">
        <f t="shared" si="423"/>
        <v>1</v>
      </c>
      <c r="D6618" s="3" t="str">
        <f t="shared" si="424"/>
        <v>SÁBADO</v>
      </c>
      <c r="E6618" s="427"/>
      <c r="F6618" s="31">
        <f>IFERROR(VLOOKUP(E6618,BD!$L$2:$Q$244,2,0),0)</f>
        <v>0</v>
      </c>
      <c r="G6618" s="424"/>
      <c r="H6618" s="31">
        <f>+IFERROR(VLOOKUP(E6618,BD!$L$2:$Q$244,6,0),0)</f>
        <v>0</v>
      </c>
      <c r="I6618" s="626">
        <f>IFERROR(G6618*VLOOKUP($E6618,BD!$L$2:$Q$244,5,0),0)</f>
        <v>0</v>
      </c>
      <c r="J6618" s="3">
        <f t="shared" si="425"/>
        <v>1900</v>
      </c>
    </row>
    <row r="6619" spans="1:10" s="9" customFormat="1" x14ac:dyDescent="0.25">
      <c r="A6619" s="447"/>
      <c r="B6619" s="55" t="str">
        <f t="shared" si="422"/>
        <v>ENERO</v>
      </c>
      <c r="C6619" s="55">
        <f t="shared" si="423"/>
        <v>1</v>
      </c>
      <c r="D6619" s="3" t="str">
        <f t="shared" si="424"/>
        <v>SÁBADO</v>
      </c>
      <c r="E6619" s="427"/>
      <c r="F6619" s="31">
        <f>IFERROR(VLOOKUP(E6619,BD!$L$2:$Q$244,2,0),0)</f>
        <v>0</v>
      </c>
      <c r="G6619" s="424"/>
      <c r="H6619" s="31">
        <f>+IFERROR(VLOOKUP(E6619,BD!$L$2:$Q$244,6,0),0)</f>
        <v>0</v>
      </c>
      <c r="I6619" s="626">
        <f>IFERROR(G6619*VLOOKUP($E6619,BD!$L$2:$Q$244,5,0),0)</f>
        <v>0</v>
      </c>
      <c r="J6619" s="3">
        <f t="shared" si="425"/>
        <v>1900</v>
      </c>
    </row>
    <row r="6620" spans="1:10" s="9" customFormat="1" x14ac:dyDescent="0.25">
      <c r="A6620" s="447"/>
      <c r="B6620" s="55" t="str">
        <f t="shared" si="422"/>
        <v>ENERO</v>
      </c>
      <c r="C6620" s="55">
        <f t="shared" si="423"/>
        <v>1</v>
      </c>
      <c r="D6620" s="3" t="str">
        <f t="shared" si="424"/>
        <v>SÁBADO</v>
      </c>
      <c r="E6620" s="427"/>
      <c r="F6620" s="31">
        <f>IFERROR(VLOOKUP(E6620,BD!$L$2:$Q$244,2,0),0)</f>
        <v>0</v>
      </c>
      <c r="G6620" s="424"/>
      <c r="H6620" s="31">
        <f>+IFERROR(VLOOKUP(E6620,BD!$L$2:$Q$244,6,0),0)</f>
        <v>0</v>
      </c>
      <c r="I6620" s="626">
        <f>IFERROR(G6620*VLOOKUP($E6620,BD!$L$2:$Q$244,5,0),0)</f>
        <v>0</v>
      </c>
      <c r="J6620" s="3">
        <f t="shared" si="425"/>
        <v>1900</v>
      </c>
    </row>
    <row r="6621" spans="1:10" s="9" customFormat="1" x14ac:dyDescent="0.25">
      <c r="A6621" s="447"/>
      <c r="B6621" s="55" t="str">
        <f t="shared" si="422"/>
        <v>ENERO</v>
      </c>
      <c r="C6621" s="55">
        <f t="shared" si="423"/>
        <v>1</v>
      </c>
      <c r="D6621" s="3" t="str">
        <f t="shared" si="424"/>
        <v>SÁBADO</v>
      </c>
      <c r="E6621" s="427"/>
      <c r="F6621" s="31">
        <f>IFERROR(VLOOKUP(E6621,BD!$L$2:$Q$244,2,0),0)</f>
        <v>0</v>
      </c>
      <c r="G6621" s="424"/>
      <c r="H6621" s="31">
        <f>+IFERROR(VLOOKUP(E6621,BD!$L$2:$Q$244,6,0),0)</f>
        <v>0</v>
      </c>
      <c r="I6621" s="626">
        <f>IFERROR(G6621*VLOOKUP($E6621,BD!$L$2:$Q$244,5,0),0)</f>
        <v>0</v>
      </c>
      <c r="J6621" s="3">
        <f t="shared" si="425"/>
        <v>1900</v>
      </c>
    </row>
    <row r="6622" spans="1:10" s="9" customFormat="1" x14ac:dyDescent="0.25">
      <c r="A6622" s="447"/>
      <c r="B6622" s="55" t="str">
        <f t="shared" si="422"/>
        <v>ENERO</v>
      </c>
      <c r="C6622" s="55">
        <f t="shared" si="423"/>
        <v>1</v>
      </c>
      <c r="D6622" s="3" t="str">
        <f t="shared" si="424"/>
        <v>SÁBADO</v>
      </c>
      <c r="E6622" s="427"/>
      <c r="F6622" s="31">
        <f>IFERROR(VLOOKUP(E6622,BD!$L$2:$Q$244,2,0),0)</f>
        <v>0</v>
      </c>
      <c r="G6622" s="424"/>
      <c r="H6622" s="31">
        <f>+IFERROR(VLOOKUP(E6622,BD!$L$2:$Q$244,6,0),0)</f>
        <v>0</v>
      </c>
      <c r="I6622" s="626">
        <f>IFERROR(G6622*VLOOKUP($E6622,BD!$L$2:$Q$244,5,0),0)</f>
        <v>0</v>
      </c>
      <c r="J6622" s="3">
        <f t="shared" si="425"/>
        <v>1900</v>
      </c>
    </row>
    <row r="6623" spans="1:10" s="9" customFormat="1" x14ac:dyDescent="0.25">
      <c r="A6623" s="447"/>
      <c r="B6623" s="55" t="str">
        <f t="shared" si="422"/>
        <v>ENERO</v>
      </c>
      <c r="C6623" s="55">
        <f t="shared" si="423"/>
        <v>1</v>
      </c>
      <c r="D6623" s="3" t="str">
        <f t="shared" si="424"/>
        <v>SÁBADO</v>
      </c>
      <c r="E6623" s="427"/>
      <c r="F6623" s="31">
        <f>IFERROR(VLOOKUP(E6623,BD!$L$2:$Q$244,2,0),0)</f>
        <v>0</v>
      </c>
      <c r="G6623" s="424"/>
      <c r="H6623" s="31">
        <f>+IFERROR(VLOOKUP(E6623,BD!$L$2:$Q$244,6,0),0)</f>
        <v>0</v>
      </c>
      <c r="I6623" s="626">
        <f>IFERROR(G6623*VLOOKUP($E6623,BD!$L$2:$Q$244,5,0),0)</f>
        <v>0</v>
      </c>
      <c r="J6623" s="3">
        <f t="shared" si="425"/>
        <v>1900</v>
      </c>
    </row>
    <row r="6624" spans="1:10" s="9" customFormat="1" x14ac:dyDescent="0.25">
      <c r="A6624" s="447"/>
      <c r="B6624" s="55" t="str">
        <f t="shared" si="422"/>
        <v>ENERO</v>
      </c>
      <c r="C6624" s="55">
        <f t="shared" si="423"/>
        <v>1</v>
      </c>
      <c r="D6624" s="3" t="str">
        <f t="shared" si="424"/>
        <v>SÁBADO</v>
      </c>
      <c r="E6624" s="427"/>
      <c r="F6624" s="31">
        <f>IFERROR(VLOOKUP(E6624,BD!$L$2:$Q$244,2,0),0)</f>
        <v>0</v>
      </c>
      <c r="G6624" s="424"/>
      <c r="H6624" s="31">
        <f>+IFERROR(VLOOKUP(E6624,BD!$L$2:$Q$244,6,0),0)</f>
        <v>0</v>
      </c>
      <c r="I6624" s="626">
        <f>IFERROR(G6624*VLOOKUP($E6624,BD!$L$2:$Q$244,5,0),0)</f>
        <v>0</v>
      </c>
      <c r="J6624" s="3">
        <f t="shared" si="425"/>
        <v>1900</v>
      </c>
    </row>
    <row r="6625" spans="1:10" s="9" customFormat="1" x14ac:dyDescent="0.25">
      <c r="A6625" s="447"/>
      <c r="B6625" s="55" t="str">
        <f t="shared" si="422"/>
        <v>ENERO</v>
      </c>
      <c r="C6625" s="55">
        <f t="shared" si="423"/>
        <v>1</v>
      </c>
      <c r="D6625" s="3" t="str">
        <f t="shared" si="424"/>
        <v>SÁBADO</v>
      </c>
      <c r="E6625" s="427"/>
      <c r="F6625" s="31">
        <f>IFERROR(VLOOKUP(E6625,BD!$L$2:$Q$244,2,0),0)</f>
        <v>0</v>
      </c>
      <c r="G6625" s="424"/>
      <c r="H6625" s="31">
        <f>+IFERROR(VLOOKUP(E6625,BD!$L$2:$Q$244,6,0),0)</f>
        <v>0</v>
      </c>
      <c r="I6625" s="626">
        <f>IFERROR(G6625*VLOOKUP($E6625,BD!$L$2:$Q$244,5,0),0)</f>
        <v>0</v>
      </c>
      <c r="J6625" s="3">
        <f t="shared" si="425"/>
        <v>1900</v>
      </c>
    </row>
    <row r="6626" spans="1:10" s="9" customFormat="1" x14ac:dyDescent="0.25">
      <c r="A6626" s="447"/>
      <c r="B6626" s="55" t="str">
        <f t="shared" si="422"/>
        <v>ENERO</v>
      </c>
      <c r="C6626" s="55">
        <f t="shared" si="423"/>
        <v>1</v>
      </c>
      <c r="D6626" s="3" t="str">
        <f t="shared" si="424"/>
        <v>SÁBADO</v>
      </c>
      <c r="E6626" s="427"/>
      <c r="F6626" s="31">
        <f>IFERROR(VLOOKUP(E6626,BD!$L$2:$Q$244,2,0),0)</f>
        <v>0</v>
      </c>
      <c r="G6626" s="424"/>
      <c r="H6626" s="31">
        <f>+IFERROR(VLOOKUP(E6626,BD!$L$2:$Q$244,6,0),0)</f>
        <v>0</v>
      </c>
      <c r="I6626" s="626">
        <f>IFERROR(G6626*VLOOKUP($E6626,BD!$L$2:$Q$244,5,0),0)</f>
        <v>0</v>
      </c>
      <c r="J6626" s="3">
        <f t="shared" si="425"/>
        <v>1900</v>
      </c>
    </row>
    <row r="6627" spans="1:10" s="9" customFormat="1" x14ac:dyDescent="0.25">
      <c r="A6627" s="447"/>
      <c r="B6627" s="55" t="str">
        <f t="shared" si="422"/>
        <v>ENERO</v>
      </c>
      <c r="C6627" s="55">
        <f t="shared" si="423"/>
        <v>1</v>
      </c>
      <c r="D6627" s="3" t="str">
        <f t="shared" si="424"/>
        <v>SÁBADO</v>
      </c>
      <c r="E6627" s="427"/>
      <c r="F6627" s="31">
        <f>IFERROR(VLOOKUP(E6627,BD!$L$2:$Q$244,2,0),0)</f>
        <v>0</v>
      </c>
      <c r="G6627" s="424"/>
      <c r="H6627" s="31">
        <f>+IFERROR(VLOOKUP(E6627,BD!$L$2:$Q$244,6,0),0)</f>
        <v>0</v>
      </c>
      <c r="I6627" s="626">
        <f>IFERROR(G6627*VLOOKUP($E6627,BD!$L$2:$Q$244,5,0),0)</f>
        <v>0</v>
      </c>
      <c r="J6627" s="3">
        <f t="shared" si="425"/>
        <v>1900</v>
      </c>
    </row>
    <row r="6628" spans="1:10" s="9" customFormat="1" x14ac:dyDescent="0.25">
      <c r="A6628" s="447"/>
      <c r="B6628" s="55" t="str">
        <f t="shared" si="422"/>
        <v>ENERO</v>
      </c>
      <c r="C6628" s="55">
        <f t="shared" si="423"/>
        <v>1</v>
      </c>
      <c r="D6628" s="3" t="str">
        <f t="shared" si="424"/>
        <v>SÁBADO</v>
      </c>
      <c r="E6628" s="427"/>
      <c r="F6628" s="31">
        <f>IFERROR(VLOOKUP(E6628,BD!$L$2:$Q$244,2,0),0)</f>
        <v>0</v>
      </c>
      <c r="G6628" s="424"/>
      <c r="H6628" s="31">
        <f>+IFERROR(VLOOKUP(E6628,BD!$L$2:$Q$244,6,0),0)</f>
        <v>0</v>
      </c>
      <c r="I6628" s="626">
        <f>IFERROR(G6628*VLOOKUP($E6628,BD!$L$2:$Q$244,5,0),0)</f>
        <v>0</v>
      </c>
      <c r="J6628" s="3">
        <f t="shared" si="425"/>
        <v>1900</v>
      </c>
    </row>
    <row r="6629" spans="1:10" s="9" customFormat="1" x14ac:dyDescent="0.25">
      <c r="A6629" s="447"/>
      <c r="B6629" s="55" t="str">
        <f t="shared" si="422"/>
        <v>ENERO</v>
      </c>
      <c r="C6629" s="55">
        <f t="shared" si="423"/>
        <v>1</v>
      </c>
      <c r="D6629" s="3" t="str">
        <f t="shared" si="424"/>
        <v>SÁBADO</v>
      </c>
      <c r="E6629" s="427"/>
      <c r="F6629" s="31">
        <f>IFERROR(VLOOKUP(E6629,BD!$L$2:$Q$244,2,0),0)</f>
        <v>0</v>
      </c>
      <c r="G6629" s="424"/>
      <c r="H6629" s="31">
        <f>+IFERROR(VLOOKUP(E6629,BD!$L$2:$Q$244,6,0),0)</f>
        <v>0</v>
      </c>
      <c r="I6629" s="626">
        <f>IFERROR(G6629*VLOOKUP($E6629,BD!$L$2:$Q$244,5,0),0)</f>
        <v>0</v>
      </c>
      <c r="J6629" s="3">
        <f t="shared" si="425"/>
        <v>1900</v>
      </c>
    </row>
    <row r="6630" spans="1:10" s="9" customFormat="1" x14ac:dyDescent="0.25">
      <c r="A6630" s="447"/>
      <c r="B6630" s="55" t="str">
        <f t="shared" si="422"/>
        <v>ENERO</v>
      </c>
      <c r="C6630" s="55">
        <f t="shared" si="423"/>
        <v>1</v>
      </c>
      <c r="D6630" s="3" t="str">
        <f t="shared" si="424"/>
        <v>SÁBADO</v>
      </c>
      <c r="E6630" s="427"/>
      <c r="F6630" s="31">
        <f>IFERROR(VLOOKUP(E6630,BD!$L$2:$Q$244,2,0),0)</f>
        <v>0</v>
      </c>
      <c r="G6630" s="424"/>
      <c r="H6630" s="31">
        <f>+IFERROR(VLOOKUP(E6630,BD!$L$2:$Q$244,6,0),0)</f>
        <v>0</v>
      </c>
      <c r="I6630" s="626">
        <f>IFERROR(G6630*VLOOKUP($E6630,BD!$L$2:$Q$244,5,0),0)</f>
        <v>0</v>
      </c>
      <c r="J6630" s="3">
        <f t="shared" si="425"/>
        <v>1900</v>
      </c>
    </row>
    <row r="6631" spans="1:10" s="9" customFormat="1" x14ac:dyDescent="0.25">
      <c r="A6631" s="447"/>
      <c r="B6631" s="55" t="str">
        <f t="shared" si="422"/>
        <v>ENERO</v>
      </c>
      <c r="C6631" s="55">
        <f t="shared" si="423"/>
        <v>1</v>
      </c>
      <c r="D6631" s="3" t="str">
        <f t="shared" si="424"/>
        <v>SÁBADO</v>
      </c>
      <c r="E6631" s="427"/>
      <c r="F6631" s="31">
        <f>IFERROR(VLOOKUP(E6631,BD!$L$2:$Q$244,2,0),0)</f>
        <v>0</v>
      </c>
      <c r="G6631" s="424"/>
      <c r="H6631" s="31">
        <f>+IFERROR(VLOOKUP(E6631,BD!$L$2:$Q$244,6,0),0)</f>
        <v>0</v>
      </c>
      <c r="I6631" s="626">
        <f>IFERROR(G6631*VLOOKUP($E6631,BD!$L$2:$Q$244,5,0),0)</f>
        <v>0</v>
      </c>
      <c r="J6631" s="3">
        <f t="shared" si="425"/>
        <v>1900</v>
      </c>
    </row>
    <row r="6632" spans="1:10" s="9" customFormat="1" x14ac:dyDescent="0.25">
      <c r="A6632" s="447"/>
      <c r="B6632" s="55" t="str">
        <f t="shared" si="422"/>
        <v>ENERO</v>
      </c>
      <c r="C6632" s="55">
        <f t="shared" si="423"/>
        <v>1</v>
      </c>
      <c r="D6632" s="3" t="str">
        <f t="shared" si="424"/>
        <v>SÁBADO</v>
      </c>
      <c r="E6632" s="427"/>
      <c r="F6632" s="31">
        <f>IFERROR(VLOOKUP(E6632,BD!$L$2:$Q$244,2,0),0)</f>
        <v>0</v>
      </c>
      <c r="G6632" s="424"/>
      <c r="H6632" s="31">
        <f>+IFERROR(VLOOKUP(E6632,BD!$L$2:$Q$244,6,0),0)</f>
        <v>0</v>
      </c>
      <c r="I6632" s="626">
        <f>IFERROR(G6632*VLOOKUP($E6632,BD!$L$2:$Q$244,5,0),0)</f>
        <v>0</v>
      </c>
      <c r="J6632" s="3">
        <f t="shared" si="425"/>
        <v>1900</v>
      </c>
    </row>
    <row r="6633" spans="1:10" s="9" customFormat="1" x14ac:dyDescent="0.25">
      <c r="A6633" s="447"/>
      <c r="B6633" s="55" t="str">
        <f t="shared" si="422"/>
        <v>ENERO</v>
      </c>
      <c r="C6633" s="55">
        <f t="shared" si="423"/>
        <v>1</v>
      </c>
      <c r="D6633" s="3" t="str">
        <f t="shared" si="424"/>
        <v>SÁBADO</v>
      </c>
      <c r="E6633" s="427"/>
      <c r="F6633" s="31">
        <f>IFERROR(VLOOKUP(E6633,BD!$L$2:$Q$244,2,0),0)</f>
        <v>0</v>
      </c>
      <c r="G6633" s="425"/>
      <c r="H6633" s="31">
        <f>+IFERROR(VLOOKUP(E6633,BD!$L$2:$Q$244,6,0),0)</f>
        <v>0</v>
      </c>
      <c r="I6633" s="626">
        <f>IFERROR(G6633*VLOOKUP($E6633,BD!$L$2:$Q$244,5,0),0)</f>
        <v>0</v>
      </c>
      <c r="J6633" s="3">
        <f t="shared" si="425"/>
        <v>1900</v>
      </c>
    </row>
    <row r="6634" spans="1:10" s="9" customFormat="1" x14ac:dyDescent="0.25">
      <c r="A6634" s="447"/>
      <c r="B6634" s="55" t="str">
        <f t="shared" si="422"/>
        <v>ENERO</v>
      </c>
      <c r="C6634" s="55">
        <f t="shared" si="423"/>
        <v>1</v>
      </c>
      <c r="D6634" s="3" t="str">
        <f t="shared" si="424"/>
        <v>SÁBADO</v>
      </c>
      <c r="E6634" s="427"/>
      <c r="F6634" s="31">
        <f>IFERROR(VLOOKUP(E6634,BD!$L$2:$Q$244,2,0),0)</f>
        <v>0</v>
      </c>
      <c r="G6634" s="425"/>
      <c r="H6634" s="31">
        <f>+IFERROR(VLOOKUP(E6634,BD!$L$2:$Q$244,6,0),0)</f>
        <v>0</v>
      </c>
      <c r="I6634" s="626">
        <f>IFERROR(G6634*VLOOKUP($E6634,BD!$L$2:$Q$244,5,0),0)</f>
        <v>0</v>
      </c>
      <c r="J6634" s="3">
        <f t="shared" si="425"/>
        <v>1900</v>
      </c>
    </row>
    <row r="6635" spans="1:10" s="9" customFormat="1" x14ac:dyDescent="0.25">
      <c r="A6635" s="447"/>
      <c r="B6635" s="55" t="str">
        <f t="shared" si="422"/>
        <v>ENERO</v>
      </c>
      <c r="C6635" s="55">
        <f t="shared" si="423"/>
        <v>1</v>
      </c>
      <c r="D6635" s="3" t="str">
        <f t="shared" si="424"/>
        <v>SÁBADO</v>
      </c>
      <c r="E6635" s="427"/>
      <c r="F6635" s="31">
        <f>IFERROR(VLOOKUP(E6635,BD!$L$2:$Q$244,2,0),0)</f>
        <v>0</v>
      </c>
      <c r="G6635" s="424"/>
      <c r="H6635" s="31">
        <f>+IFERROR(VLOOKUP(E6635,BD!$L$2:$Q$244,6,0),0)</f>
        <v>0</v>
      </c>
      <c r="I6635" s="626">
        <f>IFERROR(G6635*VLOOKUP($E6635,BD!$L$2:$Q$244,5,0),0)</f>
        <v>0</v>
      </c>
      <c r="J6635" s="3">
        <f t="shared" si="425"/>
        <v>1900</v>
      </c>
    </row>
    <row r="6636" spans="1:10" s="9" customFormat="1" x14ac:dyDescent="0.25">
      <c r="A6636" s="447"/>
      <c r="B6636" s="55" t="str">
        <f t="shared" si="422"/>
        <v>ENERO</v>
      </c>
      <c r="C6636" s="55">
        <f t="shared" si="423"/>
        <v>1</v>
      </c>
      <c r="D6636" s="3" t="str">
        <f t="shared" si="424"/>
        <v>SÁBADO</v>
      </c>
      <c r="E6636" s="427"/>
      <c r="F6636" s="31">
        <f>IFERROR(VLOOKUP(E6636,BD!$L$2:$Q$244,2,0),0)</f>
        <v>0</v>
      </c>
      <c r="G6636" s="424"/>
      <c r="H6636" s="31">
        <f>+IFERROR(VLOOKUP(E6636,BD!$L$2:$Q$244,6,0),0)</f>
        <v>0</v>
      </c>
      <c r="I6636" s="626">
        <f>IFERROR(G6636*VLOOKUP($E6636,BD!$L$2:$Q$244,5,0),0)</f>
        <v>0</v>
      </c>
      <c r="J6636" s="3">
        <f t="shared" si="425"/>
        <v>1900</v>
      </c>
    </row>
    <row r="6637" spans="1:10" s="9" customFormat="1" x14ac:dyDescent="0.25">
      <c r="A6637" s="447"/>
      <c r="B6637" s="55" t="str">
        <f t="shared" si="422"/>
        <v>ENERO</v>
      </c>
      <c r="C6637" s="55">
        <f t="shared" si="423"/>
        <v>1</v>
      </c>
      <c r="D6637" s="3" t="str">
        <f t="shared" si="424"/>
        <v>SÁBADO</v>
      </c>
      <c r="E6637" s="427"/>
      <c r="F6637" s="31">
        <f>IFERROR(VLOOKUP(E6637,BD!$L$2:$Q$244,2,0),0)</f>
        <v>0</v>
      </c>
      <c r="G6637" s="424"/>
      <c r="H6637" s="31">
        <f>+IFERROR(VLOOKUP(E6637,BD!$L$2:$Q$244,6,0),0)</f>
        <v>0</v>
      </c>
      <c r="I6637" s="626">
        <f>IFERROR(G6637*VLOOKUP($E6637,BD!$L$2:$Q$244,5,0),0)</f>
        <v>0</v>
      </c>
      <c r="J6637" s="3">
        <f t="shared" si="425"/>
        <v>1900</v>
      </c>
    </row>
    <row r="6638" spans="1:10" s="9" customFormat="1" x14ac:dyDescent="0.25">
      <c r="A6638" s="447"/>
      <c r="B6638" s="55" t="str">
        <f t="shared" si="422"/>
        <v>ENERO</v>
      </c>
      <c r="C6638" s="55">
        <f t="shared" si="423"/>
        <v>1</v>
      </c>
      <c r="D6638" s="3" t="str">
        <f t="shared" si="424"/>
        <v>SÁBADO</v>
      </c>
      <c r="E6638" s="427"/>
      <c r="F6638" s="31">
        <f>IFERROR(VLOOKUP(E6638,BD!$L$2:$Q$244,2,0),0)</f>
        <v>0</v>
      </c>
      <c r="G6638" s="424"/>
      <c r="H6638" s="31">
        <f>+IFERROR(VLOOKUP(E6638,BD!$L$2:$Q$244,6,0),0)</f>
        <v>0</v>
      </c>
      <c r="I6638" s="626">
        <f>IFERROR(G6638*VLOOKUP($E6638,BD!$L$2:$Q$244,5,0),0)</f>
        <v>0</v>
      </c>
      <c r="J6638" s="3">
        <f t="shared" si="425"/>
        <v>1900</v>
      </c>
    </row>
    <row r="6639" spans="1:10" s="9" customFormat="1" x14ac:dyDescent="0.25">
      <c r="A6639" s="447"/>
      <c r="B6639" s="55" t="str">
        <f t="shared" si="422"/>
        <v>ENERO</v>
      </c>
      <c r="C6639" s="55">
        <f t="shared" si="423"/>
        <v>1</v>
      </c>
      <c r="D6639" s="3" t="str">
        <f t="shared" si="424"/>
        <v>SÁBADO</v>
      </c>
      <c r="E6639" s="427"/>
      <c r="F6639" s="31">
        <f>IFERROR(VLOOKUP(E6639,BD!$L$2:$Q$244,2,0),0)</f>
        <v>0</v>
      </c>
      <c r="G6639" s="424"/>
      <c r="H6639" s="31">
        <f>+IFERROR(VLOOKUP(E6639,BD!$L$2:$Q$244,6,0),0)</f>
        <v>0</v>
      </c>
      <c r="I6639" s="626">
        <f>IFERROR(G6639*VLOOKUP($E6639,BD!$L$2:$Q$244,5,0),0)</f>
        <v>0</v>
      </c>
      <c r="J6639" s="3">
        <f t="shared" si="425"/>
        <v>1900</v>
      </c>
    </row>
    <row r="6640" spans="1:10" s="9" customFormat="1" x14ac:dyDescent="0.25">
      <c r="A6640" s="447"/>
      <c r="B6640" s="55" t="str">
        <f t="shared" si="422"/>
        <v>ENERO</v>
      </c>
      <c r="C6640" s="55">
        <f t="shared" si="423"/>
        <v>1</v>
      </c>
      <c r="D6640" s="3" t="str">
        <f t="shared" si="424"/>
        <v>SÁBADO</v>
      </c>
      <c r="E6640" s="427"/>
      <c r="F6640" s="31">
        <f>IFERROR(VLOOKUP(E6640,BD!$L$2:$Q$244,2,0),0)</f>
        <v>0</v>
      </c>
      <c r="G6640" s="424"/>
      <c r="H6640" s="31">
        <f>+IFERROR(VLOOKUP(E6640,BD!$L$2:$Q$244,6,0),0)</f>
        <v>0</v>
      </c>
      <c r="I6640" s="626">
        <f>IFERROR(G6640*VLOOKUP($E6640,BD!$L$2:$Q$244,5,0),0)</f>
        <v>0</v>
      </c>
      <c r="J6640" s="3">
        <f t="shared" si="425"/>
        <v>1900</v>
      </c>
    </row>
    <row r="6641" spans="1:10" s="9" customFormat="1" x14ac:dyDescent="0.25">
      <c r="A6641" s="447"/>
      <c r="B6641" s="55" t="str">
        <f t="shared" si="422"/>
        <v>ENERO</v>
      </c>
      <c r="C6641" s="55">
        <f t="shared" si="423"/>
        <v>1</v>
      </c>
      <c r="D6641" s="3" t="str">
        <f t="shared" si="424"/>
        <v>SÁBADO</v>
      </c>
      <c r="E6641" s="427"/>
      <c r="F6641" s="31">
        <f>IFERROR(VLOOKUP(E6641,BD!$L$2:$Q$244,2,0),0)</f>
        <v>0</v>
      </c>
      <c r="G6641" s="424"/>
      <c r="H6641" s="31">
        <f>+IFERROR(VLOOKUP(E6641,BD!$L$2:$Q$244,6,0),0)</f>
        <v>0</v>
      </c>
      <c r="I6641" s="626">
        <f>IFERROR(G6641*VLOOKUP($E6641,BD!$L$2:$Q$244,5,0),0)</f>
        <v>0</v>
      </c>
      <c r="J6641" s="3">
        <f t="shared" si="425"/>
        <v>1900</v>
      </c>
    </row>
    <row r="6642" spans="1:10" s="9" customFormat="1" x14ac:dyDescent="0.25">
      <c r="A6642" s="447"/>
      <c r="B6642" s="55" t="str">
        <f t="shared" si="422"/>
        <v>ENERO</v>
      </c>
      <c r="C6642" s="55">
        <f t="shared" si="423"/>
        <v>1</v>
      </c>
      <c r="D6642" s="3" t="str">
        <f t="shared" si="424"/>
        <v>SÁBADO</v>
      </c>
      <c r="E6642" s="427"/>
      <c r="F6642" s="31">
        <f>IFERROR(VLOOKUP(E6642,BD!$L$2:$Q$244,2,0),0)</f>
        <v>0</v>
      </c>
      <c r="G6642" s="424"/>
      <c r="H6642" s="31">
        <f>+IFERROR(VLOOKUP(E6642,BD!$L$2:$Q$244,6,0),0)</f>
        <v>0</v>
      </c>
      <c r="I6642" s="626">
        <f>IFERROR(G6642*VLOOKUP($E6642,BD!$L$2:$Q$244,5,0),0)</f>
        <v>0</v>
      </c>
      <c r="J6642" s="3">
        <f t="shared" si="425"/>
        <v>1900</v>
      </c>
    </row>
    <row r="6643" spans="1:10" s="9" customFormat="1" x14ac:dyDescent="0.25">
      <c r="A6643" s="447"/>
      <c r="B6643" s="55" t="str">
        <f t="shared" si="422"/>
        <v>ENERO</v>
      </c>
      <c r="C6643" s="55">
        <f t="shared" si="423"/>
        <v>1</v>
      </c>
      <c r="D6643" s="3" t="str">
        <f t="shared" si="424"/>
        <v>SÁBADO</v>
      </c>
      <c r="E6643" s="427"/>
      <c r="F6643" s="31">
        <f>IFERROR(VLOOKUP(E6643,BD!$L$2:$Q$244,2,0),0)</f>
        <v>0</v>
      </c>
      <c r="G6643" s="424"/>
      <c r="H6643" s="31">
        <f>+IFERROR(VLOOKUP(E6643,BD!$L$2:$Q$244,6,0),0)</f>
        <v>0</v>
      </c>
      <c r="I6643" s="626">
        <f>IFERROR(G6643*VLOOKUP($E6643,BD!$L$2:$Q$244,5,0),0)</f>
        <v>0</v>
      </c>
      <c r="J6643" s="3">
        <f t="shared" si="425"/>
        <v>1900</v>
      </c>
    </row>
    <row r="6644" spans="1:10" s="9" customFormat="1" x14ac:dyDescent="0.25">
      <c r="A6644" s="447"/>
      <c r="B6644" s="55" t="str">
        <f t="shared" si="422"/>
        <v>ENERO</v>
      </c>
      <c r="C6644" s="55">
        <f t="shared" si="423"/>
        <v>1</v>
      </c>
      <c r="D6644" s="3" t="str">
        <f t="shared" si="424"/>
        <v>SÁBADO</v>
      </c>
      <c r="E6644" s="427"/>
      <c r="F6644" s="31">
        <f>IFERROR(VLOOKUP(E6644,BD!$L$2:$Q$244,2,0),0)</f>
        <v>0</v>
      </c>
      <c r="G6644" s="424"/>
      <c r="H6644" s="31">
        <f>+IFERROR(VLOOKUP(E6644,BD!$L$2:$Q$244,6,0),0)</f>
        <v>0</v>
      </c>
      <c r="I6644" s="626">
        <f>IFERROR(G6644*VLOOKUP($E6644,BD!$L$2:$Q$244,5,0),0)</f>
        <v>0</v>
      </c>
      <c r="J6644" s="3">
        <f t="shared" si="425"/>
        <v>1900</v>
      </c>
    </row>
    <row r="6645" spans="1:10" s="9" customFormat="1" x14ac:dyDescent="0.25">
      <c r="A6645" s="447"/>
      <c r="B6645" s="55" t="str">
        <f t="shared" si="422"/>
        <v>ENERO</v>
      </c>
      <c r="C6645" s="55">
        <f t="shared" si="423"/>
        <v>1</v>
      </c>
      <c r="D6645" s="3" t="str">
        <f t="shared" si="424"/>
        <v>SÁBADO</v>
      </c>
      <c r="E6645" s="427"/>
      <c r="F6645" s="31">
        <f>IFERROR(VLOOKUP(E6645,BD!$L$2:$Q$244,2,0),0)</f>
        <v>0</v>
      </c>
      <c r="G6645" s="424"/>
      <c r="H6645" s="31">
        <f>+IFERROR(VLOOKUP(E6645,BD!$L$2:$Q$244,6,0),0)</f>
        <v>0</v>
      </c>
      <c r="I6645" s="626">
        <f>IFERROR(G6645*VLOOKUP($E6645,BD!$L$2:$Q$244,5,0),0)</f>
        <v>0</v>
      </c>
      <c r="J6645" s="3">
        <f t="shared" si="425"/>
        <v>1900</v>
      </c>
    </row>
    <row r="6646" spans="1:10" s="9" customFormat="1" x14ac:dyDescent="0.25">
      <c r="A6646" s="447"/>
      <c r="B6646" s="55" t="str">
        <f t="shared" si="422"/>
        <v>ENERO</v>
      </c>
      <c r="C6646" s="55">
        <f t="shared" si="423"/>
        <v>1</v>
      </c>
      <c r="D6646" s="3" t="str">
        <f t="shared" si="424"/>
        <v>SÁBADO</v>
      </c>
      <c r="E6646" s="427"/>
      <c r="F6646" s="31">
        <f>IFERROR(VLOOKUP(E6646,BD!$L$2:$Q$244,2,0),0)</f>
        <v>0</v>
      </c>
      <c r="G6646" s="424"/>
      <c r="H6646" s="31">
        <f>+IFERROR(VLOOKUP(E6646,BD!$L$2:$Q$244,6,0),0)</f>
        <v>0</v>
      </c>
      <c r="I6646" s="626">
        <f>IFERROR(G6646*VLOOKUP($E6646,BD!$L$2:$Q$244,5,0),0)</f>
        <v>0</v>
      </c>
      <c r="J6646" s="3">
        <f t="shared" si="425"/>
        <v>1900</v>
      </c>
    </row>
    <row r="6647" spans="1:10" s="9" customFormat="1" x14ac:dyDescent="0.25">
      <c r="A6647" s="447"/>
      <c r="B6647" s="55" t="str">
        <f t="shared" si="422"/>
        <v>ENERO</v>
      </c>
      <c r="C6647" s="55">
        <f t="shared" si="423"/>
        <v>1</v>
      </c>
      <c r="D6647" s="3" t="str">
        <f t="shared" si="424"/>
        <v>SÁBADO</v>
      </c>
      <c r="E6647" s="427"/>
      <c r="F6647" s="31">
        <f>IFERROR(VLOOKUP(E6647,BD!$L$2:$Q$244,2,0),0)</f>
        <v>0</v>
      </c>
      <c r="G6647" s="424"/>
      <c r="H6647" s="31">
        <f>+IFERROR(VLOOKUP(E6647,BD!$L$2:$Q$244,6,0),0)</f>
        <v>0</v>
      </c>
      <c r="I6647" s="626">
        <f>IFERROR(G6647*VLOOKUP($E6647,BD!$L$2:$Q$244,5,0),0)</f>
        <v>0</v>
      </c>
      <c r="J6647" s="3">
        <f t="shared" si="425"/>
        <v>1900</v>
      </c>
    </row>
    <row r="6648" spans="1:10" s="9" customFormat="1" x14ac:dyDescent="0.25">
      <c r="A6648" s="447"/>
      <c r="B6648" s="55" t="str">
        <f t="shared" si="422"/>
        <v>ENERO</v>
      </c>
      <c r="C6648" s="55">
        <f t="shared" si="423"/>
        <v>1</v>
      </c>
      <c r="D6648" s="3" t="str">
        <f t="shared" si="424"/>
        <v>SÁBADO</v>
      </c>
      <c r="E6648" s="427"/>
      <c r="F6648" s="31">
        <f>IFERROR(VLOOKUP(E6648,BD!$L$2:$Q$244,2,0),0)</f>
        <v>0</v>
      </c>
      <c r="G6648" s="424"/>
      <c r="H6648" s="31">
        <f>+IFERROR(VLOOKUP(E6648,BD!$L$2:$Q$244,6,0),0)</f>
        <v>0</v>
      </c>
      <c r="I6648" s="626">
        <f>IFERROR(G6648*VLOOKUP($E6648,BD!$L$2:$Q$244,5,0),0)</f>
        <v>0</v>
      </c>
      <c r="J6648" s="3">
        <f t="shared" si="425"/>
        <v>1900</v>
      </c>
    </row>
    <row r="6649" spans="1:10" s="9" customFormat="1" x14ac:dyDescent="0.25">
      <c r="A6649" s="447"/>
      <c r="B6649" s="55" t="str">
        <f t="shared" si="422"/>
        <v>ENERO</v>
      </c>
      <c r="C6649" s="55">
        <f t="shared" si="423"/>
        <v>1</v>
      </c>
      <c r="D6649" s="3" t="str">
        <f t="shared" si="424"/>
        <v>SÁBADO</v>
      </c>
      <c r="E6649" s="427"/>
      <c r="F6649" s="31">
        <f>IFERROR(VLOOKUP(E6649,BD!$L$2:$Q$244,2,0),0)</f>
        <v>0</v>
      </c>
      <c r="G6649" s="424"/>
      <c r="H6649" s="31">
        <f>+IFERROR(VLOOKUP(E6649,BD!$L$2:$Q$244,6,0),0)</f>
        <v>0</v>
      </c>
      <c r="I6649" s="626">
        <f>IFERROR(G6649*VLOOKUP($E6649,BD!$L$2:$Q$244,5,0),0)</f>
        <v>0</v>
      </c>
      <c r="J6649" s="3">
        <f t="shared" si="425"/>
        <v>1900</v>
      </c>
    </row>
    <row r="6650" spans="1:10" s="9" customFormat="1" x14ac:dyDescent="0.25">
      <c r="A6650" s="447"/>
      <c r="B6650" s="55" t="str">
        <f t="shared" si="422"/>
        <v>ENERO</v>
      </c>
      <c r="C6650" s="55">
        <f t="shared" si="423"/>
        <v>1</v>
      </c>
      <c r="D6650" s="3" t="str">
        <f t="shared" si="424"/>
        <v>SÁBADO</v>
      </c>
      <c r="E6650" s="427"/>
      <c r="F6650" s="31">
        <f>IFERROR(VLOOKUP(E6650,BD!$L$2:$Q$244,2,0),0)</f>
        <v>0</v>
      </c>
      <c r="G6650" s="424"/>
      <c r="H6650" s="31">
        <f>+IFERROR(VLOOKUP(E6650,BD!$L$2:$Q$244,6,0),0)</f>
        <v>0</v>
      </c>
      <c r="I6650" s="626">
        <f>IFERROR(G6650*VLOOKUP($E6650,BD!$L$2:$Q$244,5,0),0)</f>
        <v>0</v>
      </c>
      <c r="J6650" s="3">
        <f t="shared" si="425"/>
        <v>1900</v>
      </c>
    </row>
    <row r="6651" spans="1:10" s="9" customFormat="1" x14ac:dyDescent="0.25">
      <c r="A6651" s="447"/>
      <c r="B6651" s="55" t="str">
        <f t="shared" si="422"/>
        <v>ENERO</v>
      </c>
      <c r="C6651" s="55">
        <f t="shared" si="423"/>
        <v>1</v>
      </c>
      <c r="D6651" s="3" t="str">
        <f t="shared" si="424"/>
        <v>SÁBADO</v>
      </c>
      <c r="E6651" s="427"/>
      <c r="F6651" s="31">
        <f>IFERROR(VLOOKUP(E6651,BD!$L$2:$Q$244,2,0),0)</f>
        <v>0</v>
      </c>
      <c r="G6651" s="424"/>
      <c r="H6651" s="31">
        <f>+IFERROR(VLOOKUP(E6651,BD!$L$2:$Q$244,6,0),0)</f>
        <v>0</v>
      </c>
      <c r="I6651" s="626">
        <f>IFERROR(G6651*VLOOKUP($E6651,BD!$L$2:$Q$244,5,0),0)</f>
        <v>0</v>
      </c>
      <c r="J6651" s="3">
        <f t="shared" si="425"/>
        <v>1900</v>
      </c>
    </row>
    <row r="6652" spans="1:10" s="9" customFormat="1" x14ac:dyDescent="0.25">
      <c r="A6652" s="447"/>
      <c r="B6652" s="55" t="str">
        <f t="shared" si="422"/>
        <v>ENERO</v>
      </c>
      <c r="C6652" s="55">
        <f t="shared" si="423"/>
        <v>1</v>
      </c>
      <c r="D6652" s="3" t="str">
        <f t="shared" si="424"/>
        <v>SÁBADO</v>
      </c>
      <c r="E6652" s="427"/>
      <c r="F6652" s="31">
        <f>IFERROR(VLOOKUP(E6652,BD!$L$2:$Q$244,2,0),0)</f>
        <v>0</v>
      </c>
      <c r="G6652" s="424"/>
      <c r="H6652" s="31">
        <f>+IFERROR(VLOOKUP(E6652,BD!$L$2:$Q$244,6,0),0)</f>
        <v>0</v>
      </c>
      <c r="I6652" s="626">
        <f>IFERROR(G6652*VLOOKUP($E6652,BD!$L$2:$Q$244,5,0),0)</f>
        <v>0</v>
      </c>
      <c r="J6652" s="3">
        <f t="shared" si="425"/>
        <v>1900</v>
      </c>
    </row>
    <row r="6653" spans="1:10" s="9" customFormat="1" x14ac:dyDescent="0.25">
      <c r="A6653" s="447"/>
      <c r="B6653" s="55" t="str">
        <f t="shared" ref="B6653:B6716" si="426">UPPER(TEXT(A6653,"MMMM"))</f>
        <v>ENERO</v>
      </c>
      <c r="C6653" s="55">
        <f t="shared" ref="C6653:C6716" si="427">WEEKNUM(A6653,16)</f>
        <v>1</v>
      </c>
      <c r="D6653" s="3" t="str">
        <f t="shared" ref="D6653:D6716" si="428">UPPER(TEXT(A6653,"DDDD"))</f>
        <v>SÁBADO</v>
      </c>
      <c r="E6653" s="427"/>
      <c r="F6653" s="31">
        <f>IFERROR(VLOOKUP(E6653,BD!$L$2:$Q$244,2,0),0)</f>
        <v>0</v>
      </c>
      <c r="G6653" s="424"/>
      <c r="H6653" s="31">
        <f>+IFERROR(VLOOKUP(E6653,BD!$L$2:$Q$244,6,0),0)</f>
        <v>0</v>
      </c>
      <c r="I6653" s="626">
        <f>IFERROR(G6653*VLOOKUP($E6653,BD!$L$2:$Q$244,5,0),0)</f>
        <v>0</v>
      </c>
      <c r="J6653" s="3">
        <f t="shared" ref="J6653:J6716" si="429">+YEAR(A6653)</f>
        <v>1900</v>
      </c>
    </row>
    <row r="6654" spans="1:10" s="9" customFormat="1" x14ac:dyDescent="0.25">
      <c r="A6654" s="447"/>
      <c r="B6654" s="55" t="str">
        <f t="shared" si="426"/>
        <v>ENERO</v>
      </c>
      <c r="C6654" s="55">
        <f t="shared" si="427"/>
        <v>1</v>
      </c>
      <c r="D6654" s="3" t="str">
        <f t="shared" si="428"/>
        <v>SÁBADO</v>
      </c>
      <c r="E6654" s="427"/>
      <c r="F6654" s="31">
        <f>IFERROR(VLOOKUP(E6654,BD!$L$2:$Q$244,2,0),0)</f>
        <v>0</v>
      </c>
      <c r="G6654" s="424"/>
      <c r="H6654" s="31">
        <f>+IFERROR(VLOOKUP(E6654,BD!$L$2:$Q$244,6,0),0)</f>
        <v>0</v>
      </c>
      <c r="I6654" s="626">
        <f>IFERROR(G6654*VLOOKUP($E6654,BD!$L$2:$Q$244,5,0),0)</f>
        <v>0</v>
      </c>
      <c r="J6654" s="3">
        <f t="shared" si="429"/>
        <v>1900</v>
      </c>
    </row>
    <row r="6655" spans="1:10" s="9" customFormat="1" x14ac:dyDescent="0.25">
      <c r="A6655" s="447"/>
      <c r="B6655" s="55" t="str">
        <f t="shared" si="426"/>
        <v>ENERO</v>
      </c>
      <c r="C6655" s="55">
        <f t="shared" si="427"/>
        <v>1</v>
      </c>
      <c r="D6655" s="3" t="str">
        <f t="shared" si="428"/>
        <v>SÁBADO</v>
      </c>
      <c r="E6655" s="427"/>
      <c r="F6655" s="31">
        <f>IFERROR(VLOOKUP(E6655,BD!$L$2:$Q$244,2,0),0)</f>
        <v>0</v>
      </c>
      <c r="G6655" s="424"/>
      <c r="H6655" s="31">
        <f>+IFERROR(VLOOKUP(E6655,BD!$L$2:$Q$244,6,0),0)</f>
        <v>0</v>
      </c>
      <c r="I6655" s="626">
        <f>IFERROR(G6655*VLOOKUP($E6655,BD!$L$2:$Q$244,5,0),0)</f>
        <v>0</v>
      </c>
      <c r="J6655" s="3">
        <f t="shared" si="429"/>
        <v>1900</v>
      </c>
    </row>
    <row r="6656" spans="1:10" s="9" customFormat="1" x14ac:dyDescent="0.25">
      <c r="A6656" s="447"/>
      <c r="B6656" s="55" t="str">
        <f t="shared" si="426"/>
        <v>ENERO</v>
      </c>
      <c r="C6656" s="55">
        <f t="shared" si="427"/>
        <v>1</v>
      </c>
      <c r="D6656" s="3" t="str">
        <f t="shared" si="428"/>
        <v>SÁBADO</v>
      </c>
      <c r="E6656" s="427"/>
      <c r="F6656" s="31">
        <f>IFERROR(VLOOKUP(E6656,BD!$L$2:$Q$244,2,0),0)</f>
        <v>0</v>
      </c>
      <c r="G6656" s="424"/>
      <c r="H6656" s="31">
        <f>+IFERROR(VLOOKUP(E6656,BD!$L$2:$Q$244,6,0),0)</f>
        <v>0</v>
      </c>
      <c r="I6656" s="626">
        <f>IFERROR(G6656*VLOOKUP($E6656,BD!$L$2:$Q$244,5,0),0)</f>
        <v>0</v>
      </c>
      <c r="J6656" s="3">
        <f t="shared" si="429"/>
        <v>1900</v>
      </c>
    </row>
    <row r="6657" spans="1:10" s="9" customFormat="1" x14ac:dyDescent="0.25">
      <c r="A6657" s="447"/>
      <c r="B6657" s="55" t="str">
        <f t="shared" si="426"/>
        <v>ENERO</v>
      </c>
      <c r="C6657" s="55">
        <f t="shared" si="427"/>
        <v>1</v>
      </c>
      <c r="D6657" s="3" t="str">
        <f t="shared" si="428"/>
        <v>SÁBADO</v>
      </c>
      <c r="E6657" s="427"/>
      <c r="F6657" s="31">
        <f>IFERROR(VLOOKUP(E6657,BD!$L$2:$Q$244,2,0),0)</f>
        <v>0</v>
      </c>
      <c r="G6657" s="424"/>
      <c r="H6657" s="31">
        <f>+IFERROR(VLOOKUP(E6657,BD!$L$2:$Q$244,6,0),0)</f>
        <v>0</v>
      </c>
      <c r="I6657" s="626">
        <f>IFERROR(G6657*VLOOKUP($E6657,BD!$L$2:$Q$244,5,0),0)</f>
        <v>0</v>
      </c>
      <c r="J6657" s="3">
        <f t="shared" si="429"/>
        <v>1900</v>
      </c>
    </row>
    <row r="6658" spans="1:10" s="9" customFormat="1" x14ac:dyDescent="0.25">
      <c r="A6658" s="447"/>
      <c r="B6658" s="55" t="str">
        <f t="shared" si="426"/>
        <v>ENERO</v>
      </c>
      <c r="C6658" s="55">
        <f t="shared" si="427"/>
        <v>1</v>
      </c>
      <c r="D6658" s="3" t="str">
        <f t="shared" si="428"/>
        <v>SÁBADO</v>
      </c>
      <c r="E6658" s="427"/>
      <c r="F6658" s="31">
        <f>IFERROR(VLOOKUP(E6658,BD!$L$2:$Q$244,2,0),0)</f>
        <v>0</v>
      </c>
      <c r="G6658" s="424"/>
      <c r="H6658" s="31">
        <f>+IFERROR(VLOOKUP(E6658,BD!$L$2:$Q$244,6,0),0)</f>
        <v>0</v>
      </c>
      <c r="I6658" s="626">
        <f>IFERROR(G6658*VLOOKUP($E6658,BD!$L$2:$Q$244,5,0),0)</f>
        <v>0</v>
      </c>
      <c r="J6658" s="3">
        <f t="shared" si="429"/>
        <v>1900</v>
      </c>
    </row>
    <row r="6659" spans="1:10" s="9" customFormat="1" x14ac:dyDescent="0.25">
      <c r="A6659" s="447"/>
      <c r="B6659" s="55" t="str">
        <f t="shared" si="426"/>
        <v>ENERO</v>
      </c>
      <c r="C6659" s="55">
        <f t="shared" si="427"/>
        <v>1</v>
      </c>
      <c r="D6659" s="3" t="str">
        <f t="shared" si="428"/>
        <v>SÁBADO</v>
      </c>
      <c r="E6659" s="427"/>
      <c r="F6659" s="31">
        <f>IFERROR(VLOOKUP(E6659,BD!$L$2:$Q$244,2,0),0)</f>
        <v>0</v>
      </c>
      <c r="G6659" s="424"/>
      <c r="H6659" s="31">
        <f>+IFERROR(VLOOKUP(E6659,BD!$L$2:$Q$244,6,0),0)</f>
        <v>0</v>
      </c>
      <c r="I6659" s="626">
        <f>IFERROR(G6659*VLOOKUP($E6659,BD!$L$2:$Q$244,5,0),0)</f>
        <v>0</v>
      </c>
      <c r="J6659" s="3">
        <f t="shared" si="429"/>
        <v>1900</v>
      </c>
    </row>
    <row r="6660" spans="1:10" s="9" customFormat="1" x14ac:dyDescent="0.25">
      <c r="A6660" s="447"/>
      <c r="B6660" s="55" t="str">
        <f t="shared" si="426"/>
        <v>ENERO</v>
      </c>
      <c r="C6660" s="55">
        <f t="shared" si="427"/>
        <v>1</v>
      </c>
      <c r="D6660" s="3" t="str">
        <f t="shared" si="428"/>
        <v>SÁBADO</v>
      </c>
      <c r="E6660" s="427"/>
      <c r="F6660" s="31">
        <f>IFERROR(VLOOKUP(E6660,BD!$L$2:$Q$244,2,0),0)</f>
        <v>0</v>
      </c>
      <c r="G6660" s="424"/>
      <c r="H6660" s="31">
        <f>+IFERROR(VLOOKUP(E6660,BD!$L$2:$Q$244,6,0),0)</f>
        <v>0</v>
      </c>
      <c r="I6660" s="626">
        <f>IFERROR(G6660*VLOOKUP($E6660,BD!$L$2:$Q$244,5,0),0)</f>
        <v>0</v>
      </c>
      <c r="J6660" s="3">
        <f t="shared" si="429"/>
        <v>1900</v>
      </c>
    </row>
    <row r="6661" spans="1:10" s="9" customFormat="1" x14ac:dyDescent="0.25">
      <c r="A6661" s="447"/>
      <c r="B6661" s="55" t="str">
        <f t="shared" si="426"/>
        <v>ENERO</v>
      </c>
      <c r="C6661" s="55">
        <f t="shared" si="427"/>
        <v>1</v>
      </c>
      <c r="D6661" s="3" t="str">
        <f t="shared" si="428"/>
        <v>SÁBADO</v>
      </c>
      <c r="E6661" s="427"/>
      <c r="F6661" s="31">
        <f>IFERROR(VLOOKUP(E6661,BD!$L$2:$Q$244,2,0),0)</f>
        <v>0</v>
      </c>
      <c r="G6661" s="424"/>
      <c r="H6661" s="31">
        <f>+IFERROR(VLOOKUP(E6661,BD!$L$2:$Q$244,6,0),0)</f>
        <v>0</v>
      </c>
      <c r="I6661" s="626">
        <f>IFERROR(G6661*VLOOKUP($E6661,BD!$L$2:$Q$244,5,0),0)</f>
        <v>0</v>
      </c>
      <c r="J6661" s="3">
        <f t="shared" si="429"/>
        <v>1900</v>
      </c>
    </row>
    <row r="6662" spans="1:10" s="9" customFormat="1" x14ac:dyDescent="0.25">
      <c r="A6662" s="447"/>
      <c r="B6662" s="55" t="str">
        <f t="shared" si="426"/>
        <v>ENERO</v>
      </c>
      <c r="C6662" s="55">
        <f t="shared" si="427"/>
        <v>1</v>
      </c>
      <c r="D6662" s="3" t="str">
        <f t="shared" si="428"/>
        <v>SÁBADO</v>
      </c>
      <c r="E6662" s="427"/>
      <c r="F6662" s="31">
        <f>IFERROR(VLOOKUP(E6662,BD!$L$2:$Q$244,2,0),0)</f>
        <v>0</v>
      </c>
      <c r="G6662" s="424"/>
      <c r="H6662" s="31">
        <f>+IFERROR(VLOOKUP(E6662,BD!$L$2:$Q$244,6,0),0)</f>
        <v>0</v>
      </c>
      <c r="I6662" s="626">
        <f>IFERROR(G6662*VLOOKUP($E6662,BD!$L$2:$Q$244,5,0),0)</f>
        <v>0</v>
      </c>
      <c r="J6662" s="3">
        <f t="shared" si="429"/>
        <v>1900</v>
      </c>
    </row>
    <row r="6663" spans="1:10" s="9" customFormat="1" x14ac:dyDescent="0.25">
      <c r="A6663" s="447"/>
      <c r="B6663" s="55" t="str">
        <f t="shared" si="426"/>
        <v>ENERO</v>
      </c>
      <c r="C6663" s="55">
        <f t="shared" si="427"/>
        <v>1</v>
      </c>
      <c r="D6663" s="3" t="str">
        <f t="shared" si="428"/>
        <v>SÁBADO</v>
      </c>
      <c r="E6663" s="427"/>
      <c r="F6663" s="31">
        <f>IFERROR(VLOOKUP(E6663,BD!$L$2:$Q$244,2,0),0)</f>
        <v>0</v>
      </c>
      <c r="G6663" s="424"/>
      <c r="H6663" s="31">
        <f>+IFERROR(VLOOKUP(E6663,BD!$L$2:$Q$244,6,0),0)</f>
        <v>0</v>
      </c>
      <c r="I6663" s="626">
        <f>IFERROR(G6663*VLOOKUP($E6663,BD!$L$2:$Q$244,5,0),0)</f>
        <v>0</v>
      </c>
      <c r="J6663" s="3">
        <f t="shared" si="429"/>
        <v>1900</v>
      </c>
    </row>
    <row r="6664" spans="1:10" s="9" customFormat="1" x14ac:dyDescent="0.25">
      <c r="A6664" s="447"/>
      <c r="B6664" s="55" t="str">
        <f t="shared" si="426"/>
        <v>ENERO</v>
      </c>
      <c r="C6664" s="55">
        <f t="shared" si="427"/>
        <v>1</v>
      </c>
      <c r="D6664" s="3" t="str">
        <f t="shared" si="428"/>
        <v>SÁBADO</v>
      </c>
      <c r="E6664" s="427"/>
      <c r="F6664" s="31">
        <f>IFERROR(VLOOKUP(E6664,BD!$L$2:$Q$244,2,0),0)</f>
        <v>0</v>
      </c>
      <c r="G6664" s="424"/>
      <c r="H6664" s="31">
        <f>+IFERROR(VLOOKUP(E6664,BD!$L$2:$Q$244,6,0),0)</f>
        <v>0</v>
      </c>
      <c r="I6664" s="626">
        <f>IFERROR(G6664*VLOOKUP($E6664,BD!$L$2:$Q$244,5,0),0)</f>
        <v>0</v>
      </c>
      <c r="J6664" s="3">
        <f t="shared" si="429"/>
        <v>1900</v>
      </c>
    </row>
    <row r="6665" spans="1:10" s="9" customFormat="1" x14ac:dyDescent="0.25">
      <c r="A6665" s="447"/>
      <c r="B6665" s="55" t="str">
        <f t="shared" si="426"/>
        <v>ENERO</v>
      </c>
      <c r="C6665" s="55">
        <f t="shared" si="427"/>
        <v>1</v>
      </c>
      <c r="D6665" s="3" t="str">
        <f t="shared" si="428"/>
        <v>SÁBADO</v>
      </c>
      <c r="E6665" s="427"/>
      <c r="F6665" s="31">
        <f>IFERROR(VLOOKUP(E6665,BD!$L$2:$Q$244,2,0),0)</f>
        <v>0</v>
      </c>
      <c r="G6665" s="424"/>
      <c r="H6665" s="31">
        <f>+IFERROR(VLOOKUP(E6665,BD!$L$2:$Q$244,6,0),0)</f>
        <v>0</v>
      </c>
      <c r="I6665" s="626">
        <f>IFERROR(G6665*VLOOKUP($E6665,BD!$L$2:$Q$244,5,0),0)</f>
        <v>0</v>
      </c>
      <c r="J6665" s="3">
        <f t="shared" si="429"/>
        <v>1900</v>
      </c>
    </row>
    <row r="6666" spans="1:10" s="9" customFormat="1" x14ac:dyDescent="0.25">
      <c r="A6666" s="447"/>
      <c r="B6666" s="55" t="str">
        <f t="shared" si="426"/>
        <v>ENERO</v>
      </c>
      <c r="C6666" s="55">
        <f t="shared" si="427"/>
        <v>1</v>
      </c>
      <c r="D6666" s="3" t="str">
        <f t="shared" si="428"/>
        <v>SÁBADO</v>
      </c>
      <c r="E6666" s="427"/>
      <c r="F6666" s="31">
        <f>IFERROR(VLOOKUP(E6666,BD!$L$2:$Q$244,2,0),0)</f>
        <v>0</v>
      </c>
      <c r="G6666" s="424"/>
      <c r="H6666" s="31">
        <f>+IFERROR(VLOOKUP(E6666,BD!$L$2:$Q$244,6,0),0)</f>
        <v>0</v>
      </c>
      <c r="I6666" s="626">
        <f>IFERROR(G6666*VLOOKUP($E6666,BD!$L$2:$Q$244,5,0),0)</f>
        <v>0</v>
      </c>
      <c r="J6666" s="3">
        <f t="shared" si="429"/>
        <v>1900</v>
      </c>
    </row>
    <row r="6667" spans="1:10" s="9" customFormat="1" x14ac:dyDescent="0.25">
      <c r="A6667" s="447"/>
      <c r="B6667" s="55" t="str">
        <f t="shared" si="426"/>
        <v>ENERO</v>
      </c>
      <c r="C6667" s="55">
        <f t="shared" si="427"/>
        <v>1</v>
      </c>
      <c r="D6667" s="3" t="str">
        <f t="shared" si="428"/>
        <v>SÁBADO</v>
      </c>
      <c r="E6667" s="427"/>
      <c r="F6667" s="31">
        <f>IFERROR(VLOOKUP(E6667,BD!$L$2:$Q$244,2,0),0)</f>
        <v>0</v>
      </c>
      <c r="G6667" s="424"/>
      <c r="H6667" s="31">
        <f>+IFERROR(VLOOKUP(E6667,BD!$L$2:$Q$244,6,0),0)</f>
        <v>0</v>
      </c>
      <c r="I6667" s="626">
        <f>IFERROR(G6667*VLOOKUP($E6667,BD!$L$2:$Q$244,5,0),0)</f>
        <v>0</v>
      </c>
      <c r="J6667" s="3">
        <f t="shared" si="429"/>
        <v>1900</v>
      </c>
    </row>
    <row r="6668" spans="1:10" s="9" customFormat="1" x14ac:dyDescent="0.25">
      <c r="A6668" s="447"/>
      <c r="B6668" s="55" t="str">
        <f t="shared" si="426"/>
        <v>ENERO</v>
      </c>
      <c r="C6668" s="55">
        <f t="shared" si="427"/>
        <v>1</v>
      </c>
      <c r="D6668" s="3" t="str">
        <f t="shared" si="428"/>
        <v>SÁBADO</v>
      </c>
      <c r="E6668" s="427"/>
      <c r="F6668" s="31">
        <f>IFERROR(VLOOKUP(E6668,BD!$L$2:$Q$244,2,0),0)</f>
        <v>0</v>
      </c>
      <c r="G6668" s="424"/>
      <c r="H6668" s="31">
        <f>+IFERROR(VLOOKUP(E6668,BD!$L$2:$Q$244,6,0),0)</f>
        <v>0</v>
      </c>
      <c r="I6668" s="626">
        <f>IFERROR(G6668*VLOOKUP($E6668,BD!$L$2:$Q$244,5,0),0)</f>
        <v>0</v>
      </c>
      <c r="J6668" s="3">
        <f t="shared" si="429"/>
        <v>1900</v>
      </c>
    </row>
    <row r="6669" spans="1:10" s="9" customFormat="1" x14ac:dyDescent="0.25">
      <c r="A6669" s="447"/>
      <c r="B6669" s="55" t="str">
        <f t="shared" si="426"/>
        <v>ENERO</v>
      </c>
      <c r="C6669" s="55">
        <f t="shared" si="427"/>
        <v>1</v>
      </c>
      <c r="D6669" s="3" t="str">
        <f t="shared" si="428"/>
        <v>SÁBADO</v>
      </c>
      <c r="E6669" s="427"/>
      <c r="F6669" s="31">
        <f>IFERROR(VLOOKUP(E6669,BD!$L$2:$Q$244,2,0),0)</f>
        <v>0</v>
      </c>
      <c r="G6669" s="424"/>
      <c r="H6669" s="31">
        <f>+IFERROR(VLOOKUP(E6669,BD!$L$2:$Q$244,6,0),0)</f>
        <v>0</v>
      </c>
      <c r="I6669" s="626">
        <f>IFERROR(G6669*VLOOKUP($E6669,BD!$L$2:$Q$244,5,0),0)</f>
        <v>0</v>
      </c>
      <c r="J6669" s="3">
        <f t="shared" si="429"/>
        <v>1900</v>
      </c>
    </row>
    <row r="6670" spans="1:10" s="9" customFormat="1" x14ac:dyDescent="0.25">
      <c r="A6670" s="447"/>
      <c r="B6670" s="55" t="str">
        <f t="shared" si="426"/>
        <v>ENERO</v>
      </c>
      <c r="C6670" s="55">
        <f t="shared" si="427"/>
        <v>1</v>
      </c>
      <c r="D6670" s="3" t="str">
        <f t="shared" si="428"/>
        <v>SÁBADO</v>
      </c>
      <c r="E6670" s="427"/>
      <c r="F6670" s="31">
        <f>IFERROR(VLOOKUP(E6670,BD!$L$2:$Q$244,2,0),0)</f>
        <v>0</v>
      </c>
      <c r="G6670" s="424"/>
      <c r="H6670" s="31">
        <f>+IFERROR(VLOOKUP(E6670,BD!$L$2:$Q$244,6,0),0)</f>
        <v>0</v>
      </c>
      <c r="I6670" s="626">
        <f>IFERROR(G6670*VLOOKUP($E6670,BD!$L$2:$Q$244,5,0),0)</f>
        <v>0</v>
      </c>
      <c r="J6670" s="3">
        <f t="shared" si="429"/>
        <v>1900</v>
      </c>
    </row>
    <row r="6671" spans="1:10" s="9" customFormat="1" x14ac:dyDescent="0.25">
      <c r="A6671" s="447"/>
      <c r="B6671" s="55" t="str">
        <f t="shared" si="426"/>
        <v>ENERO</v>
      </c>
      <c r="C6671" s="55">
        <f t="shared" si="427"/>
        <v>1</v>
      </c>
      <c r="D6671" s="3" t="str">
        <f t="shared" si="428"/>
        <v>SÁBADO</v>
      </c>
      <c r="E6671" s="427"/>
      <c r="F6671" s="31">
        <f>IFERROR(VLOOKUP(E6671,BD!$L$2:$Q$244,2,0),0)</f>
        <v>0</v>
      </c>
      <c r="G6671" s="424"/>
      <c r="H6671" s="31">
        <f>+IFERROR(VLOOKUP(E6671,BD!$L$2:$Q$244,6,0),0)</f>
        <v>0</v>
      </c>
      <c r="I6671" s="626">
        <f>IFERROR(G6671*VLOOKUP($E6671,BD!$L$2:$Q$244,5,0),0)</f>
        <v>0</v>
      </c>
      <c r="J6671" s="3">
        <f t="shared" si="429"/>
        <v>1900</v>
      </c>
    </row>
    <row r="6672" spans="1:10" s="9" customFormat="1" x14ac:dyDescent="0.25">
      <c r="A6672" s="447"/>
      <c r="B6672" s="55" t="str">
        <f t="shared" si="426"/>
        <v>ENERO</v>
      </c>
      <c r="C6672" s="55">
        <f t="shared" si="427"/>
        <v>1</v>
      </c>
      <c r="D6672" s="3" t="str">
        <f t="shared" si="428"/>
        <v>SÁBADO</v>
      </c>
      <c r="E6672" s="427"/>
      <c r="F6672" s="31">
        <f>IFERROR(VLOOKUP(E6672,BD!$L$2:$Q$244,2,0),0)</f>
        <v>0</v>
      </c>
      <c r="G6672" s="424"/>
      <c r="H6672" s="31">
        <f>+IFERROR(VLOOKUP(E6672,BD!$L$2:$Q$244,6,0),0)</f>
        <v>0</v>
      </c>
      <c r="I6672" s="626">
        <f>IFERROR(G6672*VLOOKUP($E6672,BD!$L$2:$Q$244,5,0),0)</f>
        <v>0</v>
      </c>
      <c r="J6672" s="3">
        <f t="shared" si="429"/>
        <v>1900</v>
      </c>
    </row>
    <row r="6673" spans="1:10" s="9" customFormat="1" x14ac:dyDescent="0.25">
      <c r="A6673" s="447"/>
      <c r="B6673" s="55" t="str">
        <f t="shared" si="426"/>
        <v>ENERO</v>
      </c>
      <c r="C6673" s="55">
        <f t="shared" si="427"/>
        <v>1</v>
      </c>
      <c r="D6673" s="3" t="str">
        <f t="shared" si="428"/>
        <v>SÁBADO</v>
      </c>
      <c r="E6673" s="427"/>
      <c r="F6673" s="31">
        <f>IFERROR(VLOOKUP(E6673,BD!$L$2:$Q$244,2,0),0)</f>
        <v>0</v>
      </c>
      <c r="G6673" s="424"/>
      <c r="H6673" s="31">
        <f>+IFERROR(VLOOKUP(E6673,BD!$L$2:$Q$244,6,0),0)</f>
        <v>0</v>
      </c>
      <c r="I6673" s="626">
        <f>IFERROR(G6673*VLOOKUP($E6673,BD!$L$2:$Q$244,5,0),0)</f>
        <v>0</v>
      </c>
      <c r="J6673" s="3">
        <f t="shared" si="429"/>
        <v>1900</v>
      </c>
    </row>
    <row r="6674" spans="1:10" s="9" customFormat="1" x14ac:dyDescent="0.25">
      <c r="A6674" s="447"/>
      <c r="B6674" s="55" t="str">
        <f t="shared" si="426"/>
        <v>ENERO</v>
      </c>
      <c r="C6674" s="55">
        <f t="shared" si="427"/>
        <v>1</v>
      </c>
      <c r="D6674" s="3" t="str">
        <f t="shared" si="428"/>
        <v>SÁBADO</v>
      </c>
      <c r="E6674" s="427"/>
      <c r="F6674" s="31">
        <f>IFERROR(VLOOKUP(E6674,BD!$L$2:$Q$244,2,0),0)</f>
        <v>0</v>
      </c>
      <c r="G6674" s="424"/>
      <c r="H6674" s="31">
        <f>+IFERROR(VLOOKUP(E6674,BD!$L$2:$Q$244,6,0),0)</f>
        <v>0</v>
      </c>
      <c r="I6674" s="626">
        <f>IFERROR(G6674*VLOOKUP($E6674,BD!$L$2:$Q$244,5,0),0)</f>
        <v>0</v>
      </c>
      <c r="J6674" s="3">
        <f t="shared" si="429"/>
        <v>1900</v>
      </c>
    </row>
    <row r="6675" spans="1:10" s="9" customFormat="1" x14ac:dyDescent="0.25">
      <c r="A6675" s="447"/>
      <c r="B6675" s="55" t="str">
        <f t="shared" si="426"/>
        <v>ENERO</v>
      </c>
      <c r="C6675" s="55">
        <f t="shared" si="427"/>
        <v>1</v>
      </c>
      <c r="D6675" s="3" t="str">
        <f t="shared" si="428"/>
        <v>SÁBADO</v>
      </c>
      <c r="E6675" s="427"/>
      <c r="F6675" s="31">
        <f>IFERROR(VLOOKUP(E6675,BD!$L$2:$Q$244,2,0),0)</f>
        <v>0</v>
      </c>
      <c r="G6675" s="424"/>
      <c r="H6675" s="31">
        <f>+IFERROR(VLOOKUP(E6675,BD!$L$2:$Q$244,6,0),0)</f>
        <v>0</v>
      </c>
      <c r="I6675" s="626">
        <f>IFERROR(G6675*VLOOKUP($E6675,BD!$L$2:$Q$244,5,0),0)</f>
        <v>0</v>
      </c>
      <c r="J6675" s="3">
        <f t="shared" si="429"/>
        <v>1900</v>
      </c>
    </row>
    <row r="6676" spans="1:10" s="9" customFormat="1" x14ac:dyDescent="0.25">
      <c r="A6676" s="447"/>
      <c r="B6676" s="55" t="str">
        <f t="shared" si="426"/>
        <v>ENERO</v>
      </c>
      <c r="C6676" s="55">
        <f t="shared" si="427"/>
        <v>1</v>
      </c>
      <c r="D6676" s="3" t="str">
        <f t="shared" si="428"/>
        <v>SÁBADO</v>
      </c>
      <c r="E6676" s="427"/>
      <c r="F6676" s="31">
        <f>IFERROR(VLOOKUP(E6676,BD!$L$2:$Q$244,2,0),0)</f>
        <v>0</v>
      </c>
      <c r="G6676" s="424"/>
      <c r="H6676" s="31">
        <f>+IFERROR(VLOOKUP(E6676,BD!$L$2:$Q$244,6,0),0)</f>
        <v>0</v>
      </c>
      <c r="I6676" s="626">
        <f>IFERROR(G6676*VLOOKUP($E6676,BD!$L$2:$Q$244,5,0),0)</f>
        <v>0</v>
      </c>
      <c r="J6676" s="3">
        <f t="shared" si="429"/>
        <v>1900</v>
      </c>
    </row>
    <row r="6677" spans="1:10" s="9" customFormat="1" x14ac:dyDescent="0.25">
      <c r="A6677" s="447"/>
      <c r="B6677" s="55" t="str">
        <f t="shared" si="426"/>
        <v>ENERO</v>
      </c>
      <c r="C6677" s="55">
        <f t="shared" si="427"/>
        <v>1</v>
      </c>
      <c r="D6677" s="3" t="str">
        <f t="shared" si="428"/>
        <v>SÁBADO</v>
      </c>
      <c r="E6677" s="427"/>
      <c r="F6677" s="31">
        <f>IFERROR(VLOOKUP(E6677,BD!$L$2:$Q$244,2,0),0)</f>
        <v>0</v>
      </c>
      <c r="G6677" s="424"/>
      <c r="H6677" s="31">
        <f>+IFERROR(VLOOKUP(E6677,BD!$L$2:$Q$244,6,0),0)</f>
        <v>0</v>
      </c>
      <c r="I6677" s="626">
        <f>IFERROR(G6677*VLOOKUP($E6677,BD!$L$2:$Q$244,5,0),0)</f>
        <v>0</v>
      </c>
      <c r="J6677" s="3">
        <f t="shared" si="429"/>
        <v>1900</v>
      </c>
    </row>
    <row r="6678" spans="1:10" s="9" customFormat="1" x14ac:dyDescent="0.25">
      <c r="A6678" s="447"/>
      <c r="B6678" s="55" t="str">
        <f t="shared" si="426"/>
        <v>ENERO</v>
      </c>
      <c r="C6678" s="55">
        <f t="shared" si="427"/>
        <v>1</v>
      </c>
      <c r="D6678" s="3" t="str">
        <f t="shared" si="428"/>
        <v>SÁBADO</v>
      </c>
      <c r="E6678" s="427"/>
      <c r="F6678" s="31">
        <f>IFERROR(VLOOKUP(E6678,BD!$L$2:$Q$244,2,0),0)</f>
        <v>0</v>
      </c>
      <c r="G6678" s="424"/>
      <c r="H6678" s="31">
        <f>+IFERROR(VLOOKUP(E6678,BD!$L$2:$Q$244,6,0),0)</f>
        <v>0</v>
      </c>
      <c r="I6678" s="626">
        <f>IFERROR(G6678*VLOOKUP($E6678,BD!$L$2:$Q$244,5,0),0)</f>
        <v>0</v>
      </c>
      <c r="J6678" s="3">
        <f t="shared" si="429"/>
        <v>1900</v>
      </c>
    </row>
    <row r="6679" spans="1:10" s="9" customFormat="1" x14ac:dyDescent="0.25">
      <c r="A6679" s="447"/>
      <c r="B6679" s="55" t="str">
        <f t="shared" si="426"/>
        <v>ENERO</v>
      </c>
      <c r="C6679" s="55">
        <f t="shared" si="427"/>
        <v>1</v>
      </c>
      <c r="D6679" s="3" t="str">
        <f t="shared" si="428"/>
        <v>SÁBADO</v>
      </c>
      <c r="E6679" s="427"/>
      <c r="F6679" s="31">
        <f>IFERROR(VLOOKUP(E6679,BD!$L$2:$Q$244,2,0),0)</f>
        <v>0</v>
      </c>
      <c r="G6679" s="424"/>
      <c r="H6679" s="31">
        <f>+IFERROR(VLOOKUP(E6679,BD!$L$2:$Q$244,6,0),0)</f>
        <v>0</v>
      </c>
      <c r="I6679" s="626">
        <f>IFERROR(G6679*VLOOKUP($E6679,BD!$L$2:$Q$244,5,0),0)</f>
        <v>0</v>
      </c>
      <c r="J6679" s="3">
        <f t="shared" si="429"/>
        <v>1900</v>
      </c>
    </row>
    <row r="6680" spans="1:10" s="9" customFormat="1" x14ac:dyDescent="0.25">
      <c r="A6680" s="447"/>
      <c r="B6680" s="55" t="str">
        <f t="shared" si="426"/>
        <v>ENERO</v>
      </c>
      <c r="C6680" s="55">
        <f t="shared" si="427"/>
        <v>1</v>
      </c>
      <c r="D6680" s="3" t="str">
        <f t="shared" si="428"/>
        <v>SÁBADO</v>
      </c>
      <c r="E6680" s="427"/>
      <c r="F6680" s="31">
        <f>IFERROR(VLOOKUP(E6680,BD!$L$2:$Q$244,2,0),0)</f>
        <v>0</v>
      </c>
      <c r="G6680" s="424"/>
      <c r="H6680" s="31">
        <f>+IFERROR(VLOOKUP(E6680,BD!$L$2:$Q$244,6,0),0)</f>
        <v>0</v>
      </c>
      <c r="I6680" s="626">
        <f>IFERROR(G6680*VLOOKUP($E6680,BD!$L$2:$Q$244,5,0),0)</f>
        <v>0</v>
      </c>
      <c r="J6680" s="3">
        <f t="shared" si="429"/>
        <v>1900</v>
      </c>
    </row>
    <row r="6681" spans="1:10" s="9" customFormat="1" x14ac:dyDescent="0.25">
      <c r="A6681" s="447"/>
      <c r="B6681" s="55" t="str">
        <f t="shared" si="426"/>
        <v>ENERO</v>
      </c>
      <c r="C6681" s="55">
        <f t="shared" si="427"/>
        <v>1</v>
      </c>
      <c r="D6681" s="3" t="str">
        <f t="shared" si="428"/>
        <v>SÁBADO</v>
      </c>
      <c r="E6681" s="427"/>
      <c r="F6681" s="31">
        <f>IFERROR(VLOOKUP(E6681,BD!$L$2:$Q$244,2,0),0)</f>
        <v>0</v>
      </c>
      <c r="G6681" s="424"/>
      <c r="H6681" s="31">
        <f>+IFERROR(VLOOKUP(E6681,BD!$L$2:$Q$244,6,0),0)</f>
        <v>0</v>
      </c>
      <c r="I6681" s="626">
        <f>IFERROR(G6681*VLOOKUP($E6681,BD!$L$2:$Q$244,5,0),0)</f>
        <v>0</v>
      </c>
      <c r="J6681" s="3">
        <f t="shared" si="429"/>
        <v>1900</v>
      </c>
    </row>
    <row r="6682" spans="1:10" s="9" customFormat="1" x14ac:dyDescent="0.25">
      <c r="A6682" s="447"/>
      <c r="B6682" s="55" t="str">
        <f t="shared" si="426"/>
        <v>ENERO</v>
      </c>
      <c r="C6682" s="55">
        <f t="shared" si="427"/>
        <v>1</v>
      </c>
      <c r="D6682" s="3" t="str">
        <f t="shared" si="428"/>
        <v>SÁBADO</v>
      </c>
      <c r="E6682" s="427"/>
      <c r="F6682" s="31">
        <f>IFERROR(VLOOKUP(E6682,BD!$L$2:$Q$244,2,0),0)</f>
        <v>0</v>
      </c>
      <c r="G6682" s="424"/>
      <c r="H6682" s="31">
        <f>+IFERROR(VLOOKUP(E6682,BD!$L$2:$Q$244,6,0),0)</f>
        <v>0</v>
      </c>
      <c r="I6682" s="626">
        <f>IFERROR(G6682*VLOOKUP($E6682,BD!$L$2:$Q$244,5,0),0)</f>
        <v>0</v>
      </c>
      <c r="J6682" s="3">
        <f t="shared" si="429"/>
        <v>1900</v>
      </c>
    </row>
    <row r="6683" spans="1:10" s="9" customFormat="1" x14ac:dyDescent="0.25">
      <c r="A6683" s="447"/>
      <c r="B6683" s="55" t="str">
        <f t="shared" si="426"/>
        <v>ENERO</v>
      </c>
      <c r="C6683" s="55">
        <f t="shared" si="427"/>
        <v>1</v>
      </c>
      <c r="D6683" s="3" t="str">
        <f t="shared" si="428"/>
        <v>SÁBADO</v>
      </c>
      <c r="E6683" s="427"/>
      <c r="F6683" s="31">
        <f>IFERROR(VLOOKUP(E6683,BD!$L$2:$Q$244,2,0),0)</f>
        <v>0</v>
      </c>
      <c r="G6683" s="424"/>
      <c r="H6683" s="31">
        <f>+IFERROR(VLOOKUP(E6683,BD!$L$2:$Q$244,6,0),0)</f>
        <v>0</v>
      </c>
      <c r="I6683" s="626">
        <f>IFERROR(G6683*VLOOKUP($E6683,BD!$L$2:$Q$244,5,0),0)</f>
        <v>0</v>
      </c>
      <c r="J6683" s="3">
        <f t="shared" si="429"/>
        <v>1900</v>
      </c>
    </row>
    <row r="6684" spans="1:10" s="9" customFormat="1" x14ac:dyDescent="0.25">
      <c r="A6684" s="447"/>
      <c r="B6684" s="55" t="str">
        <f t="shared" si="426"/>
        <v>ENERO</v>
      </c>
      <c r="C6684" s="55">
        <f t="shared" si="427"/>
        <v>1</v>
      </c>
      <c r="D6684" s="3" t="str">
        <f t="shared" si="428"/>
        <v>SÁBADO</v>
      </c>
      <c r="E6684" s="427"/>
      <c r="F6684" s="31">
        <f>IFERROR(VLOOKUP(E6684,BD!$L$2:$Q$244,2,0),0)</f>
        <v>0</v>
      </c>
      <c r="G6684" s="424"/>
      <c r="H6684" s="31">
        <f>+IFERROR(VLOOKUP(E6684,BD!$L$2:$Q$244,6,0),0)</f>
        <v>0</v>
      </c>
      <c r="I6684" s="626">
        <f>IFERROR(G6684*VLOOKUP($E6684,BD!$L$2:$Q$244,5,0),0)</f>
        <v>0</v>
      </c>
      <c r="J6684" s="3">
        <f t="shared" si="429"/>
        <v>1900</v>
      </c>
    </row>
    <row r="6685" spans="1:10" s="9" customFormat="1" x14ac:dyDescent="0.25">
      <c r="A6685" s="447"/>
      <c r="B6685" s="55" t="str">
        <f t="shared" si="426"/>
        <v>ENERO</v>
      </c>
      <c r="C6685" s="55">
        <f t="shared" si="427"/>
        <v>1</v>
      </c>
      <c r="D6685" s="3" t="str">
        <f t="shared" si="428"/>
        <v>SÁBADO</v>
      </c>
      <c r="E6685" s="427"/>
      <c r="F6685" s="31">
        <f>IFERROR(VLOOKUP(E6685,BD!$L$2:$Q$244,2,0),0)</f>
        <v>0</v>
      </c>
      <c r="G6685" s="424"/>
      <c r="H6685" s="31">
        <f>+IFERROR(VLOOKUP(E6685,BD!$L$2:$Q$244,6,0),0)</f>
        <v>0</v>
      </c>
      <c r="I6685" s="626">
        <f>IFERROR(G6685*VLOOKUP($E6685,BD!$L$2:$Q$244,5,0),0)</f>
        <v>0</v>
      </c>
      <c r="J6685" s="3">
        <f t="shared" si="429"/>
        <v>1900</v>
      </c>
    </row>
    <row r="6686" spans="1:10" s="9" customFormat="1" x14ac:dyDescent="0.25">
      <c r="A6686" s="447"/>
      <c r="B6686" s="55" t="str">
        <f t="shared" si="426"/>
        <v>ENERO</v>
      </c>
      <c r="C6686" s="55">
        <f t="shared" si="427"/>
        <v>1</v>
      </c>
      <c r="D6686" s="3" t="str">
        <f t="shared" si="428"/>
        <v>SÁBADO</v>
      </c>
      <c r="E6686" s="427"/>
      <c r="F6686" s="31">
        <f>IFERROR(VLOOKUP(E6686,BD!$L$2:$Q$244,2,0),0)</f>
        <v>0</v>
      </c>
      <c r="G6686" s="424"/>
      <c r="H6686" s="31">
        <f>+IFERROR(VLOOKUP(E6686,BD!$L$2:$Q$244,6,0),0)</f>
        <v>0</v>
      </c>
      <c r="I6686" s="626">
        <f>IFERROR(G6686*VLOOKUP($E6686,BD!$L$2:$Q$244,5,0),0)</f>
        <v>0</v>
      </c>
      <c r="J6686" s="3">
        <f t="shared" si="429"/>
        <v>1900</v>
      </c>
    </row>
    <row r="6687" spans="1:10" s="9" customFormat="1" x14ac:dyDescent="0.25">
      <c r="A6687" s="447"/>
      <c r="B6687" s="55" t="str">
        <f t="shared" si="426"/>
        <v>ENERO</v>
      </c>
      <c r="C6687" s="55">
        <f t="shared" si="427"/>
        <v>1</v>
      </c>
      <c r="D6687" s="3" t="str">
        <f t="shared" si="428"/>
        <v>SÁBADO</v>
      </c>
      <c r="E6687" s="427"/>
      <c r="F6687" s="31">
        <f>IFERROR(VLOOKUP(E6687,BD!$L$2:$Q$244,2,0),0)</f>
        <v>0</v>
      </c>
      <c r="G6687" s="424"/>
      <c r="H6687" s="31">
        <f>+IFERROR(VLOOKUP(E6687,BD!$L$2:$Q$244,6,0),0)</f>
        <v>0</v>
      </c>
      <c r="I6687" s="626">
        <f>IFERROR(G6687*VLOOKUP($E6687,BD!$L$2:$Q$244,5,0),0)</f>
        <v>0</v>
      </c>
      <c r="J6687" s="3">
        <f t="shared" si="429"/>
        <v>1900</v>
      </c>
    </row>
    <row r="6688" spans="1:10" s="9" customFormat="1" x14ac:dyDescent="0.25">
      <c r="A6688" s="447"/>
      <c r="B6688" s="55" t="str">
        <f t="shared" si="426"/>
        <v>ENERO</v>
      </c>
      <c r="C6688" s="55">
        <f t="shared" si="427"/>
        <v>1</v>
      </c>
      <c r="D6688" s="3" t="str">
        <f t="shared" si="428"/>
        <v>SÁBADO</v>
      </c>
      <c r="E6688" s="427"/>
      <c r="F6688" s="31">
        <f>IFERROR(VLOOKUP(E6688,BD!$L$2:$Q$244,2,0),0)</f>
        <v>0</v>
      </c>
      <c r="G6688" s="424"/>
      <c r="H6688" s="31">
        <f>+IFERROR(VLOOKUP(E6688,BD!$L$2:$Q$244,6,0),0)</f>
        <v>0</v>
      </c>
      <c r="I6688" s="626">
        <f>IFERROR(G6688*VLOOKUP($E6688,BD!$L$2:$Q$244,5,0),0)</f>
        <v>0</v>
      </c>
      <c r="J6688" s="3">
        <f t="shared" si="429"/>
        <v>1900</v>
      </c>
    </row>
    <row r="6689" spans="1:10" s="9" customFormat="1" x14ac:dyDescent="0.25">
      <c r="A6689" s="447"/>
      <c r="B6689" s="55" t="str">
        <f t="shared" si="426"/>
        <v>ENERO</v>
      </c>
      <c r="C6689" s="55">
        <f t="shared" si="427"/>
        <v>1</v>
      </c>
      <c r="D6689" s="3" t="str">
        <f t="shared" si="428"/>
        <v>SÁBADO</v>
      </c>
      <c r="E6689" s="427"/>
      <c r="F6689" s="31">
        <f>IFERROR(VLOOKUP(E6689,BD!$L$2:$Q$244,2,0),0)</f>
        <v>0</v>
      </c>
      <c r="G6689" s="425"/>
      <c r="H6689" s="31">
        <f>+IFERROR(VLOOKUP(E6689,BD!$L$2:$Q$244,6,0),0)</f>
        <v>0</v>
      </c>
      <c r="I6689" s="626">
        <f>IFERROR(G6689*VLOOKUP($E6689,BD!$L$2:$Q$244,5,0),0)</f>
        <v>0</v>
      </c>
      <c r="J6689" s="3">
        <f t="shared" si="429"/>
        <v>1900</v>
      </c>
    </row>
    <row r="6690" spans="1:10" s="9" customFormat="1" x14ac:dyDescent="0.25">
      <c r="A6690" s="447"/>
      <c r="B6690" s="55" t="str">
        <f t="shared" si="426"/>
        <v>ENERO</v>
      </c>
      <c r="C6690" s="55">
        <f t="shared" si="427"/>
        <v>1</v>
      </c>
      <c r="D6690" s="3" t="str">
        <f t="shared" si="428"/>
        <v>SÁBADO</v>
      </c>
      <c r="E6690" s="427"/>
      <c r="F6690" s="31">
        <f>IFERROR(VLOOKUP(E6690,BD!$L$2:$Q$244,2,0),0)</f>
        <v>0</v>
      </c>
      <c r="G6690" s="425"/>
      <c r="H6690" s="31">
        <f>+IFERROR(VLOOKUP(E6690,BD!$L$2:$Q$244,6,0),0)</f>
        <v>0</v>
      </c>
      <c r="I6690" s="626">
        <f>IFERROR(G6690*VLOOKUP($E6690,BD!$L$2:$Q$244,5,0),0)</f>
        <v>0</v>
      </c>
      <c r="J6690" s="3">
        <f t="shared" si="429"/>
        <v>1900</v>
      </c>
    </row>
    <row r="6691" spans="1:10" s="9" customFormat="1" x14ac:dyDescent="0.25">
      <c r="A6691" s="447"/>
      <c r="B6691" s="55" t="str">
        <f t="shared" si="426"/>
        <v>ENERO</v>
      </c>
      <c r="C6691" s="55">
        <f t="shared" si="427"/>
        <v>1</v>
      </c>
      <c r="D6691" s="3" t="str">
        <f t="shared" si="428"/>
        <v>SÁBADO</v>
      </c>
      <c r="E6691" s="427"/>
      <c r="F6691" s="31">
        <f>IFERROR(VLOOKUP(E6691,BD!$L$2:$Q$244,2,0),0)</f>
        <v>0</v>
      </c>
      <c r="G6691" s="424"/>
      <c r="H6691" s="31">
        <f>+IFERROR(VLOOKUP(E6691,BD!$L$2:$Q$244,6,0),0)</f>
        <v>0</v>
      </c>
      <c r="I6691" s="626">
        <f>IFERROR(G6691*VLOOKUP($E6691,BD!$L$2:$Q$244,5,0),0)</f>
        <v>0</v>
      </c>
      <c r="J6691" s="3">
        <f t="shared" si="429"/>
        <v>1900</v>
      </c>
    </row>
    <row r="6692" spans="1:10" s="9" customFormat="1" x14ac:dyDescent="0.25">
      <c r="A6692" s="447"/>
      <c r="B6692" s="55" t="str">
        <f t="shared" si="426"/>
        <v>ENERO</v>
      </c>
      <c r="C6692" s="55">
        <f t="shared" si="427"/>
        <v>1</v>
      </c>
      <c r="D6692" s="3" t="str">
        <f t="shared" si="428"/>
        <v>SÁBADO</v>
      </c>
      <c r="E6692" s="427"/>
      <c r="F6692" s="31">
        <f>IFERROR(VLOOKUP(E6692,BD!$L$2:$Q$244,2,0),0)</f>
        <v>0</v>
      </c>
      <c r="G6692" s="424"/>
      <c r="H6692" s="31">
        <f>+IFERROR(VLOOKUP(E6692,BD!$L$2:$Q$244,6,0),0)</f>
        <v>0</v>
      </c>
      <c r="I6692" s="626">
        <f>IFERROR(G6692*VLOOKUP($E6692,BD!$L$2:$Q$244,5,0),0)</f>
        <v>0</v>
      </c>
      <c r="J6692" s="3">
        <f t="shared" si="429"/>
        <v>1900</v>
      </c>
    </row>
    <row r="6693" spans="1:10" s="9" customFormat="1" x14ac:dyDescent="0.25">
      <c r="A6693" s="447"/>
      <c r="B6693" s="55" t="str">
        <f t="shared" si="426"/>
        <v>ENERO</v>
      </c>
      <c r="C6693" s="55">
        <f t="shared" si="427"/>
        <v>1</v>
      </c>
      <c r="D6693" s="3" t="str">
        <f t="shared" si="428"/>
        <v>SÁBADO</v>
      </c>
      <c r="E6693" s="427"/>
      <c r="F6693" s="31">
        <f>IFERROR(VLOOKUP(E6693,BD!$L$2:$Q$244,2,0),0)</f>
        <v>0</v>
      </c>
      <c r="G6693" s="424"/>
      <c r="H6693" s="31">
        <f>+IFERROR(VLOOKUP(E6693,BD!$L$2:$Q$244,6,0),0)</f>
        <v>0</v>
      </c>
      <c r="I6693" s="626">
        <f>IFERROR(G6693*VLOOKUP($E6693,BD!$L$2:$Q$244,5,0),0)</f>
        <v>0</v>
      </c>
      <c r="J6693" s="3">
        <f t="shared" si="429"/>
        <v>1900</v>
      </c>
    </row>
    <row r="6694" spans="1:10" s="9" customFormat="1" x14ac:dyDescent="0.25">
      <c r="A6694" s="447"/>
      <c r="B6694" s="55" t="str">
        <f t="shared" si="426"/>
        <v>ENERO</v>
      </c>
      <c r="C6694" s="55">
        <f t="shared" si="427"/>
        <v>1</v>
      </c>
      <c r="D6694" s="3" t="str">
        <f t="shared" si="428"/>
        <v>SÁBADO</v>
      </c>
      <c r="E6694" s="427"/>
      <c r="F6694" s="31">
        <f>IFERROR(VLOOKUP(E6694,BD!$L$2:$Q$244,2,0),0)</f>
        <v>0</v>
      </c>
      <c r="G6694" s="425"/>
      <c r="H6694" s="31">
        <f>+IFERROR(VLOOKUP(E6694,BD!$L$2:$Q$244,6,0),0)</f>
        <v>0</v>
      </c>
      <c r="I6694" s="626">
        <f>IFERROR(G6694*VLOOKUP($E6694,BD!$L$2:$Q$244,5,0),0)</f>
        <v>0</v>
      </c>
      <c r="J6694" s="3">
        <f t="shared" si="429"/>
        <v>1900</v>
      </c>
    </row>
    <row r="6695" spans="1:10" s="9" customFormat="1" x14ac:dyDescent="0.25">
      <c r="A6695" s="447"/>
      <c r="B6695" s="55" t="str">
        <f t="shared" si="426"/>
        <v>ENERO</v>
      </c>
      <c r="C6695" s="55">
        <f t="shared" si="427"/>
        <v>1</v>
      </c>
      <c r="D6695" s="3" t="str">
        <f t="shared" si="428"/>
        <v>SÁBADO</v>
      </c>
      <c r="E6695" s="427"/>
      <c r="F6695" s="31">
        <f>IFERROR(VLOOKUP(E6695,BD!$L$2:$Q$244,2,0),0)</f>
        <v>0</v>
      </c>
      <c r="G6695" s="424"/>
      <c r="H6695" s="31">
        <f>+IFERROR(VLOOKUP(E6695,BD!$L$2:$Q$244,6,0),0)</f>
        <v>0</v>
      </c>
      <c r="I6695" s="626">
        <f>IFERROR(G6695*VLOOKUP($E6695,BD!$L$2:$Q$244,5,0),0)</f>
        <v>0</v>
      </c>
      <c r="J6695" s="3">
        <f t="shared" si="429"/>
        <v>1900</v>
      </c>
    </row>
    <row r="6696" spans="1:10" s="9" customFormat="1" x14ac:dyDescent="0.25">
      <c r="A6696" s="447"/>
      <c r="B6696" s="55" t="str">
        <f t="shared" si="426"/>
        <v>ENERO</v>
      </c>
      <c r="C6696" s="55">
        <f t="shared" si="427"/>
        <v>1</v>
      </c>
      <c r="D6696" s="3" t="str">
        <f t="shared" si="428"/>
        <v>SÁBADO</v>
      </c>
      <c r="E6696" s="427"/>
      <c r="F6696" s="31">
        <f>IFERROR(VLOOKUP(E6696,BD!$L$2:$Q$244,2,0),0)</f>
        <v>0</v>
      </c>
      <c r="G6696" s="424"/>
      <c r="H6696" s="31">
        <f>+IFERROR(VLOOKUP(E6696,BD!$L$2:$Q$244,6,0),0)</f>
        <v>0</v>
      </c>
      <c r="I6696" s="626">
        <f>IFERROR(G6696*VLOOKUP($E6696,BD!$L$2:$Q$244,5,0),0)</f>
        <v>0</v>
      </c>
      <c r="J6696" s="3">
        <f t="shared" si="429"/>
        <v>1900</v>
      </c>
    </row>
    <row r="6697" spans="1:10" s="9" customFormat="1" x14ac:dyDescent="0.25">
      <c r="A6697" s="447"/>
      <c r="B6697" s="55" t="str">
        <f t="shared" si="426"/>
        <v>ENERO</v>
      </c>
      <c r="C6697" s="55">
        <f t="shared" si="427"/>
        <v>1</v>
      </c>
      <c r="D6697" s="3" t="str">
        <f t="shared" si="428"/>
        <v>SÁBADO</v>
      </c>
      <c r="E6697" s="427"/>
      <c r="F6697" s="31">
        <f>IFERROR(VLOOKUP(E6697,BD!$L$2:$Q$244,2,0),0)</f>
        <v>0</v>
      </c>
      <c r="G6697" s="424"/>
      <c r="H6697" s="31">
        <f>+IFERROR(VLOOKUP(E6697,BD!$L$2:$Q$244,6,0),0)</f>
        <v>0</v>
      </c>
      <c r="I6697" s="626">
        <f>IFERROR(G6697*VLOOKUP($E6697,BD!$L$2:$Q$244,5,0),0)</f>
        <v>0</v>
      </c>
      <c r="J6697" s="3">
        <f t="shared" si="429"/>
        <v>1900</v>
      </c>
    </row>
    <row r="6698" spans="1:10" s="9" customFormat="1" x14ac:dyDescent="0.25">
      <c r="A6698" s="447"/>
      <c r="B6698" s="55" t="str">
        <f t="shared" si="426"/>
        <v>ENERO</v>
      </c>
      <c r="C6698" s="55">
        <f t="shared" si="427"/>
        <v>1</v>
      </c>
      <c r="D6698" s="3" t="str">
        <f t="shared" si="428"/>
        <v>SÁBADO</v>
      </c>
      <c r="E6698" s="427"/>
      <c r="F6698" s="31">
        <f>IFERROR(VLOOKUP(E6698,BD!$L$2:$Q$244,2,0),0)</f>
        <v>0</v>
      </c>
      <c r="G6698" s="424"/>
      <c r="H6698" s="31">
        <f>+IFERROR(VLOOKUP(E6698,BD!$L$2:$Q$244,6,0),0)</f>
        <v>0</v>
      </c>
      <c r="I6698" s="626">
        <f>IFERROR(G6698*VLOOKUP($E6698,BD!$L$2:$Q$244,5,0),0)</f>
        <v>0</v>
      </c>
      <c r="J6698" s="3">
        <f t="shared" si="429"/>
        <v>1900</v>
      </c>
    </row>
    <row r="6699" spans="1:10" s="9" customFormat="1" x14ac:dyDescent="0.25">
      <c r="A6699" s="447"/>
      <c r="B6699" s="55" t="str">
        <f t="shared" si="426"/>
        <v>ENERO</v>
      </c>
      <c r="C6699" s="55">
        <f t="shared" si="427"/>
        <v>1</v>
      </c>
      <c r="D6699" s="3" t="str">
        <f t="shared" si="428"/>
        <v>SÁBADO</v>
      </c>
      <c r="E6699" s="427"/>
      <c r="F6699" s="31">
        <f>IFERROR(VLOOKUP(E6699,BD!$L$2:$Q$244,2,0),0)</f>
        <v>0</v>
      </c>
      <c r="G6699" s="424"/>
      <c r="H6699" s="31">
        <f>+IFERROR(VLOOKUP(E6699,BD!$L$2:$Q$244,6,0),0)</f>
        <v>0</v>
      </c>
      <c r="I6699" s="626">
        <f>IFERROR(G6699*VLOOKUP($E6699,BD!$L$2:$Q$244,5,0),0)</f>
        <v>0</v>
      </c>
      <c r="J6699" s="3">
        <f t="shared" si="429"/>
        <v>1900</v>
      </c>
    </row>
    <row r="6700" spans="1:10" s="9" customFormat="1" x14ac:dyDescent="0.25">
      <c r="A6700" s="447"/>
      <c r="B6700" s="55" t="str">
        <f t="shared" si="426"/>
        <v>ENERO</v>
      </c>
      <c r="C6700" s="55">
        <f t="shared" si="427"/>
        <v>1</v>
      </c>
      <c r="D6700" s="3" t="str">
        <f t="shared" si="428"/>
        <v>SÁBADO</v>
      </c>
      <c r="E6700" s="427"/>
      <c r="F6700" s="31">
        <f>IFERROR(VLOOKUP(E6700,BD!$L$2:$Q$244,2,0),0)</f>
        <v>0</v>
      </c>
      <c r="G6700" s="424"/>
      <c r="H6700" s="31">
        <f>+IFERROR(VLOOKUP(E6700,BD!$L$2:$Q$244,6,0),0)</f>
        <v>0</v>
      </c>
      <c r="I6700" s="626">
        <f>IFERROR(G6700*VLOOKUP($E6700,BD!$L$2:$Q$244,5,0),0)</f>
        <v>0</v>
      </c>
      <c r="J6700" s="3">
        <f t="shared" si="429"/>
        <v>1900</v>
      </c>
    </row>
    <row r="6701" spans="1:10" s="9" customFormat="1" x14ac:dyDescent="0.25">
      <c r="A6701" s="447"/>
      <c r="B6701" s="55" t="str">
        <f t="shared" si="426"/>
        <v>ENERO</v>
      </c>
      <c r="C6701" s="55">
        <f t="shared" si="427"/>
        <v>1</v>
      </c>
      <c r="D6701" s="3" t="str">
        <f t="shared" si="428"/>
        <v>SÁBADO</v>
      </c>
      <c r="E6701" s="427"/>
      <c r="F6701" s="31">
        <f>IFERROR(VLOOKUP(E6701,BD!$L$2:$Q$244,2,0),0)</f>
        <v>0</v>
      </c>
      <c r="G6701" s="424"/>
      <c r="H6701" s="31">
        <f>+IFERROR(VLOOKUP(E6701,BD!$L$2:$Q$244,6,0),0)</f>
        <v>0</v>
      </c>
      <c r="I6701" s="626">
        <f>IFERROR(G6701*VLOOKUP($E6701,BD!$L$2:$Q$244,5,0),0)</f>
        <v>0</v>
      </c>
      <c r="J6701" s="3">
        <f t="shared" si="429"/>
        <v>1900</v>
      </c>
    </row>
    <row r="6702" spans="1:10" s="9" customFormat="1" x14ac:dyDescent="0.25">
      <c r="A6702" s="447"/>
      <c r="B6702" s="55" t="str">
        <f t="shared" si="426"/>
        <v>ENERO</v>
      </c>
      <c r="C6702" s="55">
        <f t="shared" si="427"/>
        <v>1</v>
      </c>
      <c r="D6702" s="3" t="str">
        <f t="shared" si="428"/>
        <v>SÁBADO</v>
      </c>
      <c r="E6702" s="427"/>
      <c r="F6702" s="31">
        <f>IFERROR(VLOOKUP(E6702,BD!$L$2:$Q$244,2,0),0)</f>
        <v>0</v>
      </c>
      <c r="G6702" s="424"/>
      <c r="H6702" s="31">
        <f>+IFERROR(VLOOKUP(E6702,BD!$L$2:$Q$244,6,0),0)</f>
        <v>0</v>
      </c>
      <c r="I6702" s="626">
        <f>IFERROR(G6702*VLOOKUP($E6702,BD!$L$2:$Q$244,5,0),0)</f>
        <v>0</v>
      </c>
      <c r="J6702" s="3">
        <f t="shared" si="429"/>
        <v>1900</v>
      </c>
    </row>
    <row r="6703" spans="1:10" s="9" customFormat="1" x14ac:dyDescent="0.25">
      <c r="A6703" s="447"/>
      <c r="B6703" s="55" t="str">
        <f t="shared" si="426"/>
        <v>ENERO</v>
      </c>
      <c r="C6703" s="55">
        <f t="shared" si="427"/>
        <v>1</v>
      </c>
      <c r="D6703" s="3" t="str">
        <f t="shared" si="428"/>
        <v>SÁBADO</v>
      </c>
      <c r="E6703" s="427"/>
      <c r="F6703" s="31">
        <f>IFERROR(VLOOKUP(E6703,BD!$L$2:$Q$244,2,0),0)</f>
        <v>0</v>
      </c>
      <c r="G6703" s="424"/>
      <c r="H6703" s="31">
        <f>+IFERROR(VLOOKUP(E6703,BD!$L$2:$Q$244,6,0),0)</f>
        <v>0</v>
      </c>
      <c r="I6703" s="626">
        <f>IFERROR(G6703*VLOOKUP($E6703,BD!$L$2:$Q$244,5,0),0)</f>
        <v>0</v>
      </c>
      <c r="J6703" s="3">
        <f t="shared" si="429"/>
        <v>1900</v>
      </c>
    </row>
    <row r="6704" spans="1:10" s="9" customFormat="1" x14ac:dyDescent="0.25">
      <c r="A6704" s="447"/>
      <c r="B6704" s="55" t="str">
        <f t="shared" si="426"/>
        <v>ENERO</v>
      </c>
      <c r="C6704" s="55">
        <f t="shared" si="427"/>
        <v>1</v>
      </c>
      <c r="D6704" s="3" t="str">
        <f t="shared" si="428"/>
        <v>SÁBADO</v>
      </c>
      <c r="E6704" s="427"/>
      <c r="F6704" s="31">
        <f>IFERROR(VLOOKUP(E6704,BD!$L$2:$Q$244,2,0),0)</f>
        <v>0</v>
      </c>
      <c r="G6704" s="424"/>
      <c r="H6704" s="31">
        <f>+IFERROR(VLOOKUP(E6704,BD!$L$2:$Q$244,6,0),0)</f>
        <v>0</v>
      </c>
      <c r="I6704" s="626">
        <f>IFERROR(G6704*VLOOKUP($E6704,BD!$L$2:$Q$244,5,0),0)</f>
        <v>0</v>
      </c>
      <c r="J6704" s="3">
        <f t="shared" si="429"/>
        <v>1900</v>
      </c>
    </row>
    <row r="6705" spans="1:10" s="9" customFormat="1" x14ac:dyDescent="0.25">
      <c r="A6705" s="447"/>
      <c r="B6705" s="55" t="str">
        <f t="shared" si="426"/>
        <v>ENERO</v>
      </c>
      <c r="C6705" s="55">
        <f t="shared" si="427"/>
        <v>1</v>
      </c>
      <c r="D6705" s="3" t="str">
        <f t="shared" si="428"/>
        <v>SÁBADO</v>
      </c>
      <c r="E6705" s="427"/>
      <c r="F6705" s="31">
        <f>IFERROR(VLOOKUP(E6705,BD!$L$2:$Q$244,2,0),0)</f>
        <v>0</v>
      </c>
      <c r="G6705" s="424"/>
      <c r="H6705" s="31">
        <f>+IFERROR(VLOOKUP(E6705,BD!$L$2:$Q$244,6,0),0)</f>
        <v>0</v>
      </c>
      <c r="I6705" s="626">
        <f>IFERROR(G6705*VLOOKUP($E6705,BD!$L$2:$Q$244,5,0),0)</f>
        <v>0</v>
      </c>
      <c r="J6705" s="3">
        <f t="shared" si="429"/>
        <v>1900</v>
      </c>
    </row>
    <row r="6706" spans="1:10" s="9" customFormat="1" x14ac:dyDescent="0.25">
      <c r="A6706" s="447"/>
      <c r="B6706" s="55" t="str">
        <f t="shared" si="426"/>
        <v>ENERO</v>
      </c>
      <c r="C6706" s="55">
        <f t="shared" si="427"/>
        <v>1</v>
      </c>
      <c r="D6706" s="3" t="str">
        <f t="shared" si="428"/>
        <v>SÁBADO</v>
      </c>
      <c r="E6706" s="427"/>
      <c r="F6706" s="31">
        <f>IFERROR(VLOOKUP(E6706,BD!$L$2:$Q$244,2,0),0)</f>
        <v>0</v>
      </c>
      <c r="G6706" s="424"/>
      <c r="H6706" s="31">
        <f>+IFERROR(VLOOKUP(E6706,BD!$L$2:$Q$244,6,0),0)</f>
        <v>0</v>
      </c>
      <c r="I6706" s="626">
        <f>IFERROR(G6706*VLOOKUP($E6706,BD!$L$2:$Q$244,5,0),0)</f>
        <v>0</v>
      </c>
      <c r="J6706" s="3">
        <f t="shared" si="429"/>
        <v>1900</v>
      </c>
    </row>
    <row r="6707" spans="1:10" s="9" customFormat="1" x14ac:dyDescent="0.25">
      <c r="A6707" s="447"/>
      <c r="B6707" s="55" t="str">
        <f t="shared" si="426"/>
        <v>ENERO</v>
      </c>
      <c r="C6707" s="55">
        <f t="shared" si="427"/>
        <v>1</v>
      </c>
      <c r="D6707" s="3" t="str">
        <f t="shared" si="428"/>
        <v>SÁBADO</v>
      </c>
      <c r="E6707" s="427"/>
      <c r="F6707" s="31">
        <f>IFERROR(VLOOKUP(E6707,BD!$L$2:$Q$244,2,0),0)</f>
        <v>0</v>
      </c>
      <c r="G6707" s="424"/>
      <c r="H6707" s="31">
        <f>+IFERROR(VLOOKUP(E6707,BD!$L$2:$Q$244,6,0),0)</f>
        <v>0</v>
      </c>
      <c r="I6707" s="626">
        <f>IFERROR(G6707*VLOOKUP($E6707,BD!$L$2:$Q$244,5,0),0)</f>
        <v>0</v>
      </c>
      <c r="J6707" s="3">
        <f t="shared" si="429"/>
        <v>1900</v>
      </c>
    </row>
    <row r="6708" spans="1:10" s="9" customFormat="1" x14ac:dyDescent="0.25">
      <c r="A6708" s="447"/>
      <c r="B6708" s="55" t="str">
        <f t="shared" si="426"/>
        <v>ENERO</v>
      </c>
      <c r="C6708" s="55">
        <f t="shared" si="427"/>
        <v>1</v>
      </c>
      <c r="D6708" s="3" t="str">
        <f t="shared" si="428"/>
        <v>SÁBADO</v>
      </c>
      <c r="E6708" s="427"/>
      <c r="F6708" s="31">
        <f>IFERROR(VLOOKUP(E6708,BD!$L$2:$Q$244,2,0),0)</f>
        <v>0</v>
      </c>
      <c r="G6708" s="424"/>
      <c r="H6708" s="31">
        <f>+IFERROR(VLOOKUP(E6708,BD!$L$2:$Q$244,6,0),0)</f>
        <v>0</v>
      </c>
      <c r="I6708" s="626">
        <f>IFERROR(G6708*VLOOKUP($E6708,BD!$L$2:$Q$244,5,0),0)</f>
        <v>0</v>
      </c>
      <c r="J6708" s="3">
        <f t="shared" si="429"/>
        <v>1900</v>
      </c>
    </row>
    <row r="6709" spans="1:10" s="9" customFormat="1" x14ac:dyDescent="0.25">
      <c r="A6709" s="447"/>
      <c r="B6709" s="55" t="str">
        <f t="shared" si="426"/>
        <v>ENERO</v>
      </c>
      <c r="C6709" s="55">
        <f t="shared" si="427"/>
        <v>1</v>
      </c>
      <c r="D6709" s="3" t="str">
        <f t="shared" si="428"/>
        <v>SÁBADO</v>
      </c>
      <c r="E6709" s="427"/>
      <c r="F6709" s="31">
        <f>IFERROR(VLOOKUP(E6709,BD!$L$2:$Q$244,2,0),0)</f>
        <v>0</v>
      </c>
      <c r="G6709" s="424"/>
      <c r="H6709" s="31">
        <f>+IFERROR(VLOOKUP(E6709,BD!$L$2:$Q$244,6,0),0)</f>
        <v>0</v>
      </c>
      <c r="I6709" s="626">
        <f>IFERROR(G6709*VLOOKUP($E6709,BD!$L$2:$Q$244,5,0),0)</f>
        <v>0</v>
      </c>
      <c r="J6709" s="3">
        <f t="shared" si="429"/>
        <v>1900</v>
      </c>
    </row>
    <row r="6710" spans="1:10" s="9" customFormat="1" x14ac:dyDescent="0.25">
      <c r="A6710" s="447"/>
      <c r="B6710" s="55" t="str">
        <f t="shared" si="426"/>
        <v>ENERO</v>
      </c>
      <c r="C6710" s="55">
        <f t="shared" si="427"/>
        <v>1</v>
      </c>
      <c r="D6710" s="3" t="str">
        <f t="shared" si="428"/>
        <v>SÁBADO</v>
      </c>
      <c r="E6710" s="427"/>
      <c r="F6710" s="31">
        <f>IFERROR(VLOOKUP(E6710,BD!$L$2:$Q$244,2,0),0)</f>
        <v>0</v>
      </c>
      <c r="G6710" s="424"/>
      <c r="H6710" s="31">
        <f>+IFERROR(VLOOKUP(E6710,BD!$L$2:$Q$244,6,0),0)</f>
        <v>0</v>
      </c>
      <c r="I6710" s="626">
        <f>IFERROR(G6710*VLOOKUP($E6710,BD!$L$2:$Q$244,5,0),0)</f>
        <v>0</v>
      </c>
      <c r="J6710" s="3">
        <f t="shared" si="429"/>
        <v>1900</v>
      </c>
    </row>
    <row r="6711" spans="1:10" s="9" customFormat="1" x14ac:dyDescent="0.25">
      <c r="A6711" s="447"/>
      <c r="B6711" s="55" t="str">
        <f t="shared" si="426"/>
        <v>ENERO</v>
      </c>
      <c r="C6711" s="55">
        <f t="shared" si="427"/>
        <v>1</v>
      </c>
      <c r="D6711" s="3" t="str">
        <f t="shared" si="428"/>
        <v>SÁBADO</v>
      </c>
      <c r="E6711" s="427"/>
      <c r="F6711" s="31">
        <f>IFERROR(VLOOKUP(E6711,BD!$L$2:$Q$244,2,0),0)</f>
        <v>0</v>
      </c>
      <c r="G6711" s="424"/>
      <c r="H6711" s="31">
        <f>+IFERROR(VLOOKUP(E6711,BD!$L$2:$Q$244,6,0),0)</f>
        <v>0</v>
      </c>
      <c r="I6711" s="626">
        <f>IFERROR(G6711*VLOOKUP($E6711,BD!$L$2:$Q$244,5,0),0)</f>
        <v>0</v>
      </c>
      <c r="J6711" s="3">
        <f t="shared" si="429"/>
        <v>1900</v>
      </c>
    </row>
    <row r="6712" spans="1:10" s="9" customFormat="1" x14ac:dyDescent="0.25">
      <c r="A6712" s="447"/>
      <c r="B6712" s="55" t="str">
        <f t="shared" si="426"/>
        <v>ENERO</v>
      </c>
      <c r="C6712" s="55">
        <f t="shared" si="427"/>
        <v>1</v>
      </c>
      <c r="D6712" s="3" t="str">
        <f t="shared" si="428"/>
        <v>SÁBADO</v>
      </c>
      <c r="E6712" s="427"/>
      <c r="F6712" s="31">
        <f>IFERROR(VLOOKUP(E6712,BD!$L$2:$Q$244,2,0),0)</f>
        <v>0</v>
      </c>
      <c r="G6712" s="424"/>
      <c r="H6712" s="31">
        <f>+IFERROR(VLOOKUP(E6712,BD!$L$2:$Q$244,6,0),0)</f>
        <v>0</v>
      </c>
      <c r="I6712" s="626">
        <f>IFERROR(G6712*VLOOKUP($E6712,BD!$L$2:$Q$244,5,0),0)</f>
        <v>0</v>
      </c>
      <c r="J6712" s="3">
        <f t="shared" si="429"/>
        <v>1900</v>
      </c>
    </row>
    <row r="6713" spans="1:10" s="9" customFormat="1" x14ac:dyDescent="0.25">
      <c r="A6713" s="447"/>
      <c r="B6713" s="55" t="str">
        <f t="shared" si="426"/>
        <v>ENERO</v>
      </c>
      <c r="C6713" s="55">
        <f t="shared" si="427"/>
        <v>1</v>
      </c>
      <c r="D6713" s="3" t="str">
        <f t="shared" si="428"/>
        <v>SÁBADO</v>
      </c>
      <c r="E6713" s="427"/>
      <c r="F6713" s="31">
        <f>IFERROR(VLOOKUP(E6713,BD!$L$2:$Q$244,2,0),0)</f>
        <v>0</v>
      </c>
      <c r="G6713" s="424"/>
      <c r="H6713" s="31">
        <f>+IFERROR(VLOOKUP(E6713,BD!$L$2:$Q$244,6,0),0)</f>
        <v>0</v>
      </c>
      <c r="I6713" s="626">
        <f>IFERROR(G6713*VLOOKUP($E6713,BD!$L$2:$Q$244,5,0),0)</f>
        <v>0</v>
      </c>
      <c r="J6713" s="3">
        <f t="shared" si="429"/>
        <v>1900</v>
      </c>
    </row>
    <row r="6714" spans="1:10" s="9" customFormat="1" x14ac:dyDescent="0.25">
      <c r="A6714" s="447"/>
      <c r="B6714" s="55" t="str">
        <f t="shared" si="426"/>
        <v>ENERO</v>
      </c>
      <c r="C6714" s="55">
        <f t="shared" si="427"/>
        <v>1</v>
      </c>
      <c r="D6714" s="3" t="str">
        <f t="shared" si="428"/>
        <v>SÁBADO</v>
      </c>
      <c r="E6714" s="427"/>
      <c r="F6714" s="31">
        <f>IFERROR(VLOOKUP(E6714,BD!$L$2:$Q$244,2,0),0)</f>
        <v>0</v>
      </c>
      <c r="G6714" s="425"/>
      <c r="H6714" s="31">
        <f>+IFERROR(VLOOKUP(E6714,BD!$L$2:$Q$244,6,0),0)</f>
        <v>0</v>
      </c>
      <c r="I6714" s="626">
        <f>IFERROR(G6714*VLOOKUP($E6714,BD!$L$2:$Q$244,5,0),0)</f>
        <v>0</v>
      </c>
      <c r="J6714" s="3">
        <f t="shared" si="429"/>
        <v>1900</v>
      </c>
    </row>
    <row r="6715" spans="1:10" s="9" customFormat="1" x14ac:dyDescent="0.25">
      <c r="A6715" s="447"/>
      <c r="B6715" s="55" t="str">
        <f t="shared" si="426"/>
        <v>ENERO</v>
      </c>
      <c r="C6715" s="55">
        <f t="shared" si="427"/>
        <v>1</v>
      </c>
      <c r="D6715" s="3" t="str">
        <f t="shared" si="428"/>
        <v>SÁBADO</v>
      </c>
      <c r="E6715" s="427"/>
      <c r="F6715" s="31">
        <f>IFERROR(VLOOKUP(E6715,BD!$L$2:$Q$244,2,0),0)</f>
        <v>0</v>
      </c>
      <c r="G6715" s="424"/>
      <c r="H6715" s="31">
        <f>+IFERROR(VLOOKUP(E6715,BD!$L$2:$Q$244,6,0),0)</f>
        <v>0</v>
      </c>
      <c r="I6715" s="626">
        <f>IFERROR(G6715*VLOOKUP($E6715,BD!$L$2:$Q$244,5,0),0)</f>
        <v>0</v>
      </c>
      <c r="J6715" s="3">
        <f t="shared" si="429"/>
        <v>1900</v>
      </c>
    </row>
    <row r="6716" spans="1:10" s="9" customFormat="1" x14ac:dyDescent="0.25">
      <c r="A6716" s="447"/>
      <c r="B6716" s="55" t="str">
        <f t="shared" si="426"/>
        <v>ENERO</v>
      </c>
      <c r="C6716" s="55">
        <f t="shared" si="427"/>
        <v>1</v>
      </c>
      <c r="D6716" s="3" t="str">
        <f t="shared" si="428"/>
        <v>SÁBADO</v>
      </c>
      <c r="E6716" s="427"/>
      <c r="F6716" s="31">
        <f>IFERROR(VLOOKUP(E6716,BD!$L$2:$Q$244,2,0),0)</f>
        <v>0</v>
      </c>
      <c r="G6716" s="424"/>
      <c r="H6716" s="31">
        <f>+IFERROR(VLOOKUP(E6716,BD!$L$2:$Q$244,6,0),0)</f>
        <v>0</v>
      </c>
      <c r="I6716" s="626">
        <f>IFERROR(G6716*VLOOKUP($E6716,BD!$L$2:$Q$244,5,0),0)</f>
        <v>0</v>
      </c>
      <c r="J6716" s="3">
        <f t="shared" si="429"/>
        <v>1900</v>
      </c>
    </row>
    <row r="6717" spans="1:10" s="9" customFormat="1" x14ac:dyDescent="0.25">
      <c r="A6717" s="447"/>
      <c r="B6717" s="55" t="str">
        <f t="shared" ref="B6717:B6780" si="430">UPPER(TEXT(A6717,"MMMM"))</f>
        <v>ENERO</v>
      </c>
      <c r="C6717" s="55">
        <f t="shared" ref="C6717:C6780" si="431">WEEKNUM(A6717,16)</f>
        <v>1</v>
      </c>
      <c r="D6717" s="3" t="str">
        <f t="shared" ref="D6717:D6780" si="432">UPPER(TEXT(A6717,"DDDD"))</f>
        <v>SÁBADO</v>
      </c>
      <c r="E6717" s="427"/>
      <c r="F6717" s="31">
        <f>IFERROR(VLOOKUP(E6717,BD!$L$2:$Q$244,2,0),0)</f>
        <v>0</v>
      </c>
      <c r="G6717" s="424"/>
      <c r="H6717" s="31">
        <f>+IFERROR(VLOOKUP(E6717,BD!$L$2:$Q$244,6,0),0)</f>
        <v>0</v>
      </c>
      <c r="I6717" s="626">
        <f>IFERROR(G6717*VLOOKUP($E6717,BD!$L$2:$Q$244,5,0),0)</f>
        <v>0</v>
      </c>
      <c r="J6717" s="3">
        <f t="shared" ref="J6717:J6780" si="433">+YEAR(A6717)</f>
        <v>1900</v>
      </c>
    </row>
    <row r="6718" spans="1:10" s="9" customFormat="1" x14ac:dyDescent="0.25">
      <c r="A6718" s="447"/>
      <c r="B6718" s="55" t="str">
        <f t="shared" si="430"/>
        <v>ENERO</v>
      </c>
      <c r="C6718" s="55">
        <f t="shared" si="431"/>
        <v>1</v>
      </c>
      <c r="D6718" s="3" t="str">
        <f t="shared" si="432"/>
        <v>SÁBADO</v>
      </c>
      <c r="E6718" s="427"/>
      <c r="F6718" s="31">
        <f>IFERROR(VLOOKUP(E6718,BD!$L$2:$Q$244,2,0),0)</f>
        <v>0</v>
      </c>
      <c r="G6718" s="424"/>
      <c r="H6718" s="31">
        <f>+IFERROR(VLOOKUP(E6718,BD!$L$2:$Q$244,6,0),0)</f>
        <v>0</v>
      </c>
      <c r="I6718" s="626">
        <f>IFERROR(G6718*VLOOKUP($E6718,BD!$L$2:$Q$244,5,0),0)</f>
        <v>0</v>
      </c>
      <c r="J6718" s="3">
        <f t="shared" si="433"/>
        <v>1900</v>
      </c>
    </row>
    <row r="6719" spans="1:10" s="9" customFormat="1" x14ac:dyDescent="0.25">
      <c r="A6719" s="447"/>
      <c r="B6719" s="55" t="str">
        <f t="shared" si="430"/>
        <v>ENERO</v>
      </c>
      <c r="C6719" s="55">
        <f t="shared" si="431"/>
        <v>1</v>
      </c>
      <c r="D6719" s="3" t="str">
        <f t="shared" si="432"/>
        <v>SÁBADO</v>
      </c>
      <c r="E6719" s="427"/>
      <c r="F6719" s="31">
        <f>IFERROR(VLOOKUP(E6719,BD!$L$2:$Q$244,2,0),0)</f>
        <v>0</v>
      </c>
      <c r="G6719" s="424"/>
      <c r="H6719" s="31">
        <f>+IFERROR(VLOOKUP(E6719,BD!$L$2:$Q$244,6,0),0)</f>
        <v>0</v>
      </c>
      <c r="I6719" s="626">
        <f>IFERROR(G6719*VLOOKUP($E6719,BD!$L$2:$Q$244,5,0),0)</f>
        <v>0</v>
      </c>
      <c r="J6719" s="3">
        <f t="shared" si="433"/>
        <v>1900</v>
      </c>
    </row>
    <row r="6720" spans="1:10" s="9" customFormat="1" x14ac:dyDescent="0.25">
      <c r="A6720" s="447"/>
      <c r="B6720" s="55" t="str">
        <f t="shared" si="430"/>
        <v>ENERO</v>
      </c>
      <c r="C6720" s="55">
        <f t="shared" si="431"/>
        <v>1</v>
      </c>
      <c r="D6720" s="3" t="str">
        <f t="shared" si="432"/>
        <v>SÁBADO</v>
      </c>
      <c r="E6720" s="427"/>
      <c r="F6720" s="31">
        <f>IFERROR(VLOOKUP(E6720,BD!$L$2:$Q$244,2,0),0)</f>
        <v>0</v>
      </c>
      <c r="G6720" s="424"/>
      <c r="H6720" s="31">
        <f>+IFERROR(VLOOKUP(E6720,BD!$L$2:$Q$244,6,0),0)</f>
        <v>0</v>
      </c>
      <c r="I6720" s="626">
        <f>IFERROR(G6720*VLOOKUP($E6720,BD!$L$2:$Q$244,5,0),0)</f>
        <v>0</v>
      </c>
      <c r="J6720" s="3">
        <f t="shared" si="433"/>
        <v>1900</v>
      </c>
    </row>
    <row r="6721" spans="1:10" s="9" customFormat="1" x14ac:dyDescent="0.25">
      <c r="A6721" s="447"/>
      <c r="B6721" s="55" t="str">
        <f t="shared" si="430"/>
        <v>ENERO</v>
      </c>
      <c r="C6721" s="55">
        <f t="shared" si="431"/>
        <v>1</v>
      </c>
      <c r="D6721" s="3" t="str">
        <f t="shared" si="432"/>
        <v>SÁBADO</v>
      </c>
      <c r="E6721" s="427"/>
      <c r="F6721" s="31">
        <f>IFERROR(VLOOKUP(E6721,BD!$L$2:$Q$244,2,0),0)</f>
        <v>0</v>
      </c>
      <c r="G6721" s="424"/>
      <c r="H6721" s="31">
        <f>+IFERROR(VLOOKUP(E6721,BD!$L$2:$Q$244,6,0),0)</f>
        <v>0</v>
      </c>
      <c r="I6721" s="626">
        <f>IFERROR(G6721*VLOOKUP($E6721,BD!$L$2:$Q$244,5,0),0)</f>
        <v>0</v>
      </c>
      <c r="J6721" s="3">
        <f t="shared" si="433"/>
        <v>1900</v>
      </c>
    </row>
    <row r="6722" spans="1:10" s="9" customFormat="1" x14ac:dyDescent="0.25">
      <c r="A6722" s="447"/>
      <c r="B6722" s="55" t="str">
        <f t="shared" si="430"/>
        <v>ENERO</v>
      </c>
      <c r="C6722" s="55">
        <f t="shared" si="431"/>
        <v>1</v>
      </c>
      <c r="D6722" s="3" t="str">
        <f t="shared" si="432"/>
        <v>SÁBADO</v>
      </c>
      <c r="E6722" s="427"/>
      <c r="F6722" s="31">
        <f>IFERROR(VLOOKUP(E6722,BD!$L$2:$Q$244,2,0),0)</f>
        <v>0</v>
      </c>
      <c r="G6722" s="424"/>
      <c r="H6722" s="31">
        <f>+IFERROR(VLOOKUP(E6722,BD!$L$2:$Q$244,6,0),0)</f>
        <v>0</v>
      </c>
      <c r="I6722" s="626">
        <f>IFERROR(G6722*VLOOKUP($E6722,BD!$L$2:$Q$244,5,0),0)</f>
        <v>0</v>
      </c>
      <c r="J6722" s="3">
        <f t="shared" si="433"/>
        <v>1900</v>
      </c>
    </row>
    <row r="6723" spans="1:10" s="9" customFormat="1" x14ac:dyDescent="0.25">
      <c r="A6723" s="447"/>
      <c r="B6723" s="55" t="str">
        <f t="shared" si="430"/>
        <v>ENERO</v>
      </c>
      <c r="C6723" s="55">
        <f t="shared" si="431"/>
        <v>1</v>
      </c>
      <c r="D6723" s="3" t="str">
        <f t="shared" si="432"/>
        <v>SÁBADO</v>
      </c>
      <c r="E6723" s="427"/>
      <c r="F6723" s="31">
        <f>IFERROR(VLOOKUP(E6723,BD!$L$2:$Q$244,2,0),0)</f>
        <v>0</v>
      </c>
      <c r="G6723" s="424"/>
      <c r="H6723" s="31">
        <f>+IFERROR(VLOOKUP(E6723,BD!$L$2:$Q$244,6,0),0)</f>
        <v>0</v>
      </c>
      <c r="I6723" s="626">
        <f>IFERROR(G6723*VLOOKUP($E6723,BD!$L$2:$Q$244,5,0),0)</f>
        <v>0</v>
      </c>
      <c r="J6723" s="3">
        <f t="shared" si="433"/>
        <v>1900</v>
      </c>
    </row>
    <row r="6724" spans="1:10" s="9" customFormat="1" x14ac:dyDescent="0.25">
      <c r="A6724" s="447"/>
      <c r="B6724" s="55" t="str">
        <f t="shared" si="430"/>
        <v>ENERO</v>
      </c>
      <c r="C6724" s="55">
        <f t="shared" si="431"/>
        <v>1</v>
      </c>
      <c r="D6724" s="3" t="str">
        <f t="shared" si="432"/>
        <v>SÁBADO</v>
      </c>
      <c r="E6724" s="427"/>
      <c r="F6724" s="31">
        <f>IFERROR(VLOOKUP(E6724,BD!$L$2:$Q$244,2,0),0)</f>
        <v>0</v>
      </c>
      <c r="G6724" s="424"/>
      <c r="H6724" s="31">
        <f>+IFERROR(VLOOKUP(E6724,BD!$L$2:$Q$244,6,0),0)</f>
        <v>0</v>
      </c>
      <c r="I6724" s="626">
        <f>IFERROR(G6724*VLOOKUP($E6724,BD!$L$2:$Q$244,5,0),0)</f>
        <v>0</v>
      </c>
      <c r="J6724" s="3">
        <f t="shared" si="433"/>
        <v>1900</v>
      </c>
    </row>
    <row r="6725" spans="1:10" s="9" customFormat="1" x14ac:dyDescent="0.25">
      <c r="A6725" s="447"/>
      <c r="B6725" s="55" t="str">
        <f t="shared" si="430"/>
        <v>ENERO</v>
      </c>
      <c r="C6725" s="55">
        <f t="shared" si="431"/>
        <v>1</v>
      </c>
      <c r="D6725" s="3" t="str">
        <f t="shared" si="432"/>
        <v>SÁBADO</v>
      </c>
      <c r="E6725" s="427"/>
      <c r="F6725" s="31">
        <f>IFERROR(VLOOKUP(E6725,BD!$L$2:$Q$244,2,0),0)</f>
        <v>0</v>
      </c>
      <c r="G6725" s="424"/>
      <c r="H6725" s="31">
        <f>+IFERROR(VLOOKUP(E6725,BD!$L$2:$Q$244,6,0),0)</f>
        <v>0</v>
      </c>
      <c r="I6725" s="626">
        <f>IFERROR(G6725*VLOOKUP($E6725,BD!$L$2:$Q$244,5,0),0)</f>
        <v>0</v>
      </c>
      <c r="J6725" s="3">
        <f t="shared" si="433"/>
        <v>1900</v>
      </c>
    </row>
    <row r="6726" spans="1:10" s="9" customFormat="1" x14ac:dyDescent="0.25">
      <c r="A6726" s="447"/>
      <c r="B6726" s="55" t="str">
        <f t="shared" si="430"/>
        <v>ENERO</v>
      </c>
      <c r="C6726" s="55">
        <f t="shared" si="431"/>
        <v>1</v>
      </c>
      <c r="D6726" s="3" t="str">
        <f t="shared" si="432"/>
        <v>SÁBADO</v>
      </c>
      <c r="E6726" s="427"/>
      <c r="F6726" s="31">
        <f>IFERROR(VLOOKUP(E6726,BD!$L$2:$Q$244,2,0),0)</f>
        <v>0</v>
      </c>
      <c r="G6726" s="424"/>
      <c r="H6726" s="31">
        <f>+IFERROR(VLOOKUP(E6726,BD!$L$2:$Q$244,6,0),0)</f>
        <v>0</v>
      </c>
      <c r="I6726" s="626">
        <f>IFERROR(G6726*VLOOKUP($E6726,BD!$L$2:$Q$244,5,0),0)</f>
        <v>0</v>
      </c>
      <c r="J6726" s="3">
        <f t="shared" si="433"/>
        <v>1900</v>
      </c>
    </row>
    <row r="6727" spans="1:10" s="9" customFormat="1" x14ac:dyDescent="0.25">
      <c r="A6727" s="447"/>
      <c r="B6727" s="55" t="str">
        <f t="shared" si="430"/>
        <v>ENERO</v>
      </c>
      <c r="C6727" s="55">
        <f t="shared" si="431"/>
        <v>1</v>
      </c>
      <c r="D6727" s="3" t="str">
        <f t="shared" si="432"/>
        <v>SÁBADO</v>
      </c>
      <c r="E6727" s="427"/>
      <c r="F6727" s="31">
        <f>IFERROR(VLOOKUP(E6727,BD!$L$2:$Q$244,2,0),0)</f>
        <v>0</v>
      </c>
      <c r="G6727" s="424"/>
      <c r="H6727" s="31">
        <f>+IFERROR(VLOOKUP(E6727,BD!$L$2:$Q$244,6,0),0)</f>
        <v>0</v>
      </c>
      <c r="I6727" s="626">
        <f>IFERROR(G6727*VLOOKUP($E6727,BD!$L$2:$Q$244,5,0),0)</f>
        <v>0</v>
      </c>
      <c r="J6727" s="3">
        <f t="shared" si="433"/>
        <v>1900</v>
      </c>
    </row>
    <row r="6728" spans="1:10" s="9" customFormat="1" x14ac:dyDescent="0.25">
      <c r="A6728" s="447"/>
      <c r="B6728" s="55" t="str">
        <f t="shared" si="430"/>
        <v>ENERO</v>
      </c>
      <c r="C6728" s="55">
        <f t="shared" si="431"/>
        <v>1</v>
      </c>
      <c r="D6728" s="3" t="str">
        <f t="shared" si="432"/>
        <v>SÁBADO</v>
      </c>
      <c r="E6728" s="427"/>
      <c r="F6728" s="31">
        <f>IFERROR(VLOOKUP(E6728,BD!$L$2:$Q$244,2,0),0)</f>
        <v>0</v>
      </c>
      <c r="G6728" s="425"/>
      <c r="H6728" s="31">
        <f>+IFERROR(VLOOKUP(E6728,BD!$L$2:$Q$244,6,0),0)</f>
        <v>0</v>
      </c>
      <c r="I6728" s="626">
        <f>IFERROR(G6728*VLOOKUP($E6728,BD!$L$2:$Q$244,5,0),0)</f>
        <v>0</v>
      </c>
      <c r="J6728" s="3">
        <f t="shared" si="433"/>
        <v>1900</v>
      </c>
    </row>
    <row r="6729" spans="1:10" s="9" customFormat="1" x14ac:dyDescent="0.25">
      <c r="A6729" s="447"/>
      <c r="B6729" s="55" t="str">
        <f t="shared" si="430"/>
        <v>ENERO</v>
      </c>
      <c r="C6729" s="55">
        <f t="shared" si="431"/>
        <v>1</v>
      </c>
      <c r="D6729" s="3" t="str">
        <f t="shared" si="432"/>
        <v>SÁBADO</v>
      </c>
      <c r="E6729" s="427"/>
      <c r="F6729" s="31">
        <f>IFERROR(VLOOKUP(E6729,BD!$L$2:$Q$244,2,0),0)</f>
        <v>0</v>
      </c>
      <c r="G6729" s="424"/>
      <c r="H6729" s="31">
        <f>+IFERROR(VLOOKUP(E6729,BD!$L$2:$Q$244,6,0),0)</f>
        <v>0</v>
      </c>
      <c r="I6729" s="626">
        <f>IFERROR(G6729*VLOOKUP($E6729,BD!$L$2:$Q$244,5,0),0)</f>
        <v>0</v>
      </c>
      <c r="J6729" s="3">
        <f t="shared" si="433"/>
        <v>1900</v>
      </c>
    </row>
    <row r="6730" spans="1:10" s="9" customFormat="1" x14ac:dyDescent="0.25">
      <c r="A6730" s="447"/>
      <c r="B6730" s="55" t="str">
        <f t="shared" si="430"/>
        <v>ENERO</v>
      </c>
      <c r="C6730" s="55">
        <f t="shared" si="431"/>
        <v>1</v>
      </c>
      <c r="D6730" s="3" t="str">
        <f t="shared" si="432"/>
        <v>SÁBADO</v>
      </c>
      <c r="E6730" s="427"/>
      <c r="F6730" s="31">
        <f>IFERROR(VLOOKUP(E6730,BD!$L$2:$Q$244,2,0),0)</f>
        <v>0</v>
      </c>
      <c r="G6730" s="424"/>
      <c r="H6730" s="31">
        <f>+IFERROR(VLOOKUP(E6730,BD!$L$2:$Q$244,6,0),0)</f>
        <v>0</v>
      </c>
      <c r="I6730" s="626">
        <f>IFERROR(G6730*VLOOKUP($E6730,BD!$L$2:$Q$244,5,0),0)</f>
        <v>0</v>
      </c>
      <c r="J6730" s="3">
        <f t="shared" si="433"/>
        <v>1900</v>
      </c>
    </row>
    <row r="6731" spans="1:10" s="9" customFormat="1" x14ac:dyDescent="0.25">
      <c r="A6731" s="447"/>
      <c r="B6731" s="55" t="str">
        <f t="shared" si="430"/>
        <v>ENERO</v>
      </c>
      <c r="C6731" s="55">
        <f t="shared" si="431"/>
        <v>1</v>
      </c>
      <c r="D6731" s="3" t="str">
        <f t="shared" si="432"/>
        <v>SÁBADO</v>
      </c>
      <c r="E6731" s="427"/>
      <c r="F6731" s="31">
        <f>IFERROR(VLOOKUP(E6731,BD!$L$2:$Q$244,2,0),0)</f>
        <v>0</v>
      </c>
      <c r="G6731" s="424"/>
      <c r="H6731" s="31">
        <f>+IFERROR(VLOOKUP(E6731,BD!$L$2:$Q$244,6,0),0)</f>
        <v>0</v>
      </c>
      <c r="I6731" s="626">
        <f>IFERROR(G6731*VLOOKUP($E6731,BD!$L$2:$Q$244,5,0),0)</f>
        <v>0</v>
      </c>
      <c r="J6731" s="3">
        <f t="shared" si="433"/>
        <v>1900</v>
      </c>
    </row>
    <row r="6732" spans="1:10" s="9" customFormat="1" x14ac:dyDescent="0.25">
      <c r="A6732" s="447"/>
      <c r="B6732" s="55" t="str">
        <f t="shared" si="430"/>
        <v>ENERO</v>
      </c>
      <c r="C6732" s="55">
        <f t="shared" si="431"/>
        <v>1</v>
      </c>
      <c r="D6732" s="3" t="str">
        <f t="shared" si="432"/>
        <v>SÁBADO</v>
      </c>
      <c r="E6732" s="427"/>
      <c r="F6732" s="31">
        <f>IFERROR(VLOOKUP(E6732,BD!$L$2:$Q$244,2,0),0)</f>
        <v>0</v>
      </c>
      <c r="G6732" s="424"/>
      <c r="H6732" s="31">
        <f>+IFERROR(VLOOKUP(E6732,BD!$L$2:$Q$244,6,0),0)</f>
        <v>0</v>
      </c>
      <c r="I6732" s="626">
        <f>IFERROR(G6732*VLOOKUP($E6732,BD!$L$2:$Q$244,5,0),0)</f>
        <v>0</v>
      </c>
      <c r="J6732" s="3">
        <f t="shared" si="433"/>
        <v>1900</v>
      </c>
    </row>
    <row r="6733" spans="1:10" s="9" customFormat="1" x14ac:dyDescent="0.25">
      <c r="A6733" s="447"/>
      <c r="B6733" s="55" t="str">
        <f t="shared" si="430"/>
        <v>ENERO</v>
      </c>
      <c r="C6733" s="55">
        <f t="shared" si="431"/>
        <v>1</v>
      </c>
      <c r="D6733" s="3" t="str">
        <f t="shared" si="432"/>
        <v>SÁBADO</v>
      </c>
      <c r="E6733" s="427"/>
      <c r="F6733" s="31">
        <f>IFERROR(VLOOKUP(E6733,BD!$L$2:$Q$244,2,0),0)</f>
        <v>0</v>
      </c>
      <c r="G6733" s="424"/>
      <c r="H6733" s="31">
        <f>+IFERROR(VLOOKUP(E6733,BD!$L$2:$Q$244,6,0),0)</f>
        <v>0</v>
      </c>
      <c r="I6733" s="626">
        <f>IFERROR(G6733*VLOOKUP($E6733,BD!$L$2:$Q$244,5,0),0)</f>
        <v>0</v>
      </c>
      <c r="J6733" s="3">
        <f t="shared" si="433"/>
        <v>1900</v>
      </c>
    </row>
    <row r="6734" spans="1:10" s="9" customFormat="1" x14ac:dyDescent="0.25">
      <c r="A6734" s="447"/>
      <c r="B6734" s="55" t="str">
        <f t="shared" si="430"/>
        <v>ENERO</v>
      </c>
      <c r="C6734" s="55">
        <f t="shared" si="431"/>
        <v>1</v>
      </c>
      <c r="D6734" s="3" t="str">
        <f t="shared" si="432"/>
        <v>SÁBADO</v>
      </c>
      <c r="E6734" s="427"/>
      <c r="F6734" s="31">
        <f>IFERROR(VLOOKUP(E6734,BD!$L$2:$Q$244,2,0),0)</f>
        <v>0</v>
      </c>
      <c r="G6734" s="424"/>
      <c r="H6734" s="31">
        <f>+IFERROR(VLOOKUP(E6734,BD!$L$2:$Q$244,6,0),0)</f>
        <v>0</v>
      </c>
      <c r="I6734" s="626">
        <f>IFERROR(G6734*VLOOKUP($E6734,BD!$L$2:$Q$244,5,0),0)</f>
        <v>0</v>
      </c>
      <c r="J6734" s="3">
        <f t="shared" si="433"/>
        <v>1900</v>
      </c>
    </row>
    <row r="6735" spans="1:10" s="9" customFormat="1" x14ac:dyDescent="0.25">
      <c r="A6735" s="447"/>
      <c r="B6735" s="55" t="str">
        <f t="shared" si="430"/>
        <v>ENERO</v>
      </c>
      <c r="C6735" s="55">
        <f t="shared" si="431"/>
        <v>1</v>
      </c>
      <c r="D6735" s="3" t="str">
        <f t="shared" si="432"/>
        <v>SÁBADO</v>
      </c>
      <c r="E6735" s="427"/>
      <c r="F6735" s="31">
        <f>IFERROR(VLOOKUP(E6735,BD!$L$2:$Q$244,2,0),0)</f>
        <v>0</v>
      </c>
      <c r="G6735" s="424"/>
      <c r="H6735" s="31">
        <f>+IFERROR(VLOOKUP(E6735,BD!$L$2:$Q$244,6,0),0)</f>
        <v>0</v>
      </c>
      <c r="I6735" s="626">
        <f>IFERROR(G6735*VLOOKUP($E6735,BD!$L$2:$Q$244,5,0),0)</f>
        <v>0</v>
      </c>
      <c r="J6735" s="3">
        <f t="shared" si="433"/>
        <v>1900</v>
      </c>
    </row>
    <row r="6736" spans="1:10" s="9" customFormat="1" x14ac:dyDescent="0.25">
      <c r="A6736" s="447"/>
      <c r="B6736" s="55" t="str">
        <f t="shared" si="430"/>
        <v>ENERO</v>
      </c>
      <c r="C6736" s="55">
        <f t="shared" si="431"/>
        <v>1</v>
      </c>
      <c r="D6736" s="3" t="str">
        <f t="shared" si="432"/>
        <v>SÁBADO</v>
      </c>
      <c r="E6736" s="427"/>
      <c r="F6736" s="31">
        <f>IFERROR(VLOOKUP(E6736,BD!$L$2:$Q$244,2,0),0)</f>
        <v>0</v>
      </c>
      <c r="G6736" s="424"/>
      <c r="H6736" s="31">
        <f>+IFERROR(VLOOKUP(E6736,BD!$L$2:$Q$244,6,0),0)</f>
        <v>0</v>
      </c>
      <c r="I6736" s="626">
        <f>IFERROR(G6736*VLOOKUP($E6736,BD!$L$2:$Q$244,5,0),0)</f>
        <v>0</v>
      </c>
      <c r="J6736" s="3">
        <f t="shared" si="433"/>
        <v>1900</v>
      </c>
    </row>
    <row r="6737" spans="1:10" s="9" customFormat="1" x14ac:dyDescent="0.25">
      <c r="A6737" s="447"/>
      <c r="B6737" s="55" t="str">
        <f t="shared" si="430"/>
        <v>ENERO</v>
      </c>
      <c r="C6737" s="55">
        <f t="shared" si="431"/>
        <v>1</v>
      </c>
      <c r="D6737" s="3" t="str">
        <f t="shared" si="432"/>
        <v>SÁBADO</v>
      </c>
      <c r="E6737" s="427"/>
      <c r="F6737" s="31">
        <f>IFERROR(VLOOKUP(E6737,BD!$L$2:$Q$244,2,0),0)</f>
        <v>0</v>
      </c>
      <c r="G6737" s="424"/>
      <c r="H6737" s="31">
        <f>+IFERROR(VLOOKUP(E6737,BD!$L$2:$Q$244,6,0),0)</f>
        <v>0</v>
      </c>
      <c r="I6737" s="626">
        <f>IFERROR(G6737*VLOOKUP($E6737,BD!$L$2:$Q$244,5,0),0)</f>
        <v>0</v>
      </c>
      <c r="J6737" s="3">
        <f t="shared" si="433"/>
        <v>1900</v>
      </c>
    </row>
    <row r="6738" spans="1:10" s="9" customFormat="1" x14ac:dyDescent="0.25">
      <c r="A6738" s="447"/>
      <c r="B6738" s="55" t="str">
        <f t="shared" si="430"/>
        <v>ENERO</v>
      </c>
      <c r="C6738" s="55">
        <f t="shared" si="431"/>
        <v>1</v>
      </c>
      <c r="D6738" s="3" t="str">
        <f t="shared" si="432"/>
        <v>SÁBADO</v>
      </c>
      <c r="E6738" s="427"/>
      <c r="F6738" s="31">
        <f>IFERROR(VLOOKUP(E6738,BD!$L$2:$Q$244,2,0),0)</f>
        <v>0</v>
      </c>
      <c r="G6738" s="424"/>
      <c r="H6738" s="31">
        <f>+IFERROR(VLOOKUP(E6738,BD!$L$2:$Q$244,6,0),0)</f>
        <v>0</v>
      </c>
      <c r="I6738" s="626">
        <f>IFERROR(G6738*VLOOKUP($E6738,BD!$L$2:$Q$244,5,0),0)</f>
        <v>0</v>
      </c>
      <c r="J6738" s="3">
        <f t="shared" si="433"/>
        <v>1900</v>
      </c>
    </row>
    <row r="6739" spans="1:10" s="9" customFormat="1" x14ac:dyDescent="0.25">
      <c r="A6739" s="447"/>
      <c r="B6739" s="55" t="str">
        <f t="shared" si="430"/>
        <v>ENERO</v>
      </c>
      <c r="C6739" s="55">
        <f t="shared" si="431"/>
        <v>1</v>
      </c>
      <c r="D6739" s="3" t="str">
        <f t="shared" si="432"/>
        <v>SÁBADO</v>
      </c>
      <c r="E6739" s="427"/>
      <c r="F6739" s="31">
        <f>IFERROR(VLOOKUP(E6739,BD!$L$2:$Q$244,2,0),0)</f>
        <v>0</v>
      </c>
      <c r="G6739" s="424"/>
      <c r="H6739" s="31">
        <f>+IFERROR(VLOOKUP(E6739,BD!$L$2:$Q$244,6,0),0)</f>
        <v>0</v>
      </c>
      <c r="I6739" s="626">
        <f>IFERROR(G6739*VLOOKUP($E6739,BD!$L$2:$Q$244,5,0),0)</f>
        <v>0</v>
      </c>
      <c r="J6739" s="3">
        <f t="shared" si="433"/>
        <v>1900</v>
      </c>
    </row>
    <row r="6740" spans="1:10" s="9" customFormat="1" x14ac:dyDescent="0.25">
      <c r="A6740" s="447"/>
      <c r="B6740" s="55" t="str">
        <f t="shared" si="430"/>
        <v>ENERO</v>
      </c>
      <c r="C6740" s="55">
        <f t="shared" si="431"/>
        <v>1</v>
      </c>
      <c r="D6740" s="3" t="str">
        <f t="shared" si="432"/>
        <v>SÁBADO</v>
      </c>
      <c r="E6740" s="427"/>
      <c r="F6740" s="31">
        <f>IFERROR(VLOOKUP(E6740,BD!$L$2:$Q$244,2,0),0)</f>
        <v>0</v>
      </c>
      <c r="G6740" s="424"/>
      <c r="H6740" s="31">
        <f>+IFERROR(VLOOKUP(E6740,BD!$L$2:$Q$244,6,0),0)</f>
        <v>0</v>
      </c>
      <c r="I6740" s="626">
        <f>IFERROR(G6740*VLOOKUP($E6740,BD!$L$2:$Q$244,5,0),0)</f>
        <v>0</v>
      </c>
      <c r="J6740" s="3">
        <f t="shared" si="433"/>
        <v>1900</v>
      </c>
    </row>
    <row r="6741" spans="1:10" s="9" customFormat="1" x14ac:dyDescent="0.25">
      <c r="A6741" s="447"/>
      <c r="B6741" s="55" t="str">
        <f t="shared" si="430"/>
        <v>ENERO</v>
      </c>
      <c r="C6741" s="55">
        <f t="shared" si="431"/>
        <v>1</v>
      </c>
      <c r="D6741" s="3" t="str">
        <f t="shared" si="432"/>
        <v>SÁBADO</v>
      </c>
      <c r="E6741" s="427"/>
      <c r="F6741" s="31">
        <f>IFERROR(VLOOKUP(E6741,BD!$L$2:$Q$244,2,0),0)</f>
        <v>0</v>
      </c>
      <c r="G6741" s="424"/>
      <c r="H6741" s="31">
        <f>+IFERROR(VLOOKUP(E6741,BD!$L$2:$Q$244,6,0),0)</f>
        <v>0</v>
      </c>
      <c r="I6741" s="626">
        <f>IFERROR(G6741*VLOOKUP($E6741,BD!$L$2:$Q$244,5,0),0)</f>
        <v>0</v>
      </c>
      <c r="J6741" s="3">
        <f t="shared" si="433"/>
        <v>1900</v>
      </c>
    </row>
    <row r="6742" spans="1:10" s="9" customFormat="1" x14ac:dyDescent="0.25">
      <c r="A6742" s="447"/>
      <c r="B6742" s="55" t="str">
        <f t="shared" si="430"/>
        <v>ENERO</v>
      </c>
      <c r="C6742" s="55">
        <f t="shared" si="431"/>
        <v>1</v>
      </c>
      <c r="D6742" s="3" t="str">
        <f t="shared" si="432"/>
        <v>SÁBADO</v>
      </c>
      <c r="E6742" s="427"/>
      <c r="F6742" s="31">
        <f>IFERROR(VLOOKUP(E6742,BD!$L$2:$Q$244,2,0),0)</f>
        <v>0</v>
      </c>
      <c r="G6742" s="424"/>
      <c r="H6742" s="31">
        <f>+IFERROR(VLOOKUP(E6742,BD!$L$2:$Q$244,6,0),0)</f>
        <v>0</v>
      </c>
      <c r="I6742" s="626">
        <f>IFERROR(G6742*VLOOKUP($E6742,BD!$L$2:$Q$244,5,0),0)</f>
        <v>0</v>
      </c>
      <c r="J6742" s="3">
        <f t="shared" si="433"/>
        <v>1900</v>
      </c>
    </row>
    <row r="6743" spans="1:10" s="9" customFormat="1" x14ac:dyDescent="0.25">
      <c r="A6743" s="447"/>
      <c r="B6743" s="55" t="str">
        <f t="shared" si="430"/>
        <v>ENERO</v>
      </c>
      <c r="C6743" s="55">
        <f t="shared" si="431"/>
        <v>1</v>
      </c>
      <c r="D6743" s="3" t="str">
        <f t="shared" si="432"/>
        <v>SÁBADO</v>
      </c>
      <c r="E6743" s="427"/>
      <c r="F6743" s="31">
        <f>IFERROR(VLOOKUP(E6743,BD!$L$2:$Q$244,2,0),0)</f>
        <v>0</v>
      </c>
      <c r="G6743" s="424"/>
      <c r="H6743" s="31">
        <f>+IFERROR(VLOOKUP(E6743,BD!$L$2:$Q$244,6,0),0)</f>
        <v>0</v>
      </c>
      <c r="I6743" s="626">
        <f>IFERROR(G6743*VLOOKUP($E6743,BD!$L$2:$Q$244,5,0),0)</f>
        <v>0</v>
      </c>
      <c r="J6743" s="3">
        <f t="shared" si="433"/>
        <v>1900</v>
      </c>
    </row>
    <row r="6744" spans="1:10" s="9" customFormat="1" x14ac:dyDescent="0.25">
      <c r="A6744" s="447"/>
      <c r="B6744" s="55" t="str">
        <f t="shared" si="430"/>
        <v>ENERO</v>
      </c>
      <c r="C6744" s="55">
        <f t="shared" si="431"/>
        <v>1</v>
      </c>
      <c r="D6744" s="3" t="str">
        <f t="shared" si="432"/>
        <v>SÁBADO</v>
      </c>
      <c r="E6744" s="427"/>
      <c r="F6744" s="31">
        <f>IFERROR(VLOOKUP(E6744,BD!$L$2:$Q$244,2,0),0)</f>
        <v>0</v>
      </c>
      <c r="G6744" s="424"/>
      <c r="H6744" s="31">
        <f>+IFERROR(VLOOKUP(E6744,BD!$L$2:$Q$244,6,0),0)</f>
        <v>0</v>
      </c>
      <c r="I6744" s="626">
        <f>IFERROR(G6744*VLOOKUP($E6744,BD!$L$2:$Q$244,5,0),0)</f>
        <v>0</v>
      </c>
      <c r="J6744" s="3">
        <f t="shared" si="433"/>
        <v>1900</v>
      </c>
    </row>
    <row r="6745" spans="1:10" s="9" customFormat="1" x14ac:dyDescent="0.25">
      <c r="A6745" s="447"/>
      <c r="B6745" s="55" t="str">
        <f t="shared" si="430"/>
        <v>ENERO</v>
      </c>
      <c r="C6745" s="55">
        <f t="shared" si="431"/>
        <v>1</v>
      </c>
      <c r="D6745" s="3" t="str">
        <f t="shared" si="432"/>
        <v>SÁBADO</v>
      </c>
      <c r="E6745" s="427"/>
      <c r="F6745" s="31">
        <f>IFERROR(VLOOKUP(E6745,BD!$L$2:$Q$244,2,0),0)</f>
        <v>0</v>
      </c>
      <c r="G6745" s="424"/>
      <c r="H6745" s="31">
        <f>+IFERROR(VLOOKUP(E6745,BD!$L$2:$Q$244,6,0),0)</f>
        <v>0</v>
      </c>
      <c r="I6745" s="626">
        <f>IFERROR(G6745*VLOOKUP($E6745,BD!$L$2:$Q$244,5,0),0)</f>
        <v>0</v>
      </c>
      <c r="J6745" s="3">
        <f t="shared" si="433"/>
        <v>1900</v>
      </c>
    </row>
    <row r="6746" spans="1:10" s="9" customFormat="1" x14ac:dyDescent="0.25">
      <c r="A6746" s="447"/>
      <c r="B6746" s="55" t="str">
        <f t="shared" si="430"/>
        <v>ENERO</v>
      </c>
      <c r="C6746" s="55">
        <f t="shared" si="431"/>
        <v>1</v>
      </c>
      <c r="D6746" s="3" t="str">
        <f t="shared" si="432"/>
        <v>SÁBADO</v>
      </c>
      <c r="E6746" s="427"/>
      <c r="F6746" s="31">
        <f>IFERROR(VLOOKUP(E6746,BD!$L$2:$Q$244,2,0),0)</f>
        <v>0</v>
      </c>
      <c r="G6746" s="424"/>
      <c r="H6746" s="31">
        <f>+IFERROR(VLOOKUP(E6746,BD!$L$2:$Q$244,6,0),0)</f>
        <v>0</v>
      </c>
      <c r="I6746" s="626">
        <f>IFERROR(G6746*VLOOKUP($E6746,BD!$L$2:$Q$244,5,0),0)</f>
        <v>0</v>
      </c>
      <c r="J6746" s="3">
        <f t="shared" si="433"/>
        <v>1900</v>
      </c>
    </row>
    <row r="6747" spans="1:10" s="9" customFormat="1" x14ac:dyDescent="0.25">
      <c r="A6747" s="447"/>
      <c r="B6747" s="55" t="str">
        <f t="shared" si="430"/>
        <v>ENERO</v>
      </c>
      <c r="C6747" s="55">
        <f t="shared" si="431"/>
        <v>1</v>
      </c>
      <c r="D6747" s="3" t="str">
        <f t="shared" si="432"/>
        <v>SÁBADO</v>
      </c>
      <c r="E6747" s="427"/>
      <c r="F6747" s="31">
        <f>IFERROR(VLOOKUP(E6747,BD!$L$2:$Q$244,2,0),0)</f>
        <v>0</v>
      </c>
      <c r="G6747" s="424"/>
      <c r="H6747" s="31">
        <f>+IFERROR(VLOOKUP(E6747,BD!$L$2:$Q$244,6,0),0)</f>
        <v>0</v>
      </c>
      <c r="I6747" s="626">
        <f>IFERROR(G6747*VLOOKUP($E6747,BD!$L$2:$Q$244,5,0),0)</f>
        <v>0</v>
      </c>
      <c r="J6747" s="3">
        <f t="shared" si="433"/>
        <v>1900</v>
      </c>
    </row>
    <row r="6748" spans="1:10" s="9" customFormat="1" x14ac:dyDescent="0.25">
      <c r="A6748" s="447"/>
      <c r="B6748" s="55" t="str">
        <f t="shared" si="430"/>
        <v>ENERO</v>
      </c>
      <c r="C6748" s="55">
        <f t="shared" si="431"/>
        <v>1</v>
      </c>
      <c r="D6748" s="3" t="str">
        <f t="shared" si="432"/>
        <v>SÁBADO</v>
      </c>
      <c r="E6748" s="427"/>
      <c r="F6748" s="31">
        <f>IFERROR(VLOOKUP(E6748,BD!$L$2:$Q$244,2,0),0)</f>
        <v>0</v>
      </c>
      <c r="G6748" s="424"/>
      <c r="H6748" s="31">
        <f>+IFERROR(VLOOKUP(E6748,BD!$L$2:$Q$244,6,0),0)</f>
        <v>0</v>
      </c>
      <c r="I6748" s="626">
        <f>IFERROR(G6748*VLOOKUP($E6748,BD!$L$2:$Q$244,5,0),0)</f>
        <v>0</v>
      </c>
      <c r="J6748" s="3">
        <f t="shared" si="433"/>
        <v>1900</v>
      </c>
    </row>
    <row r="6749" spans="1:10" s="9" customFormat="1" x14ac:dyDescent="0.25">
      <c r="A6749" s="447"/>
      <c r="B6749" s="55" t="str">
        <f t="shared" si="430"/>
        <v>ENERO</v>
      </c>
      <c r="C6749" s="55">
        <f t="shared" si="431"/>
        <v>1</v>
      </c>
      <c r="D6749" s="3" t="str">
        <f t="shared" si="432"/>
        <v>SÁBADO</v>
      </c>
      <c r="E6749" s="427"/>
      <c r="F6749" s="31">
        <f>IFERROR(VLOOKUP(E6749,BD!$L$2:$Q$244,2,0),0)</f>
        <v>0</v>
      </c>
      <c r="G6749" s="424"/>
      <c r="H6749" s="31">
        <f>+IFERROR(VLOOKUP(E6749,BD!$L$2:$Q$244,6,0),0)</f>
        <v>0</v>
      </c>
      <c r="I6749" s="626">
        <f>IFERROR(G6749*VLOOKUP($E6749,BD!$L$2:$Q$244,5,0),0)</f>
        <v>0</v>
      </c>
      <c r="J6749" s="3">
        <f t="shared" si="433"/>
        <v>1900</v>
      </c>
    </row>
    <row r="6750" spans="1:10" s="9" customFormat="1" x14ac:dyDescent="0.25">
      <c r="A6750" s="447"/>
      <c r="B6750" s="55" t="str">
        <f t="shared" si="430"/>
        <v>ENERO</v>
      </c>
      <c r="C6750" s="55">
        <f t="shared" si="431"/>
        <v>1</v>
      </c>
      <c r="D6750" s="3" t="str">
        <f t="shared" si="432"/>
        <v>SÁBADO</v>
      </c>
      <c r="E6750" s="427"/>
      <c r="F6750" s="31">
        <f>IFERROR(VLOOKUP(E6750,BD!$L$2:$Q$244,2,0),0)</f>
        <v>0</v>
      </c>
      <c r="G6750" s="424"/>
      <c r="H6750" s="31">
        <f>+IFERROR(VLOOKUP(E6750,BD!$L$2:$Q$244,6,0),0)</f>
        <v>0</v>
      </c>
      <c r="I6750" s="626">
        <f>IFERROR(G6750*VLOOKUP($E6750,BD!$L$2:$Q$244,5,0),0)</f>
        <v>0</v>
      </c>
      <c r="J6750" s="3">
        <f t="shared" si="433"/>
        <v>1900</v>
      </c>
    </row>
    <row r="6751" spans="1:10" s="9" customFormat="1" x14ac:dyDescent="0.25">
      <c r="A6751" s="447"/>
      <c r="B6751" s="55" t="str">
        <f t="shared" si="430"/>
        <v>ENERO</v>
      </c>
      <c r="C6751" s="55">
        <f t="shared" si="431"/>
        <v>1</v>
      </c>
      <c r="D6751" s="3" t="str">
        <f t="shared" si="432"/>
        <v>SÁBADO</v>
      </c>
      <c r="E6751" s="427"/>
      <c r="F6751" s="31">
        <f>IFERROR(VLOOKUP(E6751,BD!$L$2:$Q$244,2,0),0)</f>
        <v>0</v>
      </c>
      <c r="G6751" s="424"/>
      <c r="H6751" s="31">
        <f>+IFERROR(VLOOKUP(E6751,BD!$L$2:$Q$244,6,0),0)</f>
        <v>0</v>
      </c>
      <c r="I6751" s="626">
        <f>IFERROR(G6751*VLOOKUP($E6751,BD!$L$2:$Q$244,5,0),0)</f>
        <v>0</v>
      </c>
      <c r="J6751" s="3">
        <f t="shared" si="433"/>
        <v>1900</v>
      </c>
    </row>
    <row r="6752" spans="1:10" s="9" customFormat="1" x14ac:dyDescent="0.25">
      <c r="A6752" s="447"/>
      <c r="B6752" s="55" t="str">
        <f t="shared" si="430"/>
        <v>ENERO</v>
      </c>
      <c r="C6752" s="55">
        <f t="shared" si="431"/>
        <v>1</v>
      </c>
      <c r="D6752" s="3" t="str">
        <f t="shared" si="432"/>
        <v>SÁBADO</v>
      </c>
      <c r="E6752" s="427"/>
      <c r="F6752" s="31">
        <f>IFERROR(VLOOKUP(E6752,BD!$L$2:$Q$244,2,0),0)</f>
        <v>0</v>
      </c>
      <c r="G6752" s="424"/>
      <c r="H6752" s="31">
        <f>+IFERROR(VLOOKUP(E6752,BD!$L$2:$Q$244,6,0),0)</f>
        <v>0</v>
      </c>
      <c r="I6752" s="626">
        <f>IFERROR(G6752*VLOOKUP($E6752,BD!$L$2:$Q$244,5,0),0)</f>
        <v>0</v>
      </c>
      <c r="J6752" s="3">
        <f t="shared" si="433"/>
        <v>1900</v>
      </c>
    </row>
    <row r="6753" spans="1:10" s="9" customFormat="1" x14ac:dyDescent="0.25">
      <c r="A6753" s="447"/>
      <c r="B6753" s="55" t="str">
        <f t="shared" si="430"/>
        <v>ENERO</v>
      </c>
      <c r="C6753" s="55">
        <f t="shared" si="431"/>
        <v>1</v>
      </c>
      <c r="D6753" s="3" t="str">
        <f t="shared" si="432"/>
        <v>SÁBADO</v>
      </c>
      <c r="E6753" s="427"/>
      <c r="F6753" s="31">
        <f>IFERROR(VLOOKUP(E6753,BD!$L$2:$Q$244,2,0),0)</f>
        <v>0</v>
      </c>
      <c r="G6753" s="424"/>
      <c r="H6753" s="31">
        <f>+IFERROR(VLOOKUP(E6753,BD!$L$2:$Q$244,6,0),0)</f>
        <v>0</v>
      </c>
      <c r="I6753" s="626">
        <f>IFERROR(G6753*VLOOKUP($E6753,BD!$L$2:$Q$244,5,0),0)</f>
        <v>0</v>
      </c>
      <c r="J6753" s="3">
        <f t="shared" si="433"/>
        <v>1900</v>
      </c>
    </row>
    <row r="6754" spans="1:10" s="9" customFormat="1" x14ac:dyDescent="0.25">
      <c r="A6754" s="447"/>
      <c r="B6754" s="55" t="str">
        <f t="shared" si="430"/>
        <v>ENERO</v>
      </c>
      <c r="C6754" s="55">
        <f t="shared" si="431"/>
        <v>1</v>
      </c>
      <c r="D6754" s="3" t="str">
        <f t="shared" si="432"/>
        <v>SÁBADO</v>
      </c>
      <c r="E6754" s="427"/>
      <c r="F6754" s="31">
        <f>IFERROR(VLOOKUP(E6754,BD!$L$2:$Q$244,2,0),0)</f>
        <v>0</v>
      </c>
      <c r="G6754" s="424"/>
      <c r="H6754" s="31">
        <f>+IFERROR(VLOOKUP(E6754,BD!$L$2:$Q$244,6,0),0)</f>
        <v>0</v>
      </c>
      <c r="I6754" s="626">
        <f>IFERROR(G6754*VLOOKUP($E6754,BD!$L$2:$Q$244,5,0),0)</f>
        <v>0</v>
      </c>
      <c r="J6754" s="3">
        <f t="shared" si="433"/>
        <v>1900</v>
      </c>
    </row>
    <row r="6755" spans="1:10" s="9" customFormat="1" x14ac:dyDescent="0.25">
      <c r="A6755" s="447"/>
      <c r="B6755" s="55" t="str">
        <f t="shared" si="430"/>
        <v>ENERO</v>
      </c>
      <c r="C6755" s="55">
        <f t="shared" si="431"/>
        <v>1</v>
      </c>
      <c r="D6755" s="3" t="str">
        <f t="shared" si="432"/>
        <v>SÁBADO</v>
      </c>
      <c r="E6755" s="427"/>
      <c r="F6755" s="31">
        <f>IFERROR(VLOOKUP(E6755,BD!$L$2:$Q$244,2,0),0)</f>
        <v>0</v>
      </c>
      <c r="G6755" s="424"/>
      <c r="H6755" s="31">
        <f>+IFERROR(VLOOKUP(E6755,BD!$L$2:$Q$244,6,0),0)</f>
        <v>0</v>
      </c>
      <c r="I6755" s="626">
        <f>IFERROR(G6755*VLOOKUP($E6755,BD!$L$2:$Q$244,5,0),0)</f>
        <v>0</v>
      </c>
      <c r="J6755" s="3">
        <f t="shared" si="433"/>
        <v>1900</v>
      </c>
    </row>
    <row r="6756" spans="1:10" s="9" customFormat="1" x14ac:dyDescent="0.25">
      <c r="A6756" s="447"/>
      <c r="B6756" s="55" t="str">
        <f t="shared" si="430"/>
        <v>ENERO</v>
      </c>
      <c r="C6756" s="55">
        <f t="shared" si="431"/>
        <v>1</v>
      </c>
      <c r="D6756" s="3" t="str">
        <f t="shared" si="432"/>
        <v>SÁBADO</v>
      </c>
      <c r="E6756" s="427"/>
      <c r="F6756" s="31">
        <f>IFERROR(VLOOKUP(E6756,BD!$L$2:$Q$244,2,0),0)</f>
        <v>0</v>
      </c>
      <c r="G6756" s="424"/>
      <c r="H6756" s="31">
        <f>+IFERROR(VLOOKUP(E6756,BD!$L$2:$Q$244,6,0),0)</f>
        <v>0</v>
      </c>
      <c r="I6756" s="626">
        <f>IFERROR(G6756*VLOOKUP($E6756,BD!$L$2:$Q$244,5,0),0)</f>
        <v>0</v>
      </c>
      <c r="J6756" s="3">
        <f t="shared" si="433"/>
        <v>1900</v>
      </c>
    </row>
    <row r="6757" spans="1:10" s="9" customFormat="1" x14ac:dyDescent="0.25">
      <c r="A6757" s="447"/>
      <c r="B6757" s="55" t="str">
        <f t="shared" si="430"/>
        <v>ENERO</v>
      </c>
      <c r="C6757" s="55">
        <f t="shared" si="431"/>
        <v>1</v>
      </c>
      <c r="D6757" s="3" t="str">
        <f t="shared" si="432"/>
        <v>SÁBADO</v>
      </c>
      <c r="E6757" s="427"/>
      <c r="F6757" s="31">
        <f>IFERROR(VLOOKUP(E6757,BD!$L$2:$Q$244,2,0),0)</f>
        <v>0</v>
      </c>
      <c r="G6757" s="424"/>
      <c r="H6757" s="31">
        <f>+IFERROR(VLOOKUP(E6757,BD!$L$2:$Q$244,6,0),0)</f>
        <v>0</v>
      </c>
      <c r="I6757" s="626">
        <f>IFERROR(G6757*VLOOKUP($E6757,BD!$L$2:$Q$244,5,0),0)</f>
        <v>0</v>
      </c>
      <c r="J6757" s="3">
        <f t="shared" si="433"/>
        <v>1900</v>
      </c>
    </row>
    <row r="6758" spans="1:10" s="9" customFormat="1" x14ac:dyDescent="0.25">
      <c r="A6758" s="447"/>
      <c r="B6758" s="55" t="str">
        <f t="shared" si="430"/>
        <v>ENERO</v>
      </c>
      <c r="C6758" s="55">
        <f t="shared" si="431"/>
        <v>1</v>
      </c>
      <c r="D6758" s="3" t="str">
        <f t="shared" si="432"/>
        <v>SÁBADO</v>
      </c>
      <c r="E6758" s="427"/>
      <c r="F6758" s="31">
        <f>IFERROR(VLOOKUP(E6758,BD!$L$2:$Q$244,2,0),0)</f>
        <v>0</v>
      </c>
      <c r="G6758" s="424"/>
      <c r="H6758" s="31">
        <f>+IFERROR(VLOOKUP(E6758,BD!$L$2:$Q$244,6,0),0)</f>
        <v>0</v>
      </c>
      <c r="I6758" s="626">
        <f>IFERROR(G6758*VLOOKUP($E6758,BD!$L$2:$Q$244,5,0),0)</f>
        <v>0</v>
      </c>
      <c r="J6758" s="3">
        <f t="shared" si="433"/>
        <v>1900</v>
      </c>
    </row>
    <row r="6759" spans="1:10" s="9" customFormat="1" x14ac:dyDescent="0.25">
      <c r="A6759" s="447"/>
      <c r="B6759" s="55" t="str">
        <f t="shared" si="430"/>
        <v>ENERO</v>
      </c>
      <c r="C6759" s="55">
        <f t="shared" si="431"/>
        <v>1</v>
      </c>
      <c r="D6759" s="3" t="str">
        <f t="shared" si="432"/>
        <v>SÁBADO</v>
      </c>
      <c r="E6759" s="427"/>
      <c r="F6759" s="31">
        <f>IFERROR(VLOOKUP(E6759,BD!$L$2:$Q$244,2,0),0)</f>
        <v>0</v>
      </c>
      <c r="G6759" s="424"/>
      <c r="H6759" s="31">
        <f>+IFERROR(VLOOKUP(E6759,BD!$L$2:$Q$244,6,0),0)</f>
        <v>0</v>
      </c>
      <c r="I6759" s="626">
        <f>IFERROR(G6759*VLOOKUP($E6759,BD!$L$2:$Q$244,5,0),0)</f>
        <v>0</v>
      </c>
      <c r="J6759" s="3">
        <f t="shared" si="433"/>
        <v>1900</v>
      </c>
    </row>
    <row r="6760" spans="1:10" s="9" customFormat="1" x14ac:dyDescent="0.25">
      <c r="A6760" s="447"/>
      <c r="B6760" s="55" t="str">
        <f t="shared" si="430"/>
        <v>ENERO</v>
      </c>
      <c r="C6760" s="55">
        <f t="shared" si="431"/>
        <v>1</v>
      </c>
      <c r="D6760" s="3" t="str">
        <f t="shared" si="432"/>
        <v>SÁBADO</v>
      </c>
      <c r="E6760" s="427"/>
      <c r="F6760" s="31">
        <f>IFERROR(VLOOKUP(E6760,BD!$L$2:$Q$244,2,0),0)</f>
        <v>0</v>
      </c>
      <c r="G6760" s="425"/>
      <c r="H6760" s="31">
        <f>+IFERROR(VLOOKUP(E6760,BD!$L$2:$Q$244,6,0),0)</f>
        <v>0</v>
      </c>
      <c r="I6760" s="626">
        <f>IFERROR(G6760*VLOOKUP($E6760,BD!$L$2:$Q$244,5,0),0)</f>
        <v>0</v>
      </c>
      <c r="J6760" s="3">
        <f t="shared" si="433"/>
        <v>1900</v>
      </c>
    </row>
    <row r="6761" spans="1:10" s="9" customFormat="1" x14ac:dyDescent="0.25">
      <c r="A6761" s="447"/>
      <c r="B6761" s="55" t="str">
        <f t="shared" si="430"/>
        <v>ENERO</v>
      </c>
      <c r="C6761" s="55">
        <f t="shared" si="431"/>
        <v>1</v>
      </c>
      <c r="D6761" s="3" t="str">
        <f t="shared" si="432"/>
        <v>SÁBADO</v>
      </c>
      <c r="E6761" s="427"/>
      <c r="F6761" s="31">
        <f>IFERROR(VLOOKUP(E6761,BD!$L$2:$Q$244,2,0),0)</f>
        <v>0</v>
      </c>
      <c r="G6761" s="424"/>
      <c r="H6761" s="31">
        <f>+IFERROR(VLOOKUP(E6761,BD!$L$2:$Q$244,6,0),0)</f>
        <v>0</v>
      </c>
      <c r="I6761" s="626">
        <f>IFERROR(G6761*VLOOKUP($E6761,BD!$L$2:$Q$244,5,0),0)</f>
        <v>0</v>
      </c>
      <c r="J6761" s="3">
        <f t="shared" si="433"/>
        <v>1900</v>
      </c>
    </row>
    <row r="6762" spans="1:10" s="9" customFormat="1" x14ac:dyDescent="0.25">
      <c r="A6762" s="447"/>
      <c r="B6762" s="55" t="str">
        <f t="shared" si="430"/>
        <v>ENERO</v>
      </c>
      <c r="C6762" s="55">
        <f t="shared" si="431"/>
        <v>1</v>
      </c>
      <c r="D6762" s="3" t="str">
        <f t="shared" si="432"/>
        <v>SÁBADO</v>
      </c>
      <c r="E6762" s="427"/>
      <c r="F6762" s="31">
        <f>IFERROR(VLOOKUP(E6762,BD!$L$2:$Q$244,2,0),0)</f>
        <v>0</v>
      </c>
      <c r="G6762" s="424"/>
      <c r="H6762" s="31">
        <f>+IFERROR(VLOOKUP(E6762,BD!$L$2:$Q$244,6,0),0)</f>
        <v>0</v>
      </c>
      <c r="I6762" s="626">
        <f>IFERROR(G6762*VLOOKUP($E6762,BD!$L$2:$Q$244,5,0),0)</f>
        <v>0</v>
      </c>
      <c r="J6762" s="3">
        <f t="shared" si="433"/>
        <v>1900</v>
      </c>
    </row>
    <row r="6763" spans="1:10" s="9" customFormat="1" x14ac:dyDescent="0.25">
      <c r="A6763" s="447"/>
      <c r="B6763" s="55" t="str">
        <f t="shared" si="430"/>
        <v>ENERO</v>
      </c>
      <c r="C6763" s="55">
        <f t="shared" si="431"/>
        <v>1</v>
      </c>
      <c r="D6763" s="3" t="str">
        <f t="shared" si="432"/>
        <v>SÁBADO</v>
      </c>
      <c r="E6763" s="427"/>
      <c r="F6763" s="31">
        <f>IFERROR(VLOOKUP(E6763,BD!$L$2:$Q$244,2,0),0)</f>
        <v>0</v>
      </c>
      <c r="G6763" s="424"/>
      <c r="H6763" s="31">
        <f>+IFERROR(VLOOKUP(E6763,BD!$L$2:$Q$244,6,0),0)</f>
        <v>0</v>
      </c>
      <c r="I6763" s="626">
        <f>IFERROR(G6763*VLOOKUP($E6763,BD!$L$2:$Q$244,5,0),0)</f>
        <v>0</v>
      </c>
      <c r="J6763" s="3">
        <f t="shared" si="433"/>
        <v>1900</v>
      </c>
    </row>
    <row r="6764" spans="1:10" s="9" customFormat="1" x14ac:dyDescent="0.25">
      <c r="A6764" s="447"/>
      <c r="B6764" s="55" t="str">
        <f t="shared" si="430"/>
        <v>ENERO</v>
      </c>
      <c r="C6764" s="55">
        <f t="shared" si="431"/>
        <v>1</v>
      </c>
      <c r="D6764" s="3" t="str">
        <f t="shared" si="432"/>
        <v>SÁBADO</v>
      </c>
      <c r="E6764" s="427"/>
      <c r="F6764" s="31">
        <f>IFERROR(VLOOKUP(E6764,BD!$L$2:$Q$244,2,0),0)</f>
        <v>0</v>
      </c>
      <c r="G6764" s="424"/>
      <c r="H6764" s="31">
        <f>+IFERROR(VLOOKUP(E6764,BD!$L$2:$Q$244,6,0),0)</f>
        <v>0</v>
      </c>
      <c r="I6764" s="626">
        <f>IFERROR(G6764*VLOOKUP($E6764,BD!$L$2:$Q$244,5,0),0)</f>
        <v>0</v>
      </c>
      <c r="J6764" s="3">
        <f t="shared" si="433"/>
        <v>1900</v>
      </c>
    </row>
    <row r="6765" spans="1:10" s="9" customFormat="1" x14ac:dyDescent="0.25">
      <c r="A6765" s="447"/>
      <c r="B6765" s="55" t="str">
        <f t="shared" si="430"/>
        <v>ENERO</v>
      </c>
      <c r="C6765" s="55">
        <f t="shared" si="431"/>
        <v>1</v>
      </c>
      <c r="D6765" s="3" t="str">
        <f t="shared" si="432"/>
        <v>SÁBADO</v>
      </c>
      <c r="E6765" s="427"/>
      <c r="F6765" s="31">
        <f>IFERROR(VLOOKUP(E6765,BD!$L$2:$Q$244,2,0),0)</f>
        <v>0</v>
      </c>
      <c r="G6765" s="424"/>
      <c r="H6765" s="31">
        <f>+IFERROR(VLOOKUP(E6765,BD!$L$2:$Q$244,6,0),0)</f>
        <v>0</v>
      </c>
      <c r="I6765" s="626">
        <f>IFERROR(G6765*VLOOKUP($E6765,BD!$L$2:$Q$244,5,0),0)</f>
        <v>0</v>
      </c>
      <c r="J6765" s="3">
        <f t="shared" si="433"/>
        <v>1900</v>
      </c>
    </row>
    <row r="6766" spans="1:10" s="9" customFormat="1" x14ac:dyDescent="0.25">
      <c r="A6766" s="447"/>
      <c r="B6766" s="55" t="str">
        <f t="shared" si="430"/>
        <v>ENERO</v>
      </c>
      <c r="C6766" s="55">
        <f t="shared" si="431"/>
        <v>1</v>
      </c>
      <c r="D6766" s="3" t="str">
        <f t="shared" si="432"/>
        <v>SÁBADO</v>
      </c>
      <c r="E6766" s="427"/>
      <c r="F6766" s="31">
        <f>IFERROR(VLOOKUP(E6766,BD!$L$2:$Q$244,2,0),0)</f>
        <v>0</v>
      </c>
      <c r="G6766" s="424"/>
      <c r="H6766" s="31">
        <f>+IFERROR(VLOOKUP(E6766,BD!$L$2:$Q$244,6,0),0)</f>
        <v>0</v>
      </c>
      <c r="I6766" s="626">
        <f>IFERROR(G6766*VLOOKUP($E6766,BD!$L$2:$Q$244,5,0),0)</f>
        <v>0</v>
      </c>
      <c r="J6766" s="3">
        <f t="shared" si="433"/>
        <v>1900</v>
      </c>
    </row>
    <row r="6767" spans="1:10" s="9" customFormat="1" x14ac:dyDescent="0.25">
      <c r="A6767" s="447"/>
      <c r="B6767" s="55" t="str">
        <f t="shared" si="430"/>
        <v>ENERO</v>
      </c>
      <c r="C6767" s="55">
        <f t="shared" si="431"/>
        <v>1</v>
      </c>
      <c r="D6767" s="3" t="str">
        <f t="shared" si="432"/>
        <v>SÁBADO</v>
      </c>
      <c r="E6767" s="427"/>
      <c r="F6767" s="31">
        <f>IFERROR(VLOOKUP(E6767,BD!$L$2:$Q$244,2,0),0)</f>
        <v>0</v>
      </c>
      <c r="G6767" s="424"/>
      <c r="H6767" s="31">
        <f>+IFERROR(VLOOKUP(E6767,BD!$L$2:$Q$244,6,0),0)</f>
        <v>0</v>
      </c>
      <c r="I6767" s="626">
        <f>IFERROR(G6767*VLOOKUP($E6767,BD!$L$2:$Q$244,5,0),0)</f>
        <v>0</v>
      </c>
      <c r="J6767" s="3">
        <f t="shared" si="433"/>
        <v>1900</v>
      </c>
    </row>
    <row r="6768" spans="1:10" s="9" customFormat="1" x14ac:dyDescent="0.25">
      <c r="A6768" s="447"/>
      <c r="B6768" s="55" t="str">
        <f t="shared" si="430"/>
        <v>ENERO</v>
      </c>
      <c r="C6768" s="55">
        <f t="shared" si="431"/>
        <v>1</v>
      </c>
      <c r="D6768" s="3" t="str">
        <f t="shared" si="432"/>
        <v>SÁBADO</v>
      </c>
      <c r="E6768" s="427"/>
      <c r="F6768" s="31">
        <f>IFERROR(VLOOKUP(E6768,BD!$L$2:$Q$244,2,0),0)</f>
        <v>0</v>
      </c>
      <c r="G6768" s="424"/>
      <c r="H6768" s="31">
        <f>+IFERROR(VLOOKUP(E6768,BD!$L$2:$Q$244,6,0),0)</f>
        <v>0</v>
      </c>
      <c r="I6768" s="626">
        <f>IFERROR(G6768*VLOOKUP($E6768,BD!$L$2:$Q$244,5,0),0)</f>
        <v>0</v>
      </c>
      <c r="J6768" s="3">
        <f t="shared" si="433"/>
        <v>1900</v>
      </c>
    </row>
    <row r="6769" spans="1:10" s="9" customFormat="1" x14ac:dyDescent="0.25">
      <c r="A6769" s="447"/>
      <c r="B6769" s="55" t="str">
        <f t="shared" si="430"/>
        <v>ENERO</v>
      </c>
      <c r="C6769" s="55">
        <f t="shared" si="431"/>
        <v>1</v>
      </c>
      <c r="D6769" s="3" t="str">
        <f t="shared" si="432"/>
        <v>SÁBADO</v>
      </c>
      <c r="E6769" s="427"/>
      <c r="F6769" s="31">
        <f>IFERROR(VLOOKUP(E6769,BD!$L$2:$Q$244,2,0),0)</f>
        <v>0</v>
      </c>
      <c r="G6769" s="425"/>
      <c r="H6769" s="31">
        <f>+IFERROR(VLOOKUP(E6769,BD!$L$2:$Q$244,6,0),0)</f>
        <v>0</v>
      </c>
      <c r="I6769" s="626">
        <f>IFERROR(G6769*VLOOKUP($E6769,BD!$L$2:$Q$244,5,0),0)</f>
        <v>0</v>
      </c>
      <c r="J6769" s="3">
        <f t="shared" si="433"/>
        <v>1900</v>
      </c>
    </row>
    <row r="6770" spans="1:10" s="9" customFormat="1" x14ac:dyDescent="0.25">
      <c r="A6770" s="447"/>
      <c r="B6770" s="55" t="str">
        <f t="shared" si="430"/>
        <v>ENERO</v>
      </c>
      <c r="C6770" s="55">
        <f t="shared" si="431"/>
        <v>1</v>
      </c>
      <c r="D6770" s="3" t="str">
        <f t="shared" si="432"/>
        <v>SÁBADO</v>
      </c>
      <c r="E6770" s="427"/>
      <c r="F6770" s="31">
        <f>IFERROR(VLOOKUP(E6770,BD!$L$2:$Q$244,2,0),0)</f>
        <v>0</v>
      </c>
      <c r="G6770" s="425"/>
      <c r="H6770" s="31">
        <f>+IFERROR(VLOOKUP(E6770,BD!$L$2:$Q$244,6,0),0)</f>
        <v>0</v>
      </c>
      <c r="I6770" s="626">
        <f>IFERROR(G6770*VLOOKUP($E6770,BD!$L$2:$Q$244,5,0),0)</f>
        <v>0</v>
      </c>
      <c r="J6770" s="3">
        <f t="shared" si="433"/>
        <v>1900</v>
      </c>
    </row>
    <row r="6771" spans="1:10" s="9" customFormat="1" x14ac:dyDescent="0.25">
      <c r="A6771" s="447"/>
      <c r="B6771" s="55" t="str">
        <f t="shared" si="430"/>
        <v>ENERO</v>
      </c>
      <c r="C6771" s="55">
        <f t="shared" si="431"/>
        <v>1</v>
      </c>
      <c r="D6771" s="3" t="str">
        <f t="shared" si="432"/>
        <v>SÁBADO</v>
      </c>
      <c r="E6771" s="427"/>
      <c r="F6771" s="31">
        <f>IFERROR(VLOOKUP(E6771,BD!$L$2:$Q$244,2,0),0)</f>
        <v>0</v>
      </c>
      <c r="G6771" s="424"/>
      <c r="H6771" s="31">
        <f>+IFERROR(VLOOKUP(E6771,BD!$L$2:$Q$244,6,0),0)</f>
        <v>0</v>
      </c>
      <c r="I6771" s="626">
        <f>IFERROR(G6771*VLOOKUP($E6771,BD!$L$2:$Q$244,5,0),0)</f>
        <v>0</v>
      </c>
      <c r="J6771" s="3">
        <f t="shared" si="433"/>
        <v>1900</v>
      </c>
    </row>
    <row r="6772" spans="1:10" s="9" customFormat="1" x14ac:dyDescent="0.25">
      <c r="A6772" s="447"/>
      <c r="B6772" s="55" t="str">
        <f t="shared" si="430"/>
        <v>ENERO</v>
      </c>
      <c r="C6772" s="55">
        <f t="shared" si="431"/>
        <v>1</v>
      </c>
      <c r="D6772" s="3" t="str">
        <f t="shared" si="432"/>
        <v>SÁBADO</v>
      </c>
      <c r="E6772" s="427"/>
      <c r="F6772" s="31">
        <f>IFERROR(VLOOKUP(E6772,BD!$L$2:$Q$244,2,0),0)</f>
        <v>0</v>
      </c>
      <c r="G6772" s="424"/>
      <c r="H6772" s="31">
        <f>+IFERROR(VLOOKUP(E6772,BD!$L$2:$Q$244,6,0),0)</f>
        <v>0</v>
      </c>
      <c r="I6772" s="626">
        <f>IFERROR(G6772*VLOOKUP($E6772,BD!$L$2:$Q$244,5,0),0)</f>
        <v>0</v>
      </c>
      <c r="J6772" s="3">
        <f t="shared" si="433"/>
        <v>1900</v>
      </c>
    </row>
    <row r="6773" spans="1:10" s="9" customFormat="1" x14ac:dyDescent="0.25">
      <c r="A6773" s="447"/>
      <c r="B6773" s="55" t="str">
        <f t="shared" si="430"/>
        <v>ENERO</v>
      </c>
      <c r="C6773" s="55">
        <f t="shared" si="431"/>
        <v>1</v>
      </c>
      <c r="D6773" s="3" t="str">
        <f t="shared" si="432"/>
        <v>SÁBADO</v>
      </c>
      <c r="E6773" s="427"/>
      <c r="F6773" s="31">
        <f>IFERROR(VLOOKUP(E6773,BD!$L$2:$Q$244,2,0),0)</f>
        <v>0</v>
      </c>
      <c r="G6773" s="424"/>
      <c r="H6773" s="31">
        <f>+IFERROR(VLOOKUP(E6773,BD!$L$2:$Q$244,6,0),0)</f>
        <v>0</v>
      </c>
      <c r="I6773" s="626">
        <f>IFERROR(G6773*VLOOKUP($E6773,BD!$L$2:$Q$244,5,0),0)</f>
        <v>0</v>
      </c>
      <c r="J6773" s="3">
        <f t="shared" si="433"/>
        <v>1900</v>
      </c>
    </row>
    <row r="6774" spans="1:10" s="9" customFormat="1" x14ac:dyDescent="0.25">
      <c r="A6774" s="447"/>
      <c r="B6774" s="55" t="str">
        <f t="shared" si="430"/>
        <v>ENERO</v>
      </c>
      <c r="C6774" s="55">
        <f t="shared" si="431"/>
        <v>1</v>
      </c>
      <c r="D6774" s="3" t="str">
        <f t="shared" si="432"/>
        <v>SÁBADO</v>
      </c>
      <c r="E6774" s="427"/>
      <c r="F6774" s="31">
        <f>IFERROR(VLOOKUP(E6774,BD!$L$2:$Q$244,2,0),0)</f>
        <v>0</v>
      </c>
      <c r="G6774" s="424"/>
      <c r="H6774" s="31">
        <f>+IFERROR(VLOOKUP(E6774,BD!$L$2:$Q$244,6,0),0)</f>
        <v>0</v>
      </c>
      <c r="I6774" s="626">
        <f>IFERROR(G6774*VLOOKUP($E6774,BD!$L$2:$Q$244,5,0),0)</f>
        <v>0</v>
      </c>
      <c r="J6774" s="3">
        <f t="shared" si="433"/>
        <v>1900</v>
      </c>
    </row>
    <row r="6775" spans="1:10" s="9" customFormat="1" x14ac:dyDescent="0.25">
      <c r="A6775" s="447"/>
      <c r="B6775" s="55" t="str">
        <f t="shared" si="430"/>
        <v>ENERO</v>
      </c>
      <c r="C6775" s="55">
        <f t="shared" si="431"/>
        <v>1</v>
      </c>
      <c r="D6775" s="3" t="str">
        <f t="shared" si="432"/>
        <v>SÁBADO</v>
      </c>
      <c r="E6775" s="427"/>
      <c r="F6775" s="31">
        <f>IFERROR(VLOOKUP(E6775,BD!$L$2:$Q$244,2,0),0)</f>
        <v>0</v>
      </c>
      <c r="G6775" s="424"/>
      <c r="H6775" s="31">
        <f>+IFERROR(VLOOKUP(E6775,BD!$L$2:$Q$244,6,0),0)</f>
        <v>0</v>
      </c>
      <c r="I6775" s="626">
        <f>IFERROR(G6775*VLOOKUP($E6775,BD!$L$2:$Q$244,5,0),0)</f>
        <v>0</v>
      </c>
      <c r="J6775" s="3">
        <f t="shared" si="433"/>
        <v>1900</v>
      </c>
    </row>
    <row r="6776" spans="1:10" s="9" customFormat="1" x14ac:dyDescent="0.25">
      <c r="A6776" s="447"/>
      <c r="B6776" s="55" t="str">
        <f t="shared" si="430"/>
        <v>ENERO</v>
      </c>
      <c r="C6776" s="55">
        <f t="shared" si="431"/>
        <v>1</v>
      </c>
      <c r="D6776" s="3" t="str">
        <f t="shared" si="432"/>
        <v>SÁBADO</v>
      </c>
      <c r="E6776" s="427"/>
      <c r="F6776" s="31">
        <f>IFERROR(VLOOKUP(E6776,BD!$L$2:$Q$244,2,0),0)</f>
        <v>0</v>
      </c>
      <c r="G6776" s="424"/>
      <c r="H6776" s="31">
        <f>+IFERROR(VLOOKUP(E6776,BD!$L$2:$Q$244,6,0),0)</f>
        <v>0</v>
      </c>
      <c r="I6776" s="626">
        <f>IFERROR(G6776*VLOOKUP($E6776,BD!$L$2:$Q$244,5,0),0)</f>
        <v>0</v>
      </c>
      <c r="J6776" s="3">
        <f t="shared" si="433"/>
        <v>1900</v>
      </c>
    </row>
    <row r="6777" spans="1:10" s="9" customFormat="1" x14ac:dyDescent="0.25">
      <c r="A6777" s="447"/>
      <c r="B6777" s="55" t="str">
        <f t="shared" si="430"/>
        <v>ENERO</v>
      </c>
      <c r="C6777" s="55">
        <f t="shared" si="431"/>
        <v>1</v>
      </c>
      <c r="D6777" s="3" t="str">
        <f t="shared" si="432"/>
        <v>SÁBADO</v>
      </c>
      <c r="E6777" s="427"/>
      <c r="F6777" s="31">
        <f>IFERROR(VLOOKUP(E6777,BD!$L$2:$Q$244,2,0),0)</f>
        <v>0</v>
      </c>
      <c r="G6777" s="424"/>
      <c r="H6777" s="31">
        <f>+IFERROR(VLOOKUP(E6777,BD!$L$2:$Q$244,6,0),0)</f>
        <v>0</v>
      </c>
      <c r="I6777" s="626">
        <f>IFERROR(G6777*VLOOKUP($E6777,BD!$L$2:$Q$244,5,0),0)</f>
        <v>0</v>
      </c>
      <c r="J6777" s="3">
        <f t="shared" si="433"/>
        <v>1900</v>
      </c>
    </row>
    <row r="6778" spans="1:10" s="9" customFormat="1" x14ac:dyDescent="0.25">
      <c r="A6778" s="447"/>
      <c r="B6778" s="55" t="str">
        <f t="shared" si="430"/>
        <v>ENERO</v>
      </c>
      <c r="C6778" s="55">
        <f t="shared" si="431"/>
        <v>1</v>
      </c>
      <c r="D6778" s="3" t="str">
        <f t="shared" si="432"/>
        <v>SÁBADO</v>
      </c>
      <c r="E6778" s="427"/>
      <c r="F6778" s="31">
        <f>IFERROR(VLOOKUP(E6778,BD!$L$2:$Q$244,2,0),0)</f>
        <v>0</v>
      </c>
      <c r="G6778" s="424"/>
      <c r="H6778" s="31">
        <f>+IFERROR(VLOOKUP(E6778,BD!$L$2:$Q$244,6,0),0)</f>
        <v>0</v>
      </c>
      <c r="I6778" s="626">
        <f>IFERROR(G6778*VLOOKUP($E6778,BD!$L$2:$Q$244,5,0),0)</f>
        <v>0</v>
      </c>
      <c r="J6778" s="3">
        <f t="shared" si="433"/>
        <v>1900</v>
      </c>
    </row>
    <row r="6779" spans="1:10" s="9" customFormat="1" x14ac:dyDescent="0.25">
      <c r="A6779" s="447"/>
      <c r="B6779" s="55" t="str">
        <f t="shared" si="430"/>
        <v>ENERO</v>
      </c>
      <c r="C6779" s="55">
        <f t="shared" si="431"/>
        <v>1</v>
      </c>
      <c r="D6779" s="3" t="str">
        <f t="shared" si="432"/>
        <v>SÁBADO</v>
      </c>
      <c r="E6779" s="427"/>
      <c r="F6779" s="31">
        <f>IFERROR(VLOOKUP(E6779,BD!$L$2:$Q$244,2,0),0)</f>
        <v>0</v>
      </c>
      <c r="G6779" s="424"/>
      <c r="H6779" s="31">
        <f>+IFERROR(VLOOKUP(E6779,BD!$L$2:$Q$244,6,0),0)</f>
        <v>0</v>
      </c>
      <c r="I6779" s="626">
        <f>IFERROR(G6779*VLOOKUP($E6779,BD!$L$2:$Q$244,5,0),0)</f>
        <v>0</v>
      </c>
      <c r="J6779" s="3">
        <f t="shared" si="433"/>
        <v>1900</v>
      </c>
    </row>
    <row r="6780" spans="1:10" s="9" customFormat="1" x14ac:dyDescent="0.25">
      <c r="A6780" s="447"/>
      <c r="B6780" s="55" t="str">
        <f t="shared" si="430"/>
        <v>ENERO</v>
      </c>
      <c r="C6780" s="55">
        <f t="shared" si="431"/>
        <v>1</v>
      </c>
      <c r="D6780" s="3" t="str">
        <f t="shared" si="432"/>
        <v>SÁBADO</v>
      </c>
      <c r="E6780" s="427"/>
      <c r="F6780" s="31">
        <f>IFERROR(VLOOKUP(E6780,BD!$L$2:$Q$244,2,0),0)</f>
        <v>0</v>
      </c>
      <c r="G6780" s="425"/>
      <c r="H6780" s="31">
        <f>+IFERROR(VLOOKUP(E6780,BD!$L$2:$Q$244,6,0),0)</f>
        <v>0</v>
      </c>
      <c r="I6780" s="626">
        <f>IFERROR(G6780*VLOOKUP($E6780,BD!$L$2:$Q$244,5,0),0)</f>
        <v>0</v>
      </c>
      <c r="J6780" s="3">
        <f t="shared" si="433"/>
        <v>1900</v>
      </c>
    </row>
    <row r="6781" spans="1:10" s="9" customFormat="1" x14ac:dyDescent="0.25">
      <c r="A6781" s="447"/>
      <c r="B6781" s="55" t="str">
        <f t="shared" ref="B6781:B6844" si="434">UPPER(TEXT(A6781,"MMMM"))</f>
        <v>ENERO</v>
      </c>
      <c r="C6781" s="55">
        <f t="shared" ref="C6781:C6844" si="435">WEEKNUM(A6781,16)</f>
        <v>1</v>
      </c>
      <c r="D6781" s="3" t="str">
        <f t="shared" ref="D6781:D6844" si="436">UPPER(TEXT(A6781,"DDDD"))</f>
        <v>SÁBADO</v>
      </c>
      <c r="E6781" s="427"/>
      <c r="F6781" s="31">
        <f>IFERROR(VLOOKUP(E6781,BD!$L$2:$Q$244,2,0),0)</f>
        <v>0</v>
      </c>
      <c r="G6781" s="424"/>
      <c r="H6781" s="31">
        <f>+IFERROR(VLOOKUP(E6781,BD!$L$2:$Q$244,6,0),0)</f>
        <v>0</v>
      </c>
      <c r="I6781" s="626">
        <f>IFERROR(G6781*VLOOKUP($E6781,BD!$L$2:$Q$244,5,0),0)</f>
        <v>0</v>
      </c>
      <c r="J6781" s="3">
        <f t="shared" ref="J6781:J6844" si="437">+YEAR(A6781)</f>
        <v>1900</v>
      </c>
    </row>
    <row r="6782" spans="1:10" s="9" customFormat="1" x14ac:dyDescent="0.25">
      <c r="A6782" s="447"/>
      <c r="B6782" s="55" t="str">
        <f t="shared" si="434"/>
        <v>ENERO</v>
      </c>
      <c r="C6782" s="55">
        <f t="shared" si="435"/>
        <v>1</v>
      </c>
      <c r="D6782" s="3" t="str">
        <f t="shared" si="436"/>
        <v>SÁBADO</v>
      </c>
      <c r="E6782" s="427"/>
      <c r="F6782" s="31">
        <f>IFERROR(VLOOKUP(E6782,BD!$L$2:$Q$244,2,0),0)</f>
        <v>0</v>
      </c>
      <c r="G6782" s="424"/>
      <c r="H6782" s="31">
        <f>+IFERROR(VLOOKUP(E6782,BD!$L$2:$Q$244,6,0),0)</f>
        <v>0</v>
      </c>
      <c r="I6782" s="626">
        <f>IFERROR(G6782*VLOOKUP($E6782,BD!$L$2:$Q$244,5,0),0)</f>
        <v>0</v>
      </c>
      <c r="J6782" s="3">
        <f t="shared" si="437"/>
        <v>1900</v>
      </c>
    </row>
    <row r="6783" spans="1:10" s="9" customFormat="1" x14ac:dyDescent="0.25">
      <c r="A6783" s="447"/>
      <c r="B6783" s="55" t="str">
        <f t="shared" si="434"/>
        <v>ENERO</v>
      </c>
      <c r="C6783" s="55">
        <f t="shared" si="435"/>
        <v>1</v>
      </c>
      <c r="D6783" s="3" t="str">
        <f t="shared" si="436"/>
        <v>SÁBADO</v>
      </c>
      <c r="E6783" s="427"/>
      <c r="F6783" s="31">
        <f>IFERROR(VLOOKUP(E6783,BD!$L$2:$Q$244,2,0),0)</f>
        <v>0</v>
      </c>
      <c r="G6783" s="424"/>
      <c r="H6783" s="31">
        <f>+IFERROR(VLOOKUP(E6783,BD!$L$2:$Q$244,6,0),0)</f>
        <v>0</v>
      </c>
      <c r="I6783" s="626">
        <f>IFERROR(G6783*VLOOKUP($E6783,BD!$L$2:$Q$244,5,0),0)</f>
        <v>0</v>
      </c>
      <c r="J6783" s="3">
        <f t="shared" si="437"/>
        <v>1900</v>
      </c>
    </row>
    <row r="6784" spans="1:10" s="9" customFormat="1" x14ac:dyDescent="0.25">
      <c r="A6784" s="447"/>
      <c r="B6784" s="55" t="str">
        <f t="shared" si="434"/>
        <v>ENERO</v>
      </c>
      <c r="C6784" s="55">
        <f t="shared" si="435"/>
        <v>1</v>
      </c>
      <c r="D6784" s="3" t="str">
        <f t="shared" si="436"/>
        <v>SÁBADO</v>
      </c>
      <c r="E6784" s="427"/>
      <c r="F6784" s="31">
        <f>IFERROR(VLOOKUP(E6784,BD!$L$2:$Q$244,2,0),0)</f>
        <v>0</v>
      </c>
      <c r="G6784" s="424"/>
      <c r="H6784" s="31">
        <f>+IFERROR(VLOOKUP(E6784,BD!$L$2:$Q$244,6,0),0)</f>
        <v>0</v>
      </c>
      <c r="I6784" s="626">
        <f>IFERROR(G6784*VLOOKUP($E6784,BD!$L$2:$Q$244,5,0),0)</f>
        <v>0</v>
      </c>
      <c r="J6784" s="3">
        <f t="shared" si="437"/>
        <v>1900</v>
      </c>
    </row>
    <row r="6785" spans="1:10" s="9" customFormat="1" x14ac:dyDescent="0.25">
      <c r="A6785" s="447"/>
      <c r="B6785" s="55" t="str">
        <f t="shared" si="434"/>
        <v>ENERO</v>
      </c>
      <c r="C6785" s="55">
        <f t="shared" si="435"/>
        <v>1</v>
      </c>
      <c r="D6785" s="3" t="str">
        <f t="shared" si="436"/>
        <v>SÁBADO</v>
      </c>
      <c r="E6785" s="427"/>
      <c r="F6785" s="31">
        <f>IFERROR(VLOOKUP(E6785,BD!$L$2:$Q$244,2,0),0)</f>
        <v>0</v>
      </c>
      <c r="G6785" s="425"/>
      <c r="H6785" s="31">
        <f>+IFERROR(VLOOKUP(E6785,BD!$L$2:$Q$244,6,0),0)</f>
        <v>0</v>
      </c>
      <c r="I6785" s="626">
        <f>IFERROR(G6785*VLOOKUP($E6785,BD!$L$2:$Q$244,5,0),0)</f>
        <v>0</v>
      </c>
      <c r="J6785" s="3">
        <f t="shared" si="437"/>
        <v>1900</v>
      </c>
    </row>
    <row r="6786" spans="1:10" s="9" customFormat="1" x14ac:dyDescent="0.25">
      <c r="A6786" s="447"/>
      <c r="B6786" s="55" t="str">
        <f t="shared" si="434"/>
        <v>ENERO</v>
      </c>
      <c r="C6786" s="55">
        <f t="shared" si="435"/>
        <v>1</v>
      </c>
      <c r="D6786" s="3" t="str">
        <f t="shared" si="436"/>
        <v>SÁBADO</v>
      </c>
      <c r="E6786" s="427"/>
      <c r="F6786" s="31">
        <f>IFERROR(VLOOKUP(E6786,BD!$L$2:$Q$244,2,0),0)</f>
        <v>0</v>
      </c>
      <c r="G6786" s="424"/>
      <c r="H6786" s="31">
        <f>+IFERROR(VLOOKUP(E6786,BD!$L$2:$Q$244,6,0),0)</f>
        <v>0</v>
      </c>
      <c r="I6786" s="626">
        <f>IFERROR(G6786*VLOOKUP($E6786,BD!$L$2:$Q$244,5,0),0)</f>
        <v>0</v>
      </c>
      <c r="J6786" s="3">
        <f t="shared" si="437"/>
        <v>1900</v>
      </c>
    </row>
    <row r="6787" spans="1:10" s="9" customFormat="1" x14ac:dyDescent="0.25">
      <c r="A6787" s="447"/>
      <c r="B6787" s="55" t="str">
        <f t="shared" si="434"/>
        <v>ENERO</v>
      </c>
      <c r="C6787" s="55">
        <f t="shared" si="435"/>
        <v>1</v>
      </c>
      <c r="D6787" s="3" t="str">
        <f t="shared" si="436"/>
        <v>SÁBADO</v>
      </c>
      <c r="E6787" s="427"/>
      <c r="F6787" s="31">
        <f>IFERROR(VLOOKUP(E6787,BD!$L$2:$Q$244,2,0),0)</f>
        <v>0</v>
      </c>
      <c r="G6787" s="424"/>
      <c r="H6787" s="31">
        <f>+IFERROR(VLOOKUP(E6787,BD!$L$2:$Q$244,6,0),0)</f>
        <v>0</v>
      </c>
      <c r="I6787" s="626">
        <f>IFERROR(G6787*VLOOKUP($E6787,BD!$L$2:$Q$244,5,0),0)</f>
        <v>0</v>
      </c>
      <c r="J6787" s="3">
        <f t="shared" si="437"/>
        <v>1900</v>
      </c>
    </row>
    <row r="6788" spans="1:10" s="9" customFormat="1" x14ac:dyDescent="0.25">
      <c r="A6788" s="447"/>
      <c r="B6788" s="55" t="str">
        <f t="shared" si="434"/>
        <v>ENERO</v>
      </c>
      <c r="C6788" s="55">
        <f t="shared" si="435"/>
        <v>1</v>
      </c>
      <c r="D6788" s="3" t="str">
        <f t="shared" si="436"/>
        <v>SÁBADO</v>
      </c>
      <c r="E6788" s="427"/>
      <c r="F6788" s="31">
        <f>IFERROR(VLOOKUP(E6788,BD!$L$2:$Q$244,2,0),0)</f>
        <v>0</v>
      </c>
      <c r="G6788" s="424"/>
      <c r="H6788" s="31">
        <f>+IFERROR(VLOOKUP(E6788,BD!$L$2:$Q$244,6,0),0)</f>
        <v>0</v>
      </c>
      <c r="I6788" s="626">
        <f>IFERROR(G6788*VLOOKUP($E6788,BD!$L$2:$Q$244,5,0),0)</f>
        <v>0</v>
      </c>
      <c r="J6788" s="3">
        <f t="shared" si="437"/>
        <v>1900</v>
      </c>
    </row>
    <row r="6789" spans="1:10" s="9" customFormat="1" x14ac:dyDescent="0.25">
      <c r="A6789" s="447"/>
      <c r="B6789" s="55" t="str">
        <f t="shared" si="434"/>
        <v>ENERO</v>
      </c>
      <c r="C6789" s="55">
        <f t="shared" si="435"/>
        <v>1</v>
      </c>
      <c r="D6789" s="3" t="str">
        <f t="shared" si="436"/>
        <v>SÁBADO</v>
      </c>
      <c r="E6789" s="427"/>
      <c r="F6789" s="31">
        <f>IFERROR(VLOOKUP(E6789,BD!$L$2:$Q$244,2,0),0)</f>
        <v>0</v>
      </c>
      <c r="G6789" s="424"/>
      <c r="H6789" s="31">
        <f>+IFERROR(VLOOKUP(E6789,BD!$L$2:$Q$244,6,0),0)</f>
        <v>0</v>
      </c>
      <c r="I6789" s="626">
        <f>IFERROR(G6789*VLOOKUP($E6789,BD!$L$2:$Q$244,5,0),0)</f>
        <v>0</v>
      </c>
      <c r="J6789" s="3">
        <f t="shared" si="437"/>
        <v>1900</v>
      </c>
    </row>
    <row r="6790" spans="1:10" s="9" customFormat="1" x14ac:dyDescent="0.25">
      <c r="A6790" s="447"/>
      <c r="B6790" s="55" t="str">
        <f t="shared" si="434"/>
        <v>ENERO</v>
      </c>
      <c r="C6790" s="55">
        <f t="shared" si="435"/>
        <v>1</v>
      </c>
      <c r="D6790" s="3" t="str">
        <f t="shared" si="436"/>
        <v>SÁBADO</v>
      </c>
      <c r="E6790" s="427"/>
      <c r="F6790" s="31">
        <f>IFERROR(VLOOKUP(E6790,BD!$L$2:$Q$244,2,0),0)</f>
        <v>0</v>
      </c>
      <c r="G6790" s="424"/>
      <c r="H6790" s="31">
        <f>+IFERROR(VLOOKUP(E6790,BD!$L$2:$Q$244,6,0),0)</f>
        <v>0</v>
      </c>
      <c r="I6790" s="626">
        <f>IFERROR(G6790*VLOOKUP($E6790,BD!$L$2:$Q$244,5,0),0)</f>
        <v>0</v>
      </c>
      <c r="J6790" s="3">
        <f t="shared" si="437"/>
        <v>1900</v>
      </c>
    </row>
    <row r="6791" spans="1:10" s="9" customFormat="1" x14ac:dyDescent="0.25">
      <c r="A6791" s="447"/>
      <c r="B6791" s="55" t="str">
        <f t="shared" si="434"/>
        <v>ENERO</v>
      </c>
      <c r="C6791" s="55">
        <f t="shared" si="435"/>
        <v>1</v>
      </c>
      <c r="D6791" s="3" t="str">
        <f t="shared" si="436"/>
        <v>SÁBADO</v>
      </c>
      <c r="E6791" s="427"/>
      <c r="F6791" s="31">
        <f>IFERROR(VLOOKUP(E6791,BD!$L$2:$Q$244,2,0),0)</f>
        <v>0</v>
      </c>
      <c r="G6791" s="425"/>
      <c r="H6791" s="31">
        <f>+IFERROR(VLOOKUP(E6791,BD!$L$2:$Q$244,6,0),0)</f>
        <v>0</v>
      </c>
      <c r="I6791" s="626">
        <f>IFERROR(G6791*VLOOKUP($E6791,BD!$L$2:$Q$244,5,0),0)</f>
        <v>0</v>
      </c>
      <c r="J6791" s="3">
        <f t="shared" si="437"/>
        <v>1900</v>
      </c>
    </row>
    <row r="6792" spans="1:10" s="9" customFormat="1" x14ac:dyDescent="0.25">
      <c r="A6792" s="447"/>
      <c r="B6792" s="55" t="str">
        <f t="shared" si="434"/>
        <v>ENERO</v>
      </c>
      <c r="C6792" s="55">
        <f t="shared" si="435"/>
        <v>1</v>
      </c>
      <c r="D6792" s="3" t="str">
        <f t="shared" si="436"/>
        <v>SÁBADO</v>
      </c>
      <c r="E6792" s="427"/>
      <c r="F6792" s="31">
        <f>IFERROR(VLOOKUP(E6792,BD!$L$2:$Q$244,2,0),0)</f>
        <v>0</v>
      </c>
      <c r="G6792" s="425"/>
      <c r="H6792" s="31">
        <f>+IFERROR(VLOOKUP(E6792,BD!$L$2:$Q$244,6,0),0)</f>
        <v>0</v>
      </c>
      <c r="I6792" s="626">
        <f>IFERROR(G6792*VLOOKUP($E6792,BD!$L$2:$Q$244,5,0),0)</f>
        <v>0</v>
      </c>
      <c r="J6792" s="3">
        <f t="shared" si="437"/>
        <v>1900</v>
      </c>
    </row>
    <row r="6793" spans="1:10" s="9" customFormat="1" x14ac:dyDescent="0.25">
      <c r="A6793" s="447"/>
      <c r="B6793" s="55" t="str">
        <f t="shared" si="434"/>
        <v>ENERO</v>
      </c>
      <c r="C6793" s="55">
        <f t="shared" si="435"/>
        <v>1</v>
      </c>
      <c r="D6793" s="3" t="str">
        <f t="shared" si="436"/>
        <v>SÁBADO</v>
      </c>
      <c r="E6793" s="427"/>
      <c r="F6793" s="31">
        <f>IFERROR(VLOOKUP(E6793,BD!$L$2:$Q$244,2,0),0)</f>
        <v>0</v>
      </c>
      <c r="G6793" s="424"/>
      <c r="H6793" s="31">
        <f>+IFERROR(VLOOKUP(E6793,BD!$L$2:$Q$244,6,0),0)</f>
        <v>0</v>
      </c>
      <c r="I6793" s="626">
        <f>IFERROR(G6793*VLOOKUP($E6793,BD!$L$2:$Q$244,5,0),0)</f>
        <v>0</v>
      </c>
      <c r="J6793" s="3">
        <f t="shared" si="437"/>
        <v>1900</v>
      </c>
    </row>
    <row r="6794" spans="1:10" s="9" customFormat="1" x14ac:dyDescent="0.25">
      <c r="A6794" s="447"/>
      <c r="B6794" s="55" t="str">
        <f t="shared" si="434"/>
        <v>ENERO</v>
      </c>
      <c r="C6794" s="55">
        <f t="shared" si="435"/>
        <v>1</v>
      </c>
      <c r="D6794" s="3" t="str">
        <f t="shared" si="436"/>
        <v>SÁBADO</v>
      </c>
      <c r="E6794" s="427"/>
      <c r="F6794" s="31">
        <f>IFERROR(VLOOKUP(E6794,BD!$L$2:$Q$244,2,0),0)</f>
        <v>0</v>
      </c>
      <c r="G6794" s="424"/>
      <c r="H6794" s="31">
        <f>+IFERROR(VLOOKUP(E6794,BD!$L$2:$Q$244,6,0),0)</f>
        <v>0</v>
      </c>
      <c r="I6794" s="626">
        <f>IFERROR(G6794*VLOOKUP($E6794,BD!$L$2:$Q$244,5,0),0)</f>
        <v>0</v>
      </c>
      <c r="J6794" s="3">
        <f t="shared" si="437"/>
        <v>1900</v>
      </c>
    </row>
    <row r="6795" spans="1:10" s="9" customFormat="1" x14ac:dyDescent="0.25">
      <c r="A6795" s="447"/>
      <c r="B6795" s="55" t="str">
        <f t="shared" si="434"/>
        <v>ENERO</v>
      </c>
      <c r="C6795" s="55">
        <f t="shared" si="435"/>
        <v>1</v>
      </c>
      <c r="D6795" s="3" t="str">
        <f t="shared" si="436"/>
        <v>SÁBADO</v>
      </c>
      <c r="E6795" s="427"/>
      <c r="F6795" s="31">
        <f>IFERROR(VLOOKUP(E6795,BD!$L$2:$Q$244,2,0),0)</f>
        <v>0</v>
      </c>
      <c r="G6795" s="424"/>
      <c r="H6795" s="31">
        <f>+IFERROR(VLOOKUP(E6795,BD!$L$2:$Q$244,6,0),0)</f>
        <v>0</v>
      </c>
      <c r="I6795" s="626">
        <f>IFERROR(G6795*VLOOKUP($E6795,BD!$L$2:$Q$244,5,0),0)</f>
        <v>0</v>
      </c>
      <c r="J6795" s="3">
        <f t="shared" si="437"/>
        <v>1900</v>
      </c>
    </row>
    <row r="6796" spans="1:10" s="9" customFormat="1" x14ac:dyDescent="0.25">
      <c r="A6796" s="447"/>
      <c r="B6796" s="55" t="str">
        <f t="shared" si="434"/>
        <v>ENERO</v>
      </c>
      <c r="C6796" s="55">
        <f t="shared" si="435"/>
        <v>1</v>
      </c>
      <c r="D6796" s="3" t="str">
        <f t="shared" si="436"/>
        <v>SÁBADO</v>
      </c>
      <c r="E6796" s="427"/>
      <c r="F6796" s="31">
        <f>IFERROR(VLOOKUP(E6796,BD!$L$2:$Q$244,2,0),0)</f>
        <v>0</v>
      </c>
      <c r="G6796" s="424"/>
      <c r="H6796" s="31">
        <f>+IFERROR(VLOOKUP(E6796,BD!$L$2:$Q$244,6,0),0)</f>
        <v>0</v>
      </c>
      <c r="I6796" s="626">
        <f>IFERROR(G6796*VLOOKUP($E6796,BD!$L$2:$Q$244,5,0),0)</f>
        <v>0</v>
      </c>
      <c r="J6796" s="3">
        <f t="shared" si="437"/>
        <v>1900</v>
      </c>
    </row>
    <row r="6797" spans="1:10" s="9" customFormat="1" x14ac:dyDescent="0.25">
      <c r="A6797" s="447"/>
      <c r="B6797" s="55" t="str">
        <f t="shared" si="434"/>
        <v>ENERO</v>
      </c>
      <c r="C6797" s="55">
        <f t="shared" si="435"/>
        <v>1</v>
      </c>
      <c r="D6797" s="3" t="str">
        <f t="shared" si="436"/>
        <v>SÁBADO</v>
      </c>
      <c r="E6797" s="427"/>
      <c r="F6797" s="31">
        <f>IFERROR(VLOOKUP(E6797,BD!$L$2:$Q$244,2,0),0)</f>
        <v>0</v>
      </c>
      <c r="G6797" s="424"/>
      <c r="H6797" s="31">
        <f>+IFERROR(VLOOKUP(E6797,BD!$L$2:$Q$244,6,0),0)</f>
        <v>0</v>
      </c>
      <c r="I6797" s="626">
        <f>IFERROR(G6797*VLOOKUP($E6797,BD!$L$2:$Q$244,5,0),0)</f>
        <v>0</v>
      </c>
      <c r="J6797" s="3">
        <f t="shared" si="437"/>
        <v>1900</v>
      </c>
    </row>
    <row r="6798" spans="1:10" s="9" customFormat="1" x14ac:dyDescent="0.25">
      <c r="A6798" s="447"/>
      <c r="B6798" s="55" t="str">
        <f t="shared" si="434"/>
        <v>ENERO</v>
      </c>
      <c r="C6798" s="55">
        <f t="shared" si="435"/>
        <v>1</v>
      </c>
      <c r="D6798" s="3" t="str">
        <f t="shared" si="436"/>
        <v>SÁBADO</v>
      </c>
      <c r="E6798" s="427"/>
      <c r="F6798" s="31">
        <f>IFERROR(VLOOKUP(E6798,BD!$L$2:$Q$244,2,0),0)</f>
        <v>0</v>
      </c>
      <c r="G6798" s="424"/>
      <c r="H6798" s="31">
        <f>+IFERROR(VLOOKUP(E6798,BD!$L$2:$Q$244,6,0),0)</f>
        <v>0</v>
      </c>
      <c r="I6798" s="626">
        <f>IFERROR(G6798*VLOOKUP($E6798,BD!$L$2:$Q$244,5,0),0)</f>
        <v>0</v>
      </c>
      <c r="J6798" s="3">
        <f t="shared" si="437"/>
        <v>1900</v>
      </c>
    </row>
    <row r="6799" spans="1:10" s="9" customFormat="1" x14ac:dyDescent="0.25">
      <c r="A6799" s="447"/>
      <c r="B6799" s="55" t="str">
        <f t="shared" si="434"/>
        <v>ENERO</v>
      </c>
      <c r="C6799" s="55">
        <f t="shared" si="435"/>
        <v>1</v>
      </c>
      <c r="D6799" s="3" t="str">
        <f t="shared" si="436"/>
        <v>SÁBADO</v>
      </c>
      <c r="E6799" s="427"/>
      <c r="F6799" s="31">
        <f>IFERROR(VLOOKUP(E6799,BD!$L$2:$Q$244,2,0),0)</f>
        <v>0</v>
      </c>
      <c r="G6799" s="424"/>
      <c r="H6799" s="31">
        <f>+IFERROR(VLOOKUP(E6799,BD!$L$2:$Q$244,6,0),0)</f>
        <v>0</v>
      </c>
      <c r="I6799" s="626">
        <f>IFERROR(G6799*VLOOKUP($E6799,BD!$L$2:$Q$244,5,0),0)</f>
        <v>0</v>
      </c>
      <c r="J6799" s="3">
        <f t="shared" si="437"/>
        <v>1900</v>
      </c>
    </row>
    <row r="6800" spans="1:10" s="9" customFormat="1" x14ac:dyDescent="0.25">
      <c r="A6800" s="447"/>
      <c r="B6800" s="55" t="str">
        <f t="shared" si="434"/>
        <v>ENERO</v>
      </c>
      <c r="C6800" s="55">
        <f t="shared" si="435"/>
        <v>1</v>
      </c>
      <c r="D6800" s="3" t="str">
        <f t="shared" si="436"/>
        <v>SÁBADO</v>
      </c>
      <c r="E6800" s="427"/>
      <c r="F6800" s="31">
        <f>IFERROR(VLOOKUP(E6800,BD!$L$2:$Q$244,2,0),0)</f>
        <v>0</v>
      </c>
      <c r="G6800" s="425"/>
      <c r="H6800" s="31">
        <f>+IFERROR(VLOOKUP(E6800,BD!$L$2:$Q$244,6,0),0)</f>
        <v>0</v>
      </c>
      <c r="I6800" s="626">
        <f>IFERROR(G6800*VLOOKUP($E6800,BD!$L$2:$Q$244,5,0),0)</f>
        <v>0</v>
      </c>
      <c r="J6800" s="3">
        <f t="shared" si="437"/>
        <v>1900</v>
      </c>
    </row>
    <row r="6801" spans="1:10" s="9" customFormat="1" x14ac:dyDescent="0.25">
      <c r="A6801" s="447"/>
      <c r="B6801" s="55" t="str">
        <f t="shared" si="434"/>
        <v>ENERO</v>
      </c>
      <c r="C6801" s="55">
        <f t="shared" si="435"/>
        <v>1</v>
      </c>
      <c r="D6801" s="3" t="str">
        <f t="shared" si="436"/>
        <v>SÁBADO</v>
      </c>
      <c r="E6801" s="427"/>
      <c r="F6801" s="31">
        <f>IFERROR(VLOOKUP(E6801,BD!$L$2:$Q$244,2,0),0)</f>
        <v>0</v>
      </c>
      <c r="G6801" s="424"/>
      <c r="H6801" s="31">
        <f>+IFERROR(VLOOKUP(E6801,BD!$L$2:$Q$244,6,0),0)</f>
        <v>0</v>
      </c>
      <c r="I6801" s="626">
        <f>IFERROR(G6801*VLOOKUP($E6801,BD!$L$2:$Q$244,5,0),0)</f>
        <v>0</v>
      </c>
      <c r="J6801" s="3">
        <f t="shared" si="437"/>
        <v>1900</v>
      </c>
    </row>
    <row r="6802" spans="1:10" s="9" customFormat="1" x14ac:dyDescent="0.25">
      <c r="A6802" s="447"/>
      <c r="B6802" s="55" t="str">
        <f t="shared" si="434"/>
        <v>ENERO</v>
      </c>
      <c r="C6802" s="55">
        <f t="shared" si="435"/>
        <v>1</v>
      </c>
      <c r="D6802" s="3" t="str">
        <f t="shared" si="436"/>
        <v>SÁBADO</v>
      </c>
      <c r="E6802" s="427"/>
      <c r="F6802" s="31">
        <f>IFERROR(VLOOKUP(E6802,BD!$L$2:$Q$244,2,0),0)</f>
        <v>0</v>
      </c>
      <c r="G6802" s="424"/>
      <c r="H6802" s="31">
        <f>+IFERROR(VLOOKUP(E6802,BD!$L$2:$Q$244,6,0),0)</f>
        <v>0</v>
      </c>
      <c r="I6802" s="626">
        <f>IFERROR(G6802*VLOOKUP($E6802,BD!$L$2:$Q$244,5,0),0)</f>
        <v>0</v>
      </c>
      <c r="J6802" s="3">
        <f t="shared" si="437"/>
        <v>1900</v>
      </c>
    </row>
    <row r="6803" spans="1:10" s="9" customFormat="1" x14ac:dyDescent="0.25">
      <c r="A6803" s="447"/>
      <c r="B6803" s="55" t="str">
        <f t="shared" si="434"/>
        <v>ENERO</v>
      </c>
      <c r="C6803" s="55">
        <f t="shared" si="435"/>
        <v>1</v>
      </c>
      <c r="D6803" s="3" t="str">
        <f t="shared" si="436"/>
        <v>SÁBADO</v>
      </c>
      <c r="E6803" s="427"/>
      <c r="F6803" s="31">
        <f>IFERROR(VLOOKUP(E6803,BD!$L$2:$Q$244,2,0),0)</f>
        <v>0</v>
      </c>
      <c r="G6803" s="424"/>
      <c r="H6803" s="31">
        <f>+IFERROR(VLOOKUP(E6803,BD!$L$2:$Q$244,6,0),0)</f>
        <v>0</v>
      </c>
      <c r="I6803" s="626">
        <f>IFERROR(G6803*VLOOKUP($E6803,BD!$L$2:$Q$244,5,0),0)</f>
        <v>0</v>
      </c>
      <c r="J6803" s="3">
        <f t="shared" si="437"/>
        <v>1900</v>
      </c>
    </row>
    <row r="6804" spans="1:10" s="9" customFormat="1" x14ac:dyDescent="0.25">
      <c r="A6804" s="447"/>
      <c r="B6804" s="55" t="str">
        <f t="shared" si="434"/>
        <v>ENERO</v>
      </c>
      <c r="C6804" s="55">
        <f t="shared" si="435"/>
        <v>1</v>
      </c>
      <c r="D6804" s="3" t="str">
        <f t="shared" si="436"/>
        <v>SÁBADO</v>
      </c>
      <c r="E6804" s="427"/>
      <c r="F6804" s="31">
        <f>IFERROR(VLOOKUP(E6804,BD!$L$2:$Q$244,2,0),0)</f>
        <v>0</v>
      </c>
      <c r="G6804" s="424"/>
      <c r="H6804" s="31">
        <f>+IFERROR(VLOOKUP(E6804,BD!$L$2:$Q$244,6,0),0)</f>
        <v>0</v>
      </c>
      <c r="I6804" s="626">
        <f>IFERROR(G6804*VLOOKUP($E6804,BD!$L$2:$Q$244,5,0),0)</f>
        <v>0</v>
      </c>
      <c r="J6804" s="3">
        <f t="shared" si="437"/>
        <v>1900</v>
      </c>
    </row>
    <row r="6805" spans="1:10" s="9" customFormat="1" x14ac:dyDescent="0.25">
      <c r="A6805" s="447"/>
      <c r="B6805" s="55" t="str">
        <f t="shared" si="434"/>
        <v>ENERO</v>
      </c>
      <c r="C6805" s="55">
        <f t="shared" si="435"/>
        <v>1</v>
      </c>
      <c r="D6805" s="3" t="str">
        <f t="shared" si="436"/>
        <v>SÁBADO</v>
      </c>
      <c r="E6805" s="427"/>
      <c r="F6805" s="31">
        <f>IFERROR(VLOOKUP(E6805,BD!$L$2:$Q$244,2,0),0)</f>
        <v>0</v>
      </c>
      <c r="G6805" s="424"/>
      <c r="H6805" s="31">
        <f>+IFERROR(VLOOKUP(E6805,BD!$L$2:$Q$244,6,0),0)</f>
        <v>0</v>
      </c>
      <c r="I6805" s="626">
        <f>IFERROR(G6805*VLOOKUP($E6805,BD!$L$2:$Q$244,5,0),0)</f>
        <v>0</v>
      </c>
      <c r="J6805" s="3">
        <f t="shared" si="437"/>
        <v>1900</v>
      </c>
    </row>
    <row r="6806" spans="1:10" s="9" customFormat="1" x14ac:dyDescent="0.25">
      <c r="A6806" s="447"/>
      <c r="B6806" s="55" t="str">
        <f t="shared" si="434"/>
        <v>ENERO</v>
      </c>
      <c r="C6806" s="55">
        <f t="shared" si="435"/>
        <v>1</v>
      </c>
      <c r="D6806" s="3" t="str">
        <f t="shared" si="436"/>
        <v>SÁBADO</v>
      </c>
      <c r="E6806" s="427"/>
      <c r="F6806" s="31">
        <f>IFERROR(VLOOKUP(E6806,BD!$L$2:$Q$244,2,0),0)</f>
        <v>0</v>
      </c>
      <c r="G6806" s="424"/>
      <c r="H6806" s="31">
        <f>+IFERROR(VLOOKUP(E6806,BD!$L$2:$Q$244,6,0),0)</f>
        <v>0</v>
      </c>
      <c r="I6806" s="626">
        <f>IFERROR(G6806*VLOOKUP($E6806,BD!$L$2:$Q$244,5,0),0)</f>
        <v>0</v>
      </c>
      <c r="J6806" s="3">
        <f t="shared" si="437"/>
        <v>1900</v>
      </c>
    </row>
    <row r="6807" spans="1:10" s="9" customFormat="1" x14ac:dyDescent="0.25">
      <c r="A6807" s="447"/>
      <c r="B6807" s="55" t="str">
        <f t="shared" si="434"/>
        <v>ENERO</v>
      </c>
      <c r="C6807" s="55">
        <f t="shared" si="435"/>
        <v>1</v>
      </c>
      <c r="D6807" s="3" t="str">
        <f t="shared" si="436"/>
        <v>SÁBADO</v>
      </c>
      <c r="E6807" s="427"/>
      <c r="F6807" s="31">
        <f>IFERROR(VLOOKUP(E6807,BD!$L$2:$Q$244,2,0),0)</f>
        <v>0</v>
      </c>
      <c r="G6807" s="424"/>
      <c r="H6807" s="31">
        <f>+IFERROR(VLOOKUP(E6807,BD!$L$2:$Q$244,6,0),0)</f>
        <v>0</v>
      </c>
      <c r="I6807" s="626">
        <f>IFERROR(G6807*VLOOKUP($E6807,BD!$L$2:$Q$244,5,0),0)</f>
        <v>0</v>
      </c>
      <c r="J6807" s="3">
        <f t="shared" si="437"/>
        <v>1900</v>
      </c>
    </row>
    <row r="6808" spans="1:10" s="9" customFormat="1" x14ac:dyDescent="0.25">
      <c r="A6808" s="447"/>
      <c r="B6808" s="55" t="str">
        <f t="shared" si="434"/>
        <v>ENERO</v>
      </c>
      <c r="C6808" s="55">
        <f t="shared" si="435"/>
        <v>1</v>
      </c>
      <c r="D6808" s="3" t="str">
        <f t="shared" si="436"/>
        <v>SÁBADO</v>
      </c>
      <c r="E6808" s="427"/>
      <c r="F6808" s="31">
        <f>IFERROR(VLOOKUP(E6808,BD!$L$2:$Q$244,2,0),0)</f>
        <v>0</v>
      </c>
      <c r="G6808" s="424"/>
      <c r="H6808" s="31">
        <f>+IFERROR(VLOOKUP(E6808,BD!$L$2:$Q$244,6,0),0)</f>
        <v>0</v>
      </c>
      <c r="I6808" s="626">
        <f>IFERROR(G6808*VLOOKUP($E6808,BD!$L$2:$Q$244,5,0),0)</f>
        <v>0</v>
      </c>
      <c r="J6808" s="3">
        <f t="shared" si="437"/>
        <v>1900</v>
      </c>
    </row>
    <row r="6809" spans="1:10" s="9" customFormat="1" x14ac:dyDescent="0.25">
      <c r="A6809" s="447"/>
      <c r="B6809" s="55" t="str">
        <f t="shared" si="434"/>
        <v>ENERO</v>
      </c>
      <c r="C6809" s="55">
        <f t="shared" si="435"/>
        <v>1</v>
      </c>
      <c r="D6809" s="3" t="str">
        <f t="shared" si="436"/>
        <v>SÁBADO</v>
      </c>
      <c r="E6809" s="427"/>
      <c r="F6809" s="31">
        <f>IFERROR(VLOOKUP(E6809,BD!$L$2:$Q$244,2,0),0)</f>
        <v>0</v>
      </c>
      <c r="G6809" s="424"/>
      <c r="H6809" s="31">
        <f>+IFERROR(VLOOKUP(E6809,BD!$L$2:$Q$244,6,0),0)</f>
        <v>0</v>
      </c>
      <c r="I6809" s="626">
        <f>IFERROR(G6809*VLOOKUP($E6809,BD!$L$2:$Q$244,5,0),0)</f>
        <v>0</v>
      </c>
      <c r="J6809" s="3">
        <f t="shared" si="437"/>
        <v>1900</v>
      </c>
    </row>
    <row r="6810" spans="1:10" s="9" customFormat="1" x14ac:dyDescent="0.25">
      <c r="A6810" s="447"/>
      <c r="B6810" s="55" t="str">
        <f t="shared" si="434"/>
        <v>ENERO</v>
      </c>
      <c r="C6810" s="55">
        <f t="shared" si="435"/>
        <v>1</v>
      </c>
      <c r="D6810" s="3" t="str">
        <f t="shared" si="436"/>
        <v>SÁBADO</v>
      </c>
      <c r="E6810" s="427"/>
      <c r="F6810" s="31">
        <f>IFERROR(VLOOKUP(E6810,BD!$L$2:$Q$244,2,0),0)</f>
        <v>0</v>
      </c>
      <c r="G6810" s="424"/>
      <c r="H6810" s="31">
        <f>+IFERROR(VLOOKUP(E6810,BD!$L$2:$Q$244,6,0),0)</f>
        <v>0</v>
      </c>
      <c r="I6810" s="626">
        <f>IFERROR(G6810*VLOOKUP($E6810,BD!$L$2:$Q$244,5,0),0)</f>
        <v>0</v>
      </c>
      <c r="J6810" s="3">
        <f t="shared" si="437"/>
        <v>1900</v>
      </c>
    </row>
    <row r="6811" spans="1:10" s="9" customFormat="1" x14ac:dyDescent="0.25">
      <c r="A6811" s="447"/>
      <c r="B6811" s="55" t="str">
        <f t="shared" si="434"/>
        <v>ENERO</v>
      </c>
      <c r="C6811" s="55">
        <f t="shared" si="435"/>
        <v>1</v>
      </c>
      <c r="D6811" s="3" t="str">
        <f t="shared" si="436"/>
        <v>SÁBADO</v>
      </c>
      <c r="E6811" s="427"/>
      <c r="F6811" s="31">
        <f>IFERROR(VLOOKUP(E6811,BD!$L$2:$Q$244,2,0),0)</f>
        <v>0</v>
      </c>
      <c r="G6811" s="425"/>
      <c r="H6811" s="31">
        <f>+IFERROR(VLOOKUP(E6811,BD!$L$2:$Q$244,6,0),0)</f>
        <v>0</v>
      </c>
      <c r="I6811" s="626">
        <f>IFERROR(G6811*VLOOKUP($E6811,BD!$L$2:$Q$244,5,0),0)</f>
        <v>0</v>
      </c>
      <c r="J6811" s="3">
        <f t="shared" si="437"/>
        <v>1900</v>
      </c>
    </row>
    <row r="6812" spans="1:10" s="9" customFormat="1" x14ac:dyDescent="0.25">
      <c r="A6812" s="447"/>
      <c r="B6812" s="55" t="str">
        <f t="shared" si="434"/>
        <v>ENERO</v>
      </c>
      <c r="C6812" s="55">
        <f t="shared" si="435"/>
        <v>1</v>
      </c>
      <c r="D6812" s="3" t="str">
        <f t="shared" si="436"/>
        <v>SÁBADO</v>
      </c>
      <c r="E6812" s="427"/>
      <c r="F6812" s="31">
        <f>IFERROR(VLOOKUP(E6812,BD!$L$2:$Q$244,2,0),0)</f>
        <v>0</v>
      </c>
      <c r="G6812" s="425"/>
      <c r="H6812" s="31">
        <f>+IFERROR(VLOOKUP(E6812,BD!$L$2:$Q$244,6,0),0)</f>
        <v>0</v>
      </c>
      <c r="I6812" s="626">
        <f>IFERROR(G6812*VLOOKUP($E6812,BD!$L$2:$Q$244,5,0),0)</f>
        <v>0</v>
      </c>
      <c r="J6812" s="3">
        <f t="shared" si="437"/>
        <v>1900</v>
      </c>
    </row>
    <row r="6813" spans="1:10" s="9" customFormat="1" x14ac:dyDescent="0.25">
      <c r="A6813" s="447"/>
      <c r="B6813" s="55" t="str">
        <f t="shared" si="434"/>
        <v>ENERO</v>
      </c>
      <c r="C6813" s="55">
        <f t="shared" si="435"/>
        <v>1</v>
      </c>
      <c r="D6813" s="3" t="str">
        <f t="shared" si="436"/>
        <v>SÁBADO</v>
      </c>
      <c r="E6813" s="427"/>
      <c r="F6813" s="31">
        <f>IFERROR(VLOOKUP(E6813,BD!$L$2:$Q$244,2,0),0)</f>
        <v>0</v>
      </c>
      <c r="G6813" s="424"/>
      <c r="H6813" s="31">
        <f>+IFERROR(VLOOKUP(E6813,BD!$L$2:$Q$244,6,0),0)</f>
        <v>0</v>
      </c>
      <c r="I6813" s="626">
        <f>IFERROR(G6813*VLOOKUP($E6813,BD!$L$2:$Q$244,5,0),0)</f>
        <v>0</v>
      </c>
      <c r="J6813" s="3">
        <f t="shared" si="437"/>
        <v>1900</v>
      </c>
    </row>
    <row r="6814" spans="1:10" s="9" customFormat="1" x14ac:dyDescent="0.25">
      <c r="A6814" s="447"/>
      <c r="B6814" s="55" t="str">
        <f t="shared" si="434"/>
        <v>ENERO</v>
      </c>
      <c r="C6814" s="55">
        <f t="shared" si="435"/>
        <v>1</v>
      </c>
      <c r="D6814" s="3" t="str">
        <f t="shared" si="436"/>
        <v>SÁBADO</v>
      </c>
      <c r="E6814" s="427"/>
      <c r="F6814" s="31">
        <f>IFERROR(VLOOKUP(E6814,BD!$L$2:$Q$244,2,0),0)</f>
        <v>0</v>
      </c>
      <c r="G6814" s="424"/>
      <c r="H6814" s="31">
        <f>+IFERROR(VLOOKUP(E6814,BD!$L$2:$Q$244,6,0),0)</f>
        <v>0</v>
      </c>
      <c r="I6814" s="626">
        <f>IFERROR(G6814*VLOOKUP($E6814,BD!$L$2:$Q$244,5,0),0)</f>
        <v>0</v>
      </c>
      <c r="J6814" s="3">
        <f t="shared" si="437"/>
        <v>1900</v>
      </c>
    </row>
    <row r="6815" spans="1:10" s="9" customFormat="1" x14ac:dyDescent="0.25">
      <c r="A6815" s="447"/>
      <c r="B6815" s="55" t="str">
        <f t="shared" si="434"/>
        <v>ENERO</v>
      </c>
      <c r="C6815" s="55">
        <f t="shared" si="435"/>
        <v>1</v>
      </c>
      <c r="D6815" s="3" t="str">
        <f t="shared" si="436"/>
        <v>SÁBADO</v>
      </c>
      <c r="E6815" s="427"/>
      <c r="F6815" s="31">
        <f>IFERROR(VLOOKUP(E6815,BD!$L$2:$Q$244,2,0),0)</f>
        <v>0</v>
      </c>
      <c r="G6815" s="424"/>
      <c r="H6815" s="31">
        <f>+IFERROR(VLOOKUP(E6815,BD!$L$2:$Q$244,6,0),0)</f>
        <v>0</v>
      </c>
      <c r="I6815" s="626">
        <f>IFERROR(G6815*VLOOKUP($E6815,BD!$L$2:$Q$244,5,0),0)</f>
        <v>0</v>
      </c>
      <c r="J6815" s="3">
        <f t="shared" si="437"/>
        <v>1900</v>
      </c>
    </row>
    <row r="6816" spans="1:10" s="9" customFormat="1" x14ac:dyDescent="0.25">
      <c r="A6816" s="447"/>
      <c r="B6816" s="55" t="str">
        <f t="shared" si="434"/>
        <v>ENERO</v>
      </c>
      <c r="C6816" s="55">
        <f t="shared" si="435"/>
        <v>1</v>
      </c>
      <c r="D6816" s="3" t="str">
        <f t="shared" si="436"/>
        <v>SÁBADO</v>
      </c>
      <c r="E6816" s="427"/>
      <c r="F6816" s="31">
        <f>IFERROR(VLOOKUP(E6816,BD!$L$2:$Q$244,2,0),0)</f>
        <v>0</v>
      </c>
      <c r="G6816" s="424"/>
      <c r="H6816" s="31">
        <f>+IFERROR(VLOOKUP(E6816,BD!$L$2:$Q$244,6,0),0)</f>
        <v>0</v>
      </c>
      <c r="I6816" s="626">
        <f>IFERROR(G6816*VLOOKUP($E6816,BD!$L$2:$Q$244,5,0),0)</f>
        <v>0</v>
      </c>
      <c r="J6816" s="3">
        <f t="shared" si="437"/>
        <v>1900</v>
      </c>
    </row>
    <row r="6817" spans="1:10" s="9" customFormat="1" x14ac:dyDescent="0.25">
      <c r="A6817" s="447"/>
      <c r="B6817" s="55" t="str">
        <f t="shared" si="434"/>
        <v>ENERO</v>
      </c>
      <c r="C6817" s="55">
        <f t="shared" si="435"/>
        <v>1</v>
      </c>
      <c r="D6817" s="3" t="str">
        <f t="shared" si="436"/>
        <v>SÁBADO</v>
      </c>
      <c r="E6817" s="427"/>
      <c r="F6817" s="31">
        <f>IFERROR(VLOOKUP(E6817,BD!$L$2:$Q$244,2,0),0)</f>
        <v>0</v>
      </c>
      <c r="G6817" s="424"/>
      <c r="H6817" s="31">
        <f>+IFERROR(VLOOKUP(E6817,BD!$L$2:$Q$244,6,0),0)</f>
        <v>0</v>
      </c>
      <c r="I6817" s="626">
        <f>IFERROR(G6817*VLOOKUP($E6817,BD!$L$2:$Q$244,5,0),0)</f>
        <v>0</v>
      </c>
      <c r="J6817" s="3">
        <f t="shared" si="437"/>
        <v>1900</v>
      </c>
    </row>
    <row r="6818" spans="1:10" s="9" customFormat="1" x14ac:dyDescent="0.25">
      <c r="A6818" s="447"/>
      <c r="B6818" s="55" t="str">
        <f t="shared" si="434"/>
        <v>ENERO</v>
      </c>
      <c r="C6818" s="55">
        <f t="shared" si="435"/>
        <v>1</v>
      </c>
      <c r="D6818" s="3" t="str">
        <f t="shared" si="436"/>
        <v>SÁBADO</v>
      </c>
      <c r="E6818" s="427"/>
      <c r="F6818" s="31">
        <f>IFERROR(VLOOKUP(E6818,BD!$L$2:$Q$244,2,0),0)</f>
        <v>0</v>
      </c>
      <c r="G6818" s="424"/>
      <c r="H6818" s="31">
        <f>+IFERROR(VLOOKUP(E6818,BD!$L$2:$Q$244,6,0),0)</f>
        <v>0</v>
      </c>
      <c r="I6818" s="626">
        <f>IFERROR(G6818*VLOOKUP($E6818,BD!$L$2:$Q$244,5,0),0)</f>
        <v>0</v>
      </c>
      <c r="J6818" s="3">
        <f t="shared" si="437"/>
        <v>1900</v>
      </c>
    </row>
    <row r="6819" spans="1:10" s="9" customFormat="1" x14ac:dyDescent="0.25">
      <c r="A6819" s="447"/>
      <c r="B6819" s="55" t="str">
        <f t="shared" si="434"/>
        <v>ENERO</v>
      </c>
      <c r="C6819" s="55">
        <f t="shared" si="435"/>
        <v>1</v>
      </c>
      <c r="D6819" s="3" t="str">
        <f t="shared" si="436"/>
        <v>SÁBADO</v>
      </c>
      <c r="E6819" s="427"/>
      <c r="F6819" s="31">
        <f>IFERROR(VLOOKUP(E6819,BD!$L$2:$Q$244,2,0),0)</f>
        <v>0</v>
      </c>
      <c r="G6819" s="424"/>
      <c r="H6819" s="31">
        <f>+IFERROR(VLOOKUP(E6819,BD!$L$2:$Q$244,6,0),0)</f>
        <v>0</v>
      </c>
      <c r="I6819" s="626">
        <f>IFERROR(G6819*VLOOKUP($E6819,BD!$L$2:$Q$244,5,0),0)</f>
        <v>0</v>
      </c>
      <c r="J6819" s="3">
        <f t="shared" si="437"/>
        <v>1900</v>
      </c>
    </row>
    <row r="6820" spans="1:10" s="9" customFormat="1" x14ac:dyDescent="0.25">
      <c r="A6820" s="447"/>
      <c r="B6820" s="55" t="str">
        <f t="shared" si="434"/>
        <v>ENERO</v>
      </c>
      <c r="C6820" s="55">
        <f t="shared" si="435"/>
        <v>1</v>
      </c>
      <c r="D6820" s="3" t="str">
        <f t="shared" si="436"/>
        <v>SÁBADO</v>
      </c>
      <c r="E6820" s="427"/>
      <c r="F6820" s="31">
        <f>IFERROR(VLOOKUP(E6820,BD!$L$2:$Q$244,2,0),0)</f>
        <v>0</v>
      </c>
      <c r="G6820" s="424"/>
      <c r="H6820" s="31">
        <f>+IFERROR(VLOOKUP(E6820,BD!$L$2:$Q$244,6,0),0)</f>
        <v>0</v>
      </c>
      <c r="I6820" s="626">
        <f>IFERROR(G6820*VLOOKUP($E6820,BD!$L$2:$Q$244,5,0),0)</f>
        <v>0</v>
      </c>
      <c r="J6820" s="3">
        <f t="shared" si="437"/>
        <v>1900</v>
      </c>
    </row>
    <row r="6821" spans="1:10" s="9" customFormat="1" x14ac:dyDescent="0.25">
      <c r="A6821" s="447"/>
      <c r="B6821" s="55" t="str">
        <f t="shared" si="434"/>
        <v>ENERO</v>
      </c>
      <c r="C6821" s="55">
        <f t="shared" si="435"/>
        <v>1</v>
      </c>
      <c r="D6821" s="3" t="str">
        <f t="shared" si="436"/>
        <v>SÁBADO</v>
      </c>
      <c r="E6821" s="427"/>
      <c r="F6821" s="31">
        <f>IFERROR(VLOOKUP(E6821,BD!$L$2:$Q$244,2,0),0)</f>
        <v>0</v>
      </c>
      <c r="G6821" s="424"/>
      <c r="H6821" s="31">
        <f>+IFERROR(VLOOKUP(E6821,BD!$L$2:$Q$244,6,0),0)</f>
        <v>0</v>
      </c>
      <c r="I6821" s="626">
        <f>IFERROR(G6821*VLOOKUP($E6821,BD!$L$2:$Q$244,5,0),0)</f>
        <v>0</v>
      </c>
      <c r="J6821" s="3">
        <f t="shared" si="437"/>
        <v>1900</v>
      </c>
    </row>
    <row r="6822" spans="1:10" s="9" customFormat="1" x14ac:dyDescent="0.25">
      <c r="A6822" s="447"/>
      <c r="B6822" s="55" t="str">
        <f t="shared" si="434"/>
        <v>ENERO</v>
      </c>
      <c r="C6822" s="55">
        <f t="shared" si="435"/>
        <v>1</v>
      </c>
      <c r="D6822" s="3" t="str">
        <f t="shared" si="436"/>
        <v>SÁBADO</v>
      </c>
      <c r="E6822" s="427"/>
      <c r="F6822" s="31">
        <f>IFERROR(VLOOKUP(E6822,BD!$L$2:$Q$244,2,0),0)</f>
        <v>0</v>
      </c>
      <c r="G6822" s="424"/>
      <c r="H6822" s="31">
        <f>+IFERROR(VLOOKUP(E6822,BD!$L$2:$Q$244,6,0),0)</f>
        <v>0</v>
      </c>
      <c r="I6822" s="626">
        <f>IFERROR(G6822*VLOOKUP($E6822,BD!$L$2:$Q$244,5,0),0)</f>
        <v>0</v>
      </c>
      <c r="J6822" s="3">
        <f t="shared" si="437"/>
        <v>1900</v>
      </c>
    </row>
    <row r="6823" spans="1:10" s="9" customFormat="1" x14ac:dyDescent="0.25">
      <c r="A6823" s="447"/>
      <c r="B6823" s="55" t="str">
        <f t="shared" si="434"/>
        <v>ENERO</v>
      </c>
      <c r="C6823" s="55">
        <f t="shared" si="435"/>
        <v>1</v>
      </c>
      <c r="D6823" s="3" t="str">
        <f t="shared" si="436"/>
        <v>SÁBADO</v>
      </c>
      <c r="E6823" s="427"/>
      <c r="F6823" s="31">
        <f>IFERROR(VLOOKUP(E6823,BD!$L$2:$Q$244,2,0),0)</f>
        <v>0</v>
      </c>
      <c r="G6823" s="424"/>
      <c r="H6823" s="31">
        <f>+IFERROR(VLOOKUP(E6823,BD!$L$2:$Q$244,6,0),0)</f>
        <v>0</v>
      </c>
      <c r="I6823" s="626">
        <f>IFERROR(G6823*VLOOKUP($E6823,BD!$L$2:$Q$244,5,0),0)</f>
        <v>0</v>
      </c>
      <c r="J6823" s="3">
        <f t="shared" si="437"/>
        <v>1900</v>
      </c>
    </row>
    <row r="6824" spans="1:10" s="9" customFormat="1" x14ac:dyDescent="0.25">
      <c r="A6824" s="447"/>
      <c r="B6824" s="55" t="str">
        <f t="shared" si="434"/>
        <v>ENERO</v>
      </c>
      <c r="C6824" s="55">
        <f t="shared" si="435"/>
        <v>1</v>
      </c>
      <c r="D6824" s="3" t="str">
        <f t="shared" si="436"/>
        <v>SÁBADO</v>
      </c>
      <c r="E6824" s="427"/>
      <c r="F6824" s="31">
        <f>IFERROR(VLOOKUP(E6824,BD!$L$2:$Q$244,2,0),0)</f>
        <v>0</v>
      </c>
      <c r="G6824" s="425"/>
      <c r="H6824" s="31">
        <f>+IFERROR(VLOOKUP(E6824,BD!$L$2:$Q$244,6,0),0)</f>
        <v>0</v>
      </c>
      <c r="I6824" s="626">
        <f>IFERROR(G6824*VLOOKUP($E6824,BD!$L$2:$Q$244,5,0),0)</f>
        <v>0</v>
      </c>
      <c r="J6824" s="3">
        <f t="shared" si="437"/>
        <v>1900</v>
      </c>
    </row>
    <row r="6825" spans="1:10" s="9" customFormat="1" x14ac:dyDescent="0.25">
      <c r="A6825" s="447"/>
      <c r="B6825" s="55" t="str">
        <f t="shared" si="434"/>
        <v>ENERO</v>
      </c>
      <c r="C6825" s="55">
        <f t="shared" si="435"/>
        <v>1</v>
      </c>
      <c r="D6825" s="3" t="str">
        <f t="shared" si="436"/>
        <v>SÁBADO</v>
      </c>
      <c r="E6825" s="427"/>
      <c r="F6825" s="31">
        <f>IFERROR(VLOOKUP(E6825,BD!$L$2:$Q$244,2,0),0)</f>
        <v>0</v>
      </c>
      <c r="G6825" s="424"/>
      <c r="H6825" s="31">
        <f>+IFERROR(VLOOKUP(E6825,BD!$L$2:$Q$244,6,0),0)</f>
        <v>0</v>
      </c>
      <c r="I6825" s="626">
        <f>IFERROR(G6825*VLOOKUP($E6825,BD!$L$2:$Q$244,5,0),0)</f>
        <v>0</v>
      </c>
      <c r="J6825" s="3">
        <f t="shared" si="437"/>
        <v>1900</v>
      </c>
    </row>
    <row r="6826" spans="1:10" s="9" customFormat="1" x14ac:dyDescent="0.25">
      <c r="A6826" s="447"/>
      <c r="B6826" s="55" t="str">
        <f t="shared" si="434"/>
        <v>ENERO</v>
      </c>
      <c r="C6826" s="55">
        <f t="shared" si="435"/>
        <v>1</v>
      </c>
      <c r="D6826" s="3" t="str">
        <f t="shared" si="436"/>
        <v>SÁBADO</v>
      </c>
      <c r="E6826" s="427"/>
      <c r="F6826" s="31">
        <f>IFERROR(VLOOKUP(E6826,BD!$L$2:$Q$244,2,0),0)</f>
        <v>0</v>
      </c>
      <c r="G6826" s="424"/>
      <c r="H6826" s="31">
        <f>+IFERROR(VLOOKUP(E6826,BD!$L$2:$Q$244,6,0),0)</f>
        <v>0</v>
      </c>
      <c r="I6826" s="626">
        <f>IFERROR(G6826*VLOOKUP($E6826,BD!$L$2:$Q$244,5,0),0)</f>
        <v>0</v>
      </c>
      <c r="J6826" s="3">
        <f t="shared" si="437"/>
        <v>1900</v>
      </c>
    </row>
    <row r="6827" spans="1:10" s="9" customFormat="1" x14ac:dyDescent="0.25">
      <c r="A6827" s="447"/>
      <c r="B6827" s="55" t="str">
        <f t="shared" si="434"/>
        <v>ENERO</v>
      </c>
      <c r="C6827" s="55">
        <f t="shared" si="435"/>
        <v>1</v>
      </c>
      <c r="D6827" s="3" t="str">
        <f t="shared" si="436"/>
        <v>SÁBADO</v>
      </c>
      <c r="E6827" s="427"/>
      <c r="F6827" s="31">
        <f>IFERROR(VLOOKUP(E6827,BD!$L$2:$Q$244,2,0),0)</f>
        <v>0</v>
      </c>
      <c r="G6827" s="424"/>
      <c r="H6827" s="31">
        <f>+IFERROR(VLOOKUP(E6827,BD!$L$2:$Q$244,6,0),0)</f>
        <v>0</v>
      </c>
      <c r="I6827" s="626">
        <f>IFERROR(G6827*VLOOKUP($E6827,BD!$L$2:$Q$244,5,0),0)</f>
        <v>0</v>
      </c>
      <c r="J6827" s="3">
        <f t="shared" si="437"/>
        <v>1900</v>
      </c>
    </row>
    <row r="6828" spans="1:10" s="9" customFormat="1" x14ac:dyDescent="0.25">
      <c r="A6828" s="447"/>
      <c r="B6828" s="55" t="str">
        <f t="shared" si="434"/>
        <v>ENERO</v>
      </c>
      <c r="C6828" s="55">
        <f t="shared" si="435"/>
        <v>1</v>
      </c>
      <c r="D6828" s="3" t="str">
        <f t="shared" si="436"/>
        <v>SÁBADO</v>
      </c>
      <c r="E6828" s="427"/>
      <c r="F6828" s="31">
        <f>IFERROR(VLOOKUP(E6828,BD!$L$2:$Q$244,2,0),0)</f>
        <v>0</v>
      </c>
      <c r="G6828" s="424"/>
      <c r="H6828" s="31">
        <f>+IFERROR(VLOOKUP(E6828,BD!$L$2:$Q$244,6,0),0)</f>
        <v>0</v>
      </c>
      <c r="I6828" s="626">
        <f>IFERROR(G6828*VLOOKUP($E6828,BD!$L$2:$Q$244,5,0),0)</f>
        <v>0</v>
      </c>
      <c r="J6828" s="3">
        <f t="shared" si="437"/>
        <v>1900</v>
      </c>
    </row>
    <row r="6829" spans="1:10" s="9" customFormat="1" x14ac:dyDescent="0.25">
      <c r="A6829" s="447"/>
      <c r="B6829" s="55" t="str">
        <f t="shared" si="434"/>
        <v>ENERO</v>
      </c>
      <c r="C6829" s="55">
        <f t="shared" si="435"/>
        <v>1</v>
      </c>
      <c r="D6829" s="3" t="str">
        <f t="shared" si="436"/>
        <v>SÁBADO</v>
      </c>
      <c r="E6829" s="427"/>
      <c r="F6829" s="31">
        <f>IFERROR(VLOOKUP(E6829,BD!$L$2:$Q$244,2,0),0)</f>
        <v>0</v>
      </c>
      <c r="G6829" s="424"/>
      <c r="H6829" s="31">
        <f>+IFERROR(VLOOKUP(E6829,BD!$L$2:$Q$244,6,0),0)</f>
        <v>0</v>
      </c>
      <c r="I6829" s="626">
        <f>IFERROR(G6829*VLOOKUP($E6829,BD!$L$2:$Q$244,5,0),0)</f>
        <v>0</v>
      </c>
      <c r="J6829" s="3">
        <f t="shared" si="437"/>
        <v>1900</v>
      </c>
    </row>
    <row r="6830" spans="1:10" s="9" customFormat="1" x14ac:dyDescent="0.25">
      <c r="A6830" s="447"/>
      <c r="B6830" s="55" t="str">
        <f t="shared" si="434"/>
        <v>ENERO</v>
      </c>
      <c r="C6830" s="55">
        <f t="shared" si="435"/>
        <v>1</v>
      </c>
      <c r="D6830" s="3" t="str">
        <f t="shared" si="436"/>
        <v>SÁBADO</v>
      </c>
      <c r="E6830" s="427"/>
      <c r="F6830" s="31">
        <f>IFERROR(VLOOKUP(E6830,BD!$L$2:$Q$244,2,0),0)</f>
        <v>0</v>
      </c>
      <c r="G6830" s="424"/>
      <c r="H6830" s="31">
        <f>+IFERROR(VLOOKUP(E6830,BD!$L$2:$Q$244,6,0),0)</f>
        <v>0</v>
      </c>
      <c r="I6830" s="626">
        <f>IFERROR(G6830*VLOOKUP($E6830,BD!$L$2:$Q$244,5,0),0)</f>
        <v>0</v>
      </c>
      <c r="J6830" s="3">
        <f t="shared" si="437"/>
        <v>1900</v>
      </c>
    </row>
    <row r="6831" spans="1:10" s="9" customFormat="1" x14ac:dyDescent="0.25">
      <c r="A6831" s="447"/>
      <c r="B6831" s="55" t="str">
        <f t="shared" si="434"/>
        <v>ENERO</v>
      </c>
      <c r="C6831" s="55">
        <f t="shared" si="435"/>
        <v>1</v>
      </c>
      <c r="D6831" s="3" t="str">
        <f t="shared" si="436"/>
        <v>SÁBADO</v>
      </c>
      <c r="E6831" s="427"/>
      <c r="F6831" s="31">
        <f>IFERROR(VLOOKUP(E6831,BD!$L$2:$Q$244,2,0),0)</f>
        <v>0</v>
      </c>
      <c r="G6831" s="424"/>
      <c r="H6831" s="31">
        <f>+IFERROR(VLOOKUP(E6831,BD!$L$2:$Q$244,6,0),0)</f>
        <v>0</v>
      </c>
      <c r="I6831" s="626">
        <f>IFERROR(G6831*VLOOKUP($E6831,BD!$L$2:$Q$244,5,0),0)</f>
        <v>0</v>
      </c>
      <c r="J6831" s="3">
        <f t="shared" si="437"/>
        <v>1900</v>
      </c>
    </row>
    <row r="6832" spans="1:10" s="9" customFormat="1" x14ac:dyDescent="0.25">
      <c r="A6832" s="447"/>
      <c r="B6832" s="55" t="str">
        <f t="shared" si="434"/>
        <v>ENERO</v>
      </c>
      <c r="C6832" s="55">
        <f t="shared" si="435"/>
        <v>1</v>
      </c>
      <c r="D6832" s="3" t="str">
        <f t="shared" si="436"/>
        <v>SÁBADO</v>
      </c>
      <c r="E6832" s="427"/>
      <c r="F6832" s="31">
        <f>IFERROR(VLOOKUP(E6832,BD!$L$2:$Q$244,2,0),0)</f>
        <v>0</v>
      </c>
      <c r="G6832" s="424"/>
      <c r="H6832" s="31">
        <f>+IFERROR(VLOOKUP(E6832,BD!$L$2:$Q$244,6,0),0)</f>
        <v>0</v>
      </c>
      <c r="I6832" s="626">
        <f>IFERROR(G6832*VLOOKUP($E6832,BD!$L$2:$Q$244,5,0),0)</f>
        <v>0</v>
      </c>
      <c r="J6832" s="3">
        <f t="shared" si="437"/>
        <v>1900</v>
      </c>
    </row>
    <row r="6833" spans="1:10" s="9" customFormat="1" x14ac:dyDescent="0.25">
      <c r="A6833" s="447"/>
      <c r="B6833" s="55" t="str">
        <f t="shared" si="434"/>
        <v>ENERO</v>
      </c>
      <c r="C6833" s="55">
        <f t="shared" si="435"/>
        <v>1</v>
      </c>
      <c r="D6833" s="3" t="str">
        <f t="shared" si="436"/>
        <v>SÁBADO</v>
      </c>
      <c r="E6833" s="427"/>
      <c r="F6833" s="31">
        <f>IFERROR(VLOOKUP(E6833,BD!$L$2:$Q$244,2,0),0)</f>
        <v>0</v>
      </c>
      <c r="G6833" s="424"/>
      <c r="H6833" s="31">
        <f>+IFERROR(VLOOKUP(E6833,BD!$L$2:$Q$244,6,0),0)</f>
        <v>0</v>
      </c>
      <c r="I6833" s="626">
        <f>IFERROR(G6833*VLOOKUP($E6833,BD!$L$2:$Q$244,5,0),0)</f>
        <v>0</v>
      </c>
      <c r="J6833" s="3">
        <f t="shared" si="437"/>
        <v>1900</v>
      </c>
    </row>
    <row r="6834" spans="1:10" s="9" customFormat="1" x14ac:dyDescent="0.25">
      <c r="A6834" s="447"/>
      <c r="B6834" s="55" t="str">
        <f t="shared" si="434"/>
        <v>ENERO</v>
      </c>
      <c r="C6834" s="55">
        <f t="shared" si="435"/>
        <v>1</v>
      </c>
      <c r="D6834" s="3" t="str">
        <f t="shared" si="436"/>
        <v>SÁBADO</v>
      </c>
      <c r="E6834" s="427"/>
      <c r="F6834" s="31">
        <f>IFERROR(VLOOKUP(E6834,BD!$L$2:$Q$244,2,0),0)</f>
        <v>0</v>
      </c>
      <c r="G6834" s="424"/>
      <c r="H6834" s="31">
        <f>+IFERROR(VLOOKUP(E6834,BD!$L$2:$Q$244,6,0),0)</f>
        <v>0</v>
      </c>
      <c r="I6834" s="626">
        <f>IFERROR(G6834*VLOOKUP($E6834,BD!$L$2:$Q$244,5,0),0)</f>
        <v>0</v>
      </c>
      <c r="J6834" s="3">
        <f t="shared" si="437"/>
        <v>1900</v>
      </c>
    </row>
    <row r="6835" spans="1:10" s="9" customFormat="1" x14ac:dyDescent="0.25">
      <c r="A6835" s="447"/>
      <c r="B6835" s="55" t="str">
        <f t="shared" si="434"/>
        <v>ENERO</v>
      </c>
      <c r="C6835" s="55">
        <f t="shared" si="435"/>
        <v>1</v>
      </c>
      <c r="D6835" s="3" t="str">
        <f t="shared" si="436"/>
        <v>SÁBADO</v>
      </c>
      <c r="E6835" s="427"/>
      <c r="F6835" s="31">
        <f>IFERROR(VLOOKUP(E6835,BD!$L$2:$Q$244,2,0),0)</f>
        <v>0</v>
      </c>
      <c r="G6835" s="424"/>
      <c r="H6835" s="31">
        <f>+IFERROR(VLOOKUP(E6835,BD!$L$2:$Q$244,6,0),0)</f>
        <v>0</v>
      </c>
      <c r="I6835" s="626">
        <f>IFERROR(G6835*VLOOKUP($E6835,BD!$L$2:$Q$244,5,0),0)</f>
        <v>0</v>
      </c>
      <c r="J6835" s="3">
        <f t="shared" si="437"/>
        <v>1900</v>
      </c>
    </row>
    <row r="6836" spans="1:10" s="9" customFormat="1" x14ac:dyDescent="0.25">
      <c r="A6836" s="447"/>
      <c r="B6836" s="55" t="str">
        <f t="shared" si="434"/>
        <v>ENERO</v>
      </c>
      <c r="C6836" s="55">
        <f t="shared" si="435"/>
        <v>1</v>
      </c>
      <c r="D6836" s="3" t="str">
        <f t="shared" si="436"/>
        <v>SÁBADO</v>
      </c>
      <c r="E6836" s="427"/>
      <c r="F6836" s="31">
        <f>IFERROR(VLOOKUP(E6836,BD!$L$2:$Q$244,2,0),0)</f>
        <v>0</v>
      </c>
      <c r="G6836" s="424"/>
      <c r="H6836" s="31">
        <f>+IFERROR(VLOOKUP(E6836,BD!$L$2:$Q$244,6,0),0)</f>
        <v>0</v>
      </c>
      <c r="I6836" s="626">
        <f>IFERROR(G6836*VLOOKUP($E6836,BD!$L$2:$Q$244,5,0),0)</f>
        <v>0</v>
      </c>
      <c r="J6836" s="3">
        <f t="shared" si="437"/>
        <v>1900</v>
      </c>
    </row>
    <row r="6837" spans="1:10" s="9" customFormat="1" x14ac:dyDescent="0.25">
      <c r="A6837" s="447"/>
      <c r="B6837" s="55" t="str">
        <f t="shared" si="434"/>
        <v>ENERO</v>
      </c>
      <c r="C6837" s="55">
        <f t="shared" si="435"/>
        <v>1</v>
      </c>
      <c r="D6837" s="3" t="str">
        <f t="shared" si="436"/>
        <v>SÁBADO</v>
      </c>
      <c r="E6837" s="427"/>
      <c r="F6837" s="31">
        <f>IFERROR(VLOOKUP(E6837,BD!$L$2:$Q$244,2,0),0)</f>
        <v>0</v>
      </c>
      <c r="G6837" s="424"/>
      <c r="H6837" s="31">
        <f>+IFERROR(VLOOKUP(E6837,BD!$L$2:$Q$244,6,0),0)</f>
        <v>0</v>
      </c>
      <c r="I6837" s="626">
        <f>IFERROR(G6837*VLOOKUP($E6837,BD!$L$2:$Q$244,5,0),0)</f>
        <v>0</v>
      </c>
      <c r="J6837" s="3">
        <f t="shared" si="437"/>
        <v>1900</v>
      </c>
    </row>
    <row r="6838" spans="1:10" s="9" customFormat="1" x14ac:dyDescent="0.25">
      <c r="A6838" s="447"/>
      <c r="B6838" s="55" t="str">
        <f t="shared" si="434"/>
        <v>ENERO</v>
      </c>
      <c r="C6838" s="55">
        <f t="shared" si="435"/>
        <v>1</v>
      </c>
      <c r="D6838" s="3" t="str">
        <f t="shared" si="436"/>
        <v>SÁBADO</v>
      </c>
      <c r="E6838" s="427"/>
      <c r="F6838" s="31">
        <f>IFERROR(VLOOKUP(E6838,BD!$L$2:$Q$244,2,0),0)</f>
        <v>0</v>
      </c>
      <c r="G6838" s="424"/>
      <c r="H6838" s="31">
        <f>+IFERROR(VLOOKUP(E6838,BD!$L$2:$Q$244,6,0),0)</f>
        <v>0</v>
      </c>
      <c r="I6838" s="626">
        <f>IFERROR(G6838*VLOOKUP($E6838,BD!$L$2:$Q$244,5,0),0)</f>
        <v>0</v>
      </c>
      <c r="J6838" s="3">
        <f t="shared" si="437"/>
        <v>1900</v>
      </c>
    </row>
    <row r="6839" spans="1:10" s="9" customFormat="1" x14ac:dyDescent="0.25">
      <c r="A6839" s="447"/>
      <c r="B6839" s="55" t="str">
        <f t="shared" si="434"/>
        <v>ENERO</v>
      </c>
      <c r="C6839" s="55">
        <f t="shared" si="435"/>
        <v>1</v>
      </c>
      <c r="D6839" s="3" t="str">
        <f t="shared" si="436"/>
        <v>SÁBADO</v>
      </c>
      <c r="E6839" s="427"/>
      <c r="F6839" s="31">
        <f>IFERROR(VLOOKUP(E6839,BD!$L$2:$Q$244,2,0),0)</f>
        <v>0</v>
      </c>
      <c r="G6839" s="424"/>
      <c r="H6839" s="31">
        <f>+IFERROR(VLOOKUP(E6839,BD!$L$2:$Q$244,6,0),0)</f>
        <v>0</v>
      </c>
      <c r="I6839" s="626">
        <f>IFERROR(G6839*VLOOKUP($E6839,BD!$L$2:$Q$244,5,0),0)</f>
        <v>0</v>
      </c>
      <c r="J6839" s="3">
        <f t="shared" si="437"/>
        <v>1900</v>
      </c>
    </row>
    <row r="6840" spans="1:10" s="9" customFormat="1" x14ac:dyDescent="0.25">
      <c r="A6840" s="447"/>
      <c r="B6840" s="55" t="str">
        <f t="shared" si="434"/>
        <v>ENERO</v>
      </c>
      <c r="C6840" s="55">
        <f t="shared" si="435"/>
        <v>1</v>
      </c>
      <c r="D6840" s="3" t="str">
        <f t="shared" si="436"/>
        <v>SÁBADO</v>
      </c>
      <c r="E6840" s="427"/>
      <c r="F6840" s="31">
        <f>IFERROR(VLOOKUP(E6840,BD!$L$2:$Q$244,2,0),0)</f>
        <v>0</v>
      </c>
      <c r="G6840" s="424"/>
      <c r="H6840" s="31">
        <f>+IFERROR(VLOOKUP(E6840,BD!$L$2:$Q$244,6,0),0)</f>
        <v>0</v>
      </c>
      <c r="I6840" s="626">
        <f>IFERROR(G6840*VLOOKUP($E6840,BD!$L$2:$Q$244,5,0),0)</f>
        <v>0</v>
      </c>
      <c r="J6840" s="3">
        <f t="shared" si="437"/>
        <v>1900</v>
      </c>
    </row>
    <row r="6841" spans="1:10" s="9" customFormat="1" x14ac:dyDescent="0.25">
      <c r="A6841" s="447"/>
      <c r="B6841" s="55" t="str">
        <f t="shared" si="434"/>
        <v>ENERO</v>
      </c>
      <c r="C6841" s="55">
        <f t="shared" si="435"/>
        <v>1</v>
      </c>
      <c r="D6841" s="3" t="str">
        <f t="shared" si="436"/>
        <v>SÁBADO</v>
      </c>
      <c r="E6841" s="427"/>
      <c r="F6841" s="31">
        <f>IFERROR(VLOOKUP(E6841,BD!$L$2:$Q$244,2,0),0)</f>
        <v>0</v>
      </c>
      <c r="G6841" s="424"/>
      <c r="H6841" s="31">
        <f>+IFERROR(VLOOKUP(E6841,BD!$L$2:$Q$244,6,0),0)</f>
        <v>0</v>
      </c>
      <c r="I6841" s="626">
        <f>IFERROR(G6841*VLOOKUP($E6841,BD!$L$2:$Q$244,5,0),0)</f>
        <v>0</v>
      </c>
      <c r="J6841" s="3">
        <f t="shared" si="437"/>
        <v>1900</v>
      </c>
    </row>
    <row r="6842" spans="1:10" s="9" customFormat="1" x14ac:dyDescent="0.25">
      <c r="A6842" s="447"/>
      <c r="B6842" s="55" t="str">
        <f t="shared" si="434"/>
        <v>ENERO</v>
      </c>
      <c r="C6842" s="55">
        <f t="shared" si="435"/>
        <v>1</v>
      </c>
      <c r="D6842" s="3" t="str">
        <f t="shared" si="436"/>
        <v>SÁBADO</v>
      </c>
      <c r="E6842" s="427"/>
      <c r="F6842" s="31">
        <f>IFERROR(VLOOKUP(E6842,BD!$L$2:$Q$244,2,0),0)</f>
        <v>0</v>
      </c>
      <c r="G6842" s="424"/>
      <c r="H6842" s="31">
        <f>+IFERROR(VLOOKUP(E6842,BD!$L$2:$Q$244,6,0),0)</f>
        <v>0</v>
      </c>
      <c r="I6842" s="626">
        <f>IFERROR(G6842*VLOOKUP($E6842,BD!$L$2:$Q$244,5,0),0)</f>
        <v>0</v>
      </c>
      <c r="J6842" s="3">
        <f t="shared" si="437"/>
        <v>1900</v>
      </c>
    </row>
    <row r="6843" spans="1:10" s="9" customFormat="1" x14ac:dyDescent="0.25">
      <c r="A6843" s="447"/>
      <c r="B6843" s="55" t="str">
        <f t="shared" si="434"/>
        <v>ENERO</v>
      </c>
      <c r="C6843" s="55">
        <f t="shared" si="435"/>
        <v>1</v>
      </c>
      <c r="D6843" s="3" t="str">
        <f t="shared" si="436"/>
        <v>SÁBADO</v>
      </c>
      <c r="E6843" s="427"/>
      <c r="F6843" s="31">
        <f>IFERROR(VLOOKUP(E6843,BD!$L$2:$Q$244,2,0),0)</f>
        <v>0</v>
      </c>
      <c r="G6843" s="424"/>
      <c r="H6843" s="31">
        <f>+IFERROR(VLOOKUP(E6843,BD!$L$2:$Q$244,6,0),0)</f>
        <v>0</v>
      </c>
      <c r="I6843" s="626">
        <f>IFERROR(G6843*VLOOKUP($E6843,BD!$L$2:$Q$244,5,0),0)</f>
        <v>0</v>
      </c>
      <c r="J6843" s="3">
        <f t="shared" si="437"/>
        <v>1900</v>
      </c>
    </row>
    <row r="6844" spans="1:10" s="9" customFormat="1" x14ac:dyDescent="0.25">
      <c r="A6844" s="447"/>
      <c r="B6844" s="55" t="str">
        <f t="shared" si="434"/>
        <v>ENERO</v>
      </c>
      <c r="C6844" s="55">
        <f t="shared" si="435"/>
        <v>1</v>
      </c>
      <c r="D6844" s="3" t="str">
        <f t="shared" si="436"/>
        <v>SÁBADO</v>
      </c>
      <c r="E6844" s="427"/>
      <c r="F6844" s="31">
        <f>IFERROR(VLOOKUP(E6844,BD!$L$2:$Q$244,2,0),0)</f>
        <v>0</v>
      </c>
      <c r="G6844" s="424"/>
      <c r="H6844" s="31">
        <f>+IFERROR(VLOOKUP(E6844,BD!$L$2:$Q$244,6,0),0)</f>
        <v>0</v>
      </c>
      <c r="I6844" s="626">
        <f>IFERROR(G6844*VLOOKUP($E6844,BD!$L$2:$Q$244,5,0),0)</f>
        <v>0</v>
      </c>
      <c r="J6844" s="3">
        <f t="shared" si="437"/>
        <v>1900</v>
      </c>
    </row>
    <row r="6845" spans="1:10" s="9" customFormat="1" x14ac:dyDescent="0.25">
      <c r="A6845" s="447"/>
      <c r="B6845" s="55" t="str">
        <f t="shared" ref="B6845:B6908" si="438">UPPER(TEXT(A6845,"MMMM"))</f>
        <v>ENERO</v>
      </c>
      <c r="C6845" s="55">
        <f t="shared" ref="C6845:C6908" si="439">WEEKNUM(A6845,16)</f>
        <v>1</v>
      </c>
      <c r="D6845" s="3" t="str">
        <f t="shared" ref="D6845:D6908" si="440">UPPER(TEXT(A6845,"DDDD"))</f>
        <v>SÁBADO</v>
      </c>
      <c r="E6845" s="427"/>
      <c r="F6845" s="31">
        <f>IFERROR(VLOOKUP(E6845,BD!$L$2:$Q$244,2,0),0)</f>
        <v>0</v>
      </c>
      <c r="G6845" s="424"/>
      <c r="H6845" s="31">
        <f>+IFERROR(VLOOKUP(E6845,BD!$L$2:$Q$244,6,0),0)</f>
        <v>0</v>
      </c>
      <c r="I6845" s="626">
        <f>IFERROR(G6845*VLOOKUP($E6845,BD!$L$2:$Q$244,5,0),0)</f>
        <v>0</v>
      </c>
      <c r="J6845" s="3">
        <f t="shared" ref="J6845:J6908" si="441">+YEAR(A6845)</f>
        <v>1900</v>
      </c>
    </row>
    <row r="6846" spans="1:10" s="9" customFormat="1" x14ac:dyDescent="0.25">
      <c r="A6846" s="447"/>
      <c r="B6846" s="55" t="str">
        <f t="shared" si="438"/>
        <v>ENERO</v>
      </c>
      <c r="C6846" s="55">
        <f t="shared" si="439"/>
        <v>1</v>
      </c>
      <c r="D6846" s="3" t="str">
        <f t="shared" si="440"/>
        <v>SÁBADO</v>
      </c>
      <c r="E6846" s="427"/>
      <c r="F6846" s="31">
        <f>IFERROR(VLOOKUP(E6846,BD!$L$2:$Q$244,2,0),0)</f>
        <v>0</v>
      </c>
      <c r="G6846" s="424"/>
      <c r="H6846" s="31">
        <f>+IFERROR(VLOOKUP(E6846,BD!$L$2:$Q$244,6,0),0)</f>
        <v>0</v>
      </c>
      <c r="I6846" s="626">
        <f>IFERROR(G6846*VLOOKUP($E6846,BD!$L$2:$Q$244,5,0),0)</f>
        <v>0</v>
      </c>
      <c r="J6846" s="3">
        <f t="shared" si="441"/>
        <v>1900</v>
      </c>
    </row>
    <row r="6847" spans="1:10" s="9" customFormat="1" x14ac:dyDescent="0.25">
      <c r="A6847" s="447"/>
      <c r="B6847" s="55" t="str">
        <f t="shared" si="438"/>
        <v>ENERO</v>
      </c>
      <c r="C6847" s="55">
        <f t="shared" si="439"/>
        <v>1</v>
      </c>
      <c r="D6847" s="3" t="str">
        <f t="shared" si="440"/>
        <v>SÁBADO</v>
      </c>
      <c r="E6847" s="427"/>
      <c r="F6847" s="31">
        <f>IFERROR(VLOOKUP(E6847,BD!$L$2:$Q$244,2,0),0)</f>
        <v>0</v>
      </c>
      <c r="G6847" s="424"/>
      <c r="H6847" s="31">
        <f>+IFERROR(VLOOKUP(E6847,BD!$L$2:$Q$244,6,0),0)</f>
        <v>0</v>
      </c>
      <c r="I6847" s="626">
        <f>IFERROR(G6847*VLOOKUP($E6847,BD!$L$2:$Q$244,5,0),0)</f>
        <v>0</v>
      </c>
      <c r="J6847" s="3">
        <f t="shared" si="441"/>
        <v>1900</v>
      </c>
    </row>
    <row r="6848" spans="1:10" s="9" customFormat="1" x14ac:dyDescent="0.25">
      <c r="A6848" s="447"/>
      <c r="B6848" s="55" t="str">
        <f t="shared" si="438"/>
        <v>ENERO</v>
      </c>
      <c r="C6848" s="55">
        <f t="shared" si="439"/>
        <v>1</v>
      </c>
      <c r="D6848" s="3" t="str">
        <f t="shared" si="440"/>
        <v>SÁBADO</v>
      </c>
      <c r="E6848" s="427"/>
      <c r="F6848" s="31">
        <f>IFERROR(VLOOKUP(E6848,BD!$L$2:$Q$244,2,0),0)</f>
        <v>0</v>
      </c>
      <c r="G6848" s="424"/>
      <c r="H6848" s="31">
        <f>+IFERROR(VLOOKUP(E6848,BD!$L$2:$Q$244,6,0),0)</f>
        <v>0</v>
      </c>
      <c r="I6848" s="626">
        <f>IFERROR(G6848*VLOOKUP($E6848,BD!$L$2:$Q$244,5,0),0)</f>
        <v>0</v>
      </c>
      <c r="J6848" s="3">
        <f t="shared" si="441"/>
        <v>1900</v>
      </c>
    </row>
    <row r="6849" spans="1:10" s="9" customFormat="1" x14ac:dyDescent="0.25">
      <c r="A6849" s="447"/>
      <c r="B6849" s="55" t="str">
        <f t="shared" si="438"/>
        <v>ENERO</v>
      </c>
      <c r="C6849" s="55">
        <f t="shared" si="439"/>
        <v>1</v>
      </c>
      <c r="D6849" s="3" t="str">
        <f t="shared" si="440"/>
        <v>SÁBADO</v>
      </c>
      <c r="E6849" s="427"/>
      <c r="F6849" s="31">
        <f>IFERROR(VLOOKUP(E6849,BD!$L$2:$Q$244,2,0),0)</f>
        <v>0</v>
      </c>
      <c r="G6849" s="424"/>
      <c r="H6849" s="31">
        <f>+IFERROR(VLOOKUP(E6849,BD!$L$2:$Q$244,6,0),0)</f>
        <v>0</v>
      </c>
      <c r="I6849" s="626">
        <f>IFERROR(G6849*VLOOKUP($E6849,BD!$L$2:$Q$244,5,0),0)</f>
        <v>0</v>
      </c>
      <c r="J6849" s="3">
        <f t="shared" si="441"/>
        <v>1900</v>
      </c>
    </row>
    <row r="6850" spans="1:10" s="9" customFormat="1" x14ac:dyDescent="0.25">
      <c r="A6850" s="447"/>
      <c r="B6850" s="55" t="str">
        <f t="shared" si="438"/>
        <v>ENERO</v>
      </c>
      <c r="C6850" s="55">
        <f t="shared" si="439"/>
        <v>1</v>
      </c>
      <c r="D6850" s="3" t="str">
        <f t="shared" si="440"/>
        <v>SÁBADO</v>
      </c>
      <c r="E6850" s="427"/>
      <c r="F6850" s="31">
        <f>IFERROR(VLOOKUP(E6850,BD!$L$2:$Q$244,2,0),0)</f>
        <v>0</v>
      </c>
      <c r="G6850" s="424"/>
      <c r="H6850" s="31">
        <f>+IFERROR(VLOOKUP(E6850,BD!$L$2:$Q$244,6,0),0)</f>
        <v>0</v>
      </c>
      <c r="I6850" s="626">
        <f>IFERROR(G6850*VLOOKUP($E6850,BD!$L$2:$Q$244,5,0),0)</f>
        <v>0</v>
      </c>
      <c r="J6850" s="3">
        <f t="shared" si="441"/>
        <v>1900</v>
      </c>
    </row>
    <row r="6851" spans="1:10" s="9" customFormat="1" x14ac:dyDescent="0.25">
      <c r="A6851" s="447"/>
      <c r="B6851" s="55" t="str">
        <f t="shared" si="438"/>
        <v>ENERO</v>
      </c>
      <c r="C6851" s="55">
        <f t="shared" si="439"/>
        <v>1</v>
      </c>
      <c r="D6851" s="3" t="str">
        <f t="shared" si="440"/>
        <v>SÁBADO</v>
      </c>
      <c r="E6851" s="427"/>
      <c r="F6851" s="31">
        <f>IFERROR(VLOOKUP(E6851,BD!$L$2:$Q$244,2,0),0)</f>
        <v>0</v>
      </c>
      <c r="G6851" s="424"/>
      <c r="H6851" s="31">
        <f>+IFERROR(VLOOKUP(E6851,BD!$L$2:$Q$244,6,0),0)</f>
        <v>0</v>
      </c>
      <c r="I6851" s="626">
        <f>IFERROR(G6851*VLOOKUP($E6851,BD!$L$2:$Q$244,5,0),0)</f>
        <v>0</v>
      </c>
      <c r="J6851" s="3">
        <f t="shared" si="441"/>
        <v>1900</v>
      </c>
    </row>
    <row r="6852" spans="1:10" s="9" customFormat="1" x14ac:dyDescent="0.25">
      <c r="A6852" s="447"/>
      <c r="B6852" s="55" t="str">
        <f t="shared" si="438"/>
        <v>ENERO</v>
      </c>
      <c r="C6852" s="55">
        <f t="shared" si="439"/>
        <v>1</v>
      </c>
      <c r="D6852" s="3" t="str">
        <f t="shared" si="440"/>
        <v>SÁBADO</v>
      </c>
      <c r="E6852" s="427"/>
      <c r="F6852" s="31">
        <f>IFERROR(VLOOKUP(E6852,BD!$L$2:$Q$244,2,0),0)</f>
        <v>0</v>
      </c>
      <c r="G6852" s="424"/>
      <c r="H6852" s="31">
        <f>+IFERROR(VLOOKUP(E6852,BD!$L$2:$Q$244,6,0),0)</f>
        <v>0</v>
      </c>
      <c r="I6852" s="626">
        <f>IFERROR(G6852*VLOOKUP($E6852,BD!$L$2:$Q$244,5,0),0)</f>
        <v>0</v>
      </c>
      <c r="J6852" s="3">
        <f t="shared" si="441"/>
        <v>1900</v>
      </c>
    </row>
    <row r="6853" spans="1:10" s="9" customFormat="1" x14ac:dyDescent="0.25">
      <c r="A6853" s="447"/>
      <c r="B6853" s="55" t="str">
        <f t="shared" si="438"/>
        <v>ENERO</v>
      </c>
      <c r="C6853" s="55">
        <f t="shared" si="439"/>
        <v>1</v>
      </c>
      <c r="D6853" s="3" t="str">
        <f t="shared" si="440"/>
        <v>SÁBADO</v>
      </c>
      <c r="E6853" s="427"/>
      <c r="F6853" s="31">
        <f>IFERROR(VLOOKUP(E6853,BD!$L$2:$Q$244,2,0),0)</f>
        <v>0</v>
      </c>
      <c r="G6853" s="424"/>
      <c r="H6853" s="31">
        <f>+IFERROR(VLOOKUP(E6853,BD!$L$2:$Q$244,6,0),0)</f>
        <v>0</v>
      </c>
      <c r="I6853" s="626">
        <f>IFERROR(G6853*VLOOKUP($E6853,BD!$L$2:$Q$244,5,0),0)</f>
        <v>0</v>
      </c>
      <c r="J6853" s="3">
        <f t="shared" si="441"/>
        <v>1900</v>
      </c>
    </row>
    <row r="6854" spans="1:10" s="9" customFormat="1" x14ac:dyDescent="0.25">
      <c r="A6854" s="447"/>
      <c r="B6854" s="55" t="str">
        <f t="shared" si="438"/>
        <v>ENERO</v>
      </c>
      <c r="C6854" s="55">
        <f t="shared" si="439"/>
        <v>1</v>
      </c>
      <c r="D6854" s="3" t="str">
        <f t="shared" si="440"/>
        <v>SÁBADO</v>
      </c>
      <c r="E6854" s="427"/>
      <c r="F6854" s="31">
        <f>IFERROR(VLOOKUP(E6854,BD!$L$2:$Q$244,2,0),0)</f>
        <v>0</v>
      </c>
      <c r="G6854" s="424"/>
      <c r="H6854" s="31">
        <f>+IFERROR(VLOOKUP(E6854,BD!$L$2:$Q$244,6,0),0)</f>
        <v>0</v>
      </c>
      <c r="I6854" s="626">
        <f>IFERROR(G6854*VLOOKUP($E6854,BD!$L$2:$Q$244,5,0),0)</f>
        <v>0</v>
      </c>
      <c r="J6854" s="3">
        <f t="shared" si="441"/>
        <v>1900</v>
      </c>
    </row>
    <row r="6855" spans="1:10" s="9" customFormat="1" x14ac:dyDescent="0.25">
      <c r="A6855" s="447"/>
      <c r="B6855" s="55" t="str">
        <f t="shared" si="438"/>
        <v>ENERO</v>
      </c>
      <c r="C6855" s="55">
        <f t="shared" si="439"/>
        <v>1</v>
      </c>
      <c r="D6855" s="3" t="str">
        <f t="shared" si="440"/>
        <v>SÁBADO</v>
      </c>
      <c r="E6855" s="427"/>
      <c r="F6855" s="31">
        <f>IFERROR(VLOOKUP(E6855,BD!$L$2:$Q$244,2,0),0)</f>
        <v>0</v>
      </c>
      <c r="G6855" s="424"/>
      <c r="H6855" s="31">
        <f>+IFERROR(VLOOKUP(E6855,BD!$L$2:$Q$244,6,0),0)</f>
        <v>0</v>
      </c>
      <c r="I6855" s="626">
        <f>IFERROR(G6855*VLOOKUP($E6855,BD!$L$2:$Q$244,5,0),0)</f>
        <v>0</v>
      </c>
      <c r="J6855" s="3">
        <f t="shared" si="441"/>
        <v>1900</v>
      </c>
    </row>
    <row r="6856" spans="1:10" s="9" customFormat="1" x14ac:dyDescent="0.25">
      <c r="A6856" s="447"/>
      <c r="B6856" s="55" t="str">
        <f t="shared" si="438"/>
        <v>ENERO</v>
      </c>
      <c r="C6856" s="55">
        <f t="shared" si="439"/>
        <v>1</v>
      </c>
      <c r="D6856" s="3" t="str">
        <f t="shared" si="440"/>
        <v>SÁBADO</v>
      </c>
      <c r="E6856" s="427"/>
      <c r="F6856" s="31">
        <f>IFERROR(VLOOKUP(E6856,BD!$L$2:$Q$244,2,0),0)</f>
        <v>0</v>
      </c>
      <c r="G6856" s="424"/>
      <c r="H6856" s="31">
        <f>+IFERROR(VLOOKUP(E6856,BD!$L$2:$Q$244,6,0),0)</f>
        <v>0</v>
      </c>
      <c r="I6856" s="626">
        <f>IFERROR(G6856*VLOOKUP($E6856,BD!$L$2:$Q$244,5,0),0)</f>
        <v>0</v>
      </c>
      <c r="J6856" s="3">
        <f t="shared" si="441"/>
        <v>1900</v>
      </c>
    </row>
    <row r="6857" spans="1:10" s="9" customFormat="1" x14ac:dyDescent="0.25">
      <c r="A6857" s="447"/>
      <c r="B6857" s="55" t="str">
        <f t="shared" si="438"/>
        <v>ENERO</v>
      </c>
      <c r="C6857" s="55">
        <f t="shared" si="439"/>
        <v>1</v>
      </c>
      <c r="D6857" s="3" t="str">
        <f t="shared" si="440"/>
        <v>SÁBADO</v>
      </c>
      <c r="E6857" s="427"/>
      <c r="F6857" s="31">
        <f>IFERROR(VLOOKUP(E6857,BD!$L$2:$Q$244,2,0),0)</f>
        <v>0</v>
      </c>
      <c r="G6857" s="424"/>
      <c r="H6857" s="31">
        <f>+IFERROR(VLOOKUP(E6857,BD!$L$2:$Q$244,6,0),0)</f>
        <v>0</v>
      </c>
      <c r="I6857" s="626">
        <f>IFERROR(G6857*VLOOKUP($E6857,BD!$L$2:$Q$244,5,0),0)</f>
        <v>0</v>
      </c>
      <c r="J6857" s="3">
        <f t="shared" si="441"/>
        <v>1900</v>
      </c>
    </row>
    <row r="6858" spans="1:10" s="9" customFormat="1" x14ac:dyDescent="0.25">
      <c r="A6858" s="447"/>
      <c r="B6858" s="55" t="str">
        <f t="shared" si="438"/>
        <v>ENERO</v>
      </c>
      <c r="C6858" s="55">
        <f t="shared" si="439"/>
        <v>1</v>
      </c>
      <c r="D6858" s="3" t="str">
        <f t="shared" si="440"/>
        <v>SÁBADO</v>
      </c>
      <c r="E6858" s="427"/>
      <c r="F6858" s="31">
        <f>IFERROR(VLOOKUP(E6858,BD!$L$2:$Q$244,2,0),0)</f>
        <v>0</v>
      </c>
      <c r="G6858" s="424"/>
      <c r="H6858" s="31">
        <f>+IFERROR(VLOOKUP(E6858,BD!$L$2:$Q$244,6,0),0)</f>
        <v>0</v>
      </c>
      <c r="I6858" s="626">
        <f>IFERROR(G6858*VLOOKUP($E6858,BD!$L$2:$Q$244,5,0),0)</f>
        <v>0</v>
      </c>
      <c r="J6858" s="3">
        <f t="shared" si="441"/>
        <v>1900</v>
      </c>
    </row>
    <row r="6859" spans="1:10" s="9" customFormat="1" x14ac:dyDescent="0.25">
      <c r="A6859" s="447"/>
      <c r="B6859" s="55" t="str">
        <f t="shared" si="438"/>
        <v>ENERO</v>
      </c>
      <c r="C6859" s="55">
        <f t="shared" si="439"/>
        <v>1</v>
      </c>
      <c r="D6859" s="3" t="str">
        <f t="shared" si="440"/>
        <v>SÁBADO</v>
      </c>
      <c r="E6859" s="427"/>
      <c r="F6859" s="31">
        <f>IFERROR(VLOOKUP(E6859,BD!$L$2:$Q$244,2,0),0)</f>
        <v>0</v>
      </c>
      <c r="G6859" s="424"/>
      <c r="H6859" s="31">
        <f>+IFERROR(VLOOKUP(E6859,BD!$L$2:$Q$244,6,0),0)</f>
        <v>0</v>
      </c>
      <c r="I6859" s="626">
        <f>IFERROR(G6859*VLOOKUP($E6859,BD!$L$2:$Q$244,5,0),0)</f>
        <v>0</v>
      </c>
      <c r="J6859" s="3">
        <f t="shared" si="441"/>
        <v>1900</v>
      </c>
    </row>
    <row r="6860" spans="1:10" s="9" customFormat="1" x14ac:dyDescent="0.25">
      <c r="A6860" s="447"/>
      <c r="B6860" s="55" t="str">
        <f t="shared" si="438"/>
        <v>ENERO</v>
      </c>
      <c r="C6860" s="55">
        <f t="shared" si="439"/>
        <v>1</v>
      </c>
      <c r="D6860" s="3" t="str">
        <f t="shared" si="440"/>
        <v>SÁBADO</v>
      </c>
      <c r="E6860" s="427"/>
      <c r="F6860" s="31">
        <f>IFERROR(VLOOKUP(E6860,BD!$L$2:$Q$244,2,0),0)</f>
        <v>0</v>
      </c>
      <c r="G6860" s="424"/>
      <c r="H6860" s="31">
        <f>+IFERROR(VLOOKUP(E6860,BD!$L$2:$Q$244,6,0),0)</f>
        <v>0</v>
      </c>
      <c r="I6860" s="626">
        <f>IFERROR(G6860*VLOOKUP($E6860,BD!$L$2:$Q$244,5,0),0)</f>
        <v>0</v>
      </c>
      <c r="J6860" s="3">
        <f t="shared" si="441"/>
        <v>1900</v>
      </c>
    </row>
    <row r="6861" spans="1:10" s="9" customFormat="1" x14ac:dyDescent="0.25">
      <c r="A6861" s="447"/>
      <c r="B6861" s="55" t="str">
        <f t="shared" si="438"/>
        <v>ENERO</v>
      </c>
      <c r="C6861" s="55">
        <f t="shared" si="439"/>
        <v>1</v>
      </c>
      <c r="D6861" s="3" t="str">
        <f t="shared" si="440"/>
        <v>SÁBADO</v>
      </c>
      <c r="E6861" s="427"/>
      <c r="F6861" s="31">
        <f>IFERROR(VLOOKUP(E6861,BD!$L$2:$Q$244,2,0),0)</f>
        <v>0</v>
      </c>
      <c r="G6861" s="424"/>
      <c r="H6861" s="31">
        <f>+IFERROR(VLOOKUP(E6861,BD!$L$2:$Q$244,6,0),0)</f>
        <v>0</v>
      </c>
      <c r="I6861" s="626">
        <f>IFERROR(G6861*VLOOKUP($E6861,BD!$L$2:$Q$244,5,0),0)</f>
        <v>0</v>
      </c>
      <c r="J6861" s="3">
        <f t="shared" si="441"/>
        <v>1900</v>
      </c>
    </row>
    <row r="6862" spans="1:10" s="9" customFormat="1" x14ac:dyDescent="0.25">
      <c r="A6862" s="447"/>
      <c r="B6862" s="55" t="str">
        <f t="shared" si="438"/>
        <v>ENERO</v>
      </c>
      <c r="C6862" s="55">
        <f t="shared" si="439"/>
        <v>1</v>
      </c>
      <c r="D6862" s="3" t="str">
        <f t="shared" si="440"/>
        <v>SÁBADO</v>
      </c>
      <c r="E6862" s="427"/>
      <c r="F6862" s="31">
        <f>IFERROR(VLOOKUP(E6862,BD!$L$2:$Q$244,2,0),0)</f>
        <v>0</v>
      </c>
      <c r="G6862" s="424"/>
      <c r="H6862" s="31">
        <f>+IFERROR(VLOOKUP(E6862,BD!$L$2:$Q$244,6,0),0)</f>
        <v>0</v>
      </c>
      <c r="I6862" s="626">
        <f>IFERROR(G6862*VLOOKUP($E6862,BD!$L$2:$Q$244,5,0),0)</f>
        <v>0</v>
      </c>
      <c r="J6862" s="3">
        <f t="shared" si="441"/>
        <v>1900</v>
      </c>
    </row>
    <row r="6863" spans="1:10" s="9" customFormat="1" x14ac:dyDescent="0.25">
      <c r="A6863" s="447"/>
      <c r="B6863" s="55" t="str">
        <f t="shared" si="438"/>
        <v>ENERO</v>
      </c>
      <c r="C6863" s="55">
        <f t="shared" si="439"/>
        <v>1</v>
      </c>
      <c r="D6863" s="3" t="str">
        <f t="shared" si="440"/>
        <v>SÁBADO</v>
      </c>
      <c r="E6863" s="427"/>
      <c r="F6863" s="31">
        <f>IFERROR(VLOOKUP(E6863,BD!$L$2:$Q$244,2,0),0)</f>
        <v>0</v>
      </c>
      <c r="G6863" s="424"/>
      <c r="H6863" s="31">
        <f>+IFERROR(VLOOKUP(E6863,BD!$L$2:$Q$244,6,0),0)</f>
        <v>0</v>
      </c>
      <c r="I6863" s="626">
        <f>IFERROR(G6863*VLOOKUP($E6863,BD!$L$2:$Q$244,5,0),0)</f>
        <v>0</v>
      </c>
      <c r="J6863" s="3">
        <f t="shared" si="441"/>
        <v>1900</v>
      </c>
    </row>
    <row r="6864" spans="1:10" s="9" customFormat="1" x14ac:dyDescent="0.25">
      <c r="A6864" s="447"/>
      <c r="B6864" s="55" t="str">
        <f t="shared" si="438"/>
        <v>ENERO</v>
      </c>
      <c r="C6864" s="55">
        <f t="shared" si="439"/>
        <v>1</v>
      </c>
      <c r="D6864" s="3" t="str">
        <f t="shared" si="440"/>
        <v>SÁBADO</v>
      </c>
      <c r="E6864" s="427"/>
      <c r="F6864" s="31">
        <f>IFERROR(VLOOKUP(E6864,BD!$L$2:$Q$244,2,0),0)</f>
        <v>0</v>
      </c>
      <c r="G6864" s="424"/>
      <c r="H6864" s="31">
        <f>+IFERROR(VLOOKUP(E6864,BD!$L$2:$Q$244,6,0),0)</f>
        <v>0</v>
      </c>
      <c r="I6864" s="626">
        <f>IFERROR(G6864*VLOOKUP($E6864,BD!$L$2:$Q$244,5,0),0)</f>
        <v>0</v>
      </c>
      <c r="J6864" s="3">
        <f t="shared" si="441"/>
        <v>1900</v>
      </c>
    </row>
    <row r="6865" spans="1:10" s="9" customFormat="1" x14ac:dyDescent="0.25">
      <c r="A6865" s="447"/>
      <c r="B6865" s="55" t="str">
        <f t="shared" si="438"/>
        <v>ENERO</v>
      </c>
      <c r="C6865" s="55">
        <f t="shared" si="439"/>
        <v>1</v>
      </c>
      <c r="D6865" s="3" t="str">
        <f t="shared" si="440"/>
        <v>SÁBADO</v>
      </c>
      <c r="E6865" s="427"/>
      <c r="F6865" s="31">
        <f>IFERROR(VLOOKUP(E6865,BD!$L$2:$Q$244,2,0),0)</f>
        <v>0</v>
      </c>
      <c r="G6865" s="424"/>
      <c r="H6865" s="31">
        <f>+IFERROR(VLOOKUP(E6865,BD!$L$2:$Q$244,6,0),0)</f>
        <v>0</v>
      </c>
      <c r="I6865" s="626">
        <f>IFERROR(G6865*VLOOKUP($E6865,BD!$L$2:$Q$244,5,0),0)</f>
        <v>0</v>
      </c>
      <c r="J6865" s="3">
        <f t="shared" si="441"/>
        <v>1900</v>
      </c>
    </row>
    <row r="6866" spans="1:10" s="9" customFormat="1" x14ac:dyDescent="0.25">
      <c r="A6866" s="447"/>
      <c r="B6866" s="55" t="str">
        <f t="shared" si="438"/>
        <v>ENERO</v>
      </c>
      <c r="C6866" s="55">
        <f t="shared" si="439"/>
        <v>1</v>
      </c>
      <c r="D6866" s="3" t="str">
        <f t="shared" si="440"/>
        <v>SÁBADO</v>
      </c>
      <c r="E6866" s="427"/>
      <c r="F6866" s="31">
        <f>IFERROR(VLOOKUP(E6866,BD!$L$2:$Q$244,2,0),0)</f>
        <v>0</v>
      </c>
      <c r="G6866" s="424"/>
      <c r="H6866" s="31">
        <f>+IFERROR(VLOOKUP(E6866,BD!$L$2:$Q$244,6,0),0)</f>
        <v>0</v>
      </c>
      <c r="I6866" s="626">
        <f>IFERROR(G6866*VLOOKUP($E6866,BD!$L$2:$Q$244,5,0),0)</f>
        <v>0</v>
      </c>
      <c r="J6866" s="3">
        <f t="shared" si="441"/>
        <v>1900</v>
      </c>
    </row>
    <row r="6867" spans="1:10" s="9" customFormat="1" x14ac:dyDescent="0.25">
      <c r="A6867" s="447"/>
      <c r="B6867" s="55" t="str">
        <f t="shared" si="438"/>
        <v>ENERO</v>
      </c>
      <c r="C6867" s="55">
        <f t="shared" si="439"/>
        <v>1</v>
      </c>
      <c r="D6867" s="3" t="str">
        <f t="shared" si="440"/>
        <v>SÁBADO</v>
      </c>
      <c r="E6867" s="427"/>
      <c r="F6867" s="31">
        <f>IFERROR(VLOOKUP(E6867,BD!$L$2:$Q$244,2,0),0)</f>
        <v>0</v>
      </c>
      <c r="G6867" s="424"/>
      <c r="H6867" s="31">
        <f>+IFERROR(VLOOKUP(E6867,BD!$L$2:$Q$244,6,0),0)</f>
        <v>0</v>
      </c>
      <c r="I6867" s="626">
        <f>IFERROR(G6867*VLOOKUP($E6867,BD!$L$2:$Q$244,5,0),0)</f>
        <v>0</v>
      </c>
      <c r="J6867" s="3">
        <f t="shared" si="441"/>
        <v>1900</v>
      </c>
    </row>
    <row r="6868" spans="1:10" s="9" customFormat="1" x14ac:dyDescent="0.25">
      <c r="A6868" s="447"/>
      <c r="B6868" s="55" t="str">
        <f t="shared" si="438"/>
        <v>ENERO</v>
      </c>
      <c r="C6868" s="55">
        <f t="shared" si="439"/>
        <v>1</v>
      </c>
      <c r="D6868" s="3" t="str">
        <f t="shared" si="440"/>
        <v>SÁBADO</v>
      </c>
      <c r="E6868" s="427"/>
      <c r="F6868" s="31">
        <f>IFERROR(VLOOKUP(E6868,BD!$L$2:$Q$244,2,0),0)</f>
        <v>0</v>
      </c>
      <c r="G6868" s="424"/>
      <c r="H6868" s="31">
        <f>+IFERROR(VLOOKUP(E6868,BD!$L$2:$Q$244,6,0),0)</f>
        <v>0</v>
      </c>
      <c r="I6868" s="626">
        <f>IFERROR(G6868*VLOOKUP($E6868,BD!$L$2:$Q$244,5,0),0)</f>
        <v>0</v>
      </c>
      <c r="J6868" s="3">
        <f t="shared" si="441"/>
        <v>1900</v>
      </c>
    </row>
    <row r="6869" spans="1:10" s="9" customFormat="1" x14ac:dyDescent="0.25">
      <c r="A6869" s="447"/>
      <c r="B6869" s="55" t="str">
        <f t="shared" si="438"/>
        <v>ENERO</v>
      </c>
      <c r="C6869" s="55">
        <f t="shared" si="439"/>
        <v>1</v>
      </c>
      <c r="D6869" s="3" t="str">
        <f t="shared" si="440"/>
        <v>SÁBADO</v>
      </c>
      <c r="E6869" s="427"/>
      <c r="F6869" s="31">
        <f>IFERROR(VLOOKUP(E6869,BD!$L$2:$Q$244,2,0),0)</f>
        <v>0</v>
      </c>
      <c r="G6869" s="424"/>
      <c r="H6869" s="31">
        <f>+IFERROR(VLOOKUP(E6869,BD!$L$2:$Q$244,6,0),0)</f>
        <v>0</v>
      </c>
      <c r="I6869" s="626">
        <f>IFERROR(G6869*VLOOKUP($E6869,BD!$L$2:$Q$244,5,0),0)</f>
        <v>0</v>
      </c>
      <c r="J6869" s="3">
        <f t="shared" si="441"/>
        <v>1900</v>
      </c>
    </row>
    <row r="6870" spans="1:10" s="9" customFormat="1" x14ac:dyDescent="0.25">
      <c r="A6870" s="447"/>
      <c r="B6870" s="55" t="str">
        <f t="shared" si="438"/>
        <v>ENERO</v>
      </c>
      <c r="C6870" s="55">
        <f t="shared" si="439"/>
        <v>1</v>
      </c>
      <c r="D6870" s="3" t="str">
        <f t="shared" si="440"/>
        <v>SÁBADO</v>
      </c>
      <c r="E6870" s="427"/>
      <c r="F6870" s="31">
        <f>IFERROR(VLOOKUP(E6870,BD!$L$2:$Q$244,2,0),0)</f>
        <v>0</v>
      </c>
      <c r="G6870" s="424"/>
      <c r="H6870" s="31">
        <f>+IFERROR(VLOOKUP(E6870,BD!$L$2:$Q$244,6,0),0)</f>
        <v>0</v>
      </c>
      <c r="I6870" s="626">
        <f>IFERROR(G6870*VLOOKUP($E6870,BD!$L$2:$Q$244,5,0),0)</f>
        <v>0</v>
      </c>
      <c r="J6870" s="3">
        <f t="shared" si="441"/>
        <v>1900</v>
      </c>
    </row>
    <row r="6871" spans="1:10" s="9" customFormat="1" x14ac:dyDescent="0.25">
      <c r="A6871" s="447"/>
      <c r="B6871" s="55" t="str">
        <f t="shared" si="438"/>
        <v>ENERO</v>
      </c>
      <c r="C6871" s="55">
        <f t="shared" si="439"/>
        <v>1</v>
      </c>
      <c r="D6871" s="3" t="str">
        <f t="shared" si="440"/>
        <v>SÁBADO</v>
      </c>
      <c r="E6871" s="427"/>
      <c r="F6871" s="31">
        <f>IFERROR(VLOOKUP(E6871,BD!$L$2:$Q$244,2,0),0)</f>
        <v>0</v>
      </c>
      <c r="G6871" s="424"/>
      <c r="H6871" s="31">
        <f>+IFERROR(VLOOKUP(E6871,BD!$L$2:$Q$244,6,0),0)</f>
        <v>0</v>
      </c>
      <c r="I6871" s="626">
        <f>IFERROR(G6871*VLOOKUP($E6871,BD!$L$2:$Q$244,5,0),0)</f>
        <v>0</v>
      </c>
      <c r="J6871" s="3">
        <f t="shared" si="441"/>
        <v>1900</v>
      </c>
    </row>
    <row r="6872" spans="1:10" s="9" customFormat="1" x14ac:dyDescent="0.25">
      <c r="A6872" s="447"/>
      <c r="B6872" s="55" t="str">
        <f t="shared" si="438"/>
        <v>ENERO</v>
      </c>
      <c r="C6872" s="55">
        <f t="shared" si="439"/>
        <v>1</v>
      </c>
      <c r="D6872" s="3" t="str">
        <f t="shared" si="440"/>
        <v>SÁBADO</v>
      </c>
      <c r="E6872" s="427"/>
      <c r="F6872" s="31">
        <f>IFERROR(VLOOKUP(E6872,BD!$L$2:$Q$244,2,0),0)</f>
        <v>0</v>
      </c>
      <c r="G6872" s="424"/>
      <c r="H6872" s="31">
        <f>+IFERROR(VLOOKUP(E6872,BD!$L$2:$Q$244,6,0),0)</f>
        <v>0</v>
      </c>
      <c r="I6872" s="626">
        <f>IFERROR(G6872*VLOOKUP($E6872,BD!$L$2:$Q$244,5,0),0)</f>
        <v>0</v>
      </c>
      <c r="J6872" s="3">
        <f t="shared" si="441"/>
        <v>1900</v>
      </c>
    </row>
    <row r="6873" spans="1:10" s="9" customFormat="1" x14ac:dyDescent="0.25">
      <c r="A6873" s="447"/>
      <c r="B6873" s="55" t="str">
        <f t="shared" si="438"/>
        <v>ENERO</v>
      </c>
      <c r="C6873" s="55">
        <f t="shared" si="439"/>
        <v>1</v>
      </c>
      <c r="D6873" s="3" t="str">
        <f t="shared" si="440"/>
        <v>SÁBADO</v>
      </c>
      <c r="E6873" s="427"/>
      <c r="F6873" s="31">
        <f>IFERROR(VLOOKUP(E6873,BD!$L$2:$Q$244,2,0),0)</f>
        <v>0</v>
      </c>
      <c r="G6873" s="424"/>
      <c r="H6873" s="31">
        <f>+IFERROR(VLOOKUP(E6873,BD!$L$2:$Q$244,6,0),0)</f>
        <v>0</v>
      </c>
      <c r="I6873" s="626">
        <f>IFERROR(G6873*VLOOKUP($E6873,BD!$L$2:$Q$244,5,0),0)</f>
        <v>0</v>
      </c>
      <c r="J6873" s="3">
        <f t="shared" si="441"/>
        <v>1900</v>
      </c>
    </row>
    <row r="6874" spans="1:10" s="9" customFormat="1" x14ac:dyDescent="0.25">
      <c r="A6874" s="447"/>
      <c r="B6874" s="55" t="str">
        <f t="shared" si="438"/>
        <v>ENERO</v>
      </c>
      <c r="C6874" s="55">
        <f t="shared" si="439"/>
        <v>1</v>
      </c>
      <c r="D6874" s="3" t="str">
        <f t="shared" si="440"/>
        <v>SÁBADO</v>
      </c>
      <c r="E6874" s="427"/>
      <c r="F6874" s="31">
        <f>IFERROR(VLOOKUP(E6874,BD!$L$2:$Q$244,2,0),0)</f>
        <v>0</v>
      </c>
      <c r="G6874" s="424"/>
      <c r="H6874" s="31">
        <f>+IFERROR(VLOOKUP(E6874,BD!$L$2:$Q$244,6,0),0)</f>
        <v>0</v>
      </c>
      <c r="I6874" s="626">
        <f>IFERROR(G6874*VLOOKUP($E6874,BD!$L$2:$Q$244,5,0),0)</f>
        <v>0</v>
      </c>
      <c r="J6874" s="3">
        <f t="shared" si="441"/>
        <v>1900</v>
      </c>
    </row>
    <row r="6875" spans="1:10" s="9" customFormat="1" x14ac:dyDescent="0.25">
      <c r="A6875" s="447"/>
      <c r="B6875" s="55" t="str">
        <f t="shared" si="438"/>
        <v>ENERO</v>
      </c>
      <c r="C6875" s="55">
        <f t="shared" si="439"/>
        <v>1</v>
      </c>
      <c r="D6875" s="3" t="str">
        <f t="shared" si="440"/>
        <v>SÁBADO</v>
      </c>
      <c r="E6875" s="427"/>
      <c r="F6875" s="31">
        <f>IFERROR(VLOOKUP(E6875,BD!$L$2:$Q$244,2,0),0)</f>
        <v>0</v>
      </c>
      <c r="G6875" s="424"/>
      <c r="H6875" s="31">
        <f>+IFERROR(VLOOKUP(E6875,BD!$L$2:$Q$244,6,0),0)</f>
        <v>0</v>
      </c>
      <c r="I6875" s="626">
        <f>IFERROR(G6875*VLOOKUP($E6875,BD!$L$2:$Q$244,5,0),0)</f>
        <v>0</v>
      </c>
      <c r="J6875" s="3">
        <f t="shared" si="441"/>
        <v>1900</v>
      </c>
    </row>
    <row r="6876" spans="1:10" s="9" customFormat="1" x14ac:dyDescent="0.25">
      <c r="A6876" s="447"/>
      <c r="B6876" s="55" t="str">
        <f t="shared" si="438"/>
        <v>ENERO</v>
      </c>
      <c r="C6876" s="55">
        <f t="shared" si="439"/>
        <v>1</v>
      </c>
      <c r="D6876" s="3" t="str">
        <f t="shared" si="440"/>
        <v>SÁBADO</v>
      </c>
      <c r="E6876" s="427"/>
      <c r="F6876" s="31">
        <f>IFERROR(VLOOKUP(E6876,BD!$L$2:$Q$244,2,0),0)</f>
        <v>0</v>
      </c>
      <c r="G6876" s="424"/>
      <c r="H6876" s="31">
        <f>+IFERROR(VLOOKUP(E6876,BD!$L$2:$Q$244,6,0),0)</f>
        <v>0</v>
      </c>
      <c r="I6876" s="626">
        <f>IFERROR(G6876*VLOOKUP($E6876,BD!$L$2:$Q$244,5,0),0)</f>
        <v>0</v>
      </c>
      <c r="J6876" s="3">
        <f t="shared" si="441"/>
        <v>1900</v>
      </c>
    </row>
    <row r="6877" spans="1:10" s="9" customFormat="1" x14ac:dyDescent="0.25">
      <c r="A6877" s="447"/>
      <c r="B6877" s="55" t="str">
        <f t="shared" si="438"/>
        <v>ENERO</v>
      </c>
      <c r="C6877" s="55">
        <f t="shared" si="439"/>
        <v>1</v>
      </c>
      <c r="D6877" s="3" t="str">
        <f t="shared" si="440"/>
        <v>SÁBADO</v>
      </c>
      <c r="E6877" s="427"/>
      <c r="F6877" s="31">
        <f>IFERROR(VLOOKUP(E6877,BD!$L$2:$Q$244,2,0),0)</f>
        <v>0</v>
      </c>
      <c r="G6877" s="425"/>
      <c r="H6877" s="31">
        <f>+IFERROR(VLOOKUP(E6877,BD!$L$2:$Q$244,6,0),0)</f>
        <v>0</v>
      </c>
      <c r="I6877" s="626">
        <f>IFERROR(G6877*VLOOKUP($E6877,BD!$L$2:$Q$244,5,0),0)</f>
        <v>0</v>
      </c>
      <c r="J6877" s="3">
        <f t="shared" si="441"/>
        <v>1900</v>
      </c>
    </row>
    <row r="6878" spans="1:10" s="9" customFormat="1" x14ac:dyDescent="0.25">
      <c r="A6878" s="447"/>
      <c r="B6878" s="55" t="str">
        <f t="shared" si="438"/>
        <v>ENERO</v>
      </c>
      <c r="C6878" s="55">
        <f t="shared" si="439"/>
        <v>1</v>
      </c>
      <c r="D6878" s="3" t="str">
        <f t="shared" si="440"/>
        <v>SÁBADO</v>
      </c>
      <c r="E6878" s="427"/>
      <c r="F6878" s="31">
        <f>IFERROR(VLOOKUP(E6878,BD!$L$2:$Q$244,2,0),0)</f>
        <v>0</v>
      </c>
      <c r="G6878" s="424"/>
      <c r="H6878" s="31">
        <f>+IFERROR(VLOOKUP(E6878,BD!$L$2:$Q$244,6,0),0)</f>
        <v>0</v>
      </c>
      <c r="I6878" s="626">
        <f>IFERROR(G6878*VLOOKUP($E6878,BD!$L$2:$Q$244,5,0),0)</f>
        <v>0</v>
      </c>
      <c r="J6878" s="3">
        <f t="shared" si="441"/>
        <v>1900</v>
      </c>
    </row>
    <row r="6879" spans="1:10" s="9" customFormat="1" x14ac:dyDescent="0.25">
      <c r="A6879" s="447"/>
      <c r="B6879" s="55" t="str">
        <f t="shared" si="438"/>
        <v>ENERO</v>
      </c>
      <c r="C6879" s="55">
        <f t="shared" si="439"/>
        <v>1</v>
      </c>
      <c r="D6879" s="3" t="str">
        <f t="shared" si="440"/>
        <v>SÁBADO</v>
      </c>
      <c r="E6879" s="427"/>
      <c r="F6879" s="31">
        <f>IFERROR(VLOOKUP(E6879,BD!$L$2:$Q$244,2,0),0)</f>
        <v>0</v>
      </c>
      <c r="G6879" s="424"/>
      <c r="H6879" s="31">
        <f>+IFERROR(VLOOKUP(E6879,BD!$L$2:$Q$244,6,0),0)</f>
        <v>0</v>
      </c>
      <c r="I6879" s="626">
        <f>IFERROR(G6879*VLOOKUP($E6879,BD!$L$2:$Q$244,5,0),0)</f>
        <v>0</v>
      </c>
      <c r="J6879" s="3">
        <f t="shared" si="441"/>
        <v>1900</v>
      </c>
    </row>
    <row r="6880" spans="1:10" s="9" customFormat="1" x14ac:dyDescent="0.25">
      <c r="A6880" s="447"/>
      <c r="B6880" s="55" t="str">
        <f t="shared" si="438"/>
        <v>ENERO</v>
      </c>
      <c r="C6880" s="55">
        <f t="shared" si="439"/>
        <v>1</v>
      </c>
      <c r="D6880" s="3" t="str">
        <f t="shared" si="440"/>
        <v>SÁBADO</v>
      </c>
      <c r="E6880" s="427"/>
      <c r="F6880" s="31">
        <f>IFERROR(VLOOKUP(E6880,BD!$L$2:$Q$244,2,0),0)</f>
        <v>0</v>
      </c>
      <c r="G6880" s="424"/>
      <c r="H6880" s="31">
        <f>+IFERROR(VLOOKUP(E6880,BD!$L$2:$Q$244,6,0),0)</f>
        <v>0</v>
      </c>
      <c r="I6880" s="626">
        <f>IFERROR(G6880*VLOOKUP($E6880,BD!$L$2:$Q$244,5,0),0)</f>
        <v>0</v>
      </c>
      <c r="J6880" s="3">
        <f t="shared" si="441"/>
        <v>1900</v>
      </c>
    </row>
    <row r="6881" spans="1:10" s="9" customFormat="1" x14ac:dyDescent="0.25">
      <c r="A6881" s="447"/>
      <c r="B6881" s="55" t="str">
        <f t="shared" si="438"/>
        <v>ENERO</v>
      </c>
      <c r="C6881" s="55">
        <f t="shared" si="439"/>
        <v>1</v>
      </c>
      <c r="D6881" s="3" t="str">
        <f t="shared" si="440"/>
        <v>SÁBADO</v>
      </c>
      <c r="E6881" s="427"/>
      <c r="F6881" s="31">
        <f>IFERROR(VLOOKUP(E6881,BD!$L$2:$Q$244,2,0),0)</f>
        <v>0</v>
      </c>
      <c r="G6881" s="424"/>
      <c r="H6881" s="31">
        <f>+IFERROR(VLOOKUP(E6881,BD!$L$2:$Q$244,6,0),0)</f>
        <v>0</v>
      </c>
      <c r="I6881" s="626">
        <f>IFERROR(G6881*VLOOKUP($E6881,BD!$L$2:$Q$244,5,0),0)</f>
        <v>0</v>
      </c>
      <c r="J6881" s="3">
        <f t="shared" si="441"/>
        <v>1900</v>
      </c>
    </row>
    <row r="6882" spans="1:10" s="9" customFormat="1" x14ac:dyDescent="0.25">
      <c r="A6882" s="447"/>
      <c r="B6882" s="55" t="str">
        <f t="shared" si="438"/>
        <v>ENERO</v>
      </c>
      <c r="C6882" s="55">
        <f t="shared" si="439"/>
        <v>1</v>
      </c>
      <c r="D6882" s="3" t="str">
        <f t="shared" si="440"/>
        <v>SÁBADO</v>
      </c>
      <c r="E6882" s="427"/>
      <c r="F6882" s="31">
        <f>IFERROR(VLOOKUP(E6882,BD!$L$2:$Q$244,2,0),0)</f>
        <v>0</v>
      </c>
      <c r="G6882" s="424"/>
      <c r="H6882" s="31">
        <f>+IFERROR(VLOOKUP(E6882,BD!$L$2:$Q$244,6,0),0)</f>
        <v>0</v>
      </c>
      <c r="I6882" s="626">
        <f>IFERROR(G6882*VLOOKUP($E6882,BD!$L$2:$Q$244,5,0),0)</f>
        <v>0</v>
      </c>
      <c r="J6882" s="3">
        <f t="shared" si="441"/>
        <v>1900</v>
      </c>
    </row>
    <row r="6883" spans="1:10" s="9" customFormat="1" x14ac:dyDescent="0.25">
      <c r="A6883" s="447"/>
      <c r="B6883" s="55" t="str">
        <f t="shared" si="438"/>
        <v>ENERO</v>
      </c>
      <c r="C6883" s="55">
        <f t="shared" si="439"/>
        <v>1</v>
      </c>
      <c r="D6883" s="3" t="str">
        <f t="shared" si="440"/>
        <v>SÁBADO</v>
      </c>
      <c r="E6883" s="427"/>
      <c r="F6883" s="31">
        <f>IFERROR(VLOOKUP(E6883,BD!$L$2:$Q$244,2,0),0)</f>
        <v>0</v>
      </c>
      <c r="G6883" s="424"/>
      <c r="H6883" s="31">
        <f>+IFERROR(VLOOKUP(E6883,BD!$L$2:$Q$244,6,0),0)</f>
        <v>0</v>
      </c>
      <c r="I6883" s="626">
        <f>IFERROR(G6883*VLOOKUP($E6883,BD!$L$2:$Q$244,5,0),0)</f>
        <v>0</v>
      </c>
      <c r="J6883" s="3">
        <f t="shared" si="441"/>
        <v>1900</v>
      </c>
    </row>
    <row r="6884" spans="1:10" s="9" customFormat="1" x14ac:dyDescent="0.25">
      <c r="A6884" s="447"/>
      <c r="B6884" s="55" t="str">
        <f t="shared" si="438"/>
        <v>ENERO</v>
      </c>
      <c r="C6884" s="55">
        <f t="shared" si="439"/>
        <v>1</v>
      </c>
      <c r="D6884" s="3" t="str">
        <f t="shared" si="440"/>
        <v>SÁBADO</v>
      </c>
      <c r="E6884" s="427"/>
      <c r="F6884" s="31">
        <f>IFERROR(VLOOKUP(E6884,BD!$L$2:$Q$244,2,0),0)</f>
        <v>0</v>
      </c>
      <c r="G6884" s="424"/>
      <c r="H6884" s="31">
        <f>+IFERROR(VLOOKUP(E6884,BD!$L$2:$Q$244,6,0),0)</f>
        <v>0</v>
      </c>
      <c r="I6884" s="626">
        <f>IFERROR(G6884*VLOOKUP($E6884,BD!$L$2:$Q$244,5,0),0)</f>
        <v>0</v>
      </c>
      <c r="J6884" s="3">
        <f t="shared" si="441"/>
        <v>1900</v>
      </c>
    </row>
    <row r="6885" spans="1:10" s="9" customFormat="1" x14ac:dyDescent="0.25">
      <c r="A6885" s="447"/>
      <c r="B6885" s="55" t="str">
        <f t="shared" si="438"/>
        <v>ENERO</v>
      </c>
      <c r="C6885" s="55">
        <f t="shared" si="439"/>
        <v>1</v>
      </c>
      <c r="D6885" s="3" t="str">
        <f t="shared" si="440"/>
        <v>SÁBADO</v>
      </c>
      <c r="E6885" s="427"/>
      <c r="F6885" s="31">
        <f>IFERROR(VLOOKUP(E6885,BD!$L$2:$Q$244,2,0),0)</f>
        <v>0</v>
      </c>
      <c r="G6885" s="424"/>
      <c r="H6885" s="31">
        <f>+IFERROR(VLOOKUP(E6885,BD!$L$2:$Q$244,6,0),0)</f>
        <v>0</v>
      </c>
      <c r="I6885" s="626">
        <f>IFERROR(G6885*VLOOKUP($E6885,BD!$L$2:$Q$244,5,0),0)</f>
        <v>0</v>
      </c>
      <c r="J6885" s="3">
        <f t="shared" si="441"/>
        <v>1900</v>
      </c>
    </row>
    <row r="6886" spans="1:10" s="9" customFormat="1" x14ac:dyDescent="0.25">
      <c r="A6886" s="447"/>
      <c r="B6886" s="55" t="str">
        <f t="shared" si="438"/>
        <v>ENERO</v>
      </c>
      <c r="C6886" s="55">
        <f t="shared" si="439"/>
        <v>1</v>
      </c>
      <c r="D6886" s="3" t="str">
        <f t="shared" si="440"/>
        <v>SÁBADO</v>
      </c>
      <c r="E6886" s="427"/>
      <c r="F6886" s="31">
        <f>IFERROR(VLOOKUP(E6886,BD!$L$2:$Q$244,2,0),0)</f>
        <v>0</v>
      </c>
      <c r="G6886" s="424"/>
      <c r="H6886" s="31">
        <f>+IFERROR(VLOOKUP(E6886,BD!$L$2:$Q$244,6,0),0)</f>
        <v>0</v>
      </c>
      <c r="I6886" s="626">
        <f>IFERROR(G6886*VLOOKUP($E6886,BD!$L$2:$Q$244,5,0),0)</f>
        <v>0</v>
      </c>
      <c r="J6886" s="3">
        <f t="shared" si="441"/>
        <v>1900</v>
      </c>
    </row>
    <row r="6887" spans="1:10" s="9" customFormat="1" x14ac:dyDescent="0.25">
      <c r="A6887" s="447"/>
      <c r="B6887" s="55" t="str">
        <f t="shared" si="438"/>
        <v>ENERO</v>
      </c>
      <c r="C6887" s="55">
        <f t="shared" si="439"/>
        <v>1</v>
      </c>
      <c r="D6887" s="3" t="str">
        <f t="shared" si="440"/>
        <v>SÁBADO</v>
      </c>
      <c r="E6887" s="427"/>
      <c r="F6887" s="31">
        <f>IFERROR(VLOOKUP(E6887,BD!$L$2:$Q$244,2,0),0)</f>
        <v>0</v>
      </c>
      <c r="G6887" s="424"/>
      <c r="H6887" s="31">
        <f>+IFERROR(VLOOKUP(E6887,BD!$L$2:$Q$244,6,0),0)</f>
        <v>0</v>
      </c>
      <c r="I6887" s="626">
        <f>IFERROR(G6887*VLOOKUP($E6887,BD!$L$2:$Q$244,5,0),0)</f>
        <v>0</v>
      </c>
      <c r="J6887" s="3">
        <f t="shared" si="441"/>
        <v>1900</v>
      </c>
    </row>
    <row r="6888" spans="1:10" s="9" customFormat="1" x14ac:dyDescent="0.25">
      <c r="A6888" s="447"/>
      <c r="B6888" s="55" t="str">
        <f t="shared" si="438"/>
        <v>ENERO</v>
      </c>
      <c r="C6888" s="55">
        <f t="shared" si="439"/>
        <v>1</v>
      </c>
      <c r="D6888" s="3" t="str">
        <f t="shared" si="440"/>
        <v>SÁBADO</v>
      </c>
      <c r="E6888" s="427"/>
      <c r="F6888" s="31">
        <f>IFERROR(VLOOKUP(E6888,BD!$L$2:$Q$244,2,0),0)</f>
        <v>0</v>
      </c>
      <c r="G6888" s="424"/>
      <c r="H6888" s="31">
        <f>+IFERROR(VLOOKUP(E6888,BD!$L$2:$Q$244,6,0),0)</f>
        <v>0</v>
      </c>
      <c r="I6888" s="626">
        <f>IFERROR(G6888*VLOOKUP($E6888,BD!$L$2:$Q$244,5,0),0)</f>
        <v>0</v>
      </c>
      <c r="J6888" s="3">
        <f t="shared" si="441"/>
        <v>1900</v>
      </c>
    </row>
    <row r="6889" spans="1:10" s="9" customFormat="1" x14ac:dyDescent="0.25">
      <c r="A6889" s="447"/>
      <c r="B6889" s="55" t="str">
        <f t="shared" si="438"/>
        <v>ENERO</v>
      </c>
      <c r="C6889" s="55">
        <f t="shared" si="439"/>
        <v>1</v>
      </c>
      <c r="D6889" s="3" t="str">
        <f t="shared" si="440"/>
        <v>SÁBADO</v>
      </c>
      <c r="E6889" s="427"/>
      <c r="F6889" s="31">
        <f>IFERROR(VLOOKUP(E6889,BD!$L$2:$Q$244,2,0),0)</f>
        <v>0</v>
      </c>
      <c r="G6889" s="424"/>
      <c r="H6889" s="31">
        <f>+IFERROR(VLOOKUP(E6889,BD!$L$2:$Q$244,6,0),0)</f>
        <v>0</v>
      </c>
      <c r="I6889" s="626">
        <f>IFERROR(G6889*VLOOKUP($E6889,BD!$L$2:$Q$244,5,0),0)</f>
        <v>0</v>
      </c>
      <c r="J6889" s="3">
        <f t="shared" si="441"/>
        <v>1900</v>
      </c>
    </row>
    <row r="6890" spans="1:10" s="9" customFormat="1" x14ac:dyDescent="0.25">
      <c r="A6890" s="447"/>
      <c r="B6890" s="55" t="str">
        <f t="shared" si="438"/>
        <v>ENERO</v>
      </c>
      <c r="C6890" s="55">
        <f t="shared" si="439"/>
        <v>1</v>
      </c>
      <c r="D6890" s="3" t="str">
        <f t="shared" si="440"/>
        <v>SÁBADO</v>
      </c>
      <c r="E6890" s="427"/>
      <c r="F6890" s="31">
        <f>IFERROR(VLOOKUP(E6890,BD!$L$2:$Q$244,2,0),0)</f>
        <v>0</v>
      </c>
      <c r="G6890" s="424"/>
      <c r="H6890" s="31">
        <f>+IFERROR(VLOOKUP(E6890,BD!$L$2:$Q$244,6,0),0)</f>
        <v>0</v>
      </c>
      <c r="I6890" s="626">
        <f>IFERROR(G6890*VLOOKUP($E6890,BD!$L$2:$Q$244,5,0),0)</f>
        <v>0</v>
      </c>
      <c r="J6890" s="3">
        <f t="shared" si="441"/>
        <v>1900</v>
      </c>
    </row>
    <row r="6891" spans="1:10" s="9" customFormat="1" x14ac:dyDescent="0.25">
      <c r="A6891" s="447"/>
      <c r="B6891" s="55" t="str">
        <f t="shared" si="438"/>
        <v>ENERO</v>
      </c>
      <c r="C6891" s="55">
        <f t="shared" si="439"/>
        <v>1</v>
      </c>
      <c r="D6891" s="3" t="str">
        <f t="shared" si="440"/>
        <v>SÁBADO</v>
      </c>
      <c r="E6891" s="427"/>
      <c r="F6891" s="31">
        <f>IFERROR(VLOOKUP(E6891,BD!$L$2:$Q$244,2,0),0)</f>
        <v>0</v>
      </c>
      <c r="G6891" s="424"/>
      <c r="H6891" s="31">
        <f>+IFERROR(VLOOKUP(E6891,BD!$L$2:$Q$244,6,0),0)</f>
        <v>0</v>
      </c>
      <c r="I6891" s="626">
        <f>IFERROR(G6891*VLOOKUP($E6891,BD!$L$2:$Q$244,5,0),0)</f>
        <v>0</v>
      </c>
      <c r="J6891" s="3">
        <f t="shared" si="441"/>
        <v>1900</v>
      </c>
    </row>
    <row r="6892" spans="1:10" s="9" customFormat="1" x14ac:dyDescent="0.25">
      <c r="A6892" s="447"/>
      <c r="B6892" s="55" t="str">
        <f t="shared" si="438"/>
        <v>ENERO</v>
      </c>
      <c r="C6892" s="55">
        <f t="shared" si="439"/>
        <v>1</v>
      </c>
      <c r="D6892" s="3" t="str">
        <f t="shared" si="440"/>
        <v>SÁBADO</v>
      </c>
      <c r="E6892" s="427"/>
      <c r="F6892" s="31">
        <f>IFERROR(VLOOKUP(E6892,BD!$L$2:$Q$244,2,0),0)</f>
        <v>0</v>
      </c>
      <c r="G6892" s="424"/>
      <c r="H6892" s="31">
        <f>+IFERROR(VLOOKUP(E6892,BD!$L$2:$Q$244,6,0),0)</f>
        <v>0</v>
      </c>
      <c r="I6892" s="626">
        <f>IFERROR(G6892*VLOOKUP($E6892,BD!$L$2:$Q$244,5,0),0)</f>
        <v>0</v>
      </c>
      <c r="J6892" s="3">
        <f t="shared" si="441"/>
        <v>1900</v>
      </c>
    </row>
    <row r="6893" spans="1:10" s="9" customFormat="1" x14ac:dyDescent="0.25">
      <c r="A6893" s="447"/>
      <c r="B6893" s="55" t="str">
        <f t="shared" si="438"/>
        <v>ENERO</v>
      </c>
      <c r="C6893" s="55">
        <f t="shared" si="439"/>
        <v>1</v>
      </c>
      <c r="D6893" s="3" t="str">
        <f t="shared" si="440"/>
        <v>SÁBADO</v>
      </c>
      <c r="E6893" s="427"/>
      <c r="F6893" s="31">
        <f>IFERROR(VLOOKUP(E6893,BD!$L$2:$Q$244,2,0),0)</f>
        <v>0</v>
      </c>
      <c r="G6893" s="424"/>
      <c r="H6893" s="31">
        <f>+IFERROR(VLOOKUP(E6893,BD!$L$2:$Q$244,6,0),0)</f>
        <v>0</v>
      </c>
      <c r="I6893" s="626">
        <f>IFERROR(G6893*VLOOKUP($E6893,BD!$L$2:$Q$244,5,0),0)</f>
        <v>0</v>
      </c>
      <c r="J6893" s="3">
        <f t="shared" si="441"/>
        <v>1900</v>
      </c>
    </row>
    <row r="6894" spans="1:10" s="9" customFormat="1" x14ac:dyDescent="0.25">
      <c r="A6894" s="447"/>
      <c r="B6894" s="55" t="str">
        <f t="shared" si="438"/>
        <v>ENERO</v>
      </c>
      <c r="C6894" s="55">
        <f t="shared" si="439"/>
        <v>1</v>
      </c>
      <c r="D6894" s="3" t="str">
        <f t="shared" si="440"/>
        <v>SÁBADO</v>
      </c>
      <c r="E6894" s="427"/>
      <c r="F6894" s="31">
        <f>IFERROR(VLOOKUP(E6894,BD!$L$2:$Q$244,2,0),0)</f>
        <v>0</v>
      </c>
      <c r="G6894" s="424"/>
      <c r="H6894" s="31">
        <f>+IFERROR(VLOOKUP(E6894,BD!$L$2:$Q$244,6,0),0)</f>
        <v>0</v>
      </c>
      <c r="I6894" s="626">
        <f>IFERROR(G6894*VLOOKUP($E6894,BD!$L$2:$Q$244,5,0),0)</f>
        <v>0</v>
      </c>
      <c r="J6894" s="3">
        <f t="shared" si="441"/>
        <v>1900</v>
      </c>
    </row>
    <row r="6895" spans="1:10" s="9" customFormat="1" x14ac:dyDescent="0.25">
      <c r="A6895" s="447"/>
      <c r="B6895" s="55" t="str">
        <f t="shared" si="438"/>
        <v>ENERO</v>
      </c>
      <c r="C6895" s="55">
        <f t="shared" si="439"/>
        <v>1</v>
      </c>
      <c r="D6895" s="3" t="str">
        <f t="shared" si="440"/>
        <v>SÁBADO</v>
      </c>
      <c r="E6895" s="427"/>
      <c r="F6895" s="31">
        <f>IFERROR(VLOOKUP(E6895,BD!$L$2:$Q$244,2,0),0)</f>
        <v>0</v>
      </c>
      <c r="G6895" s="424"/>
      <c r="H6895" s="31">
        <f>+IFERROR(VLOOKUP(E6895,BD!$L$2:$Q$244,6,0),0)</f>
        <v>0</v>
      </c>
      <c r="I6895" s="626">
        <f>IFERROR(G6895*VLOOKUP($E6895,BD!$L$2:$Q$244,5,0),0)</f>
        <v>0</v>
      </c>
      <c r="J6895" s="3">
        <f t="shared" si="441"/>
        <v>1900</v>
      </c>
    </row>
    <row r="6896" spans="1:10" s="9" customFormat="1" x14ac:dyDescent="0.25">
      <c r="A6896" s="447"/>
      <c r="B6896" s="55" t="str">
        <f t="shared" si="438"/>
        <v>ENERO</v>
      </c>
      <c r="C6896" s="55">
        <f t="shared" si="439"/>
        <v>1</v>
      </c>
      <c r="D6896" s="3" t="str">
        <f t="shared" si="440"/>
        <v>SÁBADO</v>
      </c>
      <c r="E6896" s="427"/>
      <c r="F6896" s="31">
        <f>IFERROR(VLOOKUP(E6896,BD!$L$2:$Q$244,2,0),0)</f>
        <v>0</v>
      </c>
      <c r="G6896" s="424"/>
      <c r="H6896" s="31">
        <f>+IFERROR(VLOOKUP(E6896,BD!$L$2:$Q$244,6,0),0)</f>
        <v>0</v>
      </c>
      <c r="I6896" s="626">
        <f>IFERROR(G6896*VLOOKUP($E6896,BD!$L$2:$Q$244,5,0),0)</f>
        <v>0</v>
      </c>
      <c r="J6896" s="3">
        <f t="shared" si="441"/>
        <v>1900</v>
      </c>
    </row>
    <row r="6897" spans="1:10" s="9" customFormat="1" x14ac:dyDescent="0.25">
      <c r="A6897" s="447"/>
      <c r="B6897" s="55" t="str">
        <f t="shared" si="438"/>
        <v>ENERO</v>
      </c>
      <c r="C6897" s="55">
        <f t="shared" si="439"/>
        <v>1</v>
      </c>
      <c r="D6897" s="3" t="str">
        <f t="shared" si="440"/>
        <v>SÁBADO</v>
      </c>
      <c r="E6897" s="427"/>
      <c r="F6897" s="31">
        <f>IFERROR(VLOOKUP(E6897,BD!$L$2:$Q$244,2,0),0)</f>
        <v>0</v>
      </c>
      <c r="G6897" s="424"/>
      <c r="H6897" s="31">
        <f>+IFERROR(VLOOKUP(E6897,BD!$L$2:$Q$244,6,0),0)</f>
        <v>0</v>
      </c>
      <c r="I6897" s="626">
        <f>IFERROR(G6897*VLOOKUP($E6897,BD!$L$2:$Q$244,5,0),0)</f>
        <v>0</v>
      </c>
      <c r="J6897" s="3">
        <f t="shared" si="441"/>
        <v>1900</v>
      </c>
    </row>
    <row r="6898" spans="1:10" s="9" customFormat="1" x14ac:dyDescent="0.25">
      <c r="A6898" s="447"/>
      <c r="B6898" s="55" t="str">
        <f t="shared" si="438"/>
        <v>ENERO</v>
      </c>
      <c r="C6898" s="55">
        <f t="shared" si="439"/>
        <v>1</v>
      </c>
      <c r="D6898" s="3" t="str">
        <f t="shared" si="440"/>
        <v>SÁBADO</v>
      </c>
      <c r="E6898" s="427"/>
      <c r="F6898" s="31">
        <f>IFERROR(VLOOKUP(E6898,BD!$L$2:$Q$244,2,0),0)</f>
        <v>0</v>
      </c>
      <c r="G6898" s="424"/>
      <c r="H6898" s="31">
        <f>+IFERROR(VLOOKUP(E6898,BD!$L$2:$Q$244,6,0),0)</f>
        <v>0</v>
      </c>
      <c r="I6898" s="626">
        <f>IFERROR(G6898*VLOOKUP($E6898,BD!$L$2:$Q$244,5,0),0)</f>
        <v>0</v>
      </c>
      <c r="J6898" s="3">
        <f t="shared" si="441"/>
        <v>1900</v>
      </c>
    </row>
    <row r="6899" spans="1:10" s="9" customFormat="1" x14ac:dyDescent="0.25">
      <c r="A6899" s="447"/>
      <c r="B6899" s="55" t="str">
        <f t="shared" si="438"/>
        <v>ENERO</v>
      </c>
      <c r="C6899" s="55">
        <f t="shared" si="439"/>
        <v>1</v>
      </c>
      <c r="D6899" s="3" t="str">
        <f t="shared" si="440"/>
        <v>SÁBADO</v>
      </c>
      <c r="E6899" s="427"/>
      <c r="F6899" s="31">
        <f>IFERROR(VLOOKUP(E6899,BD!$L$2:$Q$244,2,0),0)</f>
        <v>0</v>
      </c>
      <c r="G6899" s="424"/>
      <c r="H6899" s="31">
        <f>+IFERROR(VLOOKUP(E6899,BD!$L$2:$Q$244,6,0),0)</f>
        <v>0</v>
      </c>
      <c r="I6899" s="626">
        <f>IFERROR(G6899*VLOOKUP($E6899,BD!$L$2:$Q$244,5,0),0)</f>
        <v>0</v>
      </c>
      <c r="J6899" s="3">
        <f t="shared" si="441"/>
        <v>1900</v>
      </c>
    </row>
    <row r="6900" spans="1:10" s="9" customFormat="1" x14ac:dyDescent="0.25">
      <c r="A6900" s="447"/>
      <c r="B6900" s="55" t="str">
        <f t="shared" si="438"/>
        <v>ENERO</v>
      </c>
      <c r="C6900" s="55">
        <f t="shared" si="439"/>
        <v>1</v>
      </c>
      <c r="D6900" s="3" t="str">
        <f t="shared" si="440"/>
        <v>SÁBADO</v>
      </c>
      <c r="E6900" s="427"/>
      <c r="F6900" s="31">
        <f>IFERROR(VLOOKUP(E6900,BD!$L$2:$Q$244,2,0),0)</f>
        <v>0</v>
      </c>
      <c r="G6900" s="424"/>
      <c r="H6900" s="31">
        <f>+IFERROR(VLOOKUP(E6900,BD!$L$2:$Q$244,6,0),0)</f>
        <v>0</v>
      </c>
      <c r="I6900" s="626">
        <f>IFERROR(G6900*VLOOKUP($E6900,BD!$L$2:$Q$244,5,0),0)</f>
        <v>0</v>
      </c>
      <c r="J6900" s="3">
        <f t="shared" si="441"/>
        <v>1900</v>
      </c>
    </row>
    <row r="6901" spans="1:10" s="9" customFormat="1" x14ac:dyDescent="0.25">
      <c r="A6901" s="447"/>
      <c r="B6901" s="55" t="str">
        <f t="shared" si="438"/>
        <v>ENERO</v>
      </c>
      <c r="C6901" s="55">
        <f t="shared" si="439"/>
        <v>1</v>
      </c>
      <c r="D6901" s="3" t="str">
        <f t="shared" si="440"/>
        <v>SÁBADO</v>
      </c>
      <c r="E6901" s="427"/>
      <c r="F6901" s="31">
        <f>IFERROR(VLOOKUP(E6901,BD!$L$2:$Q$244,2,0),0)</f>
        <v>0</v>
      </c>
      <c r="G6901" s="424"/>
      <c r="H6901" s="31">
        <f>+IFERROR(VLOOKUP(E6901,BD!$L$2:$Q$244,6,0),0)</f>
        <v>0</v>
      </c>
      <c r="I6901" s="626">
        <f>IFERROR(G6901*VLOOKUP($E6901,BD!$L$2:$Q$244,5,0),0)</f>
        <v>0</v>
      </c>
      <c r="J6901" s="3">
        <f t="shared" si="441"/>
        <v>1900</v>
      </c>
    </row>
    <row r="6902" spans="1:10" s="9" customFormat="1" x14ac:dyDescent="0.25">
      <c r="A6902" s="447"/>
      <c r="B6902" s="55" t="str">
        <f t="shared" si="438"/>
        <v>ENERO</v>
      </c>
      <c r="C6902" s="55">
        <f t="shared" si="439"/>
        <v>1</v>
      </c>
      <c r="D6902" s="3" t="str">
        <f t="shared" si="440"/>
        <v>SÁBADO</v>
      </c>
      <c r="E6902" s="427"/>
      <c r="F6902" s="31">
        <f>IFERROR(VLOOKUP(E6902,BD!$L$2:$Q$244,2,0),0)</f>
        <v>0</v>
      </c>
      <c r="G6902" s="424"/>
      <c r="H6902" s="31">
        <f>+IFERROR(VLOOKUP(E6902,BD!$L$2:$Q$244,6,0),0)</f>
        <v>0</v>
      </c>
      <c r="I6902" s="626">
        <f>IFERROR(G6902*VLOOKUP($E6902,BD!$L$2:$Q$244,5,0),0)</f>
        <v>0</v>
      </c>
      <c r="J6902" s="3">
        <f t="shared" si="441"/>
        <v>1900</v>
      </c>
    </row>
    <row r="6903" spans="1:10" s="9" customFormat="1" x14ac:dyDescent="0.25">
      <c r="A6903" s="447"/>
      <c r="B6903" s="55" t="str">
        <f t="shared" si="438"/>
        <v>ENERO</v>
      </c>
      <c r="C6903" s="55">
        <f t="shared" si="439"/>
        <v>1</v>
      </c>
      <c r="D6903" s="3" t="str">
        <f t="shared" si="440"/>
        <v>SÁBADO</v>
      </c>
      <c r="E6903" s="427"/>
      <c r="F6903" s="31">
        <f>IFERROR(VLOOKUP(E6903,BD!$L$2:$Q$244,2,0),0)</f>
        <v>0</v>
      </c>
      <c r="G6903" s="424"/>
      <c r="H6903" s="31">
        <f>+IFERROR(VLOOKUP(E6903,BD!$L$2:$Q$244,6,0),0)</f>
        <v>0</v>
      </c>
      <c r="I6903" s="626">
        <f>IFERROR(G6903*VLOOKUP($E6903,BD!$L$2:$Q$244,5,0),0)</f>
        <v>0</v>
      </c>
      <c r="J6903" s="3">
        <f t="shared" si="441"/>
        <v>1900</v>
      </c>
    </row>
    <row r="6904" spans="1:10" s="9" customFormat="1" x14ac:dyDescent="0.25">
      <c r="A6904" s="447"/>
      <c r="B6904" s="55" t="str">
        <f t="shared" si="438"/>
        <v>ENERO</v>
      </c>
      <c r="C6904" s="55">
        <f t="shared" si="439"/>
        <v>1</v>
      </c>
      <c r="D6904" s="3" t="str">
        <f t="shared" si="440"/>
        <v>SÁBADO</v>
      </c>
      <c r="E6904" s="427"/>
      <c r="F6904" s="31">
        <f>IFERROR(VLOOKUP(E6904,BD!$L$2:$Q$244,2,0),0)</f>
        <v>0</v>
      </c>
      <c r="G6904" s="424"/>
      <c r="H6904" s="31">
        <f>+IFERROR(VLOOKUP(E6904,BD!$L$2:$Q$244,6,0),0)</f>
        <v>0</v>
      </c>
      <c r="I6904" s="626">
        <f>IFERROR(G6904*VLOOKUP($E6904,BD!$L$2:$Q$244,5,0),0)</f>
        <v>0</v>
      </c>
      <c r="J6904" s="3">
        <f t="shared" si="441"/>
        <v>1900</v>
      </c>
    </row>
    <row r="6905" spans="1:10" s="9" customFormat="1" x14ac:dyDescent="0.25">
      <c r="A6905" s="447"/>
      <c r="B6905" s="55" t="str">
        <f t="shared" si="438"/>
        <v>ENERO</v>
      </c>
      <c r="C6905" s="55">
        <f t="shared" si="439"/>
        <v>1</v>
      </c>
      <c r="D6905" s="3" t="str">
        <f t="shared" si="440"/>
        <v>SÁBADO</v>
      </c>
      <c r="E6905" s="427"/>
      <c r="F6905" s="31">
        <f>IFERROR(VLOOKUP(E6905,BD!$L$2:$Q$244,2,0),0)</f>
        <v>0</v>
      </c>
      <c r="G6905" s="424"/>
      <c r="H6905" s="31">
        <f>+IFERROR(VLOOKUP(E6905,BD!$L$2:$Q$244,6,0),0)</f>
        <v>0</v>
      </c>
      <c r="I6905" s="626">
        <f>IFERROR(G6905*VLOOKUP($E6905,BD!$L$2:$Q$244,5,0),0)</f>
        <v>0</v>
      </c>
      <c r="J6905" s="3">
        <f t="shared" si="441"/>
        <v>1900</v>
      </c>
    </row>
    <row r="6906" spans="1:10" s="9" customFormat="1" x14ac:dyDescent="0.25">
      <c r="A6906" s="447"/>
      <c r="B6906" s="55" t="str">
        <f t="shared" si="438"/>
        <v>ENERO</v>
      </c>
      <c r="C6906" s="55">
        <f t="shared" si="439"/>
        <v>1</v>
      </c>
      <c r="D6906" s="3" t="str">
        <f t="shared" si="440"/>
        <v>SÁBADO</v>
      </c>
      <c r="E6906" s="427"/>
      <c r="F6906" s="31">
        <f>IFERROR(VLOOKUP(E6906,BD!$L$2:$Q$244,2,0),0)</f>
        <v>0</v>
      </c>
      <c r="G6906" s="424"/>
      <c r="H6906" s="31">
        <f>+IFERROR(VLOOKUP(E6906,BD!$L$2:$Q$244,6,0),0)</f>
        <v>0</v>
      </c>
      <c r="I6906" s="626">
        <f>IFERROR(G6906*VLOOKUP($E6906,BD!$L$2:$Q$244,5,0),0)</f>
        <v>0</v>
      </c>
      <c r="J6906" s="3">
        <f t="shared" si="441"/>
        <v>1900</v>
      </c>
    </row>
    <row r="6907" spans="1:10" s="9" customFormat="1" x14ac:dyDescent="0.25">
      <c r="A6907" s="447"/>
      <c r="B6907" s="55" t="str">
        <f t="shared" si="438"/>
        <v>ENERO</v>
      </c>
      <c r="C6907" s="55">
        <f t="shared" si="439"/>
        <v>1</v>
      </c>
      <c r="D6907" s="3" t="str">
        <f t="shared" si="440"/>
        <v>SÁBADO</v>
      </c>
      <c r="E6907" s="427"/>
      <c r="F6907" s="31">
        <f>IFERROR(VLOOKUP(E6907,BD!$L$2:$Q$244,2,0),0)</f>
        <v>0</v>
      </c>
      <c r="G6907" s="424"/>
      <c r="H6907" s="31">
        <f>+IFERROR(VLOOKUP(E6907,BD!$L$2:$Q$244,6,0),0)</f>
        <v>0</v>
      </c>
      <c r="I6907" s="626">
        <f>IFERROR(G6907*VLOOKUP($E6907,BD!$L$2:$Q$244,5,0),0)</f>
        <v>0</v>
      </c>
      <c r="J6907" s="3">
        <f t="shared" si="441"/>
        <v>1900</v>
      </c>
    </row>
    <row r="6908" spans="1:10" s="9" customFormat="1" x14ac:dyDescent="0.25">
      <c r="A6908" s="447"/>
      <c r="B6908" s="55" t="str">
        <f t="shared" si="438"/>
        <v>ENERO</v>
      </c>
      <c r="C6908" s="55">
        <f t="shared" si="439"/>
        <v>1</v>
      </c>
      <c r="D6908" s="3" t="str">
        <f t="shared" si="440"/>
        <v>SÁBADO</v>
      </c>
      <c r="E6908" s="427"/>
      <c r="F6908" s="31">
        <f>IFERROR(VLOOKUP(E6908,BD!$L$2:$Q$244,2,0),0)</f>
        <v>0</v>
      </c>
      <c r="G6908" s="424"/>
      <c r="H6908" s="31">
        <f>+IFERROR(VLOOKUP(E6908,BD!$L$2:$Q$244,6,0),0)</f>
        <v>0</v>
      </c>
      <c r="I6908" s="626">
        <f>IFERROR(G6908*VLOOKUP($E6908,BD!$L$2:$Q$244,5,0),0)</f>
        <v>0</v>
      </c>
      <c r="J6908" s="3">
        <f t="shared" si="441"/>
        <v>1900</v>
      </c>
    </row>
    <row r="6909" spans="1:10" s="9" customFormat="1" x14ac:dyDescent="0.25">
      <c r="A6909" s="447"/>
      <c r="B6909" s="55" t="str">
        <f t="shared" ref="B6909:B6972" si="442">UPPER(TEXT(A6909,"MMMM"))</f>
        <v>ENERO</v>
      </c>
      <c r="C6909" s="55">
        <f t="shared" ref="C6909:C6972" si="443">WEEKNUM(A6909,16)</f>
        <v>1</v>
      </c>
      <c r="D6909" s="3" t="str">
        <f t="shared" ref="D6909:D6972" si="444">UPPER(TEXT(A6909,"DDDD"))</f>
        <v>SÁBADO</v>
      </c>
      <c r="E6909" s="427"/>
      <c r="F6909" s="31">
        <f>IFERROR(VLOOKUP(E6909,BD!$L$2:$Q$244,2,0),0)</f>
        <v>0</v>
      </c>
      <c r="G6909" s="424"/>
      <c r="H6909" s="31">
        <f>+IFERROR(VLOOKUP(E6909,BD!$L$2:$Q$244,6,0),0)</f>
        <v>0</v>
      </c>
      <c r="I6909" s="626">
        <f>IFERROR(G6909*VLOOKUP($E6909,BD!$L$2:$Q$244,5,0),0)</f>
        <v>0</v>
      </c>
      <c r="J6909" s="3">
        <f t="shared" ref="J6909:J6972" si="445">+YEAR(A6909)</f>
        <v>1900</v>
      </c>
    </row>
    <row r="6910" spans="1:10" s="9" customFormat="1" x14ac:dyDescent="0.25">
      <c r="A6910" s="447"/>
      <c r="B6910" s="55" t="str">
        <f t="shared" si="442"/>
        <v>ENERO</v>
      </c>
      <c r="C6910" s="55">
        <f t="shared" si="443"/>
        <v>1</v>
      </c>
      <c r="D6910" s="3" t="str">
        <f t="shared" si="444"/>
        <v>SÁBADO</v>
      </c>
      <c r="E6910" s="427"/>
      <c r="F6910" s="31">
        <f>IFERROR(VLOOKUP(E6910,BD!$L$2:$Q$244,2,0),0)</f>
        <v>0</v>
      </c>
      <c r="G6910" s="424"/>
      <c r="H6910" s="31">
        <f>+IFERROR(VLOOKUP(E6910,BD!$L$2:$Q$244,6,0),0)</f>
        <v>0</v>
      </c>
      <c r="I6910" s="626">
        <f>IFERROR(G6910*VLOOKUP($E6910,BD!$L$2:$Q$244,5,0),0)</f>
        <v>0</v>
      </c>
      <c r="J6910" s="3">
        <f t="shared" si="445"/>
        <v>1900</v>
      </c>
    </row>
    <row r="6911" spans="1:10" s="9" customFormat="1" x14ac:dyDescent="0.25">
      <c r="A6911" s="447"/>
      <c r="B6911" s="55" t="str">
        <f t="shared" si="442"/>
        <v>ENERO</v>
      </c>
      <c r="C6911" s="55">
        <f t="shared" si="443"/>
        <v>1</v>
      </c>
      <c r="D6911" s="3" t="str">
        <f t="shared" si="444"/>
        <v>SÁBADO</v>
      </c>
      <c r="E6911" s="427"/>
      <c r="F6911" s="31">
        <f>IFERROR(VLOOKUP(E6911,BD!$L$2:$Q$244,2,0),0)</f>
        <v>0</v>
      </c>
      <c r="G6911" s="424"/>
      <c r="H6911" s="31">
        <f>+IFERROR(VLOOKUP(E6911,BD!$L$2:$Q$244,6,0),0)</f>
        <v>0</v>
      </c>
      <c r="I6911" s="626">
        <f>IFERROR(G6911*VLOOKUP($E6911,BD!$L$2:$Q$244,5,0),0)</f>
        <v>0</v>
      </c>
      <c r="J6911" s="3">
        <f t="shared" si="445"/>
        <v>1900</v>
      </c>
    </row>
    <row r="6912" spans="1:10" s="9" customFormat="1" x14ac:dyDescent="0.25">
      <c r="A6912" s="447"/>
      <c r="B6912" s="55" t="str">
        <f t="shared" si="442"/>
        <v>ENERO</v>
      </c>
      <c r="C6912" s="55">
        <f t="shared" si="443"/>
        <v>1</v>
      </c>
      <c r="D6912" s="3" t="str">
        <f t="shared" si="444"/>
        <v>SÁBADO</v>
      </c>
      <c r="E6912" s="427"/>
      <c r="F6912" s="31">
        <f>IFERROR(VLOOKUP(E6912,BD!$L$2:$Q$244,2,0),0)</f>
        <v>0</v>
      </c>
      <c r="G6912" s="424"/>
      <c r="H6912" s="31">
        <f>+IFERROR(VLOOKUP(E6912,BD!$L$2:$Q$244,6,0),0)</f>
        <v>0</v>
      </c>
      <c r="I6912" s="626">
        <f>IFERROR(G6912*VLOOKUP($E6912,BD!$L$2:$Q$244,5,0),0)</f>
        <v>0</v>
      </c>
      <c r="J6912" s="3">
        <f t="shared" si="445"/>
        <v>1900</v>
      </c>
    </row>
    <row r="6913" spans="1:10" s="9" customFormat="1" x14ac:dyDescent="0.25">
      <c r="A6913" s="447"/>
      <c r="B6913" s="55" t="str">
        <f t="shared" si="442"/>
        <v>ENERO</v>
      </c>
      <c r="C6913" s="55">
        <f t="shared" si="443"/>
        <v>1</v>
      </c>
      <c r="D6913" s="3" t="str">
        <f t="shared" si="444"/>
        <v>SÁBADO</v>
      </c>
      <c r="E6913" s="427"/>
      <c r="F6913" s="31">
        <f>IFERROR(VLOOKUP(E6913,BD!$L$2:$Q$244,2,0),0)</f>
        <v>0</v>
      </c>
      <c r="G6913" s="424"/>
      <c r="H6913" s="31">
        <f>+IFERROR(VLOOKUP(E6913,BD!$L$2:$Q$244,6,0),0)</f>
        <v>0</v>
      </c>
      <c r="I6913" s="626">
        <f>IFERROR(G6913*VLOOKUP($E6913,BD!$L$2:$Q$244,5,0),0)</f>
        <v>0</v>
      </c>
      <c r="J6913" s="3">
        <f t="shared" si="445"/>
        <v>1900</v>
      </c>
    </row>
    <row r="6914" spans="1:10" s="9" customFormat="1" x14ac:dyDescent="0.25">
      <c r="A6914" s="447"/>
      <c r="B6914" s="55" t="str">
        <f t="shared" si="442"/>
        <v>ENERO</v>
      </c>
      <c r="C6914" s="55">
        <f t="shared" si="443"/>
        <v>1</v>
      </c>
      <c r="D6914" s="3" t="str">
        <f t="shared" si="444"/>
        <v>SÁBADO</v>
      </c>
      <c r="E6914" s="427"/>
      <c r="F6914" s="31">
        <f>IFERROR(VLOOKUP(E6914,BD!$L$2:$Q$244,2,0),0)</f>
        <v>0</v>
      </c>
      <c r="G6914" s="424"/>
      <c r="H6914" s="31">
        <f>+IFERROR(VLOOKUP(E6914,BD!$L$2:$Q$244,6,0),0)</f>
        <v>0</v>
      </c>
      <c r="I6914" s="626">
        <f>IFERROR(G6914*VLOOKUP($E6914,BD!$L$2:$Q$244,5,0),0)</f>
        <v>0</v>
      </c>
      <c r="J6914" s="3">
        <f t="shared" si="445"/>
        <v>1900</v>
      </c>
    </row>
    <row r="6915" spans="1:10" s="9" customFormat="1" x14ac:dyDescent="0.25">
      <c r="A6915" s="447"/>
      <c r="B6915" s="55" t="str">
        <f t="shared" si="442"/>
        <v>ENERO</v>
      </c>
      <c r="C6915" s="55">
        <f t="shared" si="443"/>
        <v>1</v>
      </c>
      <c r="D6915" s="3" t="str">
        <f t="shared" si="444"/>
        <v>SÁBADO</v>
      </c>
      <c r="E6915" s="427"/>
      <c r="F6915" s="31">
        <f>IFERROR(VLOOKUP(E6915,BD!$L$2:$Q$244,2,0),0)</f>
        <v>0</v>
      </c>
      <c r="G6915" s="424"/>
      <c r="H6915" s="31">
        <f>+IFERROR(VLOOKUP(E6915,BD!$L$2:$Q$244,6,0),0)</f>
        <v>0</v>
      </c>
      <c r="I6915" s="626">
        <f>IFERROR(G6915*VLOOKUP($E6915,BD!$L$2:$Q$244,5,0),0)</f>
        <v>0</v>
      </c>
      <c r="J6915" s="3">
        <f t="shared" si="445"/>
        <v>1900</v>
      </c>
    </row>
    <row r="6916" spans="1:10" s="9" customFormat="1" x14ac:dyDescent="0.25">
      <c r="A6916" s="447"/>
      <c r="B6916" s="55" t="str">
        <f t="shared" si="442"/>
        <v>ENERO</v>
      </c>
      <c r="C6916" s="55">
        <f t="shared" si="443"/>
        <v>1</v>
      </c>
      <c r="D6916" s="3" t="str">
        <f t="shared" si="444"/>
        <v>SÁBADO</v>
      </c>
      <c r="E6916" s="427"/>
      <c r="F6916" s="31">
        <f>IFERROR(VLOOKUP(E6916,BD!$L$2:$Q$244,2,0),0)</f>
        <v>0</v>
      </c>
      <c r="G6916" s="424"/>
      <c r="H6916" s="31">
        <f>+IFERROR(VLOOKUP(E6916,BD!$L$2:$Q$244,6,0),0)</f>
        <v>0</v>
      </c>
      <c r="I6916" s="626">
        <f>IFERROR(G6916*VLOOKUP($E6916,BD!$L$2:$Q$244,5,0),0)</f>
        <v>0</v>
      </c>
      <c r="J6916" s="3">
        <f t="shared" si="445"/>
        <v>1900</v>
      </c>
    </row>
    <row r="6917" spans="1:10" s="9" customFormat="1" x14ac:dyDescent="0.25">
      <c r="A6917" s="447"/>
      <c r="B6917" s="55" t="str">
        <f t="shared" si="442"/>
        <v>ENERO</v>
      </c>
      <c r="C6917" s="55">
        <f t="shared" si="443"/>
        <v>1</v>
      </c>
      <c r="D6917" s="3" t="str">
        <f t="shared" si="444"/>
        <v>SÁBADO</v>
      </c>
      <c r="E6917" s="427"/>
      <c r="F6917" s="31">
        <f>IFERROR(VLOOKUP(E6917,BD!$L$2:$Q$244,2,0),0)</f>
        <v>0</v>
      </c>
      <c r="G6917" s="424"/>
      <c r="H6917" s="31">
        <f>+IFERROR(VLOOKUP(E6917,BD!$L$2:$Q$244,6,0),0)</f>
        <v>0</v>
      </c>
      <c r="I6917" s="626">
        <f>IFERROR(G6917*VLOOKUP($E6917,BD!$L$2:$Q$244,5,0),0)</f>
        <v>0</v>
      </c>
      <c r="J6917" s="3">
        <f t="shared" si="445"/>
        <v>1900</v>
      </c>
    </row>
    <row r="6918" spans="1:10" s="9" customFormat="1" x14ac:dyDescent="0.25">
      <c r="A6918" s="447"/>
      <c r="B6918" s="55" t="str">
        <f t="shared" si="442"/>
        <v>ENERO</v>
      </c>
      <c r="C6918" s="55">
        <f t="shared" si="443"/>
        <v>1</v>
      </c>
      <c r="D6918" s="3" t="str">
        <f t="shared" si="444"/>
        <v>SÁBADO</v>
      </c>
      <c r="E6918" s="427"/>
      <c r="F6918" s="31">
        <f>IFERROR(VLOOKUP(E6918,BD!$L$2:$Q$244,2,0),0)</f>
        <v>0</v>
      </c>
      <c r="G6918" s="424"/>
      <c r="H6918" s="31">
        <f>+IFERROR(VLOOKUP(E6918,BD!$L$2:$Q$244,6,0),0)</f>
        <v>0</v>
      </c>
      <c r="I6918" s="626">
        <f>IFERROR(G6918*VLOOKUP($E6918,BD!$L$2:$Q$244,5,0),0)</f>
        <v>0</v>
      </c>
      <c r="J6918" s="3">
        <f t="shared" si="445"/>
        <v>1900</v>
      </c>
    </row>
    <row r="6919" spans="1:10" s="9" customFormat="1" x14ac:dyDescent="0.25">
      <c r="A6919" s="447"/>
      <c r="B6919" s="55" t="str">
        <f t="shared" si="442"/>
        <v>ENERO</v>
      </c>
      <c r="C6919" s="55">
        <f t="shared" si="443"/>
        <v>1</v>
      </c>
      <c r="D6919" s="3" t="str">
        <f t="shared" si="444"/>
        <v>SÁBADO</v>
      </c>
      <c r="E6919" s="427"/>
      <c r="F6919" s="31">
        <f>IFERROR(VLOOKUP(E6919,BD!$L$2:$Q$244,2,0),0)</f>
        <v>0</v>
      </c>
      <c r="G6919" s="424"/>
      <c r="H6919" s="31">
        <f>+IFERROR(VLOOKUP(E6919,BD!$L$2:$Q$244,6,0),0)</f>
        <v>0</v>
      </c>
      <c r="I6919" s="626">
        <f>IFERROR(G6919*VLOOKUP($E6919,BD!$L$2:$Q$244,5,0),0)</f>
        <v>0</v>
      </c>
      <c r="J6919" s="3">
        <f t="shared" si="445"/>
        <v>1900</v>
      </c>
    </row>
    <row r="6920" spans="1:10" s="9" customFormat="1" x14ac:dyDescent="0.25">
      <c r="A6920" s="447"/>
      <c r="B6920" s="55" t="str">
        <f t="shared" si="442"/>
        <v>ENERO</v>
      </c>
      <c r="C6920" s="55">
        <f t="shared" si="443"/>
        <v>1</v>
      </c>
      <c r="D6920" s="3" t="str">
        <f t="shared" si="444"/>
        <v>SÁBADO</v>
      </c>
      <c r="E6920" s="427"/>
      <c r="F6920" s="31">
        <f>IFERROR(VLOOKUP(E6920,BD!$L$2:$Q$244,2,0),0)</f>
        <v>0</v>
      </c>
      <c r="G6920" s="424"/>
      <c r="H6920" s="31">
        <f>+IFERROR(VLOOKUP(E6920,BD!$L$2:$Q$244,6,0),0)</f>
        <v>0</v>
      </c>
      <c r="I6920" s="626">
        <f>IFERROR(G6920*VLOOKUP($E6920,BD!$L$2:$Q$244,5,0),0)</f>
        <v>0</v>
      </c>
      <c r="J6920" s="3">
        <f t="shared" si="445"/>
        <v>1900</v>
      </c>
    </row>
    <row r="6921" spans="1:10" s="9" customFormat="1" x14ac:dyDescent="0.25">
      <c r="A6921" s="447"/>
      <c r="B6921" s="55" t="str">
        <f t="shared" si="442"/>
        <v>ENERO</v>
      </c>
      <c r="C6921" s="55">
        <f t="shared" si="443"/>
        <v>1</v>
      </c>
      <c r="D6921" s="3" t="str">
        <f t="shared" si="444"/>
        <v>SÁBADO</v>
      </c>
      <c r="E6921" s="427"/>
      <c r="F6921" s="31">
        <f>IFERROR(VLOOKUP(E6921,BD!$L$2:$Q$244,2,0),0)</f>
        <v>0</v>
      </c>
      <c r="G6921" s="424"/>
      <c r="H6921" s="31">
        <f>+IFERROR(VLOOKUP(E6921,BD!$L$2:$Q$244,6,0),0)</f>
        <v>0</v>
      </c>
      <c r="I6921" s="626">
        <f>IFERROR(G6921*VLOOKUP($E6921,BD!$L$2:$Q$244,5,0),0)</f>
        <v>0</v>
      </c>
      <c r="J6921" s="3">
        <f t="shared" si="445"/>
        <v>1900</v>
      </c>
    </row>
    <row r="6922" spans="1:10" s="9" customFormat="1" x14ac:dyDescent="0.25">
      <c r="A6922" s="447"/>
      <c r="B6922" s="55" t="str">
        <f t="shared" si="442"/>
        <v>ENERO</v>
      </c>
      <c r="C6922" s="55">
        <f t="shared" si="443"/>
        <v>1</v>
      </c>
      <c r="D6922" s="3" t="str">
        <f t="shared" si="444"/>
        <v>SÁBADO</v>
      </c>
      <c r="E6922" s="427"/>
      <c r="F6922" s="31">
        <f>IFERROR(VLOOKUP(E6922,BD!$L$2:$Q$244,2,0),0)</f>
        <v>0</v>
      </c>
      <c r="G6922" s="424"/>
      <c r="H6922" s="31">
        <f>+IFERROR(VLOOKUP(E6922,BD!$L$2:$Q$244,6,0),0)</f>
        <v>0</v>
      </c>
      <c r="I6922" s="626">
        <f>IFERROR(G6922*VLOOKUP($E6922,BD!$L$2:$Q$244,5,0),0)</f>
        <v>0</v>
      </c>
      <c r="J6922" s="3">
        <f t="shared" si="445"/>
        <v>1900</v>
      </c>
    </row>
    <row r="6923" spans="1:10" s="9" customFormat="1" x14ac:dyDescent="0.25">
      <c r="A6923" s="447"/>
      <c r="B6923" s="55" t="str">
        <f t="shared" si="442"/>
        <v>ENERO</v>
      </c>
      <c r="C6923" s="55">
        <f t="shared" si="443"/>
        <v>1</v>
      </c>
      <c r="D6923" s="3" t="str">
        <f t="shared" si="444"/>
        <v>SÁBADO</v>
      </c>
      <c r="E6923" s="427"/>
      <c r="F6923" s="31">
        <f>IFERROR(VLOOKUP(E6923,BD!$L$2:$Q$244,2,0),0)</f>
        <v>0</v>
      </c>
      <c r="G6923" s="424"/>
      <c r="H6923" s="31">
        <f>+IFERROR(VLOOKUP(E6923,BD!$L$2:$Q$244,6,0),0)</f>
        <v>0</v>
      </c>
      <c r="I6923" s="626">
        <f>IFERROR(G6923*VLOOKUP($E6923,BD!$L$2:$Q$244,5,0),0)</f>
        <v>0</v>
      </c>
      <c r="J6923" s="3">
        <f t="shared" si="445"/>
        <v>1900</v>
      </c>
    </row>
    <row r="6924" spans="1:10" s="9" customFormat="1" x14ac:dyDescent="0.25">
      <c r="A6924" s="447"/>
      <c r="B6924" s="55" t="str">
        <f t="shared" si="442"/>
        <v>ENERO</v>
      </c>
      <c r="C6924" s="55">
        <f t="shared" si="443"/>
        <v>1</v>
      </c>
      <c r="D6924" s="3" t="str">
        <f t="shared" si="444"/>
        <v>SÁBADO</v>
      </c>
      <c r="E6924" s="427"/>
      <c r="F6924" s="31">
        <f>IFERROR(VLOOKUP(E6924,BD!$L$2:$Q$244,2,0),0)</f>
        <v>0</v>
      </c>
      <c r="G6924" s="424"/>
      <c r="H6924" s="31">
        <f>+IFERROR(VLOOKUP(E6924,BD!$L$2:$Q$244,6,0),0)</f>
        <v>0</v>
      </c>
      <c r="I6924" s="626">
        <f>IFERROR(G6924*VLOOKUP($E6924,BD!$L$2:$Q$244,5,0),0)</f>
        <v>0</v>
      </c>
      <c r="J6924" s="3">
        <f t="shared" si="445"/>
        <v>1900</v>
      </c>
    </row>
    <row r="6925" spans="1:10" s="9" customFormat="1" x14ac:dyDescent="0.25">
      <c r="A6925" s="447"/>
      <c r="B6925" s="55" t="str">
        <f t="shared" si="442"/>
        <v>ENERO</v>
      </c>
      <c r="C6925" s="55">
        <f t="shared" si="443"/>
        <v>1</v>
      </c>
      <c r="D6925" s="3" t="str">
        <f t="shared" si="444"/>
        <v>SÁBADO</v>
      </c>
      <c r="E6925" s="427"/>
      <c r="F6925" s="31">
        <f>IFERROR(VLOOKUP(E6925,BD!$L$2:$Q$244,2,0),0)</f>
        <v>0</v>
      </c>
      <c r="G6925" s="424"/>
      <c r="H6925" s="31">
        <f>+IFERROR(VLOOKUP(E6925,BD!$L$2:$Q$244,6,0),0)</f>
        <v>0</v>
      </c>
      <c r="I6925" s="626">
        <f>IFERROR(G6925*VLOOKUP($E6925,BD!$L$2:$Q$244,5,0),0)</f>
        <v>0</v>
      </c>
      <c r="J6925" s="3">
        <f t="shared" si="445"/>
        <v>1900</v>
      </c>
    </row>
    <row r="6926" spans="1:10" s="9" customFormat="1" x14ac:dyDescent="0.25">
      <c r="A6926" s="447"/>
      <c r="B6926" s="55" t="str">
        <f t="shared" si="442"/>
        <v>ENERO</v>
      </c>
      <c r="C6926" s="55">
        <f t="shared" si="443"/>
        <v>1</v>
      </c>
      <c r="D6926" s="3" t="str">
        <f t="shared" si="444"/>
        <v>SÁBADO</v>
      </c>
      <c r="E6926" s="427"/>
      <c r="F6926" s="31">
        <f>IFERROR(VLOOKUP(E6926,BD!$L$2:$Q$244,2,0),0)</f>
        <v>0</v>
      </c>
      <c r="G6926" s="424"/>
      <c r="H6926" s="31">
        <f>+IFERROR(VLOOKUP(E6926,BD!$L$2:$Q$244,6,0),0)</f>
        <v>0</v>
      </c>
      <c r="I6926" s="626">
        <f>IFERROR(G6926*VLOOKUP($E6926,BD!$L$2:$Q$244,5,0),0)</f>
        <v>0</v>
      </c>
      <c r="J6926" s="3">
        <f t="shared" si="445"/>
        <v>1900</v>
      </c>
    </row>
    <row r="6927" spans="1:10" s="9" customFormat="1" x14ac:dyDescent="0.25">
      <c r="A6927" s="447"/>
      <c r="B6927" s="55" t="str">
        <f t="shared" si="442"/>
        <v>ENERO</v>
      </c>
      <c r="C6927" s="55">
        <f t="shared" si="443"/>
        <v>1</v>
      </c>
      <c r="D6927" s="3" t="str">
        <f t="shared" si="444"/>
        <v>SÁBADO</v>
      </c>
      <c r="E6927" s="427"/>
      <c r="F6927" s="31">
        <f>IFERROR(VLOOKUP(E6927,BD!$L$2:$Q$244,2,0),0)</f>
        <v>0</v>
      </c>
      <c r="G6927" s="424"/>
      <c r="H6927" s="31">
        <f>+IFERROR(VLOOKUP(E6927,BD!$L$2:$Q$244,6,0),0)</f>
        <v>0</v>
      </c>
      <c r="I6927" s="626">
        <f>IFERROR(G6927*VLOOKUP($E6927,BD!$L$2:$Q$244,5,0),0)</f>
        <v>0</v>
      </c>
      <c r="J6927" s="3">
        <f t="shared" si="445"/>
        <v>1900</v>
      </c>
    </row>
    <row r="6928" spans="1:10" s="9" customFormat="1" x14ac:dyDescent="0.25">
      <c r="A6928" s="447"/>
      <c r="B6928" s="55" t="str">
        <f t="shared" si="442"/>
        <v>ENERO</v>
      </c>
      <c r="C6928" s="55">
        <f t="shared" si="443"/>
        <v>1</v>
      </c>
      <c r="D6928" s="3" t="str">
        <f t="shared" si="444"/>
        <v>SÁBADO</v>
      </c>
      <c r="E6928" s="427"/>
      <c r="F6928" s="31">
        <f>IFERROR(VLOOKUP(E6928,BD!$L$2:$Q$244,2,0),0)</f>
        <v>0</v>
      </c>
      <c r="G6928" s="424"/>
      <c r="H6928" s="31">
        <f>+IFERROR(VLOOKUP(E6928,BD!$L$2:$Q$244,6,0),0)</f>
        <v>0</v>
      </c>
      <c r="I6928" s="626">
        <f>IFERROR(G6928*VLOOKUP($E6928,BD!$L$2:$Q$244,5,0),0)</f>
        <v>0</v>
      </c>
      <c r="J6928" s="3">
        <f t="shared" si="445"/>
        <v>1900</v>
      </c>
    </row>
    <row r="6929" spans="1:10" s="9" customFormat="1" x14ac:dyDescent="0.25">
      <c r="A6929" s="447"/>
      <c r="B6929" s="55" t="str">
        <f t="shared" si="442"/>
        <v>ENERO</v>
      </c>
      <c r="C6929" s="55">
        <f t="shared" si="443"/>
        <v>1</v>
      </c>
      <c r="D6929" s="3" t="str">
        <f t="shared" si="444"/>
        <v>SÁBADO</v>
      </c>
      <c r="E6929" s="427"/>
      <c r="F6929" s="31">
        <f>IFERROR(VLOOKUP(E6929,BD!$L$2:$Q$244,2,0),0)</f>
        <v>0</v>
      </c>
      <c r="G6929" s="424"/>
      <c r="H6929" s="31">
        <f>+IFERROR(VLOOKUP(E6929,BD!$L$2:$Q$244,6,0),0)</f>
        <v>0</v>
      </c>
      <c r="I6929" s="626">
        <f>IFERROR(G6929*VLOOKUP($E6929,BD!$L$2:$Q$244,5,0),0)</f>
        <v>0</v>
      </c>
      <c r="J6929" s="3">
        <f t="shared" si="445"/>
        <v>1900</v>
      </c>
    </row>
    <row r="6930" spans="1:10" s="9" customFormat="1" x14ac:dyDescent="0.25">
      <c r="A6930" s="447"/>
      <c r="B6930" s="55" t="str">
        <f t="shared" si="442"/>
        <v>ENERO</v>
      </c>
      <c r="C6930" s="55">
        <f t="shared" si="443"/>
        <v>1</v>
      </c>
      <c r="D6930" s="3" t="str">
        <f t="shared" si="444"/>
        <v>SÁBADO</v>
      </c>
      <c r="E6930" s="427"/>
      <c r="F6930" s="31">
        <f>IFERROR(VLOOKUP(E6930,BD!$L$2:$Q$244,2,0),0)</f>
        <v>0</v>
      </c>
      <c r="G6930" s="424"/>
      <c r="H6930" s="31">
        <f>+IFERROR(VLOOKUP(E6930,BD!$L$2:$Q$244,6,0),0)</f>
        <v>0</v>
      </c>
      <c r="I6930" s="626">
        <f>IFERROR(G6930*VLOOKUP($E6930,BD!$L$2:$Q$244,5,0),0)</f>
        <v>0</v>
      </c>
      <c r="J6930" s="3">
        <f t="shared" si="445"/>
        <v>1900</v>
      </c>
    </row>
    <row r="6931" spans="1:10" s="9" customFormat="1" x14ac:dyDescent="0.25">
      <c r="A6931" s="447"/>
      <c r="B6931" s="55" t="str">
        <f t="shared" si="442"/>
        <v>ENERO</v>
      </c>
      <c r="C6931" s="55">
        <f t="shared" si="443"/>
        <v>1</v>
      </c>
      <c r="D6931" s="3" t="str">
        <f t="shared" si="444"/>
        <v>SÁBADO</v>
      </c>
      <c r="E6931" s="427"/>
      <c r="F6931" s="31">
        <f>IFERROR(VLOOKUP(E6931,BD!$L$2:$Q$244,2,0),0)</f>
        <v>0</v>
      </c>
      <c r="G6931" s="424"/>
      <c r="H6931" s="31">
        <f>+IFERROR(VLOOKUP(E6931,BD!$L$2:$Q$244,6,0),0)</f>
        <v>0</v>
      </c>
      <c r="I6931" s="626">
        <f>IFERROR(G6931*VLOOKUP($E6931,BD!$L$2:$Q$244,5,0),0)</f>
        <v>0</v>
      </c>
      <c r="J6931" s="3">
        <f t="shared" si="445"/>
        <v>1900</v>
      </c>
    </row>
    <row r="6932" spans="1:10" s="9" customFormat="1" x14ac:dyDescent="0.25">
      <c r="A6932" s="447"/>
      <c r="B6932" s="55" t="str">
        <f t="shared" si="442"/>
        <v>ENERO</v>
      </c>
      <c r="C6932" s="55">
        <f t="shared" si="443"/>
        <v>1</v>
      </c>
      <c r="D6932" s="3" t="str">
        <f t="shared" si="444"/>
        <v>SÁBADO</v>
      </c>
      <c r="E6932" s="427"/>
      <c r="F6932" s="31">
        <f>IFERROR(VLOOKUP(E6932,BD!$L$2:$Q$244,2,0),0)</f>
        <v>0</v>
      </c>
      <c r="G6932" s="424"/>
      <c r="H6932" s="31">
        <f>+IFERROR(VLOOKUP(E6932,BD!$L$2:$Q$244,6,0),0)</f>
        <v>0</v>
      </c>
      <c r="I6932" s="626">
        <f>IFERROR(G6932*VLOOKUP($E6932,BD!$L$2:$Q$244,5,0),0)</f>
        <v>0</v>
      </c>
      <c r="J6932" s="3">
        <f t="shared" si="445"/>
        <v>1900</v>
      </c>
    </row>
    <row r="6933" spans="1:10" s="9" customFormat="1" x14ac:dyDescent="0.25">
      <c r="A6933" s="447"/>
      <c r="B6933" s="55" t="str">
        <f t="shared" si="442"/>
        <v>ENERO</v>
      </c>
      <c r="C6933" s="55">
        <f t="shared" si="443"/>
        <v>1</v>
      </c>
      <c r="D6933" s="3" t="str">
        <f t="shared" si="444"/>
        <v>SÁBADO</v>
      </c>
      <c r="E6933" s="427"/>
      <c r="F6933" s="31">
        <f>IFERROR(VLOOKUP(E6933,BD!$L$2:$Q$244,2,0),0)</f>
        <v>0</v>
      </c>
      <c r="G6933" s="424"/>
      <c r="H6933" s="31">
        <f>+IFERROR(VLOOKUP(E6933,BD!$L$2:$Q$244,6,0),0)</f>
        <v>0</v>
      </c>
      <c r="I6933" s="626">
        <f>IFERROR(G6933*VLOOKUP($E6933,BD!$L$2:$Q$244,5,0),0)</f>
        <v>0</v>
      </c>
      <c r="J6933" s="3">
        <f t="shared" si="445"/>
        <v>1900</v>
      </c>
    </row>
    <row r="6934" spans="1:10" s="9" customFormat="1" x14ac:dyDescent="0.25">
      <c r="A6934" s="447"/>
      <c r="B6934" s="55" t="str">
        <f t="shared" si="442"/>
        <v>ENERO</v>
      </c>
      <c r="C6934" s="55">
        <f t="shared" si="443"/>
        <v>1</v>
      </c>
      <c r="D6934" s="3" t="str">
        <f t="shared" si="444"/>
        <v>SÁBADO</v>
      </c>
      <c r="E6934" s="427"/>
      <c r="F6934" s="31">
        <f>IFERROR(VLOOKUP(E6934,BD!$L$2:$Q$244,2,0),0)</f>
        <v>0</v>
      </c>
      <c r="G6934" s="424"/>
      <c r="H6934" s="31">
        <f>+IFERROR(VLOOKUP(E6934,BD!$L$2:$Q$244,6,0),0)</f>
        <v>0</v>
      </c>
      <c r="I6934" s="626">
        <f>IFERROR(G6934*VLOOKUP($E6934,BD!$L$2:$Q$244,5,0),0)</f>
        <v>0</v>
      </c>
      <c r="J6934" s="3">
        <f t="shared" si="445"/>
        <v>1900</v>
      </c>
    </row>
    <row r="6935" spans="1:10" s="9" customFormat="1" x14ac:dyDescent="0.25">
      <c r="A6935" s="447"/>
      <c r="B6935" s="55" t="str">
        <f t="shared" si="442"/>
        <v>ENERO</v>
      </c>
      <c r="C6935" s="55">
        <f t="shared" si="443"/>
        <v>1</v>
      </c>
      <c r="D6935" s="3" t="str">
        <f t="shared" si="444"/>
        <v>SÁBADO</v>
      </c>
      <c r="E6935" s="427"/>
      <c r="F6935" s="31">
        <f>IFERROR(VLOOKUP(E6935,BD!$L$2:$Q$244,2,0),0)</f>
        <v>0</v>
      </c>
      <c r="G6935" s="424"/>
      <c r="H6935" s="31">
        <f>+IFERROR(VLOOKUP(E6935,BD!$L$2:$Q$244,6,0),0)</f>
        <v>0</v>
      </c>
      <c r="I6935" s="626">
        <f>IFERROR(G6935*VLOOKUP($E6935,BD!$L$2:$Q$244,5,0),0)</f>
        <v>0</v>
      </c>
      <c r="J6935" s="3">
        <f t="shared" si="445"/>
        <v>1900</v>
      </c>
    </row>
    <row r="6936" spans="1:10" s="9" customFormat="1" x14ac:dyDescent="0.25">
      <c r="A6936" s="447"/>
      <c r="B6936" s="55" t="str">
        <f t="shared" si="442"/>
        <v>ENERO</v>
      </c>
      <c r="C6936" s="55">
        <f t="shared" si="443"/>
        <v>1</v>
      </c>
      <c r="D6936" s="3" t="str">
        <f t="shared" si="444"/>
        <v>SÁBADO</v>
      </c>
      <c r="E6936" s="427"/>
      <c r="F6936" s="31">
        <f>IFERROR(VLOOKUP(E6936,BD!$L$2:$Q$244,2,0),0)</f>
        <v>0</v>
      </c>
      <c r="G6936" s="424"/>
      <c r="H6936" s="31">
        <f>+IFERROR(VLOOKUP(E6936,BD!$L$2:$Q$244,6,0),0)</f>
        <v>0</v>
      </c>
      <c r="I6936" s="626">
        <f>IFERROR(G6936*VLOOKUP($E6936,BD!$L$2:$Q$244,5,0),0)</f>
        <v>0</v>
      </c>
      <c r="J6936" s="3">
        <f t="shared" si="445"/>
        <v>1900</v>
      </c>
    </row>
    <row r="6937" spans="1:10" s="9" customFormat="1" x14ac:dyDescent="0.25">
      <c r="A6937" s="447"/>
      <c r="B6937" s="55" t="str">
        <f t="shared" si="442"/>
        <v>ENERO</v>
      </c>
      <c r="C6937" s="55">
        <f t="shared" si="443"/>
        <v>1</v>
      </c>
      <c r="D6937" s="3" t="str">
        <f t="shared" si="444"/>
        <v>SÁBADO</v>
      </c>
      <c r="E6937" s="427"/>
      <c r="F6937" s="31">
        <f>IFERROR(VLOOKUP(E6937,BD!$L$2:$Q$244,2,0),0)</f>
        <v>0</v>
      </c>
      <c r="G6937" s="424"/>
      <c r="H6937" s="31">
        <f>+IFERROR(VLOOKUP(E6937,BD!$L$2:$Q$244,6,0),0)</f>
        <v>0</v>
      </c>
      <c r="I6937" s="626">
        <f>IFERROR(G6937*VLOOKUP($E6937,BD!$L$2:$Q$244,5,0),0)</f>
        <v>0</v>
      </c>
      <c r="J6937" s="3">
        <f t="shared" si="445"/>
        <v>1900</v>
      </c>
    </row>
    <row r="6938" spans="1:10" s="9" customFormat="1" x14ac:dyDescent="0.25">
      <c r="A6938" s="447"/>
      <c r="B6938" s="55" t="str">
        <f t="shared" si="442"/>
        <v>ENERO</v>
      </c>
      <c r="C6938" s="55">
        <f t="shared" si="443"/>
        <v>1</v>
      </c>
      <c r="D6938" s="3" t="str">
        <f t="shared" si="444"/>
        <v>SÁBADO</v>
      </c>
      <c r="E6938" s="427"/>
      <c r="F6938" s="31">
        <f>IFERROR(VLOOKUP(E6938,BD!$L$2:$Q$244,2,0),0)</f>
        <v>0</v>
      </c>
      <c r="G6938" s="424"/>
      <c r="H6938" s="31">
        <f>+IFERROR(VLOOKUP(E6938,BD!$L$2:$Q$244,6,0),0)</f>
        <v>0</v>
      </c>
      <c r="I6938" s="626">
        <f>IFERROR(G6938*VLOOKUP($E6938,BD!$L$2:$Q$244,5,0),0)</f>
        <v>0</v>
      </c>
      <c r="J6938" s="3">
        <f t="shared" si="445"/>
        <v>1900</v>
      </c>
    </row>
    <row r="6939" spans="1:10" s="9" customFormat="1" x14ac:dyDescent="0.25">
      <c r="A6939" s="447"/>
      <c r="B6939" s="55" t="str">
        <f t="shared" si="442"/>
        <v>ENERO</v>
      </c>
      <c r="C6939" s="55">
        <f t="shared" si="443"/>
        <v>1</v>
      </c>
      <c r="D6939" s="3" t="str">
        <f t="shared" si="444"/>
        <v>SÁBADO</v>
      </c>
      <c r="E6939" s="427"/>
      <c r="F6939" s="31">
        <f>IFERROR(VLOOKUP(E6939,BD!$L$2:$Q$244,2,0),0)</f>
        <v>0</v>
      </c>
      <c r="G6939" s="424"/>
      <c r="H6939" s="31">
        <f>+IFERROR(VLOOKUP(E6939,BD!$L$2:$Q$244,6,0),0)</f>
        <v>0</v>
      </c>
      <c r="I6939" s="626">
        <f>IFERROR(G6939*VLOOKUP($E6939,BD!$L$2:$Q$244,5,0),0)</f>
        <v>0</v>
      </c>
      <c r="J6939" s="3">
        <f t="shared" si="445"/>
        <v>1900</v>
      </c>
    </row>
    <row r="6940" spans="1:10" s="9" customFormat="1" x14ac:dyDescent="0.25">
      <c r="A6940" s="447"/>
      <c r="B6940" s="55" t="str">
        <f t="shared" si="442"/>
        <v>ENERO</v>
      </c>
      <c r="C6940" s="55">
        <f t="shared" si="443"/>
        <v>1</v>
      </c>
      <c r="D6940" s="3" t="str">
        <f t="shared" si="444"/>
        <v>SÁBADO</v>
      </c>
      <c r="E6940" s="427"/>
      <c r="F6940" s="31">
        <f>IFERROR(VLOOKUP(E6940,BD!$L$2:$Q$244,2,0),0)</f>
        <v>0</v>
      </c>
      <c r="G6940" s="424"/>
      <c r="H6940" s="31">
        <f>+IFERROR(VLOOKUP(E6940,BD!$L$2:$Q$244,6,0),0)</f>
        <v>0</v>
      </c>
      <c r="I6940" s="626">
        <f>IFERROR(G6940*VLOOKUP($E6940,BD!$L$2:$Q$244,5,0),0)</f>
        <v>0</v>
      </c>
      <c r="J6940" s="3">
        <f t="shared" si="445"/>
        <v>1900</v>
      </c>
    </row>
    <row r="6941" spans="1:10" s="9" customFormat="1" x14ac:dyDescent="0.25">
      <c r="A6941" s="447"/>
      <c r="B6941" s="55" t="str">
        <f t="shared" si="442"/>
        <v>ENERO</v>
      </c>
      <c r="C6941" s="55">
        <f t="shared" si="443"/>
        <v>1</v>
      </c>
      <c r="D6941" s="3" t="str">
        <f t="shared" si="444"/>
        <v>SÁBADO</v>
      </c>
      <c r="E6941" s="427"/>
      <c r="F6941" s="31">
        <f>IFERROR(VLOOKUP(E6941,BD!$L$2:$Q$244,2,0),0)</f>
        <v>0</v>
      </c>
      <c r="G6941" s="424"/>
      <c r="H6941" s="31">
        <f>+IFERROR(VLOOKUP(E6941,BD!$L$2:$Q$244,6,0),0)</f>
        <v>0</v>
      </c>
      <c r="I6941" s="626">
        <f>IFERROR(G6941*VLOOKUP($E6941,BD!$L$2:$Q$244,5,0),0)</f>
        <v>0</v>
      </c>
      <c r="J6941" s="3">
        <f t="shared" si="445"/>
        <v>1900</v>
      </c>
    </row>
    <row r="6942" spans="1:10" s="9" customFormat="1" x14ac:dyDescent="0.25">
      <c r="A6942" s="447"/>
      <c r="B6942" s="55" t="str">
        <f t="shared" si="442"/>
        <v>ENERO</v>
      </c>
      <c r="C6942" s="55">
        <f t="shared" si="443"/>
        <v>1</v>
      </c>
      <c r="D6942" s="3" t="str">
        <f t="shared" si="444"/>
        <v>SÁBADO</v>
      </c>
      <c r="E6942" s="427"/>
      <c r="F6942" s="31">
        <f>IFERROR(VLOOKUP(E6942,BD!$L$2:$Q$244,2,0),0)</f>
        <v>0</v>
      </c>
      <c r="G6942" s="424"/>
      <c r="H6942" s="31">
        <f>+IFERROR(VLOOKUP(E6942,BD!$L$2:$Q$244,6,0),0)</f>
        <v>0</v>
      </c>
      <c r="I6942" s="626">
        <f>IFERROR(G6942*VLOOKUP($E6942,BD!$L$2:$Q$244,5,0),0)</f>
        <v>0</v>
      </c>
      <c r="J6942" s="3">
        <f t="shared" si="445"/>
        <v>1900</v>
      </c>
    </row>
    <row r="6943" spans="1:10" s="9" customFormat="1" x14ac:dyDescent="0.25">
      <c r="A6943" s="447"/>
      <c r="B6943" s="55" t="str">
        <f t="shared" si="442"/>
        <v>ENERO</v>
      </c>
      <c r="C6943" s="55">
        <f t="shared" si="443"/>
        <v>1</v>
      </c>
      <c r="D6943" s="3" t="str">
        <f t="shared" si="444"/>
        <v>SÁBADO</v>
      </c>
      <c r="E6943" s="427"/>
      <c r="F6943" s="31">
        <f>IFERROR(VLOOKUP(E6943,BD!$L$2:$Q$244,2,0),0)</f>
        <v>0</v>
      </c>
      <c r="G6943" s="424"/>
      <c r="H6943" s="31">
        <f>+IFERROR(VLOOKUP(E6943,BD!$L$2:$Q$244,6,0),0)</f>
        <v>0</v>
      </c>
      <c r="I6943" s="626">
        <f>IFERROR(G6943*VLOOKUP($E6943,BD!$L$2:$Q$244,5,0),0)</f>
        <v>0</v>
      </c>
      <c r="J6943" s="3">
        <f t="shared" si="445"/>
        <v>1900</v>
      </c>
    </row>
    <row r="6944" spans="1:10" s="9" customFormat="1" x14ac:dyDescent="0.25">
      <c r="A6944" s="447"/>
      <c r="B6944" s="55" t="str">
        <f t="shared" si="442"/>
        <v>ENERO</v>
      </c>
      <c r="C6944" s="55">
        <f t="shared" si="443"/>
        <v>1</v>
      </c>
      <c r="D6944" s="3" t="str">
        <f t="shared" si="444"/>
        <v>SÁBADO</v>
      </c>
      <c r="E6944" s="427"/>
      <c r="F6944" s="31">
        <f>IFERROR(VLOOKUP(E6944,BD!$L$2:$Q$244,2,0),0)</f>
        <v>0</v>
      </c>
      <c r="G6944" s="424"/>
      <c r="H6944" s="31">
        <f>+IFERROR(VLOOKUP(E6944,BD!$L$2:$Q$244,6,0),0)</f>
        <v>0</v>
      </c>
      <c r="I6944" s="626">
        <f>IFERROR(G6944*VLOOKUP($E6944,BD!$L$2:$Q$244,5,0),0)</f>
        <v>0</v>
      </c>
      <c r="J6944" s="3">
        <f t="shared" si="445"/>
        <v>1900</v>
      </c>
    </row>
    <row r="6945" spans="1:10" s="9" customFormat="1" x14ac:dyDescent="0.25">
      <c r="A6945" s="447"/>
      <c r="B6945" s="55" t="str">
        <f t="shared" si="442"/>
        <v>ENERO</v>
      </c>
      <c r="C6945" s="55">
        <f t="shared" si="443"/>
        <v>1</v>
      </c>
      <c r="D6945" s="3" t="str">
        <f t="shared" si="444"/>
        <v>SÁBADO</v>
      </c>
      <c r="E6945" s="427"/>
      <c r="F6945" s="31">
        <f>IFERROR(VLOOKUP(E6945,BD!$L$2:$Q$244,2,0),0)</f>
        <v>0</v>
      </c>
      <c r="G6945" s="424"/>
      <c r="H6945" s="31">
        <f>+IFERROR(VLOOKUP(E6945,BD!$L$2:$Q$244,6,0),0)</f>
        <v>0</v>
      </c>
      <c r="I6945" s="626">
        <f>IFERROR(G6945*VLOOKUP($E6945,BD!$L$2:$Q$244,5,0),0)</f>
        <v>0</v>
      </c>
      <c r="J6945" s="3">
        <f t="shared" si="445"/>
        <v>1900</v>
      </c>
    </row>
    <row r="6946" spans="1:10" s="9" customFormat="1" x14ac:dyDescent="0.25">
      <c r="A6946" s="447"/>
      <c r="B6946" s="55" t="str">
        <f t="shared" si="442"/>
        <v>ENERO</v>
      </c>
      <c r="C6946" s="55">
        <f t="shared" si="443"/>
        <v>1</v>
      </c>
      <c r="D6946" s="3" t="str">
        <f t="shared" si="444"/>
        <v>SÁBADO</v>
      </c>
      <c r="E6946" s="427"/>
      <c r="F6946" s="31">
        <f>IFERROR(VLOOKUP(E6946,BD!$L$2:$Q$244,2,0),0)</f>
        <v>0</v>
      </c>
      <c r="G6946" s="424"/>
      <c r="H6946" s="31">
        <f>+IFERROR(VLOOKUP(E6946,BD!$L$2:$Q$244,6,0),0)</f>
        <v>0</v>
      </c>
      <c r="I6946" s="626">
        <f>IFERROR(G6946*VLOOKUP($E6946,BD!$L$2:$Q$244,5,0),0)</f>
        <v>0</v>
      </c>
      <c r="J6946" s="3">
        <f t="shared" si="445"/>
        <v>1900</v>
      </c>
    </row>
    <row r="6947" spans="1:10" s="9" customFormat="1" x14ac:dyDescent="0.25">
      <c r="A6947" s="447"/>
      <c r="B6947" s="55" t="str">
        <f t="shared" si="442"/>
        <v>ENERO</v>
      </c>
      <c r="C6947" s="55">
        <f t="shared" si="443"/>
        <v>1</v>
      </c>
      <c r="D6947" s="3" t="str">
        <f t="shared" si="444"/>
        <v>SÁBADO</v>
      </c>
      <c r="E6947" s="427"/>
      <c r="F6947" s="31">
        <f>IFERROR(VLOOKUP(E6947,BD!$L$2:$Q$244,2,0),0)</f>
        <v>0</v>
      </c>
      <c r="G6947" s="424"/>
      <c r="H6947" s="31">
        <f>+IFERROR(VLOOKUP(E6947,BD!$L$2:$Q$244,6,0),0)</f>
        <v>0</v>
      </c>
      <c r="I6947" s="626">
        <f>IFERROR(G6947*VLOOKUP($E6947,BD!$L$2:$Q$244,5,0),0)</f>
        <v>0</v>
      </c>
      <c r="J6947" s="3">
        <f t="shared" si="445"/>
        <v>1900</v>
      </c>
    </row>
    <row r="6948" spans="1:10" s="9" customFormat="1" x14ac:dyDescent="0.25">
      <c r="A6948" s="447"/>
      <c r="B6948" s="55" t="str">
        <f t="shared" si="442"/>
        <v>ENERO</v>
      </c>
      <c r="C6948" s="55">
        <f t="shared" si="443"/>
        <v>1</v>
      </c>
      <c r="D6948" s="3" t="str">
        <f t="shared" si="444"/>
        <v>SÁBADO</v>
      </c>
      <c r="E6948" s="427"/>
      <c r="F6948" s="31">
        <f>IFERROR(VLOOKUP(E6948,BD!$L$2:$Q$244,2,0),0)</f>
        <v>0</v>
      </c>
      <c r="G6948" s="424"/>
      <c r="H6948" s="31">
        <f>+IFERROR(VLOOKUP(E6948,BD!$L$2:$Q$244,6,0),0)</f>
        <v>0</v>
      </c>
      <c r="I6948" s="626">
        <f>IFERROR(G6948*VLOOKUP($E6948,BD!$L$2:$Q$244,5,0),0)</f>
        <v>0</v>
      </c>
      <c r="J6948" s="3">
        <f t="shared" si="445"/>
        <v>1900</v>
      </c>
    </row>
    <row r="6949" spans="1:10" s="9" customFormat="1" x14ac:dyDescent="0.25">
      <c r="A6949" s="447"/>
      <c r="B6949" s="55" t="str">
        <f t="shared" si="442"/>
        <v>ENERO</v>
      </c>
      <c r="C6949" s="55">
        <f t="shared" si="443"/>
        <v>1</v>
      </c>
      <c r="D6949" s="3" t="str">
        <f t="shared" si="444"/>
        <v>SÁBADO</v>
      </c>
      <c r="E6949" s="427"/>
      <c r="F6949" s="31">
        <f>IFERROR(VLOOKUP(E6949,BD!$L$2:$Q$244,2,0),0)</f>
        <v>0</v>
      </c>
      <c r="G6949" s="424"/>
      <c r="H6949" s="31">
        <f>+IFERROR(VLOOKUP(E6949,BD!$L$2:$Q$244,6,0),0)</f>
        <v>0</v>
      </c>
      <c r="I6949" s="626">
        <f>IFERROR(G6949*VLOOKUP($E6949,BD!$L$2:$Q$244,5,0),0)</f>
        <v>0</v>
      </c>
      <c r="J6949" s="3">
        <f t="shared" si="445"/>
        <v>1900</v>
      </c>
    </row>
    <row r="6950" spans="1:10" s="9" customFormat="1" x14ac:dyDescent="0.25">
      <c r="A6950" s="447"/>
      <c r="B6950" s="55" t="str">
        <f t="shared" si="442"/>
        <v>ENERO</v>
      </c>
      <c r="C6950" s="55">
        <f t="shared" si="443"/>
        <v>1</v>
      </c>
      <c r="D6950" s="3" t="str">
        <f t="shared" si="444"/>
        <v>SÁBADO</v>
      </c>
      <c r="E6950" s="427"/>
      <c r="F6950" s="31">
        <f>IFERROR(VLOOKUP(E6950,BD!$L$2:$Q$244,2,0),0)</f>
        <v>0</v>
      </c>
      <c r="G6950" s="424"/>
      <c r="H6950" s="31">
        <f>+IFERROR(VLOOKUP(E6950,BD!$L$2:$Q$244,6,0),0)</f>
        <v>0</v>
      </c>
      <c r="I6950" s="626">
        <f>IFERROR(G6950*VLOOKUP($E6950,BD!$L$2:$Q$244,5,0),0)</f>
        <v>0</v>
      </c>
      <c r="J6950" s="3">
        <f t="shared" si="445"/>
        <v>1900</v>
      </c>
    </row>
    <row r="6951" spans="1:10" s="9" customFormat="1" x14ac:dyDescent="0.25">
      <c r="A6951" s="447"/>
      <c r="B6951" s="55" t="str">
        <f t="shared" si="442"/>
        <v>ENERO</v>
      </c>
      <c r="C6951" s="55">
        <f t="shared" si="443"/>
        <v>1</v>
      </c>
      <c r="D6951" s="3" t="str">
        <f t="shared" si="444"/>
        <v>SÁBADO</v>
      </c>
      <c r="E6951" s="427"/>
      <c r="F6951" s="31">
        <f>IFERROR(VLOOKUP(E6951,BD!$L$2:$Q$244,2,0),0)</f>
        <v>0</v>
      </c>
      <c r="G6951" s="424"/>
      <c r="H6951" s="31">
        <f>+IFERROR(VLOOKUP(E6951,BD!$L$2:$Q$244,6,0),0)</f>
        <v>0</v>
      </c>
      <c r="I6951" s="626">
        <f>IFERROR(G6951*VLOOKUP($E6951,BD!$L$2:$Q$244,5,0),0)</f>
        <v>0</v>
      </c>
      <c r="J6951" s="3">
        <f t="shared" si="445"/>
        <v>1900</v>
      </c>
    </row>
    <row r="6952" spans="1:10" s="9" customFormat="1" x14ac:dyDescent="0.25">
      <c r="A6952" s="447"/>
      <c r="B6952" s="55" t="str">
        <f t="shared" si="442"/>
        <v>ENERO</v>
      </c>
      <c r="C6952" s="55">
        <f t="shared" si="443"/>
        <v>1</v>
      </c>
      <c r="D6952" s="3" t="str">
        <f t="shared" si="444"/>
        <v>SÁBADO</v>
      </c>
      <c r="E6952" s="427"/>
      <c r="F6952" s="31">
        <f>IFERROR(VLOOKUP(E6952,BD!$L$2:$Q$244,2,0),0)</f>
        <v>0</v>
      </c>
      <c r="G6952" s="424"/>
      <c r="H6952" s="31">
        <f>+IFERROR(VLOOKUP(E6952,BD!$L$2:$Q$244,6,0),0)</f>
        <v>0</v>
      </c>
      <c r="I6952" s="626">
        <f>IFERROR(G6952*VLOOKUP($E6952,BD!$L$2:$Q$244,5,0),0)</f>
        <v>0</v>
      </c>
      <c r="J6952" s="3">
        <f t="shared" si="445"/>
        <v>1900</v>
      </c>
    </row>
    <row r="6953" spans="1:10" s="9" customFormat="1" x14ac:dyDescent="0.25">
      <c r="A6953" s="447"/>
      <c r="B6953" s="55" t="str">
        <f t="shared" si="442"/>
        <v>ENERO</v>
      </c>
      <c r="C6953" s="55">
        <f t="shared" si="443"/>
        <v>1</v>
      </c>
      <c r="D6953" s="3" t="str">
        <f t="shared" si="444"/>
        <v>SÁBADO</v>
      </c>
      <c r="E6953" s="427"/>
      <c r="F6953" s="31">
        <f>IFERROR(VLOOKUP(E6953,BD!$L$2:$Q$244,2,0),0)</f>
        <v>0</v>
      </c>
      <c r="G6953" s="424"/>
      <c r="H6953" s="31">
        <f>+IFERROR(VLOOKUP(E6953,BD!$L$2:$Q$244,6,0),0)</f>
        <v>0</v>
      </c>
      <c r="I6953" s="626">
        <f>IFERROR(G6953*VLOOKUP($E6953,BD!$L$2:$Q$244,5,0),0)</f>
        <v>0</v>
      </c>
      <c r="J6953" s="3">
        <f t="shared" si="445"/>
        <v>1900</v>
      </c>
    </row>
    <row r="6954" spans="1:10" s="9" customFormat="1" x14ac:dyDescent="0.25">
      <c r="A6954" s="447"/>
      <c r="B6954" s="55" t="str">
        <f t="shared" si="442"/>
        <v>ENERO</v>
      </c>
      <c r="C6954" s="55">
        <f t="shared" si="443"/>
        <v>1</v>
      </c>
      <c r="D6954" s="3" t="str">
        <f t="shared" si="444"/>
        <v>SÁBADO</v>
      </c>
      <c r="E6954" s="427"/>
      <c r="F6954" s="31">
        <f>IFERROR(VLOOKUP(E6954,BD!$L$2:$Q$244,2,0),0)</f>
        <v>0</v>
      </c>
      <c r="G6954" s="424"/>
      <c r="H6954" s="31">
        <f>+IFERROR(VLOOKUP(E6954,BD!$L$2:$Q$244,6,0),0)</f>
        <v>0</v>
      </c>
      <c r="I6954" s="626">
        <f>IFERROR(G6954*VLOOKUP($E6954,BD!$L$2:$Q$244,5,0),0)</f>
        <v>0</v>
      </c>
      <c r="J6954" s="3">
        <f t="shared" si="445"/>
        <v>1900</v>
      </c>
    </row>
    <row r="6955" spans="1:10" s="9" customFormat="1" x14ac:dyDescent="0.25">
      <c r="A6955" s="447"/>
      <c r="B6955" s="55" t="str">
        <f t="shared" si="442"/>
        <v>ENERO</v>
      </c>
      <c r="C6955" s="55">
        <f t="shared" si="443"/>
        <v>1</v>
      </c>
      <c r="D6955" s="3" t="str">
        <f t="shared" si="444"/>
        <v>SÁBADO</v>
      </c>
      <c r="E6955" s="427"/>
      <c r="F6955" s="31">
        <f>IFERROR(VLOOKUP(E6955,BD!$L$2:$Q$244,2,0),0)</f>
        <v>0</v>
      </c>
      <c r="G6955" s="424"/>
      <c r="H6955" s="31">
        <f>+IFERROR(VLOOKUP(E6955,BD!$L$2:$Q$244,6,0),0)</f>
        <v>0</v>
      </c>
      <c r="I6955" s="626">
        <f>IFERROR(G6955*VLOOKUP($E6955,BD!$L$2:$Q$244,5,0),0)</f>
        <v>0</v>
      </c>
      <c r="J6955" s="3">
        <f t="shared" si="445"/>
        <v>1900</v>
      </c>
    </row>
    <row r="6956" spans="1:10" s="9" customFormat="1" x14ac:dyDescent="0.25">
      <c r="A6956" s="447"/>
      <c r="B6956" s="55" t="str">
        <f t="shared" si="442"/>
        <v>ENERO</v>
      </c>
      <c r="C6956" s="55">
        <f t="shared" si="443"/>
        <v>1</v>
      </c>
      <c r="D6956" s="3" t="str">
        <f t="shared" si="444"/>
        <v>SÁBADO</v>
      </c>
      <c r="E6956" s="427"/>
      <c r="F6956" s="31">
        <f>IFERROR(VLOOKUP(E6956,BD!$L$2:$Q$244,2,0),0)</f>
        <v>0</v>
      </c>
      <c r="G6956" s="424"/>
      <c r="H6956" s="31">
        <f>+IFERROR(VLOOKUP(E6956,BD!$L$2:$Q$244,6,0),0)</f>
        <v>0</v>
      </c>
      <c r="I6956" s="626">
        <f>IFERROR(G6956*VLOOKUP($E6956,BD!$L$2:$Q$244,5,0),0)</f>
        <v>0</v>
      </c>
      <c r="J6956" s="3">
        <f t="shared" si="445"/>
        <v>1900</v>
      </c>
    </row>
    <row r="6957" spans="1:10" s="9" customFormat="1" x14ac:dyDescent="0.25">
      <c r="A6957" s="447"/>
      <c r="B6957" s="55" t="str">
        <f t="shared" si="442"/>
        <v>ENERO</v>
      </c>
      <c r="C6957" s="55">
        <f t="shared" si="443"/>
        <v>1</v>
      </c>
      <c r="D6957" s="3" t="str">
        <f t="shared" si="444"/>
        <v>SÁBADO</v>
      </c>
      <c r="E6957" s="427"/>
      <c r="F6957" s="31">
        <f>IFERROR(VLOOKUP(E6957,BD!$L$2:$Q$244,2,0),0)</f>
        <v>0</v>
      </c>
      <c r="G6957" s="424"/>
      <c r="H6957" s="31">
        <f>+IFERROR(VLOOKUP(E6957,BD!$L$2:$Q$244,6,0),0)</f>
        <v>0</v>
      </c>
      <c r="I6957" s="626">
        <f>IFERROR(G6957*VLOOKUP($E6957,BD!$L$2:$Q$244,5,0),0)</f>
        <v>0</v>
      </c>
      <c r="J6957" s="3">
        <f t="shared" si="445"/>
        <v>1900</v>
      </c>
    </row>
    <row r="6958" spans="1:10" s="9" customFormat="1" x14ac:dyDescent="0.25">
      <c r="A6958" s="447"/>
      <c r="B6958" s="55" t="str">
        <f t="shared" si="442"/>
        <v>ENERO</v>
      </c>
      <c r="C6958" s="55">
        <f t="shared" si="443"/>
        <v>1</v>
      </c>
      <c r="D6958" s="3" t="str">
        <f t="shared" si="444"/>
        <v>SÁBADO</v>
      </c>
      <c r="E6958" s="427"/>
      <c r="F6958" s="31">
        <f>IFERROR(VLOOKUP(E6958,BD!$L$2:$Q$244,2,0),0)</f>
        <v>0</v>
      </c>
      <c r="G6958" s="424"/>
      <c r="H6958" s="31">
        <f>+IFERROR(VLOOKUP(E6958,BD!$L$2:$Q$244,6,0),0)</f>
        <v>0</v>
      </c>
      <c r="I6958" s="626">
        <f>IFERROR(G6958*VLOOKUP($E6958,BD!$L$2:$Q$244,5,0),0)</f>
        <v>0</v>
      </c>
      <c r="J6958" s="3">
        <f t="shared" si="445"/>
        <v>1900</v>
      </c>
    </row>
    <row r="6959" spans="1:10" s="9" customFormat="1" x14ac:dyDescent="0.25">
      <c r="A6959" s="447"/>
      <c r="B6959" s="55" t="str">
        <f t="shared" si="442"/>
        <v>ENERO</v>
      </c>
      <c r="C6959" s="55">
        <f t="shared" si="443"/>
        <v>1</v>
      </c>
      <c r="D6959" s="3" t="str">
        <f t="shared" si="444"/>
        <v>SÁBADO</v>
      </c>
      <c r="E6959" s="427"/>
      <c r="F6959" s="31">
        <f>IFERROR(VLOOKUP(E6959,BD!$L$2:$Q$244,2,0),0)</f>
        <v>0</v>
      </c>
      <c r="G6959" s="424"/>
      <c r="H6959" s="31">
        <f>+IFERROR(VLOOKUP(E6959,BD!$L$2:$Q$244,6,0),0)</f>
        <v>0</v>
      </c>
      <c r="I6959" s="626">
        <f>IFERROR(G6959*VLOOKUP($E6959,BD!$L$2:$Q$244,5,0),0)</f>
        <v>0</v>
      </c>
      <c r="J6959" s="3">
        <f t="shared" si="445"/>
        <v>1900</v>
      </c>
    </row>
    <row r="6960" spans="1:10" s="9" customFormat="1" x14ac:dyDescent="0.25">
      <c r="A6960" s="447"/>
      <c r="B6960" s="55" t="str">
        <f t="shared" si="442"/>
        <v>ENERO</v>
      </c>
      <c r="C6960" s="55">
        <f t="shared" si="443"/>
        <v>1</v>
      </c>
      <c r="D6960" s="3" t="str">
        <f t="shared" si="444"/>
        <v>SÁBADO</v>
      </c>
      <c r="E6960" s="427"/>
      <c r="F6960" s="31">
        <f>IFERROR(VLOOKUP(E6960,BD!$L$2:$Q$244,2,0),0)</f>
        <v>0</v>
      </c>
      <c r="G6960" s="424"/>
      <c r="H6960" s="31">
        <f>+IFERROR(VLOOKUP(E6960,BD!$L$2:$Q$244,6,0),0)</f>
        <v>0</v>
      </c>
      <c r="I6960" s="626">
        <f>IFERROR(G6960*VLOOKUP($E6960,BD!$L$2:$Q$244,5,0),0)</f>
        <v>0</v>
      </c>
      <c r="J6960" s="3">
        <f t="shared" si="445"/>
        <v>1900</v>
      </c>
    </row>
    <row r="6961" spans="1:10" s="9" customFormat="1" x14ac:dyDescent="0.25">
      <c r="A6961" s="447"/>
      <c r="B6961" s="55" t="str">
        <f t="shared" si="442"/>
        <v>ENERO</v>
      </c>
      <c r="C6961" s="55">
        <f t="shared" si="443"/>
        <v>1</v>
      </c>
      <c r="D6961" s="3" t="str">
        <f t="shared" si="444"/>
        <v>SÁBADO</v>
      </c>
      <c r="E6961" s="427"/>
      <c r="F6961" s="31">
        <f>IFERROR(VLOOKUP(E6961,BD!$L$2:$Q$244,2,0),0)</f>
        <v>0</v>
      </c>
      <c r="G6961" s="424"/>
      <c r="H6961" s="31">
        <f>+IFERROR(VLOOKUP(E6961,BD!$L$2:$Q$244,6,0),0)</f>
        <v>0</v>
      </c>
      <c r="I6961" s="626">
        <f>IFERROR(G6961*VLOOKUP($E6961,BD!$L$2:$Q$244,5,0),0)</f>
        <v>0</v>
      </c>
      <c r="J6961" s="3">
        <f t="shared" si="445"/>
        <v>1900</v>
      </c>
    </row>
    <row r="6962" spans="1:10" s="9" customFormat="1" x14ac:dyDescent="0.25">
      <c r="A6962" s="447"/>
      <c r="B6962" s="55" t="str">
        <f t="shared" si="442"/>
        <v>ENERO</v>
      </c>
      <c r="C6962" s="55">
        <f t="shared" si="443"/>
        <v>1</v>
      </c>
      <c r="D6962" s="3" t="str">
        <f t="shared" si="444"/>
        <v>SÁBADO</v>
      </c>
      <c r="E6962" s="427"/>
      <c r="F6962" s="31">
        <f>IFERROR(VLOOKUP(E6962,BD!$L$2:$Q$244,2,0),0)</f>
        <v>0</v>
      </c>
      <c r="G6962" s="424"/>
      <c r="H6962" s="31">
        <f>+IFERROR(VLOOKUP(E6962,BD!$L$2:$Q$244,6,0),0)</f>
        <v>0</v>
      </c>
      <c r="I6962" s="626">
        <f>IFERROR(G6962*VLOOKUP($E6962,BD!$L$2:$Q$244,5,0),0)</f>
        <v>0</v>
      </c>
      <c r="J6962" s="3">
        <f t="shared" si="445"/>
        <v>1900</v>
      </c>
    </row>
    <row r="6963" spans="1:10" s="9" customFormat="1" x14ac:dyDescent="0.25">
      <c r="A6963" s="447"/>
      <c r="B6963" s="55" t="str">
        <f t="shared" si="442"/>
        <v>ENERO</v>
      </c>
      <c r="C6963" s="55">
        <f t="shared" si="443"/>
        <v>1</v>
      </c>
      <c r="D6963" s="3" t="str">
        <f t="shared" si="444"/>
        <v>SÁBADO</v>
      </c>
      <c r="E6963" s="427"/>
      <c r="F6963" s="31">
        <f>IFERROR(VLOOKUP(E6963,BD!$L$2:$Q$244,2,0),0)</f>
        <v>0</v>
      </c>
      <c r="G6963" s="424"/>
      <c r="H6963" s="31">
        <f>+IFERROR(VLOOKUP(E6963,BD!$L$2:$Q$244,6,0),0)</f>
        <v>0</v>
      </c>
      <c r="I6963" s="626">
        <f>IFERROR(G6963*VLOOKUP($E6963,BD!$L$2:$Q$244,5,0),0)</f>
        <v>0</v>
      </c>
      <c r="J6963" s="3">
        <f t="shared" si="445"/>
        <v>1900</v>
      </c>
    </row>
    <row r="6964" spans="1:10" s="9" customFormat="1" x14ac:dyDescent="0.25">
      <c r="A6964" s="447"/>
      <c r="B6964" s="55" t="str">
        <f t="shared" si="442"/>
        <v>ENERO</v>
      </c>
      <c r="C6964" s="55">
        <f t="shared" si="443"/>
        <v>1</v>
      </c>
      <c r="D6964" s="3" t="str">
        <f t="shared" si="444"/>
        <v>SÁBADO</v>
      </c>
      <c r="E6964" s="427"/>
      <c r="F6964" s="31">
        <f>IFERROR(VLOOKUP(E6964,BD!$L$2:$Q$244,2,0),0)</f>
        <v>0</v>
      </c>
      <c r="G6964" s="424"/>
      <c r="H6964" s="31">
        <f>+IFERROR(VLOOKUP(E6964,BD!$L$2:$Q$244,6,0),0)</f>
        <v>0</v>
      </c>
      <c r="I6964" s="626">
        <f>IFERROR(G6964*VLOOKUP($E6964,BD!$L$2:$Q$244,5,0),0)</f>
        <v>0</v>
      </c>
      <c r="J6964" s="3">
        <f t="shared" si="445"/>
        <v>1900</v>
      </c>
    </row>
    <row r="6965" spans="1:10" s="9" customFormat="1" x14ac:dyDescent="0.25">
      <c r="A6965" s="447"/>
      <c r="B6965" s="55" t="str">
        <f t="shared" si="442"/>
        <v>ENERO</v>
      </c>
      <c r="C6965" s="55">
        <f t="shared" si="443"/>
        <v>1</v>
      </c>
      <c r="D6965" s="3" t="str">
        <f t="shared" si="444"/>
        <v>SÁBADO</v>
      </c>
      <c r="E6965" s="427"/>
      <c r="F6965" s="31">
        <f>IFERROR(VLOOKUP(E6965,BD!$L$2:$Q$244,2,0),0)</f>
        <v>0</v>
      </c>
      <c r="G6965" s="424"/>
      <c r="H6965" s="31">
        <f>+IFERROR(VLOOKUP(E6965,BD!$L$2:$Q$244,6,0),0)</f>
        <v>0</v>
      </c>
      <c r="I6965" s="626">
        <f>IFERROR(G6965*VLOOKUP($E6965,BD!$L$2:$Q$244,5,0),0)</f>
        <v>0</v>
      </c>
      <c r="J6965" s="3">
        <f t="shared" si="445"/>
        <v>1900</v>
      </c>
    </row>
    <row r="6966" spans="1:10" s="9" customFormat="1" x14ac:dyDescent="0.25">
      <c r="A6966" s="447"/>
      <c r="B6966" s="55" t="str">
        <f t="shared" si="442"/>
        <v>ENERO</v>
      </c>
      <c r="C6966" s="55">
        <f t="shared" si="443"/>
        <v>1</v>
      </c>
      <c r="D6966" s="3" t="str">
        <f t="shared" si="444"/>
        <v>SÁBADO</v>
      </c>
      <c r="E6966" s="427"/>
      <c r="F6966" s="31">
        <f>IFERROR(VLOOKUP(E6966,BD!$L$2:$Q$244,2,0),0)</f>
        <v>0</v>
      </c>
      <c r="G6966" s="424"/>
      <c r="H6966" s="31">
        <f>+IFERROR(VLOOKUP(E6966,BD!$L$2:$Q$244,6,0),0)</f>
        <v>0</v>
      </c>
      <c r="I6966" s="626">
        <f>IFERROR(G6966*VLOOKUP($E6966,BD!$L$2:$Q$244,5,0),0)</f>
        <v>0</v>
      </c>
      <c r="J6966" s="3">
        <f t="shared" si="445"/>
        <v>1900</v>
      </c>
    </row>
    <row r="6967" spans="1:10" s="9" customFormat="1" x14ac:dyDescent="0.25">
      <c r="A6967" s="447"/>
      <c r="B6967" s="55" t="str">
        <f t="shared" si="442"/>
        <v>ENERO</v>
      </c>
      <c r="C6967" s="55">
        <f t="shared" si="443"/>
        <v>1</v>
      </c>
      <c r="D6967" s="3" t="str">
        <f t="shared" si="444"/>
        <v>SÁBADO</v>
      </c>
      <c r="E6967" s="427"/>
      <c r="F6967" s="31">
        <f>IFERROR(VLOOKUP(E6967,BD!$L$2:$Q$244,2,0),0)</f>
        <v>0</v>
      </c>
      <c r="G6967" s="424"/>
      <c r="H6967" s="31">
        <f>+IFERROR(VLOOKUP(E6967,BD!$L$2:$Q$244,6,0),0)</f>
        <v>0</v>
      </c>
      <c r="I6967" s="626">
        <f>IFERROR(G6967*VLOOKUP($E6967,BD!$L$2:$Q$244,5,0),0)</f>
        <v>0</v>
      </c>
      <c r="J6967" s="3">
        <f t="shared" si="445"/>
        <v>1900</v>
      </c>
    </row>
    <row r="6968" spans="1:10" s="9" customFormat="1" x14ac:dyDescent="0.25">
      <c r="A6968" s="447"/>
      <c r="B6968" s="55" t="str">
        <f t="shared" si="442"/>
        <v>ENERO</v>
      </c>
      <c r="C6968" s="55">
        <f t="shared" si="443"/>
        <v>1</v>
      </c>
      <c r="D6968" s="3" t="str">
        <f t="shared" si="444"/>
        <v>SÁBADO</v>
      </c>
      <c r="E6968" s="427"/>
      <c r="F6968" s="31">
        <f>IFERROR(VLOOKUP(E6968,BD!$L$2:$Q$244,2,0),0)</f>
        <v>0</v>
      </c>
      <c r="G6968" s="424"/>
      <c r="H6968" s="31">
        <f>+IFERROR(VLOOKUP(E6968,BD!$L$2:$Q$244,6,0),0)</f>
        <v>0</v>
      </c>
      <c r="I6968" s="626">
        <f>IFERROR(G6968*VLOOKUP($E6968,BD!$L$2:$Q$244,5,0),0)</f>
        <v>0</v>
      </c>
      <c r="J6968" s="3">
        <f t="shared" si="445"/>
        <v>1900</v>
      </c>
    </row>
    <row r="6969" spans="1:10" s="9" customFormat="1" x14ac:dyDescent="0.25">
      <c r="A6969" s="447"/>
      <c r="B6969" s="55" t="str">
        <f t="shared" si="442"/>
        <v>ENERO</v>
      </c>
      <c r="C6969" s="55">
        <f t="shared" si="443"/>
        <v>1</v>
      </c>
      <c r="D6969" s="3" t="str">
        <f t="shared" si="444"/>
        <v>SÁBADO</v>
      </c>
      <c r="E6969" s="427"/>
      <c r="F6969" s="31">
        <f>IFERROR(VLOOKUP(E6969,BD!$L$2:$Q$244,2,0),0)</f>
        <v>0</v>
      </c>
      <c r="G6969" s="424"/>
      <c r="H6969" s="31">
        <f>+IFERROR(VLOOKUP(E6969,BD!$L$2:$Q$244,6,0),0)</f>
        <v>0</v>
      </c>
      <c r="I6969" s="626">
        <f>IFERROR(G6969*VLOOKUP($E6969,BD!$L$2:$Q$244,5,0),0)</f>
        <v>0</v>
      </c>
      <c r="J6969" s="3">
        <f t="shared" si="445"/>
        <v>1900</v>
      </c>
    </row>
    <row r="6970" spans="1:10" s="9" customFormat="1" x14ac:dyDescent="0.25">
      <c r="A6970" s="447"/>
      <c r="B6970" s="55" t="str">
        <f t="shared" si="442"/>
        <v>ENERO</v>
      </c>
      <c r="C6970" s="55">
        <f t="shared" si="443"/>
        <v>1</v>
      </c>
      <c r="D6970" s="3" t="str">
        <f t="shared" si="444"/>
        <v>SÁBADO</v>
      </c>
      <c r="E6970" s="427"/>
      <c r="F6970" s="31">
        <f>IFERROR(VLOOKUP(E6970,BD!$L$2:$Q$244,2,0),0)</f>
        <v>0</v>
      </c>
      <c r="G6970" s="424"/>
      <c r="H6970" s="31">
        <f>+IFERROR(VLOOKUP(E6970,BD!$L$2:$Q$244,6,0),0)</f>
        <v>0</v>
      </c>
      <c r="I6970" s="626">
        <f>IFERROR(G6970*VLOOKUP($E6970,BD!$L$2:$Q$244,5,0),0)</f>
        <v>0</v>
      </c>
      <c r="J6970" s="3">
        <f t="shared" si="445"/>
        <v>1900</v>
      </c>
    </row>
    <row r="6971" spans="1:10" s="9" customFormat="1" x14ac:dyDescent="0.25">
      <c r="A6971" s="447"/>
      <c r="B6971" s="55" t="str">
        <f t="shared" si="442"/>
        <v>ENERO</v>
      </c>
      <c r="C6971" s="55">
        <f t="shared" si="443"/>
        <v>1</v>
      </c>
      <c r="D6971" s="3" t="str">
        <f t="shared" si="444"/>
        <v>SÁBADO</v>
      </c>
      <c r="E6971" s="427"/>
      <c r="F6971" s="31">
        <f>IFERROR(VLOOKUP(E6971,BD!$L$2:$Q$244,2,0),0)</f>
        <v>0</v>
      </c>
      <c r="G6971" s="424"/>
      <c r="H6971" s="31">
        <f>+IFERROR(VLOOKUP(E6971,BD!$L$2:$Q$244,6,0),0)</f>
        <v>0</v>
      </c>
      <c r="I6971" s="626">
        <f>IFERROR(G6971*VLOOKUP($E6971,BD!$L$2:$Q$244,5,0),0)</f>
        <v>0</v>
      </c>
      <c r="J6971" s="3">
        <f t="shared" si="445"/>
        <v>1900</v>
      </c>
    </row>
    <row r="6972" spans="1:10" s="9" customFormat="1" x14ac:dyDescent="0.25">
      <c r="A6972" s="447"/>
      <c r="B6972" s="55" t="str">
        <f t="shared" si="442"/>
        <v>ENERO</v>
      </c>
      <c r="C6972" s="55">
        <f t="shared" si="443"/>
        <v>1</v>
      </c>
      <c r="D6972" s="3" t="str">
        <f t="shared" si="444"/>
        <v>SÁBADO</v>
      </c>
      <c r="E6972" s="427"/>
      <c r="F6972" s="31">
        <f>IFERROR(VLOOKUP(E6972,BD!$L$2:$Q$244,2,0),0)</f>
        <v>0</v>
      </c>
      <c r="G6972" s="424"/>
      <c r="H6972" s="31">
        <f>+IFERROR(VLOOKUP(E6972,BD!$L$2:$Q$244,6,0),0)</f>
        <v>0</v>
      </c>
      <c r="I6972" s="626">
        <f>IFERROR(G6972*VLOOKUP($E6972,BD!$L$2:$Q$244,5,0),0)</f>
        <v>0</v>
      </c>
      <c r="J6972" s="3">
        <f t="shared" si="445"/>
        <v>1900</v>
      </c>
    </row>
    <row r="6973" spans="1:10" s="9" customFormat="1" x14ac:dyDescent="0.25">
      <c r="A6973" s="447"/>
      <c r="B6973" s="55" t="str">
        <f t="shared" ref="B6973:B7036" si="446">UPPER(TEXT(A6973,"MMMM"))</f>
        <v>ENERO</v>
      </c>
      <c r="C6973" s="55">
        <f t="shared" ref="C6973:C7036" si="447">WEEKNUM(A6973,16)</f>
        <v>1</v>
      </c>
      <c r="D6973" s="3" t="str">
        <f t="shared" ref="D6973:D7036" si="448">UPPER(TEXT(A6973,"DDDD"))</f>
        <v>SÁBADO</v>
      </c>
      <c r="E6973" s="427"/>
      <c r="F6973" s="31">
        <f>IFERROR(VLOOKUP(E6973,BD!$L$2:$Q$244,2,0),0)</f>
        <v>0</v>
      </c>
      <c r="G6973" s="424"/>
      <c r="H6973" s="31">
        <f>+IFERROR(VLOOKUP(E6973,BD!$L$2:$Q$244,6,0),0)</f>
        <v>0</v>
      </c>
      <c r="I6973" s="626">
        <f>IFERROR(G6973*VLOOKUP($E6973,BD!$L$2:$Q$244,5,0),0)</f>
        <v>0</v>
      </c>
      <c r="J6973" s="3">
        <f t="shared" ref="J6973:J7036" si="449">+YEAR(A6973)</f>
        <v>1900</v>
      </c>
    </row>
    <row r="6974" spans="1:10" s="9" customFormat="1" x14ac:dyDescent="0.25">
      <c r="A6974" s="447"/>
      <c r="B6974" s="55" t="str">
        <f t="shared" si="446"/>
        <v>ENERO</v>
      </c>
      <c r="C6974" s="55">
        <f t="shared" si="447"/>
        <v>1</v>
      </c>
      <c r="D6974" s="3" t="str">
        <f t="shared" si="448"/>
        <v>SÁBADO</v>
      </c>
      <c r="E6974" s="427"/>
      <c r="F6974" s="31">
        <f>IFERROR(VLOOKUP(E6974,BD!$L$2:$Q$244,2,0),0)</f>
        <v>0</v>
      </c>
      <c r="G6974" s="424"/>
      <c r="H6974" s="31">
        <f>+IFERROR(VLOOKUP(E6974,BD!$L$2:$Q$244,6,0),0)</f>
        <v>0</v>
      </c>
      <c r="I6974" s="626">
        <f>IFERROR(G6974*VLOOKUP($E6974,BD!$L$2:$Q$244,5,0),0)</f>
        <v>0</v>
      </c>
      <c r="J6974" s="3">
        <f t="shared" si="449"/>
        <v>1900</v>
      </c>
    </row>
    <row r="6975" spans="1:10" s="9" customFormat="1" x14ac:dyDescent="0.25">
      <c r="A6975" s="447"/>
      <c r="B6975" s="55" t="str">
        <f t="shared" si="446"/>
        <v>ENERO</v>
      </c>
      <c r="C6975" s="55">
        <f t="shared" si="447"/>
        <v>1</v>
      </c>
      <c r="D6975" s="3" t="str">
        <f t="shared" si="448"/>
        <v>SÁBADO</v>
      </c>
      <c r="E6975" s="427"/>
      <c r="F6975" s="31">
        <f>IFERROR(VLOOKUP(E6975,BD!$L$2:$Q$244,2,0),0)</f>
        <v>0</v>
      </c>
      <c r="G6975" s="424"/>
      <c r="H6975" s="31">
        <f>+IFERROR(VLOOKUP(E6975,BD!$L$2:$Q$244,6,0),0)</f>
        <v>0</v>
      </c>
      <c r="I6975" s="626">
        <f>IFERROR(G6975*VLOOKUP($E6975,BD!$L$2:$Q$244,5,0),0)</f>
        <v>0</v>
      </c>
      <c r="J6975" s="3">
        <f t="shared" si="449"/>
        <v>1900</v>
      </c>
    </row>
    <row r="6976" spans="1:10" s="9" customFormat="1" x14ac:dyDescent="0.25">
      <c r="A6976" s="447"/>
      <c r="B6976" s="55" t="str">
        <f t="shared" si="446"/>
        <v>ENERO</v>
      </c>
      <c r="C6976" s="55">
        <f t="shared" si="447"/>
        <v>1</v>
      </c>
      <c r="D6976" s="3" t="str">
        <f t="shared" si="448"/>
        <v>SÁBADO</v>
      </c>
      <c r="E6976" s="427"/>
      <c r="F6976" s="31">
        <f>IFERROR(VLOOKUP(E6976,BD!$L$2:$Q$244,2,0),0)</f>
        <v>0</v>
      </c>
      <c r="G6976" s="424"/>
      <c r="H6976" s="31">
        <f>+IFERROR(VLOOKUP(E6976,BD!$L$2:$Q$244,6,0),0)</f>
        <v>0</v>
      </c>
      <c r="I6976" s="626">
        <f>IFERROR(G6976*VLOOKUP($E6976,BD!$L$2:$Q$244,5,0),0)</f>
        <v>0</v>
      </c>
      <c r="J6976" s="3">
        <f t="shared" si="449"/>
        <v>1900</v>
      </c>
    </row>
    <row r="6977" spans="1:10" s="9" customFormat="1" x14ac:dyDescent="0.25">
      <c r="A6977" s="447"/>
      <c r="B6977" s="55" t="str">
        <f t="shared" si="446"/>
        <v>ENERO</v>
      </c>
      <c r="C6977" s="55">
        <f t="shared" si="447"/>
        <v>1</v>
      </c>
      <c r="D6977" s="3" t="str">
        <f t="shared" si="448"/>
        <v>SÁBADO</v>
      </c>
      <c r="E6977" s="427"/>
      <c r="F6977" s="31">
        <f>IFERROR(VLOOKUP(E6977,BD!$L$2:$Q$244,2,0),0)</f>
        <v>0</v>
      </c>
      <c r="G6977" s="424"/>
      <c r="H6977" s="31">
        <f>+IFERROR(VLOOKUP(E6977,BD!$L$2:$Q$244,6,0),0)</f>
        <v>0</v>
      </c>
      <c r="I6977" s="626">
        <f>IFERROR(G6977*VLOOKUP($E6977,BD!$L$2:$Q$244,5,0),0)</f>
        <v>0</v>
      </c>
      <c r="J6977" s="3">
        <f t="shared" si="449"/>
        <v>1900</v>
      </c>
    </row>
    <row r="6978" spans="1:10" s="9" customFormat="1" x14ac:dyDescent="0.25">
      <c r="A6978" s="447"/>
      <c r="B6978" s="55" t="str">
        <f t="shared" si="446"/>
        <v>ENERO</v>
      </c>
      <c r="C6978" s="55">
        <f t="shared" si="447"/>
        <v>1</v>
      </c>
      <c r="D6978" s="3" t="str">
        <f t="shared" si="448"/>
        <v>SÁBADO</v>
      </c>
      <c r="E6978" s="427"/>
      <c r="F6978" s="31">
        <f>IFERROR(VLOOKUP(E6978,BD!$L$2:$Q$244,2,0),0)</f>
        <v>0</v>
      </c>
      <c r="G6978" s="424"/>
      <c r="H6978" s="31">
        <f>+IFERROR(VLOOKUP(E6978,BD!$L$2:$Q$244,6,0),0)</f>
        <v>0</v>
      </c>
      <c r="I6978" s="626">
        <f>IFERROR(G6978*VLOOKUP($E6978,BD!$L$2:$Q$244,5,0),0)</f>
        <v>0</v>
      </c>
      <c r="J6978" s="3">
        <f t="shared" si="449"/>
        <v>1900</v>
      </c>
    </row>
    <row r="6979" spans="1:10" s="9" customFormat="1" x14ac:dyDescent="0.25">
      <c r="A6979" s="447"/>
      <c r="B6979" s="55" t="str">
        <f t="shared" si="446"/>
        <v>ENERO</v>
      </c>
      <c r="C6979" s="55">
        <f t="shared" si="447"/>
        <v>1</v>
      </c>
      <c r="D6979" s="3" t="str">
        <f t="shared" si="448"/>
        <v>SÁBADO</v>
      </c>
      <c r="E6979" s="427"/>
      <c r="F6979" s="31">
        <f>IFERROR(VLOOKUP(E6979,BD!$L$2:$Q$244,2,0),0)</f>
        <v>0</v>
      </c>
      <c r="G6979" s="424"/>
      <c r="H6979" s="31">
        <f>+IFERROR(VLOOKUP(E6979,BD!$L$2:$Q$244,6,0),0)</f>
        <v>0</v>
      </c>
      <c r="I6979" s="626">
        <f>IFERROR(G6979*VLOOKUP($E6979,BD!$L$2:$Q$244,5,0),0)</f>
        <v>0</v>
      </c>
      <c r="J6979" s="3">
        <f t="shared" si="449"/>
        <v>1900</v>
      </c>
    </row>
    <row r="6980" spans="1:10" s="9" customFormat="1" x14ac:dyDescent="0.25">
      <c r="A6980" s="447"/>
      <c r="B6980" s="55" t="str">
        <f t="shared" si="446"/>
        <v>ENERO</v>
      </c>
      <c r="C6980" s="55">
        <f t="shared" si="447"/>
        <v>1</v>
      </c>
      <c r="D6980" s="3" t="str">
        <f t="shared" si="448"/>
        <v>SÁBADO</v>
      </c>
      <c r="E6980" s="427"/>
      <c r="F6980" s="31">
        <f>IFERROR(VLOOKUP(E6980,BD!$L$2:$Q$244,2,0),0)</f>
        <v>0</v>
      </c>
      <c r="G6980" s="424"/>
      <c r="H6980" s="31">
        <f>+IFERROR(VLOOKUP(E6980,BD!$L$2:$Q$244,6,0),0)</f>
        <v>0</v>
      </c>
      <c r="I6980" s="626">
        <f>IFERROR(G6980*VLOOKUP($E6980,BD!$L$2:$Q$244,5,0),0)</f>
        <v>0</v>
      </c>
      <c r="J6980" s="3">
        <f t="shared" si="449"/>
        <v>1900</v>
      </c>
    </row>
    <row r="6981" spans="1:10" s="9" customFormat="1" x14ac:dyDescent="0.25">
      <c r="A6981" s="447"/>
      <c r="B6981" s="55" t="str">
        <f t="shared" si="446"/>
        <v>ENERO</v>
      </c>
      <c r="C6981" s="55">
        <f t="shared" si="447"/>
        <v>1</v>
      </c>
      <c r="D6981" s="3" t="str">
        <f t="shared" si="448"/>
        <v>SÁBADO</v>
      </c>
      <c r="E6981" s="427"/>
      <c r="F6981" s="31">
        <f>IFERROR(VLOOKUP(E6981,BD!$L$2:$Q$244,2,0),0)</f>
        <v>0</v>
      </c>
      <c r="G6981" s="424"/>
      <c r="H6981" s="31">
        <f>+IFERROR(VLOOKUP(E6981,BD!$L$2:$Q$244,6,0),0)</f>
        <v>0</v>
      </c>
      <c r="I6981" s="626">
        <f>IFERROR(G6981*VLOOKUP($E6981,BD!$L$2:$Q$244,5,0),0)</f>
        <v>0</v>
      </c>
      <c r="J6981" s="3">
        <f t="shared" si="449"/>
        <v>1900</v>
      </c>
    </row>
    <row r="6982" spans="1:10" s="9" customFormat="1" x14ac:dyDescent="0.25">
      <c r="A6982" s="447"/>
      <c r="B6982" s="55" t="str">
        <f t="shared" si="446"/>
        <v>ENERO</v>
      </c>
      <c r="C6982" s="55">
        <f t="shared" si="447"/>
        <v>1</v>
      </c>
      <c r="D6982" s="3" t="str">
        <f t="shared" si="448"/>
        <v>SÁBADO</v>
      </c>
      <c r="E6982" s="427"/>
      <c r="F6982" s="31">
        <f>IFERROR(VLOOKUP(E6982,BD!$L$2:$Q$244,2,0),0)</f>
        <v>0</v>
      </c>
      <c r="G6982" s="424"/>
      <c r="H6982" s="31">
        <f>+IFERROR(VLOOKUP(E6982,BD!$L$2:$Q$244,6,0),0)</f>
        <v>0</v>
      </c>
      <c r="I6982" s="626">
        <f>IFERROR(G6982*VLOOKUP($E6982,BD!$L$2:$Q$244,5,0),0)</f>
        <v>0</v>
      </c>
      <c r="J6982" s="3">
        <f t="shared" si="449"/>
        <v>1900</v>
      </c>
    </row>
    <row r="6983" spans="1:10" s="9" customFormat="1" x14ac:dyDescent="0.25">
      <c r="A6983" s="447"/>
      <c r="B6983" s="55" t="str">
        <f t="shared" si="446"/>
        <v>ENERO</v>
      </c>
      <c r="C6983" s="55">
        <f t="shared" si="447"/>
        <v>1</v>
      </c>
      <c r="D6983" s="3" t="str">
        <f t="shared" si="448"/>
        <v>SÁBADO</v>
      </c>
      <c r="E6983" s="427"/>
      <c r="F6983" s="31">
        <f>IFERROR(VLOOKUP(E6983,BD!$L$2:$Q$244,2,0),0)</f>
        <v>0</v>
      </c>
      <c r="G6983" s="424"/>
      <c r="H6983" s="31">
        <f>+IFERROR(VLOOKUP(E6983,BD!$L$2:$Q$244,6,0),0)</f>
        <v>0</v>
      </c>
      <c r="I6983" s="626">
        <f>IFERROR(G6983*VLOOKUP($E6983,BD!$L$2:$Q$244,5,0),0)</f>
        <v>0</v>
      </c>
      <c r="J6983" s="3">
        <f t="shared" si="449"/>
        <v>1900</v>
      </c>
    </row>
    <row r="6984" spans="1:10" s="9" customFormat="1" x14ac:dyDescent="0.25">
      <c r="A6984" s="447"/>
      <c r="B6984" s="55" t="str">
        <f t="shared" si="446"/>
        <v>ENERO</v>
      </c>
      <c r="C6984" s="55">
        <f t="shared" si="447"/>
        <v>1</v>
      </c>
      <c r="D6984" s="3" t="str">
        <f t="shared" si="448"/>
        <v>SÁBADO</v>
      </c>
      <c r="E6984" s="427"/>
      <c r="F6984" s="31">
        <f>IFERROR(VLOOKUP(E6984,BD!$L$2:$Q$244,2,0),0)</f>
        <v>0</v>
      </c>
      <c r="G6984" s="424"/>
      <c r="H6984" s="31">
        <f>+IFERROR(VLOOKUP(E6984,BD!$L$2:$Q$244,6,0),0)</f>
        <v>0</v>
      </c>
      <c r="I6984" s="626">
        <f>IFERROR(G6984*VLOOKUP($E6984,BD!$L$2:$Q$244,5,0),0)</f>
        <v>0</v>
      </c>
      <c r="J6984" s="3">
        <f t="shared" si="449"/>
        <v>1900</v>
      </c>
    </row>
    <row r="6985" spans="1:10" s="9" customFormat="1" x14ac:dyDescent="0.25">
      <c r="A6985" s="447"/>
      <c r="B6985" s="55" t="str">
        <f t="shared" si="446"/>
        <v>ENERO</v>
      </c>
      <c r="C6985" s="55">
        <f t="shared" si="447"/>
        <v>1</v>
      </c>
      <c r="D6985" s="3" t="str">
        <f t="shared" si="448"/>
        <v>SÁBADO</v>
      </c>
      <c r="E6985" s="427"/>
      <c r="F6985" s="31">
        <f>IFERROR(VLOOKUP(E6985,BD!$L$2:$Q$244,2,0),0)</f>
        <v>0</v>
      </c>
      <c r="G6985" s="424"/>
      <c r="H6985" s="31">
        <f>+IFERROR(VLOOKUP(E6985,BD!$L$2:$Q$244,6,0),0)</f>
        <v>0</v>
      </c>
      <c r="I6985" s="626">
        <f>IFERROR(G6985*VLOOKUP($E6985,BD!$L$2:$Q$244,5,0),0)</f>
        <v>0</v>
      </c>
      <c r="J6985" s="3">
        <f t="shared" si="449"/>
        <v>1900</v>
      </c>
    </row>
    <row r="6986" spans="1:10" s="9" customFormat="1" x14ac:dyDescent="0.25">
      <c r="A6986" s="447"/>
      <c r="B6986" s="55" t="str">
        <f t="shared" si="446"/>
        <v>ENERO</v>
      </c>
      <c r="C6986" s="55">
        <f t="shared" si="447"/>
        <v>1</v>
      </c>
      <c r="D6986" s="3" t="str">
        <f t="shared" si="448"/>
        <v>SÁBADO</v>
      </c>
      <c r="E6986" s="427"/>
      <c r="F6986" s="31">
        <f>IFERROR(VLOOKUP(E6986,BD!$L$2:$Q$244,2,0),0)</f>
        <v>0</v>
      </c>
      <c r="G6986" s="424"/>
      <c r="H6986" s="31">
        <f>+IFERROR(VLOOKUP(E6986,BD!$L$2:$Q$244,6,0),0)</f>
        <v>0</v>
      </c>
      <c r="I6986" s="626">
        <f>IFERROR(G6986*VLOOKUP($E6986,BD!$L$2:$Q$244,5,0),0)</f>
        <v>0</v>
      </c>
      <c r="J6986" s="3">
        <f t="shared" si="449"/>
        <v>1900</v>
      </c>
    </row>
    <row r="6987" spans="1:10" s="9" customFormat="1" x14ac:dyDescent="0.25">
      <c r="A6987" s="447"/>
      <c r="B6987" s="55" t="str">
        <f t="shared" si="446"/>
        <v>ENERO</v>
      </c>
      <c r="C6987" s="55">
        <f t="shared" si="447"/>
        <v>1</v>
      </c>
      <c r="D6987" s="3" t="str">
        <f t="shared" si="448"/>
        <v>SÁBADO</v>
      </c>
      <c r="E6987" s="427"/>
      <c r="F6987" s="31">
        <f>IFERROR(VLOOKUP(E6987,BD!$L$2:$Q$244,2,0),0)</f>
        <v>0</v>
      </c>
      <c r="G6987" s="424"/>
      <c r="H6987" s="31">
        <f>+IFERROR(VLOOKUP(E6987,BD!$L$2:$Q$244,6,0),0)</f>
        <v>0</v>
      </c>
      <c r="I6987" s="626">
        <f>IFERROR(G6987*VLOOKUP($E6987,BD!$L$2:$Q$244,5,0),0)</f>
        <v>0</v>
      </c>
      <c r="J6987" s="3">
        <f t="shared" si="449"/>
        <v>1900</v>
      </c>
    </row>
    <row r="6988" spans="1:10" s="9" customFormat="1" x14ac:dyDescent="0.25">
      <c r="A6988" s="447"/>
      <c r="B6988" s="55" t="str">
        <f t="shared" si="446"/>
        <v>ENERO</v>
      </c>
      <c r="C6988" s="55">
        <f t="shared" si="447"/>
        <v>1</v>
      </c>
      <c r="D6988" s="3" t="str">
        <f t="shared" si="448"/>
        <v>SÁBADO</v>
      </c>
      <c r="E6988" s="427"/>
      <c r="F6988" s="31">
        <f>IFERROR(VLOOKUP(E6988,BD!$L$2:$Q$244,2,0),0)</f>
        <v>0</v>
      </c>
      <c r="G6988" s="424"/>
      <c r="H6988" s="31">
        <f>+IFERROR(VLOOKUP(E6988,BD!$L$2:$Q$244,6,0),0)</f>
        <v>0</v>
      </c>
      <c r="I6988" s="626">
        <f>IFERROR(G6988*VLOOKUP($E6988,BD!$L$2:$Q$244,5,0),0)</f>
        <v>0</v>
      </c>
      <c r="J6988" s="3">
        <f t="shared" si="449"/>
        <v>1900</v>
      </c>
    </row>
    <row r="6989" spans="1:10" s="9" customFormat="1" x14ac:dyDescent="0.25">
      <c r="A6989" s="447"/>
      <c r="B6989" s="55" t="str">
        <f t="shared" si="446"/>
        <v>ENERO</v>
      </c>
      <c r="C6989" s="55">
        <f t="shared" si="447"/>
        <v>1</v>
      </c>
      <c r="D6989" s="3" t="str">
        <f t="shared" si="448"/>
        <v>SÁBADO</v>
      </c>
      <c r="E6989" s="427"/>
      <c r="F6989" s="31">
        <f>IFERROR(VLOOKUP(E6989,BD!$L$2:$Q$244,2,0),0)</f>
        <v>0</v>
      </c>
      <c r="G6989" s="424"/>
      <c r="H6989" s="31">
        <f>+IFERROR(VLOOKUP(E6989,BD!$L$2:$Q$244,6,0),0)</f>
        <v>0</v>
      </c>
      <c r="I6989" s="626">
        <f>IFERROR(G6989*VLOOKUP($E6989,BD!$L$2:$Q$244,5,0),0)</f>
        <v>0</v>
      </c>
      <c r="J6989" s="3">
        <f t="shared" si="449"/>
        <v>1900</v>
      </c>
    </row>
    <row r="6990" spans="1:10" s="9" customFormat="1" x14ac:dyDescent="0.25">
      <c r="A6990" s="447"/>
      <c r="B6990" s="55" t="str">
        <f t="shared" si="446"/>
        <v>ENERO</v>
      </c>
      <c r="C6990" s="55">
        <f t="shared" si="447"/>
        <v>1</v>
      </c>
      <c r="D6990" s="3" t="str">
        <f t="shared" si="448"/>
        <v>SÁBADO</v>
      </c>
      <c r="E6990" s="427"/>
      <c r="F6990" s="31">
        <f>IFERROR(VLOOKUP(E6990,BD!$L$2:$Q$244,2,0),0)</f>
        <v>0</v>
      </c>
      <c r="G6990" s="424"/>
      <c r="H6990" s="31">
        <f>+IFERROR(VLOOKUP(E6990,BD!$L$2:$Q$244,6,0),0)</f>
        <v>0</v>
      </c>
      <c r="I6990" s="626">
        <f>IFERROR(G6990*VLOOKUP($E6990,BD!$L$2:$Q$244,5,0),0)</f>
        <v>0</v>
      </c>
      <c r="J6990" s="3">
        <f t="shared" si="449"/>
        <v>1900</v>
      </c>
    </row>
    <row r="6991" spans="1:10" s="9" customFormat="1" x14ac:dyDescent="0.25">
      <c r="A6991" s="447"/>
      <c r="B6991" s="55" t="str">
        <f t="shared" si="446"/>
        <v>ENERO</v>
      </c>
      <c r="C6991" s="55">
        <f t="shared" si="447"/>
        <v>1</v>
      </c>
      <c r="D6991" s="3" t="str">
        <f t="shared" si="448"/>
        <v>SÁBADO</v>
      </c>
      <c r="E6991" s="427"/>
      <c r="F6991" s="31">
        <f>IFERROR(VLOOKUP(E6991,BD!$L$2:$Q$244,2,0),0)</f>
        <v>0</v>
      </c>
      <c r="G6991" s="424"/>
      <c r="H6991" s="31">
        <f>+IFERROR(VLOOKUP(E6991,BD!$L$2:$Q$244,6,0),0)</f>
        <v>0</v>
      </c>
      <c r="I6991" s="626">
        <f>IFERROR(G6991*VLOOKUP($E6991,BD!$L$2:$Q$244,5,0),0)</f>
        <v>0</v>
      </c>
      <c r="J6991" s="3">
        <f t="shared" si="449"/>
        <v>1900</v>
      </c>
    </row>
    <row r="6992" spans="1:10" s="9" customFormat="1" x14ac:dyDescent="0.25">
      <c r="A6992" s="447"/>
      <c r="B6992" s="55" t="str">
        <f t="shared" si="446"/>
        <v>ENERO</v>
      </c>
      <c r="C6992" s="55">
        <f t="shared" si="447"/>
        <v>1</v>
      </c>
      <c r="D6992" s="3" t="str">
        <f t="shared" si="448"/>
        <v>SÁBADO</v>
      </c>
      <c r="E6992" s="427"/>
      <c r="F6992" s="31">
        <f>IFERROR(VLOOKUP(E6992,BD!$L$2:$Q$244,2,0),0)</f>
        <v>0</v>
      </c>
      <c r="G6992" s="424"/>
      <c r="H6992" s="31">
        <f>+IFERROR(VLOOKUP(E6992,BD!$L$2:$Q$244,6,0),0)</f>
        <v>0</v>
      </c>
      <c r="I6992" s="626">
        <f>IFERROR(G6992*VLOOKUP($E6992,BD!$L$2:$Q$244,5,0),0)</f>
        <v>0</v>
      </c>
      <c r="J6992" s="3">
        <f t="shared" si="449"/>
        <v>1900</v>
      </c>
    </row>
    <row r="6993" spans="1:10" s="9" customFormat="1" x14ac:dyDescent="0.25">
      <c r="A6993" s="447"/>
      <c r="B6993" s="55" t="str">
        <f t="shared" si="446"/>
        <v>ENERO</v>
      </c>
      <c r="C6993" s="55">
        <f t="shared" si="447"/>
        <v>1</v>
      </c>
      <c r="D6993" s="3" t="str">
        <f t="shared" si="448"/>
        <v>SÁBADO</v>
      </c>
      <c r="E6993" s="427"/>
      <c r="F6993" s="31">
        <f>IFERROR(VLOOKUP(E6993,BD!$L$2:$Q$244,2,0),0)</f>
        <v>0</v>
      </c>
      <c r="G6993" s="424"/>
      <c r="H6993" s="31">
        <f>+IFERROR(VLOOKUP(E6993,BD!$L$2:$Q$244,6,0),0)</f>
        <v>0</v>
      </c>
      <c r="I6993" s="626">
        <f>IFERROR(G6993*VLOOKUP($E6993,BD!$L$2:$Q$244,5,0),0)</f>
        <v>0</v>
      </c>
      <c r="J6993" s="3">
        <f t="shared" si="449"/>
        <v>1900</v>
      </c>
    </row>
    <row r="6994" spans="1:10" s="9" customFormat="1" x14ac:dyDescent="0.25">
      <c r="A6994" s="447"/>
      <c r="B6994" s="55" t="str">
        <f t="shared" si="446"/>
        <v>ENERO</v>
      </c>
      <c r="C6994" s="55">
        <f t="shared" si="447"/>
        <v>1</v>
      </c>
      <c r="D6994" s="3" t="str">
        <f t="shared" si="448"/>
        <v>SÁBADO</v>
      </c>
      <c r="E6994" s="427"/>
      <c r="F6994" s="31">
        <f>IFERROR(VLOOKUP(E6994,BD!$L$2:$Q$244,2,0),0)</f>
        <v>0</v>
      </c>
      <c r="G6994" s="424"/>
      <c r="H6994" s="31">
        <f>+IFERROR(VLOOKUP(E6994,BD!$L$2:$Q$244,6,0),0)</f>
        <v>0</v>
      </c>
      <c r="I6994" s="626">
        <f>IFERROR(G6994*VLOOKUP($E6994,BD!$L$2:$Q$244,5,0),0)</f>
        <v>0</v>
      </c>
      <c r="J6994" s="3">
        <f t="shared" si="449"/>
        <v>1900</v>
      </c>
    </row>
    <row r="6995" spans="1:10" s="9" customFormat="1" x14ac:dyDescent="0.25">
      <c r="A6995" s="447"/>
      <c r="B6995" s="55" t="str">
        <f t="shared" si="446"/>
        <v>ENERO</v>
      </c>
      <c r="C6995" s="55">
        <f t="shared" si="447"/>
        <v>1</v>
      </c>
      <c r="D6995" s="3" t="str">
        <f t="shared" si="448"/>
        <v>SÁBADO</v>
      </c>
      <c r="E6995" s="427"/>
      <c r="F6995" s="31">
        <f>IFERROR(VLOOKUP(E6995,BD!$L$2:$Q$244,2,0),0)</f>
        <v>0</v>
      </c>
      <c r="G6995" s="424"/>
      <c r="H6995" s="31">
        <f>+IFERROR(VLOOKUP(E6995,BD!$L$2:$Q$244,6,0),0)</f>
        <v>0</v>
      </c>
      <c r="I6995" s="626">
        <f>IFERROR(G6995*VLOOKUP($E6995,BD!$L$2:$Q$244,5,0),0)</f>
        <v>0</v>
      </c>
      <c r="J6995" s="3">
        <f t="shared" si="449"/>
        <v>1900</v>
      </c>
    </row>
    <row r="6996" spans="1:10" s="9" customFormat="1" x14ac:dyDescent="0.25">
      <c r="A6996" s="447"/>
      <c r="B6996" s="55" t="str">
        <f t="shared" si="446"/>
        <v>ENERO</v>
      </c>
      <c r="C6996" s="55">
        <f t="shared" si="447"/>
        <v>1</v>
      </c>
      <c r="D6996" s="3" t="str">
        <f t="shared" si="448"/>
        <v>SÁBADO</v>
      </c>
      <c r="E6996" s="427"/>
      <c r="F6996" s="31">
        <f>IFERROR(VLOOKUP(E6996,BD!$L$2:$Q$244,2,0),0)</f>
        <v>0</v>
      </c>
      <c r="G6996" s="424"/>
      <c r="H6996" s="31">
        <f>+IFERROR(VLOOKUP(E6996,BD!$L$2:$Q$244,6,0),0)</f>
        <v>0</v>
      </c>
      <c r="I6996" s="626">
        <f>IFERROR(G6996*VLOOKUP($E6996,BD!$L$2:$Q$244,5,0),0)</f>
        <v>0</v>
      </c>
      <c r="J6996" s="3">
        <f t="shared" si="449"/>
        <v>1900</v>
      </c>
    </row>
    <row r="6997" spans="1:10" s="9" customFormat="1" x14ac:dyDescent="0.25">
      <c r="A6997" s="447"/>
      <c r="B6997" s="55" t="str">
        <f t="shared" si="446"/>
        <v>ENERO</v>
      </c>
      <c r="C6997" s="55">
        <f t="shared" si="447"/>
        <v>1</v>
      </c>
      <c r="D6997" s="3" t="str">
        <f t="shared" si="448"/>
        <v>SÁBADO</v>
      </c>
      <c r="E6997" s="427"/>
      <c r="F6997" s="31">
        <f>IFERROR(VLOOKUP(E6997,BD!$L$2:$Q$244,2,0),0)</f>
        <v>0</v>
      </c>
      <c r="G6997" s="424"/>
      <c r="H6997" s="31">
        <f>+IFERROR(VLOOKUP(E6997,BD!$L$2:$Q$244,6,0),0)</f>
        <v>0</v>
      </c>
      <c r="I6997" s="626">
        <f>IFERROR(G6997*VLOOKUP($E6997,BD!$L$2:$Q$244,5,0),0)</f>
        <v>0</v>
      </c>
      <c r="J6997" s="3">
        <f t="shared" si="449"/>
        <v>1900</v>
      </c>
    </row>
    <row r="6998" spans="1:10" s="9" customFormat="1" x14ac:dyDescent="0.25">
      <c r="A6998" s="447"/>
      <c r="B6998" s="55" t="str">
        <f t="shared" si="446"/>
        <v>ENERO</v>
      </c>
      <c r="C6998" s="55">
        <f t="shared" si="447"/>
        <v>1</v>
      </c>
      <c r="D6998" s="3" t="str">
        <f t="shared" si="448"/>
        <v>SÁBADO</v>
      </c>
      <c r="E6998" s="427"/>
      <c r="F6998" s="31">
        <f>IFERROR(VLOOKUP(E6998,BD!$L$2:$Q$244,2,0),0)</f>
        <v>0</v>
      </c>
      <c r="G6998" s="424"/>
      <c r="H6998" s="31">
        <f>+IFERROR(VLOOKUP(E6998,BD!$L$2:$Q$244,6,0),0)</f>
        <v>0</v>
      </c>
      <c r="I6998" s="626">
        <f>IFERROR(G6998*VLOOKUP($E6998,BD!$L$2:$Q$244,5,0),0)</f>
        <v>0</v>
      </c>
      <c r="J6998" s="3">
        <f t="shared" si="449"/>
        <v>1900</v>
      </c>
    </row>
    <row r="6999" spans="1:10" s="9" customFormat="1" x14ac:dyDescent="0.25">
      <c r="A6999" s="447"/>
      <c r="B6999" s="55" t="str">
        <f t="shared" si="446"/>
        <v>ENERO</v>
      </c>
      <c r="C6999" s="55">
        <f t="shared" si="447"/>
        <v>1</v>
      </c>
      <c r="D6999" s="3" t="str">
        <f t="shared" si="448"/>
        <v>SÁBADO</v>
      </c>
      <c r="E6999" s="427"/>
      <c r="F6999" s="31">
        <f>IFERROR(VLOOKUP(E6999,BD!$L$2:$Q$244,2,0),0)</f>
        <v>0</v>
      </c>
      <c r="G6999" s="424"/>
      <c r="H6999" s="31">
        <f>+IFERROR(VLOOKUP(E6999,BD!$L$2:$Q$244,6,0),0)</f>
        <v>0</v>
      </c>
      <c r="I6999" s="626">
        <f>IFERROR(G6999*VLOOKUP($E6999,BD!$L$2:$Q$244,5,0),0)</f>
        <v>0</v>
      </c>
      <c r="J6999" s="3">
        <f t="shared" si="449"/>
        <v>1900</v>
      </c>
    </row>
    <row r="7000" spans="1:10" s="9" customFormat="1" x14ac:dyDescent="0.25">
      <c r="A7000" s="447"/>
      <c r="B7000" s="55" t="str">
        <f t="shared" si="446"/>
        <v>ENERO</v>
      </c>
      <c r="C7000" s="55">
        <f t="shared" si="447"/>
        <v>1</v>
      </c>
      <c r="D7000" s="3" t="str">
        <f t="shared" si="448"/>
        <v>SÁBADO</v>
      </c>
      <c r="E7000" s="427"/>
      <c r="F7000" s="31">
        <f>IFERROR(VLOOKUP(E7000,BD!$L$2:$Q$244,2,0),0)</f>
        <v>0</v>
      </c>
      <c r="G7000" s="424"/>
      <c r="H7000" s="31">
        <f>+IFERROR(VLOOKUP(E7000,BD!$L$2:$Q$244,6,0),0)</f>
        <v>0</v>
      </c>
      <c r="I7000" s="626">
        <f>IFERROR(G7000*VLOOKUP($E7000,BD!$L$2:$Q$244,5,0),0)</f>
        <v>0</v>
      </c>
      <c r="J7000" s="3">
        <f t="shared" si="449"/>
        <v>1900</v>
      </c>
    </row>
    <row r="7001" spans="1:10" s="9" customFormat="1" x14ac:dyDescent="0.25">
      <c r="A7001" s="447"/>
      <c r="B7001" s="55" t="str">
        <f t="shared" si="446"/>
        <v>ENERO</v>
      </c>
      <c r="C7001" s="55">
        <f t="shared" si="447"/>
        <v>1</v>
      </c>
      <c r="D7001" s="3" t="str">
        <f t="shared" si="448"/>
        <v>SÁBADO</v>
      </c>
      <c r="E7001" s="427"/>
      <c r="F7001" s="31">
        <f>IFERROR(VLOOKUP(E7001,BD!$L$2:$Q$244,2,0),0)</f>
        <v>0</v>
      </c>
      <c r="G7001" s="424"/>
      <c r="H7001" s="31">
        <f>+IFERROR(VLOOKUP(E7001,BD!$L$2:$Q$244,6,0),0)</f>
        <v>0</v>
      </c>
      <c r="I7001" s="626">
        <f>IFERROR(G7001*VLOOKUP($E7001,BD!$L$2:$Q$244,5,0),0)</f>
        <v>0</v>
      </c>
      <c r="J7001" s="3">
        <f t="shared" si="449"/>
        <v>1900</v>
      </c>
    </row>
    <row r="7002" spans="1:10" s="9" customFormat="1" x14ac:dyDescent="0.25">
      <c r="A7002" s="447"/>
      <c r="B7002" s="55" t="str">
        <f t="shared" si="446"/>
        <v>ENERO</v>
      </c>
      <c r="C7002" s="55">
        <f t="shared" si="447"/>
        <v>1</v>
      </c>
      <c r="D7002" s="3" t="str">
        <f t="shared" si="448"/>
        <v>SÁBADO</v>
      </c>
      <c r="E7002" s="427"/>
      <c r="F7002" s="31">
        <f>IFERROR(VLOOKUP(E7002,BD!$L$2:$Q$244,2,0),0)</f>
        <v>0</v>
      </c>
      <c r="G7002" s="424"/>
      <c r="H7002" s="31">
        <f>+IFERROR(VLOOKUP(E7002,BD!$L$2:$Q$244,6,0),0)</f>
        <v>0</v>
      </c>
      <c r="I7002" s="626">
        <f>IFERROR(G7002*VLOOKUP($E7002,BD!$L$2:$Q$244,5,0),0)</f>
        <v>0</v>
      </c>
      <c r="J7002" s="3">
        <f t="shared" si="449"/>
        <v>1900</v>
      </c>
    </row>
    <row r="7003" spans="1:10" s="9" customFormat="1" x14ac:dyDescent="0.25">
      <c r="A7003" s="447"/>
      <c r="B7003" s="55" t="str">
        <f t="shared" si="446"/>
        <v>ENERO</v>
      </c>
      <c r="C7003" s="55">
        <f t="shared" si="447"/>
        <v>1</v>
      </c>
      <c r="D7003" s="3" t="str">
        <f t="shared" si="448"/>
        <v>SÁBADO</v>
      </c>
      <c r="E7003" s="427"/>
      <c r="F7003" s="31">
        <f>IFERROR(VLOOKUP(E7003,BD!$L$2:$Q$244,2,0),0)</f>
        <v>0</v>
      </c>
      <c r="G7003" s="424"/>
      <c r="H7003" s="31">
        <f>+IFERROR(VLOOKUP(E7003,BD!$L$2:$Q$244,6,0),0)</f>
        <v>0</v>
      </c>
      <c r="I7003" s="626">
        <f>IFERROR(G7003*VLOOKUP($E7003,BD!$L$2:$Q$244,5,0),0)</f>
        <v>0</v>
      </c>
      <c r="J7003" s="3">
        <f t="shared" si="449"/>
        <v>1900</v>
      </c>
    </row>
    <row r="7004" spans="1:10" s="9" customFormat="1" x14ac:dyDescent="0.25">
      <c r="A7004" s="447"/>
      <c r="B7004" s="55" t="str">
        <f t="shared" si="446"/>
        <v>ENERO</v>
      </c>
      <c r="C7004" s="55">
        <f t="shared" si="447"/>
        <v>1</v>
      </c>
      <c r="D7004" s="3" t="str">
        <f t="shared" si="448"/>
        <v>SÁBADO</v>
      </c>
      <c r="E7004" s="427"/>
      <c r="F7004" s="31">
        <f>IFERROR(VLOOKUP(E7004,BD!$L$2:$Q$244,2,0),0)</f>
        <v>0</v>
      </c>
      <c r="G7004" s="424"/>
      <c r="H7004" s="31">
        <f>+IFERROR(VLOOKUP(E7004,BD!$L$2:$Q$244,6,0),0)</f>
        <v>0</v>
      </c>
      <c r="I7004" s="626">
        <f>IFERROR(G7004*VLOOKUP($E7004,BD!$L$2:$Q$244,5,0),0)</f>
        <v>0</v>
      </c>
      <c r="J7004" s="3">
        <f t="shared" si="449"/>
        <v>1900</v>
      </c>
    </row>
    <row r="7005" spans="1:10" s="9" customFormat="1" x14ac:dyDescent="0.25">
      <c r="A7005" s="447"/>
      <c r="B7005" s="55" t="str">
        <f t="shared" si="446"/>
        <v>ENERO</v>
      </c>
      <c r="C7005" s="55">
        <f t="shared" si="447"/>
        <v>1</v>
      </c>
      <c r="D7005" s="3" t="str">
        <f t="shared" si="448"/>
        <v>SÁBADO</v>
      </c>
      <c r="E7005" s="427"/>
      <c r="F7005" s="31">
        <f>IFERROR(VLOOKUP(E7005,BD!$L$2:$Q$244,2,0),0)</f>
        <v>0</v>
      </c>
      <c r="G7005" s="424"/>
      <c r="H7005" s="31">
        <f>+IFERROR(VLOOKUP(E7005,BD!$L$2:$Q$244,6,0),0)</f>
        <v>0</v>
      </c>
      <c r="I7005" s="626">
        <f>IFERROR(G7005*VLOOKUP($E7005,BD!$L$2:$Q$244,5,0),0)</f>
        <v>0</v>
      </c>
      <c r="J7005" s="3">
        <f t="shared" si="449"/>
        <v>1900</v>
      </c>
    </row>
    <row r="7006" spans="1:10" s="9" customFormat="1" x14ac:dyDescent="0.25">
      <c r="A7006" s="447"/>
      <c r="B7006" s="55" t="str">
        <f t="shared" si="446"/>
        <v>ENERO</v>
      </c>
      <c r="C7006" s="55">
        <f t="shared" si="447"/>
        <v>1</v>
      </c>
      <c r="D7006" s="3" t="str">
        <f t="shared" si="448"/>
        <v>SÁBADO</v>
      </c>
      <c r="E7006" s="427"/>
      <c r="F7006" s="31">
        <f>IFERROR(VLOOKUP(E7006,BD!$L$2:$Q$244,2,0),0)</f>
        <v>0</v>
      </c>
      <c r="G7006" s="424"/>
      <c r="H7006" s="31">
        <f>+IFERROR(VLOOKUP(E7006,BD!$L$2:$Q$244,6,0),0)</f>
        <v>0</v>
      </c>
      <c r="I7006" s="626">
        <f>IFERROR(G7006*VLOOKUP($E7006,BD!$L$2:$Q$244,5,0),0)</f>
        <v>0</v>
      </c>
      <c r="J7006" s="3">
        <f t="shared" si="449"/>
        <v>1900</v>
      </c>
    </row>
    <row r="7007" spans="1:10" s="9" customFormat="1" x14ac:dyDescent="0.25">
      <c r="A7007" s="447"/>
      <c r="B7007" s="55" t="str">
        <f t="shared" si="446"/>
        <v>ENERO</v>
      </c>
      <c r="C7007" s="55">
        <f t="shared" si="447"/>
        <v>1</v>
      </c>
      <c r="D7007" s="3" t="str">
        <f t="shared" si="448"/>
        <v>SÁBADO</v>
      </c>
      <c r="E7007" s="427"/>
      <c r="F7007" s="31">
        <f>IFERROR(VLOOKUP(E7007,BD!$L$2:$Q$244,2,0),0)</f>
        <v>0</v>
      </c>
      <c r="G7007" s="424"/>
      <c r="H7007" s="31">
        <f>+IFERROR(VLOOKUP(E7007,BD!$L$2:$Q$244,6,0),0)</f>
        <v>0</v>
      </c>
      <c r="I7007" s="626">
        <f>IFERROR(G7007*VLOOKUP($E7007,BD!$L$2:$Q$244,5,0),0)</f>
        <v>0</v>
      </c>
      <c r="J7007" s="3">
        <f t="shared" si="449"/>
        <v>1900</v>
      </c>
    </row>
    <row r="7008" spans="1:10" s="9" customFormat="1" x14ac:dyDescent="0.25">
      <c r="A7008" s="447"/>
      <c r="B7008" s="55" t="str">
        <f t="shared" si="446"/>
        <v>ENERO</v>
      </c>
      <c r="C7008" s="55">
        <f t="shared" si="447"/>
        <v>1</v>
      </c>
      <c r="D7008" s="3" t="str">
        <f t="shared" si="448"/>
        <v>SÁBADO</v>
      </c>
      <c r="E7008" s="427"/>
      <c r="F7008" s="31">
        <f>IFERROR(VLOOKUP(E7008,BD!$L$2:$Q$244,2,0),0)</f>
        <v>0</v>
      </c>
      <c r="G7008" s="424"/>
      <c r="H7008" s="31">
        <f>+IFERROR(VLOOKUP(E7008,BD!$L$2:$Q$244,6,0),0)</f>
        <v>0</v>
      </c>
      <c r="I7008" s="626">
        <f>IFERROR(G7008*VLOOKUP($E7008,BD!$L$2:$Q$244,5,0),0)</f>
        <v>0</v>
      </c>
      <c r="J7008" s="3">
        <f t="shared" si="449"/>
        <v>1900</v>
      </c>
    </row>
    <row r="7009" spans="1:10" s="9" customFormat="1" x14ac:dyDescent="0.25">
      <c r="A7009" s="447"/>
      <c r="B7009" s="55" t="str">
        <f t="shared" si="446"/>
        <v>ENERO</v>
      </c>
      <c r="C7009" s="55">
        <f t="shared" si="447"/>
        <v>1</v>
      </c>
      <c r="D7009" s="3" t="str">
        <f t="shared" si="448"/>
        <v>SÁBADO</v>
      </c>
      <c r="E7009" s="427"/>
      <c r="F7009" s="31">
        <f>IFERROR(VLOOKUP(E7009,BD!$L$2:$Q$244,2,0),0)</f>
        <v>0</v>
      </c>
      <c r="G7009" s="424"/>
      <c r="H7009" s="31">
        <f>+IFERROR(VLOOKUP(E7009,BD!$L$2:$Q$244,6,0),0)</f>
        <v>0</v>
      </c>
      <c r="I7009" s="626">
        <f>IFERROR(G7009*VLOOKUP($E7009,BD!$L$2:$Q$244,5,0),0)</f>
        <v>0</v>
      </c>
      <c r="J7009" s="3">
        <f t="shared" si="449"/>
        <v>1900</v>
      </c>
    </row>
    <row r="7010" spans="1:10" s="9" customFormat="1" x14ac:dyDescent="0.25">
      <c r="A7010" s="447"/>
      <c r="B7010" s="55" t="str">
        <f t="shared" si="446"/>
        <v>ENERO</v>
      </c>
      <c r="C7010" s="55">
        <f t="shared" si="447"/>
        <v>1</v>
      </c>
      <c r="D7010" s="3" t="str">
        <f t="shared" si="448"/>
        <v>SÁBADO</v>
      </c>
      <c r="E7010" s="427"/>
      <c r="F7010" s="31">
        <f>IFERROR(VLOOKUP(E7010,BD!$L$2:$Q$244,2,0),0)</f>
        <v>0</v>
      </c>
      <c r="G7010" s="424"/>
      <c r="H7010" s="31">
        <f>+IFERROR(VLOOKUP(E7010,BD!$L$2:$Q$244,6,0),0)</f>
        <v>0</v>
      </c>
      <c r="I7010" s="626">
        <f>IFERROR(G7010*VLOOKUP($E7010,BD!$L$2:$Q$244,5,0),0)</f>
        <v>0</v>
      </c>
      <c r="J7010" s="3">
        <f t="shared" si="449"/>
        <v>1900</v>
      </c>
    </row>
    <row r="7011" spans="1:10" s="9" customFormat="1" x14ac:dyDescent="0.25">
      <c r="A7011" s="447"/>
      <c r="B7011" s="55" t="str">
        <f t="shared" si="446"/>
        <v>ENERO</v>
      </c>
      <c r="C7011" s="55">
        <f t="shared" si="447"/>
        <v>1</v>
      </c>
      <c r="D7011" s="3" t="str">
        <f t="shared" si="448"/>
        <v>SÁBADO</v>
      </c>
      <c r="E7011" s="427"/>
      <c r="F7011" s="31">
        <f>IFERROR(VLOOKUP(E7011,BD!$L$2:$Q$244,2,0),0)</f>
        <v>0</v>
      </c>
      <c r="G7011" s="424"/>
      <c r="H7011" s="31">
        <f>+IFERROR(VLOOKUP(E7011,BD!$L$2:$Q$244,6,0),0)</f>
        <v>0</v>
      </c>
      <c r="I7011" s="626">
        <f>IFERROR(G7011*VLOOKUP($E7011,BD!$L$2:$Q$244,5,0),0)</f>
        <v>0</v>
      </c>
      <c r="J7011" s="3">
        <f t="shared" si="449"/>
        <v>1900</v>
      </c>
    </row>
    <row r="7012" spans="1:10" s="9" customFormat="1" x14ac:dyDescent="0.25">
      <c r="A7012" s="447"/>
      <c r="B7012" s="55" t="str">
        <f t="shared" si="446"/>
        <v>ENERO</v>
      </c>
      <c r="C7012" s="55">
        <f t="shared" si="447"/>
        <v>1</v>
      </c>
      <c r="D7012" s="3" t="str">
        <f t="shared" si="448"/>
        <v>SÁBADO</v>
      </c>
      <c r="E7012" s="427"/>
      <c r="F7012" s="31">
        <f>IFERROR(VLOOKUP(E7012,BD!$L$2:$Q$244,2,0),0)</f>
        <v>0</v>
      </c>
      <c r="G7012" s="424"/>
      <c r="H7012" s="31">
        <f>+IFERROR(VLOOKUP(E7012,BD!$L$2:$Q$244,6,0),0)</f>
        <v>0</v>
      </c>
      <c r="I7012" s="626">
        <f>IFERROR(G7012*VLOOKUP($E7012,BD!$L$2:$Q$244,5,0),0)</f>
        <v>0</v>
      </c>
      <c r="J7012" s="3">
        <f t="shared" si="449"/>
        <v>1900</v>
      </c>
    </row>
    <row r="7013" spans="1:10" s="9" customFormat="1" x14ac:dyDescent="0.25">
      <c r="A7013" s="447"/>
      <c r="B7013" s="55" t="str">
        <f t="shared" si="446"/>
        <v>ENERO</v>
      </c>
      <c r="C7013" s="55">
        <f t="shared" si="447"/>
        <v>1</v>
      </c>
      <c r="D7013" s="3" t="str">
        <f t="shared" si="448"/>
        <v>SÁBADO</v>
      </c>
      <c r="E7013" s="427"/>
      <c r="F7013" s="31">
        <f>IFERROR(VLOOKUP(E7013,BD!$L$2:$Q$244,2,0),0)</f>
        <v>0</v>
      </c>
      <c r="G7013" s="424"/>
      <c r="H7013" s="31">
        <f>+IFERROR(VLOOKUP(E7013,BD!$L$2:$Q$244,6,0),0)</f>
        <v>0</v>
      </c>
      <c r="I7013" s="626">
        <f>IFERROR(G7013*VLOOKUP($E7013,BD!$L$2:$Q$244,5,0),0)</f>
        <v>0</v>
      </c>
      <c r="J7013" s="3">
        <f t="shared" si="449"/>
        <v>1900</v>
      </c>
    </row>
    <row r="7014" spans="1:10" s="9" customFormat="1" x14ac:dyDescent="0.25">
      <c r="A7014" s="447"/>
      <c r="B7014" s="55" t="str">
        <f t="shared" si="446"/>
        <v>ENERO</v>
      </c>
      <c r="C7014" s="55">
        <f t="shared" si="447"/>
        <v>1</v>
      </c>
      <c r="D7014" s="3" t="str">
        <f t="shared" si="448"/>
        <v>SÁBADO</v>
      </c>
      <c r="E7014" s="427"/>
      <c r="F7014" s="31">
        <f>IFERROR(VLOOKUP(E7014,BD!$L$2:$Q$244,2,0),0)</f>
        <v>0</v>
      </c>
      <c r="G7014" s="424"/>
      <c r="H7014" s="31">
        <f>+IFERROR(VLOOKUP(E7014,BD!$L$2:$Q$244,6,0),0)</f>
        <v>0</v>
      </c>
      <c r="I7014" s="626">
        <f>IFERROR(G7014*VLOOKUP($E7014,BD!$L$2:$Q$244,5,0),0)</f>
        <v>0</v>
      </c>
      <c r="J7014" s="3">
        <f t="shared" si="449"/>
        <v>1900</v>
      </c>
    </row>
    <row r="7015" spans="1:10" s="9" customFormat="1" x14ac:dyDescent="0.25">
      <c r="A7015" s="447"/>
      <c r="B7015" s="55" t="str">
        <f t="shared" si="446"/>
        <v>ENERO</v>
      </c>
      <c r="C7015" s="55">
        <f t="shared" si="447"/>
        <v>1</v>
      </c>
      <c r="D7015" s="3" t="str">
        <f t="shared" si="448"/>
        <v>SÁBADO</v>
      </c>
      <c r="E7015" s="427"/>
      <c r="F7015" s="31">
        <f>IFERROR(VLOOKUP(E7015,BD!$L$2:$Q$244,2,0),0)</f>
        <v>0</v>
      </c>
      <c r="G7015" s="424"/>
      <c r="H7015" s="31">
        <f>+IFERROR(VLOOKUP(E7015,BD!$L$2:$Q$244,6,0),0)</f>
        <v>0</v>
      </c>
      <c r="I7015" s="626">
        <f>IFERROR(G7015*VLOOKUP($E7015,BD!$L$2:$Q$244,5,0),0)</f>
        <v>0</v>
      </c>
      <c r="J7015" s="3">
        <f t="shared" si="449"/>
        <v>1900</v>
      </c>
    </row>
    <row r="7016" spans="1:10" s="9" customFormat="1" x14ac:dyDescent="0.25">
      <c r="A7016" s="447"/>
      <c r="B7016" s="55" t="str">
        <f t="shared" si="446"/>
        <v>ENERO</v>
      </c>
      <c r="C7016" s="55">
        <f t="shared" si="447"/>
        <v>1</v>
      </c>
      <c r="D7016" s="3" t="str">
        <f t="shared" si="448"/>
        <v>SÁBADO</v>
      </c>
      <c r="E7016" s="427"/>
      <c r="F7016" s="31">
        <f>IFERROR(VLOOKUP(E7016,BD!$L$2:$Q$244,2,0),0)</f>
        <v>0</v>
      </c>
      <c r="G7016" s="424"/>
      <c r="H7016" s="31">
        <f>+IFERROR(VLOOKUP(E7016,BD!$L$2:$Q$244,6,0),0)</f>
        <v>0</v>
      </c>
      <c r="I7016" s="626">
        <f>IFERROR(G7016*VLOOKUP($E7016,BD!$L$2:$Q$244,5,0),0)</f>
        <v>0</v>
      </c>
      <c r="J7016" s="3">
        <f t="shared" si="449"/>
        <v>1900</v>
      </c>
    </row>
    <row r="7017" spans="1:10" s="9" customFormat="1" x14ac:dyDescent="0.25">
      <c r="A7017" s="447"/>
      <c r="B7017" s="55" t="str">
        <f t="shared" si="446"/>
        <v>ENERO</v>
      </c>
      <c r="C7017" s="55">
        <f t="shared" si="447"/>
        <v>1</v>
      </c>
      <c r="D7017" s="3" t="str">
        <f t="shared" si="448"/>
        <v>SÁBADO</v>
      </c>
      <c r="E7017" s="427"/>
      <c r="F7017" s="31">
        <f>IFERROR(VLOOKUP(E7017,BD!$L$2:$Q$244,2,0),0)</f>
        <v>0</v>
      </c>
      <c r="G7017" s="424"/>
      <c r="H7017" s="31">
        <f>+IFERROR(VLOOKUP(E7017,BD!$L$2:$Q$244,6,0),0)</f>
        <v>0</v>
      </c>
      <c r="I7017" s="626">
        <f>IFERROR(G7017*VLOOKUP($E7017,BD!$L$2:$Q$244,5,0),0)</f>
        <v>0</v>
      </c>
      <c r="J7017" s="3">
        <f t="shared" si="449"/>
        <v>1900</v>
      </c>
    </row>
    <row r="7018" spans="1:10" s="9" customFormat="1" x14ac:dyDescent="0.25">
      <c r="A7018" s="447"/>
      <c r="B7018" s="55" t="str">
        <f t="shared" si="446"/>
        <v>ENERO</v>
      </c>
      <c r="C7018" s="55">
        <f t="shared" si="447"/>
        <v>1</v>
      </c>
      <c r="D7018" s="3" t="str">
        <f t="shared" si="448"/>
        <v>SÁBADO</v>
      </c>
      <c r="E7018" s="427"/>
      <c r="F7018" s="31">
        <f>IFERROR(VLOOKUP(E7018,BD!$L$2:$Q$244,2,0),0)</f>
        <v>0</v>
      </c>
      <c r="G7018" s="424"/>
      <c r="H7018" s="31">
        <f>+IFERROR(VLOOKUP(E7018,BD!$L$2:$Q$244,6,0),0)</f>
        <v>0</v>
      </c>
      <c r="I7018" s="626">
        <f>IFERROR(G7018*VLOOKUP($E7018,BD!$L$2:$Q$244,5,0),0)</f>
        <v>0</v>
      </c>
      <c r="J7018" s="3">
        <f t="shared" si="449"/>
        <v>1900</v>
      </c>
    </row>
    <row r="7019" spans="1:10" s="9" customFormat="1" x14ac:dyDescent="0.25">
      <c r="A7019" s="447"/>
      <c r="B7019" s="55" t="str">
        <f t="shared" si="446"/>
        <v>ENERO</v>
      </c>
      <c r="C7019" s="55">
        <f t="shared" si="447"/>
        <v>1</v>
      </c>
      <c r="D7019" s="3" t="str">
        <f t="shared" si="448"/>
        <v>SÁBADO</v>
      </c>
      <c r="E7019" s="427"/>
      <c r="F7019" s="31">
        <f>IFERROR(VLOOKUP(E7019,BD!$L$2:$Q$244,2,0),0)</f>
        <v>0</v>
      </c>
      <c r="G7019" s="424"/>
      <c r="H7019" s="31">
        <f>+IFERROR(VLOOKUP(E7019,BD!$L$2:$Q$244,6,0),0)</f>
        <v>0</v>
      </c>
      <c r="I7019" s="626">
        <f>IFERROR(G7019*VLOOKUP($E7019,BD!$L$2:$Q$244,5,0),0)</f>
        <v>0</v>
      </c>
      <c r="J7019" s="3">
        <f t="shared" si="449"/>
        <v>1900</v>
      </c>
    </row>
    <row r="7020" spans="1:10" s="9" customFormat="1" x14ac:dyDescent="0.25">
      <c r="A7020" s="447"/>
      <c r="B7020" s="55" t="str">
        <f t="shared" si="446"/>
        <v>ENERO</v>
      </c>
      <c r="C7020" s="55">
        <f t="shared" si="447"/>
        <v>1</v>
      </c>
      <c r="D7020" s="3" t="str">
        <f t="shared" si="448"/>
        <v>SÁBADO</v>
      </c>
      <c r="E7020" s="427"/>
      <c r="F7020" s="31">
        <f>IFERROR(VLOOKUP(E7020,BD!$L$2:$Q$244,2,0),0)</f>
        <v>0</v>
      </c>
      <c r="G7020" s="424"/>
      <c r="H7020" s="31">
        <f>+IFERROR(VLOOKUP(E7020,BD!$L$2:$Q$244,6,0),0)</f>
        <v>0</v>
      </c>
      <c r="I7020" s="626">
        <f>IFERROR(G7020*VLOOKUP($E7020,BD!$L$2:$Q$244,5,0),0)</f>
        <v>0</v>
      </c>
      <c r="J7020" s="3">
        <f t="shared" si="449"/>
        <v>1900</v>
      </c>
    </row>
    <row r="7021" spans="1:10" s="9" customFormat="1" x14ac:dyDescent="0.25">
      <c r="A7021" s="447"/>
      <c r="B7021" s="55" t="str">
        <f t="shared" si="446"/>
        <v>ENERO</v>
      </c>
      <c r="C7021" s="55">
        <f t="shared" si="447"/>
        <v>1</v>
      </c>
      <c r="D7021" s="3" t="str">
        <f t="shared" si="448"/>
        <v>SÁBADO</v>
      </c>
      <c r="E7021" s="427"/>
      <c r="F7021" s="31">
        <f>IFERROR(VLOOKUP(E7021,BD!$L$2:$Q$244,2,0),0)</f>
        <v>0</v>
      </c>
      <c r="G7021" s="424"/>
      <c r="H7021" s="31">
        <f>+IFERROR(VLOOKUP(E7021,BD!$L$2:$Q$244,6,0),0)</f>
        <v>0</v>
      </c>
      <c r="I7021" s="626">
        <f>IFERROR(G7021*VLOOKUP($E7021,BD!$L$2:$Q$244,5,0),0)</f>
        <v>0</v>
      </c>
      <c r="J7021" s="3">
        <f t="shared" si="449"/>
        <v>1900</v>
      </c>
    </row>
    <row r="7022" spans="1:10" s="9" customFormat="1" x14ac:dyDescent="0.25">
      <c r="A7022" s="447"/>
      <c r="B7022" s="55" t="str">
        <f t="shared" si="446"/>
        <v>ENERO</v>
      </c>
      <c r="C7022" s="55">
        <f t="shared" si="447"/>
        <v>1</v>
      </c>
      <c r="D7022" s="3" t="str">
        <f t="shared" si="448"/>
        <v>SÁBADO</v>
      </c>
      <c r="E7022" s="427"/>
      <c r="F7022" s="31">
        <f>IFERROR(VLOOKUP(E7022,BD!$L$2:$Q$244,2,0),0)</f>
        <v>0</v>
      </c>
      <c r="G7022" s="424"/>
      <c r="H7022" s="31">
        <f>+IFERROR(VLOOKUP(E7022,BD!$L$2:$Q$244,6,0),0)</f>
        <v>0</v>
      </c>
      <c r="I7022" s="626">
        <f>IFERROR(G7022*VLOOKUP($E7022,BD!$L$2:$Q$244,5,0),0)</f>
        <v>0</v>
      </c>
      <c r="J7022" s="3">
        <f t="shared" si="449"/>
        <v>1900</v>
      </c>
    </row>
    <row r="7023" spans="1:10" s="9" customFormat="1" x14ac:dyDescent="0.25">
      <c r="A7023" s="447"/>
      <c r="B7023" s="55" t="str">
        <f t="shared" si="446"/>
        <v>ENERO</v>
      </c>
      <c r="C7023" s="55">
        <f t="shared" si="447"/>
        <v>1</v>
      </c>
      <c r="D7023" s="3" t="str">
        <f t="shared" si="448"/>
        <v>SÁBADO</v>
      </c>
      <c r="E7023" s="427"/>
      <c r="F7023" s="31">
        <f>IFERROR(VLOOKUP(E7023,BD!$L$2:$Q$244,2,0),0)</f>
        <v>0</v>
      </c>
      <c r="G7023" s="424"/>
      <c r="H7023" s="31">
        <f>+IFERROR(VLOOKUP(E7023,BD!$L$2:$Q$244,6,0),0)</f>
        <v>0</v>
      </c>
      <c r="I7023" s="626">
        <f>IFERROR(G7023*VLOOKUP($E7023,BD!$L$2:$Q$244,5,0),0)</f>
        <v>0</v>
      </c>
      <c r="J7023" s="3">
        <f t="shared" si="449"/>
        <v>1900</v>
      </c>
    </row>
    <row r="7024" spans="1:10" s="9" customFormat="1" x14ac:dyDescent="0.25">
      <c r="A7024" s="447"/>
      <c r="B7024" s="55" t="str">
        <f t="shared" si="446"/>
        <v>ENERO</v>
      </c>
      <c r="C7024" s="55">
        <f t="shared" si="447"/>
        <v>1</v>
      </c>
      <c r="D7024" s="3" t="str">
        <f t="shared" si="448"/>
        <v>SÁBADO</v>
      </c>
      <c r="E7024" s="427"/>
      <c r="F7024" s="31">
        <f>IFERROR(VLOOKUP(E7024,BD!$L$2:$Q$244,2,0),0)</f>
        <v>0</v>
      </c>
      <c r="G7024" s="424"/>
      <c r="H7024" s="31">
        <f>+IFERROR(VLOOKUP(E7024,BD!$L$2:$Q$244,6,0),0)</f>
        <v>0</v>
      </c>
      <c r="I7024" s="626">
        <f>IFERROR(G7024*VLOOKUP($E7024,BD!$L$2:$Q$244,5,0),0)</f>
        <v>0</v>
      </c>
      <c r="J7024" s="3">
        <f t="shared" si="449"/>
        <v>1900</v>
      </c>
    </row>
    <row r="7025" spans="1:10" s="9" customFormat="1" x14ac:dyDescent="0.25">
      <c r="A7025" s="447"/>
      <c r="B7025" s="55" t="str">
        <f t="shared" si="446"/>
        <v>ENERO</v>
      </c>
      <c r="C7025" s="55">
        <f t="shared" si="447"/>
        <v>1</v>
      </c>
      <c r="D7025" s="3" t="str">
        <f t="shared" si="448"/>
        <v>SÁBADO</v>
      </c>
      <c r="E7025" s="427"/>
      <c r="F7025" s="31">
        <f>IFERROR(VLOOKUP(E7025,BD!$L$2:$Q$244,2,0),0)</f>
        <v>0</v>
      </c>
      <c r="G7025" s="424"/>
      <c r="H7025" s="31">
        <f>+IFERROR(VLOOKUP(E7025,BD!$L$2:$Q$244,6,0),0)</f>
        <v>0</v>
      </c>
      <c r="I7025" s="626">
        <f>IFERROR(G7025*VLOOKUP($E7025,BD!$L$2:$Q$244,5,0),0)</f>
        <v>0</v>
      </c>
      <c r="J7025" s="3">
        <f t="shared" si="449"/>
        <v>1900</v>
      </c>
    </row>
    <row r="7026" spans="1:10" s="9" customFormat="1" x14ac:dyDescent="0.25">
      <c r="A7026" s="447"/>
      <c r="B7026" s="55" t="str">
        <f t="shared" si="446"/>
        <v>ENERO</v>
      </c>
      <c r="C7026" s="55">
        <f t="shared" si="447"/>
        <v>1</v>
      </c>
      <c r="D7026" s="3" t="str">
        <f t="shared" si="448"/>
        <v>SÁBADO</v>
      </c>
      <c r="E7026" s="427"/>
      <c r="F7026" s="31">
        <f>IFERROR(VLOOKUP(E7026,BD!$L$2:$Q$244,2,0),0)</f>
        <v>0</v>
      </c>
      <c r="G7026" s="424"/>
      <c r="H7026" s="31">
        <f>+IFERROR(VLOOKUP(E7026,BD!$L$2:$Q$244,6,0),0)</f>
        <v>0</v>
      </c>
      <c r="I7026" s="626">
        <f>IFERROR(G7026*VLOOKUP($E7026,BD!$L$2:$Q$244,5,0),0)</f>
        <v>0</v>
      </c>
      <c r="J7026" s="3">
        <f t="shared" si="449"/>
        <v>1900</v>
      </c>
    </row>
    <row r="7027" spans="1:10" s="9" customFormat="1" x14ac:dyDescent="0.25">
      <c r="A7027" s="447"/>
      <c r="B7027" s="55" t="str">
        <f t="shared" si="446"/>
        <v>ENERO</v>
      </c>
      <c r="C7027" s="55">
        <f t="shared" si="447"/>
        <v>1</v>
      </c>
      <c r="D7027" s="3" t="str">
        <f t="shared" si="448"/>
        <v>SÁBADO</v>
      </c>
      <c r="E7027" s="427"/>
      <c r="F7027" s="31">
        <f>IFERROR(VLOOKUP(E7027,BD!$L$2:$Q$244,2,0),0)</f>
        <v>0</v>
      </c>
      <c r="G7027" s="424"/>
      <c r="H7027" s="31">
        <f>+IFERROR(VLOOKUP(E7027,BD!$L$2:$Q$244,6,0),0)</f>
        <v>0</v>
      </c>
      <c r="I7027" s="626">
        <f>IFERROR(G7027*VLOOKUP($E7027,BD!$L$2:$Q$244,5,0),0)</f>
        <v>0</v>
      </c>
      <c r="J7027" s="3">
        <f t="shared" si="449"/>
        <v>1900</v>
      </c>
    </row>
    <row r="7028" spans="1:10" s="9" customFormat="1" x14ac:dyDescent="0.25">
      <c r="A7028" s="447"/>
      <c r="B7028" s="55" t="str">
        <f t="shared" si="446"/>
        <v>ENERO</v>
      </c>
      <c r="C7028" s="55">
        <f t="shared" si="447"/>
        <v>1</v>
      </c>
      <c r="D7028" s="3" t="str">
        <f t="shared" si="448"/>
        <v>SÁBADO</v>
      </c>
      <c r="E7028" s="427"/>
      <c r="F7028" s="31">
        <f>IFERROR(VLOOKUP(E7028,BD!$L$2:$Q$244,2,0),0)</f>
        <v>0</v>
      </c>
      <c r="G7028" s="424"/>
      <c r="H7028" s="31">
        <f>+IFERROR(VLOOKUP(E7028,BD!$L$2:$Q$244,6,0),0)</f>
        <v>0</v>
      </c>
      <c r="I7028" s="626">
        <f>IFERROR(G7028*VLOOKUP($E7028,BD!$L$2:$Q$244,5,0),0)</f>
        <v>0</v>
      </c>
      <c r="J7028" s="3">
        <f t="shared" si="449"/>
        <v>1900</v>
      </c>
    </row>
    <row r="7029" spans="1:10" s="9" customFormat="1" x14ac:dyDescent="0.25">
      <c r="A7029" s="447"/>
      <c r="B7029" s="55" t="str">
        <f t="shared" si="446"/>
        <v>ENERO</v>
      </c>
      <c r="C7029" s="55">
        <f t="shared" si="447"/>
        <v>1</v>
      </c>
      <c r="D7029" s="3" t="str">
        <f t="shared" si="448"/>
        <v>SÁBADO</v>
      </c>
      <c r="E7029" s="427"/>
      <c r="F7029" s="31">
        <f>IFERROR(VLOOKUP(E7029,BD!$L$2:$Q$244,2,0),0)</f>
        <v>0</v>
      </c>
      <c r="G7029" s="424"/>
      <c r="H7029" s="31">
        <f>+IFERROR(VLOOKUP(E7029,BD!$L$2:$Q$244,6,0),0)</f>
        <v>0</v>
      </c>
      <c r="I7029" s="626">
        <f>IFERROR(G7029*VLOOKUP($E7029,BD!$L$2:$Q$244,5,0),0)</f>
        <v>0</v>
      </c>
      <c r="J7029" s="3">
        <f t="shared" si="449"/>
        <v>1900</v>
      </c>
    </row>
    <row r="7030" spans="1:10" s="9" customFormat="1" x14ac:dyDescent="0.25">
      <c r="A7030" s="447"/>
      <c r="B7030" s="55" t="str">
        <f t="shared" si="446"/>
        <v>ENERO</v>
      </c>
      <c r="C7030" s="55">
        <f t="shared" si="447"/>
        <v>1</v>
      </c>
      <c r="D7030" s="3" t="str">
        <f t="shared" si="448"/>
        <v>SÁBADO</v>
      </c>
      <c r="E7030" s="427"/>
      <c r="F7030" s="31">
        <f>IFERROR(VLOOKUP(E7030,BD!$L$2:$Q$244,2,0),0)</f>
        <v>0</v>
      </c>
      <c r="G7030" s="424"/>
      <c r="H7030" s="31">
        <f>+IFERROR(VLOOKUP(E7030,BD!$L$2:$Q$244,6,0),0)</f>
        <v>0</v>
      </c>
      <c r="I7030" s="626">
        <f>IFERROR(G7030*VLOOKUP($E7030,BD!$L$2:$Q$244,5,0),0)</f>
        <v>0</v>
      </c>
      <c r="J7030" s="3">
        <f t="shared" si="449"/>
        <v>1900</v>
      </c>
    </row>
    <row r="7031" spans="1:10" s="9" customFormat="1" x14ac:dyDescent="0.25">
      <c r="A7031" s="447"/>
      <c r="B7031" s="55" t="str">
        <f t="shared" si="446"/>
        <v>ENERO</v>
      </c>
      <c r="C7031" s="55">
        <f t="shared" si="447"/>
        <v>1</v>
      </c>
      <c r="D7031" s="3" t="str">
        <f t="shared" si="448"/>
        <v>SÁBADO</v>
      </c>
      <c r="E7031" s="427"/>
      <c r="F7031" s="31">
        <f>IFERROR(VLOOKUP(E7031,BD!$L$2:$Q$244,2,0),0)</f>
        <v>0</v>
      </c>
      <c r="G7031" s="424"/>
      <c r="H7031" s="31">
        <f>+IFERROR(VLOOKUP(E7031,BD!$L$2:$Q$244,6,0),0)</f>
        <v>0</v>
      </c>
      <c r="I7031" s="626">
        <f>IFERROR(G7031*VLOOKUP($E7031,BD!$L$2:$Q$244,5,0),0)</f>
        <v>0</v>
      </c>
      <c r="J7031" s="3">
        <f t="shared" si="449"/>
        <v>1900</v>
      </c>
    </row>
    <row r="7032" spans="1:10" s="9" customFormat="1" x14ac:dyDescent="0.25">
      <c r="A7032" s="447"/>
      <c r="B7032" s="55" t="str">
        <f t="shared" si="446"/>
        <v>ENERO</v>
      </c>
      <c r="C7032" s="55">
        <f t="shared" si="447"/>
        <v>1</v>
      </c>
      <c r="D7032" s="3" t="str">
        <f t="shared" si="448"/>
        <v>SÁBADO</v>
      </c>
      <c r="E7032" s="427"/>
      <c r="F7032" s="31">
        <f>IFERROR(VLOOKUP(E7032,BD!$L$2:$Q$244,2,0),0)</f>
        <v>0</v>
      </c>
      <c r="G7032" s="424"/>
      <c r="H7032" s="31">
        <f>+IFERROR(VLOOKUP(E7032,BD!$L$2:$Q$244,6,0),0)</f>
        <v>0</v>
      </c>
      <c r="I7032" s="626">
        <f>IFERROR(G7032*VLOOKUP($E7032,BD!$L$2:$Q$244,5,0),0)</f>
        <v>0</v>
      </c>
      <c r="J7032" s="3">
        <f t="shared" si="449"/>
        <v>1900</v>
      </c>
    </row>
    <row r="7033" spans="1:10" s="9" customFormat="1" x14ac:dyDescent="0.25">
      <c r="A7033" s="447"/>
      <c r="B7033" s="55" t="str">
        <f t="shared" si="446"/>
        <v>ENERO</v>
      </c>
      <c r="C7033" s="55">
        <f t="shared" si="447"/>
        <v>1</v>
      </c>
      <c r="D7033" s="3" t="str">
        <f t="shared" si="448"/>
        <v>SÁBADO</v>
      </c>
      <c r="E7033" s="427"/>
      <c r="F7033" s="31">
        <f>IFERROR(VLOOKUP(E7033,BD!$L$2:$Q$244,2,0),0)</f>
        <v>0</v>
      </c>
      <c r="G7033" s="424"/>
      <c r="H7033" s="31">
        <f>+IFERROR(VLOOKUP(E7033,BD!$L$2:$Q$244,6,0),0)</f>
        <v>0</v>
      </c>
      <c r="I7033" s="626">
        <f>IFERROR(G7033*VLOOKUP($E7033,BD!$L$2:$Q$244,5,0),0)</f>
        <v>0</v>
      </c>
      <c r="J7033" s="3">
        <f t="shared" si="449"/>
        <v>1900</v>
      </c>
    </row>
    <row r="7034" spans="1:10" s="9" customFormat="1" x14ac:dyDescent="0.25">
      <c r="A7034" s="447"/>
      <c r="B7034" s="55" t="str">
        <f t="shared" si="446"/>
        <v>ENERO</v>
      </c>
      <c r="C7034" s="55">
        <f t="shared" si="447"/>
        <v>1</v>
      </c>
      <c r="D7034" s="3" t="str">
        <f t="shared" si="448"/>
        <v>SÁBADO</v>
      </c>
      <c r="E7034" s="427"/>
      <c r="F7034" s="31">
        <f>IFERROR(VLOOKUP(E7034,BD!$L$2:$Q$244,2,0),0)</f>
        <v>0</v>
      </c>
      <c r="G7034" s="424"/>
      <c r="H7034" s="31">
        <f>+IFERROR(VLOOKUP(E7034,BD!$L$2:$Q$244,6,0),0)</f>
        <v>0</v>
      </c>
      <c r="I7034" s="626">
        <f>IFERROR(G7034*VLOOKUP($E7034,BD!$L$2:$Q$244,5,0),0)</f>
        <v>0</v>
      </c>
      <c r="J7034" s="3">
        <f t="shared" si="449"/>
        <v>1900</v>
      </c>
    </row>
    <row r="7035" spans="1:10" s="9" customFormat="1" x14ac:dyDescent="0.25">
      <c r="A7035" s="447"/>
      <c r="B7035" s="55" t="str">
        <f t="shared" si="446"/>
        <v>ENERO</v>
      </c>
      <c r="C7035" s="55">
        <f t="shared" si="447"/>
        <v>1</v>
      </c>
      <c r="D7035" s="3" t="str">
        <f t="shared" si="448"/>
        <v>SÁBADO</v>
      </c>
      <c r="E7035" s="427"/>
      <c r="F7035" s="31">
        <f>IFERROR(VLOOKUP(E7035,BD!$L$2:$Q$244,2,0),0)</f>
        <v>0</v>
      </c>
      <c r="G7035" s="424"/>
      <c r="H7035" s="31">
        <f>+IFERROR(VLOOKUP(E7035,BD!$L$2:$Q$244,6,0),0)</f>
        <v>0</v>
      </c>
      <c r="I7035" s="626">
        <f>IFERROR(G7035*VLOOKUP($E7035,BD!$L$2:$Q$244,5,0),0)</f>
        <v>0</v>
      </c>
      <c r="J7035" s="3">
        <f t="shared" si="449"/>
        <v>1900</v>
      </c>
    </row>
    <row r="7036" spans="1:10" s="9" customFormat="1" x14ac:dyDescent="0.25">
      <c r="A7036" s="447"/>
      <c r="B7036" s="55" t="str">
        <f t="shared" si="446"/>
        <v>ENERO</v>
      </c>
      <c r="C7036" s="55">
        <f t="shared" si="447"/>
        <v>1</v>
      </c>
      <c r="D7036" s="3" t="str">
        <f t="shared" si="448"/>
        <v>SÁBADO</v>
      </c>
      <c r="E7036" s="427"/>
      <c r="F7036" s="31">
        <f>IFERROR(VLOOKUP(E7036,BD!$L$2:$Q$244,2,0),0)</f>
        <v>0</v>
      </c>
      <c r="G7036" s="424"/>
      <c r="H7036" s="31">
        <f>+IFERROR(VLOOKUP(E7036,BD!$L$2:$Q$244,6,0),0)</f>
        <v>0</v>
      </c>
      <c r="I7036" s="626">
        <f>IFERROR(G7036*VLOOKUP($E7036,BD!$L$2:$Q$244,5,0),0)</f>
        <v>0</v>
      </c>
      <c r="J7036" s="3">
        <f t="shared" si="449"/>
        <v>1900</v>
      </c>
    </row>
    <row r="7037" spans="1:10" s="9" customFormat="1" x14ac:dyDescent="0.25">
      <c r="A7037" s="447"/>
      <c r="B7037" s="55" t="str">
        <f t="shared" ref="B7037:B7100" si="450">UPPER(TEXT(A7037,"MMMM"))</f>
        <v>ENERO</v>
      </c>
      <c r="C7037" s="55">
        <f t="shared" ref="C7037:C7100" si="451">WEEKNUM(A7037,16)</f>
        <v>1</v>
      </c>
      <c r="D7037" s="3" t="str">
        <f t="shared" ref="D7037:D7100" si="452">UPPER(TEXT(A7037,"DDDD"))</f>
        <v>SÁBADO</v>
      </c>
      <c r="E7037" s="427"/>
      <c r="F7037" s="31">
        <f>IFERROR(VLOOKUP(E7037,BD!$L$2:$Q$244,2,0),0)</f>
        <v>0</v>
      </c>
      <c r="G7037" s="424"/>
      <c r="H7037" s="31">
        <f>+IFERROR(VLOOKUP(E7037,BD!$L$2:$Q$244,6,0),0)</f>
        <v>0</v>
      </c>
      <c r="I7037" s="626">
        <f>IFERROR(G7037*VLOOKUP($E7037,BD!$L$2:$Q$244,5,0),0)</f>
        <v>0</v>
      </c>
      <c r="J7037" s="3">
        <f t="shared" ref="J7037:J7100" si="453">+YEAR(A7037)</f>
        <v>1900</v>
      </c>
    </row>
    <row r="7038" spans="1:10" s="9" customFormat="1" x14ac:dyDescent="0.25">
      <c r="A7038" s="447"/>
      <c r="B7038" s="55" t="str">
        <f t="shared" si="450"/>
        <v>ENERO</v>
      </c>
      <c r="C7038" s="55">
        <f t="shared" si="451"/>
        <v>1</v>
      </c>
      <c r="D7038" s="3" t="str">
        <f t="shared" si="452"/>
        <v>SÁBADO</v>
      </c>
      <c r="E7038" s="427"/>
      <c r="F7038" s="31">
        <f>IFERROR(VLOOKUP(E7038,BD!$L$2:$Q$244,2,0),0)</f>
        <v>0</v>
      </c>
      <c r="G7038" s="424"/>
      <c r="H7038" s="31">
        <f>+IFERROR(VLOOKUP(E7038,BD!$L$2:$Q$244,6,0),0)</f>
        <v>0</v>
      </c>
      <c r="I7038" s="626">
        <f>IFERROR(G7038*VLOOKUP($E7038,BD!$L$2:$Q$244,5,0),0)</f>
        <v>0</v>
      </c>
      <c r="J7038" s="3">
        <f t="shared" si="453"/>
        <v>1900</v>
      </c>
    </row>
    <row r="7039" spans="1:10" s="9" customFormat="1" x14ac:dyDescent="0.25">
      <c r="A7039" s="447"/>
      <c r="B7039" s="55" t="str">
        <f t="shared" si="450"/>
        <v>ENERO</v>
      </c>
      <c r="C7039" s="55">
        <f t="shared" si="451"/>
        <v>1</v>
      </c>
      <c r="D7039" s="3" t="str">
        <f t="shared" si="452"/>
        <v>SÁBADO</v>
      </c>
      <c r="E7039" s="427"/>
      <c r="F7039" s="31">
        <f>IFERROR(VLOOKUP(E7039,BD!$L$2:$Q$244,2,0),0)</f>
        <v>0</v>
      </c>
      <c r="G7039" s="424"/>
      <c r="H7039" s="31">
        <f>+IFERROR(VLOOKUP(E7039,BD!$L$2:$Q$244,6,0),0)</f>
        <v>0</v>
      </c>
      <c r="I7039" s="626">
        <f>IFERROR(G7039*VLOOKUP($E7039,BD!$L$2:$Q$244,5,0),0)</f>
        <v>0</v>
      </c>
      <c r="J7039" s="3">
        <f t="shared" si="453"/>
        <v>1900</v>
      </c>
    </row>
    <row r="7040" spans="1:10" s="9" customFormat="1" x14ac:dyDescent="0.25">
      <c r="A7040" s="447"/>
      <c r="B7040" s="55" t="str">
        <f t="shared" si="450"/>
        <v>ENERO</v>
      </c>
      <c r="C7040" s="55">
        <f t="shared" si="451"/>
        <v>1</v>
      </c>
      <c r="D7040" s="3" t="str">
        <f t="shared" si="452"/>
        <v>SÁBADO</v>
      </c>
      <c r="E7040" s="427"/>
      <c r="F7040" s="31">
        <f>IFERROR(VLOOKUP(E7040,BD!$L$2:$Q$244,2,0),0)</f>
        <v>0</v>
      </c>
      <c r="G7040" s="424"/>
      <c r="H7040" s="31">
        <f>+IFERROR(VLOOKUP(E7040,BD!$L$2:$Q$244,6,0),0)</f>
        <v>0</v>
      </c>
      <c r="I7040" s="626">
        <f>IFERROR(G7040*VLOOKUP($E7040,BD!$L$2:$Q$244,5,0),0)</f>
        <v>0</v>
      </c>
      <c r="J7040" s="3">
        <f t="shared" si="453"/>
        <v>1900</v>
      </c>
    </row>
    <row r="7041" spans="1:10" s="9" customFormat="1" x14ac:dyDescent="0.25">
      <c r="A7041" s="447"/>
      <c r="B7041" s="55" t="str">
        <f t="shared" si="450"/>
        <v>ENERO</v>
      </c>
      <c r="C7041" s="55">
        <f t="shared" si="451"/>
        <v>1</v>
      </c>
      <c r="D7041" s="3" t="str">
        <f t="shared" si="452"/>
        <v>SÁBADO</v>
      </c>
      <c r="E7041" s="427"/>
      <c r="F7041" s="31">
        <f>IFERROR(VLOOKUP(E7041,BD!$L$2:$Q$244,2,0),0)</f>
        <v>0</v>
      </c>
      <c r="G7041" s="424"/>
      <c r="H7041" s="31">
        <f>+IFERROR(VLOOKUP(E7041,BD!$L$2:$Q$244,6,0),0)</f>
        <v>0</v>
      </c>
      <c r="I7041" s="626">
        <f>IFERROR(G7041*VLOOKUP($E7041,BD!$L$2:$Q$244,5,0),0)</f>
        <v>0</v>
      </c>
      <c r="J7041" s="3">
        <f t="shared" si="453"/>
        <v>1900</v>
      </c>
    </row>
    <row r="7042" spans="1:10" s="9" customFormat="1" x14ac:dyDescent="0.25">
      <c r="A7042" s="447"/>
      <c r="B7042" s="55" t="str">
        <f t="shared" si="450"/>
        <v>ENERO</v>
      </c>
      <c r="C7042" s="55">
        <f t="shared" si="451"/>
        <v>1</v>
      </c>
      <c r="D7042" s="3" t="str">
        <f t="shared" si="452"/>
        <v>SÁBADO</v>
      </c>
      <c r="E7042" s="427"/>
      <c r="F7042" s="31">
        <f>IFERROR(VLOOKUP(E7042,BD!$L$2:$Q$244,2,0),0)</f>
        <v>0</v>
      </c>
      <c r="G7042" s="424"/>
      <c r="H7042" s="31">
        <f>+IFERROR(VLOOKUP(E7042,BD!$L$2:$Q$244,6,0),0)</f>
        <v>0</v>
      </c>
      <c r="I7042" s="626">
        <f>IFERROR(G7042*VLOOKUP($E7042,BD!$L$2:$Q$244,5,0),0)</f>
        <v>0</v>
      </c>
      <c r="J7042" s="3">
        <f t="shared" si="453"/>
        <v>1900</v>
      </c>
    </row>
    <row r="7043" spans="1:10" s="9" customFormat="1" x14ac:dyDescent="0.25">
      <c r="A7043" s="447"/>
      <c r="B7043" s="55" t="str">
        <f t="shared" si="450"/>
        <v>ENERO</v>
      </c>
      <c r="C7043" s="55">
        <f t="shared" si="451"/>
        <v>1</v>
      </c>
      <c r="D7043" s="3" t="str">
        <f t="shared" si="452"/>
        <v>SÁBADO</v>
      </c>
      <c r="E7043" s="427"/>
      <c r="F7043" s="31">
        <f>IFERROR(VLOOKUP(E7043,BD!$L$2:$Q$244,2,0),0)</f>
        <v>0</v>
      </c>
      <c r="G7043" s="424"/>
      <c r="H7043" s="31">
        <f>+IFERROR(VLOOKUP(E7043,BD!$L$2:$Q$244,6,0),0)</f>
        <v>0</v>
      </c>
      <c r="I7043" s="626">
        <f>IFERROR(G7043*VLOOKUP($E7043,BD!$L$2:$Q$244,5,0),0)</f>
        <v>0</v>
      </c>
      <c r="J7043" s="3">
        <f t="shared" si="453"/>
        <v>1900</v>
      </c>
    </row>
    <row r="7044" spans="1:10" s="9" customFormat="1" x14ac:dyDescent="0.25">
      <c r="A7044" s="447"/>
      <c r="B7044" s="55" t="str">
        <f t="shared" si="450"/>
        <v>ENERO</v>
      </c>
      <c r="C7044" s="55">
        <f t="shared" si="451"/>
        <v>1</v>
      </c>
      <c r="D7044" s="3" t="str">
        <f t="shared" si="452"/>
        <v>SÁBADO</v>
      </c>
      <c r="E7044" s="427"/>
      <c r="F7044" s="31">
        <f>IFERROR(VLOOKUP(E7044,BD!$L$2:$Q$244,2,0),0)</f>
        <v>0</v>
      </c>
      <c r="G7044" s="424"/>
      <c r="H7044" s="31">
        <f>+IFERROR(VLOOKUP(E7044,BD!$L$2:$Q$244,6,0),0)</f>
        <v>0</v>
      </c>
      <c r="I7044" s="626">
        <f>IFERROR(G7044*VLOOKUP($E7044,BD!$L$2:$Q$244,5,0),0)</f>
        <v>0</v>
      </c>
      <c r="J7044" s="3">
        <f t="shared" si="453"/>
        <v>1900</v>
      </c>
    </row>
    <row r="7045" spans="1:10" s="9" customFormat="1" x14ac:dyDescent="0.25">
      <c r="A7045" s="447"/>
      <c r="B7045" s="55" t="str">
        <f t="shared" si="450"/>
        <v>ENERO</v>
      </c>
      <c r="C7045" s="55">
        <f t="shared" si="451"/>
        <v>1</v>
      </c>
      <c r="D7045" s="3" t="str">
        <f t="shared" si="452"/>
        <v>SÁBADO</v>
      </c>
      <c r="E7045" s="427"/>
      <c r="F7045" s="31">
        <f>IFERROR(VLOOKUP(E7045,BD!$L$2:$Q$244,2,0),0)</f>
        <v>0</v>
      </c>
      <c r="G7045" s="424"/>
      <c r="H7045" s="31">
        <f>+IFERROR(VLOOKUP(E7045,BD!$L$2:$Q$244,6,0),0)</f>
        <v>0</v>
      </c>
      <c r="I7045" s="626">
        <f>IFERROR(G7045*VLOOKUP($E7045,BD!$L$2:$Q$244,5,0),0)</f>
        <v>0</v>
      </c>
      <c r="J7045" s="3">
        <f t="shared" si="453"/>
        <v>1900</v>
      </c>
    </row>
    <row r="7046" spans="1:10" s="9" customFormat="1" x14ac:dyDescent="0.25">
      <c r="A7046" s="447"/>
      <c r="B7046" s="55" t="str">
        <f t="shared" si="450"/>
        <v>ENERO</v>
      </c>
      <c r="C7046" s="55">
        <f t="shared" si="451"/>
        <v>1</v>
      </c>
      <c r="D7046" s="3" t="str">
        <f t="shared" si="452"/>
        <v>SÁBADO</v>
      </c>
      <c r="E7046" s="427"/>
      <c r="F7046" s="31">
        <f>IFERROR(VLOOKUP(E7046,BD!$L$2:$Q$244,2,0),0)</f>
        <v>0</v>
      </c>
      <c r="G7046" s="424"/>
      <c r="H7046" s="31">
        <f>+IFERROR(VLOOKUP(E7046,BD!$L$2:$Q$244,6,0),0)</f>
        <v>0</v>
      </c>
      <c r="I7046" s="626">
        <f>IFERROR(G7046*VLOOKUP($E7046,BD!$L$2:$Q$244,5,0),0)</f>
        <v>0</v>
      </c>
      <c r="J7046" s="3">
        <f t="shared" si="453"/>
        <v>1900</v>
      </c>
    </row>
    <row r="7047" spans="1:10" s="9" customFormat="1" x14ac:dyDescent="0.25">
      <c r="A7047" s="447"/>
      <c r="B7047" s="55" t="str">
        <f t="shared" si="450"/>
        <v>ENERO</v>
      </c>
      <c r="C7047" s="55">
        <f t="shared" si="451"/>
        <v>1</v>
      </c>
      <c r="D7047" s="3" t="str">
        <f t="shared" si="452"/>
        <v>SÁBADO</v>
      </c>
      <c r="E7047" s="427"/>
      <c r="F7047" s="31">
        <f>IFERROR(VLOOKUP(E7047,BD!$L$2:$Q$244,2,0),0)</f>
        <v>0</v>
      </c>
      <c r="G7047" s="424"/>
      <c r="H7047" s="31">
        <f>+IFERROR(VLOOKUP(E7047,BD!$L$2:$Q$244,6,0),0)</f>
        <v>0</v>
      </c>
      <c r="I7047" s="626">
        <f>IFERROR(G7047*VLOOKUP($E7047,BD!$L$2:$Q$244,5,0),0)</f>
        <v>0</v>
      </c>
      <c r="J7047" s="3">
        <f t="shared" si="453"/>
        <v>1900</v>
      </c>
    </row>
    <row r="7048" spans="1:10" s="9" customFormat="1" x14ac:dyDescent="0.25">
      <c r="A7048" s="447"/>
      <c r="B7048" s="55" t="str">
        <f t="shared" si="450"/>
        <v>ENERO</v>
      </c>
      <c r="C7048" s="55">
        <f t="shared" si="451"/>
        <v>1</v>
      </c>
      <c r="D7048" s="3" t="str">
        <f t="shared" si="452"/>
        <v>SÁBADO</v>
      </c>
      <c r="E7048" s="427"/>
      <c r="F7048" s="31">
        <f>IFERROR(VLOOKUP(E7048,BD!$L$2:$Q$244,2,0),0)</f>
        <v>0</v>
      </c>
      <c r="G7048" s="424"/>
      <c r="H7048" s="31">
        <f>+IFERROR(VLOOKUP(E7048,BD!$L$2:$Q$244,6,0),0)</f>
        <v>0</v>
      </c>
      <c r="I7048" s="626">
        <f>IFERROR(G7048*VLOOKUP($E7048,BD!$L$2:$Q$244,5,0),0)</f>
        <v>0</v>
      </c>
      <c r="J7048" s="3">
        <f t="shared" si="453"/>
        <v>1900</v>
      </c>
    </row>
    <row r="7049" spans="1:10" s="9" customFormat="1" x14ac:dyDescent="0.25">
      <c r="A7049" s="447"/>
      <c r="B7049" s="55" t="str">
        <f t="shared" si="450"/>
        <v>ENERO</v>
      </c>
      <c r="C7049" s="55">
        <f t="shared" si="451"/>
        <v>1</v>
      </c>
      <c r="D7049" s="3" t="str">
        <f t="shared" si="452"/>
        <v>SÁBADO</v>
      </c>
      <c r="E7049" s="427"/>
      <c r="F7049" s="31">
        <f>IFERROR(VLOOKUP(E7049,BD!$L$2:$Q$244,2,0),0)</f>
        <v>0</v>
      </c>
      <c r="G7049" s="424"/>
      <c r="H7049" s="31">
        <f>+IFERROR(VLOOKUP(E7049,BD!$L$2:$Q$244,6,0),0)</f>
        <v>0</v>
      </c>
      <c r="I7049" s="626">
        <f>IFERROR(G7049*VLOOKUP($E7049,BD!$L$2:$Q$244,5,0),0)</f>
        <v>0</v>
      </c>
      <c r="J7049" s="3">
        <f t="shared" si="453"/>
        <v>1900</v>
      </c>
    </row>
    <row r="7050" spans="1:10" s="9" customFormat="1" x14ac:dyDescent="0.25">
      <c r="A7050" s="447"/>
      <c r="B7050" s="55" t="str">
        <f t="shared" si="450"/>
        <v>ENERO</v>
      </c>
      <c r="C7050" s="55">
        <f t="shared" si="451"/>
        <v>1</v>
      </c>
      <c r="D7050" s="3" t="str">
        <f t="shared" si="452"/>
        <v>SÁBADO</v>
      </c>
      <c r="E7050" s="427"/>
      <c r="F7050" s="31">
        <f>IFERROR(VLOOKUP(E7050,BD!$L$2:$Q$244,2,0),0)</f>
        <v>0</v>
      </c>
      <c r="G7050" s="424"/>
      <c r="H7050" s="31">
        <f>+IFERROR(VLOOKUP(E7050,BD!$L$2:$Q$244,6,0),0)</f>
        <v>0</v>
      </c>
      <c r="I7050" s="626">
        <f>IFERROR(G7050*VLOOKUP($E7050,BD!$L$2:$Q$244,5,0),0)</f>
        <v>0</v>
      </c>
      <c r="J7050" s="3">
        <f t="shared" si="453"/>
        <v>1900</v>
      </c>
    </row>
    <row r="7051" spans="1:10" s="9" customFormat="1" x14ac:dyDescent="0.25">
      <c r="A7051" s="447"/>
      <c r="B7051" s="55" t="str">
        <f t="shared" si="450"/>
        <v>ENERO</v>
      </c>
      <c r="C7051" s="55">
        <f t="shared" si="451"/>
        <v>1</v>
      </c>
      <c r="D7051" s="3" t="str">
        <f t="shared" si="452"/>
        <v>SÁBADO</v>
      </c>
      <c r="E7051" s="427"/>
      <c r="F7051" s="31">
        <f>IFERROR(VLOOKUP(E7051,BD!$L$2:$Q$244,2,0),0)</f>
        <v>0</v>
      </c>
      <c r="G7051" s="424"/>
      <c r="H7051" s="31">
        <f>+IFERROR(VLOOKUP(E7051,BD!$L$2:$Q$244,6,0),0)</f>
        <v>0</v>
      </c>
      <c r="I7051" s="626">
        <f>IFERROR(G7051*VLOOKUP($E7051,BD!$L$2:$Q$244,5,0),0)</f>
        <v>0</v>
      </c>
      <c r="J7051" s="3">
        <f t="shared" si="453"/>
        <v>1900</v>
      </c>
    </row>
    <row r="7052" spans="1:10" s="9" customFormat="1" x14ac:dyDescent="0.25">
      <c r="A7052" s="447"/>
      <c r="B7052" s="55" t="str">
        <f t="shared" si="450"/>
        <v>ENERO</v>
      </c>
      <c r="C7052" s="55">
        <f t="shared" si="451"/>
        <v>1</v>
      </c>
      <c r="D7052" s="3" t="str">
        <f t="shared" si="452"/>
        <v>SÁBADO</v>
      </c>
      <c r="E7052" s="427"/>
      <c r="F7052" s="31">
        <f>IFERROR(VLOOKUP(E7052,BD!$L$2:$Q$244,2,0),0)</f>
        <v>0</v>
      </c>
      <c r="G7052" s="424"/>
      <c r="H7052" s="31">
        <f>+IFERROR(VLOOKUP(E7052,BD!$L$2:$Q$244,6,0),0)</f>
        <v>0</v>
      </c>
      <c r="I7052" s="626">
        <f>IFERROR(G7052*VLOOKUP($E7052,BD!$L$2:$Q$244,5,0),0)</f>
        <v>0</v>
      </c>
      <c r="J7052" s="3">
        <f t="shared" si="453"/>
        <v>1900</v>
      </c>
    </row>
    <row r="7053" spans="1:10" s="9" customFormat="1" x14ac:dyDescent="0.25">
      <c r="A7053" s="447"/>
      <c r="B7053" s="55" t="str">
        <f t="shared" si="450"/>
        <v>ENERO</v>
      </c>
      <c r="C7053" s="55">
        <f t="shared" si="451"/>
        <v>1</v>
      </c>
      <c r="D7053" s="3" t="str">
        <f t="shared" si="452"/>
        <v>SÁBADO</v>
      </c>
      <c r="E7053" s="427"/>
      <c r="F7053" s="31">
        <f>IFERROR(VLOOKUP(E7053,BD!$L$2:$Q$244,2,0),0)</f>
        <v>0</v>
      </c>
      <c r="G7053" s="424"/>
      <c r="H7053" s="31">
        <f>+IFERROR(VLOOKUP(E7053,BD!$L$2:$Q$244,6,0),0)</f>
        <v>0</v>
      </c>
      <c r="I7053" s="626">
        <f>IFERROR(G7053*VLOOKUP($E7053,BD!$L$2:$Q$244,5,0),0)</f>
        <v>0</v>
      </c>
      <c r="J7053" s="3">
        <f t="shared" si="453"/>
        <v>1900</v>
      </c>
    </row>
    <row r="7054" spans="1:10" s="9" customFormat="1" x14ac:dyDescent="0.25">
      <c r="A7054" s="447"/>
      <c r="B7054" s="55" t="str">
        <f t="shared" si="450"/>
        <v>ENERO</v>
      </c>
      <c r="C7054" s="55">
        <f t="shared" si="451"/>
        <v>1</v>
      </c>
      <c r="D7054" s="3" t="str">
        <f t="shared" si="452"/>
        <v>SÁBADO</v>
      </c>
      <c r="E7054" s="427"/>
      <c r="F7054" s="31">
        <f>IFERROR(VLOOKUP(E7054,BD!$L$2:$Q$244,2,0),0)</f>
        <v>0</v>
      </c>
      <c r="G7054" s="424"/>
      <c r="H7054" s="31">
        <f>+IFERROR(VLOOKUP(E7054,BD!$L$2:$Q$244,6,0),0)</f>
        <v>0</v>
      </c>
      <c r="I7054" s="626">
        <f>IFERROR(G7054*VLOOKUP($E7054,BD!$L$2:$Q$244,5,0),0)</f>
        <v>0</v>
      </c>
      <c r="J7054" s="3">
        <f t="shared" si="453"/>
        <v>1900</v>
      </c>
    </row>
    <row r="7055" spans="1:10" s="9" customFormat="1" x14ac:dyDescent="0.25">
      <c r="A7055" s="447"/>
      <c r="B7055" s="55" t="str">
        <f t="shared" si="450"/>
        <v>ENERO</v>
      </c>
      <c r="C7055" s="55">
        <f t="shared" si="451"/>
        <v>1</v>
      </c>
      <c r="D7055" s="3" t="str">
        <f t="shared" si="452"/>
        <v>SÁBADO</v>
      </c>
      <c r="E7055" s="427"/>
      <c r="F7055" s="31">
        <f>IFERROR(VLOOKUP(E7055,BD!$L$2:$Q$244,2,0),0)</f>
        <v>0</v>
      </c>
      <c r="G7055" s="424"/>
      <c r="H7055" s="31">
        <f>+IFERROR(VLOOKUP(E7055,BD!$L$2:$Q$244,6,0),0)</f>
        <v>0</v>
      </c>
      <c r="I7055" s="626">
        <f>IFERROR(G7055*VLOOKUP($E7055,BD!$L$2:$Q$244,5,0),0)</f>
        <v>0</v>
      </c>
      <c r="J7055" s="3">
        <f t="shared" si="453"/>
        <v>1900</v>
      </c>
    </row>
    <row r="7056" spans="1:10" s="9" customFormat="1" x14ac:dyDescent="0.25">
      <c r="A7056" s="447"/>
      <c r="B7056" s="55" t="str">
        <f t="shared" si="450"/>
        <v>ENERO</v>
      </c>
      <c r="C7056" s="55">
        <f t="shared" si="451"/>
        <v>1</v>
      </c>
      <c r="D7056" s="3" t="str">
        <f t="shared" si="452"/>
        <v>SÁBADO</v>
      </c>
      <c r="E7056" s="427"/>
      <c r="F7056" s="31">
        <f>IFERROR(VLOOKUP(E7056,BD!$L$2:$Q$244,2,0),0)</f>
        <v>0</v>
      </c>
      <c r="G7056" s="424"/>
      <c r="H7056" s="31">
        <f>+IFERROR(VLOOKUP(E7056,BD!$L$2:$Q$244,6,0),0)</f>
        <v>0</v>
      </c>
      <c r="I7056" s="626">
        <f>IFERROR(G7056*VLOOKUP($E7056,BD!$L$2:$Q$244,5,0),0)</f>
        <v>0</v>
      </c>
      <c r="J7056" s="3">
        <f t="shared" si="453"/>
        <v>1900</v>
      </c>
    </row>
    <row r="7057" spans="1:10" s="9" customFormat="1" x14ac:dyDescent="0.25">
      <c r="A7057" s="447"/>
      <c r="B7057" s="55" t="str">
        <f t="shared" si="450"/>
        <v>ENERO</v>
      </c>
      <c r="C7057" s="55">
        <f t="shared" si="451"/>
        <v>1</v>
      </c>
      <c r="D7057" s="3" t="str">
        <f t="shared" si="452"/>
        <v>SÁBADO</v>
      </c>
      <c r="E7057" s="427"/>
      <c r="F7057" s="31">
        <f>IFERROR(VLOOKUP(E7057,BD!$L$2:$Q$244,2,0),0)</f>
        <v>0</v>
      </c>
      <c r="G7057" s="424"/>
      <c r="H7057" s="31">
        <f>+IFERROR(VLOOKUP(E7057,BD!$L$2:$Q$244,6,0),0)</f>
        <v>0</v>
      </c>
      <c r="I7057" s="626">
        <f>IFERROR(G7057*VLOOKUP($E7057,BD!$L$2:$Q$244,5,0),0)</f>
        <v>0</v>
      </c>
      <c r="J7057" s="3">
        <f t="shared" si="453"/>
        <v>1900</v>
      </c>
    </row>
    <row r="7058" spans="1:10" s="9" customFormat="1" x14ac:dyDescent="0.25">
      <c r="A7058" s="447"/>
      <c r="B7058" s="55" t="str">
        <f t="shared" si="450"/>
        <v>ENERO</v>
      </c>
      <c r="C7058" s="55">
        <f t="shared" si="451"/>
        <v>1</v>
      </c>
      <c r="D7058" s="3" t="str">
        <f t="shared" si="452"/>
        <v>SÁBADO</v>
      </c>
      <c r="E7058" s="427"/>
      <c r="F7058" s="31">
        <f>IFERROR(VLOOKUP(E7058,BD!$L$2:$Q$244,2,0),0)</f>
        <v>0</v>
      </c>
      <c r="G7058" s="424"/>
      <c r="H7058" s="31">
        <f>+IFERROR(VLOOKUP(E7058,BD!$L$2:$Q$244,6,0),0)</f>
        <v>0</v>
      </c>
      <c r="I7058" s="626">
        <f>IFERROR(G7058*VLOOKUP($E7058,BD!$L$2:$Q$244,5,0),0)</f>
        <v>0</v>
      </c>
      <c r="J7058" s="3">
        <f t="shared" si="453"/>
        <v>1900</v>
      </c>
    </row>
    <row r="7059" spans="1:10" s="9" customFormat="1" x14ac:dyDescent="0.25">
      <c r="A7059" s="447"/>
      <c r="B7059" s="55" t="str">
        <f t="shared" si="450"/>
        <v>ENERO</v>
      </c>
      <c r="C7059" s="55">
        <f t="shared" si="451"/>
        <v>1</v>
      </c>
      <c r="D7059" s="3" t="str">
        <f t="shared" si="452"/>
        <v>SÁBADO</v>
      </c>
      <c r="E7059" s="427"/>
      <c r="F7059" s="31">
        <f>IFERROR(VLOOKUP(E7059,BD!$L$2:$Q$244,2,0),0)</f>
        <v>0</v>
      </c>
      <c r="G7059" s="424"/>
      <c r="H7059" s="31">
        <f>+IFERROR(VLOOKUP(E7059,BD!$L$2:$Q$244,6,0),0)</f>
        <v>0</v>
      </c>
      <c r="I7059" s="626">
        <f>IFERROR(G7059*VLOOKUP($E7059,BD!$L$2:$Q$244,5,0),0)</f>
        <v>0</v>
      </c>
      <c r="J7059" s="3">
        <f t="shared" si="453"/>
        <v>1900</v>
      </c>
    </row>
    <row r="7060" spans="1:10" s="9" customFormat="1" x14ac:dyDescent="0.25">
      <c r="A7060" s="447"/>
      <c r="B7060" s="55" t="str">
        <f t="shared" si="450"/>
        <v>ENERO</v>
      </c>
      <c r="C7060" s="55">
        <f t="shared" si="451"/>
        <v>1</v>
      </c>
      <c r="D7060" s="3" t="str">
        <f t="shared" si="452"/>
        <v>SÁBADO</v>
      </c>
      <c r="E7060" s="427"/>
      <c r="F7060" s="31">
        <f>IFERROR(VLOOKUP(E7060,BD!$L$2:$Q$244,2,0),0)</f>
        <v>0</v>
      </c>
      <c r="G7060" s="424"/>
      <c r="H7060" s="31">
        <f>+IFERROR(VLOOKUP(E7060,BD!$L$2:$Q$244,6,0),0)</f>
        <v>0</v>
      </c>
      <c r="I7060" s="626">
        <f>IFERROR(G7060*VLOOKUP($E7060,BD!$L$2:$Q$244,5,0),0)</f>
        <v>0</v>
      </c>
      <c r="J7060" s="3">
        <f t="shared" si="453"/>
        <v>1900</v>
      </c>
    </row>
    <row r="7061" spans="1:10" s="9" customFormat="1" x14ac:dyDescent="0.25">
      <c r="A7061" s="447"/>
      <c r="B7061" s="55" t="str">
        <f t="shared" si="450"/>
        <v>ENERO</v>
      </c>
      <c r="C7061" s="55">
        <f t="shared" si="451"/>
        <v>1</v>
      </c>
      <c r="D7061" s="3" t="str">
        <f t="shared" si="452"/>
        <v>SÁBADO</v>
      </c>
      <c r="E7061" s="427"/>
      <c r="F7061" s="31">
        <f>IFERROR(VLOOKUP(E7061,BD!$L$2:$Q$244,2,0),0)</f>
        <v>0</v>
      </c>
      <c r="G7061" s="424"/>
      <c r="H7061" s="31">
        <f>+IFERROR(VLOOKUP(E7061,BD!$L$2:$Q$244,6,0),0)</f>
        <v>0</v>
      </c>
      <c r="I7061" s="626">
        <f>IFERROR(G7061*VLOOKUP($E7061,BD!$L$2:$Q$244,5,0),0)</f>
        <v>0</v>
      </c>
      <c r="J7061" s="3">
        <f t="shared" si="453"/>
        <v>1900</v>
      </c>
    </row>
    <row r="7062" spans="1:10" s="9" customFormat="1" x14ac:dyDescent="0.25">
      <c r="A7062" s="447"/>
      <c r="B7062" s="55" t="str">
        <f t="shared" si="450"/>
        <v>ENERO</v>
      </c>
      <c r="C7062" s="55">
        <f t="shared" si="451"/>
        <v>1</v>
      </c>
      <c r="D7062" s="3" t="str">
        <f t="shared" si="452"/>
        <v>SÁBADO</v>
      </c>
      <c r="E7062" s="427"/>
      <c r="F7062" s="31">
        <f>IFERROR(VLOOKUP(E7062,BD!$L$2:$Q$244,2,0),0)</f>
        <v>0</v>
      </c>
      <c r="G7062" s="424"/>
      <c r="H7062" s="31">
        <f>+IFERROR(VLOOKUP(E7062,BD!$L$2:$Q$244,6,0),0)</f>
        <v>0</v>
      </c>
      <c r="I7062" s="626">
        <f>IFERROR(G7062*VLOOKUP($E7062,BD!$L$2:$Q$244,5,0),0)</f>
        <v>0</v>
      </c>
      <c r="J7062" s="3">
        <f t="shared" si="453"/>
        <v>1900</v>
      </c>
    </row>
    <row r="7063" spans="1:10" s="9" customFormat="1" x14ac:dyDescent="0.25">
      <c r="A7063" s="447"/>
      <c r="B7063" s="55" t="str">
        <f t="shared" si="450"/>
        <v>ENERO</v>
      </c>
      <c r="C7063" s="55">
        <f t="shared" si="451"/>
        <v>1</v>
      </c>
      <c r="D7063" s="3" t="str">
        <f t="shared" si="452"/>
        <v>SÁBADO</v>
      </c>
      <c r="E7063" s="427"/>
      <c r="F7063" s="31">
        <f>IFERROR(VLOOKUP(E7063,BD!$L$2:$Q$244,2,0),0)</f>
        <v>0</v>
      </c>
      <c r="G7063" s="424"/>
      <c r="H7063" s="31">
        <f>+IFERROR(VLOOKUP(E7063,BD!$L$2:$Q$244,6,0),0)</f>
        <v>0</v>
      </c>
      <c r="I7063" s="626">
        <f>IFERROR(G7063*VLOOKUP($E7063,BD!$L$2:$Q$244,5,0),0)</f>
        <v>0</v>
      </c>
      <c r="J7063" s="3">
        <f t="shared" si="453"/>
        <v>1900</v>
      </c>
    </row>
    <row r="7064" spans="1:10" s="9" customFormat="1" x14ac:dyDescent="0.25">
      <c r="A7064" s="447"/>
      <c r="B7064" s="55" t="str">
        <f t="shared" si="450"/>
        <v>ENERO</v>
      </c>
      <c r="C7064" s="55">
        <f t="shared" si="451"/>
        <v>1</v>
      </c>
      <c r="D7064" s="3" t="str">
        <f t="shared" si="452"/>
        <v>SÁBADO</v>
      </c>
      <c r="E7064" s="427"/>
      <c r="F7064" s="31">
        <f>IFERROR(VLOOKUP(E7064,BD!$L$2:$Q$244,2,0),0)</f>
        <v>0</v>
      </c>
      <c r="G7064" s="424"/>
      <c r="H7064" s="31">
        <f>+IFERROR(VLOOKUP(E7064,BD!$L$2:$Q$244,6,0),0)</f>
        <v>0</v>
      </c>
      <c r="I7064" s="626">
        <f>IFERROR(G7064*VLOOKUP($E7064,BD!$L$2:$Q$244,5,0),0)</f>
        <v>0</v>
      </c>
      <c r="J7064" s="3">
        <f t="shared" si="453"/>
        <v>1900</v>
      </c>
    </row>
    <row r="7065" spans="1:10" s="9" customFormat="1" x14ac:dyDescent="0.25">
      <c r="A7065" s="447"/>
      <c r="B7065" s="55" t="str">
        <f t="shared" si="450"/>
        <v>ENERO</v>
      </c>
      <c r="C7065" s="55">
        <f t="shared" si="451"/>
        <v>1</v>
      </c>
      <c r="D7065" s="3" t="str">
        <f t="shared" si="452"/>
        <v>SÁBADO</v>
      </c>
      <c r="E7065" s="427"/>
      <c r="F7065" s="31">
        <f>IFERROR(VLOOKUP(E7065,BD!$L$2:$Q$244,2,0),0)</f>
        <v>0</v>
      </c>
      <c r="G7065" s="424"/>
      <c r="H7065" s="31">
        <f>+IFERROR(VLOOKUP(E7065,BD!$L$2:$Q$244,6,0),0)</f>
        <v>0</v>
      </c>
      <c r="I7065" s="626">
        <f>IFERROR(G7065*VLOOKUP($E7065,BD!$L$2:$Q$244,5,0),0)</f>
        <v>0</v>
      </c>
      <c r="J7065" s="3">
        <f t="shared" si="453"/>
        <v>1900</v>
      </c>
    </row>
    <row r="7066" spans="1:10" s="9" customFormat="1" x14ac:dyDescent="0.25">
      <c r="A7066" s="447"/>
      <c r="B7066" s="55" t="str">
        <f t="shared" si="450"/>
        <v>ENERO</v>
      </c>
      <c r="C7066" s="55">
        <f t="shared" si="451"/>
        <v>1</v>
      </c>
      <c r="D7066" s="3" t="str">
        <f t="shared" si="452"/>
        <v>SÁBADO</v>
      </c>
      <c r="E7066" s="427"/>
      <c r="F7066" s="31">
        <f>IFERROR(VLOOKUP(E7066,BD!$L$2:$Q$244,2,0),0)</f>
        <v>0</v>
      </c>
      <c r="G7066" s="424"/>
      <c r="H7066" s="31">
        <f>+IFERROR(VLOOKUP(E7066,BD!$L$2:$Q$244,6,0),0)</f>
        <v>0</v>
      </c>
      <c r="I7066" s="626">
        <f>IFERROR(G7066*VLOOKUP($E7066,BD!$L$2:$Q$244,5,0),0)</f>
        <v>0</v>
      </c>
      <c r="J7066" s="3">
        <f t="shared" si="453"/>
        <v>1900</v>
      </c>
    </row>
    <row r="7067" spans="1:10" s="9" customFormat="1" x14ac:dyDescent="0.25">
      <c r="A7067" s="447"/>
      <c r="B7067" s="55" t="str">
        <f t="shared" si="450"/>
        <v>ENERO</v>
      </c>
      <c r="C7067" s="55">
        <f t="shared" si="451"/>
        <v>1</v>
      </c>
      <c r="D7067" s="3" t="str">
        <f t="shared" si="452"/>
        <v>SÁBADO</v>
      </c>
      <c r="E7067" s="427"/>
      <c r="F7067" s="31">
        <f>IFERROR(VLOOKUP(E7067,BD!$L$2:$Q$244,2,0),0)</f>
        <v>0</v>
      </c>
      <c r="G7067" s="424"/>
      <c r="H7067" s="31">
        <f>+IFERROR(VLOOKUP(E7067,BD!$L$2:$Q$244,6,0),0)</f>
        <v>0</v>
      </c>
      <c r="I7067" s="626">
        <f>IFERROR(G7067*VLOOKUP($E7067,BD!$L$2:$Q$244,5,0),0)</f>
        <v>0</v>
      </c>
      <c r="J7067" s="3">
        <f t="shared" si="453"/>
        <v>1900</v>
      </c>
    </row>
    <row r="7068" spans="1:10" s="9" customFormat="1" x14ac:dyDescent="0.25">
      <c r="A7068" s="447"/>
      <c r="B7068" s="55" t="str">
        <f t="shared" si="450"/>
        <v>ENERO</v>
      </c>
      <c r="C7068" s="55">
        <f t="shared" si="451"/>
        <v>1</v>
      </c>
      <c r="D7068" s="3" t="str">
        <f t="shared" si="452"/>
        <v>SÁBADO</v>
      </c>
      <c r="E7068" s="427"/>
      <c r="F7068" s="31">
        <f>IFERROR(VLOOKUP(E7068,BD!$L$2:$Q$244,2,0),0)</f>
        <v>0</v>
      </c>
      <c r="G7068" s="424"/>
      <c r="H7068" s="31">
        <f>+IFERROR(VLOOKUP(E7068,BD!$L$2:$Q$244,6,0),0)</f>
        <v>0</v>
      </c>
      <c r="I7068" s="626">
        <f>IFERROR(G7068*VLOOKUP($E7068,BD!$L$2:$Q$244,5,0),0)</f>
        <v>0</v>
      </c>
      <c r="J7068" s="3">
        <f t="shared" si="453"/>
        <v>1900</v>
      </c>
    </row>
    <row r="7069" spans="1:10" s="9" customFormat="1" x14ac:dyDescent="0.25">
      <c r="A7069" s="447"/>
      <c r="B7069" s="55" t="str">
        <f t="shared" si="450"/>
        <v>ENERO</v>
      </c>
      <c r="C7069" s="55">
        <f t="shared" si="451"/>
        <v>1</v>
      </c>
      <c r="D7069" s="3" t="str">
        <f t="shared" si="452"/>
        <v>SÁBADO</v>
      </c>
      <c r="E7069" s="427"/>
      <c r="F7069" s="31">
        <f>IFERROR(VLOOKUP(E7069,BD!$L$2:$Q$244,2,0),0)</f>
        <v>0</v>
      </c>
      <c r="G7069" s="424"/>
      <c r="H7069" s="31">
        <f>+IFERROR(VLOOKUP(E7069,BD!$L$2:$Q$244,6,0),0)</f>
        <v>0</v>
      </c>
      <c r="I7069" s="626">
        <f>IFERROR(G7069*VLOOKUP($E7069,BD!$L$2:$Q$244,5,0),0)</f>
        <v>0</v>
      </c>
      <c r="J7069" s="3">
        <f t="shared" si="453"/>
        <v>1900</v>
      </c>
    </row>
    <row r="7070" spans="1:10" s="9" customFormat="1" x14ac:dyDescent="0.25">
      <c r="A7070" s="447"/>
      <c r="B7070" s="55" t="str">
        <f t="shared" si="450"/>
        <v>ENERO</v>
      </c>
      <c r="C7070" s="55">
        <f t="shared" si="451"/>
        <v>1</v>
      </c>
      <c r="D7070" s="3" t="str">
        <f t="shared" si="452"/>
        <v>SÁBADO</v>
      </c>
      <c r="E7070" s="427"/>
      <c r="F7070" s="31">
        <f>IFERROR(VLOOKUP(E7070,BD!$L$2:$Q$244,2,0),0)</f>
        <v>0</v>
      </c>
      <c r="G7070" s="424"/>
      <c r="H7070" s="31">
        <f>+IFERROR(VLOOKUP(E7070,BD!$L$2:$Q$244,6,0),0)</f>
        <v>0</v>
      </c>
      <c r="I7070" s="626">
        <f>IFERROR(G7070*VLOOKUP($E7070,BD!$L$2:$Q$244,5,0),0)</f>
        <v>0</v>
      </c>
      <c r="J7070" s="3">
        <f t="shared" si="453"/>
        <v>1900</v>
      </c>
    </row>
    <row r="7071" spans="1:10" s="9" customFormat="1" x14ac:dyDescent="0.25">
      <c r="A7071" s="447"/>
      <c r="B7071" s="55" t="str">
        <f t="shared" si="450"/>
        <v>ENERO</v>
      </c>
      <c r="C7071" s="55">
        <f t="shared" si="451"/>
        <v>1</v>
      </c>
      <c r="D7071" s="3" t="str">
        <f t="shared" si="452"/>
        <v>SÁBADO</v>
      </c>
      <c r="E7071" s="427"/>
      <c r="F7071" s="31">
        <f>IFERROR(VLOOKUP(E7071,BD!$L$2:$Q$244,2,0),0)</f>
        <v>0</v>
      </c>
      <c r="G7071" s="424"/>
      <c r="H7071" s="31">
        <f>+IFERROR(VLOOKUP(E7071,BD!$L$2:$Q$244,6,0),0)</f>
        <v>0</v>
      </c>
      <c r="I7071" s="626">
        <f>IFERROR(G7071*VLOOKUP($E7071,BD!$L$2:$Q$244,5,0),0)</f>
        <v>0</v>
      </c>
      <c r="J7071" s="3">
        <f t="shared" si="453"/>
        <v>1900</v>
      </c>
    </row>
    <row r="7072" spans="1:10" s="9" customFormat="1" x14ac:dyDescent="0.25">
      <c r="A7072" s="447"/>
      <c r="B7072" s="55" t="str">
        <f t="shared" si="450"/>
        <v>ENERO</v>
      </c>
      <c r="C7072" s="55">
        <f t="shared" si="451"/>
        <v>1</v>
      </c>
      <c r="D7072" s="3" t="str">
        <f t="shared" si="452"/>
        <v>SÁBADO</v>
      </c>
      <c r="E7072" s="427"/>
      <c r="F7072" s="31">
        <f>IFERROR(VLOOKUP(E7072,BD!$L$2:$Q$244,2,0),0)</f>
        <v>0</v>
      </c>
      <c r="G7072" s="424"/>
      <c r="H7072" s="31">
        <f>+IFERROR(VLOOKUP(E7072,BD!$L$2:$Q$244,6,0),0)</f>
        <v>0</v>
      </c>
      <c r="I7072" s="626">
        <f>IFERROR(G7072*VLOOKUP($E7072,BD!$L$2:$Q$244,5,0),0)</f>
        <v>0</v>
      </c>
      <c r="J7072" s="3">
        <f t="shared" si="453"/>
        <v>1900</v>
      </c>
    </row>
    <row r="7073" spans="1:10" s="9" customFormat="1" x14ac:dyDescent="0.25">
      <c r="A7073" s="447"/>
      <c r="B7073" s="55" t="str">
        <f t="shared" si="450"/>
        <v>ENERO</v>
      </c>
      <c r="C7073" s="55">
        <f t="shared" si="451"/>
        <v>1</v>
      </c>
      <c r="D7073" s="3" t="str">
        <f t="shared" si="452"/>
        <v>SÁBADO</v>
      </c>
      <c r="E7073" s="427"/>
      <c r="F7073" s="31">
        <f>IFERROR(VLOOKUP(E7073,BD!$L$2:$Q$244,2,0),0)</f>
        <v>0</v>
      </c>
      <c r="G7073" s="424"/>
      <c r="H7073" s="31">
        <f>+IFERROR(VLOOKUP(E7073,BD!$L$2:$Q$244,6,0),0)</f>
        <v>0</v>
      </c>
      <c r="I7073" s="626">
        <f>IFERROR(G7073*VLOOKUP($E7073,BD!$L$2:$Q$244,5,0),0)</f>
        <v>0</v>
      </c>
      <c r="J7073" s="3">
        <f t="shared" si="453"/>
        <v>1900</v>
      </c>
    </row>
    <row r="7074" spans="1:10" s="9" customFormat="1" x14ac:dyDescent="0.25">
      <c r="A7074" s="447"/>
      <c r="B7074" s="55" t="str">
        <f t="shared" si="450"/>
        <v>ENERO</v>
      </c>
      <c r="C7074" s="55">
        <f t="shared" si="451"/>
        <v>1</v>
      </c>
      <c r="D7074" s="3" t="str">
        <f t="shared" si="452"/>
        <v>SÁBADO</v>
      </c>
      <c r="E7074" s="427"/>
      <c r="F7074" s="31">
        <f>IFERROR(VLOOKUP(E7074,BD!$L$2:$Q$244,2,0),0)</f>
        <v>0</v>
      </c>
      <c r="G7074" s="424"/>
      <c r="H7074" s="31">
        <f>+IFERROR(VLOOKUP(E7074,BD!$L$2:$Q$244,6,0),0)</f>
        <v>0</v>
      </c>
      <c r="I7074" s="626">
        <f>IFERROR(G7074*VLOOKUP($E7074,BD!$L$2:$Q$244,5,0),0)</f>
        <v>0</v>
      </c>
      <c r="J7074" s="3">
        <f t="shared" si="453"/>
        <v>1900</v>
      </c>
    </row>
    <row r="7075" spans="1:10" s="9" customFormat="1" x14ac:dyDescent="0.25">
      <c r="A7075" s="447"/>
      <c r="B7075" s="55" t="str">
        <f t="shared" si="450"/>
        <v>ENERO</v>
      </c>
      <c r="C7075" s="55">
        <f t="shared" si="451"/>
        <v>1</v>
      </c>
      <c r="D7075" s="3" t="str">
        <f t="shared" si="452"/>
        <v>SÁBADO</v>
      </c>
      <c r="E7075" s="427"/>
      <c r="F7075" s="31">
        <f>IFERROR(VLOOKUP(E7075,BD!$L$2:$Q$244,2,0),0)</f>
        <v>0</v>
      </c>
      <c r="G7075" s="424"/>
      <c r="H7075" s="31">
        <f>+IFERROR(VLOOKUP(E7075,BD!$L$2:$Q$244,6,0),0)</f>
        <v>0</v>
      </c>
      <c r="I7075" s="626">
        <f>IFERROR(G7075*VLOOKUP($E7075,BD!$L$2:$Q$244,5,0),0)</f>
        <v>0</v>
      </c>
      <c r="J7075" s="3">
        <f t="shared" si="453"/>
        <v>1900</v>
      </c>
    </row>
    <row r="7076" spans="1:10" s="9" customFormat="1" x14ac:dyDescent="0.25">
      <c r="A7076" s="447"/>
      <c r="B7076" s="55" t="str">
        <f t="shared" si="450"/>
        <v>ENERO</v>
      </c>
      <c r="C7076" s="55">
        <f t="shared" si="451"/>
        <v>1</v>
      </c>
      <c r="D7076" s="3" t="str">
        <f t="shared" si="452"/>
        <v>SÁBADO</v>
      </c>
      <c r="E7076" s="427"/>
      <c r="F7076" s="31">
        <f>IFERROR(VLOOKUP(E7076,BD!$L$2:$Q$244,2,0),0)</f>
        <v>0</v>
      </c>
      <c r="G7076" s="424"/>
      <c r="H7076" s="31">
        <f>+IFERROR(VLOOKUP(E7076,BD!$L$2:$Q$244,6,0),0)</f>
        <v>0</v>
      </c>
      <c r="I7076" s="626">
        <f>IFERROR(G7076*VLOOKUP($E7076,BD!$L$2:$Q$244,5,0),0)</f>
        <v>0</v>
      </c>
      <c r="J7076" s="3">
        <f t="shared" si="453"/>
        <v>1900</v>
      </c>
    </row>
    <row r="7077" spans="1:10" s="9" customFormat="1" x14ac:dyDescent="0.25">
      <c r="A7077" s="447"/>
      <c r="B7077" s="55" t="str">
        <f t="shared" si="450"/>
        <v>ENERO</v>
      </c>
      <c r="C7077" s="55">
        <f t="shared" si="451"/>
        <v>1</v>
      </c>
      <c r="D7077" s="3" t="str">
        <f t="shared" si="452"/>
        <v>SÁBADO</v>
      </c>
      <c r="E7077" s="427"/>
      <c r="F7077" s="31">
        <f>IFERROR(VLOOKUP(E7077,BD!$L$2:$Q$244,2,0),0)</f>
        <v>0</v>
      </c>
      <c r="G7077" s="424"/>
      <c r="H7077" s="31">
        <f>+IFERROR(VLOOKUP(E7077,BD!$L$2:$Q$244,6,0),0)</f>
        <v>0</v>
      </c>
      <c r="I7077" s="626">
        <f>IFERROR(G7077*VLOOKUP($E7077,BD!$L$2:$Q$244,5,0),0)</f>
        <v>0</v>
      </c>
      <c r="J7077" s="3">
        <f t="shared" si="453"/>
        <v>1900</v>
      </c>
    </row>
    <row r="7078" spans="1:10" s="9" customFormat="1" x14ac:dyDescent="0.25">
      <c r="A7078" s="447"/>
      <c r="B7078" s="55" t="str">
        <f t="shared" si="450"/>
        <v>ENERO</v>
      </c>
      <c r="C7078" s="55">
        <f t="shared" si="451"/>
        <v>1</v>
      </c>
      <c r="D7078" s="3" t="str">
        <f t="shared" si="452"/>
        <v>SÁBADO</v>
      </c>
      <c r="E7078" s="427"/>
      <c r="F7078" s="31">
        <f>IFERROR(VLOOKUP(E7078,BD!$L$2:$Q$244,2,0),0)</f>
        <v>0</v>
      </c>
      <c r="G7078" s="424"/>
      <c r="H7078" s="31">
        <f>+IFERROR(VLOOKUP(E7078,BD!$L$2:$Q$244,6,0),0)</f>
        <v>0</v>
      </c>
      <c r="I7078" s="626">
        <f>IFERROR(G7078*VLOOKUP($E7078,BD!$L$2:$Q$244,5,0),0)</f>
        <v>0</v>
      </c>
      <c r="J7078" s="3">
        <f t="shared" si="453"/>
        <v>1900</v>
      </c>
    </row>
    <row r="7079" spans="1:10" s="9" customFormat="1" x14ac:dyDescent="0.25">
      <c r="A7079" s="447"/>
      <c r="B7079" s="55" t="str">
        <f t="shared" si="450"/>
        <v>ENERO</v>
      </c>
      <c r="C7079" s="55">
        <f t="shared" si="451"/>
        <v>1</v>
      </c>
      <c r="D7079" s="3" t="str">
        <f t="shared" si="452"/>
        <v>SÁBADO</v>
      </c>
      <c r="E7079" s="427"/>
      <c r="F7079" s="31">
        <f>IFERROR(VLOOKUP(E7079,BD!$L$2:$Q$244,2,0),0)</f>
        <v>0</v>
      </c>
      <c r="G7079" s="424"/>
      <c r="H7079" s="31">
        <f>+IFERROR(VLOOKUP(E7079,BD!$L$2:$Q$244,6,0),0)</f>
        <v>0</v>
      </c>
      <c r="I7079" s="626">
        <f>IFERROR(G7079*VLOOKUP($E7079,BD!$L$2:$Q$244,5,0),0)</f>
        <v>0</v>
      </c>
      <c r="J7079" s="3">
        <f t="shared" si="453"/>
        <v>1900</v>
      </c>
    </row>
    <row r="7080" spans="1:10" s="9" customFormat="1" x14ac:dyDescent="0.25">
      <c r="A7080" s="447"/>
      <c r="B7080" s="55" t="str">
        <f t="shared" si="450"/>
        <v>ENERO</v>
      </c>
      <c r="C7080" s="55">
        <f t="shared" si="451"/>
        <v>1</v>
      </c>
      <c r="D7080" s="3" t="str">
        <f t="shared" si="452"/>
        <v>SÁBADO</v>
      </c>
      <c r="E7080" s="427"/>
      <c r="F7080" s="31">
        <f>IFERROR(VLOOKUP(E7080,BD!$L$2:$Q$244,2,0),0)</f>
        <v>0</v>
      </c>
      <c r="G7080" s="424"/>
      <c r="H7080" s="31">
        <f>+IFERROR(VLOOKUP(E7080,BD!$L$2:$Q$244,6,0),0)</f>
        <v>0</v>
      </c>
      <c r="I7080" s="626">
        <f>IFERROR(G7080*VLOOKUP($E7080,BD!$L$2:$Q$244,5,0),0)</f>
        <v>0</v>
      </c>
      <c r="J7080" s="3">
        <f t="shared" si="453"/>
        <v>1900</v>
      </c>
    </row>
    <row r="7081" spans="1:10" s="9" customFormat="1" x14ac:dyDescent="0.25">
      <c r="A7081" s="447"/>
      <c r="B7081" s="55" t="str">
        <f t="shared" si="450"/>
        <v>ENERO</v>
      </c>
      <c r="C7081" s="55">
        <f t="shared" si="451"/>
        <v>1</v>
      </c>
      <c r="D7081" s="3" t="str">
        <f t="shared" si="452"/>
        <v>SÁBADO</v>
      </c>
      <c r="E7081" s="427"/>
      <c r="F7081" s="31">
        <f>IFERROR(VLOOKUP(E7081,BD!$L$2:$Q$244,2,0),0)</f>
        <v>0</v>
      </c>
      <c r="G7081" s="424"/>
      <c r="H7081" s="31">
        <f>+IFERROR(VLOOKUP(E7081,BD!$L$2:$Q$244,6,0),0)</f>
        <v>0</v>
      </c>
      <c r="I7081" s="626">
        <f>IFERROR(G7081*VLOOKUP($E7081,BD!$L$2:$Q$244,5,0),0)</f>
        <v>0</v>
      </c>
      <c r="J7081" s="3">
        <f t="shared" si="453"/>
        <v>1900</v>
      </c>
    </row>
    <row r="7082" spans="1:10" s="9" customFormat="1" x14ac:dyDescent="0.25">
      <c r="A7082" s="447"/>
      <c r="B7082" s="55" t="str">
        <f t="shared" si="450"/>
        <v>ENERO</v>
      </c>
      <c r="C7082" s="55">
        <f t="shared" si="451"/>
        <v>1</v>
      </c>
      <c r="D7082" s="3" t="str">
        <f t="shared" si="452"/>
        <v>SÁBADO</v>
      </c>
      <c r="E7082" s="427"/>
      <c r="F7082" s="31">
        <f>IFERROR(VLOOKUP(E7082,BD!$L$2:$Q$244,2,0),0)</f>
        <v>0</v>
      </c>
      <c r="G7082" s="424"/>
      <c r="H7082" s="31">
        <f>+IFERROR(VLOOKUP(E7082,BD!$L$2:$Q$244,6,0),0)</f>
        <v>0</v>
      </c>
      <c r="I7082" s="626">
        <f>IFERROR(G7082*VLOOKUP($E7082,BD!$L$2:$Q$244,5,0),0)</f>
        <v>0</v>
      </c>
      <c r="J7082" s="3">
        <f t="shared" si="453"/>
        <v>1900</v>
      </c>
    </row>
    <row r="7083" spans="1:10" s="9" customFormat="1" x14ac:dyDescent="0.25">
      <c r="A7083" s="447"/>
      <c r="B7083" s="55" t="str">
        <f t="shared" si="450"/>
        <v>ENERO</v>
      </c>
      <c r="C7083" s="55">
        <f t="shared" si="451"/>
        <v>1</v>
      </c>
      <c r="D7083" s="3" t="str">
        <f t="shared" si="452"/>
        <v>SÁBADO</v>
      </c>
      <c r="E7083" s="427"/>
      <c r="F7083" s="31">
        <f>IFERROR(VLOOKUP(E7083,BD!$L$2:$Q$244,2,0),0)</f>
        <v>0</v>
      </c>
      <c r="G7083" s="424"/>
      <c r="H7083" s="31">
        <f>+IFERROR(VLOOKUP(E7083,BD!$L$2:$Q$244,6,0),0)</f>
        <v>0</v>
      </c>
      <c r="I7083" s="626">
        <f>IFERROR(G7083*VLOOKUP($E7083,BD!$L$2:$Q$244,5,0),0)</f>
        <v>0</v>
      </c>
      <c r="J7083" s="3">
        <f t="shared" si="453"/>
        <v>1900</v>
      </c>
    </row>
    <row r="7084" spans="1:10" s="9" customFormat="1" x14ac:dyDescent="0.25">
      <c r="A7084" s="447"/>
      <c r="B7084" s="55" t="str">
        <f t="shared" si="450"/>
        <v>ENERO</v>
      </c>
      <c r="C7084" s="55">
        <f t="shared" si="451"/>
        <v>1</v>
      </c>
      <c r="D7084" s="3" t="str">
        <f t="shared" si="452"/>
        <v>SÁBADO</v>
      </c>
      <c r="E7084" s="427"/>
      <c r="F7084" s="31">
        <f>IFERROR(VLOOKUP(E7084,BD!$L$2:$Q$244,2,0),0)</f>
        <v>0</v>
      </c>
      <c r="G7084" s="424"/>
      <c r="H7084" s="31">
        <f>+IFERROR(VLOOKUP(E7084,BD!$L$2:$Q$244,6,0),0)</f>
        <v>0</v>
      </c>
      <c r="I7084" s="626">
        <f>IFERROR(G7084*VLOOKUP($E7084,BD!$L$2:$Q$244,5,0),0)</f>
        <v>0</v>
      </c>
      <c r="J7084" s="3">
        <f t="shared" si="453"/>
        <v>1900</v>
      </c>
    </row>
    <row r="7085" spans="1:10" s="9" customFormat="1" x14ac:dyDescent="0.25">
      <c r="A7085" s="447"/>
      <c r="B7085" s="55" t="str">
        <f t="shared" si="450"/>
        <v>ENERO</v>
      </c>
      <c r="C7085" s="55">
        <f t="shared" si="451"/>
        <v>1</v>
      </c>
      <c r="D7085" s="3" t="str">
        <f t="shared" si="452"/>
        <v>SÁBADO</v>
      </c>
      <c r="E7085" s="427"/>
      <c r="F7085" s="31">
        <f>IFERROR(VLOOKUP(E7085,BD!$L$2:$Q$244,2,0),0)</f>
        <v>0</v>
      </c>
      <c r="G7085" s="424"/>
      <c r="H7085" s="31">
        <f>+IFERROR(VLOOKUP(E7085,BD!$L$2:$Q$244,6,0),0)</f>
        <v>0</v>
      </c>
      <c r="I7085" s="626">
        <f>IFERROR(G7085*VLOOKUP($E7085,BD!$L$2:$Q$244,5,0),0)</f>
        <v>0</v>
      </c>
      <c r="J7085" s="3">
        <f t="shared" si="453"/>
        <v>1900</v>
      </c>
    </row>
    <row r="7086" spans="1:10" s="9" customFormat="1" x14ac:dyDescent="0.25">
      <c r="A7086" s="447"/>
      <c r="B7086" s="55" t="str">
        <f t="shared" si="450"/>
        <v>ENERO</v>
      </c>
      <c r="C7086" s="55">
        <f t="shared" si="451"/>
        <v>1</v>
      </c>
      <c r="D7086" s="3" t="str">
        <f t="shared" si="452"/>
        <v>SÁBADO</v>
      </c>
      <c r="E7086" s="427"/>
      <c r="F7086" s="31">
        <f>IFERROR(VLOOKUP(E7086,BD!$L$2:$Q$244,2,0),0)</f>
        <v>0</v>
      </c>
      <c r="G7086" s="424"/>
      <c r="H7086" s="31">
        <f>+IFERROR(VLOOKUP(E7086,BD!$L$2:$Q$244,6,0),0)</f>
        <v>0</v>
      </c>
      <c r="I7086" s="626">
        <f>IFERROR(G7086*VLOOKUP($E7086,BD!$L$2:$Q$244,5,0),0)</f>
        <v>0</v>
      </c>
      <c r="J7086" s="3">
        <f t="shared" si="453"/>
        <v>1900</v>
      </c>
    </row>
    <row r="7087" spans="1:10" s="9" customFormat="1" x14ac:dyDescent="0.25">
      <c r="A7087" s="447"/>
      <c r="B7087" s="55" t="str">
        <f t="shared" si="450"/>
        <v>ENERO</v>
      </c>
      <c r="C7087" s="55">
        <f t="shared" si="451"/>
        <v>1</v>
      </c>
      <c r="D7087" s="3" t="str">
        <f t="shared" si="452"/>
        <v>SÁBADO</v>
      </c>
      <c r="E7087" s="427"/>
      <c r="F7087" s="31">
        <f>IFERROR(VLOOKUP(E7087,BD!$L$2:$Q$244,2,0),0)</f>
        <v>0</v>
      </c>
      <c r="G7087" s="424"/>
      <c r="H7087" s="31">
        <f>+IFERROR(VLOOKUP(E7087,BD!$L$2:$Q$244,6,0),0)</f>
        <v>0</v>
      </c>
      <c r="I7087" s="626">
        <f>IFERROR(G7087*VLOOKUP($E7087,BD!$L$2:$Q$244,5,0),0)</f>
        <v>0</v>
      </c>
      <c r="J7087" s="3">
        <f t="shared" si="453"/>
        <v>1900</v>
      </c>
    </row>
    <row r="7088" spans="1:10" s="9" customFormat="1" x14ac:dyDescent="0.25">
      <c r="A7088" s="447"/>
      <c r="B7088" s="55" t="str">
        <f t="shared" si="450"/>
        <v>ENERO</v>
      </c>
      <c r="C7088" s="55">
        <f t="shared" si="451"/>
        <v>1</v>
      </c>
      <c r="D7088" s="3" t="str">
        <f t="shared" si="452"/>
        <v>SÁBADO</v>
      </c>
      <c r="E7088" s="427"/>
      <c r="F7088" s="31">
        <f>IFERROR(VLOOKUP(E7088,BD!$L$2:$Q$244,2,0),0)</f>
        <v>0</v>
      </c>
      <c r="G7088" s="424"/>
      <c r="H7088" s="31">
        <f>+IFERROR(VLOOKUP(E7088,BD!$L$2:$Q$244,6,0),0)</f>
        <v>0</v>
      </c>
      <c r="I7088" s="626">
        <f>IFERROR(G7088*VLOOKUP($E7088,BD!$L$2:$Q$244,5,0),0)</f>
        <v>0</v>
      </c>
      <c r="J7088" s="3">
        <f t="shared" si="453"/>
        <v>1900</v>
      </c>
    </row>
    <row r="7089" spans="1:10" s="9" customFormat="1" x14ac:dyDescent="0.25">
      <c r="A7089" s="447"/>
      <c r="B7089" s="55" t="str">
        <f t="shared" si="450"/>
        <v>ENERO</v>
      </c>
      <c r="C7089" s="55">
        <f t="shared" si="451"/>
        <v>1</v>
      </c>
      <c r="D7089" s="3" t="str">
        <f t="shared" si="452"/>
        <v>SÁBADO</v>
      </c>
      <c r="E7089" s="427"/>
      <c r="F7089" s="31">
        <f>IFERROR(VLOOKUP(E7089,BD!$L$2:$Q$244,2,0),0)</f>
        <v>0</v>
      </c>
      <c r="G7089" s="424"/>
      <c r="H7089" s="31">
        <f>+IFERROR(VLOOKUP(E7089,BD!$L$2:$Q$244,6,0),0)</f>
        <v>0</v>
      </c>
      <c r="I7089" s="626">
        <f>IFERROR(G7089*VLOOKUP($E7089,BD!$L$2:$Q$244,5,0),0)</f>
        <v>0</v>
      </c>
      <c r="J7089" s="3">
        <f t="shared" si="453"/>
        <v>1900</v>
      </c>
    </row>
    <row r="7090" spans="1:10" s="9" customFormat="1" x14ac:dyDescent="0.25">
      <c r="A7090" s="447"/>
      <c r="B7090" s="55" t="str">
        <f t="shared" si="450"/>
        <v>ENERO</v>
      </c>
      <c r="C7090" s="55">
        <f t="shared" si="451"/>
        <v>1</v>
      </c>
      <c r="D7090" s="3" t="str">
        <f t="shared" si="452"/>
        <v>SÁBADO</v>
      </c>
      <c r="E7090" s="427"/>
      <c r="F7090" s="31">
        <f>IFERROR(VLOOKUP(E7090,BD!$L$2:$Q$244,2,0),0)</f>
        <v>0</v>
      </c>
      <c r="G7090" s="424"/>
      <c r="H7090" s="31">
        <f>+IFERROR(VLOOKUP(E7090,BD!$L$2:$Q$244,6,0),0)</f>
        <v>0</v>
      </c>
      <c r="I7090" s="626">
        <f>IFERROR(G7090*VLOOKUP($E7090,BD!$L$2:$Q$244,5,0),0)</f>
        <v>0</v>
      </c>
      <c r="J7090" s="3">
        <f t="shared" si="453"/>
        <v>1900</v>
      </c>
    </row>
    <row r="7091" spans="1:10" s="9" customFormat="1" x14ac:dyDescent="0.25">
      <c r="A7091" s="447"/>
      <c r="B7091" s="55" t="str">
        <f t="shared" si="450"/>
        <v>ENERO</v>
      </c>
      <c r="C7091" s="55">
        <f t="shared" si="451"/>
        <v>1</v>
      </c>
      <c r="D7091" s="3" t="str">
        <f t="shared" si="452"/>
        <v>SÁBADO</v>
      </c>
      <c r="E7091" s="427"/>
      <c r="F7091" s="31">
        <f>IFERROR(VLOOKUP(E7091,BD!$L$2:$Q$244,2,0),0)</f>
        <v>0</v>
      </c>
      <c r="G7091" s="424"/>
      <c r="H7091" s="31">
        <f>+IFERROR(VLOOKUP(E7091,BD!$L$2:$Q$244,6,0),0)</f>
        <v>0</v>
      </c>
      <c r="I7091" s="626">
        <f>IFERROR(G7091*VLOOKUP($E7091,BD!$L$2:$Q$244,5,0),0)</f>
        <v>0</v>
      </c>
      <c r="J7091" s="3">
        <f t="shared" si="453"/>
        <v>1900</v>
      </c>
    </row>
    <row r="7092" spans="1:10" s="9" customFormat="1" x14ac:dyDescent="0.25">
      <c r="A7092" s="447"/>
      <c r="B7092" s="55" t="str">
        <f t="shared" si="450"/>
        <v>ENERO</v>
      </c>
      <c r="C7092" s="55">
        <f t="shared" si="451"/>
        <v>1</v>
      </c>
      <c r="D7092" s="3" t="str">
        <f t="shared" si="452"/>
        <v>SÁBADO</v>
      </c>
      <c r="E7092" s="427"/>
      <c r="F7092" s="31">
        <f>IFERROR(VLOOKUP(E7092,BD!$L$2:$Q$244,2,0),0)</f>
        <v>0</v>
      </c>
      <c r="G7092" s="424"/>
      <c r="H7092" s="31">
        <f>+IFERROR(VLOOKUP(E7092,BD!$L$2:$Q$244,6,0),0)</f>
        <v>0</v>
      </c>
      <c r="I7092" s="626">
        <f>IFERROR(G7092*VLOOKUP($E7092,BD!$L$2:$Q$244,5,0),0)</f>
        <v>0</v>
      </c>
      <c r="J7092" s="3">
        <f t="shared" si="453"/>
        <v>1900</v>
      </c>
    </row>
    <row r="7093" spans="1:10" s="9" customFormat="1" x14ac:dyDescent="0.25">
      <c r="A7093" s="447"/>
      <c r="B7093" s="55" t="str">
        <f t="shared" si="450"/>
        <v>ENERO</v>
      </c>
      <c r="C7093" s="55">
        <f t="shared" si="451"/>
        <v>1</v>
      </c>
      <c r="D7093" s="3" t="str">
        <f t="shared" si="452"/>
        <v>SÁBADO</v>
      </c>
      <c r="E7093" s="427"/>
      <c r="F7093" s="31">
        <f>IFERROR(VLOOKUP(E7093,BD!$L$2:$Q$244,2,0),0)</f>
        <v>0</v>
      </c>
      <c r="G7093" s="424"/>
      <c r="H7093" s="31">
        <f>+IFERROR(VLOOKUP(E7093,BD!$L$2:$Q$244,6,0),0)</f>
        <v>0</v>
      </c>
      <c r="I7093" s="626">
        <f>IFERROR(G7093*VLOOKUP($E7093,BD!$L$2:$Q$244,5,0),0)</f>
        <v>0</v>
      </c>
      <c r="J7093" s="3">
        <f t="shared" si="453"/>
        <v>1900</v>
      </c>
    </row>
    <row r="7094" spans="1:10" s="9" customFormat="1" x14ac:dyDescent="0.25">
      <c r="A7094" s="447"/>
      <c r="B7094" s="55" t="str">
        <f t="shared" si="450"/>
        <v>ENERO</v>
      </c>
      <c r="C7094" s="55">
        <f t="shared" si="451"/>
        <v>1</v>
      </c>
      <c r="D7094" s="3" t="str">
        <f t="shared" si="452"/>
        <v>SÁBADO</v>
      </c>
      <c r="E7094" s="427"/>
      <c r="F7094" s="31">
        <f>IFERROR(VLOOKUP(E7094,BD!$L$2:$Q$244,2,0),0)</f>
        <v>0</v>
      </c>
      <c r="G7094" s="424"/>
      <c r="H7094" s="31">
        <f>+IFERROR(VLOOKUP(E7094,BD!$L$2:$Q$244,6,0),0)</f>
        <v>0</v>
      </c>
      <c r="I7094" s="626">
        <f>IFERROR(G7094*VLOOKUP($E7094,BD!$L$2:$Q$244,5,0),0)</f>
        <v>0</v>
      </c>
      <c r="J7094" s="3">
        <f t="shared" si="453"/>
        <v>1900</v>
      </c>
    </row>
    <row r="7095" spans="1:10" s="9" customFormat="1" x14ac:dyDescent="0.25">
      <c r="A7095" s="447"/>
      <c r="B7095" s="55" t="str">
        <f t="shared" si="450"/>
        <v>ENERO</v>
      </c>
      <c r="C7095" s="55">
        <f t="shared" si="451"/>
        <v>1</v>
      </c>
      <c r="D7095" s="3" t="str">
        <f t="shared" si="452"/>
        <v>SÁBADO</v>
      </c>
      <c r="E7095" s="427"/>
      <c r="F7095" s="31">
        <f>IFERROR(VLOOKUP(E7095,BD!$L$2:$Q$244,2,0),0)</f>
        <v>0</v>
      </c>
      <c r="G7095" s="424"/>
      <c r="H7095" s="31">
        <f>+IFERROR(VLOOKUP(E7095,BD!$L$2:$Q$244,6,0),0)</f>
        <v>0</v>
      </c>
      <c r="I7095" s="626">
        <f>IFERROR(G7095*VLOOKUP($E7095,BD!$L$2:$Q$244,5,0),0)</f>
        <v>0</v>
      </c>
      <c r="J7095" s="3">
        <f t="shared" si="453"/>
        <v>1900</v>
      </c>
    </row>
    <row r="7096" spans="1:10" s="9" customFormat="1" x14ac:dyDescent="0.25">
      <c r="A7096" s="447"/>
      <c r="B7096" s="55" t="str">
        <f t="shared" si="450"/>
        <v>ENERO</v>
      </c>
      <c r="C7096" s="55">
        <f t="shared" si="451"/>
        <v>1</v>
      </c>
      <c r="D7096" s="3" t="str">
        <f t="shared" si="452"/>
        <v>SÁBADO</v>
      </c>
      <c r="E7096" s="427"/>
      <c r="F7096" s="31">
        <f>IFERROR(VLOOKUP(E7096,BD!$L$2:$Q$244,2,0),0)</f>
        <v>0</v>
      </c>
      <c r="G7096" s="424"/>
      <c r="H7096" s="31">
        <f>+IFERROR(VLOOKUP(E7096,BD!$L$2:$Q$244,6,0),0)</f>
        <v>0</v>
      </c>
      <c r="I7096" s="626">
        <f>IFERROR(G7096*VLOOKUP($E7096,BD!$L$2:$Q$244,5,0),0)</f>
        <v>0</v>
      </c>
      <c r="J7096" s="3">
        <f t="shared" si="453"/>
        <v>1900</v>
      </c>
    </row>
    <row r="7097" spans="1:10" s="9" customFormat="1" x14ac:dyDescent="0.25">
      <c r="A7097" s="447"/>
      <c r="B7097" s="55" t="str">
        <f t="shared" si="450"/>
        <v>ENERO</v>
      </c>
      <c r="C7097" s="55">
        <f t="shared" si="451"/>
        <v>1</v>
      </c>
      <c r="D7097" s="3" t="str">
        <f t="shared" si="452"/>
        <v>SÁBADO</v>
      </c>
      <c r="E7097" s="427"/>
      <c r="F7097" s="31">
        <f>IFERROR(VLOOKUP(E7097,BD!$L$2:$Q$244,2,0),0)</f>
        <v>0</v>
      </c>
      <c r="G7097" s="424"/>
      <c r="H7097" s="31">
        <f>+IFERROR(VLOOKUP(E7097,BD!$L$2:$Q$244,6,0),0)</f>
        <v>0</v>
      </c>
      <c r="I7097" s="626">
        <f>IFERROR(G7097*VLOOKUP($E7097,BD!$L$2:$Q$244,5,0),0)</f>
        <v>0</v>
      </c>
      <c r="J7097" s="3">
        <f t="shared" si="453"/>
        <v>1900</v>
      </c>
    </row>
    <row r="7098" spans="1:10" s="9" customFormat="1" x14ac:dyDescent="0.25">
      <c r="A7098" s="447"/>
      <c r="B7098" s="55" t="str">
        <f t="shared" si="450"/>
        <v>ENERO</v>
      </c>
      <c r="C7098" s="55">
        <f t="shared" si="451"/>
        <v>1</v>
      </c>
      <c r="D7098" s="3" t="str">
        <f t="shared" si="452"/>
        <v>SÁBADO</v>
      </c>
      <c r="E7098" s="427"/>
      <c r="F7098" s="31">
        <f>IFERROR(VLOOKUP(E7098,BD!$L$2:$Q$244,2,0),0)</f>
        <v>0</v>
      </c>
      <c r="G7098" s="424"/>
      <c r="H7098" s="31">
        <f>+IFERROR(VLOOKUP(E7098,BD!$L$2:$Q$244,6,0),0)</f>
        <v>0</v>
      </c>
      <c r="I7098" s="626">
        <f>IFERROR(G7098*VLOOKUP($E7098,BD!$L$2:$Q$244,5,0),0)</f>
        <v>0</v>
      </c>
      <c r="J7098" s="3">
        <f t="shared" si="453"/>
        <v>1900</v>
      </c>
    </row>
    <row r="7099" spans="1:10" s="9" customFormat="1" x14ac:dyDescent="0.25">
      <c r="A7099" s="447"/>
      <c r="B7099" s="55" t="str">
        <f t="shared" si="450"/>
        <v>ENERO</v>
      </c>
      <c r="C7099" s="55">
        <f t="shared" si="451"/>
        <v>1</v>
      </c>
      <c r="D7099" s="3" t="str">
        <f t="shared" si="452"/>
        <v>SÁBADO</v>
      </c>
      <c r="E7099" s="427"/>
      <c r="F7099" s="31">
        <f>IFERROR(VLOOKUP(E7099,BD!$L$2:$Q$244,2,0),0)</f>
        <v>0</v>
      </c>
      <c r="G7099" s="425"/>
      <c r="H7099" s="31">
        <f>+IFERROR(VLOOKUP(E7099,BD!$L$2:$Q$244,6,0),0)</f>
        <v>0</v>
      </c>
      <c r="I7099" s="626">
        <f>IFERROR(G7099*VLOOKUP($E7099,BD!$L$2:$Q$244,5,0),0)</f>
        <v>0</v>
      </c>
      <c r="J7099" s="3">
        <f t="shared" si="453"/>
        <v>1900</v>
      </c>
    </row>
    <row r="7100" spans="1:10" s="9" customFormat="1" x14ac:dyDescent="0.25">
      <c r="A7100" s="447"/>
      <c r="B7100" s="55" t="str">
        <f t="shared" si="450"/>
        <v>ENERO</v>
      </c>
      <c r="C7100" s="55">
        <f t="shared" si="451"/>
        <v>1</v>
      </c>
      <c r="D7100" s="3" t="str">
        <f t="shared" si="452"/>
        <v>SÁBADO</v>
      </c>
      <c r="E7100" s="427"/>
      <c r="F7100" s="31">
        <f>IFERROR(VLOOKUP(E7100,BD!$L$2:$Q$244,2,0),0)</f>
        <v>0</v>
      </c>
      <c r="G7100" s="425"/>
      <c r="H7100" s="31">
        <f>+IFERROR(VLOOKUP(E7100,BD!$L$2:$Q$244,6,0),0)</f>
        <v>0</v>
      </c>
      <c r="I7100" s="626">
        <f>IFERROR(G7100*VLOOKUP($E7100,BD!$L$2:$Q$244,5,0),0)</f>
        <v>0</v>
      </c>
      <c r="J7100" s="3">
        <f t="shared" si="453"/>
        <v>1900</v>
      </c>
    </row>
    <row r="7101" spans="1:10" s="9" customFormat="1" x14ac:dyDescent="0.25">
      <c r="A7101" s="447"/>
      <c r="B7101" s="55" t="str">
        <f t="shared" ref="B7101:B7164" si="454">UPPER(TEXT(A7101,"MMMM"))</f>
        <v>ENERO</v>
      </c>
      <c r="C7101" s="55">
        <f t="shared" ref="C7101:C7164" si="455">WEEKNUM(A7101,16)</f>
        <v>1</v>
      </c>
      <c r="D7101" s="3" t="str">
        <f t="shared" ref="D7101:D7164" si="456">UPPER(TEXT(A7101,"DDDD"))</f>
        <v>SÁBADO</v>
      </c>
      <c r="E7101" s="427"/>
      <c r="F7101" s="31">
        <f>IFERROR(VLOOKUP(E7101,BD!$L$2:$Q$244,2,0),0)</f>
        <v>0</v>
      </c>
      <c r="G7101" s="424"/>
      <c r="H7101" s="31">
        <f>+IFERROR(VLOOKUP(E7101,BD!$L$2:$Q$244,6,0),0)</f>
        <v>0</v>
      </c>
      <c r="I7101" s="626">
        <f>IFERROR(G7101*VLOOKUP($E7101,BD!$L$2:$Q$244,5,0),0)</f>
        <v>0</v>
      </c>
      <c r="J7101" s="3">
        <f t="shared" ref="J7101:J7164" si="457">+YEAR(A7101)</f>
        <v>1900</v>
      </c>
    </row>
    <row r="7102" spans="1:10" s="9" customFormat="1" x14ac:dyDescent="0.25">
      <c r="A7102" s="447"/>
      <c r="B7102" s="55" t="str">
        <f t="shared" si="454"/>
        <v>ENERO</v>
      </c>
      <c r="C7102" s="55">
        <f t="shared" si="455"/>
        <v>1</v>
      </c>
      <c r="D7102" s="3" t="str">
        <f t="shared" si="456"/>
        <v>SÁBADO</v>
      </c>
      <c r="E7102" s="427"/>
      <c r="F7102" s="31">
        <f>IFERROR(VLOOKUP(E7102,BD!$L$2:$Q$244,2,0),0)</f>
        <v>0</v>
      </c>
      <c r="G7102" s="424"/>
      <c r="H7102" s="31">
        <f>+IFERROR(VLOOKUP(E7102,BD!$L$2:$Q$244,6,0),0)</f>
        <v>0</v>
      </c>
      <c r="I7102" s="626">
        <f>IFERROR(G7102*VLOOKUP($E7102,BD!$L$2:$Q$244,5,0),0)</f>
        <v>0</v>
      </c>
      <c r="J7102" s="3">
        <f t="shared" si="457"/>
        <v>1900</v>
      </c>
    </row>
    <row r="7103" spans="1:10" s="9" customFormat="1" x14ac:dyDescent="0.25">
      <c r="A7103" s="447"/>
      <c r="B7103" s="55" t="str">
        <f t="shared" si="454"/>
        <v>ENERO</v>
      </c>
      <c r="C7103" s="55">
        <f t="shared" si="455"/>
        <v>1</v>
      </c>
      <c r="D7103" s="3" t="str">
        <f t="shared" si="456"/>
        <v>SÁBADO</v>
      </c>
      <c r="E7103" s="427"/>
      <c r="F7103" s="31">
        <f>IFERROR(VLOOKUP(E7103,BD!$L$2:$Q$244,2,0),0)</f>
        <v>0</v>
      </c>
      <c r="G7103" s="424"/>
      <c r="H7103" s="31">
        <f>+IFERROR(VLOOKUP(E7103,BD!$L$2:$Q$244,6,0),0)</f>
        <v>0</v>
      </c>
      <c r="I7103" s="626">
        <f>IFERROR(G7103*VLOOKUP($E7103,BD!$L$2:$Q$244,5,0),0)</f>
        <v>0</v>
      </c>
      <c r="J7103" s="3">
        <f t="shared" si="457"/>
        <v>1900</v>
      </c>
    </row>
    <row r="7104" spans="1:10" s="9" customFormat="1" x14ac:dyDescent="0.25">
      <c r="A7104" s="447"/>
      <c r="B7104" s="55" t="str">
        <f t="shared" si="454"/>
        <v>ENERO</v>
      </c>
      <c r="C7104" s="55">
        <f t="shared" si="455"/>
        <v>1</v>
      </c>
      <c r="D7104" s="3" t="str">
        <f t="shared" si="456"/>
        <v>SÁBADO</v>
      </c>
      <c r="E7104" s="427"/>
      <c r="F7104" s="31">
        <f>IFERROR(VLOOKUP(E7104,BD!$L$2:$Q$244,2,0),0)</f>
        <v>0</v>
      </c>
      <c r="G7104" s="424"/>
      <c r="H7104" s="31">
        <f>+IFERROR(VLOOKUP(E7104,BD!$L$2:$Q$244,6,0),0)</f>
        <v>0</v>
      </c>
      <c r="I7104" s="626">
        <f>IFERROR(G7104*VLOOKUP($E7104,BD!$L$2:$Q$244,5,0),0)</f>
        <v>0</v>
      </c>
      <c r="J7104" s="3">
        <f t="shared" si="457"/>
        <v>1900</v>
      </c>
    </row>
    <row r="7105" spans="1:10" s="9" customFormat="1" x14ac:dyDescent="0.25">
      <c r="A7105" s="447"/>
      <c r="B7105" s="55" t="str">
        <f t="shared" si="454"/>
        <v>ENERO</v>
      </c>
      <c r="C7105" s="55">
        <f t="shared" si="455"/>
        <v>1</v>
      </c>
      <c r="D7105" s="3" t="str">
        <f t="shared" si="456"/>
        <v>SÁBADO</v>
      </c>
      <c r="E7105" s="427"/>
      <c r="F7105" s="31">
        <f>IFERROR(VLOOKUP(E7105,BD!$L$2:$Q$244,2,0),0)</f>
        <v>0</v>
      </c>
      <c r="G7105" s="424"/>
      <c r="H7105" s="31">
        <f>+IFERROR(VLOOKUP(E7105,BD!$L$2:$Q$244,6,0),0)</f>
        <v>0</v>
      </c>
      <c r="I7105" s="626">
        <f>IFERROR(G7105*VLOOKUP($E7105,BD!$L$2:$Q$244,5,0),0)</f>
        <v>0</v>
      </c>
      <c r="J7105" s="3">
        <f t="shared" si="457"/>
        <v>1900</v>
      </c>
    </row>
    <row r="7106" spans="1:10" s="9" customFormat="1" x14ac:dyDescent="0.25">
      <c r="A7106" s="447"/>
      <c r="B7106" s="55" t="str">
        <f t="shared" si="454"/>
        <v>ENERO</v>
      </c>
      <c r="C7106" s="55">
        <f t="shared" si="455"/>
        <v>1</v>
      </c>
      <c r="D7106" s="3" t="str">
        <f t="shared" si="456"/>
        <v>SÁBADO</v>
      </c>
      <c r="E7106" s="427"/>
      <c r="F7106" s="31">
        <f>IFERROR(VLOOKUP(E7106,BD!$L$2:$Q$244,2,0),0)</f>
        <v>0</v>
      </c>
      <c r="G7106" s="425"/>
      <c r="H7106" s="31">
        <f>+IFERROR(VLOOKUP(E7106,BD!$L$2:$Q$244,6,0),0)</f>
        <v>0</v>
      </c>
      <c r="I7106" s="626">
        <f>IFERROR(G7106*VLOOKUP($E7106,BD!$L$2:$Q$244,5,0),0)</f>
        <v>0</v>
      </c>
      <c r="J7106" s="3">
        <f t="shared" si="457"/>
        <v>1900</v>
      </c>
    </row>
    <row r="7107" spans="1:10" s="9" customFormat="1" x14ac:dyDescent="0.25">
      <c r="A7107" s="447"/>
      <c r="B7107" s="55" t="str">
        <f t="shared" si="454"/>
        <v>ENERO</v>
      </c>
      <c r="C7107" s="55">
        <f t="shared" si="455"/>
        <v>1</v>
      </c>
      <c r="D7107" s="3" t="str">
        <f t="shared" si="456"/>
        <v>SÁBADO</v>
      </c>
      <c r="E7107" s="427"/>
      <c r="F7107" s="31">
        <f>IFERROR(VLOOKUP(E7107,BD!$L$2:$Q$244,2,0),0)</f>
        <v>0</v>
      </c>
      <c r="G7107" s="424"/>
      <c r="H7107" s="31">
        <f>+IFERROR(VLOOKUP(E7107,BD!$L$2:$Q$244,6,0),0)</f>
        <v>0</v>
      </c>
      <c r="I7107" s="626">
        <f>IFERROR(G7107*VLOOKUP($E7107,BD!$L$2:$Q$244,5,0),0)</f>
        <v>0</v>
      </c>
      <c r="J7107" s="3">
        <f t="shared" si="457"/>
        <v>1900</v>
      </c>
    </row>
    <row r="7108" spans="1:10" s="9" customFormat="1" x14ac:dyDescent="0.25">
      <c r="A7108" s="447"/>
      <c r="B7108" s="55" t="str">
        <f t="shared" si="454"/>
        <v>ENERO</v>
      </c>
      <c r="C7108" s="55">
        <f t="shared" si="455"/>
        <v>1</v>
      </c>
      <c r="D7108" s="3" t="str">
        <f t="shared" si="456"/>
        <v>SÁBADO</v>
      </c>
      <c r="E7108" s="427"/>
      <c r="F7108" s="31">
        <f>IFERROR(VLOOKUP(E7108,BD!$L$2:$Q$244,2,0),0)</f>
        <v>0</v>
      </c>
      <c r="G7108" s="424"/>
      <c r="H7108" s="31">
        <f>+IFERROR(VLOOKUP(E7108,BD!$L$2:$Q$244,6,0),0)</f>
        <v>0</v>
      </c>
      <c r="I7108" s="626">
        <f>IFERROR(G7108*VLOOKUP($E7108,BD!$L$2:$Q$244,5,0),0)</f>
        <v>0</v>
      </c>
      <c r="J7108" s="3">
        <f t="shared" si="457"/>
        <v>1900</v>
      </c>
    </row>
    <row r="7109" spans="1:10" s="9" customFormat="1" x14ac:dyDescent="0.25">
      <c r="A7109" s="447"/>
      <c r="B7109" s="55" t="str">
        <f t="shared" si="454"/>
        <v>ENERO</v>
      </c>
      <c r="C7109" s="55">
        <f t="shared" si="455"/>
        <v>1</v>
      </c>
      <c r="D7109" s="3" t="str">
        <f t="shared" si="456"/>
        <v>SÁBADO</v>
      </c>
      <c r="E7109" s="427"/>
      <c r="F7109" s="31">
        <f>IFERROR(VLOOKUP(E7109,BD!$L$2:$Q$244,2,0),0)</f>
        <v>0</v>
      </c>
      <c r="G7109" s="424"/>
      <c r="H7109" s="31">
        <f>+IFERROR(VLOOKUP(E7109,BD!$L$2:$Q$244,6,0),0)</f>
        <v>0</v>
      </c>
      <c r="I7109" s="626">
        <f>IFERROR(G7109*VLOOKUP($E7109,BD!$L$2:$Q$244,5,0),0)</f>
        <v>0</v>
      </c>
      <c r="J7109" s="3">
        <f t="shared" si="457"/>
        <v>1900</v>
      </c>
    </row>
    <row r="7110" spans="1:10" s="9" customFormat="1" x14ac:dyDescent="0.25">
      <c r="A7110" s="447"/>
      <c r="B7110" s="55" t="str">
        <f t="shared" si="454"/>
        <v>ENERO</v>
      </c>
      <c r="C7110" s="55">
        <f t="shared" si="455"/>
        <v>1</v>
      </c>
      <c r="D7110" s="3" t="str">
        <f t="shared" si="456"/>
        <v>SÁBADO</v>
      </c>
      <c r="E7110" s="427"/>
      <c r="F7110" s="31">
        <f>IFERROR(VLOOKUP(E7110,BD!$L$2:$Q$244,2,0),0)</f>
        <v>0</v>
      </c>
      <c r="G7110" s="424"/>
      <c r="H7110" s="31">
        <f>+IFERROR(VLOOKUP(E7110,BD!$L$2:$Q$244,6,0),0)</f>
        <v>0</v>
      </c>
      <c r="I7110" s="626">
        <f>IFERROR(G7110*VLOOKUP($E7110,BD!$L$2:$Q$244,5,0),0)</f>
        <v>0</v>
      </c>
      <c r="J7110" s="3">
        <f t="shared" si="457"/>
        <v>1900</v>
      </c>
    </row>
    <row r="7111" spans="1:10" s="9" customFormat="1" x14ac:dyDescent="0.25">
      <c r="A7111" s="447"/>
      <c r="B7111" s="55" t="str">
        <f t="shared" si="454"/>
        <v>ENERO</v>
      </c>
      <c r="C7111" s="55">
        <f t="shared" si="455"/>
        <v>1</v>
      </c>
      <c r="D7111" s="3" t="str">
        <f t="shared" si="456"/>
        <v>SÁBADO</v>
      </c>
      <c r="E7111" s="427"/>
      <c r="F7111" s="31">
        <f>IFERROR(VLOOKUP(E7111,BD!$L$2:$Q$244,2,0),0)</f>
        <v>0</v>
      </c>
      <c r="G7111" s="424"/>
      <c r="H7111" s="31">
        <f>+IFERROR(VLOOKUP(E7111,BD!$L$2:$Q$244,6,0),0)</f>
        <v>0</v>
      </c>
      <c r="I7111" s="626">
        <f>IFERROR(G7111*VLOOKUP($E7111,BD!$L$2:$Q$244,5,0),0)</f>
        <v>0</v>
      </c>
      <c r="J7111" s="3">
        <f t="shared" si="457"/>
        <v>1900</v>
      </c>
    </row>
    <row r="7112" spans="1:10" s="9" customFormat="1" x14ac:dyDescent="0.25">
      <c r="A7112" s="447"/>
      <c r="B7112" s="55" t="str">
        <f t="shared" si="454"/>
        <v>ENERO</v>
      </c>
      <c r="C7112" s="55">
        <f t="shared" si="455"/>
        <v>1</v>
      </c>
      <c r="D7112" s="3" t="str">
        <f t="shared" si="456"/>
        <v>SÁBADO</v>
      </c>
      <c r="E7112" s="427"/>
      <c r="F7112" s="31">
        <f>IFERROR(VLOOKUP(E7112,BD!$L$2:$Q$244,2,0),0)</f>
        <v>0</v>
      </c>
      <c r="G7112" s="424"/>
      <c r="H7112" s="31">
        <f>+IFERROR(VLOOKUP(E7112,BD!$L$2:$Q$244,6,0),0)</f>
        <v>0</v>
      </c>
      <c r="I7112" s="626">
        <f>IFERROR(G7112*VLOOKUP($E7112,BD!$L$2:$Q$244,5,0),0)</f>
        <v>0</v>
      </c>
      <c r="J7112" s="3">
        <f t="shared" si="457"/>
        <v>1900</v>
      </c>
    </row>
    <row r="7113" spans="1:10" s="9" customFormat="1" x14ac:dyDescent="0.25">
      <c r="A7113" s="447"/>
      <c r="B7113" s="55" t="str">
        <f t="shared" si="454"/>
        <v>ENERO</v>
      </c>
      <c r="C7113" s="55">
        <f t="shared" si="455"/>
        <v>1</v>
      </c>
      <c r="D7113" s="3" t="str">
        <f t="shared" si="456"/>
        <v>SÁBADO</v>
      </c>
      <c r="E7113" s="427"/>
      <c r="F7113" s="31">
        <f>IFERROR(VLOOKUP(E7113,BD!$L$2:$Q$244,2,0),0)</f>
        <v>0</v>
      </c>
      <c r="G7113" s="424"/>
      <c r="H7113" s="31">
        <f>+IFERROR(VLOOKUP(E7113,BD!$L$2:$Q$244,6,0),0)</f>
        <v>0</v>
      </c>
      <c r="I7113" s="626">
        <f>IFERROR(G7113*VLOOKUP($E7113,BD!$L$2:$Q$244,5,0),0)</f>
        <v>0</v>
      </c>
      <c r="J7113" s="3">
        <f t="shared" si="457"/>
        <v>1900</v>
      </c>
    </row>
    <row r="7114" spans="1:10" s="9" customFormat="1" x14ac:dyDescent="0.25">
      <c r="A7114" s="447"/>
      <c r="B7114" s="55" t="str">
        <f t="shared" si="454"/>
        <v>ENERO</v>
      </c>
      <c r="C7114" s="55">
        <f t="shared" si="455"/>
        <v>1</v>
      </c>
      <c r="D7114" s="3" t="str">
        <f t="shared" si="456"/>
        <v>SÁBADO</v>
      </c>
      <c r="E7114" s="427"/>
      <c r="F7114" s="31">
        <f>IFERROR(VLOOKUP(E7114,BD!$L$2:$Q$244,2,0),0)</f>
        <v>0</v>
      </c>
      <c r="G7114" s="424"/>
      <c r="H7114" s="31">
        <f>+IFERROR(VLOOKUP(E7114,BD!$L$2:$Q$244,6,0),0)</f>
        <v>0</v>
      </c>
      <c r="I7114" s="626">
        <f>IFERROR(G7114*VLOOKUP($E7114,BD!$L$2:$Q$244,5,0),0)</f>
        <v>0</v>
      </c>
      <c r="J7114" s="3">
        <f t="shared" si="457"/>
        <v>1900</v>
      </c>
    </row>
    <row r="7115" spans="1:10" s="9" customFormat="1" x14ac:dyDescent="0.25">
      <c r="A7115" s="447"/>
      <c r="B7115" s="55" t="str">
        <f t="shared" si="454"/>
        <v>ENERO</v>
      </c>
      <c r="C7115" s="55">
        <f t="shared" si="455"/>
        <v>1</v>
      </c>
      <c r="D7115" s="3" t="str">
        <f t="shared" si="456"/>
        <v>SÁBADO</v>
      </c>
      <c r="E7115" s="427"/>
      <c r="F7115" s="31">
        <f>IFERROR(VLOOKUP(E7115,BD!$L$2:$Q$244,2,0),0)</f>
        <v>0</v>
      </c>
      <c r="G7115" s="424"/>
      <c r="H7115" s="31">
        <f>+IFERROR(VLOOKUP(E7115,BD!$L$2:$Q$244,6,0),0)</f>
        <v>0</v>
      </c>
      <c r="I7115" s="626">
        <f>IFERROR(G7115*VLOOKUP($E7115,BD!$L$2:$Q$244,5,0),0)</f>
        <v>0</v>
      </c>
      <c r="J7115" s="3">
        <f t="shared" si="457"/>
        <v>1900</v>
      </c>
    </row>
    <row r="7116" spans="1:10" s="9" customFormat="1" x14ac:dyDescent="0.25">
      <c r="A7116" s="447"/>
      <c r="B7116" s="55" t="str">
        <f t="shared" si="454"/>
        <v>ENERO</v>
      </c>
      <c r="C7116" s="55">
        <f t="shared" si="455"/>
        <v>1</v>
      </c>
      <c r="D7116" s="3" t="str">
        <f t="shared" si="456"/>
        <v>SÁBADO</v>
      </c>
      <c r="E7116" s="427"/>
      <c r="F7116" s="31">
        <f>IFERROR(VLOOKUP(E7116,BD!$L$2:$Q$244,2,0),0)</f>
        <v>0</v>
      </c>
      <c r="G7116" s="425"/>
      <c r="H7116" s="31">
        <f>+IFERROR(VLOOKUP(E7116,BD!$L$2:$Q$244,6,0),0)</f>
        <v>0</v>
      </c>
      <c r="I7116" s="626">
        <f>IFERROR(G7116*VLOOKUP($E7116,BD!$L$2:$Q$244,5,0),0)</f>
        <v>0</v>
      </c>
      <c r="J7116" s="3">
        <f t="shared" si="457"/>
        <v>1900</v>
      </c>
    </row>
    <row r="7117" spans="1:10" s="9" customFormat="1" x14ac:dyDescent="0.25">
      <c r="A7117" s="447"/>
      <c r="B7117" s="55" t="str">
        <f t="shared" si="454"/>
        <v>ENERO</v>
      </c>
      <c r="C7117" s="55">
        <f t="shared" si="455"/>
        <v>1</v>
      </c>
      <c r="D7117" s="3" t="str">
        <f t="shared" si="456"/>
        <v>SÁBADO</v>
      </c>
      <c r="E7117" s="427"/>
      <c r="F7117" s="31">
        <f>IFERROR(VLOOKUP(E7117,BD!$L$2:$Q$244,2,0),0)</f>
        <v>0</v>
      </c>
      <c r="G7117" s="424"/>
      <c r="H7117" s="31">
        <f>+IFERROR(VLOOKUP(E7117,BD!$L$2:$Q$244,6,0),0)</f>
        <v>0</v>
      </c>
      <c r="I7117" s="626">
        <f>IFERROR(G7117*VLOOKUP($E7117,BD!$L$2:$Q$244,5,0),0)</f>
        <v>0</v>
      </c>
      <c r="J7117" s="3">
        <f t="shared" si="457"/>
        <v>1900</v>
      </c>
    </row>
    <row r="7118" spans="1:10" s="9" customFormat="1" x14ac:dyDescent="0.25">
      <c r="A7118" s="447"/>
      <c r="B7118" s="55" t="str">
        <f t="shared" si="454"/>
        <v>ENERO</v>
      </c>
      <c r="C7118" s="55">
        <f t="shared" si="455"/>
        <v>1</v>
      </c>
      <c r="D7118" s="3" t="str">
        <f t="shared" si="456"/>
        <v>SÁBADO</v>
      </c>
      <c r="E7118" s="427"/>
      <c r="F7118" s="31">
        <f>IFERROR(VLOOKUP(E7118,BD!$L$2:$Q$244,2,0),0)</f>
        <v>0</v>
      </c>
      <c r="G7118" s="424"/>
      <c r="H7118" s="31">
        <f>+IFERROR(VLOOKUP(E7118,BD!$L$2:$Q$244,6,0),0)</f>
        <v>0</v>
      </c>
      <c r="I7118" s="626">
        <f>IFERROR(G7118*VLOOKUP($E7118,BD!$L$2:$Q$244,5,0),0)</f>
        <v>0</v>
      </c>
      <c r="J7118" s="3">
        <f t="shared" si="457"/>
        <v>1900</v>
      </c>
    </row>
    <row r="7119" spans="1:10" s="9" customFormat="1" x14ac:dyDescent="0.25">
      <c r="A7119" s="447"/>
      <c r="B7119" s="55" t="str">
        <f t="shared" si="454"/>
        <v>ENERO</v>
      </c>
      <c r="C7119" s="55">
        <f t="shared" si="455"/>
        <v>1</v>
      </c>
      <c r="D7119" s="3" t="str">
        <f t="shared" si="456"/>
        <v>SÁBADO</v>
      </c>
      <c r="E7119" s="427"/>
      <c r="F7119" s="31">
        <f>IFERROR(VLOOKUP(E7119,BD!$L$2:$Q$244,2,0),0)</f>
        <v>0</v>
      </c>
      <c r="G7119" s="424"/>
      <c r="H7119" s="31">
        <f>+IFERROR(VLOOKUP(E7119,BD!$L$2:$Q$244,6,0),0)</f>
        <v>0</v>
      </c>
      <c r="I7119" s="626">
        <f>IFERROR(G7119*VLOOKUP($E7119,BD!$L$2:$Q$244,5,0),0)</f>
        <v>0</v>
      </c>
      <c r="J7119" s="3">
        <f t="shared" si="457"/>
        <v>1900</v>
      </c>
    </row>
    <row r="7120" spans="1:10" s="9" customFormat="1" x14ac:dyDescent="0.25">
      <c r="A7120" s="447"/>
      <c r="B7120" s="55" t="str">
        <f t="shared" si="454"/>
        <v>ENERO</v>
      </c>
      <c r="C7120" s="55">
        <f t="shared" si="455"/>
        <v>1</v>
      </c>
      <c r="D7120" s="3" t="str">
        <f t="shared" si="456"/>
        <v>SÁBADO</v>
      </c>
      <c r="E7120" s="427"/>
      <c r="F7120" s="31">
        <f>IFERROR(VLOOKUP(E7120,BD!$L$2:$Q$244,2,0),0)</f>
        <v>0</v>
      </c>
      <c r="G7120" s="424"/>
      <c r="H7120" s="31">
        <f>+IFERROR(VLOOKUP(E7120,BD!$L$2:$Q$244,6,0),0)</f>
        <v>0</v>
      </c>
      <c r="I7120" s="626">
        <f>IFERROR(G7120*VLOOKUP($E7120,BD!$L$2:$Q$244,5,0),0)</f>
        <v>0</v>
      </c>
      <c r="J7120" s="3">
        <f t="shared" si="457"/>
        <v>1900</v>
      </c>
    </row>
    <row r="7121" spans="1:10" s="9" customFormat="1" x14ac:dyDescent="0.25">
      <c r="A7121" s="447"/>
      <c r="B7121" s="55" t="str">
        <f t="shared" si="454"/>
        <v>ENERO</v>
      </c>
      <c r="C7121" s="55">
        <f t="shared" si="455"/>
        <v>1</v>
      </c>
      <c r="D7121" s="3" t="str">
        <f t="shared" si="456"/>
        <v>SÁBADO</v>
      </c>
      <c r="E7121" s="427"/>
      <c r="F7121" s="31">
        <f>IFERROR(VLOOKUP(E7121,BD!$L$2:$Q$244,2,0),0)</f>
        <v>0</v>
      </c>
      <c r="G7121" s="424"/>
      <c r="H7121" s="31">
        <f>+IFERROR(VLOOKUP(E7121,BD!$L$2:$Q$244,6,0),0)</f>
        <v>0</v>
      </c>
      <c r="I7121" s="626">
        <f>IFERROR(G7121*VLOOKUP($E7121,BD!$L$2:$Q$244,5,0),0)</f>
        <v>0</v>
      </c>
      <c r="J7121" s="3">
        <f t="shared" si="457"/>
        <v>1900</v>
      </c>
    </row>
    <row r="7122" spans="1:10" s="9" customFormat="1" x14ac:dyDescent="0.25">
      <c r="A7122" s="447"/>
      <c r="B7122" s="55" t="str">
        <f t="shared" si="454"/>
        <v>ENERO</v>
      </c>
      <c r="C7122" s="55">
        <f t="shared" si="455"/>
        <v>1</v>
      </c>
      <c r="D7122" s="3" t="str">
        <f t="shared" si="456"/>
        <v>SÁBADO</v>
      </c>
      <c r="E7122" s="427"/>
      <c r="F7122" s="31">
        <f>IFERROR(VLOOKUP(E7122,BD!$L$2:$Q$244,2,0),0)</f>
        <v>0</v>
      </c>
      <c r="G7122" s="424"/>
      <c r="H7122" s="31">
        <f>+IFERROR(VLOOKUP(E7122,BD!$L$2:$Q$244,6,0),0)</f>
        <v>0</v>
      </c>
      <c r="I7122" s="626">
        <f>IFERROR(G7122*VLOOKUP($E7122,BD!$L$2:$Q$244,5,0),0)</f>
        <v>0</v>
      </c>
      <c r="J7122" s="3">
        <f t="shared" si="457"/>
        <v>1900</v>
      </c>
    </row>
    <row r="7123" spans="1:10" s="9" customFormat="1" x14ac:dyDescent="0.25">
      <c r="A7123" s="447"/>
      <c r="B7123" s="55" t="str">
        <f t="shared" si="454"/>
        <v>ENERO</v>
      </c>
      <c r="C7123" s="55">
        <f t="shared" si="455"/>
        <v>1</v>
      </c>
      <c r="D7123" s="3" t="str">
        <f t="shared" si="456"/>
        <v>SÁBADO</v>
      </c>
      <c r="E7123" s="427"/>
      <c r="F7123" s="31">
        <f>IFERROR(VLOOKUP(E7123,BD!$L$2:$Q$244,2,0),0)</f>
        <v>0</v>
      </c>
      <c r="G7123" s="424"/>
      <c r="H7123" s="31">
        <f>+IFERROR(VLOOKUP(E7123,BD!$L$2:$Q$244,6,0),0)</f>
        <v>0</v>
      </c>
      <c r="I7123" s="626">
        <f>IFERROR(G7123*VLOOKUP($E7123,BD!$L$2:$Q$244,5,0),0)</f>
        <v>0</v>
      </c>
      <c r="J7123" s="3">
        <f t="shared" si="457"/>
        <v>1900</v>
      </c>
    </row>
    <row r="7124" spans="1:10" s="9" customFormat="1" x14ac:dyDescent="0.25">
      <c r="A7124" s="447"/>
      <c r="B7124" s="55" t="str">
        <f t="shared" si="454"/>
        <v>ENERO</v>
      </c>
      <c r="C7124" s="55">
        <f t="shared" si="455"/>
        <v>1</v>
      </c>
      <c r="D7124" s="3" t="str">
        <f t="shared" si="456"/>
        <v>SÁBADO</v>
      </c>
      <c r="E7124" s="427"/>
      <c r="F7124" s="31">
        <f>IFERROR(VLOOKUP(E7124,BD!$L$2:$Q$244,2,0),0)</f>
        <v>0</v>
      </c>
      <c r="G7124" s="424"/>
      <c r="H7124" s="31">
        <f>+IFERROR(VLOOKUP(E7124,BD!$L$2:$Q$244,6,0),0)</f>
        <v>0</v>
      </c>
      <c r="I7124" s="626">
        <f>IFERROR(G7124*VLOOKUP($E7124,BD!$L$2:$Q$244,5,0),0)</f>
        <v>0</v>
      </c>
      <c r="J7124" s="3">
        <f t="shared" si="457"/>
        <v>1900</v>
      </c>
    </row>
    <row r="7125" spans="1:10" s="9" customFormat="1" x14ac:dyDescent="0.25">
      <c r="A7125" s="447"/>
      <c r="B7125" s="55" t="str">
        <f t="shared" si="454"/>
        <v>ENERO</v>
      </c>
      <c r="C7125" s="55">
        <f t="shared" si="455"/>
        <v>1</v>
      </c>
      <c r="D7125" s="3" t="str">
        <f t="shared" si="456"/>
        <v>SÁBADO</v>
      </c>
      <c r="E7125" s="427"/>
      <c r="F7125" s="31">
        <f>IFERROR(VLOOKUP(E7125,BD!$L$2:$Q$244,2,0),0)</f>
        <v>0</v>
      </c>
      <c r="G7125" s="424"/>
      <c r="H7125" s="31">
        <f>+IFERROR(VLOOKUP(E7125,BD!$L$2:$Q$244,6,0),0)</f>
        <v>0</v>
      </c>
      <c r="I7125" s="626">
        <f>IFERROR(G7125*VLOOKUP($E7125,BD!$L$2:$Q$244,5,0),0)</f>
        <v>0</v>
      </c>
      <c r="J7125" s="3">
        <f t="shared" si="457"/>
        <v>1900</v>
      </c>
    </row>
    <row r="7126" spans="1:10" s="9" customFormat="1" x14ac:dyDescent="0.25">
      <c r="A7126" s="447"/>
      <c r="B7126" s="55" t="str">
        <f t="shared" si="454"/>
        <v>ENERO</v>
      </c>
      <c r="C7126" s="55">
        <f t="shared" si="455"/>
        <v>1</v>
      </c>
      <c r="D7126" s="3" t="str">
        <f t="shared" si="456"/>
        <v>SÁBADO</v>
      </c>
      <c r="E7126" s="427"/>
      <c r="F7126" s="31">
        <f>IFERROR(VLOOKUP(E7126,BD!$L$2:$Q$244,2,0),0)</f>
        <v>0</v>
      </c>
      <c r="G7126" s="424"/>
      <c r="H7126" s="31">
        <f>+IFERROR(VLOOKUP(E7126,BD!$L$2:$Q$244,6,0),0)</f>
        <v>0</v>
      </c>
      <c r="I7126" s="626">
        <f>IFERROR(G7126*VLOOKUP($E7126,BD!$L$2:$Q$244,5,0),0)</f>
        <v>0</v>
      </c>
      <c r="J7126" s="3">
        <f t="shared" si="457"/>
        <v>1900</v>
      </c>
    </row>
    <row r="7127" spans="1:10" s="9" customFormat="1" x14ac:dyDescent="0.25">
      <c r="A7127" s="447"/>
      <c r="B7127" s="55" t="str">
        <f t="shared" si="454"/>
        <v>ENERO</v>
      </c>
      <c r="C7127" s="55">
        <f t="shared" si="455"/>
        <v>1</v>
      </c>
      <c r="D7127" s="3" t="str">
        <f t="shared" si="456"/>
        <v>SÁBADO</v>
      </c>
      <c r="E7127" s="427"/>
      <c r="F7127" s="31">
        <f>IFERROR(VLOOKUP(E7127,BD!$L$2:$Q$244,2,0),0)</f>
        <v>0</v>
      </c>
      <c r="G7127" s="424"/>
      <c r="H7127" s="31">
        <f>+IFERROR(VLOOKUP(E7127,BD!$L$2:$Q$244,6,0),0)</f>
        <v>0</v>
      </c>
      <c r="I7127" s="626">
        <f>IFERROR(G7127*VLOOKUP($E7127,BD!$L$2:$Q$244,5,0),0)</f>
        <v>0</v>
      </c>
      <c r="J7127" s="3">
        <f t="shared" si="457"/>
        <v>1900</v>
      </c>
    </row>
    <row r="7128" spans="1:10" s="9" customFormat="1" x14ac:dyDescent="0.25">
      <c r="A7128" s="447"/>
      <c r="B7128" s="55" t="str">
        <f t="shared" si="454"/>
        <v>ENERO</v>
      </c>
      <c r="C7128" s="55">
        <f t="shared" si="455"/>
        <v>1</v>
      </c>
      <c r="D7128" s="3" t="str">
        <f t="shared" si="456"/>
        <v>SÁBADO</v>
      </c>
      <c r="E7128" s="427"/>
      <c r="F7128" s="31">
        <f>IFERROR(VLOOKUP(E7128,BD!$L$2:$Q$244,2,0),0)</f>
        <v>0</v>
      </c>
      <c r="G7128" s="424"/>
      <c r="H7128" s="31">
        <f>+IFERROR(VLOOKUP(E7128,BD!$L$2:$Q$244,6,0),0)</f>
        <v>0</v>
      </c>
      <c r="I7128" s="626">
        <f>IFERROR(G7128*VLOOKUP($E7128,BD!$L$2:$Q$244,5,0),0)</f>
        <v>0</v>
      </c>
      <c r="J7128" s="3">
        <f t="shared" si="457"/>
        <v>1900</v>
      </c>
    </row>
    <row r="7129" spans="1:10" s="9" customFormat="1" x14ac:dyDescent="0.25">
      <c r="A7129" s="447"/>
      <c r="B7129" s="55" t="str">
        <f t="shared" si="454"/>
        <v>ENERO</v>
      </c>
      <c r="C7129" s="55">
        <f t="shared" si="455"/>
        <v>1</v>
      </c>
      <c r="D7129" s="3" t="str">
        <f t="shared" si="456"/>
        <v>SÁBADO</v>
      </c>
      <c r="E7129" s="427"/>
      <c r="F7129" s="31">
        <f>IFERROR(VLOOKUP(E7129,BD!$L$2:$Q$244,2,0),0)</f>
        <v>0</v>
      </c>
      <c r="G7129" s="424"/>
      <c r="H7129" s="31">
        <f>+IFERROR(VLOOKUP(E7129,BD!$L$2:$Q$244,6,0),0)</f>
        <v>0</v>
      </c>
      <c r="I7129" s="626">
        <f>IFERROR(G7129*VLOOKUP($E7129,BD!$L$2:$Q$244,5,0),0)</f>
        <v>0</v>
      </c>
      <c r="J7129" s="3">
        <f t="shared" si="457"/>
        <v>1900</v>
      </c>
    </row>
    <row r="7130" spans="1:10" s="9" customFormat="1" x14ac:dyDescent="0.25">
      <c r="A7130" s="447"/>
      <c r="B7130" s="55" t="str">
        <f t="shared" si="454"/>
        <v>ENERO</v>
      </c>
      <c r="C7130" s="55">
        <f t="shared" si="455"/>
        <v>1</v>
      </c>
      <c r="D7130" s="3" t="str">
        <f t="shared" si="456"/>
        <v>SÁBADO</v>
      </c>
      <c r="E7130" s="427"/>
      <c r="F7130" s="31">
        <f>IFERROR(VLOOKUP(E7130,BD!$L$2:$Q$244,2,0),0)</f>
        <v>0</v>
      </c>
      <c r="G7130" s="424"/>
      <c r="H7130" s="31">
        <f>+IFERROR(VLOOKUP(E7130,BD!$L$2:$Q$244,6,0),0)</f>
        <v>0</v>
      </c>
      <c r="I7130" s="626">
        <f>IFERROR(G7130*VLOOKUP($E7130,BD!$L$2:$Q$244,5,0),0)</f>
        <v>0</v>
      </c>
      <c r="J7130" s="3">
        <f t="shared" si="457"/>
        <v>1900</v>
      </c>
    </row>
    <row r="7131" spans="1:10" s="9" customFormat="1" x14ac:dyDescent="0.25">
      <c r="A7131" s="447"/>
      <c r="B7131" s="55" t="str">
        <f t="shared" si="454"/>
        <v>ENERO</v>
      </c>
      <c r="C7131" s="55">
        <f t="shared" si="455"/>
        <v>1</v>
      </c>
      <c r="D7131" s="3" t="str">
        <f t="shared" si="456"/>
        <v>SÁBADO</v>
      </c>
      <c r="E7131" s="427"/>
      <c r="F7131" s="31">
        <f>IFERROR(VLOOKUP(E7131,BD!$L$2:$Q$244,2,0),0)</f>
        <v>0</v>
      </c>
      <c r="G7131" s="424"/>
      <c r="H7131" s="31">
        <f>+IFERROR(VLOOKUP(E7131,BD!$L$2:$Q$244,6,0),0)</f>
        <v>0</v>
      </c>
      <c r="I7131" s="626">
        <f>IFERROR(G7131*VLOOKUP($E7131,BD!$L$2:$Q$244,5,0),0)</f>
        <v>0</v>
      </c>
      <c r="J7131" s="3">
        <f t="shared" si="457"/>
        <v>1900</v>
      </c>
    </row>
    <row r="7132" spans="1:10" s="9" customFormat="1" x14ac:dyDescent="0.25">
      <c r="A7132" s="447"/>
      <c r="B7132" s="55" t="str">
        <f t="shared" si="454"/>
        <v>ENERO</v>
      </c>
      <c r="C7132" s="55">
        <f t="shared" si="455"/>
        <v>1</v>
      </c>
      <c r="D7132" s="3" t="str">
        <f t="shared" si="456"/>
        <v>SÁBADO</v>
      </c>
      <c r="E7132" s="427"/>
      <c r="F7132" s="31">
        <f>IFERROR(VLOOKUP(E7132,BD!$L$2:$Q$244,2,0),0)</f>
        <v>0</v>
      </c>
      <c r="G7132" s="424"/>
      <c r="H7132" s="31">
        <f>+IFERROR(VLOOKUP(E7132,BD!$L$2:$Q$244,6,0),0)</f>
        <v>0</v>
      </c>
      <c r="I7132" s="626">
        <f>IFERROR(G7132*VLOOKUP($E7132,BD!$L$2:$Q$244,5,0),0)</f>
        <v>0</v>
      </c>
      <c r="J7132" s="3">
        <f t="shared" si="457"/>
        <v>1900</v>
      </c>
    </row>
    <row r="7133" spans="1:10" s="9" customFormat="1" x14ac:dyDescent="0.25">
      <c r="A7133" s="447"/>
      <c r="B7133" s="55" t="str">
        <f t="shared" si="454"/>
        <v>ENERO</v>
      </c>
      <c r="C7133" s="55">
        <f t="shared" si="455"/>
        <v>1</v>
      </c>
      <c r="D7133" s="3" t="str">
        <f t="shared" si="456"/>
        <v>SÁBADO</v>
      </c>
      <c r="E7133" s="427"/>
      <c r="F7133" s="31">
        <f>IFERROR(VLOOKUP(E7133,BD!$L$2:$Q$244,2,0),0)</f>
        <v>0</v>
      </c>
      <c r="G7133" s="424"/>
      <c r="H7133" s="31">
        <f>+IFERROR(VLOOKUP(E7133,BD!$L$2:$Q$244,6,0),0)</f>
        <v>0</v>
      </c>
      <c r="I7133" s="626">
        <f>IFERROR(G7133*VLOOKUP($E7133,BD!$L$2:$Q$244,5,0),0)</f>
        <v>0</v>
      </c>
      <c r="J7133" s="3">
        <f t="shared" si="457"/>
        <v>1900</v>
      </c>
    </row>
    <row r="7134" spans="1:10" s="9" customFormat="1" x14ac:dyDescent="0.25">
      <c r="A7134" s="447"/>
      <c r="B7134" s="55" t="str">
        <f t="shared" si="454"/>
        <v>ENERO</v>
      </c>
      <c r="C7134" s="55">
        <f t="shared" si="455"/>
        <v>1</v>
      </c>
      <c r="D7134" s="3" t="str">
        <f t="shared" si="456"/>
        <v>SÁBADO</v>
      </c>
      <c r="E7134" s="427"/>
      <c r="F7134" s="31">
        <f>IFERROR(VLOOKUP(E7134,BD!$L$2:$Q$244,2,0),0)</f>
        <v>0</v>
      </c>
      <c r="G7134" s="424"/>
      <c r="H7134" s="31">
        <f>+IFERROR(VLOOKUP(E7134,BD!$L$2:$Q$244,6,0),0)</f>
        <v>0</v>
      </c>
      <c r="I7134" s="626">
        <f>IFERROR(G7134*VLOOKUP($E7134,BD!$L$2:$Q$244,5,0),0)</f>
        <v>0</v>
      </c>
      <c r="J7134" s="3">
        <f t="shared" si="457"/>
        <v>1900</v>
      </c>
    </row>
    <row r="7135" spans="1:10" s="9" customFormat="1" x14ac:dyDescent="0.25">
      <c r="A7135" s="447"/>
      <c r="B7135" s="55" t="str">
        <f t="shared" si="454"/>
        <v>ENERO</v>
      </c>
      <c r="C7135" s="55">
        <f t="shared" si="455"/>
        <v>1</v>
      </c>
      <c r="D7135" s="3" t="str">
        <f t="shared" si="456"/>
        <v>SÁBADO</v>
      </c>
      <c r="E7135" s="427"/>
      <c r="F7135" s="31">
        <f>IFERROR(VLOOKUP(E7135,BD!$L$2:$Q$244,2,0),0)</f>
        <v>0</v>
      </c>
      <c r="G7135" s="424"/>
      <c r="H7135" s="31">
        <f>+IFERROR(VLOOKUP(E7135,BD!$L$2:$Q$244,6,0),0)</f>
        <v>0</v>
      </c>
      <c r="I7135" s="626">
        <f>IFERROR(G7135*VLOOKUP($E7135,BD!$L$2:$Q$244,5,0),0)</f>
        <v>0</v>
      </c>
      <c r="J7135" s="3">
        <f t="shared" si="457"/>
        <v>1900</v>
      </c>
    </row>
    <row r="7136" spans="1:10" s="9" customFormat="1" x14ac:dyDescent="0.25">
      <c r="A7136" s="447"/>
      <c r="B7136" s="55" t="str">
        <f t="shared" si="454"/>
        <v>ENERO</v>
      </c>
      <c r="C7136" s="55">
        <f t="shared" si="455"/>
        <v>1</v>
      </c>
      <c r="D7136" s="3" t="str">
        <f t="shared" si="456"/>
        <v>SÁBADO</v>
      </c>
      <c r="E7136" s="427"/>
      <c r="F7136" s="31">
        <f>IFERROR(VLOOKUP(E7136,BD!$L$2:$Q$244,2,0),0)</f>
        <v>0</v>
      </c>
      <c r="G7136" s="424"/>
      <c r="H7136" s="31">
        <f>+IFERROR(VLOOKUP(E7136,BD!$L$2:$Q$244,6,0),0)</f>
        <v>0</v>
      </c>
      <c r="I7136" s="626">
        <f>IFERROR(G7136*VLOOKUP($E7136,BD!$L$2:$Q$244,5,0),0)</f>
        <v>0</v>
      </c>
      <c r="J7136" s="3">
        <f t="shared" si="457"/>
        <v>1900</v>
      </c>
    </row>
    <row r="7137" spans="1:10" s="9" customFormat="1" x14ac:dyDescent="0.25">
      <c r="A7137" s="447"/>
      <c r="B7137" s="55" t="str">
        <f t="shared" si="454"/>
        <v>ENERO</v>
      </c>
      <c r="C7137" s="55">
        <f t="shared" si="455"/>
        <v>1</v>
      </c>
      <c r="D7137" s="3" t="str">
        <f t="shared" si="456"/>
        <v>SÁBADO</v>
      </c>
      <c r="E7137" s="427"/>
      <c r="F7137" s="31">
        <f>IFERROR(VLOOKUP(E7137,BD!$L$2:$Q$244,2,0),0)</f>
        <v>0</v>
      </c>
      <c r="G7137" s="424"/>
      <c r="H7137" s="31">
        <f>+IFERROR(VLOOKUP(E7137,BD!$L$2:$Q$244,6,0),0)</f>
        <v>0</v>
      </c>
      <c r="I7137" s="626">
        <f>IFERROR(G7137*VLOOKUP($E7137,BD!$L$2:$Q$244,5,0),0)</f>
        <v>0</v>
      </c>
      <c r="J7137" s="3">
        <f t="shared" si="457"/>
        <v>1900</v>
      </c>
    </row>
    <row r="7138" spans="1:10" s="9" customFormat="1" x14ac:dyDescent="0.25">
      <c r="A7138" s="447"/>
      <c r="B7138" s="55" t="str">
        <f t="shared" si="454"/>
        <v>ENERO</v>
      </c>
      <c r="C7138" s="55">
        <f t="shared" si="455"/>
        <v>1</v>
      </c>
      <c r="D7138" s="3" t="str">
        <f t="shared" si="456"/>
        <v>SÁBADO</v>
      </c>
      <c r="E7138" s="427"/>
      <c r="F7138" s="31">
        <f>IFERROR(VLOOKUP(E7138,BD!$L$2:$Q$244,2,0),0)</f>
        <v>0</v>
      </c>
      <c r="G7138" s="424"/>
      <c r="H7138" s="31">
        <f>+IFERROR(VLOOKUP(E7138,BD!$L$2:$Q$244,6,0),0)</f>
        <v>0</v>
      </c>
      <c r="I7138" s="626">
        <f>IFERROR(G7138*VLOOKUP($E7138,BD!$L$2:$Q$244,5,0),0)</f>
        <v>0</v>
      </c>
      <c r="J7138" s="3">
        <f t="shared" si="457"/>
        <v>1900</v>
      </c>
    </row>
    <row r="7139" spans="1:10" s="9" customFormat="1" x14ac:dyDescent="0.25">
      <c r="A7139" s="447"/>
      <c r="B7139" s="55" t="str">
        <f t="shared" si="454"/>
        <v>ENERO</v>
      </c>
      <c r="C7139" s="55">
        <f t="shared" si="455"/>
        <v>1</v>
      </c>
      <c r="D7139" s="3" t="str">
        <f t="shared" si="456"/>
        <v>SÁBADO</v>
      </c>
      <c r="E7139" s="427"/>
      <c r="F7139" s="31">
        <f>IFERROR(VLOOKUP(E7139,BD!$L$2:$Q$244,2,0),0)</f>
        <v>0</v>
      </c>
      <c r="G7139" s="424"/>
      <c r="H7139" s="31">
        <f>+IFERROR(VLOOKUP(E7139,BD!$L$2:$Q$244,6,0),0)</f>
        <v>0</v>
      </c>
      <c r="I7139" s="626">
        <f>IFERROR(G7139*VLOOKUP($E7139,BD!$L$2:$Q$244,5,0),0)</f>
        <v>0</v>
      </c>
      <c r="J7139" s="3">
        <f t="shared" si="457"/>
        <v>1900</v>
      </c>
    </row>
    <row r="7140" spans="1:10" s="9" customFormat="1" x14ac:dyDescent="0.25">
      <c r="A7140" s="447"/>
      <c r="B7140" s="55" t="str">
        <f t="shared" si="454"/>
        <v>ENERO</v>
      </c>
      <c r="C7140" s="55">
        <f t="shared" si="455"/>
        <v>1</v>
      </c>
      <c r="D7140" s="3" t="str">
        <f t="shared" si="456"/>
        <v>SÁBADO</v>
      </c>
      <c r="E7140" s="427"/>
      <c r="F7140" s="31">
        <f>IFERROR(VLOOKUP(E7140,BD!$L$2:$Q$244,2,0),0)</f>
        <v>0</v>
      </c>
      <c r="G7140" s="424"/>
      <c r="H7140" s="31">
        <f>+IFERROR(VLOOKUP(E7140,BD!$L$2:$Q$244,6,0),0)</f>
        <v>0</v>
      </c>
      <c r="I7140" s="626">
        <f>IFERROR(G7140*VLOOKUP($E7140,BD!$L$2:$Q$244,5,0),0)</f>
        <v>0</v>
      </c>
      <c r="J7140" s="3">
        <f t="shared" si="457"/>
        <v>1900</v>
      </c>
    </row>
    <row r="7141" spans="1:10" s="9" customFormat="1" x14ac:dyDescent="0.25">
      <c r="A7141" s="447"/>
      <c r="B7141" s="55" t="str">
        <f t="shared" si="454"/>
        <v>ENERO</v>
      </c>
      <c r="C7141" s="55">
        <f t="shared" si="455"/>
        <v>1</v>
      </c>
      <c r="D7141" s="3" t="str">
        <f t="shared" si="456"/>
        <v>SÁBADO</v>
      </c>
      <c r="E7141" s="427"/>
      <c r="F7141" s="31">
        <f>IFERROR(VLOOKUP(E7141,BD!$L$2:$Q$244,2,0),0)</f>
        <v>0</v>
      </c>
      <c r="G7141" s="424"/>
      <c r="H7141" s="31">
        <f>+IFERROR(VLOOKUP(E7141,BD!$L$2:$Q$244,6,0),0)</f>
        <v>0</v>
      </c>
      <c r="I7141" s="626">
        <f>IFERROR(G7141*VLOOKUP($E7141,BD!$L$2:$Q$244,5,0),0)</f>
        <v>0</v>
      </c>
      <c r="J7141" s="3">
        <f t="shared" si="457"/>
        <v>1900</v>
      </c>
    </row>
    <row r="7142" spans="1:10" s="9" customFormat="1" x14ac:dyDescent="0.25">
      <c r="A7142" s="447"/>
      <c r="B7142" s="55" t="str">
        <f t="shared" si="454"/>
        <v>ENERO</v>
      </c>
      <c r="C7142" s="55">
        <f t="shared" si="455"/>
        <v>1</v>
      </c>
      <c r="D7142" s="3" t="str">
        <f t="shared" si="456"/>
        <v>SÁBADO</v>
      </c>
      <c r="E7142" s="427"/>
      <c r="F7142" s="31">
        <f>IFERROR(VLOOKUP(E7142,BD!$L$2:$Q$244,2,0),0)</f>
        <v>0</v>
      </c>
      <c r="G7142" s="424"/>
      <c r="H7142" s="31">
        <f>+IFERROR(VLOOKUP(E7142,BD!$L$2:$Q$244,6,0),0)</f>
        <v>0</v>
      </c>
      <c r="I7142" s="626">
        <f>IFERROR(G7142*VLOOKUP($E7142,BD!$L$2:$Q$244,5,0),0)</f>
        <v>0</v>
      </c>
      <c r="J7142" s="3">
        <f t="shared" si="457"/>
        <v>1900</v>
      </c>
    </row>
    <row r="7143" spans="1:10" s="9" customFormat="1" x14ac:dyDescent="0.25">
      <c r="A7143" s="447"/>
      <c r="B7143" s="55" t="str">
        <f t="shared" si="454"/>
        <v>ENERO</v>
      </c>
      <c r="C7143" s="55">
        <f t="shared" si="455"/>
        <v>1</v>
      </c>
      <c r="D7143" s="3" t="str">
        <f t="shared" si="456"/>
        <v>SÁBADO</v>
      </c>
      <c r="E7143" s="427"/>
      <c r="F7143" s="31">
        <f>IFERROR(VLOOKUP(E7143,BD!$L$2:$Q$244,2,0),0)</f>
        <v>0</v>
      </c>
      <c r="G7143" s="424"/>
      <c r="H7143" s="31">
        <f>+IFERROR(VLOOKUP(E7143,BD!$L$2:$Q$244,6,0),0)</f>
        <v>0</v>
      </c>
      <c r="I7143" s="626">
        <f>IFERROR(G7143*VLOOKUP($E7143,BD!$L$2:$Q$244,5,0),0)</f>
        <v>0</v>
      </c>
      <c r="J7143" s="3">
        <f t="shared" si="457"/>
        <v>1900</v>
      </c>
    </row>
    <row r="7144" spans="1:10" s="9" customFormat="1" x14ac:dyDescent="0.25">
      <c r="A7144" s="447"/>
      <c r="B7144" s="55" t="str">
        <f t="shared" si="454"/>
        <v>ENERO</v>
      </c>
      <c r="C7144" s="55">
        <f t="shared" si="455"/>
        <v>1</v>
      </c>
      <c r="D7144" s="3" t="str">
        <f t="shared" si="456"/>
        <v>SÁBADO</v>
      </c>
      <c r="E7144" s="427"/>
      <c r="F7144" s="31">
        <f>IFERROR(VLOOKUP(E7144,BD!$L$2:$Q$244,2,0),0)</f>
        <v>0</v>
      </c>
      <c r="G7144" s="424"/>
      <c r="H7144" s="31">
        <f>+IFERROR(VLOOKUP(E7144,BD!$L$2:$Q$244,6,0),0)</f>
        <v>0</v>
      </c>
      <c r="I7144" s="626">
        <f>IFERROR(G7144*VLOOKUP($E7144,BD!$L$2:$Q$244,5,0),0)</f>
        <v>0</v>
      </c>
      <c r="J7144" s="3">
        <f t="shared" si="457"/>
        <v>1900</v>
      </c>
    </row>
    <row r="7145" spans="1:10" s="9" customFormat="1" x14ac:dyDescent="0.25">
      <c r="A7145" s="447"/>
      <c r="B7145" s="55" t="str">
        <f t="shared" si="454"/>
        <v>ENERO</v>
      </c>
      <c r="C7145" s="55">
        <f t="shared" si="455"/>
        <v>1</v>
      </c>
      <c r="D7145" s="3" t="str">
        <f t="shared" si="456"/>
        <v>SÁBADO</v>
      </c>
      <c r="E7145" s="427"/>
      <c r="F7145" s="31">
        <f>IFERROR(VLOOKUP(E7145,BD!$L$2:$Q$244,2,0),0)</f>
        <v>0</v>
      </c>
      <c r="G7145" s="424"/>
      <c r="H7145" s="31">
        <f>+IFERROR(VLOOKUP(E7145,BD!$L$2:$Q$244,6,0),0)</f>
        <v>0</v>
      </c>
      <c r="I7145" s="626">
        <f>IFERROR(G7145*VLOOKUP($E7145,BD!$L$2:$Q$244,5,0),0)</f>
        <v>0</v>
      </c>
      <c r="J7145" s="3">
        <f t="shared" si="457"/>
        <v>1900</v>
      </c>
    </row>
    <row r="7146" spans="1:10" s="9" customFormat="1" x14ac:dyDescent="0.25">
      <c r="A7146" s="447"/>
      <c r="B7146" s="55" t="str">
        <f t="shared" si="454"/>
        <v>ENERO</v>
      </c>
      <c r="C7146" s="55">
        <f t="shared" si="455"/>
        <v>1</v>
      </c>
      <c r="D7146" s="3" t="str">
        <f t="shared" si="456"/>
        <v>SÁBADO</v>
      </c>
      <c r="E7146" s="427"/>
      <c r="F7146" s="31">
        <f>IFERROR(VLOOKUP(E7146,BD!$L$2:$Q$244,2,0),0)</f>
        <v>0</v>
      </c>
      <c r="G7146" s="424"/>
      <c r="H7146" s="31">
        <f>+IFERROR(VLOOKUP(E7146,BD!$L$2:$Q$244,6,0),0)</f>
        <v>0</v>
      </c>
      <c r="I7146" s="626">
        <f>IFERROR(G7146*VLOOKUP($E7146,BD!$L$2:$Q$244,5,0),0)</f>
        <v>0</v>
      </c>
      <c r="J7146" s="3">
        <f t="shared" si="457"/>
        <v>1900</v>
      </c>
    </row>
    <row r="7147" spans="1:10" s="9" customFormat="1" x14ac:dyDescent="0.25">
      <c r="A7147" s="447"/>
      <c r="B7147" s="55" t="str">
        <f t="shared" si="454"/>
        <v>ENERO</v>
      </c>
      <c r="C7147" s="55">
        <f t="shared" si="455"/>
        <v>1</v>
      </c>
      <c r="D7147" s="3" t="str">
        <f t="shared" si="456"/>
        <v>SÁBADO</v>
      </c>
      <c r="E7147" s="427"/>
      <c r="F7147" s="31">
        <f>IFERROR(VLOOKUP(E7147,BD!$L$2:$Q$244,2,0),0)</f>
        <v>0</v>
      </c>
      <c r="G7147" s="424"/>
      <c r="H7147" s="31">
        <f>+IFERROR(VLOOKUP(E7147,BD!$L$2:$Q$244,6,0),0)</f>
        <v>0</v>
      </c>
      <c r="I7147" s="626">
        <f>IFERROR(G7147*VLOOKUP($E7147,BD!$L$2:$Q$244,5,0),0)</f>
        <v>0</v>
      </c>
      <c r="J7147" s="3">
        <f t="shared" si="457"/>
        <v>1900</v>
      </c>
    </row>
    <row r="7148" spans="1:10" s="9" customFormat="1" x14ac:dyDescent="0.25">
      <c r="A7148" s="447"/>
      <c r="B7148" s="55" t="str">
        <f t="shared" si="454"/>
        <v>ENERO</v>
      </c>
      <c r="C7148" s="55">
        <f t="shared" si="455"/>
        <v>1</v>
      </c>
      <c r="D7148" s="3" t="str">
        <f t="shared" si="456"/>
        <v>SÁBADO</v>
      </c>
      <c r="E7148" s="427"/>
      <c r="F7148" s="31">
        <f>IFERROR(VLOOKUP(E7148,BD!$L$2:$Q$244,2,0),0)</f>
        <v>0</v>
      </c>
      <c r="G7148" s="424"/>
      <c r="H7148" s="31">
        <f>+IFERROR(VLOOKUP(E7148,BD!$L$2:$Q$244,6,0),0)</f>
        <v>0</v>
      </c>
      <c r="I7148" s="626">
        <f>IFERROR(G7148*VLOOKUP($E7148,BD!$L$2:$Q$244,5,0),0)</f>
        <v>0</v>
      </c>
      <c r="J7148" s="3">
        <f t="shared" si="457"/>
        <v>1900</v>
      </c>
    </row>
    <row r="7149" spans="1:10" s="9" customFormat="1" x14ac:dyDescent="0.25">
      <c r="A7149" s="447"/>
      <c r="B7149" s="55" t="str">
        <f t="shared" si="454"/>
        <v>ENERO</v>
      </c>
      <c r="C7149" s="55">
        <f t="shared" si="455"/>
        <v>1</v>
      </c>
      <c r="D7149" s="3" t="str">
        <f t="shared" si="456"/>
        <v>SÁBADO</v>
      </c>
      <c r="E7149" s="427"/>
      <c r="F7149" s="31">
        <f>IFERROR(VLOOKUP(E7149,BD!$L$2:$Q$244,2,0),0)</f>
        <v>0</v>
      </c>
      <c r="G7149" s="424"/>
      <c r="H7149" s="31">
        <f>+IFERROR(VLOOKUP(E7149,BD!$L$2:$Q$244,6,0),0)</f>
        <v>0</v>
      </c>
      <c r="I7149" s="626">
        <f>IFERROR(G7149*VLOOKUP($E7149,BD!$L$2:$Q$244,5,0),0)</f>
        <v>0</v>
      </c>
      <c r="J7149" s="3">
        <f t="shared" si="457"/>
        <v>1900</v>
      </c>
    </row>
    <row r="7150" spans="1:10" s="9" customFormat="1" x14ac:dyDescent="0.25">
      <c r="A7150" s="447"/>
      <c r="B7150" s="55" t="str">
        <f t="shared" si="454"/>
        <v>ENERO</v>
      </c>
      <c r="C7150" s="55">
        <f t="shared" si="455"/>
        <v>1</v>
      </c>
      <c r="D7150" s="3" t="str">
        <f t="shared" si="456"/>
        <v>SÁBADO</v>
      </c>
      <c r="E7150" s="427"/>
      <c r="F7150" s="31">
        <f>IFERROR(VLOOKUP(E7150,BD!$L$2:$Q$244,2,0),0)</f>
        <v>0</v>
      </c>
      <c r="G7150" s="424"/>
      <c r="H7150" s="31">
        <f>+IFERROR(VLOOKUP(E7150,BD!$L$2:$Q$244,6,0),0)</f>
        <v>0</v>
      </c>
      <c r="I7150" s="626">
        <f>IFERROR(G7150*VLOOKUP($E7150,BD!$L$2:$Q$244,5,0),0)</f>
        <v>0</v>
      </c>
      <c r="J7150" s="3">
        <f t="shared" si="457"/>
        <v>1900</v>
      </c>
    </row>
    <row r="7151" spans="1:10" s="9" customFormat="1" x14ac:dyDescent="0.25">
      <c r="A7151" s="447"/>
      <c r="B7151" s="55" t="str">
        <f t="shared" si="454"/>
        <v>ENERO</v>
      </c>
      <c r="C7151" s="55">
        <f t="shared" si="455"/>
        <v>1</v>
      </c>
      <c r="D7151" s="3" t="str">
        <f t="shared" si="456"/>
        <v>SÁBADO</v>
      </c>
      <c r="E7151" s="427"/>
      <c r="F7151" s="31">
        <f>IFERROR(VLOOKUP(E7151,BD!$L$2:$Q$244,2,0),0)</f>
        <v>0</v>
      </c>
      <c r="G7151" s="424"/>
      <c r="H7151" s="31">
        <f>+IFERROR(VLOOKUP(E7151,BD!$L$2:$Q$244,6,0),0)</f>
        <v>0</v>
      </c>
      <c r="I7151" s="626">
        <f>IFERROR(G7151*VLOOKUP($E7151,BD!$L$2:$Q$244,5,0),0)</f>
        <v>0</v>
      </c>
      <c r="J7151" s="3">
        <f t="shared" si="457"/>
        <v>1900</v>
      </c>
    </row>
    <row r="7152" spans="1:10" s="9" customFormat="1" x14ac:dyDescent="0.25">
      <c r="A7152" s="447"/>
      <c r="B7152" s="55" t="str">
        <f t="shared" si="454"/>
        <v>ENERO</v>
      </c>
      <c r="C7152" s="55">
        <f t="shared" si="455"/>
        <v>1</v>
      </c>
      <c r="D7152" s="3" t="str">
        <f t="shared" si="456"/>
        <v>SÁBADO</v>
      </c>
      <c r="E7152" s="427"/>
      <c r="F7152" s="31">
        <f>IFERROR(VLOOKUP(E7152,BD!$L$2:$Q$244,2,0),0)</f>
        <v>0</v>
      </c>
      <c r="G7152" s="424"/>
      <c r="H7152" s="31">
        <f>+IFERROR(VLOOKUP(E7152,BD!$L$2:$Q$244,6,0),0)</f>
        <v>0</v>
      </c>
      <c r="I7152" s="626">
        <f>IFERROR(G7152*VLOOKUP($E7152,BD!$L$2:$Q$244,5,0),0)</f>
        <v>0</v>
      </c>
      <c r="J7152" s="3">
        <f t="shared" si="457"/>
        <v>1900</v>
      </c>
    </row>
    <row r="7153" spans="1:10" s="9" customFormat="1" x14ac:dyDescent="0.25">
      <c r="A7153" s="447"/>
      <c r="B7153" s="55" t="str">
        <f t="shared" si="454"/>
        <v>ENERO</v>
      </c>
      <c r="C7153" s="55">
        <f t="shared" si="455"/>
        <v>1</v>
      </c>
      <c r="D7153" s="3" t="str">
        <f t="shared" si="456"/>
        <v>SÁBADO</v>
      </c>
      <c r="E7153" s="427"/>
      <c r="F7153" s="31">
        <f>IFERROR(VLOOKUP(E7153,BD!$L$2:$Q$244,2,0),0)</f>
        <v>0</v>
      </c>
      <c r="G7153" s="424"/>
      <c r="H7153" s="31">
        <f>+IFERROR(VLOOKUP(E7153,BD!$L$2:$Q$244,6,0),0)</f>
        <v>0</v>
      </c>
      <c r="I7153" s="626">
        <f>IFERROR(G7153*VLOOKUP($E7153,BD!$L$2:$Q$244,5,0),0)</f>
        <v>0</v>
      </c>
      <c r="J7153" s="3">
        <f t="shared" si="457"/>
        <v>1900</v>
      </c>
    </row>
    <row r="7154" spans="1:10" s="9" customFormat="1" x14ac:dyDescent="0.25">
      <c r="A7154" s="447"/>
      <c r="B7154" s="55" t="str">
        <f t="shared" si="454"/>
        <v>ENERO</v>
      </c>
      <c r="C7154" s="55">
        <f t="shared" si="455"/>
        <v>1</v>
      </c>
      <c r="D7154" s="3" t="str">
        <f t="shared" si="456"/>
        <v>SÁBADO</v>
      </c>
      <c r="E7154" s="427"/>
      <c r="F7154" s="31">
        <f>IFERROR(VLOOKUP(E7154,BD!$L$2:$Q$244,2,0),0)</f>
        <v>0</v>
      </c>
      <c r="G7154" s="424"/>
      <c r="H7154" s="31">
        <f>+IFERROR(VLOOKUP(E7154,BD!$L$2:$Q$244,6,0),0)</f>
        <v>0</v>
      </c>
      <c r="I7154" s="626">
        <f>IFERROR(G7154*VLOOKUP($E7154,BD!$L$2:$Q$244,5,0),0)</f>
        <v>0</v>
      </c>
      <c r="J7154" s="3">
        <f t="shared" si="457"/>
        <v>1900</v>
      </c>
    </row>
    <row r="7155" spans="1:10" s="9" customFormat="1" x14ac:dyDescent="0.25">
      <c r="A7155" s="447"/>
      <c r="B7155" s="55" t="str">
        <f t="shared" si="454"/>
        <v>ENERO</v>
      </c>
      <c r="C7155" s="55">
        <f t="shared" si="455"/>
        <v>1</v>
      </c>
      <c r="D7155" s="3" t="str">
        <f t="shared" si="456"/>
        <v>SÁBADO</v>
      </c>
      <c r="E7155" s="427"/>
      <c r="F7155" s="31">
        <f>IFERROR(VLOOKUP(E7155,BD!$L$2:$Q$244,2,0),0)</f>
        <v>0</v>
      </c>
      <c r="G7155" s="424"/>
      <c r="H7155" s="31">
        <f>+IFERROR(VLOOKUP(E7155,BD!$L$2:$Q$244,6,0),0)</f>
        <v>0</v>
      </c>
      <c r="I7155" s="626">
        <f>IFERROR(G7155*VLOOKUP($E7155,BD!$L$2:$Q$244,5,0),0)</f>
        <v>0</v>
      </c>
      <c r="J7155" s="3">
        <f t="shared" si="457"/>
        <v>1900</v>
      </c>
    </row>
    <row r="7156" spans="1:10" s="9" customFormat="1" x14ac:dyDescent="0.25">
      <c r="A7156" s="447"/>
      <c r="B7156" s="55" t="str">
        <f t="shared" si="454"/>
        <v>ENERO</v>
      </c>
      <c r="C7156" s="55">
        <f t="shared" si="455"/>
        <v>1</v>
      </c>
      <c r="D7156" s="3" t="str">
        <f t="shared" si="456"/>
        <v>SÁBADO</v>
      </c>
      <c r="E7156" s="427"/>
      <c r="F7156" s="31">
        <f>IFERROR(VLOOKUP(E7156,BD!$L$2:$Q$244,2,0),0)</f>
        <v>0</v>
      </c>
      <c r="G7156" s="424"/>
      <c r="H7156" s="31">
        <f>+IFERROR(VLOOKUP(E7156,BD!$L$2:$Q$244,6,0),0)</f>
        <v>0</v>
      </c>
      <c r="I7156" s="626">
        <f>IFERROR(G7156*VLOOKUP($E7156,BD!$L$2:$Q$244,5,0),0)</f>
        <v>0</v>
      </c>
      <c r="J7156" s="3">
        <f t="shared" si="457"/>
        <v>1900</v>
      </c>
    </row>
    <row r="7157" spans="1:10" s="9" customFormat="1" x14ac:dyDescent="0.25">
      <c r="A7157" s="447"/>
      <c r="B7157" s="55" t="str">
        <f t="shared" si="454"/>
        <v>ENERO</v>
      </c>
      <c r="C7157" s="55">
        <f t="shared" si="455"/>
        <v>1</v>
      </c>
      <c r="D7157" s="3" t="str">
        <f t="shared" si="456"/>
        <v>SÁBADO</v>
      </c>
      <c r="E7157" s="427"/>
      <c r="F7157" s="31">
        <f>IFERROR(VLOOKUP(E7157,BD!$L$2:$Q$244,2,0),0)</f>
        <v>0</v>
      </c>
      <c r="G7157" s="424"/>
      <c r="H7157" s="31">
        <f>+IFERROR(VLOOKUP(E7157,BD!$L$2:$Q$244,6,0),0)</f>
        <v>0</v>
      </c>
      <c r="I7157" s="626">
        <f>IFERROR(G7157*VLOOKUP($E7157,BD!$L$2:$Q$244,5,0),0)</f>
        <v>0</v>
      </c>
      <c r="J7157" s="3">
        <f t="shared" si="457"/>
        <v>1900</v>
      </c>
    </row>
    <row r="7158" spans="1:10" s="9" customFormat="1" x14ac:dyDescent="0.25">
      <c r="A7158" s="447"/>
      <c r="B7158" s="55" t="str">
        <f t="shared" si="454"/>
        <v>ENERO</v>
      </c>
      <c r="C7158" s="55">
        <f t="shared" si="455"/>
        <v>1</v>
      </c>
      <c r="D7158" s="3" t="str">
        <f t="shared" si="456"/>
        <v>SÁBADO</v>
      </c>
      <c r="E7158" s="427"/>
      <c r="F7158" s="31">
        <f>IFERROR(VLOOKUP(E7158,BD!$L$2:$Q$244,2,0),0)</f>
        <v>0</v>
      </c>
      <c r="G7158" s="424"/>
      <c r="H7158" s="31">
        <f>+IFERROR(VLOOKUP(E7158,BD!$L$2:$Q$244,6,0),0)</f>
        <v>0</v>
      </c>
      <c r="I7158" s="626">
        <f>IFERROR(G7158*VLOOKUP($E7158,BD!$L$2:$Q$244,5,0),0)</f>
        <v>0</v>
      </c>
      <c r="J7158" s="3">
        <f t="shared" si="457"/>
        <v>1900</v>
      </c>
    </row>
    <row r="7159" spans="1:10" s="9" customFormat="1" x14ac:dyDescent="0.25">
      <c r="A7159" s="447"/>
      <c r="B7159" s="55" t="str">
        <f t="shared" si="454"/>
        <v>ENERO</v>
      </c>
      <c r="C7159" s="55">
        <f t="shared" si="455"/>
        <v>1</v>
      </c>
      <c r="D7159" s="3" t="str">
        <f t="shared" si="456"/>
        <v>SÁBADO</v>
      </c>
      <c r="E7159" s="427"/>
      <c r="F7159" s="31">
        <f>IFERROR(VLOOKUP(E7159,BD!$L$2:$Q$244,2,0),0)</f>
        <v>0</v>
      </c>
      <c r="G7159" s="424"/>
      <c r="H7159" s="31">
        <f>+IFERROR(VLOOKUP(E7159,BD!$L$2:$Q$244,6,0),0)</f>
        <v>0</v>
      </c>
      <c r="I7159" s="626">
        <f>IFERROR(G7159*VLOOKUP($E7159,BD!$L$2:$Q$244,5,0),0)</f>
        <v>0</v>
      </c>
      <c r="J7159" s="3">
        <f t="shared" si="457"/>
        <v>1900</v>
      </c>
    </row>
    <row r="7160" spans="1:10" s="9" customFormat="1" x14ac:dyDescent="0.25">
      <c r="A7160" s="447"/>
      <c r="B7160" s="55" t="str">
        <f t="shared" si="454"/>
        <v>ENERO</v>
      </c>
      <c r="C7160" s="55">
        <f t="shared" si="455"/>
        <v>1</v>
      </c>
      <c r="D7160" s="3" t="str">
        <f t="shared" si="456"/>
        <v>SÁBADO</v>
      </c>
      <c r="E7160" s="427"/>
      <c r="F7160" s="31">
        <f>IFERROR(VLOOKUP(E7160,BD!$L$2:$Q$244,2,0),0)</f>
        <v>0</v>
      </c>
      <c r="G7160" s="424"/>
      <c r="H7160" s="31">
        <f>+IFERROR(VLOOKUP(E7160,BD!$L$2:$Q$244,6,0),0)</f>
        <v>0</v>
      </c>
      <c r="I7160" s="626">
        <f>IFERROR(G7160*VLOOKUP($E7160,BD!$L$2:$Q$244,5,0),0)</f>
        <v>0</v>
      </c>
      <c r="J7160" s="3">
        <f t="shared" si="457"/>
        <v>1900</v>
      </c>
    </row>
    <row r="7161" spans="1:10" s="9" customFormat="1" x14ac:dyDescent="0.25">
      <c r="A7161" s="447"/>
      <c r="B7161" s="55" t="str">
        <f t="shared" si="454"/>
        <v>ENERO</v>
      </c>
      <c r="C7161" s="55">
        <f t="shared" si="455"/>
        <v>1</v>
      </c>
      <c r="D7161" s="3" t="str">
        <f t="shared" si="456"/>
        <v>SÁBADO</v>
      </c>
      <c r="E7161" s="427"/>
      <c r="F7161" s="31">
        <f>IFERROR(VLOOKUP(E7161,BD!$L$2:$Q$244,2,0),0)</f>
        <v>0</v>
      </c>
      <c r="G7161" s="424"/>
      <c r="H7161" s="31">
        <f>+IFERROR(VLOOKUP(E7161,BD!$L$2:$Q$244,6,0),0)</f>
        <v>0</v>
      </c>
      <c r="I7161" s="626">
        <f>IFERROR(G7161*VLOOKUP($E7161,BD!$L$2:$Q$244,5,0),0)</f>
        <v>0</v>
      </c>
      <c r="J7161" s="3">
        <f t="shared" si="457"/>
        <v>1900</v>
      </c>
    </row>
    <row r="7162" spans="1:10" s="9" customFormat="1" x14ac:dyDescent="0.25">
      <c r="A7162" s="447"/>
      <c r="B7162" s="55" t="str">
        <f t="shared" si="454"/>
        <v>ENERO</v>
      </c>
      <c r="C7162" s="55">
        <f t="shared" si="455"/>
        <v>1</v>
      </c>
      <c r="D7162" s="3" t="str">
        <f t="shared" si="456"/>
        <v>SÁBADO</v>
      </c>
      <c r="E7162" s="427"/>
      <c r="F7162" s="31">
        <f>IFERROR(VLOOKUP(E7162,BD!$L$2:$Q$244,2,0),0)</f>
        <v>0</v>
      </c>
      <c r="G7162" s="424"/>
      <c r="H7162" s="31">
        <f>+IFERROR(VLOOKUP(E7162,BD!$L$2:$Q$244,6,0),0)</f>
        <v>0</v>
      </c>
      <c r="I7162" s="626">
        <f>IFERROR(G7162*VLOOKUP($E7162,BD!$L$2:$Q$244,5,0),0)</f>
        <v>0</v>
      </c>
      <c r="J7162" s="3">
        <f t="shared" si="457"/>
        <v>1900</v>
      </c>
    </row>
    <row r="7163" spans="1:10" s="9" customFormat="1" x14ac:dyDescent="0.25">
      <c r="A7163" s="447"/>
      <c r="B7163" s="55" t="str">
        <f t="shared" si="454"/>
        <v>ENERO</v>
      </c>
      <c r="C7163" s="55">
        <f t="shared" si="455"/>
        <v>1</v>
      </c>
      <c r="D7163" s="3" t="str">
        <f t="shared" si="456"/>
        <v>SÁBADO</v>
      </c>
      <c r="E7163" s="427"/>
      <c r="F7163" s="31">
        <f>IFERROR(VLOOKUP(E7163,BD!$L$2:$Q$244,2,0),0)</f>
        <v>0</v>
      </c>
      <c r="G7163" s="424"/>
      <c r="H7163" s="31">
        <f>+IFERROR(VLOOKUP(E7163,BD!$L$2:$Q$244,6,0),0)</f>
        <v>0</v>
      </c>
      <c r="I7163" s="626">
        <f>IFERROR(G7163*VLOOKUP($E7163,BD!$L$2:$Q$244,5,0),0)</f>
        <v>0</v>
      </c>
      <c r="J7163" s="3">
        <f t="shared" si="457"/>
        <v>1900</v>
      </c>
    </row>
    <row r="7164" spans="1:10" s="9" customFormat="1" x14ac:dyDescent="0.25">
      <c r="A7164" s="447"/>
      <c r="B7164" s="55" t="str">
        <f t="shared" si="454"/>
        <v>ENERO</v>
      </c>
      <c r="C7164" s="55">
        <f t="shared" si="455"/>
        <v>1</v>
      </c>
      <c r="D7164" s="3" t="str">
        <f t="shared" si="456"/>
        <v>SÁBADO</v>
      </c>
      <c r="E7164" s="427"/>
      <c r="F7164" s="31">
        <f>IFERROR(VLOOKUP(E7164,BD!$L$2:$Q$244,2,0),0)</f>
        <v>0</v>
      </c>
      <c r="G7164" s="424"/>
      <c r="H7164" s="31">
        <f>+IFERROR(VLOOKUP(E7164,BD!$L$2:$Q$244,6,0),0)</f>
        <v>0</v>
      </c>
      <c r="I7164" s="626">
        <f>IFERROR(G7164*VLOOKUP($E7164,BD!$L$2:$Q$244,5,0),0)</f>
        <v>0</v>
      </c>
      <c r="J7164" s="3">
        <f t="shared" si="457"/>
        <v>1900</v>
      </c>
    </row>
    <row r="7165" spans="1:10" s="9" customFormat="1" x14ac:dyDescent="0.25">
      <c r="A7165" s="447"/>
      <c r="B7165" s="55" t="str">
        <f t="shared" ref="B7165:B7228" si="458">UPPER(TEXT(A7165,"MMMM"))</f>
        <v>ENERO</v>
      </c>
      <c r="C7165" s="55">
        <f t="shared" ref="C7165:C7228" si="459">WEEKNUM(A7165,16)</f>
        <v>1</v>
      </c>
      <c r="D7165" s="3" t="str">
        <f t="shared" ref="D7165:D7228" si="460">UPPER(TEXT(A7165,"DDDD"))</f>
        <v>SÁBADO</v>
      </c>
      <c r="E7165" s="427"/>
      <c r="F7165" s="31">
        <f>IFERROR(VLOOKUP(E7165,BD!$L$2:$Q$244,2,0),0)</f>
        <v>0</v>
      </c>
      <c r="G7165" s="424"/>
      <c r="H7165" s="31">
        <f>+IFERROR(VLOOKUP(E7165,BD!$L$2:$Q$244,6,0),0)</f>
        <v>0</v>
      </c>
      <c r="I7165" s="626">
        <f>IFERROR(G7165*VLOOKUP($E7165,BD!$L$2:$Q$244,5,0),0)</f>
        <v>0</v>
      </c>
      <c r="J7165" s="3">
        <f t="shared" ref="J7165:J7228" si="461">+YEAR(A7165)</f>
        <v>1900</v>
      </c>
    </row>
    <row r="7166" spans="1:10" s="9" customFormat="1" x14ac:dyDescent="0.25">
      <c r="A7166" s="447"/>
      <c r="B7166" s="55" t="str">
        <f t="shared" si="458"/>
        <v>ENERO</v>
      </c>
      <c r="C7166" s="55">
        <f t="shared" si="459"/>
        <v>1</v>
      </c>
      <c r="D7166" s="3" t="str">
        <f t="shared" si="460"/>
        <v>SÁBADO</v>
      </c>
      <c r="E7166" s="427"/>
      <c r="F7166" s="31">
        <f>IFERROR(VLOOKUP(E7166,BD!$L$2:$Q$244,2,0),0)</f>
        <v>0</v>
      </c>
      <c r="G7166" s="424"/>
      <c r="H7166" s="31">
        <f>+IFERROR(VLOOKUP(E7166,BD!$L$2:$Q$244,6,0),0)</f>
        <v>0</v>
      </c>
      <c r="I7166" s="626">
        <f>IFERROR(G7166*VLOOKUP($E7166,BD!$L$2:$Q$244,5,0),0)</f>
        <v>0</v>
      </c>
      <c r="J7166" s="3">
        <f t="shared" si="461"/>
        <v>1900</v>
      </c>
    </row>
    <row r="7167" spans="1:10" s="9" customFormat="1" x14ac:dyDescent="0.25">
      <c r="A7167" s="447"/>
      <c r="B7167" s="55" t="str">
        <f t="shared" si="458"/>
        <v>ENERO</v>
      </c>
      <c r="C7167" s="55">
        <f t="shared" si="459"/>
        <v>1</v>
      </c>
      <c r="D7167" s="3" t="str">
        <f t="shared" si="460"/>
        <v>SÁBADO</v>
      </c>
      <c r="E7167" s="427"/>
      <c r="F7167" s="31">
        <f>IFERROR(VLOOKUP(E7167,BD!$L$2:$Q$244,2,0),0)</f>
        <v>0</v>
      </c>
      <c r="G7167" s="424"/>
      <c r="H7167" s="31">
        <f>+IFERROR(VLOOKUP(E7167,BD!$L$2:$Q$244,6,0),0)</f>
        <v>0</v>
      </c>
      <c r="I7167" s="626">
        <f>IFERROR(G7167*VLOOKUP($E7167,BD!$L$2:$Q$244,5,0),0)</f>
        <v>0</v>
      </c>
      <c r="J7167" s="3">
        <f t="shared" si="461"/>
        <v>1900</v>
      </c>
    </row>
    <row r="7168" spans="1:10" s="9" customFormat="1" x14ac:dyDescent="0.25">
      <c r="A7168" s="447"/>
      <c r="B7168" s="55" t="str">
        <f t="shared" si="458"/>
        <v>ENERO</v>
      </c>
      <c r="C7168" s="55">
        <f t="shared" si="459"/>
        <v>1</v>
      </c>
      <c r="D7168" s="3" t="str">
        <f t="shared" si="460"/>
        <v>SÁBADO</v>
      </c>
      <c r="E7168" s="427"/>
      <c r="F7168" s="31">
        <f>IFERROR(VLOOKUP(E7168,BD!$L$2:$Q$244,2,0),0)</f>
        <v>0</v>
      </c>
      <c r="G7168" s="424"/>
      <c r="H7168" s="31">
        <f>+IFERROR(VLOOKUP(E7168,BD!$L$2:$Q$244,6,0),0)</f>
        <v>0</v>
      </c>
      <c r="I7168" s="626">
        <f>IFERROR(G7168*VLOOKUP($E7168,BD!$L$2:$Q$244,5,0),0)</f>
        <v>0</v>
      </c>
      <c r="J7168" s="3">
        <f t="shared" si="461"/>
        <v>1900</v>
      </c>
    </row>
    <row r="7169" spans="1:10" s="9" customFormat="1" x14ac:dyDescent="0.25">
      <c r="A7169" s="447"/>
      <c r="B7169" s="55" t="str">
        <f t="shared" si="458"/>
        <v>ENERO</v>
      </c>
      <c r="C7169" s="55">
        <f t="shared" si="459"/>
        <v>1</v>
      </c>
      <c r="D7169" s="3" t="str">
        <f t="shared" si="460"/>
        <v>SÁBADO</v>
      </c>
      <c r="E7169" s="427"/>
      <c r="F7169" s="31">
        <f>IFERROR(VLOOKUP(E7169,BD!$L$2:$Q$244,2,0),0)</f>
        <v>0</v>
      </c>
      <c r="G7169" s="424"/>
      <c r="H7169" s="31">
        <f>+IFERROR(VLOOKUP(E7169,BD!$L$2:$Q$244,6,0),0)</f>
        <v>0</v>
      </c>
      <c r="I7169" s="626">
        <f>IFERROR(G7169*VLOOKUP($E7169,BD!$L$2:$Q$244,5,0),0)</f>
        <v>0</v>
      </c>
      <c r="J7169" s="3">
        <f t="shared" si="461"/>
        <v>1900</v>
      </c>
    </row>
    <row r="7170" spans="1:10" s="9" customFormat="1" x14ac:dyDescent="0.25">
      <c r="A7170" s="447"/>
      <c r="B7170" s="55" t="str">
        <f t="shared" si="458"/>
        <v>ENERO</v>
      </c>
      <c r="C7170" s="55">
        <f t="shared" si="459"/>
        <v>1</v>
      </c>
      <c r="D7170" s="3" t="str">
        <f t="shared" si="460"/>
        <v>SÁBADO</v>
      </c>
      <c r="E7170" s="427"/>
      <c r="F7170" s="31">
        <f>IFERROR(VLOOKUP(E7170,BD!$L$2:$Q$244,2,0),0)</f>
        <v>0</v>
      </c>
      <c r="G7170" s="424"/>
      <c r="H7170" s="31">
        <f>+IFERROR(VLOOKUP(E7170,BD!$L$2:$Q$244,6,0),0)</f>
        <v>0</v>
      </c>
      <c r="I7170" s="626">
        <f>IFERROR(G7170*VLOOKUP($E7170,BD!$L$2:$Q$244,5,0),0)</f>
        <v>0</v>
      </c>
      <c r="J7170" s="3">
        <f t="shared" si="461"/>
        <v>1900</v>
      </c>
    </row>
    <row r="7171" spans="1:10" s="9" customFormat="1" x14ac:dyDescent="0.25">
      <c r="A7171" s="447"/>
      <c r="B7171" s="55" t="str">
        <f t="shared" si="458"/>
        <v>ENERO</v>
      </c>
      <c r="C7171" s="55">
        <f t="shared" si="459"/>
        <v>1</v>
      </c>
      <c r="D7171" s="3" t="str">
        <f t="shared" si="460"/>
        <v>SÁBADO</v>
      </c>
      <c r="E7171" s="427"/>
      <c r="F7171" s="31">
        <f>IFERROR(VLOOKUP(E7171,BD!$L$2:$Q$244,2,0),0)</f>
        <v>0</v>
      </c>
      <c r="G7171" s="424"/>
      <c r="H7171" s="31">
        <f>+IFERROR(VLOOKUP(E7171,BD!$L$2:$Q$244,6,0),0)</f>
        <v>0</v>
      </c>
      <c r="I7171" s="626">
        <f>IFERROR(G7171*VLOOKUP($E7171,BD!$L$2:$Q$244,5,0),0)</f>
        <v>0</v>
      </c>
      <c r="J7171" s="3">
        <f t="shared" si="461"/>
        <v>1900</v>
      </c>
    </row>
    <row r="7172" spans="1:10" s="9" customFormat="1" x14ac:dyDescent="0.25">
      <c r="A7172" s="447"/>
      <c r="B7172" s="55" t="str">
        <f t="shared" si="458"/>
        <v>ENERO</v>
      </c>
      <c r="C7172" s="55">
        <f t="shared" si="459"/>
        <v>1</v>
      </c>
      <c r="D7172" s="3" t="str">
        <f t="shared" si="460"/>
        <v>SÁBADO</v>
      </c>
      <c r="E7172" s="427"/>
      <c r="F7172" s="31">
        <f>IFERROR(VLOOKUP(E7172,BD!$L$2:$Q$244,2,0),0)</f>
        <v>0</v>
      </c>
      <c r="G7172" s="424"/>
      <c r="H7172" s="31">
        <f>+IFERROR(VLOOKUP(E7172,BD!$L$2:$Q$244,6,0),0)</f>
        <v>0</v>
      </c>
      <c r="I7172" s="626">
        <f>IFERROR(G7172*VLOOKUP($E7172,BD!$L$2:$Q$244,5,0),0)</f>
        <v>0</v>
      </c>
      <c r="J7172" s="3">
        <f t="shared" si="461"/>
        <v>1900</v>
      </c>
    </row>
    <row r="7173" spans="1:10" s="9" customFormat="1" x14ac:dyDescent="0.25">
      <c r="A7173" s="447"/>
      <c r="B7173" s="55" t="str">
        <f t="shared" si="458"/>
        <v>ENERO</v>
      </c>
      <c r="C7173" s="55">
        <f t="shared" si="459"/>
        <v>1</v>
      </c>
      <c r="D7173" s="3" t="str">
        <f t="shared" si="460"/>
        <v>SÁBADO</v>
      </c>
      <c r="E7173" s="427"/>
      <c r="F7173" s="31">
        <f>IFERROR(VLOOKUP(E7173,BD!$L$2:$Q$244,2,0),0)</f>
        <v>0</v>
      </c>
      <c r="G7173" s="424"/>
      <c r="H7173" s="31">
        <f>+IFERROR(VLOOKUP(E7173,BD!$L$2:$Q$244,6,0),0)</f>
        <v>0</v>
      </c>
      <c r="I7173" s="626">
        <f>IFERROR(G7173*VLOOKUP($E7173,BD!$L$2:$Q$244,5,0),0)</f>
        <v>0</v>
      </c>
      <c r="J7173" s="3">
        <f t="shared" si="461"/>
        <v>1900</v>
      </c>
    </row>
    <row r="7174" spans="1:10" s="9" customFormat="1" x14ac:dyDescent="0.25">
      <c r="A7174" s="447"/>
      <c r="B7174" s="55" t="str">
        <f t="shared" si="458"/>
        <v>ENERO</v>
      </c>
      <c r="C7174" s="55">
        <f t="shared" si="459"/>
        <v>1</v>
      </c>
      <c r="D7174" s="3" t="str">
        <f t="shared" si="460"/>
        <v>SÁBADO</v>
      </c>
      <c r="E7174" s="427"/>
      <c r="F7174" s="31">
        <f>IFERROR(VLOOKUP(E7174,BD!$L$2:$Q$244,2,0),0)</f>
        <v>0</v>
      </c>
      <c r="G7174" s="424"/>
      <c r="H7174" s="31">
        <f>+IFERROR(VLOOKUP(E7174,BD!$L$2:$Q$244,6,0),0)</f>
        <v>0</v>
      </c>
      <c r="I7174" s="626">
        <f>IFERROR(G7174*VLOOKUP($E7174,BD!$L$2:$Q$244,5,0),0)</f>
        <v>0</v>
      </c>
      <c r="J7174" s="3">
        <f t="shared" si="461"/>
        <v>1900</v>
      </c>
    </row>
    <row r="7175" spans="1:10" s="9" customFormat="1" x14ac:dyDescent="0.25">
      <c r="A7175" s="447"/>
      <c r="B7175" s="55" t="str">
        <f t="shared" si="458"/>
        <v>ENERO</v>
      </c>
      <c r="C7175" s="55">
        <f t="shared" si="459"/>
        <v>1</v>
      </c>
      <c r="D7175" s="3" t="str">
        <f t="shared" si="460"/>
        <v>SÁBADO</v>
      </c>
      <c r="E7175" s="427"/>
      <c r="F7175" s="31">
        <f>IFERROR(VLOOKUP(E7175,BD!$L$2:$Q$244,2,0),0)</f>
        <v>0</v>
      </c>
      <c r="G7175" s="424"/>
      <c r="H7175" s="31">
        <f>+IFERROR(VLOOKUP(E7175,BD!$L$2:$Q$244,6,0),0)</f>
        <v>0</v>
      </c>
      <c r="I7175" s="626">
        <f>IFERROR(G7175*VLOOKUP($E7175,BD!$L$2:$Q$244,5,0),0)</f>
        <v>0</v>
      </c>
      <c r="J7175" s="3">
        <f t="shared" si="461"/>
        <v>1900</v>
      </c>
    </row>
    <row r="7176" spans="1:10" s="9" customFormat="1" x14ac:dyDescent="0.25">
      <c r="A7176" s="447"/>
      <c r="B7176" s="55" t="str">
        <f t="shared" si="458"/>
        <v>ENERO</v>
      </c>
      <c r="C7176" s="55">
        <f t="shared" si="459"/>
        <v>1</v>
      </c>
      <c r="D7176" s="3" t="str">
        <f t="shared" si="460"/>
        <v>SÁBADO</v>
      </c>
      <c r="E7176" s="427"/>
      <c r="F7176" s="31">
        <f>IFERROR(VLOOKUP(E7176,BD!$L$2:$Q$244,2,0),0)</f>
        <v>0</v>
      </c>
      <c r="G7176" s="424"/>
      <c r="H7176" s="31">
        <f>+IFERROR(VLOOKUP(E7176,BD!$L$2:$Q$244,6,0),0)</f>
        <v>0</v>
      </c>
      <c r="I7176" s="626">
        <f>IFERROR(G7176*VLOOKUP($E7176,BD!$L$2:$Q$244,5,0),0)</f>
        <v>0</v>
      </c>
      <c r="J7176" s="3">
        <f t="shared" si="461"/>
        <v>1900</v>
      </c>
    </row>
    <row r="7177" spans="1:10" s="9" customFormat="1" x14ac:dyDescent="0.25">
      <c r="A7177" s="447"/>
      <c r="B7177" s="55" t="str">
        <f t="shared" si="458"/>
        <v>ENERO</v>
      </c>
      <c r="C7177" s="55">
        <f t="shared" si="459"/>
        <v>1</v>
      </c>
      <c r="D7177" s="3" t="str">
        <f t="shared" si="460"/>
        <v>SÁBADO</v>
      </c>
      <c r="E7177" s="427"/>
      <c r="F7177" s="31">
        <f>IFERROR(VLOOKUP(E7177,BD!$L$2:$Q$244,2,0),0)</f>
        <v>0</v>
      </c>
      <c r="G7177" s="424"/>
      <c r="H7177" s="31">
        <f>+IFERROR(VLOOKUP(E7177,BD!$L$2:$Q$244,6,0),0)</f>
        <v>0</v>
      </c>
      <c r="I7177" s="626">
        <f>IFERROR(G7177*VLOOKUP($E7177,BD!$L$2:$Q$244,5,0),0)</f>
        <v>0</v>
      </c>
      <c r="J7177" s="3">
        <f t="shared" si="461"/>
        <v>1900</v>
      </c>
    </row>
    <row r="7178" spans="1:10" s="9" customFormat="1" x14ac:dyDescent="0.25">
      <c r="A7178" s="447"/>
      <c r="B7178" s="55" t="str">
        <f t="shared" si="458"/>
        <v>ENERO</v>
      </c>
      <c r="C7178" s="55">
        <f t="shared" si="459"/>
        <v>1</v>
      </c>
      <c r="D7178" s="3" t="str">
        <f t="shared" si="460"/>
        <v>SÁBADO</v>
      </c>
      <c r="E7178" s="427"/>
      <c r="F7178" s="31">
        <f>IFERROR(VLOOKUP(E7178,BD!$L$2:$Q$244,2,0),0)</f>
        <v>0</v>
      </c>
      <c r="G7178" s="424"/>
      <c r="H7178" s="31">
        <f>+IFERROR(VLOOKUP(E7178,BD!$L$2:$Q$244,6,0),0)</f>
        <v>0</v>
      </c>
      <c r="I7178" s="626">
        <f>IFERROR(G7178*VLOOKUP($E7178,BD!$L$2:$Q$244,5,0),0)</f>
        <v>0</v>
      </c>
      <c r="J7178" s="3">
        <f t="shared" si="461"/>
        <v>1900</v>
      </c>
    </row>
    <row r="7179" spans="1:10" s="9" customFormat="1" x14ac:dyDescent="0.25">
      <c r="A7179" s="447"/>
      <c r="B7179" s="55" t="str">
        <f t="shared" si="458"/>
        <v>ENERO</v>
      </c>
      <c r="C7179" s="55">
        <f t="shared" si="459"/>
        <v>1</v>
      </c>
      <c r="D7179" s="3" t="str">
        <f t="shared" si="460"/>
        <v>SÁBADO</v>
      </c>
      <c r="E7179" s="427"/>
      <c r="F7179" s="31">
        <f>IFERROR(VLOOKUP(E7179,BD!$L$2:$Q$244,2,0),0)</f>
        <v>0</v>
      </c>
      <c r="G7179" s="424"/>
      <c r="H7179" s="31">
        <f>+IFERROR(VLOOKUP(E7179,BD!$L$2:$Q$244,6,0),0)</f>
        <v>0</v>
      </c>
      <c r="I7179" s="626">
        <f>IFERROR(G7179*VLOOKUP($E7179,BD!$L$2:$Q$244,5,0),0)</f>
        <v>0</v>
      </c>
      <c r="J7179" s="3">
        <f t="shared" si="461"/>
        <v>1900</v>
      </c>
    </row>
    <row r="7180" spans="1:10" s="9" customFormat="1" x14ac:dyDescent="0.25">
      <c r="A7180" s="447"/>
      <c r="B7180" s="55" t="str">
        <f t="shared" si="458"/>
        <v>ENERO</v>
      </c>
      <c r="C7180" s="55">
        <f t="shared" si="459"/>
        <v>1</v>
      </c>
      <c r="D7180" s="3" t="str">
        <f t="shared" si="460"/>
        <v>SÁBADO</v>
      </c>
      <c r="E7180" s="427"/>
      <c r="F7180" s="31">
        <f>IFERROR(VLOOKUP(E7180,BD!$L$2:$Q$244,2,0),0)</f>
        <v>0</v>
      </c>
      <c r="G7180" s="424"/>
      <c r="H7180" s="31">
        <f>+IFERROR(VLOOKUP(E7180,BD!$L$2:$Q$244,6,0),0)</f>
        <v>0</v>
      </c>
      <c r="I7180" s="626">
        <f>IFERROR(G7180*VLOOKUP($E7180,BD!$L$2:$Q$244,5,0),0)</f>
        <v>0</v>
      </c>
      <c r="J7180" s="3">
        <f t="shared" si="461"/>
        <v>1900</v>
      </c>
    </row>
    <row r="7181" spans="1:10" s="9" customFormat="1" x14ac:dyDescent="0.25">
      <c r="A7181" s="447"/>
      <c r="B7181" s="55" t="str">
        <f t="shared" si="458"/>
        <v>ENERO</v>
      </c>
      <c r="C7181" s="55">
        <f t="shared" si="459"/>
        <v>1</v>
      </c>
      <c r="D7181" s="3" t="str">
        <f t="shared" si="460"/>
        <v>SÁBADO</v>
      </c>
      <c r="E7181" s="427"/>
      <c r="F7181" s="31">
        <f>IFERROR(VLOOKUP(E7181,BD!$L$2:$Q$244,2,0),0)</f>
        <v>0</v>
      </c>
      <c r="G7181" s="424"/>
      <c r="H7181" s="31">
        <f>+IFERROR(VLOOKUP(E7181,BD!$L$2:$Q$244,6,0),0)</f>
        <v>0</v>
      </c>
      <c r="I7181" s="626">
        <f>IFERROR(G7181*VLOOKUP($E7181,BD!$L$2:$Q$244,5,0),0)</f>
        <v>0</v>
      </c>
      <c r="J7181" s="3">
        <f t="shared" si="461"/>
        <v>1900</v>
      </c>
    </row>
    <row r="7182" spans="1:10" s="9" customFormat="1" x14ac:dyDescent="0.25">
      <c r="A7182" s="447"/>
      <c r="B7182" s="55" t="str">
        <f t="shared" si="458"/>
        <v>ENERO</v>
      </c>
      <c r="C7182" s="55">
        <f t="shared" si="459"/>
        <v>1</v>
      </c>
      <c r="D7182" s="3" t="str">
        <f t="shared" si="460"/>
        <v>SÁBADO</v>
      </c>
      <c r="E7182" s="427"/>
      <c r="F7182" s="31">
        <f>IFERROR(VLOOKUP(E7182,BD!$L$2:$Q$244,2,0),0)</f>
        <v>0</v>
      </c>
      <c r="G7182" s="424"/>
      <c r="H7182" s="31">
        <f>+IFERROR(VLOOKUP(E7182,BD!$L$2:$Q$244,6,0),0)</f>
        <v>0</v>
      </c>
      <c r="I7182" s="626">
        <f>IFERROR(G7182*VLOOKUP($E7182,BD!$L$2:$Q$244,5,0),0)</f>
        <v>0</v>
      </c>
      <c r="J7182" s="3">
        <f t="shared" si="461"/>
        <v>1900</v>
      </c>
    </row>
    <row r="7183" spans="1:10" s="9" customFormat="1" x14ac:dyDescent="0.25">
      <c r="A7183" s="447"/>
      <c r="B7183" s="55" t="str">
        <f t="shared" si="458"/>
        <v>ENERO</v>
      </c>
      <c r="C7183" s="55">
        <f t="shared" si="459"/>
        <v>1</v>
      </c>
      <c r="D7183" s="3" t="str">
        <f t="shared" si="460"/>
        <v>SÁBADO</v>
      </c>
      <c r="E7183" s="427"/>
      <c r="F7183" s="31">
        <f>IFERROR(VLOOKUP(E7183,BD!$L$2:$Q$244,2,0),0)</f>
        <v>0</v>
      </c>
      <c r="G7183" s="424"/>
      <c r="H7183" s="31">
        <f>+IFERROR(VLOOKUP(E7183,BD!$L$2:$Q$244,6,0),0)</f>
        <v>0</v>
      </c>
      <c r="I7183" s="626">
        <f>IFERROR(G7183*VLOOKUP($E7183,BD!$L$2:$Q$244,5,0),0)</f>
        <v>0</v>
      </c>
      <c r="J7183" s="3">
        <f t="shared" si="461"/>
        <v>1900</v>
      </c>
    </row>
    <row r="7184" spans="1:10" s="9" customFormat="1" x14ac:dyDescent="0.25">
      <c r="A7184" s="447"/>
      <c r="B7184" s="55" t="str">
        <f t="shared" si="458"/>
        <v>ENERO</v>
      </c>
      <c r="C7184" s="55">
        <f t="shared" si="459"/>
        <v>1</v>
      </c>
      <c r="D7184" s="3" t="str">
        <f t="shared" si="460"/>
        <v>SÁBADO</v>
      </c>
      <c r="E7184" s="427"/>
      <c r="F7184" s="31">
        <f>IFERROR(VLOOKUP(E7184,BD!$L$2:$Q$244,2,0),0)</f>
        <v>0</v>
      </c>
      <c r="G7184" s="424"/>
      <c r="H7184" s="31">
        <f>+IFERROR(VLOOKUP(E7184,BD!$L$2:$Q$244,6,0),0)</f>
        <v>0</v>
      </c>
      <c r="I7184" s="626">
        <f>IFERROR(G7184*VLOOKUP($E7184,BD!$L$2:$Q$244,5,0),0)</f>
        <v>0</v>
      </c>
      <c r="J7184" s="3">
        <f t="shared" si="461"/>
        <v>1900</v>
      </c>
    </row>
    <row r="7185" spans="1:10" s="9" customFormat="1" x14ac:dyDescent="0.25">
      <c r="A7185" s="447"/>
      <c r="B7185" s="55" t="str">
        <f t="shared" si="458"/>
        <v>ENERO</v>
      </c>
      <c r="C7185" s="55">
        <f t="shared" si="459"/>
        <v>1</v>
      </c>
      <c r="D7185" s="3" t="str">
        <f t="shared" si="460"/>
        <v>SÁBADO</v>
      </c>
      <c r="E7185" s="427"/>
      <c r="F7185" s="31">
        <f>IFERROR(VLOOKUP(E7185,BD!$L$2:$Q$244,2,0),0)</f>
        <v>0</v>
      </c>
      <c r="G7185" s="424"/>
      <c r="H7185" s="31">
        <f>+IFERROR(VLOOKUP(E7185,BD!$L$2:$Q$244,6,0),0)</f>
        <v>0</v>
      </c>
      <c r="I7185" s="626">
        <f>IFERROR(G7185*VLOOKUP($E7185,BD!$L$2:$Q$244,5,0),0)</f>
        <v>0</v>
      </c>
      <c r="J7185" s="3">
        <f t="shared" si="461"/>
        <v>1900</v>
      </c>
    </row>
    <row r="7186" spans="1:10" s="9" customFormat="1" x14ac:dyDescent="0.25">
      <c r="A7186" s="447"/>
      <c r="B7186" s="55" t="str">
        <f t="shared" si="458"/>
        <v>ENERO</v>
      </c>
      <c r="C7186" s="55">
        <f t="shared" si="459"/>
        <v>1</v>
      </c>
      <c r="D7186" s="3" t="str">
        <f t="shared" si="460"/>
        <v>SÁBADO</v>
      </c>
      <c r="E7186" s="427"/>
      <c r="F7186" s="31">
        <f>IFERROR(VLOOKUP(E7186,BD!$L$2:$Q$244,2,0),0)</f>
        <v>0</v>
      </c>
      <c r="G7186" s="424"/>
      <c r="H7186" s="31">
        <f>+IFERROR(VLOOKUP(E7186,BD!$L$2:$Q$244,6,0),0)</f>
        <v>0</v>
      </c>
      <c r="I7186" s="626">
        <f>IFERROR(G7186*VLOOKUP($E7186,BD!$L$2:$Q$244,5,0),0)</f>
        <v>0</v>
      </c>
      <c r="J7186" s="3">
        <f t="shared" si="461"/>
        <v>1900</v>
      </c>
    </row>
    <row r="7187" spans="1:10" s="9" customFormat="1" x14ac:dyDescent="0.25">
      <c r="A7187" s="447"/>
      <c r="B7187" s="55" t="str">
        <f t="shared" si="458"/>
        <v>ENERO</v>
      </c>
      <c r="C7187" s="55">
        <f t="shared" si="459"/>
        <v>1</v>
      </c>
      <c r="D7187" s="3" t="str">
        <f t="shared" si="460"/>
        <v>SÁBADO</v>
      </c>
      <c r="E7187" s="427"/>
      <c r="F7187" s="31">
        <f>IFERROR(VLOOKUP(E7187,BD!$L$2:$Q$244,2,0),0)</f>
        <v>0</v>
      </c>
      <c r="G7187" s="424"/>
      <c r="H7187" s="31">
        <f>+IFERROR(VLOOKUP(E7187,BD!$L$2:$Q$244,6,0),0)</f>
        <v>0</v>
      </c>
      <c r="I7187" s="626">
        <f>IFERROR(G7187*VLOOKUP($E7187,BD!$L$2:$Q$244,5,0),0)</f>
        <v>0</v>
      </c>
      <c r="J7187" s="3">
        <f t="shared" si="461"/>
        <v>1900</v>
      </c>
    </row>
    <row r="7188" spans="1:10" s="9" customFormat="1" x14ac:dyDescent="0.25">
      <c r="A7188" s="447"/>
      <c r="B7188" s="55" t="str">
        <f t="shared" si="458"/>
        <v>ENERO</v>
      </c>
      <c r="C7188" s="55">
        <f t="shared" si="459"/>
        <v>1</v>
      </c>
      <c r="D7188" s="3" t="str">
        <f t="shared" si="460"/>
        <v>SÁBADO</v>
      </c>
      <c r="E7188" s="427"/>
      <c r="F7188" s="31">
        <f>IFERROR(VLOOKUP(E7188,BD!$L$2:$Q$244,2,0),0)</f>
        <v>0</v>
      </c>
      <c r="G7188" s="424"/>
      <c r="H7188" s="31">
        <f>+IFERROR(VLOOKUP(E7188,BD!$L$2:$Q$244,6,0),0)</f>
        <v>0</v>
      </c>
      <c r="I7188" s="626">
        <f>IFERROR(G7188*VLOOKUP($E7188,BD!$L$2:$Q$244,5,0),0)</f>
        <v>0</v>
      </c>
      <c r="J7188" s="3">
        <f t="shared" si="461"/>
        <v>1900</v>
      </c>
    </row>
    <row r="7189" spans="1:10" s="9" customFormat="1" x14ac:dyDescent="0.25">
      <c r="A7189" s="447"/>
      <c r="B7189" s="55" t="str">
        <f t="shared" si="458"/>
        <v>ENERO</v>
      </c>
      <c r="C7189" s="55">
        <f t="shared" si="459"/>
        <v>1</v>
      </c>
      <c r="D7189" s="3" t="str">
        <f t="shared" si="460"/>
        <v>SÁBADO</v>
      </c>
      <c r="E7189" s="427"/>
      <c r="F7189" s="31">
        <f>IFERROR(VLOOKUP(E7189,BD!$L$2:$Q$244,2,0),0)</f>
        <v>0</v>
      </c>
      <c r="G7189" s="424"/>
      <c r="H7189" s="31">
        <f>+IFERROR(VLOOKUP(E7189,BD!$L$2:$Q$244,6,0),0)</f>
        <v>0</v>
      </c>
      <c r="I7189" s="626">
        <f>IFERROR(G7189*VLOOKUP($E7189,BD!$L$2:$Q$244,5,0),0)</f>
        <v>0</v>
      </c>
      <c r="J7189" s="3">
        <f t="shared" si="461"/>
        <v>1900</v>
      </c>
    </row>
    <row r="7190" spans="1:10" s="9" customFormat="1" x14ac:dyDescent="0.25">
      <c r="A7190" s="447"/>
      <c r="B7190" s="55" t="str">
        <f t="shared" si="458"/>
        <v>ENERO</v>
      </c>
      <c r="C7190" s="55">
        <f t="shared" si="459"/>
        <v>1</v>
      </c>
      <c r="D7190" s="3" t="str">
        <f t="shared" si="460"/>
        <v>SÁBADO</v>
      </c>
      <c r="E7190" s="427"/>
      <c r="F7190" s="31">
        <f>IFERROR(VLOOKUP(E7190,BD!$L$2:$Q$244,2,0),0)</f>
        <v>0</v>
      </c>
      <c r="G7190" s="424"/>
      <c r="H7190" s="31">
        <f>+IFERROR(VLOOKUP(E7190,BD!$L$2:$Q$244,6,0),0)</f>
        <v>0</v>
      </c>
      <c r="I7190" s="626">
        <f>IFERROR(G7190*VLOOKUP($E7190,BD!$L$2:$Q$244,5,0),0)</f>
        <v>0</v>
      </c>
      <c r="J7190" s="3">
        <f t="shared" si="461"/>
        <v>1900</v>
      </c>
    </row>
    <row r="7191" spans="1:10" s="9" customFormat="1" x14ac:dyDescent="0.25">
      <c r="A7191" s="447"/>
      <c r="B7191" s="55" t="str">
        <f t="shared" si="458"/>
        <v>ENERO</v>
      </c>
      <c r="C7191" s="55">
        <f t="shared" si="459"/>
        <v>1</v>
      </c>
      <c r="D7191" s="3" t="str">
        <f t="shared" si="460"/>
        <v>SÁBADO</v>
      </c>
      <c r="E7191" s="427"/>
      <c r="F7191" s="31">
        <f>IFERROR(VLOOKUP(E7191,BD!$L$2:$Q$244,2,0),0)</f>
        <v>0</v>
      </c>
      <c r="G7191" s="424"/>
      <c r="H7191" s="31">
        <f>+IFERROR(VLOOKUP(E7191,BD!$L$2:$Q$244,6,0),0)</f>
        <v>0</v>
      </c>
      <c r="I7191" s="626">
        <f>IFERROR(G7191*VLOOKUP($E7191,BD!$L$2:$Q$244,5,0),0)</f>
        <v>0</v>
      </c>
      <c r="J7191" s="3">
        <f t="shared" si="461"/>
        <v>1900</v>
      </c>
    </row>
    <row r="7192" spans="1:10" s="9" customFormat="1" x14ac:dyDescent="0.25">
      <c r="A7192" s="447"/>
      <c r="B7192" s="55" t="str">
        <f t="shared" si="458"/>
        <v>ENERO</v>
      </c>
      <c r="C7192" s="55">
        <f t="shared" si="459"/>
        <v>1</v>
      </c>
      <c r="D7192" s="3" t="str">
        <f t="shared" si="460"/>
        <v>SÁBADO</v>
      </c>
      <c r="E7192" s="427"/>
      <c r="F7192" s="31">
        <f>IFERROR(VLOOKUP(E7192,BD!$L$2:$Q$244,2,0),0)</f>
        <v>0</v>
      </c>
      <c r="G7192" s="424"/>
      <c r="H7192" s="31">
        <f>+IFERROR(VLOOKUP(E7192,BD!$L$2:$Q$244,6,0),0)</f>
        <v>0</v>
      </c>
      <c r="I7192" s="626">
        <f>IFERROR(G7192*VLOOKUP($E7192,BD!$L$2:$Q$244,5,0),0)</f>
        <v>0</v>
      </c>
      <c r="J7192" s="3">
        <f t="shared" si="461"/>
        <v>1900</v>
      </c>
    </row>
    <row r="7193" spans="1:10" s="9" customFormat="1" x14ac:dyDescent="0.25">
      <c r="A7193" s="447"/>
      <c r="B7193" s="55" t="str">
        <f t="shared" si="458"/>
        <v>ENERO</v>
      </c>
      <c r="C7193" s="55">
        <f t="shared" si="459"/>
        <v>1</v>
      </c>
      <c r="D7193" s="3" t="str">
        <f t="shared" si="460"/>
        <v>SÁBADO</v>
      </c>
      <c r="E7193" s="427"/>
      <c r="F7193" s="31">
        <f>IFERROR(VLOOKUP(E7193,BD!$L$2:$Q$244,2,0),0)</f>
        <v>0</v>
      </c>
      <c r="G7193" s="424"/>
      <c r="H7193" s="31">
        <f>+IFERROR(VLOOKUP(E7193,BD!$L$2:$Q$244,6,0),0)</f>
        <v>0</v>
      </c>
      <c r="I7193" s="626">
        <f>IFERROR(G7193*VLOOKUP($E7193,BD!$L$2:$Q$244,5,0),0)</f>
        <v>0</v>
      </c>
      <c r="J7193" s="3">
        <f t="shared" si="461"/>
        <v>1900</v>
      </c>
    </row>
    <row r="7194" spans="1:10" s="9" customFormat="1" x14ac:dyDescent="0.25">
      <c r="A7194" s="447"/>
      <c r="B7194" s="55" t="str">
        <f t="shared" si="458"/>
        <v>ENERO</v>
      </c>
      <c r="C7194" s="55">
        <f t="shared" si="459"/>
        <v>1</v>
      </c>
      <c r="D7194" s="3" t="str">
        <f t="shared" si="460"/>
        <v>SÁBADO</v>
      </c>
      <c r="E7194" s="427"/>
      <c r="F7194" s="31">
        <f>IFERROR(VLOOKUP(E7194,BD!$L$2:$Q$244,2,0),0)</f>
        <v>0</v>
      </c>
      <c r="G7194" s="424"/>
      <c r="H7194" s="31">
        <f>+IFERROR(VLOOKUP(E7194,BD!$L$2:$Q$244,6,0),0)</f>
        <v>0</v>
      </c>
      <c r="I7194" s="626">
        <f>IFERROR(G7194*VLOOKUP($E7194,BD!$L$2:$Q$244,5,0),0)</f>
        <v>0</v>
      </c>
      <c r="J7194" s="3">
        <f t="shared" si="461"/>
        <v>1900</v>
      </c>
    </row>
    <row r="7195" spans="1:10" s="9" customFormat="1" x14ac:dyDescent="0.25">
      <c r="A7195" s="447"/>
      <c r="B7195" s="55" t="str">
        <f t="shared" si="458"/>
        <v>ENERO</v>
      </c>
      <c r="C7195" s="55">
        <f t="shared" si="459"/>
        <v>1</v>
      </c>
      <c r="D7195" s="3" t="str">
        <f t="shared" si="460"/>
        <v>SÁBADO</v>
      </c>
      <c r="E7195" s="427"/>
      <c r="F7195" s="31">
        <f>IFERROR(VLOOKUP(E7195,BD!$L$2:$Q$244,2,0),0)</f>
        <v>0</v>
      </c>
      <c r="G7195" s="424"/>
      <c r="H7195" s="31">
        <f>+IFERROR(VLOOKUP(E7195,BD!$L$2:$Q$244,6,0),0)</f>
        <v>0</v>
      </c>
      <c r="I7195" s="626">
        <f>IFERROR(G7195*VLOOKUP($E7195,BD!$L$2:$Q$244,5,0),0)</f>
        <v>0</v>
      </c>
      <c r="J7195" s="3">
        <f t="shared" si="461"/>
        <v>1900</v>
      </c>
    </row>
    <row r="7196" spans="1:10" s="9" customFormat="1" x14ac:dyDescent="0.25">
      <c r="A7196" s="447"/>
      <c r="B7196" s="55" t="str">
        <f t="shared" si="458"/>
        <v>ENERO</v>
      </c>
      <c r="C7196" s="55">
        <f t="shared" si="459"/>
        <v>1</v>
      </c>
      <c r="D7196" s="3" t="str">
        <f t="shared" si="460"/>
        <v>SÁBADO</v>
      </c>
      <c r="E7196" s="427"/>
      <c r="F7196" s="31">
        <f>IFERROR(VLOOKUP(E7196,BD!$L$2:$Q$244,2,0),0)</f>
        <v>0</v>
      </c>
      <c r="G7196" s="424"/>
      <c r="H7196" s="31">
        <f>+IFERROR(VLOOKUP(E7196,BD!$L$2:$Q$244,6,0),0)</f>
        <v>0</v>
      </c>
      <c r="I7196" s="626">
        <f>IFERROR(G7196*VLOOKUP($E7196,BD!$L$2:$Q$244,5,0),0)</f>
        <v>0</v>
      </c>
      <c r="J7196" s="3">
        <f t="shared" si="461"/>
        <v>1900</v>
      </c>
    </row>
    <row r="7197" spans="1:10" s="9" customFormat="1" x14ac:dyDescent="0.25">
      <c r="A7197" s="447"/>
      <c r="B7197" s="55" t="str">
        <f t="shared" si="458"/>
        <v>ENERO</v>
      </c>
      <c r="C7197" s="55">
        <f t="shared" si="459"/>
        <v>1</v>
      </c>
      <c r="D7197" s="3" t="str">
        <f t="shared" si="460"/>
        <v>SÁBADO</v>
      </c>
      <c r="E7197" s="427"/>
      <c r="F7197" s="31">
        <f>IFERROR(VLOOKUP(E7197,BD!$L$2:$Q$244,2,0),0)</f>
        <v>0</v>
      </c>
      <c r="G7197" s="424"/>
      <c r="H7197" s="31">
        <f>+IFERROR(VLOOKUP(E7197,BD!$L$2:$Q$244,6,0),0)</f>
        <v>0</v>
      </c>
      <c r="I7197" s="626">
        <f>IFERROR(G7197*VLOOKUP($E7197,BD!$L$2:$Q$244,5,0),0)</f>
        <v>0</v>
      </c>
      <c r="J7197" s="3">
        <f t="shared" si="461"/>
        <v>1900</v>
      </c>
    </row>
    <row r="7198" spans="1:10" s="9" customFormat="1" x14ac:dyDescent="0.25">
      <c r="A7198" s="447"/>
      <c r="B7198" s="55" t="str">
        <f t="shared" si="458"/>
        <v>ENERO</v>
      </c>
      <c r="C7198" s="55">
        <f t="shared" si="459"/>
        <v>1</v>
      </c>
      <c r="D7198" s="3" t="str">
        <f t="shared" si="460"/>
        <v>SÁBADO</v>
      </c>
      <c r="E7198" s="427"/>
      <c r="F7198" s="31">
        <f>IFERROR(VLOOKUP(E7198,BD!$L$2:$Q$244,2,0),0)</f>
        <v>0</v>
      </c>
      <c r="G7198" s="424"/>
      <c r="H7198" s="31">
        <f>+IFERROR(VLOOKUP(E7198,BD!$L$2:$Q$244,6,0),0)</f>
        <v>0</v>
      </c>
      <c r="I7198" s="626">
        <f>IFERROR(G7198*VLOOKUP($E7198,BD!$L$2:$Q$244,5,0),0)</f>
        <v>0</v>
      </c>
      <c r="J7198" s="3">
        <f t="shared" si="461"/>
        <v>1900</v>
      </c>
    </row>
    <row r="7199" spans="1:10" s="9" customFormat="1" x14ac:dyDescent="0.25">
      <c r="A7199" s="447"/>
      <c r="B7199" s="55" t="str">
        <f t="shared" si="458"/>
        <v>ENERO</v>
      </c>
      <c r="C7199" s="55">
        <f t="shared" si="459"/>
        <v>1</v>
      </c>
      <c r="D7199" s="3" t="str">
        <f t="shared" si="460"/>
        <v>SÁBADO</v>
      </c>
      <c r="E7199" s="427"/>
      <c r="F7199" s="31">
        <f>IFERROR(VLOOKUP(E7199,BD!$L$2:$Q$244,2,0),0)</f>
        <v>0</v>
      </c>
      <c r="G7199" s="424"/>
      <c r="H7199" s="31">
        <f>+IFERROR(VLOOKUP(E7199,BD!$L$2:$Q$244,6,0),0)</f>
        <v>0</v>
      </c>
      <c r="I7199" s="626">
        <f>IFERROR(G7199*VLOOKUP($E7199,BD!$L$2:$Q$244,5,0),0)</f>
        <v>0</v>
      </c>
      <c r="J7199" s="3">
        <f t="shared" si="461"/>
        <v>1900</v>
      </c>
    </row>
    <row r="7200" spans="1:10" s="9" customFormat="1" x14ac:dyDescent="0.25">
      <c r="A7200" s="447"/>
      <c r="B7200" s="55" t="str">
        <f t="shared" si="458"/>
        <v>ENERO</v>
      </c>
      <c r="C7200" s="55">
        <f t="shared" si="459"/>
        <v>1</v>
      </c>
      <c r="D7200" s="3" t="str">
        <f t="shared" si="460"/>
        <v>SÁBADO</v>
      </c>
      <c r="E7200" s="427"/>
      <c r="F7200" s="31">
        <f>IFERROR(VLOOKUP(E7200,BD!$L$2:$Q$244,2,0),0)</f>
        <v>0</v>
      </c>
      <c r="G7200" s="424"/>
      <c r="H7200" s="31">
        <f>+IFERROR(VLOOKUP(E7200,BD!$L$2:$Q$244,6,0),0)</f>
        <v>0</v>
      </c>
      <c r="I7200" s="626">
        <f>IFERROR(G7200*VLOOKUP($E7200,BD!$L$2:$Q$244,5,0),0)</f>
        <v>0</v>
      </c>
      <c r="J7200" s="3">
        <f t="shared" si="461"/>
        <v>1900</v>
      </c>
    </row>
    <row r="7201" spans="1:10" s="9" customFormat="1" x14ac:dyDescent="0.25">
      <c r="A7201" s="447"/>
      <c r="B7201" s="55" t="str">
        <f t="shared" si="458"/>
        <v>ENERO</v>
      </c>
      <c r="C7201" s="55">
        <f t="shared" si="459"/>
        <v>1</v>
      </c>
      <c r="D7201" s="3" t="str">
        <f t="shared" si="460"/>
        <v>SÁBADO</v>
      </c>
      <c r="E7201" s="427"/>
      <c r="F7201" s="31">
        <f>IFERROR(VLOOKUP(E7201,BD!$L$2:$Q$244,2,0),0)</f>
        <v>0</v>
      </c>
      <c r="G7201" s="424"/>
      <c r="H7201" s="31">
        <f>+IFERROR(VLOOKUP(E7201,BD!$L$2:$Q$244,6,0),0)</f>
        <v>0</v>
      </c>
      <c r="I7201" s="626">
        <f>IFERROR(G7201*VLOOKUP($E7201,BD!$L$2:$Q$244,5,0),0)</f>
        <v>0</v>
      </c>
      <c r="J7201" s="3">
        <f t="shared" si="461"/>
        <v>1900</v>
      </c>
    </row>
    <row r="7202" spans="1:10" s="9" customFormat="1" x14ac:dyDescent="0.25">
      <c r="A7202" s="447"/>
      <c r="B7202" s="55" t="str">
        <f t="shared" si="458"/>
        <v>ENERO</v>
      </c>
      <c r="C7202" s="55">
        <f t="shared" si="459"/>
        <v>1</v>
      </c>
      <c r="D7202" s="3" t="str">
        <f t="shared" si="460"/>
        <v>SÁBADO</v>
      </c>
      <c r="E7202" s="427"/>
      <c r="F7202" s="31">
        <f>IFERROR(VLOOKUP(E7202,BD!$L$2:$Q$244,2,0),0)</f>
        <v>0</v>
      </c>
      <c r="G7202" s="424"/>
      <c r="H7202" s="31">
        <f>+IFERROR(VLOOKUP(E7202,BD!$L$2:$Q$244,6,0),0)</f>
        <v>0</v>
      </c>
      <c r="I7202" s="626">
        <f>IFERROR(G7202*VLOOKUP($E7202,BD!$L$2:$Q$244,5,0),0)</f>
        <v>0</v>
      </c>
      <c r="J7202" s="3">
        <f t="shared" si="461"/>
        <v>1900</v>
      </c>
    </row>
    <row r="7203" spans="1:10" s="9" customFormat="1" x14ac:dyDescent="0.25">
      <c r="A7203" s="447"/>
      <c r="B7203" s="55" t="str">
        <f t="shared" si="458"/>
        <v>ENERO</v>
      </c>
      <c r="C7203" s="55">
        <f t="shared" si="459"/>
        <v>1</v>
      </c>
      <c r="D7203" s="3" t="str">
        <f t="shared" si="460"/>
        <v>SÁBADO</v>
      </c>
      <c r="E7203" s="427"/>
      <c r="F7203" s="31">
        <f>IFERROR(VLOOKUP(E7203,BD!$L$2:$Q$244,2,0),0)</f>
        <v>0</v>
      </c>
      <c r="G7203" s="424"/>
      <c r="H7203" s="31">
        <f>+IFERROR(VLOOKUP(E7203,BD!$L$2:$Q$244,6,0),0)</f>
        <v>0</v>
      </c>
      <c r="I7203" s="626">
        <f>IFERROR(G7203*VLOOKUP($E7203,BD!$L$2:$Q$244,5,0),0)</f>
        <v>0</v>
      </c>
      <c r="J7203" s="3">
        <f t="shared" si="461"/>
        <v>1900</v>
      </c>
    </row>
    <row r="7204" spans="1:10" s="9" customFormat="1" x14ac:dyDescent="0.25">
      <c r="A7204" s="447"/>
      <c r="B7204" s="55" t="str">
        <f t="shared" si="458"/>
        <v>ENERO</v>
      </c>
      <c r="C7204" s="55">
        <f t="shared" si="459"/>
        <v>1</v>
      </c>
      <c r="D7204" s="3" t="str">
        <f t="shared" si="460"/>
        <v>SÁBADO</v>
      </c>
      <c r="E7204" s="427"/>
      <c r="F7204" s="31">
        <f>IFERROR(VLOOKUP(E7204,BD!$L$2:$Q$244,2,0),0)</f>
        <v>0</v>
      </c>
      <c r="G7204" s="424"/>
      <c r="H7204" s="31">
        <f>+IFERROR(VLOOKUP(E7204,BD!$L$2:$Q$244,6,0),0)</f>
        <v>0</v>
      </c>
      <c r="I7204" s="626">
        <f>IFERROR(G7204*VLOOKUP($E7204,BD!$L$2:$Q$244,5,0),0)</f>
        <v>0</v>
      </c>
      <c r="J7204" s="3">
        <f t="shared" si="461"/>
        <v>1900</v>
      </c>
    </row>
    <row r="7205" spans="1:10" s="9" customFormat="1" x14ac:dyDescent="0.25">
      <c r="A7205" s="447"/>
      <c r="B7205" s="55" t="str">
        <f t="shared" si="458"/>
        <v>ENERO</v>
      </c>
      <c r="C7205" s="55">
        <f t="shared" si="459"/>
        <v>1</v>
      </c>
      <c r="D7205" s="3" t="str">
        <f t="shared" si="460"/>
        <v>SÁBADO</v>
      </c>
      <c r="E7205" s="427"/>
      <c r="F7205" s="31">
        <f>IFERROR(VLOOKUP(E7205,BD!$L$2:$Q$244,2,0),0)</f>
        <v>0</v>
      </c>
      <c r="G7205" s="424"/>
      <c r="H7205" s="31">
        <f>+IFERROR(VLOOKUP(E7205,BD!$L$2:$Q$244,6,0),0)</f>
        <v>0</v>
      </c>
      <c r="I7205" s="626">
        <f>IFERROR(G7205*VLOOKUP($E7205,BD!$L$2:$Q$244,5,0),0)</f>
        <v>0</v>
      </c>
      <c r="J7205" s="3">
        <f t="shared" si="461"/>
        <v>1900</v>
      </c>
    </row>
    <row r="7206" spans="1:10" s="9" customFormat="1" x14ac:dyDescent="0.25">
      <c r="A7206" s="447"/>
      <c r="B7206" s="55" t="str">
        <f t="shared" si="458"/>
        <v>ENERO</v>
      </c>
      <c r="C7206" s="55">
        <f t="shared" si="459"/>
        <v>1</v>
      </c>
      <c r="D7206" s="3" t="str">
        <f t="shared" si="460"/>
        <v>SÁBADO</v>
      </c>
      <c r="E7206" s="427"/>
      <c r="F7206" s="31">
        <f>IFERROR(VLOOKUP(E7206,BD!$L$2:$Q$244,2,0),0)</f>
        <v>0</v>
      </c>
      <c r="G7206" s="424"/>
      <c r="H7206" s="31">
        <f>+IFERROR(VLOOKUP(E7206,BD!$L$2:$Q$244,6,0),0)</f>
        <v>0</v>
      </c>
      <c r="I7206" s="626">
        <f>IFERROR(G7206*VLOOKUP($E7206,BD!$L$2:$Q$244,5,0),0)</f>
        <v>0</v>
      </c>
      <c r="J7206" s="3">
        <f t="shared" si="461"/>
        <v>1900</v>
      </c>
    </row>
    <row r="7207" spans="1:10" s="9" customFormat="1" x14ac:dyDescent="0.25">
      <c r="A7207" s="447"/>
      <c r="B7207" s="55" t="str">
        <f t="shared" si="458"/>
        <v>ENERO</v>
      </c>
      <c r="C7207" s="55">
        <f t="shared" si="459"/>
        <v>1</v>
      </c>
      <c r="D7207" s="3" t="str">
        <f t="shared" si="460"/>
        <v>SÁBADO</v>
      </c>
      <c r="E7207" s="427"/>
      <c r="F7207" s="31">
        <f>IFERROR(VLOOKUP(E7207,BD!$L$2:$Q$244,2,0),0)</f>
        <v>0</v>
      </c>
      <c r="G7207" s="424"/>
      <c r="H7207" s="31">
        <f>+IFERROR(VLOOKUP(E7207,BD!$L$2:$Q$244,6,0),0)</f>
        <v>0</v>
      </c>
      <c r="I7207" s="626">
        <f>IFERROR(G7207*VLOOKUP($E7207,BD!$L$2:$Q$244,5,0),0)</f>
        <v>0</v>
      </c>
      <c r="J7207" s="3">
        <f t="shared" si="461"/>
        <v>1900</v>
      </c>
    </row>
    <row r="7208" spans="1:10" s="9" customFormat="1" x14ac:dyDescent="0.25">
      <c r="A7208" s="447"/>
      <c r="B7208" s="55" t="str">
        <f t="shared" si="458"/>
        <v>ENERO</v>
      </c>
      <c r="C7208" s="55">
        <f t="shared" si="459"/>
        <v>1</v>
      </c>
      <c r="D7208" s="3" t="str">
        <f t="shared" si="460"/>
        <v>SÁBADO</v>
      </c>
      <c r="E7208" s="427"/>
      <c r="F7208" s="31">
        <f>IFERROR(VLOOKUP(E7208,BD!$L$2:$Q$244,2,0),0)</f>
        <v>0</v>
      </c>
      <c r="G7208" s="425"/>
      <c r="H7208" s="31">
        <f>+IFERROR(VLOOKUP(E7208,BD!$L$2:$Q$244,6,0),0)</f>
        <v>0</v>
      </c>
      <c r="I7208" s="626">
        <f>IFERROR(G7208*VLOOKUP($E7208,BD!$L$2:$Q$244,5,0),0)</f>
        <v>0</v>
      </c>
      <c r="J7208" s="3">
        <f t="shared" si="461"/>
        <v>1900</v>
      </c>
    </row>
    <row r="7209" spans="1:10" s="9" customFormat="1" x14ac:dyDescent="0.25">
      <c r="A7209" s="447"/>
      <c r="B7209" s="55" t="str">
        <f t="shared" si="458"/>
        <v>ENERO</v>
      </c>
      <c r="C7209" s="55">
        <f t="shared" si="459"/>
        <v>1</v>
      </c>
      <c r="D7209" s="3" t="str">
        <f t="shared" si="460"/>
        <v>SÁBADO</v>
      </c>
      <c r="E7209" s="427"/>
      <c r="F7209" s="31">
        <f>IFERROR(VLOOKUP(E7209,BD!$L$2:$Q$244,2,0),0)</f>
        <v>0</v>
      </c>
      <c r="G7209" s="424"/>
      <c r="H7209" s="31">
        <f>+IFERROR(VLOOKUP(E7209,BD!$L$2:$Q$244,6,0),0)</f>
        <v>0</v>
      </c>
      <c r="I7209" s="626">
        <f>IFERROR(G7209*VLOOKUP($E7209,BD!$L$2:$Q$244,5,0),0)</f>
        <v>0</v>
      </c>
      <c r="J7209" s="3">
        <f t="shared" si="461"/>
        <v>1900</v>
      </c>
    </row>
    <row r="7210" spans="1:10" s="9" customFormat="1" x14ac:dyDescent="0.25">
      <c r="A7210" s="447"/>
      <c r="B7210" s="55" t="str">
        <f t="shared" si="458"/>
        <v>ENERO</v>
      </c>
      <c r="C7210" s="55">
        <f t="shared" si="459"/>
        <v>1</v>
      </c>
      <c r="D7210" s="3" t="str">
        <f t="shared" si="460"/>
        <v>SÁBADO</v>
      </c>
      <c r="E7210" s="427"/>
      <c r="F7210" s="31">
        <f>IFERROR(VLOOKUP(E7210,BD!$L$2:$Q$244,2,0),0)</f>
        <v>0</v>
      </c>
      <c r="G7210" s="424"/>
      <c r="H7210" s="31">
        <f>+IFERROR(VLOOKUP(E7210,BD!$L$2:$Q$244,6,0),0)</f>
        <v>0</v>
      </c>
      <c r="I7210" s="626">
        <f>IFERROR(G7210*VLOOKUP($E7210,BD!$L$2:$Q$244,5,0),0)</f>
        <v>0</v>
      </c>
      <c r="J7210" s="3">
        <f t="shared" si="461"/>
        <v>1900</v>
      </c>
    </row>
    <row r="7211" spans="1:10" s="9" customFormat="1" x14ac:dyDescent="0.25">
      <c r="A7211" s="447"/>
      <c r="B7211" s="55" t="str">
        <f t="shared" si="458"/>
        <v>ENERO</v>
      </c>
      <c r="C7211" s="55">
        <f t="shared" si="459"/>
        <v>1</v>
      </c>
      <c r="D7211" s="3" t="str">
        <f t="shared" si="460"/>
        <v>SÁBADO</v>
      </c>
      <c r="E7211" s="427"/>
      <c r="F7211" s="31">
        <f>IFERROR(VLOOKUP(E7211,BD!$L$2:$Q$244,2,0),0)</f>
        <v>0</v>
      </c>
      <c r="G7211" s="425"/>
      <c r="H7211" s="31">
        <f>+IFERROR(VLOOKUP(E7211,BD!$L$2:$Q$244,6,0),0)</f>
        <v>0</v>
      </c>
      <c r="I7211" s="626">
        <f>IFERROR(G7211*VLOOKUP($E7211,BD!$L$2:$Q$244,5,0),0)</f>
        <v>0</v>
      </c>
      <c r="J7211" s="3">
        <f t="shared" si="461"/>
        <v>1900</v>
      </c>
    </row>
    <row r="7212" spans="1:10" s="9" customFormat="1" x14ac:dyDescent="0.25">
      <c r="A7212" s="447"/>
      <c r="B7212" s="55" t="str">
        <f t="shared" si="458"/>
        <v>ENERO</v>
      </c>
      <c r="C7212" s="55">
        <f t="shared" si="459"/>
        <v>1</v>
      </c>
      <c r="D7212" s="3" t="str">
        <f t="shared" si="460"/>
        <v>SÁBADO</v>
      </c>
      <c r="E7212" s="427"/>
      <c r="F7212" s="31">
        <f>IFERROR(VLOOKUP(E7212,BD!$L$2:$Q$244,2,0),0)</f>
        <v>0</v>
      </c>
      <c r="G7212" s="424"/>
      <c r="H7212" s="31">
        <f>+IFERROR(VLOOKUP(E7212,BD!$L$2:$Q$244,6,0),0)</f>
        <v>0</v>
      </c>
      <c r="I7212" s="626">
        <f>IFERROR(G7212*VLOOKUP($E7212,BD!$L$2:$Q$244,5,0),0)</f>
        <v>0</v>
      </c>
      <c r="J7212" s="3">
        <f t="shared" si="461"/>
        <v>1900</v>
      </c>
    </row>
    <row r="7213" spans="1:10" s="9" customFormat="1" x14ac:dyDescent="0.25">
      <c r="A7213" s="447"/>
      <c r="B7213" s="55" t="str">
        <f t="shared" si="458"/>
        <v>ENERO</v>
      </c>
      <c r="C7213" s="55">
        <f t="shared" si="459"/>
        <v>1</v>
      </c>
      <c r="D7213" s="3" t="str">
        <f t="shared" si="460"/>
        <v>SÁBADO</v>
      </c>
      <c r="E7213" s="427"/>
      <c r="F7213" s="31">
        <f>IFERROR(VLOOKUP(E7213,BD!$L$2:$Q$244,2,0),0)</f>
        <v>0</v>
      </c>
      <c r="G7213" s="424"/>
      <c r="H7213" s="31">
        <f>+IFERROR(VLOOKUP(E7213,BD!$L$2:$Q$244,6,0),0)</f>
        <v>0</v>
      </c>
      <c r="I7213" s="626">
        <f>IFERROR(G7213*VLOOKUP($E7213,BD!$L$2:$Q$244,5,0),0)</f>
        <v>0</v>
      </c>
      <c r="J7213" s="3">
        <f t="shared" si="461"/>
        <v>1900</v>
      </c>
    </row>
    <row r="7214" spans="1:10" s="9" customFormat="1" x14ac:dyDescent="0.25">
      <c r="A7214" s="447"/>
      <c r="B7214" s="55" t="str">
        <f t="shared" si="458"/>
        <v>ENERO</v>
      </c>
      <c r="C7214" s="55">
        <f t="shared" si="459"/>
        <v>1</v>
      </c>
      <c r="D7214" s="3" t="str">
        <f t="shared" si="460"/>
        <v>SÁBADO</v>
      </c>
      <c r="E7214" s="427"/>
      <c r="F7214" s="31">
        <f>IFERROR(VLOOKUP(E7214,BD!$L$2:$Q$244,2,0),0)</f>
        <v>0</v>
      </c>
      <c r="G7214" s="424"/>
      <c r="H7214" s="31">
        <f>+IFERROR(VLOOKUP(E7214,BD!$L$2:$Q$244,6,0),0)</f>
        <v>0</v>
      </c>
      <c r="I7214" s="626">
        <f>IFERROR(G7214*VLOOKUP($E7214,BD!$L$2:$Q$244,5,0),0)</f>
        <v>0</v>
      </c>
      <c r="J7214" s="3">
        <f t="shared" si="461"/>
        <v>1900</v>
      </c>
    </row>
    <row r="7215" spans="1:10" s="9" customFormat="1" x14ac:dyDescent="0.25">
      <c r="A7215" s="447"/>
      <c r="B7215" s="55" t="str">
        <f t="shared" si="458"/>
        <v>ENERO</v>
      </c>
      <c r="C7215" s="55">
        <f t="shared" si="459"/>
        <v>1</v>
      </c>
      <c r="D7215" s="3" t="str">
        <f t="shared" si="460"/>
        <v>SÁBADO</v>
      </c>
      <c r="E7215" s="427"/>
      <c r="F7215" s="31">
        <f>IFERROR(VLOOKUP(E7215,BD!$L$2:$Q$244,2,0),0)</f>
        <v>0</v>
      </c>
      <c r="G7215" s="424"/>
      <c r="H7215" s="31">
        <f>+IFERROR(VLOOKUP(E7215,BD!$L$2:$Q$244,6,0),0)</f>
        <v>0</v>
      </c>
      <c r="I7215" s="626">
        <f>IFERROR(G7215*VLOOKUP($E7215,BD!$L$2:$Q$244,5,0),0)</f>
        <v>0</v>
      </c>
      <c r="J7215" s="3">
        <f t="shared" si="461"/>
        <v>1900</v>
      </c>
    </row>
    <row r="7216" spans="1:10" s="9" customFormat="1" x14ac:dyDescent="0.25">
      <c r="A7216" s="447"/>
      <c r="B7216" s="55" t="str">
        <f t="shared" si="458"/>
        <v>ENERO</v>
      </c>
      <c r="C7216" s="55">
        <f t="shared" si="459"/>
        <v>1</v>
      </c>
      <c r="D7216" s="3" t="str">
        <f t="shared" si="460"/>
        <v>SÁBADO</v>
      </c>
      <c r="E7216" s="427"/>
      <c r="F7216" s="31">
        <f>IFERROR(VLOOKUP(E7216,BD!$L$2:$Q$244,2,0),0)</f>
        <v>0</v>
      </c>
      <c r="G7216" s="424"/>
      <c r="H7216" s="31">
        <f>+IFERROR(VLOOKUP(E7216,BD!$L$2:$Q$244,6,0),0)</f>
        <v>0</v>
      </c>
      <c r="I7216" s="626">
        <f>IFERROR(G7216*VLOOKUP($E7216,BD!$L$2:$Q$244,5,0),0)</f>
        <v>0</v>
      </c>
      <c r="J7216" s="3">
        <f t="shared" si="461"/>
        <v>1900</v>
      </c>
    </row>
    <row r="7217" spans="1:10" s="9" customFormat="1" x14ac:dyDescent="0.25">
      <c r="A7217" s="447"/>
      <c r="B7217" s="55" t="str">
        <f t="shared" si="458"/>
        <v>ENERO</v>
      </c>
      <c r="C7217" s="55">
        <f t="shared" si="459"/>
        <v>1</v>
      </c>
      <c r="D7217" s="3" t="str">
        <f t="shared" si="460"/>
        <v>SÁBADO</v>
      </c>
      <c r="E7217" s="427"/>
      <c r="F7217" s="31">
        <f>IFERROR(VLOOKUP(E7217,BD!$L$2:$Q$244,2,0),0)</f>
        <v>0</v>
      </c>
      <c r="G7217" s="424"/>
      <c r="H7217" s="31">
        <f>+IFERROR(VLOOKUP(E7217,BD!$L$2:$Q$244,6,0),0)</f>
        <v>0</v>
      </c>
      <c r="I7217" s="626">
        <f>IFERROR(G7217*VLOOKUP($E7217,BD!$L$2:$Q$244,5,0),0)</f>
        <v>0</v>
      </c>
      <c r="J7217" s="3">
        <f t="shared" si="461"/>
        <v>1900</v>
      </c>
    </row>
    <row r="7218" spans="1:10" s="9" customFormat="1" x14ac:dyDescent="0.25">
      <c r="A7218" s="447"/>
      <c r="B7218" s="55" t="str">
        <f t="shared" si="458"/>
        <v>ENERO</v>
      </c>
      <c r="C7218" s="55">
        <f t="shared" si="459"/>
        <v>1</v>
      </c>
      <c r="D7218" s="3" t="str">
        <f t="shared" si="460"/>
        <v>SÁBADO</v>
      </c>
      <c r="E7218" s="427"/>
      <c r="F7218" s="31">
        <f>IFERROR(VLOOKUP(E7218,BD!$L$2:$Q$244,2,0),0)</f>
        <v>0</v>
      </c>
      <c r="G7218" s="424"/>
      <c r="H7218" s="31">
        <f>+IFERROR(VLOOKUP(E7218,BD!$L$2:$Q$244,6,0),0)</f>
        <v>0</v>
      </c>
      <c r="I7218" s="626">
        <f>IFERROR(G7218*VLOOKUP($E7218,BD!$L$2:$Q$244,5,0),0)</f>
        <v>0</v>
      </c>
      <c r="J7218" s="3">
        <f t="shared" si="461"/>
        <v>1900</v>
      </c>
    </row>
    <row r="7219" spans="1:10" s="9" customFormat="1" x14ac:dyDescent="0.25">
      <c r="A7219" s="447"/>
      <c r="B7219" s="55" t="str">
        <f t="shared" si="458"/>
        <v>ENERO</v>
      </c>
      <c r="C7219" s="55">
        <f t="shared" si="459"/>
        <v>1</v>
      </c>
      <c r="D7219" s="3" t="str">
        <f t="shared" si="460"/>
        <v>SÁBADO</v>
      </c>
      <c r="E7219" s="427"/>
      <c r="F7219" s="31">
        <f>IFERROR(VLOOKUP(E7219,BD!$L$2:$Q$244,2,0),0)</f>
        <v>0</v>
      </c>
      <c r="G7219" s="424"/>
      <c r="H7219" s="31">
        <f>+IFERROR(VLOOKUP(E7219,BD!$L$2:$Q$244,6,0),0)</f>
        <v>0</v>
      </c>
      <c r="I7219" s="626">
        <f>IFERROR(G7219*VLOOKUP($E7219,BD!$L$2:$Q$244,5,0),0)</f>
        <v>0</v>
      </c>
      <c r="J7219" s="3">
        <f t="shared" si="461"/>
        <v>1900</v>
      </c>
    </row>
    <row r="7220" spans="1:10" s="9" customFormat="1" x14ac:dyDescent="0.25">
      <c r="A7220" s="447"/>
      <c r="B7220" s="55" t="str">
        <f t="shared" si="458"/>
        <v>ENERO</v>
      </c>
      <c r="C7220" s="55">
        <f t="shared" si="459"/>
        <v>1</v>
      </c>
      <c r="D7220" s="3" t="str">
        <f t="shared" si="460"/>
        <v>SÁBADO</v>
      </c>
      <c r="E7220" s="427"/>
      <c r="F7220" s="31">
        <f>IFERROR(VLOOKUP(E7220,BD!$L$2:$Q$244,2,0),0)</f>
        <v>0</v>
      </c>
      <c r="G7220" s="424"/>
      <c r="H7220" s="31">
        <f>+IFERROR(VLOOKUP(E7220,BD!$L$2:$Q$244,6,0),0)</f>
        <v>0</v>
      </c>
      <c r="I7220" s="626">
        <f>IFERROR(G7220*VLOOKUP($E7220,BD!$L$2:$Q$244,5,0),0)</f>
        <v>0</v>
      </c>
      <c r="J7220" s="3">
        <f t="shared" si="461"/>
        <v>1900</v>
      </c>
    </row>
    <row r="7221" spans="1:10" s="9" customFormat="1" x14ac:dyDescent="0.25">
      <c r="A7221" s="447"/>
      <c r="B7221" s="55" t="str">
        <f t="shared" si="458"/>
        <v>ENERO</v>
      </c>
      <c r="C7221" s="55">
        <f t="shared" si="459"/>
        <v>1</v>
      </c>
      <c r="D7221" s="3" t="str">
        <f t="shared" si="460"/>
        <v>SÁBADO</v>
      </c>
      <c r="E7221" s="427"/>
      <c r="F7221" s="31">
        <f>IFERROR(VLOOKUP(E7221,BD!$L$2:$Q$244,2,0),0)</f>
        <v>0</v>
      </c>
      <c r="G7221" s="425"/>
      <c r="H7221" s="31">
        <f>+IFERROR(VLOOKUP(E7221,BD!$L$2:$Q$244,6,0),0)</f>
        <v>0</v>
      </c>
      <c r="I7221" s="626">
        <f>IFERROR(G7221*VLOOKUP($E7221,BD!$L$2:$Q$244,5,0),0)</f>
        <v>0</v>
      </c>
      <c r="J7221" s="3">
        <f t="shared" si="461"/>
        <v>1900</v>
      </c>
    </row>
    <row r="7222" spans="1:10" s="9" customFormat="1" x14ac:dyDescent="0.25">
      <c r="A7222" s="447"/>
      <c r="B7222" s="55" t="str">
        <f t="shared" si="458"/>
        <v>ENERO</v>
      </c>
      <c r="C7222" s="55">
        <f t="shared" si="459"/>
        <v>1</v>
      </c>
      <c r="D7222" s="3" t="str">
        <f t="shared" si="460"/>
        <v>SÁBADO</v>
      </c>
      <c r="E7222" s="427"/>
      <c r="F7222" s="31">
        <f>IFERROR(VLOOKUP(E7222,BD!$L$2:$Q$244,2,0),0)</f>
        <v>0</v>
      </c>
      <c r="G7222" s="424"/>
      <c r="H7222" s="31">
        <f>+IFERROR(VLOOKUP(E7222,BD!$L$2:$Q$244,6,0),0)</f>
        <v>0</v>
      </c>
      <c r="I7222" s="626">
        <f>IFERROR(G7222*VLOOKUP($E7222,BD!$L$2:$Q$244,5,0),0)</f>
        <v>0</v>
      </c>
      <c r="J7222" s="3">
        <f t="shared" si="461"/>
        <v>1900</v>
      </c>
    </row>
    <row r="7223" spans="1:10" s="9" customFormat="1" x14ac:dyDescent="0.25">
      <c r="A7223" s="447"/>
      <c r="B7223" s="55" t="str">
        <f t="shared" si="458"/>
        <v>ENERO</v>
      </c>
      <c r="C7223" s="55">
        <f t="shared" si="459"/>
        <v>1</v>
      </c>
      <c r="D7223" s="3" t="str">
        <f t="shared" si="460"/>
        <v>SÁBADO</v>
      </c>
      <c r="E7223" s="427"/>
      <c r="F7223" s="31">
        <f>IFERROR(VLOOKUP(E7223,BD!$L$2:$Q$244,2,0),0)</f>
        <v>0</v>
      </c>
      <c r="G7223" s="424"/>
      <c r="H7223" s="31">
        <f>+IFERROR(VLOOKUP(E7223,BD!$L$2:$Q$244,6,0),0)</f>
        <v>0</v>
      </c>
      <c r="I7223" s="626">
        <f>IFERROR(G7223*VLOOKUP($E7223,BD!$L$2:$Q$244,5,0),0)</f>
        <v>0</v>
      </c>
      <c r="J7223" s="3">
        <f t="shared" si="461"/>
        <v>1900</v>
      </c>
    </row>
    <row r="7224" spans="1:10" s="9" customFormat="1" x14ac:dyDescent="0.25">
      <c r="A7224" s="447"/>
      <c r="B7224" s="55" t="str">
        <f t="shared" si="458"/>
        <v>ENERO</v>
      </c>
      <c r="C7224" s="55">
        <f t="shared" si="459"/>
        <v>1</v>
      </c>
      <c r="D7224" s="3" t="str">
        <f t="shared" si="460"/>
        <v>SÁBADO</v>
      </c>
      <c r="E7224" s="427"/>
      <c r="F7224" s="31">
        <f>IFERROR(VLOOKUP(E7224,BD!$L$2:$Q$244,2,0),0)</f>
        <v>0</v>
      </c>
      <c r="G7224" s="424"/>
      <c r="H7224" s="31">
        <f>+IFERROR(VLOOKUP(E7224,BD!$L$2:$Q$244,6,0),0)</f>
        <v>0</v>
      </c>
      <c r="I7224" s="626">
        <f>IFERROR(G7224*VLOOKUP($E7224,BD!$L$2:$Q$244,5,0),0)</f>
        <v>0</v>
      </c>
      <c r="J7224" s="3">
        <f t="shared" si="461"/>
        <v>1900</v>
      </c>
    </row>
    <row r="7225" spans="1:10" s="9" customFormat="1" x14ac:dyDescent="0.25">
      <c r="A7225" s="447"/>
      <c r="B7225" s="55" t="str">
        <f t="shared" si="458"/>
        <v>ENERO</v>
      </c>
      <c r="C7225" s="55">
        <f t="shared" si="459"/>
        <v>1</v>
      </c>
      <c r="D7225" s="3" t="str">
        <f t="shared" si="460"/>
        <v>SÁBADO</v>
      </c>
      <c r="E7225" s="427"/>
      <c r="F7225" s="31">
        <f>IFERROR(VLOOKUP(E7225,BD!$L$2:$Q$244,2,0),0)</f>
        <v>0</v>
      </c>
      <c r="G7225" s="424"/>
      <c r="H7225" s="31">
        <f>+IFERROR(VLOOKUP(E7225,BD!$L$2:$Q$244,6,0),0)</f>
        <v>0</v>
      </c>
      <c r="I7225" s="626">
        <f>IFERROR(G7225*VLOOKUP($E7225,BD!$L$2:$Q$244,5,0),0)</f>
        <v>0</v>
      </c>
      <c r="J7225" s="3">
        <f t="shared" si="461"/>
        <v>1900</v>
      </c>
    </row>
    <row r="7226" spans="1:10" s="9" customFormat="1" x14ac:dyDescent="0.25">
      <c r="A7226" s="447"/>
      <c r="B7226" s="55" t="str">
        <f t="shared" si="458"/>
        <v>ENERO</v>
      </c>
      <c r="C7226" s="55">
        <f t="shared" si="459"/>
        <v>1</v>
      </c>
      <c r="D7226" s="3" t="str">
        <f t="shared" si="460"/>
        <v>SÁBADO</v>
      </c>
      <c r="E7226" s="427"/>
      <c r="F7226" s="31">
        <f>IFERROR(VLOOKUP(E7226,BD!$L$2:$Q$244,2,0),0)</f>
        <v>0</v>
      </c>
      <c r="G7226" s="424"/>
      <c r="H7226" s="31">
        <f>+IFERROR(VLOOKUP(E7226,BD!$L$2:$Q$244,6,0),0)</f>
        <v>0</v>
      </c>
      <c r="I7226" s="626">
        <f>IFERROR(G7226*VLOOKUP($E7226,BD!$L$2:$Q$244,5,0),0)</f>
        <v>0</v>
      </c>
      <c r="J7226" s="3">
        <f t="shared" si="461"/>
        <v>1900</v>
      </c>
    </row>
    <row r="7227" spans="1:10" s="9" customFormat="1" x14ac:dyDescent="0.25">
      <c r="A7227" s="447"/>
      <c r="B7227" s="55" t="str">
        <f t="shared" si="458"/>
        <v>ENERO</v>
      </c>
      <c r="C7227" s="55">
        <f t="shared" si="459"/>
        <v>1</v>
      </c>
      <c r="D7227" s="3" t="str">
        <f t="shared" si="460"/>
        <v>SÁBADO</v>
      </c>
      <c r="E7227" s="427"/>
      <c r="F7227" s="31">
        <f>IFERROR(VLOOKUP(E7227,BD!$L$2:$Q$244,2,0),0)</f>
        <v>0</v>
      </c>
      <c r="G7227" s="424"/>
      <c r="H7227" s="31">
        <f>+IFERROR(VLOOKUP(E7227,BD!$L$2:$Q$244,6,0),0)</f>
        <v>0</v>
      </c>
      <c r="I7227" s="626">
        <f>IFERROR(G7227*VLOOKUP($E7227,BD!$L$2:$Q$244,5,0),0)</f>
        <v>0</v>
      </c>
      <c r="J7227" s="3">
        <f t="shared" si="461"/>
        <v>1900</v>
      </c>
    </row>
    <row r="7228" spans="1:10" s="9" customFormat="1" x14ac:dyDescent="0.25">
      <c r="A7228" s="447"/>
      <c r="B7228" s="55" t="str">
        <f t="shared" si="458"/>
        <v>ENERO</v>
      </c>
      <c r="C7228" s="55">
        <f t="shared" si="459"/>
        <v>1</v>
      </c>
      <c r="D7228" s="3" t="str">
        <f t="shared" si="460"/>
        <v>SÁBADO</v>
      </c>
      <c r="E7228" s="427"/>
      <c r="F7228" s="31">
        <f>IFERROR(VLOOKUP(E7228,BD!$L$2:$Q$244,2,0),0)</f>
        <v>0</v>
      </c>
      <c r="G7228" s="424"/>
      <c r="H7228" s="31">
        <f>+IFERROR(VLOOKUP(E7228,BD!$L$2:$Q$244,6,0),0)</f>
        <v>0</v>
      </c>
      <c r="I7228" s="626">
        <f>IFERROR(G7228*VLOOKUP($E7228,BD!$L$2:$Q$244,5,0),0)</f>
        <v>0</v>
      </c>
      <c r="J7228" s="3">
        <f t="shared" si="461"/>
        <v>1900</v>
      </c>
    </row>
    <row r="7229" spans="1:10" s="9" customFormat="1" x14ac:dyDescent="0.25">
      <c r="A7229" s="447"/>
      <c r="B7229" s="55" t="str">
        <f t="shared" ref="B7229:B7292" si="462">UPPER(TEXT(A7229,"MMMM"))</f>
        <v>ENERO</v>
      </c>
      <c r="C7229" s="55">
        <f t="shared" ref="C7229:C7292" si="463">WEEKNUM(A7229,16)</f>
        <v>1</v>
      </c>
      <c r="D7229" s="3" t="str">
        <f t="shared" ref="D7229:D7292" si="464">UPPER(TEXT(A7229,"DDDD"))</f>
        <v>SÁBADO</v>
      </c>
      <c r="E7229" s="427"/>
      <c r="F7229" s="31">
        <f>IFERROR(VLOOKUP(E7229,BD!$L$2:$Q$244,2,0),0)</f>
        <v>0</v>
      </c>
      <c r="G7229" s="424"/>
      <c r="H7229" s="31">
        <f>+IFERROR(VLOOKUP(E7229,BD!$L$2:$Q$244,6,0),0)</f>
        <v>0</v>
      </c>
      <c r="I7229" s="626">
        <f>IFERROR(G7229*VLOOKUP($E7229,BD!$L$2:$Q$244,5,0),0)</f>
        <v>0</v>
      </c>
      <c r="J7229" s="3">
        <f t="shared" ref="J7229:J7292" si="465">+YEAR(A7229)</f>
        <v>1900</v>
      </c>
    </row>
    <row r="7230" spans="1:10" s="9" customFormat="1" x14ac:dyDescent="0.25">
      <c r="A7230" s="447"/>
      <c r="B7230" s="55" t="str">
        <f t="shared" si="462"/>
        <v>ENERO</v>
      </c>
      <c r="C7230" s="55">
        <f t="shared" si="463"/>
        <v>1</v>
      </c>
      <c r="D7230" s="3" t="str">
        <f t="shared" si="464"/>
        <v>SÁBADO</v>
      </c>
      <c r="E7230" s="427"/>
      <c r="F7230" s="31">
        <f>IFERROR(VLOOKUP(E7230,BD!$L$2:$Q$244,2,0),0)</f>
        <v>0</v>
      </c>
      <c r="G7230" s="424"/>
      <c r="H7230" s="31">
        <f>+IFERROR(VLOOKUP(E7230,BD!$L$2:$Q$244,6,0),0)</f>
        <v>0</v>
      </c>
      <c r="I7230" s="626">
        <f>IFERROR(G7230*VLOOKUP($E7230,BD!$L$2:$Q$244,5,0),0)</f>
        <v>0</v>
      </c>
      <c r="J7230" s="3">
        <f t="shared" si="465"/>
        <v>1900</v>
      </c>
    </row>
    <row r="7231" spans="1:10" s="9" customFormat="1" x14ac:dyDescent="0.25">
      <c r="A7231" s="447"/>
      <c r="B7231" s="55" t="str">
        <f t="shared" si="462"/>
        <v>ENERO</v>
      </c>
      <c r="C7231" s="55">
        <f t="shared" si="463"/>
        <v>1</v>
      </c>
      <c r="D7231" s="3" t="str">
        <f t="shared" si="464"/>
        <v>SÁBADO</v>
      </c>
      <c r="E7231" s="427"/>
      <c r="F7231" s="31">
        <f>IFERROR(VLOOKUP(E7231,BD!$L$2:$Q$244,2,0),0)</f>
        <v>0</v>
      </c>
      <c r="G7231" s="424"/>
      <c r="H7231" s="31">
        <f>+IFERROR(VLOOKUP(E7231,BD!$L$2:$Q$244,6,0),0)</f>
        <v>0</v>
      </c>
      <c r="I7231" s="626">
        <f>IFERROR(G7231*VLOOKUP($E7231,BD!$L$2:$Q$244,5,0),0)</f>
        <v>0</v>
      </c>
      <c r="J7231" s="3">
        <f t="shared" si="465"/>
        <v>1900</v>
      </c>
    </row>
    <row r="7232" spans="1:10" s="9" customFormat="1" x14ac:dyDescent="0.25">
      <c r="A7232" s="447"/>
      <c r="B7232" s="55" t="str">
        <f t="shared" si="462"/>
        <v>ENERO</v>
      </c>
      <c r="C7232" s="55">
        <f t="shared" si="463"/>
        <v>1</v>
      </c>
      <c r="D7232" s="3" t="str">
        <f t="shared" si="464"/>
        <v>SÁBADO</v>
      </c>
      <c r="E7232" s="427"/>
      <c r="F7232" s="31">
        <f>IFERROR(VLOOKUP(E7232,BD!$L$2:$Q$244,2,0),0)</f>
        <v>0</v>
      </c>
      <c r="G7232" s="424"/>
      <c r="H7232" s="31">
        <f>+IFERROR(VLOOKUP(E7232,BD!$L$2:$Q$244,6,0),0)</f>
        <v>0</v>
      </c>
      <c r="I7232" s="626">
        <f>IFERROR(G7232*VLOOKUP($E7232,BD!$L$2:$Q$244,5,0),0)</f>
        <v>0</v>
      </c>
      <c r="J7232" s="3">
        <f t="shared" si="465"/>
        <v>1900</v>
      </c>
    </row>
    <row r="7233" spans="1:10" s="9" customFormat="1" x14ac:dyDescent="0.25">
      <c r="A7233" s="447"/>
      <c r="B7233" s="55" t="str">
        <f t="shared" si="462"/>
        <v>ENERO</v>
      </c>
      <c r="C7233" s="55">
        <f t="shared" si="463"/>
        <v>1</v>
      </c>
      <c r="D7233" s="3" t="str">
        <f t="shared" si="464"/>
        <v>SÁBADO</v>
      </c>
      <c r="E7233" s="427"/>
      <c r="F7233" s="31">
        <f>IFERROR(VLOOKUP(E7233,BD!$L$2:$Q$244,2,0),0)</f>
        <v>0</v>
      </c>
      <c r="G7233" s="424"/>
      <c r="H7233" s="31">
        <f>+IFERROR(VLOOKUP(E7233,BD!$L$2:$Q$244,6,0),0)</f>
        <v>0</v>
      </c>
      <c r="I7233" s="626">
        <f>IFERROR(G7233*VLOOKUP($E7233,BD!$L$2:$Q$244,5,0),0)</f>
        <v>0</v>
      </c>
      <c r="J7233" s="3">
        <f t="shared" si="465"/>
        <v>1900</v>
      </c>
    </row>
    <row r="7234" spans="1:10" s="9" customFormat="1" x14ac:dyDescent="0.25">
      <c r="A7234" s="447"/>
      <c r="B7234" s="55" t="str">
        <f t="shared" si="462"/>
        <v>ENERO</v>
      </c>
      <c r="C7234" s="55">
        <f t="shared" si="463"/>
        <v>1</v>
      </c>
      <c r="D7234" s="3" t="str">
        <f t="shared" si="464"/>
        <v>SÁBADO</v>
      </c>
      <c r="E7234" s="427"/>
      <c r="F7234" s="31">
        <f>IFERROR(VLOOKUP(E7234,BD!$L$2:$Q$244,2,0),0)</f>
        <v>0</v>
      </c>
      <c r="G7234" s="424"/>
      <c r="H7234" s="31">
        <f>+IFERROR(VLOOKUP(E7234,BD!$L$2:$Q$244,6,0),0)</f>
        <v>0</v>
      </c>
      <c r="I7234" s="626">
        <f>IFERROR(G7234*VLOOKUP($E7234,BD!$L$2:$Q$244,5,0),0)</f>
        <v>0</v>
      </c>
      <c r="J7234" s="3">
        <f t="shared" si="465"/>
        <v>1900</v>
      </c>
    </row>
    <row r="7235" spans="1:10" s="9" customFormat="1" x14ac:dyDescent="0.25">
      <c r="A7235" s="447"/>
      <c r="B7235" s="55" t="str">
        <f t="shared" si="462"/>
        <v>ENERO</v>
      </c>
      <c r="C7235" s="55">
        <f t="shared" si="463"/>
        <v>1</v>
      </c>
      <c r="D7235" s="3" t="str">
        <f t="shared" si="464"/>
        <v>SÁBADO</v>
      </c>
      <c r="E7235" s="427"/>
      <c r="F7235" s="31">
        <f>IFERROR(VLOOKUP(E7235,BD!$L$2:$Q$244,2,0),0)</f>
        <v>0</v>
      </c>
      <c r="G7235" s="424"/>
      <c r="H7235" s="31">
        <f>+IFERROR(VLOOKUP(E7235,BD!$L$2:$Q$244,6,0),0)</f>
        <v>0</v>
      </c>
      <c r="I7235" s="626">
        <f>IFERROR(G7235*VLOOKUP($E7235,BD!$L$2:$Q$244,5,0),0)</f>
        <v>0</v>
      </c>
      <c r="J7235" s="3">
        <f t="shared" si="465"/>
        <v>1900</v>
      </c>
    </row>
    <row r="7236" spans="1:10" s="9" customFormat="1" x14ac:dyDescent="0.25">
      <c r="A7236" s="447"/>
      <c r="B7236" s="55" t="str">
        <f t="shared" si="462"/>
        <v>ENERO</v>
      </c>
      <c r="C7236" s="55">
        <f t="shared" si="463"/>
        <v>1</v>
      </c>
      <c r="D7236" s="3" t="str">
        <f t="shared" si="464"/>
        <v>SÁBADO</v>
      </c>
      <c r="E7236" s="427"/>
      <c r="F7236" s="31">
        <f>IFERROR(VLOOKUP(E7236,BD!$L$2:$Q$244,2,0),0)</f>
        <v>0</v>
      </c>
      <c r="G7236" s="424"/>
      <c r="H7236" s="31">
        <f>+IFERROR(VLOOKUP(E7236,BD!$L$2:$Q$244,6,0),0)</f>
        <v>0</v>
      </c>
      <c r="I7236" s="626">
        <f>IFERROR(G7236*VLOOKUP($E7236,BD!$L$2:$Q$244,5,0),0)</f>
        <v>0</v>
      </c>
      <c r="J7236" s="3">
        <f t="shared" si="465"/>
        <v>1900</v>
      </c>
    </row>
    <row r="7237" spans="1:10" s="9" customFormat="1" x14ac:dyDescent="0.25">
      <c r="A7237" s="447"/>
      <c r="B7237" s="55" t="str">
        <f t="shared" si="462"/>
        <v>ENERO</v>
      </c>
      <c r="C7237" s="55">
        <f t="shared" si="463"/>
        <v>1</v>
      </c>
      <c r="D7237" s="3" t="str">
        <f t="shared" si="464"/>
        <v>SÁBADO</v>
      </c>
      <c r="E7237" s="427"/>
      <c r="F7237" s="31">
        <f>IFERROR(VLOOKUP(E7237,BD!$L$2:$Q$244,2,0),0)</f>
        <v>0</v>
      </c>
      <c r="G7237" s="424"/>
      <c r="H7237" s="31">
        <f>+IFERROR(VLOOKUP(E7237,BD!$L$2:$Q$244,6,0),0)</f>
        <v>0</v>
      </c>
      <c r="I7237" s="626">
        <f>IFERROR(G7237*VLOOKUP($E7237,BD!$L$2:$Q$244,5,0),0)</f>
        <v>0</v>
      </c>
      <c r="J7237" s="3">
        <f t="shared" si="465"/>
        <v>1900</v>
      </c>
    </row>
    <row r="7238" spans="1:10" s="9" customFormat="1" x14ac:dyDescent="0.25">
      <c r="A7238" s="447"/>
      <c r="B7238" s="55" t="str">
        <f t="shared" si="462"/>
        <v>ENERO</v>
      </c>
      <c r="C7238" s="55">
        <f t="shared" si="463"/>
        <v>1</v>
      </c>
      <c r="D7238" s="3" t="str">
        <f t="shared" si="464"/>
        <v>SÁBADO</v>
      </c>
      <c r="E7238" s="427"/>
      <c r="F7238" s="31">
        <f>IFERROR(VLOOKUP(E7238,BD!$L$2:$Q$244,2,0),0)</f>
        <v>0</v>
      </c>
      <c r="G7238" s="424"/>
      <c r="H7238" s="31">
        <f>+IFERROR(VLOOKUP(E7238,BD!$L$2:$Q$244,6,0),0)</f>
        <v>0</v>
      </c>
      <c r="I7238" s="626">
        <f>IFERROR(G7238*VLOOKUP($E7238,BD!$L$2:$Q$244,5,0),0)</f>
        <v>0</v>
      </c>
      <c r="J7238" s="3">
        <f t="shared" si="465"/>
        <v>1900</v>
      </c>
    </row>
    <row r="7239" spans="1:10" s="9" customFormat="1" x14ac:dyDescent="0.25">
      <c r="A7239" s="447"/>
      <c r="B7239" s="55" t="str">
        <f t="shared" si="462"/>
        <v>ENERO</v>
      </c>
      <c r="C7239" s="55">
        <f t="shared" si="463"/>
        <v>1</v>
      </c>
      <c r="D7239" s="3" t="str">
        <f t="shared" si="464"/>
        <v>SÁBADO</v>
      </c>
      <c r="E7239" s="427"/>
      <c r="F7239" s="31">
        <f>IFERROR(VLOOKUP(E7239,BD!$L$2:$Q$244,2,0),0)</f>
        <v>0</v>
      </c>
      <c r="G7239" s="424"/>
      <c r="H7239" s="31">
        <f>+IFERROR(VLOOKUP(E7239,BD!$L$2:$Q$244,6,0),0)</f>
        <v>0</v>
      </c>
      <c r="I7239" s="626">
        <f>IFERROR(G7239*VLOOKUP($E7239,BD!$L$2:$Q$244,5,0),0)</f>
        <v>0</v>
      </c>
      <c r="J7239" s="3">
        <f t="shared" si="465"/>
        <v>1900</v>
      </c>
    </row>
    <row r="7240" spans="1:10" s="9" customFormat="1" x14ac:dyDescent="0.25">
      <c r="A7240" s="447"/>
      <c r="B7240" s="55" t="str">
        <f t="shared" si="462"/>
        <v>ENERO</v>
      </c>
      <c r="C7240" s="55">
        <f t="shared" si="463"/>
        <v>1</v>
      </c>
      <c r="D7240" s="3" t="str">
        <f t="shared" si="464"/>
        <v>SÁBADO</v>
      </c>
      <c r="E7240" s="427"/>
      <c r="F7240" s="31">
        <f>IFERROR(VLOOKUP(E7240,BD!$L$2:$Q$244,2,0),0)</f>
        <v>0</v>
      </c>
      <c r="G7240" s="424"/>
      <c r="H7240" s="31">
        <f>+IFERROR(VLOOKUP(E7240,BD!$L$2:$Q$244,6,0),0)</f>
        <v>0</v>
      </c>
      <c r="I7240" s="626">
        <f>IFERROR(G7240*VLOOKUP($E7240,BD!$L$2:$Q$244,5,0),0)</f>
        <v>0</v>
      </c>
      <c r="J7240" s="3">
        <f t="shared" si="465"/>
        <v>1900</v>
      </c>
    </row>
    <row r="7241" spans="1:10" s="9" customFormat="1" x14ac:dyDescent="0.25">
      <c r="A7241" s="447"/>
      <c r="B7241" s="55" t="str">
        <f t="shared" si="462"/>
        <v>ENERO</v>
      </c>
      <c r="C7241" s="55">
        <f t="shared" si="463"/>
        <v>1</v>
      </c>
      <c r="D7241" s="3" t="str">
        <f t="shared" si="464"/>
        <v>SÁBADO</v>
      </c>
      <c r="E7241" s="427"/>
      <c r="F7241" s="31">
        <f>IFERROR(VLOOKUP(E7241,BD!$L$2:$Q$244,2,0),0)</f>
        <v>0</v>
      </c>
      <c r="G7241" s="424"/>
      <c r="H7241" s="31">
        <f>+IFERROR(VLOOKUP(E7241,BD!$L$2:$Q$244,6,0),0)</f>
        <v>0</v>
      </c>
      <c r="I7241" s="626">
        <f>IFERROR(G7241*VLOOKUP($E7241,BD!$L$2:$Q$244,5,0),0)</f>
        <v>0</v>
      </c>
      <c r="J7241" s="3">
        <f t="shared" si="465"/>
        <v>1900</v>
      </c>
    </row>
    <row r="7242" spans="1:10" s="9" customFormat="1" x14ac:dyDescent="0.25">
      <c r="A7242" s="447"/>
      <c r="B7242" s="55" t="str">
        <f t="shared" si="462"/>
        <v>ENERO</v>
      </c>
      <c r="C7242" s="55">
        <f t="shared" si="463"/>
        <v>1</v>
      </c>
      <c r="D7242" s="3" t="str">
        <f t="shared" si="464"/>
        <v>SÁBADO</v>
      </c>
      <c r="E7242" s="427"/>
      <c r="F7242" s="31">
        <f>IFERROR(VLOOKUP(E7242,BD!$L$2:$Q$244,2,0),0)</f>
        <v>0</v>
      </c>
      <c r="G7242" s="424"/>
      <c r="H7242" s="31">
        <f>+IFERROR(VLOOKUP(E7242,BD!$L$2:$Q$244,6,0),0)</f>
        <v>0</v>
      </c>
      <c r="I7242" s="626">
        <f>IFERROR(G7242*VLOOKUP($E7242,BD!$L$2:$Q$244,5,0),0)</f>
        <v>0</v>
      </c>
      <c r="J7242" s="3">
        <f t="shared" si="465"/>
        <v>1900</v>
      </c>
    </row>
    <row r="7243" spans="1:10" s="9" customFormat="1" x14ac:dyDescent="0.25">
      <c r="A7243" s="447"/>
      <c r="B7243" s="55" t="str">
        <f t="shared" si="462"/>
        <v>ENERO</v>
      </c>
      <c r="C7243" s="55">
        <f t="shared" si="463"/>
        <v>1</v>
      </c>
      <c r="D7243" s="3" t="str">
        <f t="shared" si="464"/>
        <v>SÁBADO</v>
      </c>
      <c r="E7243" s="427"/>
      <c r="F7243" s="31">
        <f>IFERROR(VLOOKUP(E7243,BD!$L$2:$Q$244,2,0),0)</f>
        <v>0</v>
      </c>
      <c r="G7243" s="424"/>
      <c r="H7243" s="31">
        <f>+IFERROR(VLOOKUP(E7243,BD!$L$2:$Q$244,6,0),0)</f>
        <v>0</v>
      </c>
      <c r="I7243" s="626">
        <f>IFERROR(G7243*VLOOKUP($E7243,BD!$L$2:$Q$244,5,0),0)</f>
        <v>0</v>
      </c>
      <c r="J7243" s="3">
        <f t="shared" si="465"/>
        <v>1900</v>
      </c>
    </row>
    <row r="7244" spans="1:10" s="9" customFormat="1" x14ac:dyDescent="0.25">
      <c r="A7244" s="447"/>
      <c r="B7244" s="55" t="str">
        <f t="shared" si="462"/>
        <v>ENERO</v>
      </c>
      <c r="C7244" s="55">
        <f t="shared" si="463"/>
        <v>1</v>
      </c>
      <c r="D7244" s="3" t="str">
        <f t="shared" si="464"/>
        <v>SÁBADO</v>
      </c>
      <c r="E7244" s="427"/>
      <c r="F7244" s="31">
        <f>IFERROR(VLOOKUP(E7244,BD!$L$2:$Q$244,2,0),0)</f>
        <v>0</v>
      </c>
      <c r="G7244" s="424"/>
      <c r="H7244" s="31">
        <f>+IFERROR(VLOOKUP(E7244,BD!$L$2:$Q$244,6,0),0)</f>
        <v>0</v>
      </c>
      <c r="I7244" s="626">
        <f>IFERROR(G7244*VLOOKUP($E7244,BD!$L$2:$Q$244,5,0),0)</f>
        <v>0</v>
      </c>
      <c r="J7244" s="3">
        <f t="shared" si="465"/>
        <v>1900</v>
      </c>
    </row>
    <row r="7245" spans="1:10" s="9" customFormat="1" x14ac:dyDescent="0.25">
      <c r="A7245" s="447"/>
      <c r="B7245" s="55" t="str">
        <f t="shared" si="462"/>
        <v>ENERO</v>
      </c>
      <c r="C7245" s="55">
        <f t="shared" si="463"/>
        <v>1</v>
      </c>
      <c r="D7245" s="3" t="str">
        <f t="shared" si="464"/>
        <v>SÁBADO</v>
      </c>
      <c r="E7245" s="427"/>
      <c r="F7245" s="31">
        <f>IFERROR(VLOOKUP(E7245,BD!$L$2:$Q$244,2,0),0)</f>
        <v>0</v>
      </c>
      <c r="G7245" s="424"/>
      <c r="H7245" s="31">
        <f>+IFERROR(VLOOKUP(E7245,BD!$L$2:$Q$244,6,0),0)</f>
        <v>0</v>
      </c>
      <c r="I7245" s="626">
        <f>IFERROR(G7245*VLOOKUP($E7245,BD!$L$2:$Q$244,5,0),0)</f>
        <v>0</v>
      </c>
      <c r="J7245" s="3">
        <f t="shared" si="465"/>
        <v>1900</v>
      </c>
    </row>
    <row r="7246" spans="1:10" s="9" customFormat="1" x14ac:dyDescent="0.25">
      <c r="A7246" s="447"/>
      <c r="B7246" s="55" t="str">
        <f t="shared" si="462"/>
        <v>ENERO</v>
      </c>
      <c r="C7246" s="55">
        <f t="shared" si="463"/>
        <v>1</v>
      </c>
      <c r="D7246" s="3" t="str">
        <f t="shared" si="464"/>
        <v>SÁBADO</v>
      </c>
      <c r="E7246" s="427"/>
      <c r="F7246" s="31">
        <f>IFERROR(VLOOKUP(E7246,BD!$L$2:$Q$244,2,0),0)</f>
        <v>0</v>
      </c>
      <c r="G7246" s="424"/>
      <c r="H7246" s="31">
        <f>+IFERROR(VLOOKUP(E7246,BD!$L$2:$Q$244,6,0),0)</f>
        <v>0</v>
      </c>
      <c r="I7246" s="626">
        <f>IFERROR(G7246*VLOOKUP($E7246,BD!$L$2:$Q$244,5,0),0)</f>
        <v>0</v>
      </c>
      <c r="J7246" s="3">
        <f t="shared" si="465"/>
        <v>1900</v>
      </c>
    </row>
    <row r="7247" spans="1:10" s="9" customFormat="1" x14ac:dyDescent="0.25">
      <c r="A7247" s="447"/>
      <c r="B7247" s="55" t="str">
        <f t="shared" si="462"/>
        <v>ENERO</v>
      </c>
      <c r="C7247" s="55">
        <f t="shared" si="463"/>
        <v>1</v>
      </c>
      <c r="D7247" s="3" t="str">
        <f t="shared" si="464"/>
        <v>SÁBADO</v>
      </c>
      <c r="E7247" s="427"/>
      <c r="F7247" s="31">
        <f>IFERROR(VLOOKUP(E7247,BD!$L$2:$Q$244,2,0),0)</f>
        <v>0</v>
      </c>
      <c r="G7247" s="424"/>
      <c r="H7247" s="31">
        <f>+IFERROR(VLOOKUP(E7247,BD!$L$2:$Q$244,6,0),0)</f>
        <v>0</v>
      </c>
      <c r="I7247" s="626">
        <f>IFERROR(G7247*VLOOKUP($E7247,BD!$L$2:$Q$244,5,0),0)</f>
        <v>0</v>
      </c>
      <c r="J7247" s="3">
        <f t="shared" si="465"/>
        <v>1900</v>
      </c>
    </row>
    <row r="7248" spans="1:10" s="9" customFormat="1" x14ac:dyDescent="0.25">
      <c r="A7248" s="447"/>
      <c r="B7248" s="55" t="str">
        <f t="shared" si="462"/>
        <v>ENERO</v>
      </c>
      <c r="C7248" s="55">
        <f t="shared" si="463"/>
        <v>1</v>
      </c>
      <c r="D7248" s="3" t="str">
        <f t="shared" si="464"/>
        <v>SÁBADO</v>
      </c>
      <c r="E7248" s="427"/>
      <c r="F7248" s="31">
        <f>IFERROR(VLOOKUP(E7248,BD!$L$2:$Q$244,2,0),0)</f>
        <v>0</v>
      </c>
      <c r="G7248" s="424"/>
      <c r="H7248" s="31">
        <f>+IFERROR(VLOOKUP(E7248,BD!$L$2:$Q$244,6,0),0)</f>
        <v>0</v>
      </c>
      <c r="I7248" s="626">
        <f>IFERROR(G7248*VLOOKUP($E7248,BD!$L$2:$Q$244,5,0),0)</f>
        <v>0</v>
      </c>
      <c r="J7248" s="3">
        <f t="shared" si="465"/>
        <v>1900</v>
      </c>
    </row>
    <row r="7249" spans="1:10" s="9" customFormat="1" x14ac:dyDescent="0.25">
      <c r="A7249" s="447"/>
      <c r="B7249" s="55" t="str">
        <f t="shared" si="462"/>
        <v>ENERO</v>
      </c>
      <c r="C7249" s="55">
        <f t="shared" si="463"/>
        <v>1</v>
      </c>
      <c r="D7249" s="3" t="str">
        <f t="shared" si="464"/>
        <v>SÁBADO</v>
      </c>
      <c r="E7249" s="427"/>
      <c r="F7249" s="31">
        <f>IFERROR(VLOOKUP(E7249,BD!$L$2:$Q$244,2,0),0)</f>
        <v>0</v>
      </c>
      <c r="G7249" s="424"/>
      <c r="H7249" s="31">
        <f>+IFERROR(VLOOKUP(E7249,BD!$L$2:$Q$244,6,0),0)</f>
        <v>0</v>
      </c>
      <c r="I7249" s="626">
        <f>IFERROR(G7249*VLOOKUP($E7249,BD!$L$2:$Q$244,5,0),0)</f>
        <v>0</v>
      </c>
      <c r="J7249" s="3">
        <f t="shared" si="465"/>
        <v>1900</v>
      </c>
    </row>
    <row r="7250" spans="1:10" s="9" customFormat="1" x14ac:dyDescent="0.25">
      <c r="A7250" s="447"/>
      <c r="B7250" s="55" t="str">
        <f t="shared" si="462"/>
        <v>ENERO</v>
      </c>
      <c r="C7250" s="55">
        <f t="shared" si="463"/>
        <v>1</v>
      </c>
      <c r="D7250" s="3" t="str">
        <f t="shared" si="464"/>
        <v>SÁBADO</v>
      </c>
      <c r="E7250" s="427"/>
      <c r="F7250" s="31">
        <f>IFERROR(VLOOKUP(E7250,BD!$L$2:$Q$244,2,0),0)</f>
        <v>0</v>
      </c>
      <c r="G7250" s="424"/>
      <c r="H7250" s="31">
        <f>+IFERROR(VLOOKUP(E7250,BD!$L$2:$Q$244,6,0),0)</f>
        <v>0</v>
      </c>
      <c r="I7250" s="626">
        <f>IFERROR(G7250*VLOOKUP($E7250,BD!$L$2:$Q$244,5,0),0)</f>
        <v>0</v>
      </c>
      <c r="J7250" s="3">
        <f t="shared" si="465"/>
        <v>1900</v>
      </c>
    </row>
    <row r="7251" spans="1:10" s="9" customFormat="1" x14ac:dyDescent="0.25">
      <c r="A7251" s="447"/>
      <c r="B7251" s="55" t="str">
        <f t="shared" si="462"/>
        <v>ENERO</v>
      </c>
      <c r="C7251" s="55">
        <f t="shared" si="463"/>
        <v>1</v>
      </c>
      <c r="D7251" s="3" t="str">
        <f t="shared" si="464"/>
        <v>SÁBADO</v>
      </c>
      <c r="E7251" s="427"/>
      <c r="F7251" s="31">
        <f>IFERROR(VLOOKUP(E7251,BD!$L$2:$Q$244,2,0),0)</f>
        <v>0</v>
      </c>
      <c r="G7251" s="424"/>
      <c r="H7251" s="31">
        <f>+IFERROR(VLOOKUP(E7251,BD!$L$2:$Q$244,6,0),0)</f>
        <v>0</v>
      </c>
      <c r="I7251" s="626">
        <f>IFERROR(G7251*VLOOKUP($E7251,BD!$L$2:$Q$244,5,0),0)</f>
        <v>0</v>
      </c>
      <c r="J7251" s="3">
        <f t="shared" si="465"/>
        <v>1900</v>
      </c>
    </row>
    <row r="7252" spans="1:10" s="9" customFormat="1" x14ac:dyDescent="0.25">
      <c r="A7252" s="447"/>
      <c r="B7252" s="55" t="str">
        <f t="shared" si="462"/>
        <v>ENERO</v>
      </c>
      <c r="C7252" s="55">
        <f t="shared" si="463"/>
        <v>1</v>
      </c>
      <c r="D7252" s="3" t="str">
        <f t="shared" si="464"/>
        <v>SÁBADO</v>
      </c>
      <c r="E7252" s="427"/>
      <c r="F7252" s="31">
        <f>IFERROR(VLOOKUP(E7252,BD!$L$2:$Q$244,2,0),0)</f>
        <v>0</v>
      </c>
      <c r="G7252" s="424"/>
      <c r="H7252" s="31">
        <f>+IFERROR(VLOOKUP(E7252,BD!$L$2:$Q$244,6,0),0)</f>
        <v>0</v>
      </c>
      <c r="I7252" s="626">
        <f>IFERROR(G7252*VLOOKUP($E7252,BD!$L$2:$Q$244,5,0),0)</f>
        <v>0</v>
      </c>
      <c r="J7252" s="3">
        <f t="shared" si="465"/>
        <v>1900</v>
      </c>
    </row>
    <row r="7253" spans="1:10" s="9" customFormat="1" x14ac:dyDescent="0.25">
      <c r="A7253" s="447"/>
      <c r="B7253" s="55" t="str">
        <f t="shared" si="462"/>
        <v>ENERO</v>
      </c>
      <c r="C7253" s="55">
        <f t="shared" si="463"/>
        <v>1</v>
      </c>
      <c r="D7253" s="3" t="str">
        <f t="shared" si="464"/>
        <v>SÁBADO</v>
      </c>
      <c r="E7253" s="427"/>
      <c r="F7253" s="31">
        <f>IFERROR(VLOOKUP(E7253,BD!$L$2:$Q$244,2,0),0)</f>
        <v>0</v>
      </c>
      <c r="G7253" s="424"/>
      <c r="H7253" s="31">
        <f>+IFERROR(VLOOKUP(E7253,BD!$L$2:$Q$244,6,0),0)</f>
        <v>0</v>
      </c>
      <c r="I7253" s="626">
        <f>IFERROR(G7253*VLOOKUP($E7253,BD!$L$2:$Q$244,5,0),0)</f>
        <v>0</v>
      </c>
      <c r="J7253" s="3">
        <f t="shared" si="465"/>
        <v>1900</v>
      </c>
    </row>
    <row r="7254" spans="1:10" s="9" customFormat="1" x14ac:dyDescent="0.25">
      <c r="A7254" s="447"/>
      <c r="B7254" s="55" t="str">
        <f t="shared" si="462"/>
        <v>ENERO</v>
      </c>
      <c r="C7254" s="55">
        <f t="shared" si="463"/>
        <v>1</v>
      </c>
      <c r="D7254" s="3" t="str">
        <f t="shared" si="464"/>
        <v>SÁBADO</v>
      </c>
      <c r="E7254" s="427"/>
      <c r="F7254" s="31">
        <f>IFERROR(VLOOKUP(E7254,BD!$L$2:$Q$244,2,0),0)</f>
        <v>0</v>
      </c>
      <c r="G7254" s="424"/>
      <c r="H7254" s="31">
        <f>+IFERROR(VLOOKUP(E7254,BD!$L$2:$Q$244,6,0),0)</f>
        <v>0</v>
      </c>
      <c r="I7254" s="626">
        <f>IFERROR(G7254*VLOOKUP($E7254,BD!$L$2:$Q$244,5,0),0)</f>
        <v>0</v>
      </c>
      <c r="J7254" s="3">
        <f t="shared" si="465"/>
        <v>1900</v>
      </c>
    </row>
    <row r="7255" spans="1:10" s="9" customFormat="1" x14ac:dyDescent="0.25">
      <c r="A7255" s="447"/>
      <c r="B7255" s="55" t="str">
        <f t="shared" si="462"/>
        <v>ENERO</v>
      </c>
      <c r="C7255" s="55">
        <f t="shared" si="463"/>
        <v>1</v>
      </c>
      <c r="D7255" s="3" t="str">
        <f t="shared" si="464"/>
        <v>SÁBADO</v>
      </c>
      <c r="E7255" s="427"/>
      <c r="F7255" s="31">
        <f>IFERROR(VLOOKUP(E7255,BD!$L$2:$Q$244,2,0),0)</f>
        <v>0</v>
      </c>
      <c r="G7255" s="424"/>
      <c r="H7255" s="31">
        <f>+IFERROR(VLOOKUP(E7255,BD!$L$2:$Q$244,6,0),0)</f>
        <v>0</v>
      </c>
      <c r="I7255" s="626">
        <f>IFERROR(G7255*VLOOKUP($E7255,BD!$L$2:$Q$244,5,0),0)</f>
        <v>0</v>
      </c>
      <c r="J7255" s="3">
        <f t="shared" si="465"/>
        <v>1900</v>
      </c>
    </row>
    <row r="7256" spans="1:10" s="9" customFormat="1" x14ac:dyDescent="0.25">
      <c r="A7256" s="447"/>
      <c r="B7256" s="55" t="str">
        <f t="shared" si="462"/>
        <v>ENERO</v>
      </c>
      <c r="C7256" s="55">
        <f t="shared" si="463"/>
        <v>1</v>
      </c>
      <c r="D7256" s="3" t="str">
        <f t="shared" si="464"/>
        <v>SÁBADO</v>
      </c>
      <c r="E7256" s="427"/>
      <c r="F7256" s="31">
        <f>IFERROR(VLOOKUP(E7256,BD!$L$2:$Q$244,2,0),0)</f>
        <v>0</v>
      </c>
      <c r="G7256" s="424"/>
      <c r="H7256" s="31">
        <f>+IFERROR(VLOOKUP(E7256,BD!$L$2:$Q$244,6,0),0)</f>
        <v>0</v>
      </c>
      <c r="I7256" s="626">
        <f>IFERROR(G7256*VLOOKUP($E7256,BD!$L$2:$Q$244,5,0),0)</f>
        <v>0</v>
      </c>
      <c r="J7256" s="3">
        <f t="shared" si="465"/>
        <v>1900</v>
      </c>
    </row>
    <row r="7257" spans="1:10" s="9" customFormat="1" x14ac:dyDescent="0.25">
      <c r="A7257" s="447"/>
      <c r="B7257" s="55" t="str">
        <f t="shared" si="462"/>
        <v>ENERO</v>
      </c>
      <c r="C7257" s="55">
        <f t="shared" si="463"/>
        <v>1</v>
      </c>
      <c r="D7257" s="3" t="str">
        <f t="shared" si="464"/>
        <v>SÁBADO</v>
      </c>
      <c r="E7257" s="427"/>
      <c r="F7257" s="31">
        <f>IFERROR(VLOOKUP(E7257,BD!$L$2:$Q$244,2,0),0)</f>
        <v>0</v>
      </c>
      <c r="G7257" s="424"/>
      <c r="H7257" s="31">
        <f>+IFERROR(VLOOKUP(E7257,BD!$L$2:$Q$244,6,0),0)</f>
        <v>0</v>
      </c>
      <c r="I7257" s="626">
        <f>IFERROR(G7257*VLOOKUP($E7257,BD!$L$2:$Q$244,5,0),0)</f>
        <v>0</v>
      </c>
      <c r="J7257" s="3">
        <f t="shared" si="465"/>
        <v>1900</v>
      </c>
    </row>
    <row r="7258" spans="1:10" s="9" customFormat="1" x14ac:dyDescent="0.25">
      <c r="A7258" s="447"/>
      <c r="B7258" s="55" t="str">
        <f t="shared" si="462"/>
        <v>ENERO</v>
      </c>
      <c r="C7258" s="55">
        <f t="shared" si="463"/>
        <v>1</v>
      </c>
      <c r="D7258" s="3" t="str">
        <f t="shared" si="464"/>
        <v>SÁBADO</v>
      </c>
      <c r="E7258" s="427"/>
      <c r="F7258" s="31">
        <f>IFERROR(VLOOKUP(E7258,BD!$L$2:$Q$244,2,0),0)</f>
        <v>0</v>
      </c>
      <c r="G7258" s="424"/>
      <c r="H7258" s="31">
        <f>+IFERROR(VLOOKUP(E7258,BD!$L$2:$Q$244,6,0),0)</f>
        <v>0</v>
      </c>
      <c r="I7258" s="626">
        <f>IFERROR(G7258*VLOOKUP($E7258,BD!$L$2:$Q$244,5,0),0)</f>
        <v>0</v>
      </c>
      <c r="J7258" s="3">
        <f t="shared" si="465"/>
        <v>1900</v>
      </c>
    </row>
    <row r="7259" spans="1:10" s="9" customFormat="1" x14ac:dyDescent="0.25">
      <c r="A7259" s="447"/>
      <c r="B7259" s="55" t="str">
        <f t="shared" si="462"/>
        <v>ENERO</v>
      </c>
      <c r="C7259" s="55">
        <f t="shared" si="463"/>
        <v>1</v>
      </c>
      <c r="D7259" s="3" t="str">
        <f t="shared" si="464"/>
        <v>SÁBADO</v>
      </c>
      <c r="E7259" s="427"/>
      <c r="F7259" s="31">
        <f>IFERROR(VLOOKUP(E7259,BD!$L$2:$Q$244,2,0),0)</f>
        <v>0</v>
      </c>
      <c r="G7259" s="424"/>
      <c r="H7259" s="31">
        <f>+IFERROR(VLOOKUP(E7259,BD!$L$2:$Q$244,6,0),0)</f>
        <v>0</v>
      </c>
      <c r="I7259" s="626">
        <f>IFERROR(G7259*VLOOKUP($E7259,BD!$L$2:$Q$244,5,0),0)</f>
        <v>0</v>
      </c>
      <c r="J7259" s="3">
        <f t="shared" si="465"/>
        <v>1900</v>
      </c>
    </row>
    <row r="7260" spans="1:10" s="9" customFormat="1" x14ac:dyDescent="0.25">
      <c r="A7260" s="447"/>
      <c r="B7260" s="55" t="str">
        <f t="shared" si="462"/>
        <v>ENERO</v>
      </c>
      <c r="C7260" s="55">
        <f t="shared" si="463"/>
        <v>1</v>
      </c>
      <c r="D7260" s="3" t="str">
        <f t="shared" si="464"/>
        <v>SÁBADO</v>
      </c>
      <c r="E7260" s="427"/>
      <c r="F7260" s="31">
        <f>IFERROR(VLOOKUP(E7260,BD!$L$2:$Q$244,2,0),0)</f>
        <v>0</v>
      </c>
      <c r="G7260" s="424"/>
      <c r="H7260" s="31">
        <f>+IFERROR(VLOOKUP(E7260,BD!$L$2:$Q$244,6,0),0)</f>
        <v>0</v>
      </c>
      <c r="I7260" s="626">
        <f>IFERROR(G7260*VLOOKUP($E7260,BD!$L$2:$Q$244,5,0),0)</f>
        <v>0</v>
      </c>
      <c r="J7260" s="3">
        <f t="shared" si="465"/>
        <v>1900</v>
      </c>
    </row>
    <row r="7261" spans="1:10" s="9" customFormat="1" x14ac:dyDescent="0.25">
      <c r="A7261" s="447"/>
      <c r="B7261" s="55" t="str">
        <f t="shared" si="462"/>
        <v>ENERO</v>
      </c>
      <c r="C7261" s="55">
        <f t="shared" si="463"/>
        <v>1</v>
      </c>
      <c r="D7261" s="3" t="str">
        <f t="shared" si="464"/>
        <v>SÁBADO</v>
      </c>
      <c r="E7261" s="427"/>
      <c r="F7261" s="31">
        <f>IFERROR(VLOOKUP(E7261,BD!$L$2:$Q$244,2,0),0)</f>
        <v>0</v>
      </c>
      <c r="G7261" s="424"/>
      <c r="H7261" s="31">
        <f>+IFERROR(VLOOKUP(E7261,BD!$L$2:$Q$244,6,0),0)</f>
        <v>0</v>
      </c>
      <c r="I7261" s="626">
        <f>IFERROR(G7261*VLOOKUP($E7261,BD!$L$2:$Q$244,5,0),0)</f>
        <v>0</v>
      </c>
      <c r="J7261" s="3">
        <f t="shared" si="465"/>
        <v>1900</v>
      </c>
    </row>
    <row r="7262" spans="1:10" s="9" customFormat="1" x14ac:dyDescent="0.25">
      <c r="A7262" s="447"/>
      <c r="B7262" s="55" t="str">
        <f t="shared" si="462"/>
        <v>ENERO</v>
      </c>
      <c r="C7262" s="55">
        <f t="shared" si="463"/>
        <v>1</v>
      </c>
      <c r="D7262" s="3" t="str">
        <f t="shared" si="464"/>
        <v>SÁBADO</v>
      </c>
      <c r="E7262" s="427"/>
      <c r="F7262" s="31">
        <f>IFERROR(VLOOKUP(E7262,BD!$L$2:$Q$244,2,0),0)</f>
        <v>0</v>
      </c>
      <c r="G7262" s="424"/>
      <c r="H7262" s="31">
        <f>+IFERROR(VLOOKUP(E7262,BD!$L$2:$Q$244,6,0),0)</f>
        <v>0</v>
      </c>
      <c r="I7262" s="626">
        <f>IFERROR(G7262*VLOOKUP($E7262,BD!$L$2:$Q$244,5,0),0)</f>
        <v>0</v>
      </c>
      <c r="J7262" s="3">
        <f t="shared" si="465"/>
        <v>1900</v>
      </c>
    </row>
    <row r="7263" spans="1:10" s="9" customFormat="1" x14ac:dyDescent="0.25">
      <c r="A7263" s="447"/>
      <c r="B7263" s="55" t="str">
        <f t="shared" si="462"/>
        <v>ENERO</v>
      </c>
      <c r="C7263" s="55">
        <f t="shared" si="463"/>
        <v>1</v>
      </c>
      <c r="D7263" s="3" t="str">
        <f t="shared" si="464"/>
        <v>SÁBADO</v>
      </c>
      <c r="E7263" s="427"/>
      <c r="F7263" s="31">
        <f>IFERROR(VLOOKUP(E7263,BD!$L$2:$Q$244,2,0),0)</f>
        <v>0</v>
      </c>
      <c r="G7263" s="424"/>
      <c r="H7263" s="31">
        <f>+IFERROR(VLOOKUP(E7263,BD!$L$2:$Q$244,6,0),0)</f>
        <v>0</v>
      </c>
      <c r="I7263" s="626">
        <f>IFERROR(G7263*VLOOKUP($E7263,BD!$L$2:$Q$244,5,0),0)</f>
        <v>0</v>
      </c>
      <c r="J7263" s="3">
        <f t="shared" si="465"/>
        <v>1900</v>
      </c>
    </row>
    <row r="7264" spans="1:10" s="9" customFormat="1" x14ac:dyDescent="0.25">
      <c r="A7264" s="447"/>
      <c r="B7264" s="55" t="str">
        <f t="shared" si="462"/>
        <v>ENERO</v>
      </c>
      <c r="C7264" s="55">
        <f t="shared" si="463"/>
        <v>1</v>
      </c>
      <c r="D7264" s="3" t="str">
        <f t="shared" si="464"/>
        <v>SÁBADO</v>
      </c>
      <c r="E7264" s="427"/>
      <c r="F7264" s="31">
        <f>IFERROR(VLOOKUP(E7264,BD!$L$2:$Q$244,2,0),0)</f>
        <v>0</v>
      </c>
      <c r="G7264" s="424"/>
      <c r="H7264" s="31">
        <f>+IFERROR(VLOOKUP(E7264,BD!$L$2:$Q$244,6,0),0)</f>
        <v>0</v>
      </c>
      <c r="I7264" s="626">
        <f>IFERROR(G7264*VLOOKUP($E7264,BD!$L$2:$Q$244,5,0),0)</f>
        <v>0</v>
      </c>
      <c r="J7264" s="3">
        <f t="shared" si="465"/>
        <v>1900</v>
      </c>
    </row>
    <row r="7265" spans="1:10" s="9" customFormat="1" x14ac:dyDescent="0.25">
      <c r="A7265" s="447"/>
      <c r="B7265" s="55" t="str">
        <f t="shared" si="462"/>
        <v>ENERO</v>
      </c>
      <c r="C7265" s="55">
        <f t="shared" si="463"/>
        <v>1</v>
      </c>
      <c r="D7265" s="3" t="str">
        <f t="shared" si="464"/>
        <v>SÁBADO</v>
      </c>
      <c r="E7265" s="427"/>
      <c r="F7265" s="31">
        <f>IFERROR(VLOOKUP(E7265,BD!$L$2:$Q$244,2,0),0)</f>
        <v>0</v>
      </c>
      <c r="G7265" s="424"/>
      <c r="H7265" s="31">
        <f>+IFERROR(VLOOKUP(E7265,BD!$L$2:$Q$244,6,0),0)</f>
        <v>0</v>
      </c>
      <c r="I7265" s="626">
        <f>IFERROR(G7265*VLOOKUP($E7265,BD!$L$2:$Q$244,5,0),0)</f>
        <v>0</v>
      </c>
      <c r="J7265" s="3">
        <f t="shared" si="465"/>
        <v>1900</v>
      </c>
    </row>
    <row r="7266" spans="1:10" s="9" customFormat="1" x14ac:dyDescent="0.25">
      <c r="A7266" s="447"/>
      <c r="B7266" s="55" t="str">
        <f t="shared" si="462"/>
        <v>ENERO</v>
      </c>
      <c r="C7266" s="55">
        <f t="shared" si="463"/>
        <v>1</v>
      </c>
      <c r="D7266" s="3" t="str">
        <f t="shared" si="464"/>
        <v>SÁBADO</v>
      </c>
      <c r="E7266" s="427"/>
      <c r="F7266" s="31">
        <f>IFERROR(VLOOKUP(E7266,BD!$L$2:$Q$244,2,0),0)</f>
        <v>0</v>
      </c>
      <c r="G7266" s="424"/>
      <c r="H7266" s="31">
        <f>+IFERROR(VLOOKUP(E7266,BD!$L$2:$Q$244,6,0),0)</f>
        <v>0</v>
      </c>
      <c r="I7266" s="626">
        <f>IFERROR(G7266*VLOOKUP($E7266,BD!$L$2:$Q$244,5,0),0)</f>
        <v>0</v>
      </c>
      <c r="J7266" s="3">
        <f t="shared" si="465"/>
        <v>1900</v>
      </c>
    </row>
    <row r="7267" spans="1:10" s="9" customFormat="1" x14ac:dyDescent="0.25">
      <c r="A7267" s="447"/>
      <c r="B7267" s="55" t="str">
        <f t="shared" si="462"/>
        <v>ENERO</v>
      </c>
      <c r="C7267" s="55">
        <f t="shared" si="463"/>
        <v>1</v>
      </c>
      <c r="D7267" s="3" t="str">
        <f t="shared" si="464"/>
        <v>SÁBADO</v>
      </c>
      <c r="E7267" s="427"/>
      <c r="F7267" s="31">
        <f>IFERROR(VLOOKUP(E7267,BD!$L$2:$Q$244,2,0),0)</f>
        <v>0</v>
      </c>
      <c r="G7267" s="424"/>
      <c r="H7267" s="31">
        <f>+IFERROR(VLOOKUP(E7267,BD!$L$2:$Q$244,6,0),0)</f>
        <v>0</v>
      </c>
      <c r="I7267" s="626">
        <f>IFERROR(G7267*VLOOKUP($E7267,BD!$L$2:$Q$244,5,0),0)</f>
        <v>0</v>
      </c>
      <c r="J7267" s="3">
        <f t="shared" si="465"/>
        <v>1900</v>
      </c>
    </row>
    <row r="7268" spans="1:10" s="9" customFormat="1" x14ac:dyDescent="0.25">
      <c r="A7268" s="447"/>
      <c r="B7268" s="55" t="str">
        <f t="shared" si="462"/>
        <v>ENERO</v>
      </c>
      <c r="C7268" s="55">
        <f t="shared" si="463"/>
        <v>1</v>
      </c>
      <c r="D7268" s="3" t="str">
        <f t="shared" si="464"/>
        <v>SÁBADO</v>
      </c>
      <c r="E7268" s="427"/>
      <c r="F7268" s="31">
        <f>IFERROR(VLOOKUP(E7268,BD!$L$2:$Q$244,2,0),0)</f>
        <v>0</v>
      </c>
      <c r="G7268" s="424"/>
      <c r="H7268" s="31">
        <f>+IFERROR(VLOOKUP(E7268,BD!$L$2:$Q$244,6,0),0)</f>
        <v>0</v>
      </c>
      <c r="I7268" s="626">
        <f>IFERROR(G7268*VLOOKUP($E7268,BD!$L$2:$Q$244,5,0),0)</f>
        <v>0</v>
      </c>
      <c r="J7268" s="3">
        <f t="shared" si="465"/>
        <v>1900</v>
      </c>
    </row>
    <row r="7269" spans="1:10" s="9" customFormat="1" x14ac:dyDescent="0.25">
      <c r="A7269" s="447"/>
      <c r="B7269" s="55" t="str">
        <f t="shared" si="462"/>
        <v>ENERO</v>
      </c>
      <c r="C7269" s="55">
        <f t="shared" si="463"/>
        <v>1</v>
      </c>
      <c r="D7269" s="3" t="str">
        <f t="shared" si="464"/>
        <v>SÁBADO</v>
      </c>
      <c r="E7269" s="427"/>
      <c r="F7269" s="31">
        <f>IFERROR(VLOOKUP(E7269,BD!$L$2:$Q$244,2,0),0)</f>
        <v>0</v>
      </c>
      <c r="G7269" s="424"/>
      <c r="H7269" s="31">
        <f>+IFERROR(VLOOKUP(E7269,BD!$L$2:$Q$244,6,0),0)</f>
        <v>0</v>
      </c>
      <c r="I7269" s="626">
        <f>IFERROR(G7269*VLOOKUP($E7269,BD!$L$2:$Q$244,5,0),0)</f>
        <v>0</v>
      </c>
      <c r="J7269" s="3">
        <f t="shared" si="465"/>
        <v>1900</v>
      </c>
    </row>
    <row r="7270" spans="1:10" s="9" customFormat="1" x14ac:dyDescent="0.25">
      <c r="A7270" s="447"/>
      <c r="B7270" s="55" t="str">
        <f t="shared" si="462"/>
        <v>ENERO</v>
      </c>
      <c r="C7270" s="55">
        <f t="shared" si="463"/>
        <v>1</v>
      </c>
      <c r="D7270" s="3" t="str">
        <f t="shared" si="464"/>
        <v>SÁBADO</v>
      </c>
      <c r="E7270" s="427"/>
      <c r="F7270" s="31">
        <f>IFERROR(VLOOKUP(E7270,BD!$L$2:$Q$244,2,0),0)</f>
        <v>0</v>
      </c>
      <c r="G7270" s="424"/>
      <c r="H7270" s="31">
        <f>+IFERROR(VLOOKUP(E7270,BD!$L$2:$Q$244,6,0),0)</f>
        <v>0</v>
      </c>
      <c r="I7270" s="626">
        <f>IFERROR(G7270*VLOOKUP($E7270,BD!$L$2:$Q$244,5,0),0)</f>
        <v>0</v>
      </c>
      <c r="J7270" s="3">
        <f t="shared" si="465"/>
        <v>1900</v>
      </c>
    </row>
    <row r="7271" spans="1:10" s="9" customFormat="1" x14ac:dyDescent="0.25">
      <c r="A7271" s="447"/>
      <c r="B7271" s="55" t="str">
        <f t="shared" si="462"/>
        <v>ENERO</v>
      </c>
      <c r="C7271" s="55">
        <f t="shared" si="463"/>
        <v>1</v>
      </c>
      <c r="D7271" s="3" t="str">
        <f t="shared" si="464"/>
        <v>SÁBADO</v>
      </c>
      <c r="E7271" s="427"/>
      <c r="F7271" s="31">
        <f>IFERROR(VLOOKUP(E7271,BD!$L$2:$Q$244,2,0),0)</f>
        <v>0</v>
      </c>
      <c r="G7271" s="424"/>
      <c r="H7271" s="31">
        <f>+IFERROR(VLOOKUP(E7271,BD!$L$2:$Q$244,6,0),0)</f>
        <v>0</v>
      </c>
      <c r="I7271" s="626">
        <f>IFERROR(G7271*VLOOKUP($E7271,BD!$L$2:$Q$244,5,0),0)</f>
        <v>0</v>
      </c>
      <c r="J7271" s="3">
        <f t="shared" si="465"/>
        <v>1900</v>
      </c>
    </row>
    <row r="7272" spans="1:10" s="9" customFormat="1" x14ac:dyDescent="0.25">
      <c r="A7272" s="447"/>
      <c r="B7272" s="55" t="str">
        <f t="shared" si="462"/>
        <v>ENERO</v>
      </c>
      <c r="C7272" s="55">
        <f t="shared" si="463"/>
        <v>1</v>
      </c>
      <c r="D7272" s="3" t="str">
        <f t="shared" si="464"/>
        <v>SÁBADO</v>
      </c>
      <c r="E7272" s="427"/>
      <c r="F7272" s="31">
        <f>IFERROR(VLOOKUP(E7272,BD!$L$2:$Q$244,2,0),0)</f>
        <v>0</v>
      </c>
      <c r="G7272" s="424"/>
      <c r="H7272" s="31">
        <f>+IFERROR(VLOOKUP(E7272,BD!$L$2:$Q$244,6,0),0)</f>
        <v>0</v>
      </c>
      <c r="I7272" s="626">
        <f>IFERROR(G7272*VLOOKUP($E7272,BD!$L$2:$Q$244,5,0),0)</f>
        <v>0</v>
      </c>
      <c r="J7272" s="3">
        <f t="shared" si="465"/>
        <v>1900</v>
      </c>
    </row>
    <row r="7273" spans="1:10" s="9" customFormat="1" x14ac:dyDescent="0.25">
      <c r="A7273" s="447"/>
      <c r="B7273" s="55" t="str">
        <f t="shared" si="462"/>
        <v>ENERO</v>
      </c>
      <c r="C7273" s="55">
        <f t="shared" si="463"/>
        <v>1</v>
      </c>
      <c r="D7273" s="3" t="str">
        <f t="shared" si="464"/>
        <v>SÁBADO</v>
      </c>
      <c r="E7273" s="427"/>
      <c r="F7273" s="31">
        <f>IFERROR(VLOOKUP(E7273,BD!$L$2:$Q$244,2,0),0)</f>
        <v>0</v>
      </c>
      <c r="G7273" s="424"/>
      <c r="H7273" s="31">
        <f>+IFERROR(VLOOKUP(E7273,BD!$L$2:$Q$244,6,0),0)</f>
        <v>0</v>
      </c>
      <c r="I7273" s="626">
        <f>IFERROR(G7273*VLOOKUP($E7273,BD!$L$2:$Q$244,5,0),0)</f>
        <v>0</v>
      </c>
      <c r="J7273" s="3">
        <f t="shared" si="465"/>
        <v>1900</v>
      </c>
    </row>
    <row r="7274" spans="1:10" s="9" customFormat="1" x14ac:dyDescent="0.25">
      <c r="A7274" s="447"/>
      <c r="B7274" s="55" t="str">
        <f t="shared" si="462"/>
        <v>ENERO</v>
      </c>
      <c r="C7274" s="55">
        <f t="shared" si="463"/>
        <v>1</v>
      </c>
      <c r="D7274" s="3" t="str">
        <f t="shared" si="464"/>
        <v>SÁBADO</v>
      </c>
      <c r="E7274" s="427"/>
      <c r="F7274" s="31">
        <f>IFERROR(VLOOKUP(E7274,BD!$L$2:$Q$244,2,0),0)</f>
        <v>0</v>
      </c>
      <c r="G7274" s="424"/>
      <c r="H7274" s="31">
        <f>+IFERROR(VLOOKUP(E7274,BD!$L$2:$Q$244,6,0),0)</f>
        <v>0</v>
      </c>
      <c r="I7274" s="626">
        <f>IFERROR(G7274*VLOOKUP($E7274,BD!$L$2:$Q$244,5,0),0)</f>
        <v>0</v>
      </c>
      <c r="J7274" s="3">
        <f t="shared" si="465"/>
        <v>1900</v>
      </c>
    </row>
    <row r="7275" spans="1:10" s="9" customFormat="1" x14ac:dyDescent="0.25">
      <c r="A7275" s="447"/>
      <c r="B7275" s="55" t="str">
        <f t="shared" si="462"/>
        <v>ENERO</v>
      </c>
      <c r="C7275" s="55">
        <f t="shared" si="463"/>
        <v>1</v>
      </c>
      <c r="D7275" s="3" t="str">
        <f t="shared" si="464"/>
        <v>SÁBADO</v>
      </c>
      <c r="E7275" s="427"/>
      <c r="F7275" s="31">
        <f>IFERROR(VLOOKUP(E7275,BD!$L$2:$Q$244,2,0),0)</f>
        <v>0</v>
      </c>
      <c r="G7275" s="424"/>
      <c r="H7275" s="31">
        <f>+IFERROR(VLOOKUP(E7275,BD!$L$2:$Q$244,6,0),0)</f>
        <v>0</v>
      </c>
      <c r="I7275" s="626">
        <f>IFERROR(G7275*VLOOKUP($E7275,BD!$L$2:$Q$244,5,0),0)</f>
        <v>0</v>
      </c>
      <c r="J7275" s="3">
        <f t="shared" si="465"/>
        <v>1900</v>
      </c>
    </row>
    <row r="7276" spans="1:10" s="9" customFormat="1" x14ac:dyDescent="0.25">
      <c r="A7276" s="447"/>
      <c r="B7276" s="55" t="str">
        <f t="shared" si="462"/>
        <v>ENERO</v>
      </c>
      <c r="C7276" s="55">
        <f t="shared" si="463"/>
        <v>1</v>
      </c>
      <c r="D7276" s="3" t="str">
        <f t="shared" si="464"/>
        <v>SÁBADO</v>
      </c>
      <c r="E7276" s="427"/>
      <c r="F7276" s="31">
        <f>IFERROR(VLOOKUP(E7276,BD!$L$2:$Q$244,2,0),0)</f>
        <v>0</v>
      </c>
      <c r="G7276" s="424"/>
      <c r="H7276" s="31">
        <f>+IFERROR(VLOOKUP(E7276,BD!$L$2:$Q$244,6,0),0)</f>
        <v>0</v>
      </c>
      <c r="I7276" s="626">
        <f>IFERROR(G7276*VLOOKUP($E7276,BD!$L$2:$Q$244,5,0),0)</f>
        <v>0</v>
      </c>
      <c r="J7276" s="3">
        <f t="shared" si="465"/>
        <v>1900</v>
      </c>
    </row>
    <row r="7277" spans="1:10" s="9" customFormat="1" x14ac:dyDescent="0.25">
      <c r="A7277" s="447"/>
      <c r="B7277" s="55" t="str">
        <f t="shared" si="462"/>
        <v>ENERO</v>
      </c>
      <c r="C7277" s="55">
        <f t="shared" si="463"/>
        <v>1</v>
      </c>
      <c r="D7277" s="3" t="str">
        <f t="shared" si="464"/>
        <v>SÁBADO</v>
      </c>
      <c r="E7277" s="427"/>
      <c r="F7277" s="31">
        <f>IFERROR(VLOOKUP(E7277,BD!$L$2:$Q$244,2,0),0)</f>
        <v>0</v>
      </c>
      <c r="G7277" s="424"/>
      <c r="H7277" s="31">
        <f>+IFERROR(VLOOKUP(E7277,BD!$L$2:$Q$244,6,0),0)</f>
        <v>0</v>
      </c>
      <c r="I7277" s="626">
        <f>IFERROR(G7277*VLOOKUP($E7277,BD!$L$2:$Q$244,5,0),0)</f>
        <v>0</v>
      </c>
      <c r="J7277" s="3">
        <f t="shared" si="465"/>
        <v>1900</v>
      </c>
    </row>
    <row r="7278" spans="1:10" s="9" customFormat="1" x14ac:dyDescent="0.25">
      <c r="A7278" s="447"/>
      <c r="B7278" s="55" t="str">
        <f t="shared" si="462"/>
        <v>ENERO</v>
      </c>
      <c r="C7278" s="55">
        <f t="shared" si="463"/>
        <v>1</v>
      </c>
      <c r="D7278" s="3" t="str">
        <f t="shared" si="464"/>
        <v>SÁBADO</v>
      </c>
      <c r="E7278" s="427"/>
      <c r="F7278" s="31">
        <f>IFERROR(VLOOKUP(E7278,BD!$L$2:$Q$244,2,0),0)</f>
        <v>0</v>
      </c>
      <c r="G7278" s="424"/>
      <c r="H7278" s="31">
        <f>+IFERROR(VLOOKUP(E7278,BD!$L$2:$Q$244,6,0),0)</f>
        <v>0</v>
      </c>
      <c r="I7278" s="626">
        <f>IFERROR(G7278*VLOOKUP($E7278,BD!$L$2:$Q$244,5,0),0)</f>
        <v>0</v>
      </c>
      <c r="J7278" s="3">
        <f t="shared" si="465"/>
        <v>1900</v>
      </c>
    </row>
    <row r="7279" spans="1:10" s="9" customFormat="1" x14ac:dyDescent="0.25">
      <c r="A7279" s="447"/>
      <c r="B7279" s="55" t="str">
        <f t="shared" si="462"/>
        <v>ENERO</v>
      </c>
      <c r="C7279" s="55">
        <f t="shared" si="463"/>
        <v>1</v>
      </c>
      <c r="D7279" s="3" t="str">
        <f t="shared" si="464"/>
        <v>SÁBADO</v>
      </c>
      <c r="E7279" s="427"/>
      <c r="F7279" s="31">
        <f>IFERROR(VLOOKUP(E7279,BD!$L$2:$Q$244,2,0),0)</f>
        <v>0</v>
      </c>
      <c r="G7279" s="424"/>
      <c r="H7279" s="31">
        <f>+IFERROR(VLOOKUP(E7279,BD!$L$2:$Q$244,6,0),0)</f>
        <v>0</v>
      </c>
      <c r="I7279" s="626">
        <f>IFERROR(G7279*VLOOKUP($E7279,BD!$L$2:$Q$244,5,0),0)</f>
        <v>0</v>
      </c>
      <c r="J7279" s="3">
        <f t="shared" si="465"/>
        <v>1900</v>
      </c>
    </row>
    <row r="7280" spans="1:10" s="9" customFormat="1" x14ac:dyDescent="0.25">
      <c r="A7280" s="447"/>
      <c r="B7280" s="55" t="str">
        <f t="shared" si="462"/>
        <v>ENERO</v>
      </c>
      <c r="C7280" s="55">
        <f t="shared" si="463"/>
        <v>1</v>
      </c>
      <c r="D7280" s="3" t="str">
        <f t="shared" si="464"/>
        <v>SÁBADO</v>
      </c>
      <c r="E7280" s="427"/>
      <c r="F7280" s="31">
        <f>IFERROR(VLOOKUP(E7280,BD!$L$2:$Q$244,2,0),0)</f>
        <v>0</v>
      </c>
      <c r="G7280" s="424"/>
      <c r="H7280" s="31">
        <f>+IFERROR(VLOOKUP(E7280,BD!$L$2:$Q$244,6,0),0)</f>
        <v>0</v>
      </c>
      <c r="I7280" s="626">
        <f>IFERROR(G7280*VLOOKUP($E7280,BD!$L$2:$Q$244,5,0),0)</f>
        <v>0</v>
      </c>
      <c r="J7280" s="3">
        <f t="shared" si="465"/>
        <v>1900</v>
      </c>
    </row>
    <row r="7281" spans="1:10" s="9" customFormat="1" x14ac:dyDescent="0.25">
      <c r="A7281" s="447"/>
      <c r="B7281" s="55" t="str">
        <f t="shared" si="462"/>
        <v>ENERO</v>
      </c>
      <c r="C7281" s="55">
        <f t="shared" si="463"/>
        <v>1</v>
      </c>
      <c r="D7281" s="3" t="str">
        <f t="shared" si="464"/>
        <v>SÁBADO</v>
      </c>
      <c r="E7281" s="427"/>
      <c r="F7281" s="31">
        <f>IFERROR(VLOOKUP(E7281,BD!$L$2:$Q$244,2,0),0)</f>
        <v>0</v>
      </c>
      <c r="G7281" s="424"/>
      <c r="H7281" s="31">
        <f>+IFERROR(VLOOKUP(E7281,BD!$L$2:$Q$244,6,0),0)</f>
        <v>0</v>
      </c>
      <c r="I7281" s="626">
        <f>IFERROR(G7281*VLOOKUP($E7281,BD!$L$2:$Q$244,5,0),0)</f>
        <v>0</v>
      </c>
      <c r="J7281" s="3">
        <f t="shared" si="465"/>
        <v>1900</v>
      </c>
    </row>
    <row r="7282" spans="1:10" s="9" customFormat="1" x14ac:dyDescent="0.25">
      <c r="A7282" s="447"/>
      <c r="B7282" s="55" t="str">
        <f t="shared" si="462"/>
        <v>ENERO</v>
      </c>
      <c r="C7282" s="55">
        <f t="shared" si="463"/>
        <v>1</v>
      </c>
      <c r="D7282" s="3" t="str">
        <f t="shared" si="464"/>
        <v>SÁBADO</v>
      </c>
      <c r="E7282" s="427"/>
      <c r="F7282" s="31">
        <f>IFERROR(VLOOKUP(E7282,BD!$L$2:$Q$244,2,0),0)</f>
        <v>0</v>
      </c>
      <c r="G7282" s="424"/>
      <c r="H7282" s="31">
        <f>+IFERROR(VLOOKUP(E7282,BD!$L$2:$Q$244,6,0),0)</f>
        <v>0</v>
      </c>
      <c r="I7282" s="626">
        <f>IFERROR(G7282*VLOOKUP($E7282,BD!$L$2:$Q$244,5,0),0)</f>
        <v>0</v>
      </c>
      <c r="J7282" s="3">
        <f t="shared" si="465"/>
        <v>1900</v>
      </c>
    </row>
    <row r="7283" spans="1:10" s="9" customFormat="1" x14ac:dyDescent="0.25">
      <c r="A7283" s="447"/>
      <c r="B7283" s="55" t="str">
        <f t="shared" si="462"/>
        <v>ENERO</v>
      </c>
      <c r="C7283" s="55">
        <f t="shared" si="463"/>
        <v>1</v>
      </c>
      <c r="D7283" s="3" t="str">
        <f t="shared" si="464"/>
        <v>SÁBADO</v>
      </c>
      <c r="E7283" s="427"/>
      <c r="F7283" s="31">
        <f>IFERROR(VLOOKUP(E7283,BD!$L$2:$Q$244,2,0),0)</f>
        <v>0</v>
      </c>
      <c r="G7283" s="424"/>
      <c r="H7283" s="31">
        <f>+IFERROR(VLOOKUP(E7283,BD!$L$2:$Q$244,6,0),0)</f>
        <v>0</v>
      </c>
      <c r="I7283" s="626">
        <f>IFERROR(G7283*VLOOKUP($E7283,BD!$L$2:$Q$244,5,0),0)</f>
        <v>0</v>
      </c>
      <c r="J7283" s="3">
        <f t="shared" si="465"/>
        <v>1900</v>
      </c>
    </row>
    <row r="7284" spans="1:10" s="9" customFormat="1" x14ac:dyDescent="0.25">
      <c r="A7284" s="447"/>
      <c r="B7284" s="55" t="str">
        <f t="shared" si="462"/>
        <v>ENERO</v>
      </c>
      <c r="C7284" s="55">
        <f t="shared" si="463"/>
        <v>1</v>
      </c>
      <c r="D7284" s="3" t="str">
        <f t="shared" si="464"/>
        <v>SÁBADO</v>
      </c>
      <c r="E7284" s="427"/>
      <c r="F7284" s="31">
        <f>IFERROR(VLOOKUP(E7284,BD!$L$2:$Q$244,2,0),0)</f>
        <v>0</v>
      </c>
      <c r="G7284" s="424"/>
      <c r="H7284" s="31">
        <f>+IFERROR(VLOOKUP(E7284,BD!$L$2:$Q$244,6,0),0)</f>
        <v>0</v>
      </c>
      <c r="I7284" s="626">
        <f>IFERROR(G7284*VLOOKUP($E7284,BD!$L$2:$Q$244,5,0),0)</f>
        <v>0</v>
      </c>
      <c r="J7284" s="3">
        <f t="shared" si="465"/>
        <v>1900</v>
      </c>
    </row>
    <row r="7285" spans="1:10" s="9" customFormat="1" x14ac:dyDescent="0.25">
      <c r="A7285" s="447"/>
      <c r="B7285" s="55" t="str">
        <f t="shared" si="462"/>
        <v>ENERO</v>
      </c>
      <c r="C7285" s="55">
        <f t="shared" si="463"/>
        <v>1</v>
      </c>
      <c r="D7285" s="3" t="str">
        <f t="shared" si="464"/>
        <v>SÁBADO</v>
      </c>
      <c r="E7285" s="427"/>
      <c r="F7285" s="31">
        <f>IFERROR(VLOOKUP(E7285,BD!$L$2:$Q$244,2,0),0)</f>
        <v>0</v>
      </c>
      <c r="G7285" s="424"/>
      <c r="H7285" s="31">
        <f>+IFERROR(VLOOKUP(E7285,BD!$L$2:$Q$244,6,0),0)</f>
        <v>0</v>
      </c>
      <c r="I7285" s="626">
        <f>IFERROR(G7285*VLOOKUP($E7285,BD!$L$2:$Q$244,5,0),0)</f>
        <v>0</v>
      </c>
      <c r="J7285" s="3">
        <f t="shared" si="465"/>
        <v>1900</v>
      </c>
    </row>
    <row r="7286" spans="1:10" s="9" customFormat="1" x14ac:dyDescent="0.25">
      <c r="A7286" s="447"/>
      <c r="B7286" s="55" t="str">
        <f t="shared" si="462"/>
        <v>ENERO</v>
      </c>
      <c r="C7286" s="55">
        <f t="shared" si="463"/>
        <v>1</v>
      </c>
      <c r="D7286" s="3" t="str">
        <f t="shared" si="464"/>
        <v>SÁBADO</v>
      </c>
      <c r="E7286" s="427"/>
      <c r="F7286" s="31">
        <f>IFERROR(VLOOKUP(E7286,BD!$L$2:$Q$244,2,0),0)</f>
        <v>0</v>
      </c>
      <c r="G7286" s="424"/>
      <c r="H7286" s="31">
        <f>+IFERROR(VLOOKUP(E7286,BD!$L$2:$Q$244,6,0),0)</f>
        <v>0</v>
      </c>
      <c r="I7286" s="626">
        <f>IFERROR(G7286*VLOOKUP($E7286,BD!$L$2:$Q$244,5,0),0)</f>
        <v>0</v>
      </c>
      <c r="J7286" s="3">
        <f t="shared" si="465"/>
        <v>1900</v>
      </c>
    </row>
    <row r="7287" spans="1:10" s="9" customFormat="1" x14ac:dyDescent="0.25">
      <c r="A7287" s="447"/>
      <c r="B7287" s="55" t="str">
        <f t="shared" si="462"/>
        <v>ENERO</v>
      </c>
      <c r="C7287" s="55">
        <f t="shared" si="463"/>
        <v>1</v>
      </c>
      <c r="D7287" s="3" t="str">
        <f t="shared" si="464"/>
        <v>SÁBADO</v>
      </c>
      <c r="E7287" s="427"/>
      <c r="F7287" s="31">
        <f>IFERROR(VLOOKUP(E7287,BD!$L$2:$Q$244,2,0),0)</f>
        <v>0</v>
      </c>
      <c r="G7287" s="424"/>
      <c r="H7287" s="31">
        <f>+IFERROR(VLOOKUP(E7287,BD!$L$2:$Q$244,6,0),0)</f>
        <v>0</v>
      </c>
      <c r="I7287" s="626">
        <f>IFERROR(G7287*VLOOKUP($E7287,BD!$L$2:$Q$244,5,0),0)</f>
        <v>0</v>
      </c>
      <c r="J7287" s="3">
        <f t="shared" si="465"/>
        <v>1900</v>
      </c>
    </row>
    <row r="7288" spans="1:10" s="9" customFormat="1" x14ac:dyDescent="0.25">
      <c r="A7288" s="447"/>
      <c r="B7288" s="55" t="str">
        <f t="shared" si="462"/>
        <v>ENERO</v>
      </c>
      <c r="C7288" s="55">
        <f t="shared" si="463"/>
        <v>1</v>
      </c>
      <c r="D7288" s="3" t="str">
        <f t="shared" si="464"/>
        <v>SÁBADO</v>
      </c>
      <c r="E7288" s="427"/>
      <c r="F7288" s="31">
        <f>IFERROR(VLOOKUP(E7288,BD!$L$2:$Q$244,2,0),0)</f>
        <v>0</v>
      </c>
      <c r="G7288" s="424"/>
      <c r="H7288" s="31">
        <f>+IFERROR(VLOOKUP(E7288,BD!$L$2:$Q$244,6,0),0)</f>
        <v>0</v>
      </c>
      <c r="I7288" s="626">
        <f>IFERROR(G7288*VLOOKUP($E7288,BD!$L$2:$Q$244,5,0),0)</f>
        <v>0</v>
      </c>
      <c r="J7288" s="3">
        <f t="shared" si="465"/>
        <v>1900</v>
      </c>
    </row>
    <row r="7289" spans="1:10" s="9" customFormat="1" x14ac:dyDescent="0.25">
      <c r="A7289" s="447"/>
      <c r="B7289" s="55" t="str">
        <f t="shared" si="462"/>
        <v>ENERO</v>
      </c>
      <c r="C7289" s="55">
        <f t="shared" si="463"/>
        <v>1</v>
      </c>
      <c r="D7289" s="3" t="str">
        <f t="shared" si="464"/>
        <v>SÁBADO</v>
      </c>
      <c r="E7289" s="427"/>
      <c r="F7289" s="31">
        <f>IFERROR(VLOOKUP(E7289,BD!$L$2:$Q$244,2,0),0)</f>
        <v>0</v>
      </c>
      <c r="G7289" s="424"/>
      <c r="H7289" s="31">
        <f>+IFERROR(VLOOKUP(E7289,BD!$L$2:$Q$244,6,0),0)</f>
        <v>0</v>
      </c>
      <c r="I7289" s="626">
        <f>IFERROR(G7289*VLOOKUP($E7289,BD!$L$2:$Q$244,5,0),0)</f>
        <v>0</v>
      </c>
      <c r="J7289" s="3">
        <f t="shared" si="465"/>
        <v>1900</v>
      </c>
    </row>
    <row r="7290" spans="1:10" s="9" customFormat="1" x14ac:dyDescent="0.25">
      <c r="A7290" s="447"/>
      <c r="B7290" s="55" t="str">
        <f t="shared" si="462"/>
        <v>ENERO</v>
      </c>
      <c r="C7290" s="55">
        <f t="shared" si="463"/>
        <v>1</v>
      </c>
      <c r="D7290" s="3" t="str">
        <f t="shared" si="464"/>
        <v>SÁBADO</v>
      </c>
      <c r="E7290" s="427"/>
      <c r="F7290" s="31">
        <f>IFERROR(VLOOKUP(E7290,BD!$L$2:$Q$244,2,0),0)</f>
        <v>0</v>
      </c>
      <c r="G7290" s="424"/>
      <c r="H7290" s="31">
        <f>+IFERROR(VLOOKUP(E7290,BD!$L$2:$Q$244,6,0),0)</f>
        <v>0</v>
      </c>
      <c r="I7290" s="626">
        <f>IFERROR(G7290*VLOOKUP($E7290,BD!$L$2:$Q$244,5,0),0)</f>
        <v>0</v>
      </c>
      <c r="J7290" s="3">
        <f t="shared" si="465"/>
        <v>1900</v>
      </c>
    </row>
    <row r="7291" spans="1:10" s="9" customFormat="1" x14ac:dyDescent="0.25">
      <c r="A7291" s="447"/>
      <c r="B7291" s="55" t="str">
        <f t="shared" si="462"/>
        <v>ENERO</v>
      </c>
      <c r="C7291" s="55">
        <f t="shared" si="463"/>
        <v>1</v>
      </c>
      <c r="D7291" s="3" t="str">
        <f t="shared" si="464"/>
        <v>SÁBADO</v>
      </c>
      <c r="E7291" s="427"/>
      <c r="F7291" s="31">
        <f>IFERROR(VLOOKUP(E7291,BD!$L$2:$Q$244,2,0),0)</f>
        <v>0</v>
      </c>
      <c r="G7291" s="424"/>
      <c r="H7291" s="31">
        <f>+IFERROR(VLOOKUP(E7291,BD!$L$2:$Q$244,6,0),0)</f>
        <v>0</v>
      </c>
      <c r="I7291" s="626">
        <f>IFERROR(G7291*VLOOKUP($E7291,BD!$L$2:$Q$244,5,0),0)</f>
        <v>0</v>
      </c>
      <c r="J7291" s="3">
        <f t="shared" si="465"/>
        <v>1900</v>
      </c>
    </row>
    <row r="7292" spans="1:10" s="9" customFormat="1" x14ac:dyDescent="0.25">
      <c r="A7292" s="447"/>
      <c r="B7292" s="55" t="str">
        <f t="shared" si="462"/>
        <v>ENERO</v>
      </c>
      <c r="C7292" s="55">
        <f t="shared" si="463"/>
        <v>1</v>
      </c>
      <c r="D7292" s="3" t="str">
        <f t="shared" si="464"/>
        <v>SÁBADO</v>
      </c>
      <c r="E7292" s="427"/>
      <c r="F7292" s="31">
        <f>IFERROR(VLOOKUP(E7292,BD!$L$2:$Q$244,2,0),0)</f>
        <v>0</v>
      </c>
      <c r="G7292" s="424"/>
      <c r="H7292" s="31">
        <f>+IFERROR(VLOOKUP(E7292,BD!$L$2:$Q$244,6,0),0)</f>
        <v>0</v>
      </c>
      <c r="I7292" s="626">
        <f>IFERROR(G7292*VLOOKUP($E7292,BD!$L$2:$Q$244,5,0),0)</f>
        <v>0</v>
      </c>
      <c r="J7292" s="3">
        <f t="shared" si="465"/>
        <v>1900</v>
      </c>
    </row>
    <row r="7293" spans="1:10" s="9" customFormat="1" x14ac:dyDescent="0.25">
      <c r="A7293" s="447"/>
      <c r="B7293" s="55" t="str">
        <f t="shared" ref="B7293:B7356" si="466">UPPER(TEXT(A7293,"MMMM"))</f>
        <v>ENERO</v>
      </c>
      <c r="C7293" s="55">
        <f t="shared" ref="C7293:C7356" si="467">WEEKNUM(A7293,16)</f>
        <v>1</v>
      </c>
      <c r="D7293" s="3" t="str">
        <f t="shared" ref="D7293:D7356" si="468">UPPER(TEXT(A7293,"DDDD"))</f>
        <v>SÁBADO</v>
      </c>
      <c r="E7293" s="427"/>
      <c r="F7293" s="31">
        <f>IFERROR(VLOOKUP(E7293,BD!$L$2:$Q$244,2,0),0)</f>
        <v>0</v>
      </c>
      <c r="G7293" s="424"/>
      <c r="H7293" s="31">
        <f>+IFERROR(VLOOKUP(E7293,BD!$L$2:$Q$244,6,0),0)</f>
        <v>0</v>
      </c>
      <c r="I7293" s="626">
        <f>IFERROR(G7293*VLOOKUP($E7293,BD!$L$2:$Q$244,5,0),0)</f>
        <v>0</v>
      </c>
      <c r="J7293" s="3">
        <f t="shared" ref="J7293:J7356" si="469">+YEAR(A7293)</f>
        <v>1900</v>
      </c>
    </row>
    <row r="7294" spans="1:10" s="9" customFormat="1" x14ac:dyDescent="0.25">
      <c r="A7294" s="447"/>
      <c r="B7294" s="55" t="str">
        <f t="shared" si="466"/>
        <v>ENERO</v>
      </c>
      <c r="C7294" s="55">
        <f t="shared" si="467"/>
        <v>1</v>
      </c>
      <c r="D7294" s="3" t="str">
        <f t="shared" si="468"/>
        <v>SÁBADO</v>
      </c>
      <c r="E7294" s="427"/>
      <c r="F7294" s="31">
        <f>IFERROR(VLOOKUP(E7294,BD!$L$2:$Q$244,2,0),0)</f>
        <v>0</v>
      </c>
      <c r="G7294" s="424"/>
      <c r="H7294" s="31">
        <f>+IFERROR(VLOOKUP(E7294,BD!$L$2:$Q$244,6,0),0)</f>
        <v>0</v>
      </c>
      <c r="I7294" s="626">
        <f>IFERROR(G7294*VLOOKUP($E7294,BD!$L$2:$Q$244,5,0),0)</f>
        <v>0</v>
      </c>
      <c r="J7294" s="3">
        <f t="shared" si="469"/>
        <v>1900</v>
      </c>
    </row>
    <row r="7295" spans="1:10" s="9" customFormat="1" x14ac:dyDescent="0.25">
      <c r="A7295" s="447"/>
      <c r="B7295" s="55" t="str">
        <f t="shared" si="466"/>
        <v>ENERO</v>
      </c>
      <c r="C7295" s="55">
        <f t="shared" si="467"/>
        <v>1</v>
      </c>
      <c r="D7295" s="3" t="str">
        <f t="shared" si="468"/>
        <v>SÁBADO</v>
      </c>
      <c r="E7295" s="427"/>
      <c r="F7295" s="31">
        <f>IFERROR(VLOOKUP(E7295,BD!$L$2:$Q$244,2,0),0)</f>
        <v>0</v>
      </c>
      <c r="G7295" s="424"/>
      <c r="H7295" s="31">
        <f>+IFERROR(VLOOKUP(E7295,BD!$L$2:$Q$244,6,0),0)</f>
        <v>0</v>
      </c>
      <c r="I7295" s="626">
        <f>IFERROR(G7295*VLOOKUP($E7295,BD!$L$2:$Q$244,5,0),0)</f>
        <v>0</v>
      </c>
      <c r="J7295" s="3">
        <f t="shared" si="469"/>
        <v>1900</v>
      </c>
    </row>
    <row r="7296" spans="1:10" s="9" customFormat="1" x14ac:dyDescent="0.25">
      <c r="A7296" s="447"/>
      <c r="B7296" s="55" t="str">
        <f t="shared" si="466"/>
        <v>ENERO</v>
      </c>
      <c r="C7296" s="55">
        <f t="shared" si="467"/>
        <v>1</v>
      </c>
      <c r="D7296" s="3" t="str">
        <f t="shared" si="468"/>
        <v>SÁBADO</v>
      </c>
      <c r="E7296" s="427"/>
      <c r="F7296" s="31">
        <f>IFERROR(VLOOKUP(E7296,BD!$L$2:$Q$244,2,0),0)</f>
        <v>0</v>
      </c>
      <c r="G7296" s="424"/>
      <c r="H7296" s="31">
        <f>+IFERROR(VLOOKUP(E7296,BD!$L$2:$Q$244,6,0),0)</f>
        <v>0</v>
      </c>
      <c r="I7296" s="626">
        <f>IFERROR(G7296*VLOOKUP($E7296,BD!$L$2:$Q$244,5,0),0)</f>
        <v>0</v>
      </c>
      <c r="J7296" s="3">
        <f t="shared" si="469"/>
        <v>1900</v>
      </c>
    </row>
    <row r="7297" spans="1:10" s="9" customFormat="1" x14ac:dyDescent="0.25">
      <c r="A7297" s="447"/>
      <c r="B7297" s="55" t="str">
        <f t="shared" si="466"/>
        <v>ENERO</v>
      </c>
      <c r="C7297" s="55">
        <f t="shared" si="467"/>
        <v>1</v>
      </c>
      <c r="D7297" s="3" t="str">
        <f t="shared" si="468"/>
        <v>SÁBADO</v>
      </c>
      <c r="E7297" s="427"/>
      <c r="F7297" s="31">
        <f>IFERROR(VLOOKUP(E7297,BD!$L$2:$Q$244,2,0),0)</f>
        <v>0</v>
      </c>
      <c r="G7297" s="424"/>
      <c r="H7297" s="31">
        <f>+IFERROR(VLOOKUP(E7297,BD!$L$2:$Q$244,6,0),0)</f>
        <v>0</v>
      </c>
      <c r="I7297" s="626">
        <f>IFERROR(G7297*VLOOKUP($E7297,BD!$L$2:$Q$244,5,0),0)</f>
        <v>0</v>
      </c>
      <c r="J7297" s="3">
        <f t="shared" si="469"/>
        <v>1900</v>
      </c>
    </row>
    <row r="7298" spans="1:10" s="9" customFormat="1" x14ac:dyDescent="0.25">
      <c r="A7298" s="447"/>
      <c r="B7298" s="55" t="str">
        <f t="shared" si="466"/>
        <v>ENERO</v>
      </c>
      <c r="C7298" s="55">
        <f t="shared" si="467"/>
        <v>1</v>
      </c>
      <c r="D7298" s="3" t="str">
        <f t="shared" si="468"/>
        <v>SÁBADO</v>
      </c>
      <c r="E7298" s="427"/>
      <c r="F7298" s="31">
        <f>IFERROR(VLOOKUP(E7298,BD!$L$2:$Q$244,2,0),0)</f>
        <v>0</v>
      </c>
      <c r="G7298" s="424"/>
      <c r="H7298" s="31">
        <f>+IFERROR(VLOOKUP(E7298,BD!$L$2:$Q$244,6,0),0)</f>
        <v>0</v>
      </c>
      <c r="I7298" s="626">
        <f>IFERROR(G7298*VLOOKUP($E7298,BD!$L$2:$Q$244,5,0),0)</f>
        <v>0</v>
      </c>
      <c r="J7298" s="3">
        <f t="shared" si="469"/>
        <v>1900</v>
      </c>
    </row>
    <row r="7299" spans="1:10" s="9" customFormat="1" x14ac:dyDescent="0.25">
      <c r="A7299" s="447"/>
      <c r="B7299" s="55" t="str">
        <f t="shared" si="466"/>
        <v>ENERO</v>
      </c>
      <c r="C7299" s="55">
        <f t="shared" si="467"/>
        <v>1</v>
      </c>
      <c r="D7299" s="3" t="str">
        <f t="shared" si="468"/>
        <v>SÁBADO</v>
      </c>
      <c r="E7299" s="427"/>
      <c r="F7299" s="31">
        <f>IFERROR(VLOOKUP(E7299,BD!$L$2:$Q$244,2,0),0)</f>
        <v>0</v>
      </c>
      <c r="G7299" s="424"/>
      <c r="H7299" s="31">
        <f>+IFERROR(VLOOKUP(E7299,BD!$L$2:$Q$244,6,0),0)</f>
        <v>0</v>
      </c>
      <c r="I7299" s="626">
        <f>IFERROR(G7299*VLOOKUP($E7299,BD!$L$2:$Q$244,5,0),0)</f>
        <v>0</v>
      </c>
      <c r="J7299" s="3">
        <f t="shared" si="469"/>
        <v>1900</v>
      </c>
    </row>
    <row r="7300" spans="1:10" s="9" customFormat="1" x14ac:dyDescent="0.25">
      <c r="A7300" s="447"/>
      <c r="B7300" s="55" t="str">
        <f t="shared" si="466"/>
        <v>ENERO</v>
      </c>
      <c r="C7300" s="55">
        <f t="shared" si="467"/>
        <v>1</v>
      </c>
      <c r="D7300" s="3" t="str">
        <f t="shared" si="468"/>
        <v>SÁBADO</v>
      </c>
      <c r="E7300" s="427"/>
      <c r="F7300" s="31">
        <f>IFERROR(VLOOKUP(E7300,BD!$L$2:$Q$244,2,0),0)</f>
        <v>0</v>
      </c>
      <c r="G7300" s="424"/>
      <c r="H7300" s="31">
        <f>+IFERROR(VLOOKUP(E7300,BD!$L$2:$Q$244,6,0),0)</f>
        <v>0</v>
      </c>
      <c r="I7300" s="626">
        <f>IFERROR(G7300*VLOOKUP($E7300,BD!$L$2:$Q$244,5,0),0)</f>
        <v>0</v>
      </c>
      <c r="J7300" s="3">
        <f t="shared" si="469"/>
        <v>1900</v>
      </c>
    </row>
    <row r="7301" spans="1:10" s="9" customFormat="1" x14ac:dyDescent="0.25">
      <c r="A7301" s="447"/>
      <c r="B7301" s="55" t="str">
        <f t="shared" si="466"/>
        <v>ENERO</v>
      </c>
      <c r="C7301" s="55">
        <f t="shared" si="467"/>
        <v>1</v>
      </c>
      <c r="D7301" s="3" t="str">
        <f t="shared" si="468"/>
        <v>SÁBADO</v>
      </c>
      <c r="E7301" s="427"/>
      <c r="F7301" s="31">
        <f>IFERROR(VLOOKUP(E7301,BD!$L$2:$Q$244,2,0),0)</f>
        <v>0</v>
      </c>
      <c r="G7301" s="424"/>
      <c r="H7301" s="31">
        <f>+IFERROR(VLOOKUP(E7301,BD!$L$2:$Q$244,6,0),0)</f>
        <v>0</v>
      </c>
      <c r="I7301" s="626">
        <f>IFERROR(G7301*VLOOKUP($E7301,BD!$L$2:$Q$244,5,0),0)</f>
        <v>0</v>
      </c>
      <c r="J7301" s="3">
        <f t="shared" si="469"/>
        <v>1900</v>
      </c>
    </row>
    <row r="7302" spans="1:10" s="9" customFormat="1" x14ac:dyDescent="0.25">
      <c r="A7302" s="447"/>
      <c r="B7302" s="55" t="str">
        <f t="shared" si="466"/>
        <v>ENERO</v>
      </c>
      <c r="C7302" s="55">
        <f t="shared" si="467"/>
        <v>1</v>
      </c>
      <c r="D7302" s="3" t="str">
        <f t="shared" si="468"/>
        <v>SÁBADO</v>
      </c>
      <c r="E7302" s="427"/>
      <c r="F7302" s="31">
        <f>IFERROR(VLOOKUP(E7302,BD!$L$2:$Q$244,2,0),0)</f>
        <v>0</v>
      </c>
      <c r="G7302" s="424"/>
      <c r="H7302" s="31">
        <f>+IFERROR(VLOOKUP(E7302,BD!$L$2:$Q$244,6,0),0)</f>
        <v>0</v>
      </c>
      <c r="I7302" s="626">
        <f>IFERROR(G7302*VLOOKUP($E7302,BD!$L$2:$Q$244,5,0),0)</f>
        <v>0</v>
      </c>
      <c r="J7302" s="3">
        <f t="shared" si="469"/>
        <v>1900</v>
      </c>
    </row>
    <row r="7303" spans="1:10" s="9" customFormat="1" x14ac:dyDescent="0.25">
      <c r="A7303" s="447"/>
      <c r="B7303" s="55" t="str">
        <f t="shared" si="466"/>
        <v>ENERO</v>
      </c>
      <c r="C7303" s="55">
        <f t="shared" si="467"/>
        <v>1</v>
      </c>
      <c r="D7303" s="3" t="str">
        <f t="shared" si="468"/>
        <v>SÁBADO</v>
      </c>
      <c r="E7303" s="427"/>
      <c r="F7303" s="31">
        <f>IFERROR(VLOOKUP(E7303,BD!$L$2:$Q$244,2,0),0)</f>
        <v>0</v>
      </c>
      <c r="G7303" s="424"/>
      <c r="H7303" s="31">
        <f>+IFERROR(VLOOKUP(E7303,BD!$L$2:$Q$244,6,0),0)</f>
        <v>0</v>
      </c>
      <c r="I7303" s="626">
        <f>IFERROR(G7303*VLOOKUP($E7303,BD!$L$2:$Q$244,5,0),0)</f>
        <v>0</v>
      </c>
      <c r="J7303" s="3">
        <f t="shared" si="469"/>
        <v>1900</v>
      </c>
    </row>
    <row r="7304" spans="1:10" s="9" customFormat="1" x14ac:dyDescent="0.25">
      <c r="A7304" s="447"/>
      <c r="B7304" s="55" t="str">
        <f t="shared" si="466"/>
        <v>ENERO</v>
      </c>
      <c r="C7304" s="55">
        <f t="shared" si="467"/>
        <v>1</v>
      </c>
      <c r="D7304" s="3" t="str">
        <f t="shared" si="468"/>
        <v>SÁBADO</v>
      </c>
      <c r="E7304" s="427"/>
      <c r="F7304" s="31">
        <f>IFERROR(VLOOKUP(E7304,BD!$L$2:$Q$244,2,0),0)</f>
        <v>0</v>
      </c>
      <c r="G7304" s="424"/>
      <c r="H7304" s="31">
        <f>+IFERROR(VLOOKUP(E7304,BD!$L$2:$Q$244,6,0),0)</f>
        <v>0</v>
      </c>
      <c r="I7304" s="626">
        <f>IFERROR(G7304*VLOOKUP($E7304,BD!$L$2:$Q$244,5,0),0)</f>
        <v>0</v>
      </c>
      <c r="J7304" s="3">
        <f t="shared" si="469"/>
        <v>1900</v>
      </c>
    </row>
    <row r="7305" spans="1:10" s="9" customFormat="1" x14ac:dyDescent="0.25">
      <c r="A7305" s="447"/>
      <c r="B7305" s="55" t="str">
        <f t="shared" si="466"/>
        <v>ENERO</v>
      </c>
      <c r="C7305" s="55">
        <f t="shared" si="467"/>
        <v>1</v>
      </c>
      <c r="D7305" s="3" t="str">
        <f t="shared" si="468"/>
        <v>SÁBADO</v>
      </c>
      <c r="E7305" s="427"/>
      <c r="F7305" s="31">
        <f>IFERROR(VLOOKUP(E7305,BD!$L$2:$Q$244,2,0),0)</f>
        <v>0</v>
      </c>
      <c r="G7305" s="424"/>
      <c r="H7305" s="31">
        <f>+IFERROR(VLOOKUP(E7305,BD!$L$2:$Q$244,6,0),0)</f>
        <v>0</v>
      </c>
      <c r="I7305" s="626">
        <f>IFERROR(G7305*VLOOKUP($E7305,BD!$L$2:$Q$244,5,0),0)</f>
        <v>0</v>
      </c>
      <c r="J7305" s="3">
        <f t="shared" si="469"/>
        <v>1900</v>
      </c>
    </row>
    <row r="7306" spans="1:10" s="9" customFormat="1" x14ac:dyDescent="0.25">
      <c r="A7306" s="447"/>
      <c r="B7306" s="55" t="str">
        <f t="shared" si="466"/>
        <v>ENERO</v>
      </c>
      <c r="C7306" s="55">
        <f t="shared" si="467"/>
        <v>1</v>
      </c>
      <c r="D7306" s="3" t="str">
        <f t="shared" si="468"/>
        <v>SÁBADO</v>
      </c>
      <c r="E7306" s="427"/>
      <c r="F7306" s="31">
        <f>IFERROR(VLOOKUP(E7306,BD!$L$2:$Q$244,2,0),0)</f>
        <v>0</v>
      </c>
      <c r="G7306" s="424"/>
      <c r="H7306" s="31">
        <f>+IFERROR(VLOOKUP(E7306,BD!$L$2:$Q$244,6,0),0)</f>
        <v>0</v>
      </c>
      <c r="I7306" s="626">
        <f>IFERROR(G7306*VLOOKUP($E7306,BD!$L$2:$Q$244,5,0),0)</f>
        <v>0</v>
      </c>
      <c r="J7306" s="3">
        <f t="shared" si="469"/>
        <v>1900</v>
      </c>
    </row>
    <row r="7307" spans="1:10" s="9" customFormat="1" x14ac:dyDescent="0.25">
      <c r="A7307" s="447"/>
      <c r="B7307" s="55" t="str">
        <f t="shared" si="466"/>
        <v>ENERO</v>
      </c>
      <c r="C7307" s="55">
        <f t="shared" si="467"/>
        <v>1</v>
      </c>
      <c r="D7307" s="3" t="str">
        <f t="shared" si="468"/>
        <v>SÁBADO</v>
      </c>
      <c r="E7307" s="427"/>
      <c r="F7307" s="31">
        <f>IFERROR(VLOOKUP(E7307,BD!$L$2:$Q$244,2,0),0)</f>
        <v>0</v>
      </c>
      <c r="G7307" s="424"/>
      <c r="H7307" s="31">
        <f>+IFERROR(VLOOKUP(E7307,BD!$L$2:$Q$244,6,0),0)</f>
        <v>0</v>
      </c>
      <c r="I7307" s="626">
        <f>IFERROR(G7307*VLOOKUP($E7307,BD!$L$2:$Q$244,5,0),0)</f>
        <v>0</v>
      </c>
      <c r="J7307" s="3">
        <f t="shared" si="469"/>
        <v>1900</v>
      </c>
    </row>
    <row r="7308" spans="1:10" s="9" customFormat="1" x14ac:dyDescent="0.25">
      <c r="A7308" s="447"/>
      <c r="B7308" s="55" t="str">
        <f t="shared" si="466"/>
        <v>ENERO</v>
      </c>
      <c r="C7308" s="55">
        <f t="shared" si="467"/>
        <v>1</v>
      </c>
      <c r="D7308" s="3" t="str">
        <f t="shared" si="468"/>
        <v>SÁBADO</v>
      </c>
      <c r="E7308" s="427"/>
      <c r="F7308" s="31">
        <f>IFERROR(VLOOKUP(E7308,BD!$L$2:$Q$244,2,0),0)</f>
        <v>0</v>
      </c>
      <c r="G7308" s="424"/>
      <c r="H7308" s="31">
        <f>+IFERROR(VLOOKUP(E7308,BD!$L$2:$Q$244,6,0),0)</f>
        <v>0</v>
      </c>
      <c r="I7308" s="626">
        <f>IFERROR(G7308*VLOOKUP($E7308,BD!$L$2:$Q$244,5,0),0)</f>
        <v>0</v>
      </c>
      <c r="J7308" s="3">
        <f t="shared" si="469"/>
        <v>1900</v>
      </c>
    </row>
    <row r="7309" spans="1:10" s="9" customFormat="1" x14ac:dyDescent="0.25">
      <c r="A7309" s="447"/>
      <c r="B7309" s="55" t="str">
        <f t="shared" si="466"/>
        <v>ENERO</v>
      </c>
      <c r="C7309" s="55">
        <f t="shared" si="467"/>
        <v>1</v>
      </c>
      <c r="D7309" s="3" t="str">
        <f t="shared" si="468"/>
        <v>SÁBADO</v>
      </c>
      <c r="E7309" s="427"/>
      <c r="F7309" s="31">
        <f>IFERROR(VLOOKUP(E7309,BD!$L$2:$Q$244,2,0),0)</f>
        <v>0</v>
      </c>
      <c r="G7309" s="424"/>
      <c r="H7309" s="31">
        <f>+IFERROR(VLOOKUP(E7309,BD!$L$2:$Q$244,6,0),0)</f>
        <v>0</v>
      </c>
      <c r="I7309" s="626">
        <f>IFERROR(G7309*VLOOKUP($E7309,BD!$L$2:$Q$244,5,0),0)</f>
        <v>0</v>
      </c>
      <c r="J7309" s="3">
        <f t="shared" si="469"/>
        <v>1900</v>
      </c>
    </row>
    <row r="7310" spans="1:10" s="9" customFormat="1" x14ac:dyDescent="0.25">
      <c r="A7310" s="447"/>
      <c r="B7310" s="55" t="str">
        <f t="shared" si="466"/>
        <v>ENERO</v>
      </c>
      <c r="C7310" s="55">
        <f t="shared" si="467"/>
        <v>1</v>
      </c>
      <c r="D7310" s="3" t="str">
        <f t="shared" si="468"/>
        <v>SÁBADO</v>
      </c>
      <c r="E7310" s="427"/>
      <c r="F7310" s="31">
        <f>IFERROR(VLOOKUP(E7310,BD!$L$2:$Q$244,2,0),0)</f>
        <v>0</v>
      </c>
      <c r="G7310" s="424"/>
      <c r="H7310" s="31">
        <f>+IFERROR(VLOOKUP(E7310,BD!$L$2:$Q$244,6,0),0)</f>
        <v>0</v>
      </c>
      <c r="I7310" s="626">
        <f>IFERROR(G7310*VLOOKUP($E7310,BD!$L$2:$Q$244,5,0),0)</f>
        <v>0</v>
      </c>
      <c r="J7310" s="3">
        <f t="shared" si="469"/>
        <v>1900</v>
      </c>
    </row>
    <row r="7311" spans="1:10" s="9" customFormat="1" x14ac:dyDescent="0.25">
      <c r="A7311" s="447"/>
      <c r="B7311" s="55" t="str">
        <f t="shared" si="466"/>
        <v>ENERO</v>
      </c>
      <c r="C7311" s="55">
        <f t="shared" si="467"/>
        <v>1</v>
      </c>
      <c r="D7311" s="3" t="str">
        <f t="shared" si="468"/>
        <v>SÁBADO</v>
      </c>
      <c r="E7311" s="427"/>
      <c r="F7311" s="31">
        <f>IFERROR(VLOOKUP(E7311,BD!$L$2:$Q$244,2,0),0)</f>
        <v>0</v>
      </c>
      <c r="G7311" s="424"/>
      <c r="H7311" s="31">
        <f>+IFERROR(VLOOKUP(E7311,BD!$L$2:$Q$244,6,0),0)</f>
        <v>0</v>
      </c>
      <c r="I7311" s="626">
        <f>IFERROR(G7311*VLOOKUP($E7311,BD!$L$2:$Q$244,5,0),0)</f>
        <v>0</v>
      </c>
      <c r="J7311" s="3">
        <f t="shared" si="469"/>
        <v>1900</v>
      </c>
    </row>
    <row r="7312" spans="1:10" s="9" customFormat="1" x14ac:dyDescent="0.25">
      <c r="A7312" s="447"/>
      <c r="B7312" s="55" t="str">
        <f t="shared" si="466"/>
        <v>ENERO</v>
      </c>
      <c r="C7312" s="55">
        <f t="shared" si="467"/>
        <v>1</v>
      </c>
      <c r="D7312" s="3" t="str">
        <f t="shared" si="468"/>
        <v>SÁBADO</v>
      </c>
      <c r="E7312" s="427"/>
      <c r="F7312" s="31">
        <f>IFERROR(VLOOKUP(E7312,BD!$L$2:$Q$244,2,0),0)</f>
        <v>0</v>
      </c>
      <c r="G7312" s="424"/>
      <c r="H7312" s="31">
        <f>+IFERROR(VLOOKUP(E7312,BD!$L$2:$Q$244,6,0),0)</f>
        <v>0</v>
      </c>
      <c r="I7312" s="626">
        <f>IFERROR(G7312*VLOOKUP($E7312,BD!$L$2:$Q$244,5,0),0)</f>
        <v>0</v>
      </c>
      <c r="J7312" s="3">
        <f t="shared" si="469"/>
        <v>1900</v>
      </c>
    </row>
    <row r="7313" spans="1:10" s="9" customFormat="1" x14ac:dyDescent="0.25">
      <c r="A7313" s="447"/>
      <c r="B7313" s="55" t="str">
        <f t="shared" si="466"/>
        <v>ENERO</v>
      </c>
      <c r="C7313" s="55">
        <f t="shared" si="467"/>
        <v>1</v>
      </c>
      <c r="D7313" s="3" t="str">
        <f t="shared" si="468"/>
        <v>SÁBADO</v>
      </c>
      <c r="E7313" s="427"/>
      <c r="F7313" s="31">
        <f>IFERROR(VLOOKUP(E7313,BD!$L$2:$Q$244,2,0),0)</f>
        <v>0</v>
      </c>
      <c r="G7313" s="424"/>
      <c r="H7313" s="31">
        <f>+IFERROR(VLOOKUP(E7313,BD!$L$2:$Q$244,6,0),0)</f>
        <v>0</v>
      </c>
      <c r="I7313" s="626">
        <f>IFERROR(G7313*VLOOKUP($E7313,BD!$L$2:$Q$244,5,0),0)</f>
        <v>0</v>
      </c>
      <c r="J7313" s="3">
        <f t="shared" si="469"/>
        <v>1900</v>
      </c>
    </row>
    <row r="7314" spans="1:10" s="9" customFormat="1" x14ac:dyDescent="0.25">
      <c r="A7314" s="447"/>
      <c r="B7314" s="55" t="str">
        <f t="shared" si="466"/>
        <v>ENERO</v>
      </c>
      <c r="C7314" s="55">
        <f t="shared" si="467"/>
        <v>1</v>
      </c>
      <c r="D7314" s="3" t="str">
        <f t="shared" si="468"/>
        <v>SÁBADO</v>
      </c>
      <c r="E7314" s="427"/>
      <c r="F7314" s="31">
        <f>IFERROR(VLOOKUP(E7314,BD!$L$2:$Q$244,2,0),0)</f>
        <v>0</v>
      </c>
      <c r="G7314" s="424"/>
      <c r="H7314" s="31">
        <f>+IFERROR(VLOOKUP(E7314,BD!$L$2:$Q$244,6,0),0)</f>
        <v>0</v>
      </c>
      <c r="I7314" s="626">
        <f>IFERROR(G7314*VLOOKUP($E7314,BD!$L$2:$Q$244,5,0),0)</f>
        <v>0</v>
      </c>
      <c r="J7314" s="3">
        <f t="shared" si="469"/>
        <v>1900</v>
      </c>
    </row>
    <row r="7315" spans="1:10" s="9" customFormat="1" x14ac:dyDescent="0.25">
      <c r="A7315" s="447"/>
      <c r="B7315" s="55" t="str">
        <f t="shared" si="466"/>
        <v>ENERO</v>
      </c>
      <c r="C7315" s="55">
        <f t="shared" si="467"/>
        <v>1</v>
      </c>
      <c r="D7315" s="3" t="str">
        <f t="shared" si="468"/>
        <v>SÁBADO</v>
      </c>
      <c r="E7315" s="427"/>
      <c r="F7315" s="31">
        <f>IFERROR(VLOOKUP(E7315,BD!$L$2:$Q$244,2,0),0)</f>
        <v>0</v>
      </c>
      <c r="G7315" s="424"/>
      <c r="H7315" s="31">
        <f>+IFERROR(VLOOKUP(E7315,BD!$L$2:$Q$244,6,0),0)</f>
        <v>0</v>
      </c>
      <c r="I7315" s="626">
        <f>IFERROR(G7315*VLOOKUP($E7315,BD!$L$2:$Q$244,5,0),0)</f>
        <v>0</v>
      </c>
      <c r="J7315" s="3">
        <f t="shared" si="469"/>
        <v>1900</v>
      </c>
    </row>
    <row r="7316" spans="1:10" s="9" customFormat="1" x14ac:dyDescent="0.25">
      <c r="A7316" s="447"/>
      <c r="B7316" s="55" t="str">
        <f t="shared" si="466"/>
        <v>ENERO</v>
      </c>
      <c r="C7316" s="55">
        <f t="shared" si="467"/>
        <v>1</v>
      </c>
      <c r="D7316" s="3" t="str">
        <f t="shared" si="468"/>
        <v>SÁBADO</v>
      </c>
      <c r="E7316" s="427"/>
      <c r="F7316" s="31">
        <f>IFERROR(VLOOKUP(E7316,BD!$L$2:$Q$244,2,0),0)</f>
        <v>0</v>
      </c>
      <c r="G7316" s="424"/>
      <c r="H7316" s="31">
        <f>+IFERROR(VLOOKUP(E7316,BD!$L$2:$Q$244,6,0),0)</f>
        <v>0</v>
      </c>
      <c r="I7316" s="626">
        <f>IFERROR(G7316*VLOOKUP($E7316,BD!$L$2:$Q$244,5,0),0)</f>
        <v>0</v>
      </c>
      <c r="J7316" s="3">
        <f t="shared" si="469"/>
        <v>1900</v>
      </c>
    </row>
    <row r="7317" spans="1:10" s="9" customFormat="1" x14ac:dyDescent="0.25">
      <c r="A7317" s="447"/>
      <c r="B7317" s="55" t="str">
        <f t="shared" si="466"/>
        <v>ENERO</v>
      </c>
      <c r="C7317" s="55">
        <f t="shared" si="467"/>
        <v>1</v>
      </c>
      <c r="D7317" s="3" t="str">
        <f t="shared" si="468"/>
        <v>SÁBADO</v>
      </c>
      <c r="E7317" s="427"/>
      <c r="F7317" s="31">
        <f>IFERROR(VLOOKUP(E7317,BD!$L$2:$Q$244,2,0),0)</f>
        <v>0</v>
      </c>
      <c r="G7317" s="424"/>
      <c r="H7317" s="31">
        <f>+IFERROR(VLOOKUP(E7317,BD!$L$2:$Q$244,6,0),0)</f>
        <v>0</v>
      </c>
      <c r="I7317" s="626">
        <f>IFERROR(G7317*VLOOKUP($E7317,BD!$L$2:$Q$244,5,0),0)</f>
        <v>0</v>
      </c>
      <c r="J7317" s="3">
        <f t="shared" si="469"/>
        <v>1900</v>
      </c>
    </row>
    <row r="7318" spans="1:10" s="9" customFormat="1" x14ac:dyDescent="0.25">
      <c r="A7318" s="447"/>
      <c r="B7318" s="55" t="str">
        <f t="shared" si="466"/>
        <v>ENERO</v>
      </c>
      <c r="C7318" s="55">
        <f t="shared" si="467"/>
        <v>1</v>
      </c>
      <c r="D7318" s="3" t="str">
        <f t="shared" si="468"/>
        <v>SÁBADO</v>
      </c>
      <c r="E7318" s="427"/>
      <c r="F7318" s="31">
        <f>IFERROR(VLOOKUP(E7318,BD!$L$2:$Q$244,2,0),0)</f>
        <v>0</v>
      </c>
      <c r="G7318" s="424"/>
      <c r="H7318" s="31">
        <f>+IFERROR(VLOOKUP(E7318,BD!$L$2:$Q$244,6,0),0)</f>
        <v>0</v>
      </c>
      <c r="I7318" s="626">
        <f>IFERROR(G7318*VLOOKUP($E7318,BD!$L$2:$Q$244,5,0),0)</f>
        <v>0</v>
      </c>
      <c r="J7318" s="3">
        <f t="shared" si="469"/>
        <v>1900</v>
      </c>
    </row>
    <row r="7319" spans="1:10" s="9" customFormat="1" x14ac:dyDescent="0.25">
      <c r="A7319" s="447"/>
      <c r="B7319" s="55" t="str">
        <f t="shared" si="466"/>
        <v>ENERO</v>
      </c>
      <c r="C7319" s="55">
        <f t="shared" si="467"/>
        <v>1</v>
      </c>
      <c r="D7319" s="3" t="str">
        <f t="shared" si="468"/>
        <v>SÁBADO</v>
      </c>
      <c r="E7319" s="427"/>
      <c r="F7319" s="31">
        <f>IFERROR(VLOOKUP(E7319,BD!$L$2:$Q$244,2,0),0)</f>
        <v>0</v>
      </c>
      <c r="G7319" s="424"/>
      <c r="H7319" s="31">
        <f>+IFERROR(VLOOKUP(E7319,BD!$L$2:$Q$244,6,0),0)</f>
        <v>0</v>
      </c>
      <c r="I7319" s="626">
        <f>IFERROR(G7319*VLOOKUP($E7319,BD!$L$2:$Q$244,5,0),0)</f>
        <v>0</v>
      </c>
      <c r="J7319" s="3">
        <f t="shared" si="469"/>
        <v>1900</v>
      </c>
    </row>
    <row r="7320" spans="1:10" s="9" customFormat="1" x14ac:dyDescent="0.25">
      <c r="A7320" s="447"/>
      <c r="B7320" s="55" t="str">
        <f t="shared" si="466"/>
        <v>ENERO</v>
      </c>
      <c r="C7320" s="55">
        <f t="shared" si="467"/>
        <v>1</v>
      </c>
      <c r="D7320" s="3" t="str">
        <f t="shared" si="468"/>
        <v>SÁBADO</v>
      </c>
      <c r="E7320" s="427"/>
      <c r="F7320" s="31">
        <f>IFERROR(VLOOKUP(E7320,BD!$L$2:$Q$244,2,0),0)</f>
        <v>0</v>
      </c>
      <c r="G7320" s="424"/>
      <c r="H7320" s="31">
        <f>+IFERROR(VLOOKUP(E7320,BD!$L$2:$Q$244,6,0),0)</f>
        <v>0</v>
      </c>
      <c r="I7320" s="626">
        <f>IFERROR(G7320*VLOOKUP($E7320,BD!$L$2:$Q$244,5,0),0)</f>
        <v>0</v>
      </c>
      <c r="J7320" s="3">
        <f t="shared" si="469"/>
        <v>1900</v>
      </c>
    </row>
    <row r="7321" spans="1:10" s="9" customFormat="1" x14ac:dyDescent="0.25">
      <c r="A7321" s="447"/>
      <c r="B7321" s="55" t="str">
        <f t="shared" si="466"/>
        <v>ENERO</v>
      </c>
      <c r="C7321" s="55">
        <f t="shared" si="467"/>
        <v>1</v>
      </c>
      <c r="D7321" s="3" t="str">
        <f t="shared" si="468"/>
        <v>SÁBADO</v>
      </c>
      <c r="E7321" s="427"/>
      <c r="F7321" s="31">
        <f>IFERROR(VLOOKUP(E7321,BD!$L$2:$Q$244,2,0),0)</f>
        <v>0</v>
      </c>
      <c r="G7321" s="424"/>
      <c r="H7321" s="31">
        <f>+IFERROR(VLOOKUP(E7321,BD!$L$2:$Q$244,6,0),0)</f>
        <v>0</v>
      </c>
      <c r="I7321" s="626">
        <f>IFERROR(G7321*VLOOKUP($E7321,BD!$L$2:$Q$244,5,0),0)</f>
        <v>0</v>
      </c>
      <c r="J7321" s="3">
        <f t="shared" si="469"/>
        <v>1900</v>
      </c>
    </row>
    <row r="7322" spans="1:10" s="9" customFormat="1" x14ac:dyDescent="0.25">
      <c r="A7322" s="447"/>
      <c r="B7322" s="55" t="str">
        <f t="shared" si="466"/>
        <v>ENERO</v>
      </c>
      <c r="C7322" s="55">
        <f t="shared" si="467"/>
        <v>1</v>
      </c>
      <c r="D7322" s="3" t="str">
        <f t="shared" si="468"/>
        <v>SÁBADO</v>
      </c>
      <c r="E7322" s="427"/>
      <c r="F7322" s="31">
        <f>IFERROR(VLOOKUP(E7322,BD!$L$2:$Q$244,2,0),0)</f>
        <v>0</v>
      </c>
      <c r="G7322" s="424"/>
      <c r="H7322" s="31">
        <f>+IFERROR(VLOOKUP(E7322,BD!$L$2:$Q$244,6,0),0)</f>
        <v>0</v>
      </c>
      <c r="I7322" s="626">
        <f>IFERROR(G7322*VLOOKUP($E7322,BD!$L$2:$Q$244,5,0),0)</f>
        <v>0</v>
      </c>
      <c r="J7322" s="3">
        <f t="shared" si="469"/>
        <v>1900</v>
      </c>
    </row>
    <row r="7323" spans="1:10" s="9" customFormat="1" x14ac:dyDescent="0.25">
      <c r="A7323" s="447"/>
      <c r="B7323" s="55" t="str">
        <f t="shared" si="466"/>
        <v>ENERO</v>
      </c>
      <c r="C7323" s="55">
        <f t="shared" si="467"/>
        <v>1</v>
      </c>
      <c r="D7323" s="3" t="str">
        <f t="shared" si="468"/>
        <v>SÁBADO</v>
      </c>
      <c r="E7323" s="427"/>
      <c r="F7323" s="31">
        <f>IFERROR(VLOOKUP(E7323,BD!$L$2:$Q$244,2,0),0)</f>
        <v>0</v>
      </c>
      <c r="G7323" s="424"/>
      <c r="H7323" s="31">
        <f>+IFERROR(VLOOKUP(E7323,BD!$L$2:$Q$244,6,0),0)</f>
        <v>0</v>
      </c>
      <c r="I7323" s="626">
        <f>IFERROR(G7323*VLOOKUP($E7323,BD!$L$2:$Q$244,5,0),0)</f>
        <v>0</v>
      </c>
      <c r="J7323" s="3">
        <f t="shared" si="469"/>
        <v>1900</v>
      </c>
    </row>
    <row r="7324" spans="1:10" s="9" customFormat="1" x14ac:dyDescent="0.25">
      <c r="A7324" s="447"/>
      <c r="B7324" s="55" t="str">
        <f t="shared" si="466"/>
        <v>ENERO</v>
      </c>
      <c r="C7324" s="55">
        <f t="shared" si="467"/>
        <v>1</v>
      </c>
      <c r="D7324" s="3" t="str">
        <f t="shared" si="468"/>
        <v>SÁBADO</v>
      </c>
      <c r="E7324" s="427"/>
      <c r="F7324" s="31">
        <f>IFERROR(VLOOKUP(E7324,BD!$L$2:$Q$244,2,0),0)</f>
        <v>0</v>
      </c>
      <c r="G7324" s="424"/>
      <c r="H7324" s="31">
        <f>+IFERROR(VLOOKUP(E7324,BD!$L$2:$Q$244,6,0),0)</f>
        <v>0</v>
      </c>
      <c r="I7324" s="626">
        <f>IFERROR(G7324*VLOOKUP($E7324,BD!$L$2:$Q$244,5,0),0)</f>
        <v>0</v>
      </c>
      <c r="J7324" s="3">
        <f t="shared" si="469"/>
        <v>1900</v>
      </c>
    </row>
    <row r="7325" spans="1:10" s="9" customFormat="1" x14ac:dyDescent="0.25">
      <c r="A7325" s="447"/>
      <c r="B7325" s="55" t="str">
        <f t="shared" si="466"/>
        <v>ENERO</v>
      </c>
      <c r="C7325" s="55">
        <f t="shared" si="467"/>
        <v>1</v>
      </c>
      <c r="D7325" s="3" t="str">
        <f t="shared" si="468"/>
        <v>SÁBADO</v>
      </c>
      <c r="E7325" s="427"/>
      <c r="F7325" s="31">
        <f>IFERROR(VLOOKUP(E7325,BD!$L$2:$Q$244,2,0),0)</f>
        <v>0</v>
      </c>
      <c r="G7325" s="424"/>
      <c r="H7325" s="31">
        <f>+IFERROR(VLOOKUP(E7325,BD!$L$2:$Q$244,6,0),0)</f>
        <v>0</v>
      </c>
      <c r="I7325" s="626">
        <f>IFERROR(G7325*VLOOKUP($E7325,BD!$L$2:$Q$244,5,0),0)</f>
        <v>0</v>
      </c>
      <c r="J7325" s="3">
        <f t="shared" si="469"/>
        <v>1900</v>
      </c>
    </row>
    <row r="7326" spans="1:10" s="9" customFormat="1" x14ac:dyDescent="0.25">
      <c r="A7326" s="447"/>
      <c r="B7326" s="55" t="str">
        <f t="shared" si="466"/>
        <v>ENERO</v>
      </c>
      <c r="C7326" s="55">
        <f t="shared" si="467"/>
        <v>1</v>
      </c>
      <c r="D7326" s="3" t="str">
        <f t="shared" si="468"/>
        <v>SÁBADO</v>
      </c>
      <c r="E7326" s="427"/>
      <c r="F7326" s="31">
        <f>IFERROR(VLOOKUP(E7326,BD!$L$2:$Q$244,2,0),0)</f>
        <v>0</v>
      </c>
      <c r="G7326" s="424"/>
      <c r="H7326" s="31">
        <f>+IFERROR(VLOOKUP(E7326,BD!$L$2:$Q$244,6,0),0)</f>
        <v>0</v>
      </c>
      <c r="I7326" s="626">
        <f>IFERROR(G7326*VLOOKUP($E7326,BD!$L$2:$Q$244,5,0),0)</f>
        <v>0</v>
      </c>
      <c r="J7326" s="3">
        <f t="shared" si="469"/>
        <v>1900</v>
      </c>
    </row>
    <row r="7327" spans="1:10" s="9" customFormat="1" x14ac:dyDescent="0.25">
      <c r="A7327" s="447"/>
      <c r="B7327" s="55" t="str">
        <f t="shared" si="466"/>
        <v>ENERO</v>
      </c>
      <c r="C7327" s="55">
        <f t="shared" si="467"/>
        <v>1</v>
      </c>
      <c r="D7327" s="3" t="str">
        <f t="shared" si="468"/>
        <v>SÁBADO</v>
      </c>
      <c r="E7327" s="427"/>
      <c r="F7327" s="31">
        <f>IFERROR(VLOOKUP(E7327,BD!$L$2:$Q$244,2,0),0)</f>
        <v>0</v>
      </c>
      <c r="G7327" s="424"/>
      <c r="H7327" s="31">
        <f>+IFERROR(VLOOKUP(E7327,BD!$L$2:$Q$244,6,0),0)</f>
        <v>0</v>
      </c>
      <c r="I7327" s="626">
        <f>IFERROR(G7327*VLOOKUP($E7327,BD!$L$2:$Q$244,5,0),0)</f>
        <v>0</v>
      </c>
      <c r="J7327" s="3">
        <f t="shared" si="469"/>
        <v>1900</v>
      </c>
    </row>
    <row r="7328" spans="1:10" s="9" customFormat="1" x14ac:dyDescent="0.25">
      <c r="A7328" s="447"/>
      <c r="B7328" s="55" t="str">
        <f t="shared" si="466"/>
        <v>ENERO</v>
      </c>
      <c r="C7328" s="55">
        <f t="shared" si="467"/>
        <v>1</v>
      </c>
      <c r="D7328" s="3" t="str">
        <f t="shared" si="468"/>
        <v>SÁBADO</v>
      </c>
      <c r="E7328" s="427"/>
      <c r="F7328" s="31">
        <f>IFERROR(VLOOKUP(E7328,BD!$L$2:$Q$244,2,0),0)</f>
        <v>0</v>
      </c>
      <c r="G7328" s="424"/>
      <c r="H7328" s="31">
        <f>+IFERROR(VLOOKUP(E7328,BD!$L$2:$Q$244,6,0),0)</f>
        <v>0</v>
      </c>
      <c r="I7328" s="626">
        <f>IFERROR(G7328*VLOOKUP($E7328,BD!$L$2:$Q$244,5,0),0)</f>
        <v>0</v>
      </c>
      <c r="J7328" s="3">
        <f t="shared" si="469"/>
        <v>1900</v>
      </c>
    </row>
    <row r="7329" spans="1:10" s="9" customFormat="1" x14ac:dyDescent="0.25">
      <c r="A7329" s="447"/>
      <c r="B7329" s="55" t="str">
        <f t="shared" si="466"/>
        <v>ENERO</v>
      </c>
      <c r="C7329" s="55">
        <f t="shared" si="467"/>
        <v>1</v>
      </c>
      <c r="D7329" s="3" t="str">
        <f t="shared" si="468"/>
        <v>SÁBADO</v>
      </c>
      <c r="E7329" s="427"/>
      <c r="F7329" s="31">
        <f>IFERROR(VLOOKUP(E7329,BD!$L$2:$Q$244,2,0),0)</f>
        <v>0</v>
      </c>
      <c r="G7329" s="424"/>
      <c r="H7329" s="31">
        <f>+IFERROR(VLOOKUP(E7329,BD!$L$2:$Q$244,6,0),0)</f>
        <v>0</v>
      </c>
      <c r="I7329" s="626">
        <f>IFERROR(G7329*VLOOKUP($E7329,BD!$L$2:$Q$244,5,0),0)</f>
        <v>0</v>
      </c>
      <c r="J7329" s="3">
        <f t="shared" si="469"/>
        <v>1900</v>
      </c>
    </row>
    <row r="7330" spans="1:10" s="9" customFormat="1" x14ac:dyDescent="0.25">
      <c r="A7330" s="447"/>
      <c r="B7330" s="55" t="str">
        <f t="shared" si="466"/>
        <v>ENERO</v>
      </c>
      <c r="C7330" s="55">
        <f t="shared" si="467"/>
        <v>1</v>
      </c>
      <c r="D7330" s="3" t="str">
        <f t="shared" si="468"/>
        <v>SÁBADO</v>
      </c>
      <c r="E7330" s="427"/>
      <c r="F7330" s="31">
        <f>IFERROR(VLOOKUP(E7330,BD!$L$2:$Q$244,2,0),0)</f>
        <v>0</v>
      </c>
      <c r="G7330" s="424"/>
      <c r="H7330" s="31">
        <f>+IFERROR(VLOOKUP(E7330,BD!$L$2:$Q$244,6,0),0)</f>
        <v>0</v>
      </c>
      <c r="I7330" s="626">
        <f>IFERROR(G7330*VLOOKUP($E7330,BD!$L$2:$Q$244,5,0),0)</f>
        <v>0</v>
      </c>
      <c r="J7330" s="3">
        <f t="shared" si="469"/>
        <v>1900</v>
      </c>
    </row>
    <row r="7331" spans="1:10" s="9" customFormat="1" x14ac:dyDescent="0.25">
      <c r="A7331" s="447"/>
      <c r="B7331" s="55" t="str">
        <f t="shared" si="466"/>
        <v>ENERO</v>
      </c>
      <c r="C7331" s="55">
        <f t="shared" si="467"/>
        <v>1</v>
      </c>
      <c r="D7331" s="3" t="str">
        <f t="shared" si="468"/>
        <v>SÁBADO</v>
      </c>
      <c r="E7331" s="427"/>
      <c r="F7331" s="31">
        <f>IFERROR(VLOOKUP(E7331,BD!$L$2:$Q$244,2,0),0)</f>
        <v>0</v>
      </c>
      <c r="G7331" s="424"/>
      <c r="H7331" s="31">
        <f>+IFERROR(VLOOKUP(E7331,BD!$L$2:$Q$244,6,0),0)</f>
        <v>0</v>
      </c>
      <c r="I7331" s="626">
        <f>IFERROR(G7331*VLOOKUP($E7331,BD!$L$2:$Q$244,5,0),0)</f>
        <v>0</v>
      </c>
      <c r="J7331" s="3">
        <f t="shared" si="469"/>
        <v>1900</v>
      </c>
    </row>
    <row r="7332" spans="1:10" s="9" customFormat="1" x14ac:dyDescent="0.25">
      <c r="A7332" s="447"/>
      <c r="B7332" s="55" t="str">
        <f t="shared" si="466"/>
        <v>ENERO</v>
      </c>
      <c r="C7332" s="55">
        <f t="shared" si="467"/>
        <v>1</v>
      </c>
      <c r="D7332" s="3" t="str">
        <f t="shared" si="468"/>
        <v>SÁBADO</v>
      </c>
      <c r="E7332" s="427"/>
      <c r="F7332" s="31">
        <f>IFERROR(VLOOKUP(E7332,BD!$L$2:$Q$244,2,0),0)</f>
        <v>0</v>
      </c>
      <c r="G7332" s="424"/>
      <c r="H7332" s="31">
        <f>+IFERROR(VLOOKUP(E7332,BD!$L$2:$Q$244,6,0),0)</f>
        <v>0</v>
      </c>
      <c r="I7332" s="626">
        <f>IFERROR(G7332*VLOOKUP($E7332,BD!$L$2:$Q$244,5,0),0)</f>
        <v>0</v>
      </c>
      <c r="J7332" s="3">
        <f t="shared" si="469"/>
        <v>1900</v>
      </c>
    </row>
    <row r="7333" spans="1:10" s="9" customFormat="1" x14ac:dyDescent="0.25">
      <c r="A7333" s="447"/>
      <c r="B7333" s="55" t="str">
        <f t="shared" si="466"/>
        <v>ENERO</v>
      </c>
      <c r="C7333" s="55">
        <f t="shared" si="467"/>
        <v>1</v>
      </c>
      <c r="D7333" s="3" t="str">
        <f t="shared" si="468"/>
        <v>SÁBADO</v>
      </c>
      <c r="E7333" s="427"/>
      <c r="F7333" s="31">
        <f>IFERROR(VLOOKUP(E7333,BD!$L$2:$Q$244,2,0),0)</f>
        <v>0</v>
      </c>
      <c r="G7333" s="424"/>
      <c r="H7333" s="31">
        <f>+IFERROR(VLOOKUP(E7333,BD!$L$2:$Q$244,6,0),0)</f>
        <v>0</v>
      </c>
      <c r="I7333" s="626">
        <f>IFERROR(G7333*VLOOKUP($E7333,BD!$L$2:$Q$244,5,0),0)</f>
        <v>0</v>
      </c>
      <c r="J7333" s="3">
        <f t="shared" si="469"/>
        <v>1900</v>
      </c>
    </row>
    <row r="7334" spans="1:10" s="9" customFormat="1" x14ac:dyDescent="0.25">
      <c r="A7334" s="447"/>
      <c r="B7334" s="55" t="str">
        <f t="shared" si="466"/>
        <v>ENERO</v>
      </c>
      <c r="C7334" s="55">
        <f t="shared" si="467"/>
        <v>1</v>
      </c>
      <c r="D7334" s="3" t="str">
        <f t="shared" si="468"/>
        <v>SÁBADO</v>
      </c>
      <c r="E7334" s="427"/>
      <c r="F7334" s="31">
        <f>IFERROR(VLOOKUP(E7334,BD!$L$2:$Q$244,2,0),0)</f>
        <v>0</v>
      </c>
      <c r="G7334" s="424"/>
      <c r="H7334" s="31">
        <f>+IFERROR(VLOOKUP(E7334,BD!$L$2:$Q$244,6,0),0)</f>
        <v>0</v>
      </c>
      <c r="I7334" s="626">
        <f>IFERROR(G7334*VLOOKUP($E7334,BD!$L$2:$Q$244,5,0),0)</f>
        <v>0</v>
      </c>
      <c r="J7334" s="3">
        <f t="shared" si="469"/>
        <v>1900</v>
      </c>
    </row>
    <row r="7335" spans="1:10" s="9" customFormat="1" x14ac:dyDescent="0.25">
      <c r="A7335" s="447"/>
      <c r="B7335" s="55" t="str">
        <f t="shared" si="466"/>
        <v>ENERO</v>
      </c>
      <c r="C7335" s="55">
        <f t="shared" si="467"/>
        <v>1</v>
      </c>
      <c r="D7335" s="3" t="str">
        <f t="shared" si="468"/>
        <v>SÁBADO</v>
      </c>
      <c r="E7335" s="427"/>
      <c r="F7335" s="31">
        <f>IFERROR(VLOOKUP(E7335,BD!$L$2:$Q$244,2,0),0)</f>
        <v>0</v>
      </c>
      <c r="G7335" s="424"/>
      <c r="H7335" s="31">
        <f>+IFERROR(VLOOKUP(E7335,BD!$L$2:$Q$244,6,0),0)</f>
        <v>0</v>
      </c>
      <c r="I7335" s="626">
        <f>IFERROR(G7335*VLOOKUP($E7335,BD!$L$2:$Q$244,5,0),0)</f>
        <v>0</v>
      </c>
      <c r="J7335" s="3">
        <f t="shared" si="469"/>
        <v>1900</v>
      </c>
    </row>
    <row r="7336" spans="1:10" s="9" customFormat="1" x14ac:dyDescent="0.25">
      <c r="A7336" s="447"/>
      <c r="B7336" s="55" t="str">
        <f t="shared" si="466"/>
        <v>ENERO</v>
      </c>
      <c r="C7336" s="55">
        <f t="shared" si="467"/>
        <v>1</v>
      </c>
      <c r="D7336" s="3" t="str">
        <f t="shared" si="468"/>
        <v>SÁBADO</v>
      </c>
      <c r="E7336" s="427"/>
      <c r="F7336" s="31">
        <f>IFERROR(VLOOKUP(E7336,BD!$L$2:$Q$244,2,0),0)</f>
        <v>0</v>
      </c>
      <c r="G7336" s="424"/>
      <c r="H7336" s="31">
        <f>+IFERROR(VLOOKUP(E7336,BD!$L$2:$Q$244,6,0),0)</f>
        <v>0</v>
      </c>
      <c r="I7336" s="626">
        <f>IFERROR(G7336*VLOOKUP($E7336,BD!$L$2:$Q$244,5,0),0)</f>
        <v>0</v>
      </c>
      <c r="J7336" s="3">
        <f t="shared" si="469"/>
        <v>1900</v>
      </c>
    </row>
    <row r="7337" spans="1:10" s="9" customFormat="1" x14ac:dyDescent="0.25">
      <c r="A7337" s="447"/>
      <c r="B7337" s="55" t="str">
        <f t="shared" si="466"/>
        <v>ENERO</v>
      </c>
      <c r="C7337" s="55">
        <f t="shared" si="467"/>
        <v>1</v>
      </c>
      <c r="D7337" s="3" t="str">
        <f t="shared" si="468"/>
        <v>SÁBADO</v>
      </c>
      <c r="E7337" s="427"/>
      <c r="F7337" s="31">
        <f>IFERROR(VLOOKUP(E7337,BD!$L$2:$Q$244,2,0),0)</f>
        <v>0</v>
      </c>
      <c r="G7337" s="424"/>
      <c r="H7337" s="31">
        <f>+IFERROR(VLOOKUP(E7337,BD!$L$2:$Q$244,6,0),0)</f>
        <v>0</v>
      </c>
      <c r="I7337" s="626">
        <f>IFERROR(G7337*VLOOKUP($E7337,BD!$L$2:$Q$244,5,0),0)</f>
        <v>0</v>
      </c>
      <c r="J7337" s="3">
        <f t="shared" si="469"/>
        <v>1900</v>
      </c>
    </row>
    <row r="7338" spans="1:10" s="9" customFormat="1" x14ac:dyDescent="0.25">
      <c r="A7338" s="447"/>
      <c r="B7338" s="55" t="str">
        <f t="shared" si="466"/>
        <v>ENERO</v>
      </c>
      <c r="C7338" s="55">
        <f t="shared" si="467"/>
        <v>1</v>
      </c>
      <c r="D7338" s="3" t="str">
        <f t="shared" si="468"/>
        <v>SÁBADO</v>
      </c>
      <c r="E7338" s="427"/>
      <c r="F7338" s="31">
        <f>IFERROR(VLOOKUP(E7338,BD!$L$2:$Q$244,2,0),0)</f>
        <v>0</v>
      </c>
      <c r="G7338" s="424"/>
      <c r="H7338" s="31">
        <f>+IFERROR(VLOOKUP(E7338,BD!$L$2:$Q$244,6,0),0)</f>
        <v>0</v>
      </c>
      <c r="I7338" s="626">
        <f>IFERROR(G7338*VLOOKUP($E7338,BD!$L$2:$Q$244,5,0),0)</f>
        <v>0</v>
      </c>
      <c r="J7338" s="3">
        <f t="shared" si="469"/>
        <v>1900</v>
      </c>
    </row>
    <row r="7339" spans="1:10" s="9" customFormat="1" x14ac:dyDescent="0.25">
      <c r="A7339" s="447"/>
      <c r="B7339" s="55" t="str">
        <f t="shared" si="466"/>
        <v>ENERO</v>
      </c>
      <c r="C7339" s="55">
        <f t="shared" si="467"/>
        <v>1</v>
      </c>
      <c r="D7339" s="3" t="str">
        <f t="shared" si="468"/>
        <v>SÁBADO</v>
      </c>
      <c r="E7339" s="427"/>
      <c r="F7339" s="31">
        <f>IFERROR(VLOOKUP(E7339,BD!$L$2:$Q$244,2,0),0)</f>
        <v>0</v>
      </c>
      <c r="G7339" s="424"/>
      <c r="H7339" s="31">
        <f>+IFERROR(VLOOKUP(E7339,BD!$L$2:$Q$244,6,0),0)</f>
        <v>0</v>
      </c>
      <c r="I7339" s="626">
        <f>IFERROR(G7339*VLOOKUP($E7339,BD!$L$2:$Q$244,5,0),0)</f>
        <v>0</v>
      </c>
      <c r="J7339" s="3">
        <f t="shared" si="469"/>
        <v>1900</v>
      </c>
    </row>
    <row r="7340" spans="1:10" s="9" customFormat="1" x14ac:dyDescent="0.25">
      <c r="A7340" s="447"/>
      <c r="B7340" s="55" t="str">
        <f t="shared" si="466"/>
        <v>ENERO</v>
      </c>
      <c r="C7340" s="55">
        <f t="shared" si="467"/>
        <v>1</v>
      </c>
      <c r="D7340" s="3" t="str">
        <f t="shared" si="468"/>
        <v>SÁBADO</v>
      </c>
      <c r="E7340" s="427"/>
      <c r="F7340" s="31">
        <f>IFERROR(VLOOKUP(E7340,BD!$L$2:$Q$244,2,0),0)</f>
        <v>0</v>
      </c>
      <c r="G7340" s="424"/>
      <c r="H7340" s="31">
        <f>+IFERROR(VLOOKUP(E7340,BD!$L$2:$Q$244,6,0),0)</f>
        <v>0</v>
      </c>
      <c r="I7340" s="626">
        <f>IFERROR(G7340*VLOOKUP($E7340,BD!$L$2:$Q$244,5,0),0)</f>
        <v>0</v>
      </c>
      <c r="J7340" s="3">
        <f t="shared" si="469"/>
        <v>1900</v>
      </c>
    </row>
    <row r="7341" spans="1:10" s="9" customFormat="1" x14ac:dyDescent="0.25">
      <c r="A7341" s="447"/>
      <c r="B7341" s="55" t="str">
        <f t="shared" si="466"/>
        <v>ENERO</v>
      </c>
      <c r="C7341" s="55">
        <f t="shared" si="467"/>
        <v>1</v>
      </c>
      <c r="D7341" s="3" t="str">
        <f t="shared" si="468"/>
        <v>SÁBADO</v>
      </c>
      <c r="E7341" s="427"/>
      <c r="F7341" s="31">
        <f>IFERROR(VLOOKUP(E7341,BD!$L$2:$Q$244,2,0),0)</f>
        <v>0</v>
      </c>
      <c r="G7341" s="424"/>
      <c r="H7341" s="31">
        <f>+IFERROR(VLOOKUP(E7341,BD!$L$2:$Q$244,6,0),0)</f>
        <v>0</v>
      </c>
      <c r="I7341" s="626">
        <f>IFERROR(G7341*VLOOKUP($E7341,BD!$L$2:$Q$244,5,0),0)</f>
        <v>0</v>
      </c>
      <c r="J7341" s="3">
        <f t="shared" si="469"/>
        <v>1900</v>
      </c>
    </row>
    <row r="7342" spans="1:10" s="9" customFormat="1" x14ac:dyDescent="0.25">
      <c r="A7342" s="447"/>
      <c r="B7342" s="55" t="str">
        <f t="shared" si="466"/>
        <v>ENERO</v>
      </c>
      <c r="C7342" s="55">
        <f t="shared" si="467"/>
        <v>1</v>
      </c>
      <c r="D7342" s="3" t="str">
        <f t="shared" si="468"/>
        <v>SÁBADO</v>
      </c>
      <c r="E7342" s="427"/>
      <c r="F7342" s="31">
        <f>IFERROR(VLOOKUP(E7342,BD!$L$2:$Q$244,2,0),0)</f>
        <v>0</v>
      </c>
      <c r="G7342" s="424"/>
      <c r="H7342" s="31">
        <f>+IFERROR(VLOOKUP(E7342,BD!$L$2:$Q$244,6,0),0)</f>
        <v>0</v>
      </c>
      <c r="I7342" s="626">
        <f>IFERROR(G7342*VLOOKUP($E7342,BD!$L$2:$Q$244,5,0),0)</f>
        <v>0</v>
      </c>
      <c r="J7342" s="3">
        <f t="shared" si="469"/>
        <v>1900</v>
      </c>
    </row>
    <row r="7343" spans="1:10" s="9" customFormat="1" x14ac:dyDescent="0.25">
      <c r="A7343" s="447"/>
      <c r="B7343" s="55" t="str">
        <f t="shared" si="466"/>
        <v>ENERO</v>
      </c>
      <c r="C7343" s="55">
        <f t="shared" si="467"/>
        <v>1</v>
      </c>
      <c r="D7343" s="3" t="str">
        <f t="shared" si="468"/>
        <v>SÁBADO</v>
      </c>
      <c r="E7343" s="427"/>
      <c r="F7343" s="31">
        <f>IFERROR(VLOOKUP(E7343,BD!$L$2:$Q$244,2,0),0)</f>
        <v>0</v>
      </c>
      <c r="G7343" s="424"/>
      <c r="H7343" s="31">
        <f>+IFERROR(VLOOKUP(E7343,BD!$L$2:$Q$244,6,0),0)</f>
        <v>0</v>
      </c>
      <c r="I7343" s="626">
        <f>IFERROR(G7343*VLOOKUP($E7343,BD!$L$2:$Q$244,5,0),0)</f>
        <v>0</v>
      </c>
      <c r="J7343" s="3">
        <f t="shared" si="469"/>
        <v>1900</v>
      </c>
    </row>
    <row r="7344" spans="1:10" s="9" customFormat="1" x14ac:dyDescent="0.25">
      <c r="A7344" s="447"/>
      <c r="B7344" s="55" t="str">
        <f t="shared" si="466"/>
        <v>ENERO</v>
      </c>
      <c r="C7344" s="55">
        <f t="shared" si="467"/>
        <v>1</v>
      </c>
      <c r="D7344" s="3" t="str">
        <f t="shared" si="468"/>
        <v>SÁBADO</v>
      </c>
      <c r="E7344" s="427"/>
      <c r="F7344" s="31">
        <f>IFERROR(VLOOKUP(E7344,BD!$L$2:$Q$244,2,0),0)</f>
        <v>0</v>
      </c>
      <c r="G7344" s="424"/>
      <c r="H7344" s="31">
        <f>+IFERROR(VLOOKUP(E7344,BD!$L$2:$Q$244,6,0),0)</f>
        <v>0</v>
      </c>
      <c r="I7344" s="626">
        <f>IFERROR(G7344*VLOOKUP($E7344,BD!$L$2:$Q$244,5,0),0)</f>
        <v>0</v>
      </c>
      <c r="J7344" s="3">
        <f t="shared" si="469"/>
        <v>1900</v>
      </c>
    </row>
    <row r="7345" spans="1:10" s="9" customFormat="1" x14ac:dyDescent="0.25">
      <c r="A7345" s="447"/>
      <c r="B7345" s="55" t="str">
        <f t="shared" si="466"/>
        <v>ENERO</v>
      </c>
      <c r="C7345" s="55">
        <f t="shared" si="467"/>
        <v>1</v>
      </c>
      <c r="D7345" s="3" t="str">
        <f t="shared" si="468"/>
        <v>SÁBADO</v>
      </c>
      <c r="E7345" s="427"/>
      <c r="F7345" s="31">
        <f>IFERROR(VLOOKUP(E7345,BD!$L$2:$Q$244,2,0),0)</f>
        <v>0</v>
      </c>
      <c r="G7345" s="424"/>
      <c r="H7345" s="31">
        <f>+IFERROR(VLOOKUP(E7345,BD!$L$2:$Q$244,6,0),0)</f>
        <v>0</v>
      </c>
      <c r="I7345" s="626">
        <f>IFERROR(G7345*VLOOKUP($E7345,BD!$L$2:$Q$244,5,0),0)</f>
        <v>0</v>
      </c>
      <c r="J7345" s="3">
        <f t="shared" si="469"/>
        <v>1900</v>
      </c>
    </row>
    <row r="7346" spans="1:10" s="9" customFormat="1" x14ac:dyDescent="0.25">
      <c r="A7346" s="447"/>
      <c r="B7346" s="55" t="str">
        <f t="shared" si="466"/>
        <v>ENERO</v>
      </c>
      <c r="C7346" s="55">
        <f t="shared" si="467"/>
        <v>1</v>
      </c>
      <c r="D7346" s="3" t="str">
        <f t="shared" si="468"/>
        <v>SÁBADO</v>
      </c>
      <c r="E7346" s="427"/>
      <c r="F7346" s="31">
        <f>IFERROR(VLOOKUP(E7346,BD!$L$2:$Q$244,2,0),0)</f>
        <v>0</v>
      </c>
      <c r="G7346" s="424"/>
      <c r="H7346" s="31">
        <f>+IFERROR(VLOOKUP(E7346,BD!$L$2:$Q$244,6,0),0)</f>
        <v>0</v>
      </c>
      <c r="I7346" s="626">
        <f>IFERROR(G7346*VLOOKUP($E7346,BD!$L$2:$Q$244,5,0),0)</f>
        <v>0</v>
      </c>
      <c r="J7346" s="3">
        <f t="shared" si="469"/>
        <v>1900</v>
      </c>
    </row>
    <row r="7347" spans="1:10" s="9" customFormat="1" x14ac:dyDescent="0.25">
      <c r="A7347" s="447"/>
      <c r="B7347" s="55" t="str">
        <f t="shared" si="466"/>
        <v>ENERO</v>
      </c>
      <c r="C7347" s="55">
        <f t="shared" si="467"/>
        <v>1</v>
      </c>
      <c r="D7347" s="3" t="str">
        <f t="shared" si="468"/>
        <v>SÁBADO</v>
      </c>
      <c r="E7347" s="427"/>
      <c r="F7347" s="31">
        <f>IFERROR(VLOOKUP(E7347,BD!$L$2:$Q$244,2,0),0)</f>
        <v>0</v>
      </c>
      <c r="G7347" s="424"/>
      <c r="H7347" s="31">
        <f>+IFERROR(VLOOKUP(E7347,BD!$L$2:$Q$244,6,0),0)</f>
        <v>0</v>
      </c>
      <c r="I7347" s="626">
        <f>IFERROR(G7347*VLOOKUP($E7347,BD!$L$2:$Q$244,5,0),0)</f>
        <v>0</v>
      </c>
      <c r="J7347" s="3">
        <f t="shared" si="469"/>
        <v>1900</v>
      </c>
    </row>
    <row r="7348" spans="1:10" s="9" customFormat="1" x14ac:dyDescent="0.25">
      <c r="A7348" s="447"/>
      <c r="B7348" s="55" t="str">
        <f t="shared" si="466"/>
        <v>ENERO</v>
      </c>
      <c r="C7348" s="55">
        <f t="shared" si="467"/>
        <v>1</v>
      </c>
      <c r="D7348" s="3" t="str">
        <f t="shared" si="468"/>
        <v>SÁBADO</v>
      </c>
      <c r="E7348" s="427"/>
      <c r="F7348" s="31">
        <f>IFERROR(VLOOKUP(E7348,BD!$L$2:$Q$244,2,0),0)</f>
        <v>0</v>
      </c>
      <c r="G7348" s="424"/>
      <c r="H7348" s="31">
        <f>+IFERROR(VLOOKUP(E7348,BD!$L$2:$Q$244,6,0),0)</f>
        <v>0</v>
      </c>
      <c r="I7348" s="626">
        <f>IFERROR(G7348*VLOOKUP($E7348,BD!$L$2:$Q$244,5,0),0)</f>
        <v>0</v>
      </c>
      <c r="J7348" s="3">
        <f t="shared" si="469"/>
        <v>1900</v>
      </c>
    </row>
    <row r="7349" spans="1:10" s="9" customFormat="1" x14ac:dyDescent="0.25">
      <c r="A7349" s="447"/>
      <c r="B7349" s="55" t="str">
        <f t="shared" si="466"/>
        <v>ENERO</v>
      </c>
      <c r="C7349" s="55">
        <f t="shared" si="467"/>
        <v>1</v>
      </c>
      <c r="D7349" s="3" t="str">
        <f t="shared" si="468"/>
        <v>SÁBADO</v>
      </c>
      <c r="E7349" s="427"/>
      <c r="F7349" s="31">
        <f>IFERROR(VLOOKUP(E7349,BD!$L$2:$Q$244,2,0),0)</f>
        <v>0</v>
      </c>
      <c r="G7349" s="424"/>
      <c r="H7349" s="31">
        <f>+IFERROR(VLOOKUP(E7349,BD!$L$2:$Q$244,6,0),0)</f>
        <v>0</v>
      </c>
      <c r="I7349" s="626">
        <f>IFERROR(G7349*VLOOKUP($E7349,BD!$L$2:$Q$244,5,0),0)</f>
        <v>0</v>
      </c>
      <c r="J7349" s="3">
        <f t="shared" si="469"/>
        <v>1900</v>
      </c>
    </row>
    <row r="7350" spans="1:10" s="9" customFormat="1" x14ac:dyDescent="0.25">
      <c r="A7350" s="447"/>
      <c r="B7350" s="55" t="str">
        <f t="shared" si="466"/>
        <v>ENERO</v>
      </c>
      <c r="C7350" s="55">
        <f t="shared" si="467"/>
        <v>1</v>
      </c>
      <c r="D7350" s="3" t="str">
        <f t="shared" si="468"/>
        <v>SÁBADO</v>
      </c>
      <c r="E7350" s="427"/>
      <c r="F7350" s="31">
        <f>IFERROR(VLOOKUP(E7350,BD!$L$2:$Q$244,2,0),0)</f>
        <v>0</v>
      </c>
      <c r="G7350" s="424"/>
      <c r="H7350" s="31">
        <f>+IFERROR(VLOOKUP(E7350,BD!$L$2:$Q$244,6,0),0)</f>
        <v>0</v>
      </c>
      <c r="I7350" s="626">
        <f>IFERROR(G7350*VLOOKUP($E7350,BD!$L$2:$Q$244,5,0),0)</f>
        <v>0</v>
      </c>
      <c r="J7350" s="3">
        <f t="shared" si="469"/>
        <v>1900</v>
      </c>
    </row>
    <row r="7351" spans="1:10" s="9" customFormat="1" x14ac:dyDescent="0.25">
      <c r="A7351" s="447"/>
      <c r="B7351" s="55" t="str">
        <f t="shared" si="466"/>
        <v>ENERO</v>
      </c>
      <c r="C7351" s="55">
        <f t="shared" si="467"/>
        <v>1</v>
      </c>
      <c r="D7351" s="3" t="str">
        <f t="shared" si="468"/>
        <v>SÁBADO</v>
      </c>
      <c r="E7351" s="427"/>
      <c r="F7351" s="31">
        <f>IFERROR(VLOOKUP(E7351,BD!$L$2:$Q$244,2,0),0)</f>
        <v>0</v>
      </c>
      <c r="G7351" s="424"/>
      <c r="H7351" s="31">
        <f>+IFERROR(VLOOKUP(E7351,BD!$L$2:$Q$244,6,0),0)</f>
        <v>0</v>
      </c>
      <c r="I7351" s="626">
        <f>IFERROR(G7351*VLOOKUP($E7351,BD!$L$2:$Q$244,5,0),0)</f>
        <v>0</v>
      </c>
      <c r="J7351" s="3">
        <f t="shared" si="469"/>
        <v>1900</v>
      </c>
    </row>
    <row r="7352" spans="1:10" s="9" customFormat="1" x14ac:dyDescent="0.25">
      <c r="A7352" s="447"/>
      <c r="B7352" s="55" t="str">
        <f t="shared" si="466"/>
        <v>ENERO</v>
      </c>
      <c r="C7352" s="55">
        <f t="shared" si="467"/>
        <v>1</v>
      </c>
      <c r="D7352" s="3" t="str">
        <f t="shared" si="468"/>
        <v>SÁBADO</v>
      </c>
      <c r="E7352" s="427"/>
      <c r="F7352" s="31">
        <f>IFERROR(VLOOKUP(E7352,BD!$L$2:$Q$244,2,0),0)</f>
        <v>0</v>
      </c>
      <c r="G7352" s="424"/>
      <c r="H7352" s="31">
        <f>+IFERROR(VLOOKUP(E7352,BD!$L$2:$Q$244,6,0),0)</f>
        <v>0</v>
      </c>
      <c r="I7352" s="626">
        <f>IFERROR(G7352*VLOOKUP($E7352,BD!$L$2:$Q$244,5,0),0)</f>
        <v>0</v>
      </c>
      <c r="J7352" s="3">
        <f t="shared" si="469"/>
        <v>1900</v>
      </c>
    </row>
    <row r="7353" spans="1:10" s="9" customFormat="1" x14ac:dyDescent="0.25">
      <c r="A7353" s="447"/>
      <c r="B7353" s="55" t="str">
        <f t="shared" si="466"/>
        <v>ENERO</v>
      </c>
      <c r="C7353" s="55">
        <f t="shared" si="467"/>
        <v>1</v>
      </c>
      <c r="D7353" s="3" t="str">
        <f t="shared" si="468"/>
        <v>SÁBADO</v>
      </c>
      <c r="E7353" s="427"/>
      <c r="F7353" s="31">
        <f>IFERROR(VLOOKUP(E7353,BD!$L$2:$Q$244,2,0),0)</f>
        <v>0</v>
      </c>
      <c r="G7353" s="424"/>
      <c r="H7353" s="31">
        <f>+IFERROR(VLOOKUP(E7353,BD!$L$2:$Q$244,6,0),0)</f>
        <v>0</v>
      </c>
      <c r="I7353" s="626">
        <f>IFERROR(G7353*VLOOKUP($E7353,BD!$L$2:$Q$244,5,0),0)</f>
        <v>0</v>
      </c>
      <c r="J7353" s="3">
        <f t="shared" si="469"/>
        <v>1900</v>
      </c>
    </row>
    <row r="7354" spans="1:10" s="9" customFormat="1" x14ac:dyDescent="0.25">
      <c r="A7354" s="447"/>
      <c r="B7354" s="55" t="str">
        <f t="shared" si="466"/>
        <v>ENERO</v>
      </c>
      <c r="C7354" s="55">
        <f t="shared" si="467"/>
        <v>1</v>
      </c>
      <c r="D7354" s="3" t="str">
        <f t="shared" si="468"/>
        <v>SÁBADO</v>
      </c>
      <c r="E7354" s="427"/>
      <c r="F7354" s="31">
        <f>IFERROR(VLOOKUP(E7354,BD!$L$2:$Q$244,2,0),0)</f>
        <v>0</v>
      </c>
      <c r="G7354" s="424"/>
      <c r="H7354" s="31">
        <f>+IFERROR(VLOOKUP(E7354,BD!$L$2:$Q$244,6,0),0)</f>
        <v>0</v>
      </c>
      <c r="I7354" s="626">
        <f>IFERROR(G7354*VLOOKUP($E7354,BD!$L$2:$Q$244,5,0),0)</f>
        <v>0</v>
      </c>
      <c r="J7354" s="3">
        <f t="shared" si="469"/>
        <v>1900</v>
      </c>
    </row>
    <row r="7355" spans="1:10" s="9" customFormat="1" x14ac:dyDescent="0.25">
      <c r="A7355" s="447"/>
      <c r="B7355" s="55" t="str">
        <f t="shared" si="466"/>
        <v>ENERO</v>
      </c>
      <c r="C7355" s="55">
        <f t="shared" si="467"/>
        <v>1</v>
      </c>
      <c r="D7355" s="3" t="str">
        <f t="shared" si="468"/>
        <v>SÁBADO</v>
      </c>
      <c r="E7355" s="427"/>
      <c r="F7355" s="31">
        <f>IFERROR(VLOOKUP(E7355,BD!$L$2:$Q$244,2,0),0)</f>
        <v>0</v>
      </c>
      <c r="G7355" s="424"/>
      <c r="H7355" s="31">
        <f>+IFERROR(VLOOKUP(E7355,BD!$L$2:$Q$244,6,0),0)</f>
        <v>0</v>
      </c>
      <c r="I7355" s="626">
        <f>IFERROR(G7355*VLOOKUP($E7355,BD!$L$2:$Q$244,5,0),0)</f>
        <v>0</v>
      </c>
      <c r="J7355" s="3">
        <f t="shared" si="469"/>
        <v>1900</v>
      </c>
    </row>
    <row r="7356" spans="1:10" s="9" customFormat="1" x14ac:dyDescent="0.25">
      <c r="A7356" s="447"/>
      <c r="B7356" s="55" t="str">
        <f t="shared" si="466"/>
        <v>ENERO</v>
      </c>
      <c r="C7356" s="55">
        <f t="shared" si="467"/>
        <v>1</v>
      </c>
      <c r="D7356" s="3" t="str">
        <f t="shared" si="468"/>
        <v>SÁBADO</v>
      </c>
      <c r="E7356" s="427"/>
      <c r="F7356" s="31">
        <f>IFERROR(VLOOKUP(E7356,BD!$L$2:$Q$244,2,0),0)</f>
        <v>0</v>
      </c>
      <c r="G7356" s="424"/>
      <c r="H7356" s="31">
        <f>+IFERROR(VLOOKUP(E7356,BD!$L$2:$Q$244,6,0),0)</f>
        <v>0</v>
      </c>
      <c r="I7356" s="626">
        <f>IFERROR(G7356*VLOOKUP($E7356,BD!$L$2:$Q$244,5,0),0)</f>
        <v>0</v>
      </c>
      <c r="J7356" s="3">
        <f t="shared" si="469"/>
        <v>1900</v>
      </c>
    </row>
    <row r="7357" spans="1:10" s="9" customFormat="1" x14ac:dyDescent="0.25">
      <c r="A7357" s="447"/>
      <c r="B7357" s="55" t="str">
        <f t="shared" ref="B7357:B7420" si="470">UPPER(TEXT(A7357,"MMMM"))</f>
        <v>ENERO</v>
      </c>
      <c r="C7357" s="55">
        <f t="shared" ref="C7357:C7420" si="471">WEEKNUM(A7357,16)</f>
        <v>1</v>
      </c>
      <c r="D7357" s="3" t="str">
        <f t="shared" ref="D7357:D7420" si="472">UPPER(TEXT(A7357,"DDDD"))</f>
        <v>SÁBADO</v>
      </c>
      <c r="E7357" s="427"/>
      <c r="F7357" s="31">
        <f>IFERROR(VLOOKUP(E7357,BD!$L$2:$Q$244,2,0),0)</f>
        <v>0</v>
      </c>
      <c r="G7357" s="424"/>
      <c r="H7357" s="31">
        <f>+IFERROR(VLOOKUP(E7357,BD!$L$2:$Q$244,6,0),0)</f>
        <v>0</v>
      </c>
      <c r="I7357" s="626">
        <f>IFERROR(G7357*VLOOKUP($E7357,BD!$L$2:$Q$244,5,0),0)</f>
        <v>0</v>
      </c>
      <c r="J7357" s="3">
        <f t="shared" ref="J7357:J7420" si="473">+YEAR(A7357)</f>
        <v>1900</v>
      </c>
    </row>
    <row r="7358" spans="1:10" s="9" customFormat="1" x14ac:dyDescent="0.25">
      <c r="A7358" s="447"/>
      <c r="B7358" s="55" t="str">
        <f t="shared" si="470"/>
        <v>ENERO</v>
      </c>
      <c r="C7358" s="55">
        <f t="shared" si="471"/>
        <v>1</v>
      </c>
      <c r="D7358" s="3" t="str">
        <f t="shared" si="472"/>
        <v>SÁBADO</v>
      </c>
      <c r="E7358" s="427"/>
      <c r="F7358" s="31">
        <f>IFERROR(VLOOKUP(E7358,BD!$L$2:$Q$244,2,0),0)</f>
        <v>0</v>
      </c>
      <c r="G7358" s="424"/>
      <c r="H7358" s="31">
        <f>+IFERROR(VLOOKUP(E7358,BD!$L$2:$Q$244,6,0),0)</f>
        <v>0</v>
      </c>
      <c r="I7358" s="626">
        <f>IFERROR(G7358*VLOOKUP($E7358,BD!$L$2:$Q$244,5,0),0)</f>
        <v>0</v>
      </c>
      <c r="J7358" s="3">
        <f t="shared" si="473"/>
        <v>1900</v>
      </c>
    </row>
    <row r="7359" spans="1:10" s="9" customFormat="1" x14ac:dyDescent="0.25">
      <c r="A7359" s="447"/>
      <c r="B7359" s="55" t="str">
        <f t="shared" si="470"/>
        <v>ENERO</v>
      </c>
      <c r="C7359" s="55">
        <f t="shared" si="471"/>
        <v>1</v>
      </c>
      <c r="D7359" s="3" t="str">
        <f t="shared" si="472"/>
        <v>SÁBADO</v>
      </c>
      <c r="E7359" s="427"/>
      <c r="F7359" s="31">
        <f>IFERROR(VLOOKUP(E7359,BD!$L$2:$Q$244,2,0),0)</f>
        <v>0</v>
      </c>
      <c r="G7359" s="424"/>
      <c r="H7359" s="31">
        <f>+IFERROR(VLOOKUP(E7359,BD!$L$2:$Q$244,6,0),0)</f>
        <v>0</v>
      </c>
      <c r="I7359" s="626">
        <f>IFERROR(G7359*VLOOKUP($E7359,BD!$L$2:$Q$244,5,0),0)</f>
        <v>0</v>
      </c>
      <c r="J7359" s="3">
        <f t="shared" si="473"/>
        <v>1900</v>
      </c>
    </row>
    <row r="7360" spans="1:10" s="9" customFormat="1" x14ac:dyDescent="0.25">
      <c r="A7360" s="447"/>
      <c r="B7360" s="55" t="str">
        <f t="shared" si="470"/>
        <v>ENERO</v>
      </c>
      <c r="C7360" s="55">
        <f t="shared" si="471"/>
        <v>1</v>
      </c>
      <c r="D7360" s="3" t="str">
        <f t="shared" si="472"/>
        <v>SÁBADO</v>
      </c>
      <c r="E7360" s="427"/>
      <c r="F7360" s="31">
        <f>IFERROR(VLOOKUP(E7360,BD!$L$2:$Q$244,2,0),0)</f>
        <v>0</v>
      </c>
      <c r="G7360" s="424"/>
      <c r="H7360" s="31">
        <f>+IFERROR(VLOOKUP(E7360,BD!$L$2:$Q$244,6,0),0)</f>
        <v>0</v>
      </c>
      <c r="I7360" s="626">
        <f>IFERROR(G7360*VLOOKUP($E7360,BD!$L$2:$Q$244,5,0),0)</f>
        <v>0</v>
      </c>
      <c r="J7360" s="3">
        <f t="shared" si="473"/>
        <v>1900</v>
      </c>
    </row>
    <row r="7361" spans="1:10" s="9" customFormat="1" x14ac:dyDescent="0.25">
      <c r="A7361" s="447"/>
      <c r="B7361" s="55" t="str">
        <f t="shared" si="470"/>
        <v>ENERO</v>
      </c>
      <c r="C7361" s="55">
        <f t="shared" si="471"/>
        <v>1</v>
      </c>
      <c r="D7361" s="3" t="str">
        <f t="shared" si="472"/>
        <v>SÁBADO</v>
      </c>
      <c r="E7361" s="427"/>
      <c r="F7361" s="31">
        <f>IFERROR(VLOOKUP(E7361,BD!$L$2:$Q$244,2,0),0)</f>
        <v>0</v>
      </c>
      <c r="G7361" s="424"/>
      <c r="H7361" s="31">
        <f>+IFERROR(VLOOKUP(E7361,BD!$L$2:$Q$244,6,0),0)</f>
        <v>0</v>
      </c>
      <c r="I7361" s="626">
        <f>IFERROR(G7361*VLOOKUP($E7361,BD!$L$2:$Q$244,5,0),0)</f>
        <v>0</v>
      </c>
      <c r="J7361" s="3">
        <f t="shared" si="473"/>
        <v>1900</v>
      </c>
    </row>
    <row r="7362" spans="1:10" s="9" customFormat="1" x14ac:dyDescent="0.25">
      <c r="A7362" s="447"/>
      <c r="B7362" s="55" t="str">
        <f t="shared" si="470"/>
        <v>ENERO</v>
      </c>
      <c r="C7362" s="55">
        <f t="shared" si="471"/>
        <v>1</v>
      </c>
      <c r="D7362" s="3" t="str">
        <f t="shared" si="472"/>
        <v>SÁBADO</v>
      </c>
      <c r="E7362" s="427"/>
      <c r="F7362" s="31">
        <f>IFERROR(VLOOKUP(E7362,BD!$L$2:$Q$244,2,0),0)</f>
        <v>0</v>
      </c>
      <c r="G7362" s="424"/>
      <c r="H7362" s="31">
        <f>+IFERROR(VLOOKUP(E7362,BD!$L$2:$Q$244,6,0),0)</f>
        <v>0</v>
      </c>
      <c r="I7362" s="626">
        <f>IFERROR(G7362*VLOOKUP($E7362,BD!$L$2:$Q$244,5,0),0)</f>
        <v>0</v>
      </c>
      <c r="J7362" s="3">
        <f t="shared" si="473"/>
        <v>1900</v>
      </c>
    </row>
    <row r="7363" spans="1:10" s="9" customFormat="1" x14ac:dyDescent="0.25">
      <c r="A7363" s="447"/>
      <c r="B7363" s="55" t="str">
        <f t="shared" si="470"/>
        <v>ENERO</v>
      </c>
      <c r="C7363" s="55">
        <f t="shared" si="471"/>
        <v>1</v>
      </c>
      <c r="D7363" s="3" t="str">
        <f t="shared" si="472"/>
        <v>SÁBADO</v>
      </c>
      <c r="E7363" s="427"/>
      <c r="F7363" s="31">
        <f>IFERROR(VLOOKUP(E7363,BD!$L$2:$Q$244,2,0),0)</f>
        <v>0</v>
      </c>
      <c r="G7363" s="424"/>
      <c r="H7363" s="31">
        <f>+IFERROR(VLOOKUP(E7363,BD!$L$2:$Q$244,6,0),0)</f>
        <v>0</v>
      </c>
      <c r="I7363" s="626">
        <f>IFERROR(G7363*VLOOKUP($E7363,BD!$L$2:$Q$244,5,0),0)</f>
        <v>0</v>
      </c>
      <c r="J7363" s="3">
        <f t="shared" si="473"/>
        <v>1900</v>
      </c>
    </row>
    <row r="7364" spans="1:10" s="9" customFormat="1" x14ac:dyDescent="0.25">
      <c r="A7364" s="447"/>
      <c r="B7364" s="55" t="str">
        <f t="shared" si="470"/>
        <v>ENERO</v>
      </c>
      <c r="C7364" s="55">
        <f t="shared" si="471"/>
        <v>1</v>
      </c>
      <c r="D7364" s="3" t="str">
        <f t="shared" si="472"/>
        <v>SÁBADO</v>
      </c>
      <c r="E7364" s="427"/>
      <c r="F7364" s="31">
        <f>IFERROR(VLOOKUP(E7364,BD!$L$2:$Q$244,2,0),0)</f>
        <v>0</v>
      </c>
      <c r="G7364" s="424"/>
      <c r="H7364" s="31">
        <f>+IFERROR(VLOOKUP(E7364,BD!$L$2:$Q$244,6,0),0)</f>
        <v>0</v>
      </c>
      <c r="I7364" s="626">
        <f>IFERROR(G7364*VLOOKUP($E7364,BD!$L$2:$Q$244,5,0),0)</f>
        <v>0</v>
      </c>
      <c r="J7364" s="3">
        <f t="shared" si="473"/>
        <v>1900</v>
      </c>
    </row>
    <row r="7365" spans="1:10" s="9" customFormat="1" x14ac:dyDescent="0.25">
      <c r="A7365" s="447"/>
      <c r="B7365" s="55" t="str">
        <f t="shared" si="470"/>
        <v>ENERO</v>
      </c>
      <c r="C7365" s="55">
        <f t="shared" si="471"/>
        <v>1</v>
      </c>
      <c r="D7365" s="3" t="str">
        <f t="shared" si="472"/>
        <v>SÁBADO</v>
      </c>
      <c r="E7365" s="427"/>
      <c r="F7365" s="31">
        <f>IFERROR(VLOOKUP(E7365,BD!$L$2:$Q$244,2,0),0)</f>
        <v>0</v>
      </c>
      <c r="G7365" s="424"/>
      <c r="H7365" s="31">
        <f>+IFERROR(VLOOKUP(E7365,BD!$L$2:$Q$244,6,0),0)</f>
        <v>0</v>
      </c>
      <c r="I7365" s="626">
        <f>IFERROR(G7365*VLOOKUP($E7365,BD!$L$2:$Q$244,5,0),0)</f>
        <v>0</v>
      </c>
      <c r="J7365" s="3">
        <f t="shared" si="473"/>
        <v>1900</v>
      </c>
    </row>
    <row r="7366" spans="1:10" s="9" customFormat="1" x14ac:dyDescent="0.25">
      <c r="A7366" s="447"/>
      <c r="B7366" s="55" t="str">
        <f t="shared" si="470"/>
        <v>ENERO</v>
      </c>
      <c r="C7366" s="55">
        <f t="shared" si="471"/>
        <v>1</v>
      </c>
      <c r="D7366" s="3" t="str">
        <f t="shared" si="472"/>
        <v>SÁBADO</v>
      </c>
      <c r="E7366" s="427"/>
      <c r="F7366" s="31">
        <f>IFERROR(VLOOKUP(E7366,BD!$L$2:$Q$244,2,0),0)</f>
        <v>0</v>
      </c>
      <c r="G7366" s="424"/>
      <c r="H7366" s="31">
        <f>+IFERROR(VLOOKUP(E7366,BD!$L$2:$Q$244,6,0),0)</f>
        <v>0</v>
      </c>
      <c r="I7366" s="626">
        <f>IFERROR(G7366*VLOOKUP($E7366,BD!$L$2:$Q$244,5,0),0)</f>
        <v>0</v>
      </c>
      <c r="J7366" s="3">
        <f t="shared" si="473"/>
        <v>1900</v>
      </c>
    </row>
    <row r="7367" spans="1:10" s="9" customFormat="1" x14ac:dyDescent="0.25">
      <c r="A7367" s="447"/>
      <c r="B7367" s="55" t="str">
        <f t="shared" si="470"/>
        <v>ENERO</v>
      </c>
      <c r="C7367" s="55">
        <f t="shared" si="471"/>
        <v>1</v>
      </c>
      <c r="D7367" s="3" t="str">
        <f t="shared" si="472"/>
        <v>SÁBADO</v>
      </c>
      <c r="E7367" s="427"/>
      <c r="F7367" s="31">
        <f>IFERROR(VLOOKUP(E7367,BD!$L$2:$Q$244,2,0),0)</f>
        <v>0</v>
      </c>
      <c r="G7367" s="424"/>
      <c r="H7367" s="31">
        <f>+IFERROR(VLOOKUP(E7367,BD!$L$2:$Q$244,6,0),0)</f>
        <v>0</v>
      </c>
      <c r="I7367" s="626">
        <f>IFERROR(G7367*VLOOKUP($E7367,BD!$L$2:$Q$244,5,0),0)</f>
        <v>0</v>
      </c>
      <c r="J7367" s="3">
        <f t="shared" si="473"/>
        <v>1900</v>
      </c>
    </row>
    <row r="7368" spans="1:10" s="9" customFormat="1" x14ac:dyDescent="0.25">
      <c r="A7368" s="447"/>
      <c r="B7368" s="55" t="str">
        <f t="shared" si="470"/>
        <v>ENERO</v>
      </c>
      <c r="C7368" s="55">
        <f t="shared" si="471"/>
        <v>1</v>
      </c>
      <c r="D7368" s="3" t="str">
        <f t="shared" si="472"/>
        <v>SÁBADO</v>
      </c>
      <c r="E7368" s="427"/>
      <c r="F7368" s="31">
        <f>IFERROR(VLOOKUP(E7368,BD!$L$2:$Q$244,2,0),0)</f>
        <v>0</v>
      </c>
      <c r="G7368" s="424"/>
      <c r="H7368" s="31">
        <f>+IFERROR(VLOOKUP(E7368,BD!$L$2:$Q$244,6,0),0)</f>
        <v>0</v>
      </c>
      <c r="I7368" s="626">
        <f>IFERROR(G7368*VLOOKUP($E7368,BD!$L$2:$Q$244,5,0),0)</f>
        <v>0</v>
      </c>
      <c r="J7368" s="3">
        <f t="shared" si="473"/>
        <v>1900</v>
      </c>
    </row>
    <row r="7369" spans="1:10" s="9" customFormat="1" x14ac:dyDescent="0.25">
      <c r="A7369" s="447"/>
      <c r="B7369" s="55" t="str">
        <f t="shared" si="470"/>
        <v>ENERO</v>
      </c>
      <c r="C7369" s="55">
        <f t="shared" si="471"/>
        <v>1</v>
      </c>
      <c r="D7369" s="3" t="str">
        <f t="shared" si="472"/>
        <v>SÁBADO</v>
      </c>
      <c r="E7369" s="427"/>
      <c r="F7369" s="31">
        <f>IFERROR(VLOOKUP(E7369,BD!$L$2:$Q$244,2,0),0)</f>
        <v>0</v>
      </c>
      <c r="G7369" s="424"/>
      <c r="H7369" s="31">
        <f>+IFERROR(VLOOKUP(E7369,BD!$L$2:$Q$244,6,0),0)</f>
        <v>0</v>
      </c>
      <c r="I7369" s="626">
        <f>IFERROR(G7369*VLOOKUP($E7369,BD!$L$2:$Q$244,5,0),0)</f>
        <v>0</v>
      </c>
      <c r="J7369" s="3">
        <f t="shared" si="473"/>
        <v>1900</v>
      </c>
    </row>
    <row r="7370" spans="1:10" s="9" customFormat="1" x14ac:dyDescent="0.25">
      <c r="A7370" s="447"/>
      <c r="B7370" s="55" t="str">
        <f t="shared" si="470"/>
        <v>ENERO</v>
      </c>
      <c r="C7370" s="55">
        <f t="shared" si="471"/>
        <v>1</v>
      </c>
      <c r="D7370" s="3" t="str">
        <f t="shared" si="472"/>
        <v>SÁBADO</v>
      </c>
      <c r="E7370" s="427"/>
      <c r="F7370" s="31">
        <f>IFERROR(VLOOKUP(E7370,BD!$L$2:$Q$244,2,0),0)</f>
        <v>0</v>
      </c>
      <c r="G7370" s="424"/>
      <c r="H7370" s="31">
        <f>+IFERROR(VLOOKUP(E7370,BD!$L$2:$Q$244,6,0),0)</f>
        <v>0</v>
      </c>
      <c r="I7370" s="626">
        <f>IFERROR(G7370*VLOOKUP($E7370,BD!$L$2:$Q$244,5,0),0)</f>
        <v>0</v>
      </c>
      <c r="J7370" s="3">
        <f t="shared" si="473"/>
        <v>1900</v>
      </c>
    </row>
    <row r="7371" spans="1:10" s="9" customFormat="1" x14ac:dyDescent="0.25">
      <c r="A7371" s="447"/>
      <c r="B7371" s="55" t="str">
        <f t="shared" si="470"/>
        <v>ENERO</v>
      </c>
      <c r="C7371" s="55">
        <f t="shared" si="471"/>
        <v>1</v>
      </c>
      <c r="D7371" s="3" t="str">
        <f t="shared" si="472"/>
        <v>SÁBADO</v>
      </c>
      <c r="E7371" s="427"/>
      <c r="F7371" s="31">
        <f>IFERROR(VLOOKUP(E7371,BD!$L$2:$Q$244,2,0),0)</f>
        <v>0</v>
      </c>
      <c r="G7371" s="424"/>
      <c r="H7371" s="31">
        <f>+IFERROR(VLOOKUP(E7371,BD!$L$2:$Q$244,6,0),0)</f>
        <v>0</v>
      </c>
      <c r="I7371" s="626">
        <f>IFERROR(G7371*VLOOKUP($E7371,BD!$L$2:$Q$244,5,0),0)</f>
        <v>0</v>
      </c>
      <c r="J7371" s="3">
        <f t="shared" si="473"/>
        <v>1900</v>
      </c>
    </row>
    <row r="7372" spans="1:10" s="9" customFormat="1" x14ac:dyDescent="0.25">
      <c r="A7372" s="447"/>
      <c r="B7372" s="55" t="str">
        <f t="shared" si="470"/>
        <v>ENERO</v>
      </c>
      <c r="C7372" s="55">
        <f t="shared" si="471"/>
        <v>1</v>
      </c>
      <c r="D7372" s="3" t="str">
        <f t="shared" si="472"/>
        <v>SÁBADO</v>
      </c>
      <c r="E7372" s="427"/>
      <c r="F7372" s="31">
        <f>IFERROR(VLOOKUP(E7372,BD!$L$2:$Q$244,2,0),0)</f>
        <v>0</v>
      </c>
      <c r="G7372" s="424"/>
      <c r="H7372" s="31">
        <f>+IFERROR(VLOOKUP(E7372,BD!$L$2:$Q$244,6,0),0)</f>
        <v>0</v>
      </c>
      <c r="I7372" s="626">
        <f>IFERROR(G7372*VLOOKUP($E7372,BD!$L$2:$Q$244,5,0),0)</f>
        <v>0</v>
      </c>
      <c r="J7372" s="3">
        <f t="shared" si="473"/>
        <v>1900</v>
      </c>
    </row>
    <row r="7373" spans="1:10" s="9" customFormat="1" x14ac:dyDescent="0.25">
      <c r="A7373" s="447"/>
      <c r="B7373" s="55" t="str">
        <f t="shared" si="470"/>
        <v>ENERO</v>
      </c>
      <c r="C7373" s="55">
        <f t="shared" si="471"/>
        <v>1</v>
      </c>
      <c r="D7373" s="3" t="str">
        <f t="shared" si="472"/>
        <v>SÁBADO</v>
      </c>
      <c r="E7373" s="427"/>
      <c r="F7373" s="31">
        <f>IFERROR(VLOOKUP(E7373,BD!$L$2:$Q$244,2,0),0)</f>
        <v>0</v>
      </c>
      <c r="G7373" s="424"/>
      <c r="H7373" s="31">
        <f>+IFERROR(VLOOKUP(E7373,BD!$L$2:$Q$244,6,0),0)</f>
        <v>0</v>
      </c>
      <c r="I7373" s="626">
        <f>IFERROR(G7373*VLOOKUP($E7373,BD!$L$2:$Q$244,5,0),0)</f>
        <v>0</v>
      </c>
      <c r="J7373" s="3">
        <f t="shared" si="473"/>
        <v>1900</v>
      </c>
    </row>
    <row r="7374" spans="1:10" s="9" customFormat="1" x14ac:dyDescent="0.25">
      <c r="A7374" s="447"/>
      <c r="B7374" s="55" t="str">
        <f t="shared" si="470"/>
        <v>ENERO</v>
      </c>
      <c r="C7374" s="55">
        <f t="shared" si="471"/>
        <v>1</v>
      </c>
      <c r="D7374" s="3" t="str">
        <f t="shared" si="472"/>
        <v>SÁBADO</v>
      </c>
      <c r="E7374" s="427"/>
      <c r="F7374" s="31">
        <f>IFERROR(VLOOKUP(E7374,BD!$L$2:$Q$244,2,0),0)</f>
        <v>0</v>
      </c>
      <c r="G7374" s="424"/>
      <c r="H7374" s="31">
        <f>+IFERROR(VLOOKUP(E7374,BD!$L$2:$Q$244,6,0),0)</f>
        <v>0</v>
      </c>
      <c r="I7374" s="626">
        <f>IFERROR(G7374*VLOOKUP($E7374,BD!$L$2:$Q$244,5,0),0)</f>
        <v>0</v>
      </c>
      <c r="J7374" s="3">
        <f t="shared" si="473"/>
        <v>1900</v>
      </c>
    </row>
    <row r="7375" spans="1:10" s="9" customFormat="1" x14ac:dyDescent="0.25">
      <c r="A7375" s="447"/>
      <c r="B7375" s="55" t="str">
        <f t="shared" si="470"/>
        <v>ENERO</v>
      </c>
      <c r="C7375" s="55">
        <f t="shared" si="471"/>
        <v>1</v>
      </c>
      <c r="D7375" s="3" t="str">
        <f t="shared" si="472"/>
        <v>SÁBADO</v>
      </c>
      <c r="E7375" s="427"/>
      <c r="F7375" s="31">
        <f>IFERROR(VLOOKUP(E7375,BD!$L$2:$Q$244,2,0),0)</f>
        <v>0</v>
      </c>
      <c r="G7375" s="424"/>
      <c r="H7375" s="31">
        <f>+IFERROR(VLOOKUP(E7375,BD!$L$2:$Q$244,6,0),0)</f>
        <v>0</v>
      </c>
      <c r="I7375" s="626">
        <f>IFERROR(G7375*VLOOKUP($E7375,BD!$L$2:$Q$244,5,0),0)</f>
        <v>0</v>
      </c>
      <c r="J7375" s="3">
        <f t="shared" si="473"/>
        <v>1900</v>
      </c>
    </row>
    <row r="7376" spans="1:10" s="9" customFormat="1" x14ac:dyDescent="0.25">
      <c r="A7376" s="447"/>
      <c r="B7376" s="55" t="str">
        <f t="shared" si="470"/>
        <v>ENERO</v>
      </c>
      <c r="C7376" s="55">
        <f t="shared" si="471"/>
        <v>1</v>
      </c>
      <c r="D7376" s="3" t="str">
        <f t="shared" si="472"/>
        <v>SÁBADO</v>
      </c>
      <c r="E7376" s="427"/>
      <c r="F7376" s="31">
        <f>IFERROR(VLOOKUP(E7376,BD!$L$2:$Q$244,2,0),0)</f>
        <v>0</v>
      </c>
      <c r="G7376" s="424"/>
      <c r="H7376" s="31">
        <f>+IFERROR(VLOOKUP(E7376,BD!$L$2:$Q$244,6,0),0)</f>
        <v>0</v>
      </c>
      <c r="I7376" s="626">
        <f>IFERROR(G7376*VLOOKUP($E7376,BD!$L$2:$Q$244,5,0),0)</f>
        <v>0</v>
      </c>
      <c r="J7376" s="3">
        <f t="shared" si="473"/>
        <v>1900</v>
      </c>
    </row>
    <row r="7377" spans="1:10" s="9" customFormat="1" x14ac:dyDescent="0.25">
      <c r="A7377" s="447"/>
      <c r="B7377" s="55" t="str">
        <f t="shared" si="470"/>
        <v>ENERO</v>
      </c>
      <c r="C7377" s="55">
        <f t="shared" si="471"/>
        <v>1</v>
      </c>
      <c r="D7377" s="3" t="str">
        <f t="shared" si="472"/>
        <v>SÁBADO</v>
      </c>
      <c r="E7377" s="427"/>
      <c r="F7377" s="31">
        <f>IFERROR(VLOOKUP(E7377,BD!$L$2:$Q$244,2,0),0)</f>
        <v>0</v>
      </c>
      <c r="G7377" s="424"/>
      <c r="H7377" s="31">
        <f>+IFERROR(VLOOKUP(E7377,BD!$L$2:$Q$244,6,0),0)</f>
        <v>0</v>
      </c>
      <c r="I7377" s="626">
        <f>IFERROR(G7377*VLOOKUP($E7377,BD!$L$2:$Q$244,5,0),0)</f>
        <v>0</v>
      </c>
      <c r="J7377" s="3">
        <f t="shared" si="473"/>
        <v>1900</v>
      </c>
    </row>
    <row r="7378" spans="1:10" s="9" customFormat="1" x14ac:dyDescent="0.25">
      <c r="A7378" s="447"/>
      <c r="B7378" s="55" t="str">
        <f t="shared" si="470"/>
        <v>ENERO</v>
      </c>
      <c r="C7378" s="55">
        <f t="shared" si="471"/>
        <v>1</v>
      </c>
      <c r="D7378" s="3" t="str">
        <f t="shared" si="472"/>
        <v>SÁBADO</v>
      </c>
      <c r="E7378" s="427"/>
      <c r="F7378" s="31">
        <f>IFERROR(VLOOKUP(E7378,BD!$L$2:$Q$244,2,0),0)</f>
        <v>0</v>
      </c>
      <c r="G7378" s="424"/>
      <c r="H7378" s="31">
        <f>+IFERROR(VLOOKUP(E7378,BD!$L$2:$Q$244,6,0),0)</f>
        <v>0</v>
      </c>
      <c r="I7378" s="626">
        <f>IFERROR(G7378*VLOOKUP($E7378,BD!$L$2:$Q$244,5,0),0)</f>
        <v>0</v>
      </c>
      <c r="J7378" s="3">
        <f t="shared" si="473"/>
        <v>1900</v>
      </c>
    </row>
    <row r="7379" spans="1:10" s="9" customFormat="1" x14ac:dyDescent="0.25">
      <c r="A7379" s="447"/>
      <c r="B7379" s="55" t="str">
        <f t="shared" si="470"/>
        <v>ENERO</v>
      </c>
      <c r="C7379" s="55">
        <f t="shared" si="471"/>
        <v>1</v>
      </c>
      <c r="D7379" s="3" t="str">
        <f t="shared" si="472"/>
        <v>SÁBADO</v>
      </c>
      <c r="E7379" s="427"/>
      <c r="F7379" s="31">
        <f>IFERROR(VLOOKUP(E7379,BD!$L$2:$Q$244,2,0),0)</f>
        <v>0</v>
      </c>
      <c r="G7379" s="424"/>
      <c r="H7379" s="31">
        <f>+IFERROR(VLOOKUP(E7379,BD!$L$2:$Q$244,6,0),0)</f>
        <v>0</v>
      </c>
      <c r="I7379" s="626">
        <f>IFERROR(G7379*VLOOKUP($E7379,BD!$L$2:$Q$244,5,0),0)</f>
        <v>0</v>
      </c>
      <c r="J7379" s="3">
        <f t="shared" si="473"/>
        <v>1900</v>
      </c>
    </row>
    <row r="7380" spans="1:10" s="9" customFormat="1" x14ac:dyDescent="0.25">
      <c r="A7380" s="447"/>
      <c r="B7380" s="55" t="str">
        <f t="shared" si="470"/>
        <v>ENERO</v>
      </c>
      <c r="C7380" s="55">
        <f t="shared" si="471"/>
        <v>1</v>
      </c>
      <c r="D7380" s="3" t="str">
        <f t="shared" si="472"/>
        <v>SÁBADO</v>
      </c>
      <c r="E7380" s="427"/>
      <c r="F7380" s="31">
        <f>IFERROR(VLOOKUP(E7380,BD!$L$2:$Q$244,2,0),0)</f>
        <v>0</v>
      </c>
      <c r="G7380" s="424"/>
      <c r="H7380" s="31">
        <f>+IFERROR(VLOOKUP(E7380,BD!$L$2:$Q$244,6,0),0)</f>
        <v>0</v>
      </c>
      <c r="I7380" s="626">
        <f>IFERROR(G7380*VLOOKUP($E7380,BD!$L$2:$Q$244,5,0),0)</f>
        <v>0</v>
      </c>
      <c r="J7380" s="3">
        <f t="shared" si="473"/>
        <v>1900</v>
      </c>
    </row>
    <row r="7381" spans="1:10" s="9" customFormat="1" x14ac:dyDescent="0.25">
      <c r="A7381" s="447"/>
      <c r="B7381" s="55" t="str">
        <f t="shared" si="470"/>
        <v>ENERO</v>
      </c>
      <c r="C7381" s="55">
        <f t="shared" si="471"/>
        <v>1</v>
      </c>
      <c r="D7381" s="3" t="str">
        <f t="shared" si="472"/>
        <v>SÁBADO</v>
      </c>
      <c r="E7381" s="427"/>
      <c r="F7381" s="31">
        <f>IFERROR(VLOOKUP(E7381,BD!$L$2:$Q$244,2,0),0)</f>
        <v>0</v>
      </c>
      <c r="G7381" s="424"/>
      <c r="H7381" s="31">
        <f>+IFERROR(VLOOKUP(E7381,BD!$L$2:$Q$244,6,0),0)</f>
        <v>0</v>
      </c>
      <c r="I7381" s="626">
        <f>IFERROR(G7381*VLOOKUP($E7381,BD!$L$2:$Q$244,5,0),0)</f>
        <v>0</v>
      </c>
      <c r="J7381" s="3">
        <f t="shared" si="473"/>
        <v>1900</v>
      </c>
    </row>
    <row r="7382" spans="1:10" s="9" customFormat="1" x14ac:dyDescent="0.25">
      <c r="A7382" s="447"/>
      <c r="B7382" s="55" t="str">
        <f t="shared" si="470"/>
        <v>ENERO</v>
      </c>
      <c r="C7382" s="55">
        <f t="shared" si="471"/>
        <v>1</v>
      </c>
      <c r="D7382" s="3" t="str">
        <f t="shared" si="472"/>
        <v>SÁBADO</v>
      </c>
      <c r="E7382" s="427"/>
      <c r="F7382" s="31">
        <f>IFERROR(VLOOKUP(E7382,BD!$L$2:$Q$244,2,0),0)</f>
        <v>0</v>
      </c>
      <c r="G7382" s="424"/>
      <c r="H7382" s="31">
        <f>+IFERROR(VLOOKUP(E7382,BD!$L$2:$Q$244,6,0),0)</f>
        <v>0</v>
      </c>
      <c r="I7382" s="626">
        <f>IFERROR(G7382*VLOOKUP($E7382,BD!$L$2:$Q$244,5,0),0)</f>
        <v>0</v>
      </c>
      <c r="J7382" s="3">
        <f t="shared" si="473"/>
        <v>1900</v>
      </c>
    </row>
    <row r="7383" spans="1:10" s="9" customFormat="1" x14ac:dyDescent="0.25">
      <c r="A7383" s="447"/>
      <c r="B7383" s="55" t="str">
        <f t="shared" si="470"/>
        <v>ENERO</v>
      </c>
      <c r="C7383" s="55">
        <f t="shared" si="471"/>
        <v>1</v>
      </c>
      <c r="D7383" s="3" t="str">
        <f t="shared" si="472"/>
        <v>SÁBADO</v>
      </c>
      <c r="E7383" s="427"/>
      <c r="F7383" s="31">
        <f>IFERROR(VLOOKUP(E7383,BD!$L$2:$Q$244,2,0),0)</f>
        <v>0</v>
      </c>
      <c r="G7383" s="424"/>
      <c r="H7383" s="31">
        <f>+IFERROR(VLOOKUP(E7383,BD!$L$2:$Q$244,6,0),0)</f>
        <v>0</v>
      </c>
      <c r="I7383" s="626">
        <f>IFERROR(G7383*VLOOKUP($E7383,BD!$L$2:$Q$244,5,0),0)</f>
        <v>0</v>
      </c>
      <c r="J7383" s="3">
        <f t="shared" si="473"/>
        <v>1900</v>
      </c>
    </row>
    <row r="7384" spans="1:10" s="9" customFormat="1" x14ac:dyDescent="0.25">
      <c r="A7384" s="447"/>
      <c r="B7384" s="55" t="str">
        <f t="shared" si="470"/>
        <v>ENERO</v>
      </c>
      <c r="C7384" s="55">
        <f t="shared" si="471"/>
        <v>1</v>
      </c>
      <c r="D7384" s="3" t="str">
        <f t="shared" si="472"/>
        <v>SÁBADO</v>
      </c>
      <c r="E7384" s="427"/>
      <c r="F7384" s="31">
        <f>IFERROR(VLOOKUP(E7384,BD!$L$2:$Q$244,2,0),0)</f>
        <v>0</v>
      </c>
      <c r="G7384" s="424"/>
      <c r="H7384" s="31">
        <f>+IFERROR(VLOOKUP(E7384,BD!$L$2:$Q$244,6,0),0)</f>
        <v>0</v>
      </c>
      <c r="I7384" s="626">
        <f>IFERROR(G7384*VLOOKUP($E7384,BD!$L$2:$Q$244,5,0),0)</f>
        <v>0</v>
      </c>
      <c r="J7384" s="3">
        <f t="shared" si="473"/>
        <v>1900</v>
      </c>
    </row>
    <row r="7385" spans="1:10" s="9" customFormat="1" x14ac:dyDescent="0.25">
      <c r="A7385" s="447"/>
      <c r="B7385" s="55" t="str">
        <f t="shared" si="470"/>
        <v>ENERO</v>
      </c>
      <c r="C7385" s="55">
        <f t="shared" si="471"/>
        <v>1</v>
      </c>
      <c r="D7385" s="3" t="str">
        <f t="shared" si="472"/>
        <v>SÁBADO</v>
      </c>
      <c r="E7385" s="427"/>
      <c r="F7385" s="31">
        <f>IFERROR(VLOOKUP(E7385,BD!$L$2:$Q$244,2,0),0)</f>
        <v>0</v>
      </c>
      <c r="G7385" s="424"/>
      <c r="H7385" s="31">
        <f>+IFERROR(VLOOKUP(E7385,BD!$L$2:$Q$244,6,0),0)</f>
        <v>0</v>
      </c>
      <c r="I7385" s="626">
        <f>IFERROR(G7385*VLOOKUP($E7385,BD!$L$2:$Q$244,5,0),0)</f>
        <v>0</v>
      </c>
      <c r="J7385" s="3">
        <f t="shared" si="473"/>
        <v>1900</v>
      </c>
    </row>
    <row r="7386" spans="1:10" s="9" customFormat="1" x14ac:dyDescent="0.25">
      <c r="A7386" s="447"/>
      <c r="B7386" s="55" t="str">
        <f t="shared" si="470"/>
        <v>ENERO</v>
      </c>
      <c r="C7386" s="55">
        <f t="shared" si="471"/>
        <v>1</v>
      </c>
      <c r="D7386" s="3" t="str">
        <f t="shared" si="472"/>
        <v>SÁBADO</v>
      </c>
      <c r="E7386" s="427"/>
      <c r="F7386" s="31">
        <f>IFERROR(VLOOKUP(E7386,BD!$L$2:$Q$244,2,0),0)</f>
        <v>0</v>
      </c>
      <c r="G7386" s="424"/>
      <c r="H7386" s="31">
        <f>+IFERROR(VLOOKUP(E7386,BD!$L$2:$Q$244,6,0),0)</f>
        <v>0</v>
      </c>
      <c r="I7386" s="626">
        <f>IFERROR(G7386*VLOOKUP($E7386,BD!$L$2:$Q$244,5,0),0)</f>
        <v>0</v>
      </c>
      <c r="J7386" s="3">
        <f t="shared" si="473"/>
        <v>1900</v>
      </c>
    </row>
    <row r="7387" spans="1:10" s="9" customFormat="1" x14ac:dyDescent="0.25">
      <c r="A7387" s="447"/>
      <c r="B7387" s="55" t="str">
        <f t="shared" si="470"/>
        <v>ENERO</v>
      </c>
      <c r="C7387" s="55">
        <f t="shared" si="471"/>
        <v>1</v>
      </c>
      <c r="D7387" s="3" t="str">
        <f t="shared" si="472"/>
        <v>SÁBADO</v>
      </c>
      <c r="E7387" s="427"/>
      <c r="F7387" s="31">
        <f>IFERROR(VLOOKUP(E7387,BD!$L$2:$Q$244,2,0),0)</f>
        <v>0</v>
      </c>
      <c r="G7387" s="424"/>
      <c r="H7387" s="31">
        <f>+IFERROR(VLOOKUP(E7387,BD!$L$2:$Q$244,6,0),0)</f>
        <v>0</v>
      </c>
      <c r="I7387" s="626">
        <f>IFERROR(G7387*VLOOKUP($E7387,BD!$L$2:$Q$244,5,0),0)</f>
        <v>0</v>
      </c>
      <c r="J7387" s="3">
        <f t="shared" si="473"/>
        <v>1900</v>
      </c>
    </row>
    <row r="7388" spans="1:10" s="9" customFormat="1" x14ac:dyDescent="0.25">
      <c r="A7388" s="447"/>
      <c r="B7388" s="55" t="str">
        <f t="shared" si="470"/>
        <v>ENERO</v>
      </c>
      <c r="C7388" s="55">
        <f t="shared" si="471"/>
        <v>1</v>
      </c>
      <c r="D7388" s="3" t="str">
        <f t="shared" si="472"/>
        <v>SÁBADO</v>
      </c>
      <c r="E7388" s="427"/>
      <c r="F7388" s="31">
        <f>IFERROR(VLOOKUP(E7388,BD!$L$2:$Q$244,2,0),0)</f>
        <v>0</v>
      </c>
      <c r="G7388" s="424"/>
      <c r="H7388" s="31">
        <f>+IFERROR(VLOOKUP(E7388,BD!$L$2:$Q$244,6,0),0)</f>
        <v>0</v>
      </c>
      <c r="I7388" s="626">
        <f>IFERROR(G7388*VLOOKUP($E7388,BD!$L$2:$Q$244,5,0),0)</f>
        <v>0</v>
      </c>
      <c r="J7388" s="3">
        <f t="shared" si="473"/>
        <v>1900</v>
      </c>
    </row>
    <row r="7389" spans="1:10" s="9" customFormat="1" x14ac:dyDescent="0.25">
      <c r="A7389" s="447"/>
      <c r="B7389" s="55" t="str">
        <f t="shared" si="470"/>
        <v>ENERO</v>
      </c>
      <c r="C7389" s="55">
        <f t="shared" si="471"/>
        <v>1</v>
      </c>
      <c r="D7389" s="3" t="str">
        <f t="shared" si="472"/>
        <v>SÁBADO</v>
      </c>
      <c r="E7389" s="427"/>
      <c r="F7389" s="31">
        <f>IFERROR(VLOOKUP(E7389,BD!$L$2:$Q$244,2,0),0)</f>
        <v>0</v>
      </c>
      <c r="G7389" s="424"/>
      <c r="H7389" s="31">
        <f>+IFERROR(VLOOKUP(E7389,BD!$L$2:$Q$244,6,0),0)</f>
        <v>0</v>
      </c>
      <c r="I7389" s="626">
        <f>IFERROR(G7389*VLOOKUP($E7389,BD!$L$2:$Q$244,5,0),0)</f>
        <v>0</v>
      </c>
      <c r="J7389" s="3">
        <f t="shared" si="473"/>
        <v>1900</v>
      </c>
    </row>
    <row r="7390" spans="1:10" s="9" customFormat="1" x14ac:dyDescent="0.25">
      <c r="A7390" s="447"/>
      <c r="B7390" s="55" t="str">
        <f t="shared" si="470"/>
        <v>ENERO</v>
      </c>
      <c r="C7390" s="55">
        <f t="shared" si="471"/>
        <v>1</v>
      </c>
      <c r="D7390" s="3" t="str">
        <f t="shared" si="472"/>
        <v>SÁBADO</v>
      </c>
      <c r="E7390" s="427"/>
      <c r="F7390" s="31">
        <f>IFERROR(VLOOKUP(E7390,BD!$L$2:$Q$244,2,0),0)</f>
        <v>0</v>
      </c>
      <c r="G7390" s="424"/>
      <c r="H7390" s="31">
        <f>+IFERROR(VLOOKUP(E7390,BD!$L$2:$Q$244,6,0),0)</f>
        <v>0</v>
      </c>
      <c r="I7390" s="626">
        <f>IFERROR(G7390*VLOOKUP($E7390,BD!$L$2:$Q$244,5,0),0)</f>
        <v>0</v>
      </c>
      <c r="J7390" s="3">
        <f t="shared" si="473"/>
        <v>1900</v>
      </c>
    </row>
    <row r="7391" spans="1:10" s="9" customFormat="1" x14ac:dyDescent="0.25">
      <c r="A7391" s="447"/>
      <c r="B7391" s="55" t="str">
        <f t="shared" si="470"/>
        <v>ENERO</v>
      </c>
      <c r="C7391" s="55">
        <f t="shared" si="471"/>
        <v>1</v>
      </c>
      <c r="D7391" s="3" t="str">
        <f t="shared" si="472"/>
        <v>SÁBADO</v>
      </c>
      <c r="E7391" s="427"/>
      <c r="F7391" s="31">
        <f>IFERROR(VLOOKUP(E7391,BD!$L$2:$Q$244,2,0),0)</f>
        <v>0</v>
      </c>
      <c r="G7391" s="424"/>
      <c r="H7391" s="31">
        <f>+IFERROR(VLOOKUP(E7391,BD!$L$2:$Q$244,6,0),0)</f>
        <v>0</v>
      </c>
      <c r="I7391" s="626">
        <f>IFERROR(G7391*VLOOKUP($E7391,BD!$L$2:$Q$244,5,0),0)</f>
        <v>0</v>
      </c>
      <c r="J7391" s="3">
        <f t="shared" si="473"/>
        <v>1900</v>
      </c>
    </row>
    <row r="7392" spans="1:10" s="9" customFormat="1" x14ac:dyDescent="0.25">
      <c r="A7392" s="447"/>
      <c r="B7392" s="55" t="str">
        <f t="shared" si="470"/>
        <v>ENERO</v>
      </c>
      <c r="C7392" s="55">
        <f t="shared" si="471"/>
        <v>1</v>
      </c>
      <c r="D7392" s="3" t="str">
        <f t="shared" si="472"/>
        <v>SÁBADO</v>
      </c>
      <c r="E7392" s="427"/>
      <c r="F7392" s="31">
        <f>IFERROR(VLOOKUP(E7392,BD!$L$2:$Q$244,2,0),0)</f>
        <v>0</v>
      </c>
      <c r="G7392" s="424"/>
      <c r="H7392" s="31">
        <f>+IFERROR(VLOOKUP(E7392,BD!$L$2:$Q$244,6,0),0)</f>
        <v>0</v>
      </c>
      <c r="I7392" s="626">
        <f>IFERROR(G7392*VLOOKUP($E7392,BD!$L$2:$Q$244,5,0),0)</f>
        <v>0</v>
      </c>
      <c r="J7392" s="3">
        <f t="shared" si="473"/>
        <v>1900</v>
      </c>
    </row>
    <row r="7393" spans="1:10" s="9" customFormat="1" x14ac:dyDescent="0.25">
      <c r="A7393" s="447"/>
      <c r="B7393" s="55" t="str">
        <f t="shared" si="470"/>
        <v>ENERO</v>
      </c>
      <c r="C7393" s="55">
        <f t="shared" si="471"/>
        <v>1</v>
      </c>
      <c r="D7393" s="3" t="str">
        <f t="shared" si="472"/>
        <v>SÁBADO</v>
      </c>
      <c r="E7393" s="427"/>
      <c r="F7393" s="31">
        <f>IFERROR(VLOOKUP(E7393,BD!$L$2:$Q$244,2,0),0)</f>
        <v>0</v>
      </c>
      <c r="G7393" s="424"/>
      <c r="H7393" s="31">
        <f>+IFERROR(VLOOKUP(E7393,BD!$L$2:$Q$244,6,0),0)</f>
        <v>0</v>
      </c>
      <c r="I7393" s="626">
        <f>IFERROR(G7393*VLOOKUP($E7393,BD!$L$2:$Q$244,5,0),0)</f>
        <v>0</v>
      </c>
      <c r="J7393" s="3">
        <f t="shared" si="473"/>
        <v>1900</v>
      </c>
    </row>
    <row r="7394" spans="1:10" s="9" customFormat="1" x14ac:dyDescent="0.25">
      <c r="A7394" s="447"/>
      <c r="B7394" s="55" t="str">
        <f t="shared" si="470"/>
        <v>ENERO</v>
      </c>
      <c r="C7394" s="55">
        <f t="shared" si="471"/>
        <v>1</v>
      </c>
      <c r="D7394" s="3" t="str">
        <f t="shared" si="472"/>
        <v>SÁBADO</v>
      </c>
      <c r="E7394" s="427"/>
      <c r="F7394" s="31">
        <f>IFERROR(VLOOKUP(E7394,BD!$L$2:$Q$244,2,0),0)</f>
        <v>0</v>
      </c>
      <c r="G7394" s="424"/>
      <c r="H7394" s="31">
        <f>+IFERROR(VLOOKUP(E7394,BD!$L$2:$Q$244,6,0),0)</f>
        <v>0</v>
      </c>
      <c r="I7394" s="626">
        <f>IFERROR(G7394*VLOOKUP($E7394,BD!$L$2:$Q$244,5,0),0)</f>
        <v>0</v>
      </c>
      <c r="J7394" s="3">
        <f t="shared" si="473"/>
        <v>1900</v>
      </c>
    </row>
    <row r="7395" spans="1:10" s="9" customFormat="1" x14ac:dyDescent="0.25">
      <c r="A7395" s="447"/>
      <c r="B7395" s="55" t="str">
        <f t="shared" si="470"/>
        <v>ENERO</v>
      </c>
      <c r="C7395" s="55">
        <f t="shared" si="471"/>
        <v>1</v>
      </c>
      <c r="D7395" s="3" t="str">
        <f t="shared" si="472"/>
        <v>SÁBADO</v>
      </c>
      <c r="E7395" s="427"/>
      <c r="F7395" s="31">
        <f>IFERROR(VLOOKUP(E7395,BD!$L$2:$Q$244,2,0),0)</f>
        <v>0</v>
      </c>
      <c r="G7395" s="424"/>
      <c r="H7395" s="31">
        <f>+IFERROR(VLOOKUP(E7395,BD!$L$2:$Q$244,6,0),0)</f>
        <v>0</v>
      </c>
      <c r="I7395" s="626">
        <f>IFERROR(G7395*VLOOKUP($E7395,BD!$L$2:$Q$244,5,0),0)</f>
        <v>0</v>
      </c>
      <c r="J7395" s="3">
        <f t="shared" si="473"/>
        <v>1900</v>
      </c>
    </row>
    <row r="7396" spans="1:10" s="9" customFormat="1" x14ac:dyDescent="0.25">
      <c r="A7396" s="447"/>
      <c r="B7396" s="55" t="str">
        <f t="shared" si="470"/>
        <v>ENERO</v>
      </c>
      <c r="C7396" s="55">
        <f t="shared" si="471"/>
        <v>1</v>
      </c>
      <c r="D7396" s="3" t="str">
        <f t="shared" si="472"/>
        <v>SÁBADO</v>
      </c>
      <c r="E7396" s="427"/>
      <c r="F7396" s="31">
        <f>IFERROR(VLOOKUP(E7396,BD!$L$2:$Q$244,2,0),0)</f>
        <v>0</v>
      </c>
      <c r="G7396" s="424"/>
      <c r="H7396" s="31">
        <f>+IFERROR(VLOOKUP(E7396,BD!$L$2:$Q$244,6,0),0)</f>
        <v>0</v>
      </c>
      <c r="I7396" s="626">
        <f>IFERROR(G7396*VLOOKUP($E7396,BD!$L$2:$Q$244,5,0),0)</f>
        <v>0</v>
      </c>
      <c r="J7396" s="3">
        <f t="shared" si="473"/>
        <v>1900</v>
      </c>
    </row>
    <row r="7397" spans="1:10" s="9" customFormat="1" x14ac:dyDescent="0.25">
      <c r="A7397" s="447"/>
      <c r="B7397" s="55" t="str">
        <f t="shared" si="470"/>
        <v>ENERO</v>
      </c>
      <c r="C7397" s="55">
        <f t="shared" si="471"/>
        <v>1</v>
      </c>
      <c r="D7397" s="3" t="str">
        <f t="shared" si="472"/>
        <v>SÁBADO</v>
      </c>
      <c r="E7397" s="427"/>
      <c r="F7397" s="31">
        <f>IFERROR(VLOOKUP(E7397,BD!$L$2:$Q$244,2,0),0)</f>
        <v>0</v>
      </c>
      <c r="G7397" s="424"/>
      <c r="H7397" s="31">
        <f>+IFERROR(VLOOKUP(E7397,BD!$L$2:$Q$244,6,0),0)</f>
        <v>0</v>
      </c>
      <c r="I7397" s="626">
        <f>IFERROR(G7397*VLOOKUP($E7397,BD!$L$2:$Q$244,5,0),0)</f>
        <v>0</v>
      </c>
      <c r="J7397" s="3">
        <f t="shared" si="473"/>
        <v>1900</v>
      </c>
    </row>
    <row r="7398" spans="1:10" s="9" customFormat="1" x14ac:dyDescent="0.25">
      <c r="A7398" s="447"/>
      <c r="B7398" s="55" t="str">
        <f t="shared" si="470"/>
        <v>ENERO</v>
      </c>
      <c r="C7398" s="55">
        <f t="shared" si="471"/>
        <v>1</v>
      </c>
      <c r="D7398" s="3" t="str">
        <f t="shared" si="472"/>
        <v>SÁBADO</v>
      </c>
      <c r="E7398" s="427"/>
      <c r="F7398" s="31">
        <f>IFERROR(VLOOKUP(E7398,BD!$L$2:$Q$244,2,0),0)</f>
        <v>0</v>
      </c>
      <c r="G7398" s="424"/>
      <c r="H7398" s="31">
        <f>+IFERROR(VLOOKUP(E7398,BD!$L$2:$Q$244,6,0),0)</f>
        <v>0</v>
      </c>
      <c r="I7398" s="626">
        <f>IFERROR(G7398*VLOOKUP($E7398,BD!$L$2:$Q$244,5,0),0)</f>
        <v>0</v>
      </c>
      <c r="J7398" s="3">
        <f t="shared" si="473"/>
        <v>1900</v>
      </c>
    </row>
    <row r="7399" spans="1:10" s="9" customFormat="1" x14ac:dyDescent="0.25">
      <c r="A7399" s="447"/>
      <c r="B7399" s="55" t="str">
        <f t="shared" si="470"/>
        <v>ENERO</v>
      </c>
      <c r="C7399" s="55">
        <f t="shared" si="471"/>
        <v>1</v>
      </c>
      <c r="D7399" s="3" t="str">
        <f t="shared" si="472"/>
        <v>SÁBADO</v>
      </c>
      <c r="E7399" s="427"/>
      <c r="F7399" s="31">
        <f>IFERROR(VLOOKUP(E7399,BD!$L$2:$Q$244,2,0),0)</f>
        <v>0</v>
      </c>
      <c r="G7399" s="424"/>
      <c r="H7399" s="31">
        <f>+IFERROR(VLOOKUP(E7399,BD!$L$2:$Q$244,6,0),0)</f>
        <v>0</v>
      </c>
      <c r="I7399" s="626">
        <f>IFERROR(G7399*VLOOKUP($E7399,BD!$L$2:$Q$244,5,0),0)</f>
        <v>0</v>
      </c>
      <c r="J7399" s="3">
        <f t="shared" si="473"/>
        <v>1900</v>
      </c>
    </row>
    <row r="7400" spans="1:10" s="9" customFormat="1" x14ac:dyDescent="0.25">
      <c r="A7400" s="447"/>
      <c r="B7400" s="55" t="str">
        <f t="shared" si="470"/>
        <v>ENERO</v>
      </c>
      <c r="C7400" s="55">
        <f t="shared" si="471"/>
        <v>1</v>
      </c>
      <c r="D7400" s="3" t="str">
        <f t="shared" si="472"/>
        <v>SÁBADO</v>
      </c>
      <c r="E7400" s="427"/>
      <c r="F7400" s="31">
        <f>IFERROR(VLOOKUP(E7400,BD!$L$2:$Q$244,2,0),0)</f>
        <v>0</v>
      </c>
      <c r="G7400" s="424"/>
      <c r="H7400" s="31">
        <f>+IFERROR(VLOOKUP(E7400,BD!$L$2:$Q$244,6,0),0)</f>
        <v>0</v>
      </c>
      <c r="I7400" s="626">
        <f>IFERROR(G7400*VLOOKUP($E7400,BD!$L$2:$Q$244,5,0),0)</f>
        <v>0</v>
      </c>
      <c r="J7400" s="3">
        <f t="shared" si="473"/>
        <v>1900</v>
      </c>
    </row>
    <row r="7401" spans="1:10" s="9" customFormat="1" x14ac:dyDescent="0.25">
      <c r="A7401" s="447"/>
      <c r="B7401" s="55" t="str">
        <f t="shared" si="470"/>
        <v>ENERO</v>
      </c>
      <c r="C7401" s="55">
        <f t="shared" si="471"/>
        <v>1</v>
      </c>
      <c r="D7401" s="3" t="str">
        <f t="shared" si="472"/>
        <v>SÁBADO</v>
      </c>
      <c r="E7401" s="427"/>
      <c r="F7401" s="31">
        <f>IFERROR(VLOOKUP(E7401,BD!$L$2:$Q$244,2,0),0)</f>
        <v>0</v>
      </c>
      <c r="G7401" s="424"/>
      <c r="H7401" s="31">
        <f>+IFERROR(VLOOKUP(E7401,BD!$L$2:$Q$244,6,0),0)</f>
        <v>0</v>
      </c>
      <c r="I7401" s="626">
        <f>IFERROR(G7401*VLOOKUP($E7401,BD!$L$2:$Q$244,5,0),0)</f>
        <v>0</v>
      </c>
      <c r="J7401" s="3">
        <f t="shared" si="473"/>
        <v>1900</v>
      </c>
    </row>
    <row r="7402" spans="1:10" s="9" customFormat="1" x14ac:dyDescent="0.25">
      <c r="A7402" s="447"/>
      <c r="B7402" s="55" t="str">
        <f t="shared" si="470"/>
        <v>ENERO</v>
      </c>
      <c r="C7402" s="55">
        <f t="shared" si="471"/>
        <v>1</v>
      </c>
      <c r="D7402" s="3" t="str">
        <f t="shared" si="472"/>
        <v>SÁBADO</v>
      </c>
      <c r="E7402" s="427"/>
      <c r="F7402" s="31">
        <f>IFERROR(VLOOKUP(E7402,BD!$L$2:$Q$244,2,0),0)</f>
        <v>0</v>
      </c>
      <c r="G7402" s="424"/>
      <c r="H7402" s="31">
        <f>+IFERROR(VLOOKUP(E7402,BD!$L$2:$Q$244,6,0),0)</f>
        <v>0</v>
      </c>
      <c r="I7402" s="626">
        <f>IFERROR(G7402*VLOOKUP($E7402,BD!$L$2:$Q$244,5,0),0)</f>
        <v>0</v>
      </c>
      <c r="J7402" s="3">
        <f t="shared" si="473"/>
        <v>1900</v>
      </c>
    </row>
    <row r="7403" spans="1:10" s="9" customFormat="1" x14ac:dyDescent="0.25">
      <c r="A7403" s="447"/>
      <c r="B7403" s="55" t="str">
        <f t="shared" si="470"/>
        <v>ENERO</v>
      </c>
      <c r="C7403" s="55">
        <f t="shared" si="471"/>
        <v>1</v>
      </c>
      <c r="D7403" s="3" t="str">
        <f t="shared" si="472"/>
        <v>SÁBADO</v>
      </c>
      <c r="E7403" s="427"/>
      <c r="F7403" s="31">
        <f>IFERROR(VLOOKUP(E7403,BD!$L$2:$Q$244,2,0),0)</f>
        <v>0</v>
      </c>
      <c r="G7403" s="424"/>
      <c r="H7403" s="31">
        <f>+IFERROR(VLOOKUP(E7403,BD!$L$2:$Q$244,6,0),0)</f>
        <v>0</v>
      </c>
      <c r="I7403" s="626">
        <f>IFERROR(G7403*VLOOKUP($E7403,BD!$L$2:$Q$244,5,0),0)</f>
        <v>0</v>
      </c>
      <c r="J7403" s="3">
        <f t="shared" si="473"/>
        <v>1900</v>
      </c>
    </row>
    <row r="7404" spans="1:10" s="9" customFormat="1" x14ac:dyDescent="0.25">
      <c r="A7404" s="447"/>
      <c r="B7404" s="55" t="str">
        <f t="shared" si="470"/>
        <v>ENERO</v>
      </c>
      <c r="C7404" s="55">
        <f t="shared" si="471"/>
        <v>1</v>
      </c>
      <c r="D7404" s="3" t="str">
        <f t="shared" si="472"/>
        <v>SÁBADO</v>
      </c>
      <c r="E7404" s="427"/>
      <c r="F7404" s="31">
        <f>IFERROR(VLOOKUP(E7404,BD!$L$2:$Q$244,2,0),0)</f>
        <v>0</v>
      </c>
      <c r="G7404" s="424"/>
      <c r="H7404" s="31">
        <f>+IFERROR(VLOOKUP(E7404,BD!$L$2:$Q$244,6,0),0)</f>
        <v>0</v>
      </c>
      <c r="I7404" s="626">
        <f>IFERROR(G7404*VLOOKUP($E7404,BD!$L$2:$Q$244,5,0),0)</f>
        <v>0</v>
      </c>
      <c r="J7404" s="3">
        <f t="shared" si="473"/>
        <v>1900</v>
      </c>
    </row>
    <row r="7405" spans="1:10" s="9" customFormat="1" x14ac:dyDescent="0.25">
      <c r="A7405" s="447"/>
      <c r="B7405" s="55" t="str">
        <f t="shared" si="470"/>
        <v>ENERO</v>
      </c>
      <c r="C7405" s="55">
        <f t="shared" si="471"/>
        <v>1</v>
      </c>
      <c r="D7405" s="3" t="str">
        <f t="shared" si="472"/>
        <v>SÁBADO</v>
      </c>
      <c r="E7405" s="427"/>
      <c r="F7405" s="31">
        <f>IFERROR(VLOOKUP(E7405,BD!$L$2:$Q$244,2,0),0)</f>
        <v>0</v>
      </c>
      <c r="G7405" s="424"/>
      <c r="H7405" s="31">
        <f>+IFERROR(VLOOKUP(E7405,BD!$L$2:$Q$244,6,0),0)</f>
        <v>0</v>
      </c>
      <c r="I7405" s="626">
        <f>IFERROR(G7405*VLOOKUP($E7405,BD!$L$2:$Q$244,5,0),0)</f>
        <v>0</v>
      </c>
      <c r="J7405" s="3">
        <f t="shared" si="473"/>
        <v>1900</v>
      </c>
    </row>
    <row r="7406" spans="1:10" s="9" customFormat="1" x14ac:dyDescent="0.25">
      <c r="A7406" s="447"/>
      <c r="B7406" s="55" t="str">
        <f t="shared" si="470"/>
        <v>ENERO</v>
      </c>
      <c r="C7406" s="55">
        <f t="shared" si="471"/>
        <v>1</v>
      </c>
      <c r="D7406" s="3" t="str">
        <f t="shared" si="472"/>
        <v>SÁBADO</v>
      </c>
      <c r="E7406" s="427"/>
      <c r="F7406" s="31">
        <f>IFERROR(VLOOKUP(E7406,BD!$L$2:$Q$244,2,0),0)</f>
        <v>0</v>
      </c>
      <c r="G7406" s="424"/>
      <c r="H7406" s="31">
        <f>+IFERROR(VLOOKUP(E7406,BD!$L$2:$Q$244,6,0),0)</f>
        <v>0</v>
      </c>
      <c r="I7406" s="626">
        <f>IFERROR(G7406*VLOOKUP($E7406,BD!$L$2:$Q$244,5,0),0)</f>
        <v>0</v>
      </c>
      <c r="J7406" s="3">
        <f t="shared" si="473"/>
        <v>1900</v>
      </c>
    </row>
    <row r="7407" spans="1:10" s="9" customFormat="1" x14ac:dyDescent="0.25">
      <c r="A7407" s="447"/>
      <c r="B7407" s="55" t="str">
        <f t="shared" si="470"/>
        <v>ENERO</v>
      </c>
      <c r="C7407" s="55">
        <f t="shared" si="471"/>
        <v>1</v>
      </c>
      <c r="D7407" s="3" t="str">
        <f t="shared" si="472"/>
        <v>SÁBADO</v>
      </c>
      <c r="E7407" s="427"/>
      <c r="F7407" s="31">
        <f>IFERROR(VLOOKUP(E7407,BD!$L$2:$Q$244,2,0),0)</f>
        <v>0</v>
      </c>
      <c r="G7407" s="424"/>
      <c r="H7407" s="31">
        <f>+IFERROR(VLOOKUP(E7407,BD!$L$2:$Q$244,6,0),0)</f>
        <v>0</v>
      </c>
      <c r="I7407" s="626">
        <f>IFERROR(G7407*VLOOKUP($E7407,BD!$L$2:$Q$244,5,0),0)</f>
        <v>0</v>
      </c>
      <c r="J7407" s="3">
        <f t="shared" si="473"/>
        <v>1900</v>
      </c>
    </row>
    <row r="7408" spans="1:10" s="9" customFormat="1" x14ac:dyDescent="0.25">
      <c r="A7408" s="447"/>
      <c r="B7408" s="55" t="str">
        <f t="shared" si="470"/>
        <v>ENERO</v>
      </c>
      <c r="C7408" s="55">
        <f t="shared" si="471"/>
        <v>1</v>
      </c>
      <c r="D7408" s="3" t="str">
        <f t="shared" si="472"/>
        <v>SÁBADO</v>
      </c>
      <c r="E7408" s="427"/>
      <c r="F7408" s="31">
        <f>IFERROR(VLOOKUP(E7408,BD!$L$2:$Q$244,2,0),0)</f>
        <v>0</v>
      </c>
      <c r="G7408" s="424"/>
      <c r="H7408" s="31">
        <f>+IFERROR(VLOOKUP(E7408,BD!$L$2:$Q$244,6,0),0)</f>
        <v>0</v>
      </c>
      <c r="I7408" s="626">
        <f>IFERROR(G7408*VLOOKUP($E7408,BD!$L$2:$Q$244,5,0),0)</f>
        <v>0</v>
      </c>
      <c r="J7408" s="3">
        <f t="shared" si="473"/>
        <v>1900</v>
      </c>
    </row>
    <row r="7409" spans="1:10" s="9" customFormat="1" x14ac:dyDescent="0.25">
      <c r="A7409" s="447"/>
      <c r="B7409" s="55" t="str">
        <f t="shared" si="470"/>
        <v>ENERO</v>
      </c>
      <c r="C7409" s="55">
        <f t="shared" si="471"/>
        <v>1</v>
      </c>
      <c r="D7409" s="3" t="str">
        <f t="shared" si="472"/>
        <v>SÁBADO</v>
      </c>
      <c r="E7409" s="427"/>
      <c r="F7409" s="31">
        <f>IFERROR(VLOOKUP(E7409,BD!$L$2:$Q$244,2,0),0)</f>
        <v>0</v>
      </c>
      <c r="G7409" s="424"/>
      <c r="H7409" s="31">
        <f>+IFERROR(VLOOKUP(E7409,BD!$L$2:$Q$244,6,0),0)</f>
        <v>0</v>
      </c>
      <c r="I7409" s="626">
        <f>IFERROR(G7409*VLOOKUP($E7409,BD!$L$2:$Q$244,5,0),0)</f>
        <v>0</v>
      </c>
      <c r="J7409" s="3">
        <f t="shared" si="473"/>
        <v>1900</v>
      </c>
    </row>
    <row r="7410" spans="1:10" s="9" customFormat="1" x14ac:dyDescent="0.25">
      <c r="A7410" s="447"/>
      <c r="B7410" s="55" t="str">
        <f t="shared" si="470"/>
        <v>ENERO</v>
      </c>
      <c r="C7410" s="55">
        <f t="shared" si="471"/>
        <v>1</v>
      </c>
      <c r="D7410" s="3" t="str">
        <f t="shared" si="472"/>
        <v>SÁBADO</v>
      </c>
      <c r="E7410" s="427"/>
      <c r="F7410" s="31">
        <f>IFERROR(VLOOKUP(E7410,BD!$L$2:$Q$244,2,0),0)</f>
        <v>0</v>
      </c>
      <c r="G7410" s="424"/>
      <c r="H7410" s="31">
        <f>+IFERROR(VLOOKUP(E7410,BD!$L$2:$Q$244,6,0),0)</f>
        <v>0</v>
      </c>
      <c r="I7410" s="626">
        <f>IFERROR(G7410*VLOOKUP($E7410,BD!$L$2:$Q$244,5,0),0)</f>
        <v>0</v>
      </c>
      <c r="J7410" s="3">
        <f t="shared" si="473"/>
        <v>1900</v>
      </c>
    </row>
    <row r="7411" spans="1:10" s="9" customFormat="1" x14ac:dyDescent="0.25">
      <c r="A7411" s="447"/>
      <c r="B7411" s="55" t="str">
        <f t="shared" si="470"/>
        <v>ENERO</v>
      </c>
      <c r="C7411" s="55">
        <f t="shared" si="471"/>
        <v>1</v>
      </c>
      <c r="D7411" s="3" t="str">
        <f t="shared" si="472"/>
        <v>SÁBADO</v>
      </c>
      <c r="E7411" s="427"/>
      <c r="F7411" s="31">
        <f>IFERROR(VLOOKUP(E7411,BD!$L$2:$Q$244,2,0),0)</f>
        <v>0</v>
      </c>
      <c r="G7411" s="424"/>
      <c r="H7411" s="31">
        <f>+IFERROR(VLOOKUP(E7411,BD!$L$2:$Q$244,6,0),0)</f>
        <v>0</v>
      </c>
      <c r="I7411" s="626">
        <f>IFERROR(G7411*VLOOKUP($E7411,BD!$L$2:$Q$244,5,0),0)</f>
        <v>0</v>
      </c>
      <c r="J7411" s="3">
        <f t="shared" si="473"/>
        <v>1900</v>
      </c>
    </row>
    <row r="7412" spans="1:10" s="9" customFormat="1" x14ac:dyDescent="0.25">
      <c r="A7412" s="447"/>
      <c r="B7412" s="55" t="str">
        <f t="shared" si="470"/>
        <v>ENERO</v>
      </c>
      <c r="C7412" s="55">
        <f t="shared" si="471"/>
        <v>1</v>
      </c>
      <c r="D7412" s="3" t="str">
        <f t="shared" si="472"/>
        <v>SÁBADO</v>
      </c>
      <c r="E7412" s="427"/>
      <c r="F7412" s="31">
        <f>IFERROR(VLOOKUP(E7412,BD!$L$2:$Q$244,2,0),0)</f>
        <v>0</v>
      </c>
      <c r="G7412" s="424"/>
      <c r="H7412" s="31">
        <f>+IFERROR(VLOOKUP(E7412,BD!$L$2:$Q$244,6,0),0)</f>
        <v>0</v>
      </c>
      <c r="I7412" s="626">
        <f>IFERROR(G7412*VLOOKUP($E7412,BD!$L$2:$Q$244,5,0),0)</f>
        <v>0</v>
      </c>
      <c r="J7412" s="3">
        <f t="shared" si="473"/>
        <v>1900</v>
      </c>
    </row>
    <row r="7413" spans="1:10" s="9" customFormat="1" x14ac:dyDescent="0.25">
      <c r="A7413" s="447"/>
      <c r="B7413" s="55" t="str">
        <f t="shared" si="470"/>
        <v>ENERO</v>
      </c>
      <c r="C7413" s="55">
        <f t="shared" si="471"/>
        <v>1</v>
      </c>
      <c r="D7413" s="3" t="str">
        <f t="shared" si="472"/>
        <v>SÁBADO</v>
      </c>
      <c r="E7413" s="427"/>
      <c r="F7413" s="31">
        <f>IFERROR(VLOOKUP(E7413,BD!$L$2:$Q$244,2,0),0)</f>
        <v>0</v>
      </c>
      <c r="G7413" s="424"/>
      <c r="H7413" s="31">
        <f>+IFERROR(VLOOKUP(E7413,BD!$L$2:$Q$244,6,0),0)</f>
        <v>0</v>
      </c>
      <c r="I7413" s="626">
        <f>IFERROR(G7413*VLOOKUP($E7413,BD!$L$2:$Q$244,5,0),0)</f>
        <v>0</v>
      </c>
      <c r="J7413" s="3">
        <f t="shared" si="473"/>
        <v>1900</v>
      </c>
    </row>
    <row r="7414" spans="1:10" s="9" customFormat="1" x14ac:dyDescent="0.25">
      <c r="A7414" s="447"/>
      <c r="B7414" s="55" t="str">
        <f t="shared" si="470"/>
        <v>ENERO</v>
      </c>
      <c r="C7414" s="55">
        <f t="shared" si="471"/>
        <v>1</v>
      </c>
      <c r="D7414" s="3" t="str">
        <f t="shared" si="472"/>
        <v>SÁBADO</v>
      </c>
      <c r="E7414" s="427"/>
      <c r="F7414" s="31">
        <f>IFERROR(VLOOKUP(E7414,BD!$L$2:$Q$244,2,0),0)</f>
        <v>0</v>
      </c>
      <c r="G7414" s="424"/>
      <c r="H7414" s="31">
        <f>+IFERROR(VLOOKUP(E7414,BD!$L$2:$Q$244,6,0),0)</f>
        <v>0</v>
      </c>
      <c r="I7414" s="626">
        <f>IFERROR(G7414*VLOOKUP($E7414,BD!$L$2:$Q$244,5,0),0)</f>
        <v>0</v>
      </c>
      <c r="J7414" s="3">
        <f t="shared" si="473"/>
        <v>1900</v>
      </c>
    </row>
    <row r="7415" spans="1:10" s="9" customFormat="1" x14ac:dyDescent="0.25">
      <c r="A7415" s="447"/>
      <c r="B7415" s="55" t="str">
        <f t="shared" si="470"/>
        <v>ENERO</v>
      </c>
      <c r="C7415" s="55">
        <f t="shared" si="471"/>
        <v>1</v>
      </c>
      <c r="D7415" s="3" t="str">
        <f t="shared" si="472"/>
        <v>SÁBADO</v>
      </c>
      <c r="E7415" s="427"/>
      <c r="F7415" s="31">
        <f>IFERROR(VLOOKUP(E7415,BD!$L$2:$Q$244,2,0),0)</f>
        <v>0</v>
      </c>
      <c r="G7415" s="424"/>
      <c r="H7415" s="31">
        <f>+IFERROR(VLOOKUP(E7415,BD!$L$2:$Q$244,6,0),0)</f>
        <v>0</v>
      </c>
      <c r="I7415" s="626">
        <f>IFERROR(G7415*VLOOKUP($E7415,BD!$L$2:$Q$244,5,0),0)</f>
        <v>0</v>
      </c>
      <c r="J7415" s="3">
        <f t="shared" si="473"/>
        <v>1900</v>
      </c>
    </row>
    <row r="7416" spans="1:10" s="9" customFormat="1" x14ac:dyDescent="0.25">
      <c r="A7416" s="447"/>
      <c r="B7416" s="55" t="str">
        <f t="shared" si="470"/>
        <v>ENERO</v>
      </c>
      <c r="C7416" s="55">
        <f t="shared" si="471"/>
        <v>1</v>
      </c>
      <c r="D7416" s="3" t="str">
        <f t="shared" si="472"/>
        <v>SÁBADO</v>
      </c>
      <c r="E7416" s="427"/>
      <c r="F7416" s="31">
        <f>IFERROR(VLOOKUP(E7416,BD!$L$2:$Q$244,2,0),0)</f>
        <v>0</v>
      </c>
      <c r="G7416" s="424"/>
      <c r="H7416" s="31">
        <f>+IFERROR(VLOOKUP(E7416,BD!$L$2:$Q$244,6,0),0)</f>
        <v>0</v>
      </c>
      <c r="I7416" s="626">
        <f>IFERROR(G7416*VLOOKUP($E7416,BD!$L$2:$Q$244,5,0),0)</f>
        <v>0</v>
      </c>
      <c r="J7416" s="3">
        <f t="shared" si="473"/>
        <v>1900</v>
      </c>
    </row>
    <row r="7417" spans="1:10" s="9" customFormat="1" x14ac:dyDescent="0.25">
      <c r="A7417" s="447"/>
      <c r="B7417" s="55" t="str">
        <f t="shared" si="470"/>
        <v>ENERO</v>
      </c>
      <c r="C7417" s="55">
        <f t="shared" si="471"/>
        <v>1</v>
      </c>
      <c r="D7417" s="3" t="str">
        <f t="shared" si="472"/>
        <v>SÁBADO</v>
      </c>
      <c r="E7417" s="427"/>
      <c r="F7417" s="31">
        <f>IFERROR(VLOOKUP(E7417,BD!$L$2:$Q$244,2,0),0)</f>
        <v>0</v>
      </c>
      <c r="G7417" s="424"/>
      <c r="H7417" s="31">
        <f>+IFERROR(VLOOKUP(E7417,BD!$L$2:$Q$244,6,0),0)</f>
        <v>0</v>
      </c>
      <c r="I7417" s="626">
        <f>IFERROR(G7417*VLOOKUP($E7417,BD!$L$2:$Q$244,5,0),0)</f>
        <v>0</v>
      </c>
      <c r="J7417" s="3">
        <f t="shared" si="473"/>
        <v>1900</v>
      </c>
    </row>
    <row r="7418" spans="1:10" s="9" customFormat="1" x14ac:dyDescent="0.25">
      <c r="A7418" s="447"/>
      <c r="B7418" s="55" t="str">
        <f t="shared" si="470"/>
        <v>ENERO</v>
      </c>
      <c r="C7418" s="55">
        <f t="shared" si="471"/>
        <v>1</v>
      </c>
      <c r="D7418" s="3" t="str">
        <f t="shared" si="472"/>
        <v>SÁBADO</v>
      </c>
      <c r="E7418" s="427"/>
      <c r="F7418" s="31">
        <f>IFERROR(VLOOKUP(E7418,BD!$L$2:$Q$244,2,0),0)</f>
        <v>0</v>
      </c>
      <c r="G7418" s="424"/>
      <c r="H7418" s="31">
        <f>+IFERROR(VLOOKUP(E7418,BD!$L$2:$Q$244,6,0),0)</f>
        <v>0</v>
      </c>
      <c r="I7418" s="626">
        <f>IFERROR(G7418*VLOOKUP($E7418,BD!$L$2:$Q$244,5,0),0)</f>
        <v>0</v>
      </c>
      <c r="J7418" s="3">
        <f t="shared" si="473"/>
        <v>1900</v>
      </c>
    </row>
    <row r="7419" spans="1:10" s="9" customFormat="1" x14ac:dyDescent="0.25">
      <c r="A7419" s="447"/>
      <c r="B7419" s="55" t="str">
        <f t="shared" si="470"/>
        <v>ENERO</v>
      </c>
      <c r="C7419" s="55">
        <f t="shared" si="471"/>
        <v>1</v>
      </c>
      <c r="D7419" s="3" t="str">
        <f t="shared" si="472"/>
        <v>SÁBADO</v>
      </c>
      <c r="E7419" s="427"/>
      <c r="F7419" s="31">
        <f>IFERROR(VLOOKUP(E7419,BD!$L$2:$Q$244,2,0),0)</f>
        <v>0</v>
      </c>
      <c r="G7419" s="424"/>
      <c r="H7419" s="31">
        <f>+IFERROR(VLOOKUP(E7419,BD!$L$2:$Q$244,6,0),0)</f>
        <v>0</v>
      </c>
      <c r="I7419" s="626">
        <f>IFERROR(G7419*VLOOKUP($E7419,BD!$L$2:$Q$244,5,0),0)</f>
        <v>0</v>
      </c>
      <c r="J7419" s="3">
        <f t="shared" si="473"/>
        <v>1900</v>
      </c>
    </row>
    <row r="7420" spans="1:10" s="9" customFormat="1" x14ac:dyDescent="0.25">
      <c r="A7420" s="447"/>
      <c r="B7420" s="55" t="str">
        <f t="shared" si="470"/>
        <v>ENERO</v>
      </c>
      <c r="C7420" s="55">
        <f t="shared" si="471"/>
        <v>1</v>
      </c>
      <c r="D7420" s="3" t="str">
        <f t="shared" si="472"/>
        <v>SÁBADO</v>
      </c>
      <c r="E7420" s="427"/>
      <c r="F7420" s="31">
        <f>IFERROR(VLOOKUP(E7420,BD!$L$2:$Q$244,2,0),0)</f>
        <v>0</v>
      </c>
      <c r="G7420" s="424"/>
      <c r="H7420" s="31">
        <f>+IFERROR(VLOOKUP(E7420,BD!$L$2:$Q$244,6,0),0)</f>
        <v>0</v>
      </c>
      <c r="I7420" s="626">
        <f>IFERROR(G7420*VLOOKUP($E7420,BD!$L$2:$Q$244,5,0),0)</f>
        <v>0</v>
      </c>
      <c r="J7420" s="3">
        <f t="shared" si="473"/>
        <v>1900</v>
      </c>
    </row>
    <row r="7421" spans="1:10" s="9" customFormat="1" x14ac:dyDescent="0.25">
      <c r="A7421" s="447"/>
      <c r="B7421" s="55" t="str">
        <f t="shared" ref="B7421:B7484" si="474">UPPER(TEXT(A7421,"MMMM"))</f>
        <v>ENERO</v>
      </c>
      <c r="C7421" s="55">
        <f t="shared" ref="C7421:C7484" si="475">WEEKNUM(A7421,16)</f>
        <v>1</v>
      </c>
      <c r="D7421" s="3" t="str">
        <f t="shared" ref="D7421:D7484" si="476">UPPER(TEXT(A7421,"DDDD"))</f>
        <v>SÁBADO</v>
      </c>
      <c r="E7421" s="427"/>
      <c r="F7421" s="31">
        <f>IFERROR(VLOOKUP(E7421,BD!$L$2:$Q$244,2,0),0)</f>
        <v>0</v>
      </c>
      <c r="G7421" s="424"/>
      <c r="H7421" s="31">
        <f>+IFERROR(VLOOKUP(E7421,BD!$L$2:$Q$244,6,0),0)</f>
        <v>0</v>
      </c>
      <c r="I7421" s="626">
        <f>IFERROR(G7421*VLOOKUP($E7421,BD!$L$2:$Q$244,5,0),0)</f>
        <v>0</v>
      </c>
      <c r="J7421" s="3">
        <f t="shared" ref="J7421:J7484" si="477">+YEAR(A7421)</f>
        <v>1900</v>
      </c>
    </row>
    <row r="7422" spans="1:10" s="9" customFormat="1" x14ac:dyDescent="0.25">
      <c r="A7422" s="447"/>
      <c r="B7422" s="55" t="str">
        <f t="shared" si="474"/>
        <v>ENERO</v>
      </c>
      <c r="C7422" s="55">
        <f t="shared" si="475"/>
        <v>1</v>
      </c>
      <c r="D7422" s="3" t="str">
        <f t="shared" si="476"/>
        <v>SÁBADO</v>
      </c>
      <c r="E7422" s="427"/>
      <c r="F7422" s="31">
        <f>IFERROR(VLOOKUP(E7422,BD!$L$2:$Q$244,2,0),0)</f>
        <v>0</v>
      </c>
      <c r="G7422" s="424"/>
      <c r="H7422" s="31">
        <f>+IFERROR(VLOOKUP(E7422,BD!$L$2:$Q$244,6,0),0)</f>
        <v>0</v>
      </c>
      <c r="I7422" s="626">
        <f>IFERROR(G7422*VLOOKUP($E7422,BD!$L$2:$Q$244,5,0),0)</f>
        <v>0</v>
      </c>
      <c r="J7422" s="3">
        <f t="shared" si="477"/>
        <v>1900</v>
      </c>
    </row>
    <row r="7423" spans="1:10" s="9" customFormat="1" x14ac:dyDescent="0.25">
      <c r="A7423" s="447"/>
      <c r="B7423" s="55" t="str">
        <f t="shared" si="474"/>
        <v>ENERO</v>
      </c>
      <c r="C7423" s="55">
        <f t="shared" si="475"/>
        <v>1</v>
      </c>
      <c r="D7423" s="3" t="str">
        <f t="shared" si="476"/>
        <v>SÁBADO</v>
      </c>
      <c r="E7423" s="427"/>
      <c r="F7423" s="31">
        <f>IFERROR(VLOOKUP(E7423,BD!$L$2:$Q$244,2,0),0)</f>
        <v>0</v>
      </c>
      <c r="G7423" s="424"/>
      <c r="H7423" s="31">
        <f>+IFERROR(VLOOKUP(E7423,BD!$L$2:$Q$244,6,0),0)</f>
        <v>0</v>
      </c>
      <c r="I7423" s="626">
        <f>IFERROR(G7423*VLOOKUP($E7423,BD!$L$2:$Q$244,5,0),0)</f>
        <v>0</v>
      </c>
      <c r="J7423" s="3">
        <f t="shared" si="477"/>
        <v>1900</v>
      </c>
    </row>
    <row r="7424" spans="1:10" s="9" customFormat="1" x14ac:dyDescent="0.25">
      <c r="A7424" s="447"/>
      <c r="B7424" s="55" t="str">
        <f t="shared" si="474"/>
        <v>ENERO</v>
      </c>
      <c r="C7424" s="55">
        <f t="shared" si="475"/>
        <v>1</v>
      </c>
      <c r="D7424" s="3" t="str">
        <f t="shared" si="476"/>
        <v>SÁBADO</v>
      </c>
      <c r="E7424" s="427"/>
      <c r="F7424" s="31">
        <f>IFERROR(VLOOKUP(E7424,BD!$L$2:$Q$244,2,0),0)</f>
        <v>0</v>
      </c>
      <c r="G7424" s="424"/>
      <c r="H7424" s="31">
        <f>+IFERROR(VLOOKUP(E7424,BD!$L$2:$Q$244,6,0),0)</f>
        <v>0</v>
      </c>
      <c r="I7424" s="626">
        <f>IFERROR(G7424*VLOOKUP($E7424,BD!$L$2:$Q$244,5,0),0)</f>
        <v>0</v>
      </c>
      <c r="J7424" s="3">
        <f t="shared" si="477"/>
        <v>1900</v>
      </c>
    </row>
    <row r="7425" spans="1:10" s="9" customFormat="1" x14ac:dyDescent="0.25">
      <c r="A7425" s="447"/>
      <c r="B7425" s="55" t="str">
        <f t="shared" si="474"/>
        <v>ENERO</v>
      </c>
      <c r="C7425" s="55">
        <f t="shared" si="475"/>
        <v>1</v>
      </c>
      <c r="D7425" s="3" t="str">
        <f t="shared" si="476"/>
        <v>SÁBADO</v>
      </c>
      <c r="E7425" s="427"/>
      <c r="F7425" s="31">
        <f>IFERROR(VLOOKUP(E7425,BD!$L$2:$Q$244,2,0),0)</f>
        <v>0</v>
      </c>
      <c r="G7425" s="424"/>
      <c r="H7425" s="31">
        <f>+IFERROR(VLOOKUP(E7425,BD!$L$2:$Q$244,6,0),0)</f>
        <v>0</v>
      </c>
      <c r="I7425" s="626">
        <f>IFERROR(G7425*VLOOKUP($E7425,BD!$L$2:$Q$244,5,0),0)</f>
        <v>0</v>
      </c>
      <c r="J7425" s="3">
        <f t="shared" si="477"/>
        <v>1900</v>
      </c>
    </row>
    <row r="7426" spans="1:10" s="9" customFormat="1" x14ac:dyDescent="0.25">
      <c r="A7426" s="447"/>
      <c r="B7426" s="55" t="str">
        <f t="shared" si="474"/>
        <v>ENERO</v>
      </c>
      <c r="C7426" s="55">
        <f t="shared" si="475"/>
        <v>1</v>
      </c>
      <c r="D7426" s="3" t="str">
        <f t="shared" si="476"/>
        <v>SÁBADO</v>
      </c>
      <c r="E7426" s="427"/>
      <c r="F7426" s="31">
        <f>IFERROR(VLOOKUP(E7426,BD!$L$2:$Q$244,2,0),0)</f>
        <v>0</v>
      </c>
      <c r="G7426" s="424"/>
      <c r="H7426" s="31">
        <f>+IFERROR(VLOOKUP(E7426,BD!$L$2:$Q$244,6,0),0)</f>
        <v>0</v>
      </c>
      <c r="I7426" s="626">
        <f>IFERROR(G7426*VLOOKUP($E7426,BD!$L$2:$Q$244,5,0),0)</f>
        <v>0</v>
      </c>
      <c r="J7426" s="3">
        <f t="shared" si="477"/>
        <v>1900</v>
      </c>
    </row>
    <row r="7427" spans="1:10" s="9" customFormat="1" x14ac:dyDescent="0.25">
      <c r="A7427" s="447"/>
      <c r="B7427" s="55" t="str">
        <f t="shared" si="474"/>
        <v>ENERO</v>
      </c>
      <c r="C7427" s="55">
        <f t="shared" si="475"/>
        <v>1</v>
      </c>
      <c r="D7427" s="3" t="str">
        <f t="shared" si="476"/>
        <v>SÁBADO</v>
      </c>
      <c r="E7427" s="427"/>
      <c r="F7427" s="31">
        <f>IFERROR(VLOOKUP(E7427,BD!$L$2:$Q$244,2,0),0)</f>
        <v>0</v>
      </c>
      <c r="G7427" s="424"/>
      <c r="H7427" s="31">
        <f>+IFERROR(VLOOKUP(E7427,BD!$L$2:$Q$244,6,0),0)</f>
        <v>0</v>
      </c>
      <c r="I7427" s="626">
        <f>IFERROR(G7427*VLOOKUP($E7427,BD!$L$2:$Q$244,5,0),0)</f>
        <v>0</v>
      </c>
      <c r="J7427" s="3">
        <f t="shared" si="477"/>
        <v>1900</v>
      </c>
    </row>
    <row r="7428" spans="1:10" s="9" customFormat="1" x14ac:dyDescent="0.25">
      <c r="A7428" s="447"/>
      <c r="B7428" s="55" t="str">
        <f t="shared" si="474"/>
        <v>ENERO</v>
      </c>
      <c r="C7428" s="55">
        <f t="shared" si="475"/>
        <v>1</v>
      </c>
      <c r="D7428" s="3" t="str">
        <f t="shared" si="476"/>
        <v>SÁBADO</v>
      </c>
      <c r="E7428" s="427"/>
      <c r="F7428" s="31">
        <f>IFERROR(VLOOKUP(E7428,BD!$L$2:$Q$244,2,0),0)</f>
        <v>0</v>
      </c>
      <c r="G7428" s="424"/>
      <c r="H7428" s="31">
        <f>+IFERROR(VLOOKUP(E7428,BD!$L$2:$Q$244,6,0),0)</f>
        <v>0</v>
      </c>
      <c r="I7428" s="626">
        <f>IFERROR(G7428*VLOOKUP($E7428,BD!$L$2:$Q$244,5,0),0)</f>
        <v>0</v>
      </c>
      <c r="J7428" s="3">
        <f t="shared" si="477"/>
        <v>1900</v>
      </c>
    </row>
    <row r="7429" spans="1:10" s="9" customFormat="1" x14ac:dyDescent="0.25">
      <c r="A7429" s="447"/>
      <c r="B7429" s="55" t="str">
        <f t="shared" si="474"/>
        <v>ENERO</v>
      </c>
      <c r="C7429" s="55">
        <f t="shared" si="475"/>
        <v>1</v>
      </c>
      <c r="D7429" s="3" t="str">
        <f t="shared" si="476"/>
        <v>SÁBADO</v>
      </c>
      <c r="E7429" s="427"/>
      <c r="F7429" s="31">
        <f>IFERROR(VLOOKUP(E7429,BD!$L$2:$Q$244,2,0),0)</f>
        <v>0</v>
      </c>
      <c r="G7429" s="424"/>
      <c r="H7429" s="31">
        <f>+IFERROR(VLOOKUP(E7429,BD!$L$2:$Q$244,6,0),0)</f>
        <v>0</v>
      </c>
      <c r="I7429" s="626">
        <f>IFERROR(G7429*VLOOKUP($E7429,BD!$L$2:$Q$244,5,0),0)</f>
        <v>0</v>
      </c>
      <c r="J7429" s="3">
        <f t="shared" si="477"/>
        <v>1900</v>
      </c>
    </row>
    <row r="7430" spans="1:10" s="9" customFormat="1" x14ac:dyDescent="0.25">
      <c r="A7430" s="447"/>
      <c r="B7430" s="55" t="str">
        <f t="shared" si="474"/>
        <v>ENERO</v>
      </c>
      <c r="C7430" s="55">
        <f t="shared" si="475"/>
        <v>1</v>
      </c>
      <c r="D7430" s="3" t="str">
        <f t="shared" si="476"/>
        <v>SÁBADO</v>
      </c>
      <c r="E7430" s="427"/>
      <c r="F7430" s="31">
        <f>IFERROR(VLOOKUP(E7430,BD!$L$2:$Q$244,2,0),0)</f>
        <v>0</v>
      </c>
      <c r="G7430" s="424"/>
      <c r="H7430" s="31">
        <f>+IFERROR(VLOOKUP(E7430,BD!$L$2:$Q$244,6,0),0)</f>
        <v>0</v>
      </c>
      <c r="I7430" s="626">
        <f>IFERROR(G7430*VLOOKUP($E7430,BD!$L$2:$Q$244,5,0),0)</f>
        <v>0</v>
      </c>
      <c r="J7430" s="3">
        <f t="shared" si="477"/>
        <v>1900</v>
      </c>
    </row>
    <row r="7431" spans="1:10" s="9" customFormat="1" x14ac:dyDescent="0.25">
      <c r="A7431" s="447"/>
      <c r="B7431" s="55" t="str">
        <f t="shared" si="474"/>
        <v>ENERO</v>
      </c>
      <c r="C7431" s="55">
        <f t="shared" si="475"/>
        <v>1</v>
      </c>
      <c r="D7431" s="3" t="str">
        <f t="shared" si="476"/>
        <v>SÁBADO</v>
      </c>
      <c r="E7431" s="427"/>
      <c r="F7431" s="31">
        <f>IFERROR(VLOOKUP(E7431,BD!$L$2:$Q$244,2,0),0)</f>
        <v>0</v>
      </c>
      <c r="G7431" s="424"/>
      <c r="H7431" s="31">
        <f>+IFERROR(VLOOKUP(E7431,BD!$L$2:$Q$244,6,0),0)</f>
        <v>0</v>
      </c>
      <c r="I7431" s="626">
        <f>IFERROR(G7431*VLOOKUP($E7431,BD!$L$2:$Q$244,5,0),0)</f>
        <v>0</v>
      </c>
      <c r="J7431" s="3">
        <f t="shared" si="477"/>
        <v>1900</v>
      </c>
    </row>
    <row r="7432" spans="1:10" s="9" customFormat="1" x14ac:dyDescent="0.25">
      <c r="A7432" s="447"/>
      <c r="B7432" s="55" t="str">
        <f t="shared" si="474"/>
        <v>ENERO</v>
      </c>
      <c r="C7432" s="55">
        <f t="shared" si="475"/>
        <v>1</v>
      </c>
      <c r="D7432" s="3" t="str">
        <f t="shared" si="476"/>
        <v>SÁBADO</v>
      </c>
      <c r="E7432" s="427"/>
      <c r="F7432" s="31">
        <f>IFERROR(VLOOKUP(E7432,BD!$L$2:$Q$244,2,0),0)</f>
        <v>0</v>
      </c>
      <c r="G7432" s="424"/>
      <c r="H7432" s="31">
        <f>+IFERROR(VLOOKUP(E7432,BD!$L$2:$Q$244,6,0),0)</f>
        <v>0</v>
      </c>
      <c r="I7432" s="626">
        <f>IFERROR(G7432*VLOOKUP($E7432,BD!$L$2:$Q$244,5,0),0)</f>
        <v>0</v>
      </c>
      <c r="J7432" s="3">
        <f t="shared" si="477"/>
        <v>1900</v>
      </c>
    </row>
    <row r="7433" spans="1:10" s="9" customFormat="1" x14ac:dyDescent="0.25">
      <c r="A7433" s="447"/>
      <c r="B7433" s="55" t="str">
        <f t="shared" si="474"/>
        <v>ENERO</v>
      </c>
      <c r="C7433" s="55">
        <f t="shared" si="475"/>
        <v>1</v>
      </c>
      <c r="D7433" s="3" t="str">
        <f t="shared" si="476"/>
        <v>SÁBADO</v>
      </c>
      <c r="E7433" s="427"/>
      <c r="F7433" s="31">
        <f>IFERROR(VLOOKUP(E7433,BD!$L$2:$Q$244,2,0),0)</f>
        <v>0</v>
      </c>
      <c r="G7433" s="424"/>
      <c r="H7433" s="31">
        <f>+IFERROR(VLOOKUP(E7433,BD!$L$2:$Q$244,6,0),0)</f>
        <v>0</v>
      </c>
      <c r="I7433" s="626">
        <f>IFERROR(G7433*VLOOKUP($E7433,BD!$L$2:$Q$244,5,0),0)</f>
        <v>0</v>
      </c>
      <c r="J7433" s="3">
        <f t="shared" si="477"/>
        <v>1900</v>
      </c>
    </row>
    <row r="7434" spans="1:10" s="9" customFormat="1" x14ac:dyDescent="0.25">
      <c r="A7434" s="447"/>
      <c r="B7434" s="55" t="str">
        <f t="shared" si="474"/>
        <v>ENERO</v>
      </c>
      <c r="C7434" s="55">
        <f t="shared" si="475"/>
        <v>1</v>
      </c>
      <c r="D7434" s="3" t="str">
        <f t="shared" si="476"/>
        <v>SÁBADO</v>
      </c>
      <c r="E7434" s="427"/>
      <c r="F7434" s="31">
        <f>IFERROR(VLOOKUP(E7434,BD!$L$2:$Q$244,2,0),0)</f>
        <v>0</v>
      </c>
      <c r="G7434" s="424"/>
      <c r="H7434" s="31">
        <f>+IFERROR(VLOOKUP(E7434,BD!$L$2:$Q$244,6,0),0)</f>
        <v>0</v>
      </c>
      <c r="I7434" s="626">
        <f>IFERROR(G7434*VLOOKUP($E7434,BD!$L$2:$Q$244,5,0),0)</f>
        <v>0</v>
      </c>
      <c r="J7434" s="3">
        <f t="shared" si="477"/>
        <v>1900</v>
      </c>
    </row>
    <row r="7435" spans="1:10" s="9" customFormat="1" x14ac:dyDescent="0.25">
      <c r="A7435" s="447"/>
      <c r="B7435" s="55" t="str">
        <f t="shared" si="474"/>
        <v>ENERO</v>
      </c>
      <c r="C7435" s="55">
        <f t="shared" si="475"/>
        <v>1</v>
      </c>
      <c r="D7435" s="3" t="str">
        <f t="shared" si="476"/>
        <v>SÁBADO</v>
      </c>
      <c r="E7435" s="427"/>
      <c r="F7435" s="31">
        <f>IFERROR(VLOOKUP(E7435,BD!$L$2:$Q$244,2,0),0)</f>
        <v>0</v>
      </c>
      <c r="G7435" s="424"/>
      <c r="H7435" s="31">
        <f>+IFERROR(VLOOKUP(E7435,BD!$L$2:$Q$244,6,0),0)</f>
        <v>0</v>
      </c>
      <c r="I7435" s="626">
        <f>IFERROR(G7435*VLOOKUP($E7435,BD!$L$2:$Q$244,5,0),0)</f>
        <v>0</v>
      </c>
      <c r="J7435" s="3">
        <f t="shared" si="477"/>
        <v>1900</v>
      </c>
    </row>
    <row r="7436" spans="1:10" s="9" customFormat="1" x14ac:dyDescent="0.25">
      <c r="A7436" s="447"/>
      <c r="B7436" s="55" t="str">
        <f t="shared" si="474"/>
        <v>ENERO</v>
      </c>
      <c r="C7436" s="55">
        <f t="shared" si="475"/>
        <v>1</v>
      </c>
      <c r="D7436" s="3" t="str">
        <f t="shared" si="476"/>
        <v>SÁBADO</v>
      </c>
      <c r="E7436" s="427"/>
      <c r="F7436" s="31">
        <f>IFERROR(VLOOKUP(E7436,BD!$L$2:$Q$244,2,0),0)</f>
        <v>0</v>
      </c>
      <c r="G7436" s="424"/>
      <c r="H7436" s="31">
        <f>+IFERROR(VLOOKUP(E7436,BD!$L$2:$Q$244,6,0),0)</f>
        <v>0</v>
      </c>
      <c r="I7436" s="626">
        <f>IFERROR(G7436*VLOOKUP($E7436,BD!$L$2:$Q$244,5,0),0)</f>
        <v>0</v>
      </c>
      <c r="J7436" s="3">
        <f t="shared" si="477"/>
        <v>1900</v>
      </c>
    </row>
    <row r="7437" spans="1:10" s="9" customFormat="1" x14ac:dyDescent="0.25">
      <c r="A7437" s="447"/>
      <c r="B7437" s="55" t="str">
        <f t="shared" si="474"/>
        <v>ENERO</v>
      </c>
      <c r="C7437" s="55">
        <f t="shared" si="475"/>
        <v>1</v>
      </c>
      <c r="D7437" s="3" t="str">
        <f t="shared" si="476"/>
        <v>SÁBADO</v>
      </c>
      <c r="E7437" s="427"/>
      <c r="F7437" s="31">
        <f>IFERROR(VLOOKUP(E7437,BD!$L$2:$Q$244,2,0),0)</f>
        <v>0</v>
      </c>
      <c r="G7437" s="424"/>
      <c r="H7437" s="31">
        <f>+IFERROR(VLOOKUP(E7437,BD!$L$2:$Q$244,6,0),0)</f>
        <v>0</v>
      </c>
      <c r="I7437" s="626">
        <f>IFERROR(G7437*VLOOKUP($E7437,BD!$L$2:$Q$244,5,0),0)</f>
        <v>0</v>
      </c>
      <c r="J7437" s="3">
        <f t="shared" si="477"/>
        <v>1900</v>
      </c>
    </row>
    <row r="7438" spans="1:10" s="9" customFormat="1" x14ac:dyDescent="0.25">
      <c r="A7438" s="447"/>
      <c r="B7438" s="55" t="str">
        <f t="shared" si="474"/>
        <v>ENERO</v>
      </c>
      <c r="C7438" s="55">
        <f t="shared" si="475"/>
        <v>1</v>
      </c>
      <c r="D7438" s="3" t="str">
        <f t="shared" si="476"/>
        <v>SÁBADO</v>
      </c>
      <c r="E7438" s="427"/>
      <c r="F7438" s="31">
        <f>IFERROR(VLOOKUP(E7438,BD!$L$2:$Q$244,2,0),0)</f>
        <v>0</v>
      </c>
      <c r="G7438" s="424"/>
      <c r="H7438" s="31">
        <f>+IFERROR(VLOOKUP(E7438,BD!$L$2:$Q$244,6,0),0)</f>
        <v>0</v>
      </c>
      <c r="I7438" s="626">
        <f>IFERROR(G7438*VLOOKUP($E7438,BD!$L$2:$Q$244,5,0),0)</f>
        <v>0</v>
      </c>
      <c r="J7438" s="3">
        <f t="shared" si="477"/>
        <v>1900</v>
      </c>
    </row>
    <row r="7439" spans="1:10" s="9" customFormat="1" x14ac:dyDescent="0.25">
      <c r="A7439" s="447"/>
      <c r="B7439" s="55" t="str">
        <f t="shared" si="474"/>
        <v>ENERO</v>
      </c>
      <c r="C7439" s="55">
        <f t="shared" si="475"/>
        <v>1</v>
      </c>
      <c r="D7439" s="3" t="str">
        <f t="shared" si="476"/>
        <v>SÁBADO</v>
      </c>
      <c r="E7439" s="427"/>
      <c r="F7439" s="31">
        <f>IFERROR(VLOOKUP(E7439,BD!$L$2:$Q$244,2,0),0)</f>
        <v>0</v>
      </c>
      <c r="G7439" s="424"/>
      <c r="H7439" s="31">
        <f>+IFERROR(VLOOKUP(E7439,BD!$L$2:$Q$244,6,0),0)</f>
        <v>0</v>
      </c>
      <c r="I7439" s="626">
        <f>IFERROR(G7439*VLOOKUP($E7439,BD!$L$2:$Q$244,5,0),0)</f>
        <v>0</v>
      </c>
      <c r="J7439" s="3">
        <f t="shared" si="477"/>
        <v>1900</v>
      </c>
    </row>
    <row r="7440" spans="1:10" s="9" customFormat="1" x14ac:dyDescent="0.25">
      <c r="A7440" s="447"/>
      <c r="B7440" s="55" t="str">
        <f t="shared" si="474"/>
        <v>ENERO</v>
      </c>
      <c r="C7440" s="55">
        <f t="shared" si="475"/>
        <v>1</v>
      </c>
      <c r="D7440" s="3" t="str">
        <f t="shared" si="476"/>
        <v>SÁBADO</v>
      </c>
      <c r="E7440" s="427"/>
      <c r="F7440" s="31">
        <f>IFERROR(VLOOKUP(E7440,BD!$L$2:$Q$244,2,0),0)</f>
        <v>0</v>
      </c>
      <c r="G7440" s="424"/>
      <c r="H7440" s="31">
        <f>+IFERROR(VLOOKUP(E7440,BD!$L$2:$Q$244,6,0),0)</f>
        <v>0</v>
      </c>
      <c r="I7440" s="626">
        <f>IFERROR(G7440*VLOOKUP($E7440,BD!$L$2:$Q$244,5,0),0)</f>
        <v>0</v>
      </c>
      <c r="J7440" s="3">
        <f t="shared" si="477"/>
        <v>1900</v>
      </c>
    </row>
    <row r="7441" spans="1:10" s="9" customFormat="1" x14ac:dyDescent="0.25">
      <c r="A7441" s="447"/>
      <c r="B7441" s="55" t="str">
        <f t="shared" si="474"/>
        <v>ENERO</v>
      </c>
      <c r="C7441" s="55">
        <f t="shared" si="475"/>
        <v>1</v>
      </c>
      <c r="D7441" s="3" t="str">
        <f t="shared" si="476"/>
        <v>SÁBADO</v>
      </c>
      <c r="E7441" s="427"/>
      <c r="F7441" s="31">
        <f>IFERROR(VLOOKUP(E7441,BD!$L$2:$Q$244,2,0),0)</f>
        <v>0</v>
      </c>
      <c r="G7441" s="424"/>
      <c r="H7441" s="31">
        <f>+IFERROR(VLOOKUP(E7441,BD!$L$2:$Q$244,6,0),0)</f>
        <v>0</v>
      </c>
      <c r="I7441" s="626">
        <f>IFERROR(G7441*VLOOKUP($E7441,BD!$L$2:$Q$244,5,0),0)</f>
        <v>0</v>
      </c>
      <c r="J7441" s="3">
        <f t="shared" si="477"/>
        <v>1900</v>
      </c>
    </row>
    <row r="7442" spans="1:10" s="9" customFormat="1" x14ac:dyDescent="0.25">
      <c r="A7442" s="447"/>
      <c r="B7442" s="55" t="str">
        <f t="shared" si="474"/>
        <v>ENERO</v>
      </c>
      <c r="C7442" s="55">
        <f t="shared" si="475"/>
        <v>1</v>
      </c>
      <c r="D7442" s="3" t="str">
        <f t="shared" si="476"/>
        <v>SÁBADO</v>
      </c>
      <c r="E7442" s="427"/>
      <c r="F7442" s="31">
        <f>IFERROR(VLOOKUP(E7442,BD!$L$2:$Q$244,2,0),0)</f>
        <v>0</v>
      </c>
      <c r="G7442" s="424"/>
      <c r="H7442" s="31">
        <f>+IFERROR(VLOOKUP(E7442,BD!$L$2:$Q$244,6,0),0)</f>
        <v>0</v>
      </c>
      <c r="I7442" s="626">
        <f>IFERROR(G7442*VLOOKUP($E7442,BD!$L$2:$Q$244,5,0),0)</f>
        <v>0</v>
      </c>
      <c r="J7442" s="3">
        <f t="shared" si="477"/>
        <v>1900</v>
      </c>
    </row>
    <row r="7443" spans="1:10" s="9" customFormat="1" x14ac:dyDescent="0.25">
      <c r="A7443" s="447"/>
      <c r="B7443" s="55" t="str">
        <f t="shared" si="474"/>
        <v>ENERO</v>
      </c>
      <c r="C7443" s="55">
        <f t="shared" si="475"/>
        <v>1</v>
      </c>
      <c r="D7443" s="3" t="str">
        <f t="shared" si="476"/>
        <v>SÁBADO</v>
      </c>
      <c r="E7443" s="427"/>
      <c r="F7443" s="31">
        <f>IFERROR(VLOOKUP(E7443,BD!$L$2:$Q$244,2,0),0)</f>
        <v>0</v>
      </c>
      <c r="G7443" s="424"/>
      <c r="H7443" s="31">
        <f>+IFERROR(VLOOKUP(E7443,BD!$L$2:$Q$244,6,0),0)</f>
        <v>0</v>
      </c>
      <c r="I7443" s="626">
        <f>IFERROR(G7443*VLOOKUP($E7443,BD!$L$2:$Q$244,5,0),0)</f>
        <v>0</v>
      </c>
      <c r="J7443" s="3">
        <f t="shared" si="477"/>
        <v>1900</v>
      </c>
    </row>
    <row r="7444" spans="1:10" s="9" customFormat="1" x14ac:dyDescent="0.25">
      <c r="A7444" s="447"/>
      <c r="B7444" s="55" t="str">
        <f t="shared" si="474"/>
        <v>ENERO</v>
      </c>
      <c r="C7444" s="55">
        <f t="shared" si="475"/>
        <v>1</v>
      </c>
      <c r="D7444" s="3" t="str">
        <f t="shared" si="476"/>
        <v>SÁBADO</v>
      </c>
      <c r="E7444" s="427"/>
      <c r="F7444" s="31">
        <f>IFERROR(VLOOKUP(E7444,BD!$L$2:$Q$244,2,0),0)</f>
        <v>0</v>
      </c>
      <c r="G7444" s="424"/>
      <c r="H7444" s="31">
        <f>+IFERROR(VLOOKUP(E7444,BD!$L$2:$Q$244,6,0),0)</f>
        <v>0</v>
      </c>
      <c r="I7444" s="626">
        <f>IFERROR(G7444*VLOOKUP($E7444,BD!$L$2:$Q$244,5,0),0)</f>
        <v>0</v>
      </c>
      <c r="J7444" s="3">
        <f t="shared" si="477"/>
        <v>1900</v>
      </c>
    </row>
    <row r="7445" spans="1:10" s="9" customFormat="1" x14ac:dyDescent="0.25">
      <c r="A7445" s="447"/>
      <c r="B7445" s="55" t="str">
        <f t="shared" si="474"/>
        <v>ENERO</v>
      </c>
      <c r="C7445" s="55">
        <f t="shared" si="475"/>
        <v>1</v>
      </c>
      <c r="D7445" s="3" t="str">
        <f t="shared" si="476"/>
        <v>SÁBADO</v>
      </c>
      <c r="E7445" s="427"/>
      <c r="F7445" s="31">
        <f>IFERROR(VLOOKUP(E7445,BD!$L$2:$Q$244,2,0),0)</f>
        <v>0</v>
      </c>
      <c r="G7445" s="424"/>
      <c r="H7445" s="31">
        <f>+IFERROR(VLOOKUP(E7445,BD!$L$2:$Q$244,6,0),0)</f>
        <v>0</v>
      </c>
      <c r="I7445" s="626">
        <f>IFERROR(G7445*VLOOKUP($E7445,BD!$L$2:$Q$244,5,0),0)</f>
        <v>0</v>
      </c>
      <c r="J7445" s="3">
        <f t="shared" si="477"/>
        <v>1900</v>
      </c>
    </row>
    <row r="7446" spans="1:10" s="9" customFormat="1" x14ac:dyDescent="0.25">
      <c r="A7446" s="447"/>
      <c r="B7446" s="55" t="str">
        <f t="shared" si="474"/>
        <v>ENERO</v>
      </c>
      <c r="C7446" s="55">
        <f t="shared" si="475"/>
        <v>1</v>
      </c>
      <c r="D7446" s="3" t="str">
        <f t="shared" si="476"/>
        <v>SÁBADO</v>
      </c>
      <c r="E7446" s="427"/>
      <c r="F7446" s="31">
        <f>IFERROR(VLOOKUP(E7446,BD!$L$2:$Q$244,2,0),0)</f>
        <v>0</v>
      </c>
      <c r="G7446" s="424"/>
      <c r="H7446" s="31">
        <f>+IFERROR(VLOOKUP(E7446,BD!$L$2:$Q$244,6,0),0)</f>
        <v>0</v>
      </c>
      <c r="I7446" s="626">
        <f>IFERROR(G7446*VLOOKUP($E7446,BD!$L$2:$Q$244,5,0),0)</f>
        <v>0</v>
      </c>
      <c r="J7446" s="3">
        <f t="shared" si="477"/>
        <v>1900</v>
      </c>
    </row>
    <row r="7447" spans="1:10" s="9" customFormat="1" x14ac:dyDescent="0.25">
      <c r="A7447" s="447"/>
      <c r="B7447" s="55" t="str">
        <f t="shared" si="474"/>
        <v>ENERO</v>
      </c>
      <c r="C7447" s="55">
        <f t="shared" si="475"/>
        <v>1</v>
      </c>
      <c r="D7447" s="3" t="str">
        <f t="shared" si="476"/>
        <v>SÁBADO</v>
      </c>
      <c r="E7447" s="427"/>
      <c r="F7447" s="31">
        <f>IFERROR(VLOOKUP(E7447,BD!$L$2:$Q$244,2,0),0)</f>
        <v>0</v>
      </c>
      <c r="G7447" s="424"/>
      <c r="H7447" s="31">
        <f>+IFERROR(VLOOKUP(E7447,BD!$L$2:$Q$244,6,0),0)</f>
        <v>0</v>
      </c>
      <c r="I7447" s="626">
        <f>IFERROR(G7447*VLOOKUP($E7447,BD!$L$2:$Q$244,5,0),0)</f>
        <v>0</v>
      </c>
      <c r="J7447" s="3">
        <f t="shared" si="477"/>
        <v>1900</v>
      </c>
    </row>
    <row r="7448" spans="1:10" s="9" customFormat="1" x14ac:dyDescent="0.25">
      <c r="A7448" s="447"/>
      <c r="B7448" s="55" t="str">
        <f t="shared" si="474"/>
        <v>ENERO</v>
      </c>
      <c r="C7448" s="55">
        <f t="shared" si="475"/>
        <v>1</v>
      </c>
      <c r="D7448" s="3" t="str">
        <f t="shared" si="476"/>
        <v>SÁBADO</v>
      </c>
      <c r="E7448" s="427"/>
      <c r="F7448" s="31">
        <f>IFERROR(VLOOKUP(E7448,BD!$L$2:$Q$244,2,0),0)</f>
        <v>0</v>
      </c>
      <c r="G7448" s="424"/>
      <c r="H7448" s="31">
        <f>+IFERROR(VLOOKUP(E7448,BD!$L$2:$Q$244,6,0),0)</f>
        <v>0</v>
      </c>
      <c r="I7448" s="626">
        <f>IFERROR(G7448*VLOOKUP($E7448,BD!$L$2:$Q$244,5,0),0)</f>
        <v>0</v>
      </c>
      <c r="J7448" s="3">
        <f t="shared" si="477"/>
        <v>1900</v>
      </c>
    </row>
    <row r="7449" spans="1:10" s="9" customFormat="1" x14ac:dyDescent="0.25">
      <c r="A7449" s="447"/>
      <c r="B7449" s="55" t="str">
        <f t="shared" si="474"/>
        <v>ENERO</v>
      </c>
      <c r="C7449" s="55">
        <f t="shared" si="475"/>
        <v>1</v>
      </c>
      <c r="D7449" s="3" t="str">
        <f t="shared" si="476"/>
        <v>SÁBADO</v>
      </c>
      <c r="E7449" s="427"/>
      <c r="F7449" s="31">
        <f>IFERROR(VLOOKUP(E7449,BD!$L$2:$Q$244,2,0),0)</f>
        <v>0</v>
      </c>
      <c r="G7449" s="424"/>
      <c r="H7449" s="31">
        <f>+IFERROR(VLOOKUP(E7449,BD!$L$2:$Q$244,6,0),0)</f>
        <v>0</v>
      </c>
      <c r="I7449" s="626">
        <f>IFERROR(G7449*VLOOKUP($E7449,BD!$L$2:$Q$244,5,0),0)</f>
        <v>0</v>
      </c>
      <c r="J7449" s="3">
        <f t="shared" si="477"/>
        <v>1900</v>
      </c>
    </row>
    <row r="7450" spans="1:10" s="9" customFormat="1" x14ac:dyDescent="0.25">
      <c r="A7450" s="447"/>
      <c r="B7450" s="55" t="str">
        <f t="shared" si="474"/>
        <v>ENERO</v>
      </c>
      <c r="C7450" s="55">
        <f t="shared" si="475"/>
        <v>1</v>
      </c>
      <c r="D7450" s="3" t="str">
        <f t="shared" si="476"/>
        <v>SÁBADO</v>
      </c>
      <c r="E7450" s="427"/>
      <c r="F7450" s="31">
        <f>IFERROR(VLOOKUP(E7450,BD!$L$2:$Q$244,2,0),0)</f>
        <v>0</v>
      </c>
      <c r="G7450" s="424"/>
      <c r="H7450" s="31">
        <f>+IFERROR(VLOOKUP(E7450,BD!$L$2:$Q$244,6,0),0)</f>
        <v>0</v>
      </c>
      <c r="I7450" s="626">
        <f>IFERROR(G7450*VLOOKUP($E7450,BD!$L$2:$Q$244,5,0),0)</f>
        <v>0</v>
      </c>
      <c r="J7450" s="3">
        <f t="shared" si="477"/>
        <v>1900</v>
      </c>
    </row>
    <row r="7451" spans="1:10" s="9" customFormat="1" x14ac:dyDescent="0.25">
      <c r="A7451" s="447"/>
      <c r="B7451" s="55" t="str">
        <f t="shared" si="474"/>
        <v>ENERO</v>
      </c>
      <c r="C7451" s="55">
        <f t="shared" si="475"/>
        <v>1</v>
      </c>
      <c r="D7451" s="3" t="str">
        <f t="shared" si="476"/>
        <v>SÁBADO</v>
      </c>
      <c r="E7451" s="427"/>
      <c r="F7451" s="31">
        <f>IFERROR(VLOOKUP(E7451,BD!$L$2:$Q$244,2,0),0)</f>
        <v>0</v>
      </c>
      <c r="G7451" s="424"/>
      <c r="H7451" s="31">
        <f>+IFERROR(VLOOKUP(E7451,BD!$L$2:$Q$244,6,0),0)</f>
        <v>0</v>
      </c>
      <c r="I7451" s="626">
        <f>IFERROR(G7451*VLOOKUP($E7451,BD!$L$2:$Q$244,5,0),0)</f>
        <v>0</v>
      </c>
      <c r="J7451" s="3">
        <f t="shared" si="477"/>
        <v>1900</v>
      </c>
    </row>
    <row r="7452" spans="1:10" s="9" customFormat="1" x14ac:dyDescent="0.25">
      <c r="A7452" s="447"/>
      <c r="B7452" s="55" t="str">
        <f t="shared" si="474"/>
        <v>ENERO</v>
      </c>
      <c r="C7452" s="55">
        <f t="shared" si="475"/>
        <v>1</v>
      </c>
      <c r="D7452" s="3" t="str">
        <f t="shared" si="476"/>
        <v>SÁBADO</v>
      </c>
      <c r="E7452" s="427"/>
      <c r="F7452" s="31">
        <f>IFERROR(VLOOKUP(E7452,BD!$L$2:$Q$244,2,0),0)</f>
        <v>0</v>
      </c>
      <c r="G7452" s="424"/>
      <c r="H7452" s="31">
        <f>+IFERROR(VLOOKUP(E7452,BD!$L$2:$Q$244,6,0),0)</f>
        <v>0</v>
      </c>
      <c r="I7452" s="626">
        <f>IFERROR(G7452*VLOOKUP($E7452,BD!$L$2:$Q$244,5,0),0)</f>
        <v>0</v>
      </c>
      <c r="J7452" s="3">
        <f t="shared" si="477"/>
        <v>1900</v>
      </c>
    </row>
    <row r="7453" spans="1:10" s="9" customFormat="1" x14ac:dyDescent="0.25">
      <c r="A7453" s="447"/>
      <c r="B7453" s="55" t="str">
        <f t="shared" si="474"/>
        <v>ENERO</v>
      </c>
      <c r="C7453" s="55">
        <f t="shared" si="475"/>
        <v>1</v>
      </c>
      <c r="D7453" s="3" t="str">
        <f t="shared" si="476"/>
        <v>SÁBADO</v>
      </c>
      <c r="E7453" s="427"/>
      <c r="F7453" s="31">
        <f>IFERROR(VLOOKUP(E7453,BD!$L$2:$Q$244,2,0),0)</f>
        <v>0</v>
      </c>
      <c r="G7453" s="424"/>
      <c r="H7453" s="31">
        <f>+IFERROR(VLOOKUP(E7453,BD!$L$2:$Q$244,6,0),0)</f>
        <v>0</v>
      </c>
      <c r="I7453" s="626">
        <f>IFERROR(G7453*VLOOKUP($E7453,BD!$L$2:$Q$244,5,0),0)</f>
        <v>0</v>
      </c>
      <c r="J7453" s="3">
        <f t="shared" si="477"/>
        <v>1900</v>
      </c>
    </row>
    <row r="7454" spans="1:10" s="9" customFormat="1" x14ac:dyDescent="0.25">
      <c r="A7454" s="447"/>
      <c r="B7454" s="55" t="str">
        <f t="shared" si="474"/>
        <v>ENERO</v>
      </c>
      <c r="C7454" s="55">
        <f t="shared" si="475"/>
        <v>1</v>
      </c>
      <c r="D7454" s="3" t="str">
        <f t="shared" si="476"/>
        <v>SÁBADO</v>
      </c>
      <c r="E7454" s="427"/>
      <c r="F7454" s="31">
        <f>IFERROR(VLOOKUP(E7454,BD!$L$2:$Q$244,2,0),0)</f>
        <v>0</v>
      </c>
      <c r="G7454" s="424"/>
      <c r="H7454" s="31">
        <f>+IFERROR(VLOOKUP(E7454,BD!$L$2:$Q$244,6,0),0)</f>
        <v>0</v>
      </c>
      <c r="I7454" s="626">
        <f>IFERROR(G7454*VLOOKUP($E7454,BD!$L$2:$Q$244,5,0),0)</f>
        <v>0</v>
      </c>
      <c r="J7454" s="3">
        <f t="shared" si="477"/>
        <v>1900</v>
      </c>
    </row>
    <row r="7455" spans="1:10" s="9" customFormat="1" x14ac:dyDescent="0.25">
      <c r="A7455" s="447"/>
      <c r="B7455" s="55" t="str">
        <f t="shared" si="474"/>
        <v>ENERO</v>
      </c>
      <c r="C7455" s="55">
        <f t="shared" si="475"/>
        <v>1</v>
      </c>
      <c r="D7455" s="3" t="str">
        <f t="shared" si="476"/>
        <v>SÁBADO</v>
      </c>
      <c r="E7455" s="427"/>
      <c r="F7455" s="31">
        <f>IFERROR(VLOOKUP(E7455,BD!$L$2:$Q$244,2,0),0)</f>
        <v>0</v>
      </c>
      <c r="G7455" s="424"/>
      <c r="H7455" s="31">
        <f>+IFERROR(VLOOKUP(E7455,BD!$L$2:$Q$244,6,0),0)</f>
        <v>0</v>
      </c>
      <c r="I7455" s="626">
        <f>IFERROR(G7455*VLOOKUP($E7455,BD!$L$2:$Q$244,5,0),0)</f>
        <v>0</v>
      </c>
      <c r="J7455" s="3">
        <f t="shared" si="477"/>
        <v>1900</v>
      </c>
    </row>
    <row r="7456" spans="1:10" s="9" customFormat="1" x14ac:dyDescent="0.25">
      <c r="A7456" s="447"/>
      <c r="B7456" s="55" t="str">
        <f t="shared" si="474"/>
        <v>ENERO</v>
      </c>
      <c r="C7456" s="55">
        <f t="shared" si="475"/>
        <v>1</v>
      </c>
      <c r="D7456" s="3" t="str">
        <f t="shared" si="476"/>
        <v>SÁBADO</v>
      </c>
      <c r="E7456" s="427"/>
      <c r="F7456" s="31">
        <f>IFERROR(VLOOKUP(E7456,BD!$L$2:$Q$244,2,0),0)</f>
        <v>0</v>
      </c>
      <c r="G7456" s="424"/>
      <c r="H7456" s="31">
        <f>+IFERROR(VLOOKUP(E7456,BD!$L$2:$Q$244,6,0),0)</f>
        <v>0</v>
      </c>
      <c r="I7456" s="626">
        <f>IFERROR(G7456*VLOOKUP($E7456,BD!$L$2:$Q$244,5,0),0)</f>
        <v>0</v>
      </c>
      <c r="J7456" s="3">
        <f t="shared" si="477"/>
        <v>1900</v>
      </c>
    </row>
    <row r="7457" spans="1:10" s="9" customFormat="1" x14ac:dyDescent="0.25">
      <c r="A7457" s="447"/>
      <c r="B7457" s="55" t="str">
        <f t="shared" si="474"/>
        <v>ENERO</v>
      </c>
      <c r="C7457" s="55">
        <f t="shared" si="475"/>
        <v>1</v>
      </c>
      <c r="D7457" s="3" t="str">
        <f t="shared" si="476"/>
        <v>SÁBADO</v>
      </c>
      <c r="E7457" s="427"/>
      <c r="F7457" s="31">
        <f>IFERROR(VLOOKUP(E7457,BD!$L$2:$Q$244,2,0),0)</f>
        <v>0</v>
      </c>
      <c r="G7457" s="424"/>
      <c r="H7457" s="31">
        <f>+IFERROR(VLOOKUP(E7457,BD!$L$2:$Q$244,6,0),0)</f>
        <v>0</v>
      </c>
      <c r="I7457" s="626">
        <f>IFERROR(G7457*VLOOKUP($E7457,BD!$L$2:$Q$244,5,0),0)</f>
        <v>0</v>
      </c>
      <c r="J7457" s="3">
        <f t="shared" si="477"/>
        <v>1900</v>
      </c>
    </row>
    <row r="7458" spans="1:10" s="9" customFormat="1" x14ac:dyDescent="0.25">
      <c r="A7458" s="447"/>
      <c r="B7458" s="55" t="str">
        <f t="shared" si="474"/>
        <v>ENERO</v>
      </c>
      <c r="C7458" s="55">
        <f t="shared" si="475"/>
        <v>1</v>
      </c>
      <c r="D7458" s="3" t="str">
        <f t="shared" si="476"/>
        <v>SÁBADO</v>
      </c>
      <c r="E7458" s="427"/>
      <c r="F7458" s="31">
        <f>IFERROR(VLOOKUP(E7458,BD!$L$2:$Q$244,2,0),0)</f>
        <v>0</v>
      </c>
      <c r="G7458" s="424"/>
      <c r="H7458" s="31">
        <f>+IFERROR(VLOOKUP(E7458,BD!$L$2:$Q$244,6,0),0)</f>
        <v>0</v>
      </c>
      <c r="I7458" s="626">
        <f>IFERROR(G7458*VLOOKUP($E7458,BD!$L$2:$Q$244,5,0),0)</f>
        <v>0</v>
      </c>
      <c r="J7458" s="3">
        <f t="shared" si="477"/>
        <v>1900</v>
      </c>
    </row>
    <row r="7459" spans="1:10" s="9" customFormat="1" x14ac:dyDescent="0.25">
      <c r="A7459" s="447"/>
      <c r="B7459" s="55" t="str">
        <f t="shared" si="474"/>
        <v>ENERO</v>
      </c>
      <c r="C7459" s="55">
        <f t="shared" si="475"/>
        <v>1</v>
      </c>
      <c r="D7459" s="3" t="str">
        <f t="shared" si="476"/>
        <v>SÁBADO</v>
      </c>
      <c r="E7459" s="427"/>
      <c r="F7459" s="31">
        <f>IFERROR(VLOOKUP(E7459,BD!$L$2:$Q$244,2,0),0)</f>
        <v>0</v>
      </c>
      <c r="G7459" s="424"/>
      <c r="H7459" s="31">
        <f>+IFERROR(VLOOKUP(E7459,BD!$L$2:$Q$244,6,0),0)</f>
        <v>0</v>
      </c>
      <c r="I7459" s="626">
        <f>IFERROR(G7459*VLOOKUP($E7459,BD!$L$2:$Q$244,5,0),0)</f>
        <v>0</v>
      </c>
      <c r="J7459" s="3">
        <f t="shared" si="477"/>
        <v>1900</v>
      </c>
    </row>
    <row r="7460" spans="1:10" s="9" customFormat="1" x14ac:dyDescent="0.25">
      <c r="A7460" s="447"/>
      <c r="B7460" s="55" t="str">
        <f t="shared" si="474"/>
        <v>ENERO</v>
      </c>
      <c r="C7460" s="55">
        <f t="shared" si="475"/>
        <v>1</v>
      </c>
      <c r="D7460" s="3" t="str">
        <f t="shared" si="476"/>
        <v>SÁBADO</v>
      </c>
      <c r="E7460" s="427"/>
      <c r="F7460" s="31">
        <f>IFERROR(VLOOKUP(E7460,BD!$L$2:$Q$244,2,0),0)</f>
        <v>0</v>
      </c>
      <c r="G7460" s="424"/>
      <c r="H7460" s="31">
        <f>+IFERROR(VLOOKUP(E7460,BD!$L$2:$Q$244,6,0),0)</f>
        <v>0</v>
      </c>
      <c r="I7460" s="626">
        <f>IFERROR(G7460*VLOOKUP($E7460,BD!$L$2:$Q$244,5,0),0)</f>
        <v>0</v>
      </c>
      <c r="J7460" s="3">
        <f t="shared" si="477"/>
        <v>1900</v>
      </c>
    </row>
    <row r="7461" spans="1:10" s="9" customFormat="1" x14ac:dyDescent="0.25">
      <c r="A7461" s="447"/>
      <c r="B7461" s="55" t="str">
        <f t="shared" si="474"/>
        <v>ENERO</v>
      </c>
      <c r="C7461" s="55">
        <f t="shared" si="475"/>
        <v>1</v>
      </c>
      <c r="D7461" s="3" t="str">
        <f t="shared" si="476"/>
        <v>SÁBADO</v>
      </c>
      <c r="E7461" s="427"/>
      <c r="F7461" s="31">
        <f>IFERROR(VLOOKUP(E7461,BD!$L$2:$Q$244,2,0),0)</f>
        <v>0</v>
      </c>
      <c r="G7461" s="424"/>
      <c r="H7461" s="31">
        <f>+IFERROR(VLOOKUP(E7461,BD!$L$2:$Q$244,6,0),0)</f>
        <v>0</v>
      </c>
      <c r="I7461" s="626">
        <f>IFERROR(G7461*VLOOKUP($E7461,BD!$L$2:$Q$244,5,0),0)</f>
        <v>0</v>
      </c>
      <c r="J7461" s="3">
        <f t="shared" si="477"/>
        <v>1900</v>
      </c>
    </row>
    <row r="7462" spans="1:10" s="9" customFormat="1" x14ac:dyDescent="0.25">
      <c r="A7462" s="447"/>
      <c r="B7462" s="55" t="str">
        <f t="shared" si="474"/>
        <v>ENERO</v>
      </c>
      <c r="C7462" s="55">
        <f t="shared" si="475"/>
        <v>1</v>
      </c>
      <c r="D7462" s="3" t="str">
        <f t="shared" si="476"/>
        <v>SÁBADO</v>
      </c>
      <c r="E7462" s="427"/>
      <c r="F7462" s="31">
        <f>IFERROR(VLOOKUP(E7462,BD!$L$2:$Q$244,2,0),0)</f>
        <v>0</v>
      </c>
      <c r="G7462" s="424"/>
      <c r="H7462" s="31">
        <f>+IFERROR(VLOOKUP(E7462,BD!$L$2:$Q$244,6,0),0)</f>
        <v>0</v>
      </c>
      <c r="I7462" s="626">
        <f>IFERROR(G7462*VLOOKUP($E7462,BD!$L$2:$Q$244,5,0),0)</f>
        <v>0</v>
      </c>
      <c r="J7462" s="3">
        <f t="shared" si="477"/>
        <v>1900</v>
      </c>
    </row>
    <row r="7463" spans="1:10" s="9" customFormat="1" x14ac:dyDescent="0.25">
      <c r="A7463" s="447"/>
      <c r="B7463" s="55" t="str">
        <f t="shared" si="474"/>
        <v>ENERO</v>
      </c>
      <c r="C7463" s="55">
        <f t="shared" si="475"/>
        <v>1</v>
      </c>
      <c r="D7463" s="3" t="str">
        <f t="shared" si="476"/>
        <v>SÁBADO</v>
      </c>
      <c r="E7463" s="427"/>
      <c r="F7463" s="31">
        <f>IFERROR(VLOOKUP(E7463,BD!$L$2:$Q$244,2,0),0)</f>
        <v>0</v>
      </c>
      <c r="G7463" s="424"/>
      <c r="H7463" s="31">
        <f>+IFERROR(VLOOKUP(E7463,BD!$L$2:$Q$244,6,0),0)</f>
        <v>0</v>
      </c>
      <c r="I7463" s="626">
        <f>IFERROR(G7463*VLOOKUP($E7463,BD!$L$2:$Q$244,5,0),0)</f>
        <v>0</v>
      </c>
      <c r="J7463" s="3">
        <f t="shared" si="477"/>
        <v>1900</v>
      </c>
    </row>
    <row r="7464" spans="1:10" s="9" customFormat="1" x14ac:dyDescent="0.25">
      <c r="A7464" s="447"/>
      <c r="B7464" s="55" t="str">
        <f t="shared" si="474"/>
        <v>ENERO</v>
      </c>
      <c r="C7464" s="55">
        <f t="shared" si="475"/>
        <v>1</v>
      </c>
      <c r="D7464" s="3" t="str">
        <f t="shared" si="476"/>
        <v>SÁBADO</v>
      </c>
      <c r="E7464" s="427"/>
      <c r="F7464" s="31">
        <f>IFERROR(VLOOKUP(E7464,BD!$L$2:$Q$244,2,0),0)</f>
        <v>0</v>
      </c>
      <c r="G7464" s="424"/>
      <c r="H7464" s="31">
        <f>+IFERROR(VLOOKUP(E7464,BD!$L$2:$Q$244,6,0),0)</f>
        <v>0</v>
      </c>
      <c r="I7464" s="626">
        <f>IFERROR(G7464*VLOOKUP($E7464,BD!$L$2:$Q$244,5,0),0)</f>
        <v>0</v>
      </c>
      <c r="J7464" s="3">
        <f t="shared" si="477"/>
        <v>1900</v>
      </c>
    </row>
    <row r="7465" spans="1:10" s="9" customFormat="1" x14ac:dyDescent="0.25">
      <c r="A7465" s="447"/>
      <c r="B7465" s="55" t="str">
        <f t="shared" si="474"/>
        <v>ENERO</v>
      </c>
      <c r="C7465" s="55">
        <f t="shared" si="475"/>
        <v>1</v>
      </c>
      <c r="D7465" s="3" t="str">
        <f t="shared" si="476"/>
        <v>SÁBADO</v>
      </c>
      <c r="E7465" s="427"/>
      <c r="F7465" s="31">
        <f>IFERROR(VLOOKUP(E7465,BD!$L$2:$Q$244,2,0),0)</f>
        <v>0</v>
      </c>
      <c r="G7465" s="424"/>
      <c r="H7465" s="31">
        <f>+IFERROR(VLOOKUP(E7465,BD!$L$2:$Q$244,6,0),0)</f>
        <v>0</v>
      </c>
      <c r="I7465" s="626">
        <f>IFERROR(G7465*VLOOKUP($E7465,BD!$L$2:$Q$244,5,0),0)</f>
        <v>0</v>
      </c>
      <c r="J7465" s="3">
        <f t="shared" si="477"/>
        <v>1900</v>
      </c>
    </row>
    <row r="7466" spans="1:10" s="9" customFormat="1" x14ac:dyDescent="0.25">
      <c r="A7466" s="447"/>
      <c r="B7466" s="55" t="str">
        <f t="shared" si="474"/>
        <v>ENERO</v>
      </c>
      <c r="C7466" s="55">
        <f t="shared" si="475"/>
        <v>1</v>
      </c>
      <c r="D7466" s="3" t="str">
        <f t="shared" si="476"/>
        <v>SÁBADO</v>
      </c>
      <c r="E7466" s="427"/>
      <c r="F7466" s="31">
        <f>IFERROR(VLOOKUP(E7466,BD!$L$2:$Q$244,2,0),0)</f>
        <v>0</v>
      </c>
      <c r="G7466" s="424"/>
      <c r="H7466" s="31">
        <f>+IFERROR(VLOOKUP(E7466,BD!$L$2:$Q$244,6,0),0)</f>
        <v>0</v>
      </c>
      <c r="I7466" s="626">
        <f>IFERROR(G7466*VLOOKUP($E7466,BD!$L$2:$Q$244,5,0),0)</f>
        <v>0</v>
      </c>
      <c r="J7466" s="3">
        <f t="shared" si="477"/>
        <v>1900</v>
      </c>
    </row>
    <row r="7467" spans="1:10" s="9" customFormat="1" x14ac:dyDescent="0.25">
      <c r="A7467" s="447"/>
      <c r="B7467" s="55" t="str">
        <f t="shared" si="474"/>
        <v>ENERO</v>
      </c>
      <c r="C7467" s="55">
        <f t="shared" si="475"/>
        <v>1</v>
      </c>
      <c r="D7467" s="3" t="str">
        <f t="shared" si="476"/>
        <v>SÁBADO</v>
      </c>
      <c r="E7467" s="427"/>
      <c r="F7467" s="31">
        <f>IFERROR(VLOOKUP(E7467,BD!$L$2:$Q$244,2,0),0)</f>
        <v>0</v>
      </c>
      <c r="G7467" s="424"/>
      <c r="H7467" s="31">
        <f>+IFERROR(VLOOKUP(E7467,BD!$L$2:$Q$244,6,0),0)</f>
        <v>0</v>
      </c>
      <c r="I7467" s="626">
        <f>IFERROR(G7467*VLOOKUP($E7467,BD!$L$2:$Q$244,5,0),0)</f>
        <v>0</v>
      </c>
      <c r="J7467" s="3">
        <f t="shared" si="477"/>
        <v>1900</v>
      </c>
    </row>
    <row r="7468" spans="1:10" s="9" customFormat="1" x14ac:dyDescent="0.25">
      <c r="A7468" s="447"/>
      <c r="B7468" s="55" t="str">
        <f t="shared" si="474"/>
        <v>ENERO</v>
      </c>
      <c r="C7468" s="55">
        <f t="shared" si="475"/>
        <v>1</v>
      </c>
      <c r="D7468" s="3" t="str">
        <f t="shared" si="476"/>
        <v>SÁBADO</v>
      </c>
      <c r="E7468" s="427"/>
      <c r="F7468" s="31">
        <f>IFERROR(VLOOKUP(E7468,BD!$L$2:$Q$244,2,0),0)</f>
        <v>0</v>
      </c>
      <c r="G7468" s="424"/>
      <c r="H7468" s="31">
        <f>+IFERROR(VLOOKUP(E7468,BD!$L$2:$Q$244,6,0),0)</f>
        <v>0</v>
      </c>
      <c r="I7468" s="626">
        <f>IFERROR(G7468*VLOOKUP($E7468,BD!$L$2:$Q$244,5,0),0)</f>
        <v>0</v>
      </c>
      <c r="J7468" s="3">
        <f t="shared" si="477"/>
        <v>1900</v>
      </c>
    </row>
    <row r="7469" spans="1:10" s="9" customFormat="1" x14ac:dyDescent="0.25">
      <c r="A7469" s="447"/>
      <c r="B7469" s="55" t="str">
        <f t="shared" si="474"/>
        <v>ENERO</v>
      </c>
      <c r="C7469" s="55">
        <f t="shared" si="475"/>
        <v>1</v>
      </c>
      <c r="D7469" s="3" t="str">
        <f t="shared" si="476"/>
        <v>SÁBADO</v>
      </c>
      <c r="E7469" s="427"/>
      <c r="F7469" s="31">
        <f>IFERROR(VLOOKUP(E7469,BD!$L$2:$Q$244,2,0),0)</f>
        <v>0</v>
      </c>
      <c r="G7469" s="424"/>
      <c r="H7469" s="31">
        <f>+IFERROR(VLOOKUP(E7469,BD!$L$2:$Q$244,6,0),0)</f>
        <v>0</v>
      </c>
      <c r="I7469" s="626">
        <f>IFERROR(G7469*VLOOKUP($E7469,BD!$L$2:$Q$244,5,0),0)</f>
        <v>0</v>
      </c>
      <c r="J7469" s="3">
        <f t="shared" si="477"/>
        <v>1900</v>
      </c>
    </row>
    <row r="7470" spans="1:10" s="9" customFormat="1" x14ac:dyDescent="0.25">
      <c r="A7470" s="447"/>
      <c r="B7470" s="55" t="str">
        <f t="shared" si="474"/>
        <v>ENERO</v>
      </c>
      <c r="C7470" s="55">
        <f t="shared" si="475"/>
        <v>1</v>
      </c>
      <c r="D7470" s="3" t="str">
        <f t="shared" si="476"/>
        <v>SÁBADO</v>
      </c>
      <c r="E7470" s="427"/>
      <c r="F7470" s="31">
        <f>IFERROR(VLOOKUP(E7470,BD!$L$2:$Q$244,2,0),0)</f>
        <v>0</v>
      </c>
      <c r="G7470" s="424"/>
      <c r="H7470" s="31">
        <f>+IFERROR(VLOOKUP(E7470,BD!$L$2:$Q$244,6,0),0)</f>
        <v>0</v>
      </c>
      <c r="I7470" s="626">
        <f>IFERROR(G7470*VLOOKUP($E7470,BD!$L$2:$Q$244,5,0),0)</f>
        <v>0</v>
      </c>
      <c r="J7470" s="3">
        <f t="shared" si="477"/>
        <v>1900</v>
      </c>
    </row>
    <row r="7471" spans="1:10" s="9" customFormat="1" x14ac:dyDescent="0.25">
      <c r="A7471" s="447"/>
      <c r="B7471" s="55" t="str">
        <f t="shared" si="474"/>
        <v>ENERO</v>
      </c>
      <c r="C7471" s="55">
        <f t="shared" si="475"/>
        <v>1</v>
      </c>
      <c r="D7471" s="3" t="str">
        <f t="shared" si="476"/>
        <v>SÁBADO</v>
      </c>
      <c r="E7471" s="427"/>
      <c r="F7471" s="31">
        <f>IFERROR(VLOOKUP(E7471,BD!$L$2:$Q$244,2,0),0)</f>
        <v>0</v>
      </c>
      <c r="G7471" s="424"/>
      <c r="H7471" s="31">
        <f>+IFERROR(VLOOKUP(E7471,BD!$L$2:$Q$244,6,0),0)</f>
        <v>0</v>
      </c>
      <c r="I7471" s="626">
        <f>IFERROR(G7471*VLOOKUP($E7471,BD!$L$2:$Q$244,5,0),0)</f>
        <v>0</v>
      </c>
      <c r="J7471" s="3">
        <f t="shared" si="477"/>
        <v>1900</v>
      </c>
    </row>
    <row r="7472" spans="1:10" s="9" customFormat="1" x14ac:dyDescent="0.25">
      <c r="A7472" s="447"/>
      <c r="B7472" s="55" t="str">
        <f t="shared" si="474"/>
        <v>ENERO</v>
      </c>
      <c r="C7472" s="55">
        <f t="shared" si="475"/>
        <v>1</v>
      </c>
      <c r="D7472" s="3" t="str">
        <f t="shared" si="476"/>
        <v>SÁBADO</v>
      </c>
      <c r="E7472" s="427"/>
      <c r="F7472" s="31">
        <f>IFERROR(VLOOKUP(E7472,BD!$L$2:$Q$244,2,0),0)</f>
        <v>0</v>
      </c>
      <c r="G7472" s="424"/>
      <c r="H7472" s="31">
        <f>+IFERROR(VLOOKUP(E7472,BD!$L$2:$Q$244,6,0),0)</f>
        <v>0</v>
      </c>
      <c r="I7472" s="626">
        <f>IFERROR(G7472*VLOOKUP($E7472,BD!$L$2:$Q$244,5,0),0)</f>
        <v>0</v>
      </c>
      <c r="J7472" s="3">
        <f t="shared" si="477"/>
        <v>1900</v>
      </c>
    </row>
    <row r="7473" spans="1:10" s="9" customFormat="1" x14ac:dyDescent="0.25">
      <c r="A7473" s="447"/>
      <c r="B7473" s="55" t="str">
        <f t="shared" si="474"/>
        <v>ENERO</v>
      </c>
      <c r="C7473" s="55">
        <f t="shared" si="475"/>
        <v>1</v>
      </c>
      <c r="D7473" s="3" t="str">
        <f t="shared" si="476"/>
        <v>SÁBADO</v>
      </c>
      <c r="E7473" s="427"/>
      <c r="F7473" s="31">
        <f>IFERROR(VLOOKUP(E7473,BD!$L$2:$Q$244,2,0),0)</f>
        <v>0</v>
      </c>
      <c r="G7473" s="424"/>
      <c r="H7473" s="31">
        <f>+IFERROR(VLOOKUP(E7473,BD!$L$2:$Q$244,6,0),0)</f>
        <v>0</v>
      </c>
      <c r="I7473" s="626">
        <f>IFERROR(G7473*VLOOKUP($E7473,BD!$L$2:$Q$244,5,0),0)</f>
        <v>0</v>
      </c>
      <c r="J7473" s="3">
        <f t="shared" si="477"/>
        <v>1900</v>
      </c>
    </row>
    <row r="7474" spans="1:10" s="9" customFormat="1" x14ac:dyDescent="0.25">
      <c r="A7474" s="447"/>
      <c r="B7474" s="55" t="str">
        <f t="shared" si="474"/>
        <v>ENERO</v>
      </c>
      <c r="C7474" s="55">
        <f t="shared" si="475"/>
        <v>1</v>
      </c>
      <c r="D7474" s="3" t="str">
        <f t="shared" si="476"/>
        <v>SÁBADO</v>
      </c>
      <c r="E7474" s="427"/>
      <c r="F7474" s="31">
        <f>IFERROR(VLOOKUP(E7474,BD!$L$2:$Q$244,2,0),0)</f>
        <v>0</v>
      </c>
      <c r="G7474" s="424"/>
      <c r="H7474" s="31">
        <f>+IFERROR(VLOOKUP(E7474,BD!$L$2:$Q$244,6,0),0)</f>
        <v>0</v>
      </c>
      <c r="I7474" s="626">
        <f>IFERROR(G7474*VLOOKUP($E7474,BD!$L$2:$Q$244,5,0),0)</f>
        <v>0</v>
      </c>
      <c r="J7474" s="3">
        <f t="shared" si="477"/>
        <v>1900</v>
      </c>
    </row>
    <row r="7475" spans="1:10" s="9" customFormat="1" x14ac:dyDescent="0.25">
      <c r="A7475" s="447"/>
      <c r="B7475" s="55" t="str">
        <f t="shared" si="474"/>
        <v>ENERO</v>
      </c>
      <c r="C7475" s="55">
        <f t="shared" si="475"/>
        <v>1</v>
      </c>
      <c r="D7475" s="3" t="str">
        <f t="shared" si="476"/>
        <v>SÁBADO</v>
      </c>
      <c r="E7475" s="427"/>
      <c r="F7475" s="31">
        <f>IFERROR(VLOOKUP(E7475,BD!$L$2:$Q$244,2,0),0)</f>
        <v>0</v>
      </c>
      <c r="G7475" s="424"/>
      <c r="H7475" s="31">
        <f>+IFERROR(VLOOKUP(E7475,BD!$L$2:$Q$244,6,0),0)</f>
        <v>0</v>
      </c>
      <c r="I7475" s="626">
        <f>IFERROR(G7475*VLOOKUP($E7475,BD!$L$2:$Q$244,5,0),0)</f>
        <v>0</v>
      </c>
      <c r="J7475" s="3">
        <f t="shared" si="477"/>
        <v>1900</v>
      </c>
    </row>
    <row r="7476" spans="1:10" s="9" customFormat="1" x14ac:dyDescent="0.25">
      <c r="A7476" s="447"/>
      <c r="B7476" s="55" t="str">
        <f t="shared" si="474"/>
        <v>ENERO</v>
      </c>
      <c r="C7476" s="55">
        <f t="shared" si="475"/>
        <v>1</v>
      </c>
      <c r="D7476" s="3" t="str">
        <f t="shared" si="476"/>
        <v>SÁBADO</v>
      </c>
      <c r="E7476" s="427"/>
      <c r="F7476" s="31">
        <f>IFERROR(VLOOKUP(E7476,BD!$L$2:$Q$244,2,0),0)</f>
        <v>0</v>
      </c>
      <c r="G7476" s="424"/>
      <c r="H7476" s="31">
        <f>+IFERROR(VLOOKUP(E7476,BD!$L$2:$Q$244,6,0),0)</f>
        <v>0</v>
      </c>
      <c r="I7476" s="626">
        <f>IFERROR(G7476*VLOOKUP($E7476,BD!$L$2:$Q$244,5,0),0)</f>
        <v>0</v>
      </c>
      <c r="J7476" s="3">
        <f t="shared" si="477"/>
        <v>1900</v>
      </c>
    </row>
    <row r="7477" spans="1:10" s="9" customFormat="1" x14ac:dyDescent="0.25">
      <c r="A7477" s="447"/>
      <c r="B7477" s="55" t="str">
        <f t="shared" si="474"/>
        <v>ENERO</v>
      </c>
      <c r="C7477" s="55">
        <f t="shared" si="475"/>
        <v>1</v>
      </c>
      <c r="D7477" s="3" t="str">
        <f t="shared" si="476"/>
        <v>SÁBADO</v>
      </c>
      <c r="E7477" s="427"/>
      <c r="F7477" s="31">
        <f>IFERROR(VLOOKUP(E7477,BD!$L$2:$Q$244,2,0),0)</f>
        <v>0</v>
      </c>
      <c r="G7477" s="424"/>
      <c r="H7477" s="31">
        <f>+IFERROR(VLOOKUP(E7477,BD!$L$2:$Q$244,6,0),0)</f>
        <v>0</v>
      </c>
      <c r="I7477" s="626">
        <f>IFERROR(G7477*VLOOKUP($E7477,BD!$L$2:$Q$244,5,0),0)</f>
        <v>0</v>
      </c>
      <c r="J7477" s="3">
        <f t="shared" si="477"/>
        <v>1900</v>
      </c>
    </row>
    <row r="7478" spans="1:10" s="9" customFormat="1" x14ac:dyDescent="0.25">
      <c r="A7478" s="447"/>
      <c r="B7478" s="55" t="str">
        <f t="shared" si="474"/>
        <v>ENERO</v>
      </c>
      <c r="C7478" s="55">
        <f t="shared" si="475"/>
        <v>1</v>
      </c>
      <c r="D7478" s="3" t="str">
        <f t="shared" si="476"/>
        <v>SÁBADO</v>
      </c>
      <c r="E7478" s="427"/>
      <c r="F7478" s="31">
        <f>IFERROR(VLOOKUP(E7478,BD!$L$2:$Q$244,2,0),0)</f>
        <v>0</v>
      </c>
      <c r="G7478" s="424"/>
      <c r="H7478" s="31">
        <f>+IFERROR(VLOOKUP(E7478,BD!$L$2:$Q$244,6,0),0)</f>
        <v>0</v>
      </c>
      <c r="I7478" s="626">
        <f>IFERROR(G7478*VLOOKUP($E7478,BD!$L$2:$Q$244,5,0),0)</f>
        <v>0</v>
      </c>
      <c r="J7478" s="3">
        <f t="shared" si="477"/>
        <v>1900</v>
      </c>
    </row>
    <row r="7479" spans="1:10" s="9" customFormat="1" x14ac:dyDescent="0.25">
      <c r="A7479" s="447"/>
      <c r="B7479" s="55" t="str">
        <f t="shared" si="474"/>
        <v>ENERO</v>
      </c>
      <c r="C7479" s="55">
        <f t="shared" si="475"/>
        <v>1</v>
      </c>
      <c r="D7479" s="3" t="str">
        <f t="shared" si="476"/>
        <v>SÁBADO</v>
      </c>
      <c r="E7479" s="427"/>
      <c r="F7479" s="31">
        <f>IFERROR(VLOOKUP(E7479,BD!$L$2:$Q$244,2,0),0)</f>
        <v>0</v>
      </c>
      <c r="G7479" s="424"/>
      <c r="H7479" s="31">
        <f>+IFERROR(VLOOKUP(E7479,BD!$L$2:$Q$244,6,0),0)</f>
        <v>0</v>
      </c>
      <c r="I7479" s="626">
        <f>IFERROR(G7479*VLOOKUP($E7479,BD!$L$2:$Q$244,5,0),0)</f>
        <v>0</v>
      </c>
      <c r="J7479" s="3">
        <f t="shared" si="477"/>
        <v>1900</v>
      </c>
    </row>
    <row r="7480" spans="1:10" s="9" customFormat="1" x14ac:dyDescent="0.25">
      <c r="A7480" s="447"/>
      <c r="B7480" s="55" t="str">
        <f t="shared" si="474"/>
        <v>ENERO</v>
      </c>
      <c r="C7480" s="55">
        <f t="shared" si="475"/>
        <v>1</v>
      </c>
      <c r="D7480" s="3" t="str">
        <f t="shared" si="476"/>
        <v>SÁBADO</v>
      </c>
      <c r="E7480" s="427"/>
      <c r="F7480" s="31">
        <f>IFERROR(VLOOKUP(E7480,BD!$L$2:$Q$244,2,0),0)</f>
        <v>0</v>
      </c>
      <c r="G7480" s="424"/>
      <c r="H7480" s="31">
        <f>+IFERROR(VLOOKUP(E7480,BD!$L$2:$Q$244,6,0),0)</f>
        <v>0</v>
      </c>
      <c r="I7480" s="626">
        <f>IFERROR(G7480*VLOOKUP($E7480,BD!$L$2:$Q$244,5,0),0)</f>
        <v>0</v>
      </c>
      <c r="J7480" s="3">
        <f t="shared" si="477"/>
        <v>1900</v>
      </c>
    </row>
    <row r="7481" spans="1:10" s="9" customFormat="1" x14ac:dyDescent="0.25">
      <c r="A7481" s="447"/>
      <c r="B7481" s="55" t="str">
        <f t="shared" si="474"/>
        <v>ENERO</v>
      </c>
      <c r="C7481" s="55">
        <f t="shared" si="475"/>
        <v>1</v>
      </c>
      <c r="D7481" s="3" t="str">
        <f t="shared" si="476"/>
        <v>SÁBADO</v>
      </c>
      <c r="E7481" s="427"/>
      <c r="F7481" s="31">
        <f>IFERROR(VLOOKUP(E7481,BD!$L$2:$Q$244,2,0),0)</f>
        <v>0</v>
      </c>
      <c r="G7481" s="424"/>
      <c r="H7481" s="31">
        <f>+IFERROR(VLOOKUP(E7481,BD!$L$2:$Q$244,6,0),0)</f>
        <v>0</v>
      </c>
      <c r="I7481" s="626">
        <f>IFERROR(G7481*VLOOKUP($E7481,BD!$L$2:$Q$244,5,0),0)</f>
        <v>0</v>
      </c>
      <c r="J7481" s="3">
        <f t="shared" si="477"/>
        <v>1900</v>
      </c>
    </row>
    <row r="7482" spans="1:10" s="9" customFormat="1" x14ac:dyDescent="0.25">
      <c r="A7482" s="447"/>
      <c r="B7482" s="55" t="str">
        <f t="shared" si="474"/>
        <v>ENERO</v>
      </c>
      <c r="C7482" s="55">
        <f t="shared" si="475"/>
        <v>1</v>
      </c>
      <c r="D7482" s="3" t="str">
        <f t="shared" si="476"/>
        <v>SÁBADO</v>
      </c>
      <c r="E7482" s="427"/>
      <c r="F7482" s="31">
        <f>IFERROR(VLOOKUP(E7482,BD!$L$2:$Q$244,2,0),0)</f>
        <v>0</v>
      </c>
      <c r="G7482" s="424"/>
      <c r="H7482" s="31">
        <f>+IFERROR(VLOOKUP(E7482,BD!$L$2:$Q$244,6,0),0)</f>
        <v>0</v>
      </c>
      <c r="I7482" s="626">
        <f>IFERROR(G7482*VLOOKUP($E7482,BD!$L$2:$Q$244,5,0),0)</f>
        <v>0</v>
      </c>
      <c r="J7482" s="3">
        <f t="shared" si="477"/>
        <v>1900</v>
      </c>
    </row>
    <row r="7483" spans="1:10" s="9" customFormat="1" x14ac:dyDescent="0.25">
      <c r="A7483" s="447"/>
      <c r="B7483" s="55" t="str">
        <f t="shared" si="474"/>
        <v>ENERO</v>
      </c>
      <c r="C7483" s="55">
        <f t="shared" si="475"/>
        <v>1</v>
      </c>
      <c r="D7483" s="3" t="str">
        <f t="shared" si="476"/>
        <v>SÁBADO</v>
      </c>
      <c r="E7483" s="427"/>
      <c r="F7483" s="31">
        <f>IFERROR(VLOOKUP(E7483,BD!$L$2:$Q$244,2,0),0)</f>
        <v>0</v>
      </c>
      <c r="G7483" s="424"/>
      <c r="H7483" s="31">
        <f>+IFERROR(VLOOKUP(E7483,BD!$L$2:$Q$244,6,0),0)</f>
        <v>0</v>
      </c>
      <c r="I7483" s="626">
        <f>IFERROR(G7483*VLOOKUP($E7483,BD!$L$2:$Q$244,5,0),0)</f>
        <v>0</v>
      </c>
      <c r="J7483" s="3">
        <f t="shared" si="477"/>
        <v>1900</v>
      </c>
    </row>
    <row r="7484" spans="1:10" s="9" customFormat="1" x14ac:dyDescent="0.25">
      <c r="A7484" s="447"/>
      <c r="B7484" s="55" t="str">
        <f t="shared" si="474"/>
        <v>ENERO</v>
      </c>
      <c r="C7484" s="55">
        <f t="shared" si="475"/>
        <v>1</v>
      </c>
      <c r="D7484" s="3" t="str">
        <f t="shared" si="476"/>
        <v>SÁBADO</v>
      </c>
      <c r="E7484" s="427"/>
      <c r="F7484" s="31">
        <f>IFERROR(VLOOKUP(E7484,BD!$L$2:$Q$244,2,0),0)</f>
        <v>0</v>
      </c>
      <c r="G7484" s="424"/>
      <c r="H7484" s="31">
        <f>+IFERROR(VLOOKUP(E7484,BD!$L$2:$Q$244,6,0),0)</f>
        <v>0</v>
      </c>
      <c r="I7484" s="626">
        <f>IFERROR(G7484*VLOOKUP($E7484,BD!$L$2:$Q$244,5,0),0)</f>
        <v>0</v>
      </c>
      <c r="J7484" s="3">
        <f t="shared" si="477"/>
        <v>1900</v>
      </c>
    </row>
    <row r="7485" spans="1:10" s="9" customFormat="1" x14ac:dyDescent="0.25">
      <c r="A7485" s="447"/>
      <c r="B7485" s="55" t="str">
        <f t="shared" ref="B7485:B7548" si="478">UPPER(TEXT(A7485,"MMMM"))</f>
        <v>ENERO</v>
      </c>
      <c r="C7485" s="55">
        <f t="shared" ref="C7485:C7548" si="479">WEEKNUM(A7485,16)</f>
        <v>1</v>
      </c>
      <c r="D7485" s="3" t="str">
        <f t="shared" ref="D7485:D7548" si="480">UPPER(TEXT(A7485,"DDDD"))</f>
        <v>SÁBADO</v>
      </c>
      <c r="E7485" s="427"/>
      <c r="F7485" s="31">
        <f>IFERROR(VLOOKUP(E7485,BD!$L$2:$Q$244,2,0),0)</f>
        <v>0</v>
      </c>
      <c r="G7485" s="424"/>
      <c r="H7485" s="31">
        <f>+IFERROR(VLOOKUP(E7485,BD!$L$2:$Q$244,6,0),0)</f>
        <v>0</v>
      </c>
      <c r="I7485" s="626">
        <f>IFERROR(G7485*VLOOKUP($E7485,BD!$L$2:$Q$244,5,0),0)</f>
        <v>0</v>
      </c>
      <c r="J7485" s="3">
        <f t="shared" ref="J7485:J7548" si="481">+YEAR(A7485)</f>
        <v>1900</v>
      </c>
    </row>
    <row r="7486" spans="1:10" s="9" customFormat="1" x14ac:dyDescent="0.25">
      <c r="A7486" s="447"/>
      <c r="B7486" s="55" t="str">
        <f t="shared" si="478"/>
        <v>ENERO</v>
      </c>
      <c r="C7486" s="55">
        <f t="shared" si="479"/>
        <v>1</v>
      </c>
      <c r="D7486" s="3" t="str">
        <f t="shared" si="480"/>
        <v>SÁBADO</v>
      </c>
      <c r="E7486" s="427"/>
      <c r="F7486" s="31">
        <f>IFERROR(VLOOKUP(E7486,BD!$L$2:$Q$244,2,0),0)</f>
        <v>0</v>
      </c>
      <c r="G7486" s="424"/>
      <c r="H7486" s="31">
        <f>+IFERROR(VLOOKUP(E7486,BD!$L$2:$Q$244,6,0),0)</f>
        <v>0</v>
      </c>
      <c r="I7486" s="626">
        <f>IFERROR(G7486*VLOOKUP($E7486,BD!$L$2:$Q$244,5,0),0)</f>
        <v>0</v>
      </c>
      <c r="J7486" s="3">
        <f t="shared" si="481"/>
        <v>1900</v>
      </c>
    </row>
    <row r="7487" spans="1:10" s="9" customFormat="1" x14ac:dyDescent="0.25">
      <c r="A7487" s="447"/>
      <c r="B7487" s="55" t="str">
        <f t="shared" si="478"/>
        <v>ENERO</v>
      </c>
      <c r="C7487" s="55">
        <f t="shared" si="479"/>
        <v>1</v>
      </c>
      <c r="D7487" s="3" t="str">
        <f t="shared" si="480"/>
        <v>SÁBADO</v>
      </c>
      <c r="E7487" s="427"/>
      <c r="F7487" s="31">
        <f>IFERROR(VLOOKUP(E7487,BD!$L$2:$Q$244,2,0),0)</f>
        <v>0</v>
      </c>
      <c r="G7487" s="424"/>
      <c r="H7487" s="31">
        <f>+IFERROR(VLOOKUP(E7487,BD!$L$2:$Q$244,6,0),0)</f>
        <v>0</v>
      </c>
      <c r="I7487" s="626">
        <f>IFERROR(G7487*VLOOKUP($E7487,BD!$L$2:$Q$244,5,0),0)</f>
        <v>0</v>
      </c>
      <c r="J7487" s="3">
        <f t="shared" si="481"/>
        <v>1900</v>
      </c>
    </row>
    <row r="7488" spans="1:10" s="9" customFormat="1" x14ac:dyDescent="0.25">
      <c r="A7488" s="447"/>
      <c r="B7488" s="55" t="str">
        <f t="shared" si="478"/>
        <v>ENERO</v>
      </c>
      <c r="C7488" s="55">
        <f t="shared" si="479"/>
        <v>1</v>
      </c>
      <c r="D7488" s="3" t="str">
        <f t="shared" si="480"/>
        <v>SÁBADO</v>
      </c>
      <c r="E7488" s="427"/>
      <c r="F7488" s="31">
        <f>IFERROR(VLOOKUP(E7488,BD!$L$2:$Q$244,2,0),0)</f>
        <v>0</v>
      </c>
      <c r="G7488" s="424"/>
      <c r="H7488" s="31">
        <f>+IFERROR(VLOOKUP(E7488,BD!$L$2:$Q$244,6,0),0)</f>
        <v>0</v>
      </c>
      <c r="I7488" s="626">
        <f>IFERROR(G7488*VLOOKUP($E7488,BD!$L$2:$Q$244,5,0),0)</f>
        <v>0</v>
      </c>
      <c r="J7488" s="3">
        <f t="shared" si="481"/>
        <v>1900</v>
      </c>
    </row>
    <row r="7489" spans="1:10" s="9" customFormat="1" x14ac:dyDescent="0.25">
      <c r="A7489" s="447"/>
      <c r="B7489" s="55" t="str">
        <f t="shared" si="478"/>
        <v>ENERO</v>
      </c>
      <c r="C7489" s="55">
        <f t="shared" si="479"/>
        <v>1</v>
      </c>
      <c r="D7489" s="3" t="str">
        <f t="shared" si="480"/>
        <v>SÁBADO</v>
      </c>
      <c r="E7489" s="427"/>
      <c r="F7489" s="31">
        <f>IFERROR(VLOOKUP(E7489,BD!$L$2:$Q$244,2,0),0)</f>
        <v>0</v>
      </c>
      <c r="G7489" s="424"/>
      <c r="H7489" s="31">
        <f>+IFERROR(VLOOKUP(E7489,BD!$L$2:$Q$244,6,0),0)</f>
        <v>0</v>
      </c>
      <c r="I7489" s="626">
        <f>IFERROR(G7489*VLOOKUP($E7489,BD!$L$2:$Q$244,5,0),0)</f>
        <v>0</v>
      </c>
      <c r="J7489" s="3">
        <f t="shared" si="481"/>
        <v>1900</v>
      </c>
    </row>
    <row r="7490" spans="1:10" s="9" customFormat="1" x14ac:dyDescent="0.25">
      <c r="A7490" s="447"/>
      <c r="B7490" s="55" t="str">
        <f t="shared" si="478"/>
        <v>ENERO</v>
      </c>
      <c r="C7490" s="55">
        <f t="shared" si="479"/>
        <v>1</v>
      </c>
      <c r="D7490" s="3" t="str">
        <f t="shared" si="480"/>
        <v>SÁBADO</v>
      </c>
      <c r="E7490" s="427"/>
      <c r="F7490" s="31">
        <f>IFERROR(VLOOKUP(E7490,BD!$L$2:$Q$244,2,0),0)</f>
        <v>0</v>
      </c>
      <c r="G7490" s="424"/>
      <c r="H7490" s="31">
        <f>+IFERROR(VLOOKUP(E7490,BD!$L$2:$Q$244,6,0),0)</f>
        <v>0</v>
      </c>
      <c r="I7490" s="626">
        <f>IFERROR(G7490*VLOOKUP($E7490,BD!$L$2:$Q$244,5,0),0)</f>
        <v>0</v>
      </c>
      <c r="J7490" s="3">
        <f t="shared" si="481"/>
        <v>1900</v>
      </c>
    </row>
    <row r="7491" spans="1:10" s="9" customFormat="1" x14ac:dyDescent="0.25">
      <c r="A7491" s="447"/>
      <c r="B7491" s="55" t="str">
        <f t="shared" si="478"/>
        <v>ENERO</v>
      </c>
      <c r="C7491" s="55">
        <f t="shared" si="479"/>
        <v>1</v>
      </c>
      <c r="D7491" s="3" t="str">
        <f t="shared" si="480"/>
        <v>SÁBADO</v>
      </c>
      <c r="E7491" s="427"/>
      <c r="F7491" s="31">
        <f>IFERROR(VLOOKUP(E7491,BD!$L$2:$Q$244,2,0),0)</f>
        <v>0</v>
      </c>
      <c r="G7491" s="424"/>
      <c r="H7491" s="31">
        <f>+IFERROR(VLOOKUP(E7491,BD!$L$2:$Q$244,6,0),0)</f>
        <v>0</v>
      </c>
      <c r="I7491" s="626">
        <f>IFERROR(G7491*VLOOKUP($E7491,BD!$L$2:$Q$244,5,0),0)</f>
        <v>0</v>
      </c>
      <c r="J7491" s="3">
        <f t="shared" si="481"/>
        <v>1900</v>
      </c>
    </row>
    <row r="7492" spans="1:10" s="9" customFormat="1" x14ac:dyDescent="0.25">
      <c r="A7492" s="447"/>
      <c r="B7492" s="55" t="str">
        <f t="shared" si="478"/>
        <v>ENERO</v>
      </c>
      <c r="C7492" s="55">
        <f t="shared" si="479"/>
        <v>1</v>
      </c>
      <c r="D7492" s="3" t="str">
        <f t="shared" si="480"/>
        <v>SÁBADO</v>
      </c>
      <c r="E7492" s="427"/>
      <c r="F7492" s="31">
        <f>IFERROR(VLOOKUP(E7492,BD!$L$2:$Q$244,2,0),0)</f>
        <v>0</v>
      </c>
      <c r="G7492" s="424"/>
      <c r="H7492" s="31">
        <f>+IFERROR(VLOOKUP(E7492,BD!$L$2:$Q$244,6,0),0)</f>
        <v>0</v>
      </c>
      <c r="I7492" s="626">
        <f>IFERROR(G7492*VLOOKUP($E7492,BD!$L$2:$Q$244,5,0),0)</f>
        <v>0</v>
      </c>
      <c r="J7492" s="3">
        <f t="shared" si="481"/>
        <v>1900</v>
      </c>
    </row>
    <row r="7493" spans="1:10" s="9" customFormat="1" x14ac:dyDescent="0.25">
      <c r="A7493" s="447"/>
      <c r="B7493" s="55" t="str">
        <f t="shared" si="478"/>
        <v>ENERO</v>
      </c>
      <c r="C7493" s="55">
        <f t="shared" si="479"/>
        <v>1</v>
      </c>
      <c r="D7493" s="3" t="str">
        <f t="shared" si="480"/>
        <v>SÁBADO</v>
      </c>
      <c r="E7493" s="427"/>
      <c r="F7493" s="31">
        <f>IFERROR(VLOOKUP(E7493,BD!$L$2:$Q$244,2,0),0)</f>
        <v>0</v>
      </c>
      <c r="G7493" s="424"/>
      <c r="H7493" s="31">
        <f>+IFERROR(VLOOKUP(E7493,BD!$L$2:$Q$244,6,0),0)</f>
        <v>0</v>
      </c>
      <c r="I7493" s="626">
        <f>IFERROR(G7493*VLOOKUP($E7493,BD!$L$2:$Q$244,5,0),0)</f>
        <v>0</v>
      </c>
      <c r="J7493" s="3">
        <f t="shared" si="481"/>
        <v>1900</v>
      </c>
    </row>
    <row r="7494" spans="1:10" s="9" customFormat="1" x14ac:dyDescent="0.25">
      <c r="A7494" s="447"/>
      <c r="B7494" s="55" t="str">
        <f t="shared" si="478"/>
        <v>ENERO</v>
      </c>
      <c r="C7494" s="55">
        <f t="shared" si="479"/>
        <v>1</v>
      </c>
      <c r="D7494" s="3" t="str">
        <f t="shared" si="480"/>
        <v>SÁBADO</v>
      </c>
      <c r="E7494" s="427"/>
      <c r="F7494" s="31">
        <f>IFERROR(VLOOKUP(E7494,BD!$L$2:$Q$244,2,0),0)</f>
        <v>0</v>
      </c>
      <c r="G7494" s="424"/>
      <c r="H7494" s="31">
        <f>+IFERROR(VLOOKUP(E7494,BD!$L$2:$Q$244,6,0),0)</f>
        <v>0</v>
      </c>
      <c r="I7494" s="626">
        <f>IFERROR(G7494*VLOOKUP($E7494,BD!$L$2:$Q$244,5,0),0)</f>
        <v>0</v>
      </c>
      <c r="J7494" s="3">
        <f t="shared" si="481"/>
        <v>1900</v>
      </c>
    </row>
    <row r="7495" spans="1:10" s="9" customFormat="1" x14ac:dyDescent="0.25">
      <c r="A7495" s="447"/>
      <c r="B7495" s="55" t="str">
        <f t="shared" si="478"/>
        <v>ENERO</v>
      </c>
      <c r="C7495" s="55">
        <f t="shared" si="479"/>
        <v>1</v>
      </c>
      <c r="D7495" s="3" t="str">
        <f t="shared" si="480"/>
        <v>SÁBADO</v>
      </c>
      <c r="E7495" s="427"/>
      <c r="F7495" s="31">
        <f>IFERROR(VLOOKUP(E7495,BD!$L$2:$Q$244,2,0),0)</f>
        <v>0</v>
      </c>
      <c r="G7495" s="424"/>
      <c r="H7495" s="31">
        <f>+IFERROR(VLOOKUP(E7495,BD!$L$2:$Q$244,6,0),0)</f>
        <v>0</v>
      </c>
      <c r="I7495" s="626">
        <f>IFERROR(G7495*VLOOKUP($E7495,BD!$L$2:$Q$244,5,0),0)</f>
        <v>0</v>
      </c>
      <c r="J7495" s="3">
        <f t="shared" si="481"/>
        <v>1900</v>
      </c>
    </row>
    <row r="7496" spans="1:10" s="9" customFormat="1" x14ac:dyDescent="0.25">
      <c r="A7496" s="447"/>
      <c r="B7496" s="55" t="str">
        <f t="shared" si="478"/>
        <v>ENERO</v>
      </c>
      <c r="C7496" s="55">
        <f t="shared" si="479"/>
        <v>1</v>
      </c>
      <c r="D7496" s="3" t="str">
        <f t="shared" si="480"/>
        <v>SÁBADO</v>
      </c>
      <c r="E7496" s="427"/>
      <c r="F7496" s="31">
        <f>IFERROR(VLOOKUP(E7496,BD!$L$2:$Q$244,2,0),0)</f>
        <v>0</v>
      </c>
      <c r="G7496" s="424"/>
      <c r="H7496" s="31">
        <f>+IFERROR(VLOOKUP(E7496,BD!$L$2:$Q$244,6,0),0)</f>
        <v>0</v>
      </c>
      <c r="I7496" s="626">
        <f>IFERROR(G7496*VLOOKUP($E7496,BD!$L$2:$Q$244,5,0),0)</f>
        <v>0</v>
      </c>
      <c r="J7496" s="3">
        <f t="shared" si="481"/>
        <v>1900</v>
      </c>
    </row>
    <row r="7497" spans="1:10" s="9" customFormat="1" x14ac:dyDescent="0.25">
      <c r="A7497" s="447"/>
      <c r="B7497" s="55" t="str">
        <f t="shared" si="478"/>
        <v>ENERO</v>
      </c>
      <c r="C7497" s="55">
        <f t="shared" si="479"/>
        <v>1</v>
      </c>
      <c r="D7497" s="3" t="str">
        <f t="shared" si="480"/>
        <v>SÁBADO</v>
      </c>
      <c r="E7497" s="427"/>
      <c r="F7497" s="31">
        <f>IFERROR(VLOOKUP(E7497,BD!$L$2:$Q$244,2,0),0)</f>
        <v>0</v>
      </c>
      <c r="G7497" s="424"/>
      <c r="H7497" s="31">
        <f>+IFERROR(VLOOKUP(E7497,BD!$L$2:$Q$244,6,0),0)</f>
        <v>0</v>
      </c>
      <c r="I7497" s="626">
        <f>IFERROR(G7497*VLOOKUP($E7497,BD!$L$2:$Q$244,5,0),0)</f>
        <v>0</v>
      </c>
      <c r="J7497" s="3">
        <f t="shared" si="481"/>
        <v>1900</v>
      </c>
    </row>
    <row r="7498" spans="1:10" s="9" customFormat="1" x14ac:dyDescent="0.25">
      <c r="A7498" s="447"/>
      <c r="B7498" s="55" t="str">
        <f t="shared" si="478"/>
        <v>ENERO</v>
      </c>
      <c r="C7498" s="55">
        <f t="shared" si="479"/>
        <v>1</v>
      </c>
      <c r="D7498" s="3" t="str">
        <f t="shared" si="480"/>
        <v>SÁBADO</v>
      </c>
      <c r="E7498" s="427"/>
      <c r="F7498" s="31">
        <f>IFERROR(VLOOKUP(E7498,BD!$L$2:$Q$244,2,0),0)</f>
        <v>0</v>
      </c>
      <c r="G7498" s="424"/>
      <c r="H7498" s="31">
        <f>+IFERROR(VLOOKUP(E7498,BD!$L$2:$Q$244,6,0),0)</f>
        <v>0</v>
      </c>
      <c r="I7498" s="626">
        <f>IFERROR(G7498*VLOOKUP($E7498,BD!$L$2:$Q$244,5,0),0)</f>
        <v>0</v>
      </c>
      <c r="J7498" s="3">
        <f t="shared" si="481"/>
        <v>1900</v>
      </c>
    </row>
    <row r="7499" spans="1:10" s="9" customFormat="1" x14ac:dyDescent="0.25">
      <c r="A7499" s="447"/>
      <c r="B7499" s="55" t="str">
        <f t="shared" si="478"/>
        <v>ENERO</v>
      </c>
      <c r="C7499" s="55">
        <f t="shared" si="479"/>
        <v>1</v>
      </c>
      <c r="D7499" s="3" t="str">
        <f t="shared" si="480"/>
        <v>SÁBADO</v>
      </c>
      <c r="E7499" s="427"/>
      <c r="F7499" s="31">
        <f>IFERROR(VLOOKUP(E7499,BD!$L$2:$Q$244,2,0),0)</f>
        <v>0</v>
      </c>
      <c r="G7499" s="424"/>
      <c r="H7499" s="31">
        <f>+IFERROR(VLOOKUP(E7499,BD!$L$2:$Q$244,6,0),0)</f>
        <v>0</v>
      </c>
      <c r="I7499" s="626">
        <f>IFERROR(G7499*VLOOKUP($E7499,BD!$L$2:$Q$244,5,0),0)</f>
        <v>0</v>
      </c>
      <c r="J7499" s="3">
        <f t="shared" si="481"/>
        <v>1900</v>
      </c>
    </row>
    <row r="7500" spans="1:10" s="9" customFormat="1" x14ac:dyDescent="0.25">
      <c r="A7500" s="447"/>
      <c r="B7500" s="55" t="str">
        <f t="shared" si="478"/>
        <v>ENERO</v>
      </c>
      <c r="C7500" s="55">
        <f t="shared" si="479"/>
        <v>1</v>
      </c>
      <c r="D7500" s="3" t="str">
        <f t="shared" si="480"/>
        <v>SÁBADO</v>
      </c>
      <c r="E7500" s="427"/>
      <c r="F7500" s="31">
        <f>IFERROR(VLOOKUP(E7500,BD!$L$2:$Q$244,2,0),0)</f>
        <v>0</v>
      </c>
      <c r="G7500" s="424"/>
      <c r="H7500" s="31">
        <f>+IFERROR(VLOOKUP(E7500,BD!$L$2:$Q$244,6,0),0)</f>
        <v>0</v>
      </c>
      <c r="I7500" s="626">
        <f>IFERROR(G7500*VLOOKUP($E7500,BD!$L$2:$Q$244,5,0),0)</f>
        <v>0</v>
      </c>
      <c r="J7500" s="3">
        <f t="shared" si="481"/>
        <v>1900</v>
      </c>
    </row>
    <row r="7501" spans="1:10" s="9" customFormat="1" x14ac:dyDescent="0.25">
      <c r="A7501" s="447"/>
      <c r="B7501" s="55" t="str">
        <f t="shared" si="478"/>
        <v>ENERO</v>
      </c>
      <c r="C7501" s="55">
        <f t="shared" si="479"/>
        <v>1</v>
      </c>
      <c r="D7501" s="3" t="str">
        <f t="shared" si="480"/>
        <v>SÁBADO</v>
      </c>
      <c r="E7501" s="427"/>
      <c r="F7501" s="31">
        <f>IFERROR(VLOOKUP(E7501,BD!$L$2:$Q$244,2,0),0)</f>
        <v>0</v>
      </c>
      <c r="G7501" s="424"/>
      <c r="H7501" s="31">
        <f>+IFERROR(VLOOKUP(E7501,BD!$L$2:$Q$244,6,0),0)</f>
        <v>0</v>
      </c>
      <c r="I7501" s="626">
        <f>IFERROR(G7501*VLOOKUP($E7501,BD!$L$2:$Q$244,5,0),0)</f>
        <v>0</v>
      </c>
      <c r="J7501" s="3">
        <f t="shared" si="481"/>
        <v>1900</v>
      </c>
    </row>
    <row r="7502" spans="1:10" s="9" customFormat="1" x14ac:dyDescent="0.25">
      <c r="A7502" s="447"/>
      <c r="B7502" s="55" t="str">
        <f t="shared" si="478"/>
        <v>ENERO</v>
      </c>
      <c r="C7502" s="55">
        <f t="shared" si="479"/>
        <v>1</v>
      </c>
      <c r="D7502" s="3" t="str">
        <f t="shared" si="480"/>
        <v>SÁBADO</v>
      </c>
      <c r="E7502" s="427"/>
      <c r="F7502" s="31">
        <f>IFERROR(VLOOKUP(E7502,BD!$L$2:$Q$244,2,0),0)</f>
        <v>0</v>
      </c>
      <c r="G7502" s="424"/>
      <c r="H7502" s="31">
        <f>+IFERROR(VLOOKUP(E7502,BD!$L$2:$Q$244,6,0),0)</f>
        <v>0</v>
      </c>
      <c r="I7502" s="626">
        <f>IFERROR(G7502*VLOOKUP($E7502,BD!$L$2:$Q$244,5,0),0)</f>
        <v>0</v>
      </c>
      <c r="J7502" s="3">
        <f t="shared" si="481"/>
        <v>1900</v>
      </c>
    </row>
    <row r="7503" spans="1:10" s="9" customFormat="1" x14ac:dyDescent="0.25">
      <c r="A7503" s="447"/>
      <c r="B7503" s="55" t="str">
        <f t="shared" si="478"/>
        <v>ENERO</v>
      </c>
      <c r="C7503" s="55">
        <f t="shared" si="479"/>
        <v>1</v>
      </c>
      <c r="D7503" s="3" t="str">
        <f t="shared" si="480"/>
        <v>SÁBADO</v>
      </c>
      <c r="E7503" s="427"/>
      <c r="F7503" s="31">
        <f>IFERROR(VLOOKUP(E7503,BD!$L$2:$Q$244,2,0),0)</f>
        <v>0</v>
      </c>
      <c r="G7503" s="424"/>
      <c r="H7503" s="31">
        <f>+IFERROR(VLOOKUP(E7503,BD!$L$2:$Q$244,6,0),0)</f>
        <v>0</v>
      </c>
      <c r="I7503" s="626">
        <f>IFERROR(G7503*VLOOKUP($E7503,BD!$L$2:$Q$244,5,0),0)</f>
        <v>0</v>
      </c>
      <c r="J7503" s="3">
        <f t="shared" si="481"/>
        <v>1900</v>
      </c>
    </row>
    <row r="7504" spans="1:10" s="9" customFormat="1" x14ac:dyDescent="0.25">
      <c r="A7504" s="447"/>
      <c r="B7504" s="55" t="str">
        <f t="shared" si="478"/>
        <v>ENERO</v>
      </c>
      <c r="C7504" s="55">
        <f t="shared" si="479"/>
        <v>1</v>
      </c>
      <c r="D7504" s="3" t="str">
        <f t="shared" si="480"/>
        <v>SÁBADO</v>
      </c>
      <c r="E7504" s="427"/>
      <c r="F7504" s="31">
        <f>IFERROR(VLOOKUP(E7504,BD!$L$2:$Q$244,2,0),0)</f>
        <v>0</v>
      </c>
      <c r="G7504" s="424"/>
      <c r="H7504" s="31">
        <f>+IFERROR(VLOOKUP(E7504,BD!$L$2:$Q$244,6,0),0)</f>
        <v>0</v>
      </c>
      <c r="I7504" s="626">
        <f>IFERROR(G7504*VLOOKUP($E7504,BD!$L$2:$Q$244,5,0),0)</f>
        <v>0</v>
      </c>
      <c r="J7504" s="3">
        <f t="shared" si="481"/>
        <v>1900</v>
      </c>
    </row>
    <row r="7505" spans="1:10" s="9" customFormat="1" x14ac:dyDescent="0.25">
      <c r="A7505" s="447"/>
      <c r="B7505" s="55" t="str">
        <f t="shared" si="478"/>
        <v>ENERO</v>
      </c>
      <c r="C7505" s="55">
        <f t="shared" si="479"/>
        <v>1</v>
      </c>
      <c r="D7505" s="3" t="str">
        <f t="shared" si="480"/>
        <v>SÁBADO</v>
      </c>
      <c r="E7505" s="427"/>
      <c r="F7505" s="31">
        <f>IFERROR(VLOOKUP(E7505,BD!$L$2:$Q$244,2,0),0)</f>
        <v>0</v>
      </c>
      <c r="G7505" s="424"/>
      <c r="H7505" s="31">
        <f>+IFERROR(VLOOKUP(E7505,BD!$L$2:$Q$244,6,0),0)</f>
        <v>0</v>
      </c>
      <c r="I7505" s="626">
        <f>IFERROR(G7505*VLOOKUP($E7505,BD!$L$2:$Q$244,5,0),0)</f>
        <v>0</v>
      </c>
      <c r="J7505" s="3">
        <f t="shared" si="481"/>
        <v>1900</v>
      </c>
    </row>
    <row r="7506" spans="1:10" s="9" customFormat="1" x14ac:dyDescent="0.25">
      <c r="A7506" s="447"/>
      <c r="B7506" s="55" t="str">
        <f t="shared" si="478"/>
        <v>ENERO</v>
      </c>
      <c r="C7506" s="55">
        <f t="shared" si="479"/>
        <v>1</v>
      </c>
      <c r="D7506" s="3" t="str">
        <f t="shared" si="480"/>
        <v>SÁBADO</v>
      </c>
      <c r="E7506" s="427"/>
      <c r="F7506" s="31">
        <f>IFERROR(VLOOKUP(E7506,BD!$L$2:$Q$244,2,0),0)</f>
        <v>0</v>
      </c>
      <c r="G7506" s="424"/>
      <c r="H7506" s="31">
        <f>+IFERROR(VLOOKUP(E7506,BD!$L$2:$Q$244,6,0),0)</f>
        <v>0</v>
      </c>
      <c r="I7506" s="626">
        <f>IFERROR(G7506*VLOOKUP($E7506,BD!$L$2:$Q$244,5,0),0)</f>
        <v>0</v>
      </c>
      <c r="J7506" s="3">
        <f t="shared" si="481"/>
        <v>1900</v>
      </c>
    </row>
    <row r="7507" spans="1:10" s="9" customFormat="1" x14ac:dyDescent="0.25">
      <c r="A7507" s="447"/>
      <c r="B7507" s="55" t="str">
        <f t="shared" si="478"/>
        <v>ENERO</v>
      </c>
      <c r="C7507" s="55">
        <f t="shared" si="479"/>
        <v>1</v>
      </c>
      <c r="D7507" s="3" t="str">
        <f t="shared" si="480"/>
        <v>SÁBADO</v>
      </c>
      <c r="E7507" s="427"/>
      <c r="F7507" s="31">
        <f>IFERROR(VLOOKUP(E7507,BD!$L$2:$Q$244,2,0),0)</f>
        <v>0</v>
      </c>
      <c r="G7507" s="424"/>
      <c r="H7507" s="31">
        <f>+IFERROR(VLOOKUP(E7507,BD!$L$2:$Q$244,6,0),0)</f>
        <v>0</v>
      </c>
      <c r="I7507" s="626">
        <f>IFERROR(G7507*VLOOKUP($E7507,BD!$L$2:$Q$244,5,0),0)</f>
        <v>0</v>
      </c>
      <c r="J7507" s="3">
        <f t="shared" si="481"/>
        <v>1900</v>
      </c>
    </row>
    <row r="7508" spans="1:10" s="9" customFormat="1" x14ac:dyDescent="0.25">
      <c r="A7508" s="447"/>
      <c r="B7508" s="55" t="str">
        <f t="shared" si="478"/>
        <v>ENERO</v>
      </c>
      <c r="C7508" s="55">
        <f t="shared" si="479"/>
        <v>1</v>
      </c>
      <c r="D7508" s="3" t="str">
        <f t="shared" si="480"/>
        <v>SÁBADO</v>
      </c>
      <c r="E7508" s="427"/>
      <c r="F7508" s="31">
        <f>IFERROR(VLOOKUP(E7508,BD!$L$2:$Q$244,2,0),0)</f>
        <v>0</v>
      </c>
      <c r="G7508" s="424"/>
      <c r="H7508" s="31">
        <f>+IFERROR(VLOOKUP(E7508,BD!$L$2:$Q$244,6,0),0)</f>
        <v>0</v>
      </c>
      <c r="I7508" s="626">
        <f>IFERROR(G7508*VLOOKUP($E7508,BD!$L$2:$Q$244,5,0),0)</f>
        <v>0</v>
      </c>
      <c r="J7508" s="3">
        <f t="shared" si="481"/>
        <v>1900</v>
      </c>
    </row>
    <row r="7509" spans="1:10" s="9" customFormat="1" x14ac:dyDescent="0.25">
      <c r="A7509" s="447"/>
      <c r="B7509" s="55" t="str">
        <f t="shared" si="478"/>
        <v>ENERO</v>
      </c>
      <c r="C7509" s="55">
        <f t="shared" si="479"/>
        <v>1</v>
      </c>
      <c r="D7509" s="3" t="str">
        <f t="shared" si="480"/>
        <v>SÁBADO</v>
      </c>
      <c r="E7509" s="427"/>
      <c r="F7509" s="31">
        <f>IFERROR(VLOOKUP(E7509,BD!$L$2:$Q$244,2,0),0)</f>
        <v>0</v>
      </c>
      <c r="G7509" s="424"/>
      <c r="H7509" s="31">
        <f>+IFERROR(VLOOKUP(E7509,BD!$L$2:$Q$244,6,0),0)</f>
        <v>0</v>
      </c>
      <c r="I7509" s="626">
        <f>IFERROR(G7509*VLOOKUP($E7509,BD!$L$2:$Q$244,5,0),0)</f>
        <v>0</v>
      </c>
      <c r="J7509" s="3">
        <f t="shared" si="481"/>
        <v>1900</v>
      </c>
    </row>
    <row r="7510" spans="1:10" s="9" customFormat="1" x14ac:dyDescent="0.25">
      <c r="A7510" s="447"/>
      <c r="B7510" s="55" t="str">
        <f t="shared" si="478"/>
        <v>ENERO</v>
      </c>
      <c r="C7510" s="55">
        <f t="shared" si="479"/>
        <v>1</v>
      </c>
      <c r="D7510" s="3" t="str">
        <f t="shared" si="480"/>
        <v>SÁBADO</v>
      </c>
      <c r="E7510" s="427"/>
      <c r="F7510" s="31">
        <f>IFERROR(VLOOKUP(E7510,BD!$L$2:$Q$244,2,0),0)</f>
        <v>0</v>
      </c>
      <c r="G7510" s="424"/>
      <c r="H7510" s="31">
        <f>+IFERROR(VLOOKUP(E7510,BD!$L$2:$Q$244,6,0),0)</f>
        <v>0</v>
      </c>
      <c r="I7510" s="626">
        <f>IFERROR(G7510*VLOOKUP($E7510,BD!$L$2:$Q$244,5,0),0)</f>
        <v>0</v>
      </c>
      <c r="J7510" s="3">
        <f t="shared" si="481"/>
        <v>1900</v>
      </c>
    </row>
    <row r="7511" spans="1:10" s="9" customFormat="1" x14ac:dyDescent="0.25">
      <c r="A7511" s="447"/>
      <c r="B7511" s="55" t="str">
        <f t="shared" si="478"/>
        <v>ENERO</v>
      </c>
      <c r="C7511" s="55">
        <f t="shared" si="479"/>
        <v>1</v>
      </c>
      <c r="D7511" s="3" t="str">
        <f t="shared" si="480"/>
        <v>SÁBADO</v>
      </c>
      <c r="E7511" s="427"/>
      <c r="F7511" s="31">
        <f>IFERROR(VLOOKUP(E7511,BD!$L$2:$Q$244,2,0),0)</f>
        <v>0</v>
      </c>
      <c r="G7511" s="424"/>
      <c r="H7511" s="31">
        <f>+IFERROR(VLOOKUP(E7511,BD!$L$2:$Q$244,6,0),0)</f>
        <v>0</v>
      </c>
      <c r="I7511" s="626">
        <f>IFERROR(G7511*VLOOKUP($E7511,BD!$L$2:$Q$244,5,0),0)</f>
        <v>0</v>
      </c>
      <c r="J7511" s="3">
        <f t="shared" si="481"/>
        <v>1900</v>
      </c>
    </row>
    <row r="7512" spans="1:10" s="9" customFormat="1" x14ac:dyDescent="0.25">
      <c r="A7512" s="447"/>
      <c r="B7512" s="55" t="str">
        <f t="shared" si="478"/>
        <v>ENERO</v>
      </c>
      <c r="C7512" s="55">
        <f t="shared" si="479"/>
        <v>1</v>
      </c>
      <c r="D7512" s="3" t="str">
        <f t="shared" si="480"/>
        <v>SÁBADO</v>
      </c>
      <c r="E7512" s="427"/>
      <c r="F7512" s="31">
        <f>IFERROR(VLOOKUP(E7512,BD!$L$2:$Q$244,2,0),0)</f>
        <v>0</v>
      </c>
      <c r="G7512" s="424"/>
      <c r="H7512" s="31">
        <f>+IFERROR(VLOOKUP(E7512,BD!$L$2:$Q$244,6,0),0)</f>
        <v>0</v>
      </c>
      <c r="I7512" s="626">
        <f>IFERROR(G7512*VLOOKUP($E7512,BD!$L$2:$Q$244,5,0),0)</f>
        <v>0</v>
      </c>
      <c r="J7512" s="3">
        <f t="shared" si="481"/>
        <v>1900</v>
      </c>
    </row>
    <row r="7513" spans="1:10" s="9" customFormat="1" x14ac:dyDescent="0.25">
      <c r="A7513" s="447"/>
      <c r="B7513" s="55" t="str">
        <f t="shared" si="478"/>
        <v>ENERO</v>
      </c>
      <c r="C7513" s="55">
        <f t="shared" si="479"/>
        <v>1</v>
      </c>
      <c r="D7513" s="3" t="str">
        <f t="shared" si="480"/>
        <v>SÁBADO</v>
      </c>
      <c r="E7513" s="427"/>
      <c r="F7513" s="31">
        <f>IFERROR(VLOOKUP(E7513,BD!$L$2:$Q$244,2,0),0)</f>
        <v>0</v>
      </c>
      <c r="G7513" s="424"/>
      <c r="H7513" s="31">
        <f>+IFERROR(VLOOKUP(E7513,BD!$L$2:$Q$244,6,0),0)</f>
        <v>0</v>
      </c>
      <c r="I7513" s="626">
        <f>IFERROR(G7513*VLOOKUP($E7513,BD!$L$2:$Q$244,5,0),0)</f>
        <v>0</v>
      </c>
      <c r="J7513" s="3">
        <f t="shared" si="481"/>
        <v>1900</v>
      </c>
    </row>
    <row r="7514" spans="1:10" s="9" customFormat="1" x14ac:dyDescent="0.25">
      <c r="A7514" s="447"/>
      <c r="B7514" s="55" t="str">
        <f t="shared" si="478"/>
        <v>ENERO</v>
      </c>
      <c r="C7514" s="55">
        <f t="shared" si="479"/>
        <v>1</v>
      </c>
      <c r="D7514" s="3" t="str">
        <f t="shared" si="480"/>
        <v>SÁBADO</v>
      </c>
      <c r="E7514" s="427"/>
      <c r="F7514" s="31">
        <f>IFERROR(VLOOKUP(E7514,BD!$L$2:$Q$244,2,0),0)</f>
        <v>0</v>
      </c>
      <c r="G7514" s="424"/>
      <c r="H7514" s="31">
        <f>+IFERROR(VLOOKUP(E7514,BD!$L$2:$Q$244,6,0),0)</f>
        <v>0</v>
      </c>
      <c r="I7514" s="626">
        <f>IFERROR(G7514*VLOOKUP($E7514,BD!$L$2:$Q$244,5,0),0)</f>
        <v>0</v>
      </c>
      <c r="J7514" s="3">
        <f t="shared" si="481"/>
        <v>1900</v>
      </c>
    </row>
    <row r="7515" spans="1:10" s="9" customFormat="1" x14ac:dyDescent="0.25">
      <c r="A7515" s="447"/>
      <c r="B7515" s="55" t="str">
        <f t="shared" si="478"/>
        <v>ENERO</v>
      </c>
      <c r="C7515" s="55">
        <f t="shared" si="479"/>
        <v>1</v>
      </c>
      <c r="D7515" s="3" t="str">
        <f t="shared" si="480"/>
        <v>SÁBADO</v>
      </c>
      <c r="E7515" s="427"/>
      <c r="F7515" s="31">
        <f>IFERROR(VLOOKUP(E7515,BD!$L$2:$Q$244,2,0),0)</f>
        <v>0</v>
      </c>
      <c r="G7515" s="424"/>
      <c r="H7515" s="31">
        <f>+IFERROR(VLOOKUP(E7515,BD!$L$2:$Q$244,6,0),0)</f>
        <v>0</v>
      </c>
      <c r="I7515" s="626">
        <f>IFERROR(G7515*VLOOKUP($E7515,BD!$L$2:$Q$244,5,0),0)</f>
        <v>0</v>
      </c>
      <c r="J7515" s="3">
        <f t="shared" si="481"/>
        <v>1900</v>
      </c>
    </row>
    <row r="7516" spans="1:10" s="9" customFormat="1" x14ac:dyDescent="0.25">
      <c r="A7516" s="447"/>
      <c r="B7516" s="55" t="str">
        <f t="shared" si="478"/>
        <v>ENERO</v>
      </c>
      <c r="C7516" s="55">
        <f t="shared" si="479"/>
        <v>1</v>
      </c>
      <c r="D7516" s="3" t="str">
        <f t="shared" si="480"/>
        <v>SÁBADO</v>
      </c>
      <c r="E7516" s="427"/>
      <c r="F7516" s="31">
        <f>IFERROR(VLOOKUP(E7516,BD!$L$2:$Q$244,2,0),0)</f>
        <v>0</v>
      </c>
      <c r="G7516" s="424"/>
      <c r="H7516" s="31">
        <f>+IFERROR(VLOOKUP(E7516,BD!$L$2:$Q$244,6,0),0)</f>
        <v>0</v>
      </c>
      <c r="I7516" s="626">
        <f>IFERROR(G7516*VLOOKUP($E7516,BD!$L$2:$Q$244,5,0),0)</f>
        <v>0</v>
      </c>
      <c r="J7516" s="3">
        <f t="shared" si="481"/>
        <v>1900</v>
      </c>
    </row>
    <row r="7517" spans="1:10" s="9" customFormat="1" x14ac:dyDescent="0.25">
      <c r="A7517" s="447"/>
      <c r="B7517" s="55" t="str">
        <f t="shared" si="478"/>
        <v>ENERO</v>
      </c>
      <c r="C7517" s="55">
        <f t="shared" si="479"/>
        <v>1</v>
      </c>
      <c r="D7517" s="3" t="str">
        <f t="shared" si="480"/>
        <v>SÁBADO</v>
      </c>
      <c r="E7517" s="427"/>
      <c r="F7517" s="31">
        <f>IFERROR(VLOOKUP(E7517,BD!$L$2:$Q$244,2,0),0)</f>
        <v>0</v>
      </c>
      <c r="G7517" s="424"/>
      <c r="H7517" s="31">
        <f>+IFERROR(VLOOKUP(E7517,BD!$L$2:$Q$244,6,0),0)</f>
        <v>0</v>
      </c>
      <c r="I7517" s="626">
        <f>IFERROR(G7517*VLOOKUP($E7517,BD!$L$2:$Q$244,5,0),0)</f>
        <v>0</v>
      </c>
      <c r="J7517" s="3">
        <f t="shared" si="481"/>
        <v>1900</v>
      </c>
    </row>
    <row r="7518" spans="1:10" s="9" customFormat="1" x14ac:dyDescent="0.25">
      <c r="A7518" s="447"/>
      <c r="B7518" s="55" t="str">
        <f t="shared" si="478"/>
        <v>ENERO</v>
      </c>
      <c r="C7518" s="55">
        <f t="shared" si="479"/>
        <v>1</v>
      </c>
      <c r="D7518" s="3" t="str">
        <f t="shared" si="480"/>
        <v>SÁBADO</v>
      </c>
      <c r="E7518" s="427"/>
      <c r="F7518" s="31">
        <f>IFERROR(VLOOKUP(E7518,BD!$L$2:$Q$244,2,0),0)</f>
        <v>0</v>
      </c>
      <c r="G7518" s="424"/>
      <c r="H7518" s="31">
        <f>+IFERROR(VLOOKUP(E7518,BD!$L$2:$Q$244,6,0),0)</f>
        <v>0</v>
      </c>
      <c r="I7518" s="626">
        <f>IFERROR(G7518*VLOOKUP($E7518,BD!$L$2:$Q$244,5,0),0)</f>
        <v>0</v>
      </c>
      <c r="J7518" s="3">
        <f t="shared" si="481"/>
        <v>1900</v>
      </c>
    </row>
    <row r="7519" spans="1:10" s="9" customFormat="1" x14ac:dyDescent="0.25">
      <c r="A7519" s="447"/>
      <c r="B7519" s="55" t="str">
        <f t="shared" si="478"/>
        <v>ENERO</v>
      </c>
      <c r="C7519" s="55">
        <f t="shared" si="479"/>
        <v>1</v>
      </c>
      <c r="D7519" s="3" t="str">
        <f t="shared" si="480"/>
        <v>SÁBADO</v>
      </c>
      <c r="E7519" s="427"/>
      <c r="F7519" s="31">
        <f>IFERROR(VLOOKUP(E7519,BD!$L$2:$Q$244,2,0),0)</f>
        <v>0</v>
      </c>
      <c r="G7519" s="424"/>
      <c r="H7519" s="31">
        <f>+IFERROR(VLOOKUP(E7519,BD!$L$2:$Q$244,6,0),0)</f>
        <v>0</v>
      </c>
      <c r="I7519" s="626">
        <f>IFERROR(G7519*VLOOKUP($E7519,BD!$L$2:$Q$244,5,0),0)</f>
        <v>0</v>
      </c>
      <c r="J7519" s="3">
        <f t="shared" si="481"/>
        <v>1900</v>
      </c>
    </row>
    <row r="7520" spans="1:10" s="9" customFormat="1" x14ac:dyDescent="0.25">
      <c r="A7520" s="447"/>
      <c r="B7520" s="55" t="str">
        <f t="shared" si="478"/>
        <v>ENERO</v>
      </c>
      <c r="C7520" s="55">
        <f t="shared" si="479"/>
        <v>1</v>
      </c>
      <c r="D7520" s="3" t="str">
        <f t="shared" si="480"/>
        <v>SÁBADO</v>
      </c>
      <c r="E7520" s="427"/>
      <c r="F7520" s="31">
        <f>IFERROR(VLOOKUP(E7520,BD!$L$2:$Q$244,2,0),0)</f>
        <v>0</v>
      </c>
      <c r="G7520" s="424"/>
      <c r="H7520" s="31">
        <f>+IFERROR(VLOOKUP(E7520,BD!$L$2:$Q$244,6,0),0)</f>
        <v>0</v>
      </c>
      <c r="I7520" s="626">
        <f>IFERROR(G7520*VLOOKUP($E7520,BD!$L$2:$Q$244,5,0),0)</f>
        <v>0</v>
      </c>
      <c r="J7520" s="3">
        <f t="shared" si="481"/>
        <v>1900</v>
      </c>
    </row>
    <row r="7521" spans="1:10" s="9" customFormat="1" x14ac:dyDescent="0.25">
      <c r="A7521" s="447"/>
      <c r="B7521" s="55" t="str">
        <f t="shared" si="478"/>
        <v>ENERO</v>
      </c>
      <c r="C7521" s="55">
        <f t="shared" si="479"/>
        <v>1</v>
      </c>
      <c r="D7521" s="3" t="str">
        <f t="shared" si="480"/>
        <v>SÁBADO</v>
      </c>
      <c r="E7521" s="427"/>
      <c r="F7521" s="31">
        <f>IFERROR(VLOOKUP(E7521,BD!$L$2:$Q$244,2,0),0)</f>
        <v>0</v>
      </c>
      <c r="G7521" s="424"/>
      <c r="H7521" s="31">
        <f>+IFERROR(VLOOKUP(E7521,BD!$L$2:$Q$244,6,0),0)</f>
        <v>0</v>
      </c>
      <c r="I7521" s="626">
        <f>IFERROR(G7521*VLOOKUP($E7521,BD!$L$2:$Q$244,5,0),0)</f>
        <v>0</v>
      </c>
      <c r="J7521" s="3">
        <f t="shared" si="481"/>
        <v>1900</v>
      </c>
    </row>
    <row r="7522" spans="1:10" s="9" customFormat="1" x14ac:dyDescent="0.25">
      <c r="A7522" s="447"/>
      <c r="B7522" s="55" t="str">
        <f t="shared" si="478"/>
        <v>ENERO</v>
      </c>
      <c r="C7522" s="55">
        <f t="shared" si="479"/>
        <v>1</v>
      </c>
      <c r="D7522" s="3" t="str">
        <f t="shared" si="480"/>
        <v>SÁBADO</v>
      </c>
      <c r="E7522" s="427"/>
      <c r="F7522" s="31">
        <f>IFERROR(VLOOKUP(E7522,BD!$L$2:$Q$244,2,0),0)</f>
        <v>0</v>
      </c>
      <c r="G7522" s="425"/>
      <c r="H7522" s="31">
        <f>+IFERROR(VLOOKUP(E7522,BD!$L$2:$Q$244,6,0),0)</f>
        <v>0</v>
      </c>
      <c r="I7522" s="626">
        <f>IFERROR(G7522*VLOOKUP($E7522,BD!$L$2:$Q$244,5,0),0)</f>
        <v>0</v>
      </c>
      <c r="J7522" s="3">
        <f t="shared" si="481"/>
        <v>1900</v>
      </c>
    </row>
    <row r="7523" spans="1:10" s="9" customFormat="1" x14ac:dyDescent="0.25">
      <c r="A7523" s="447"/>
      <c r="B7523" s="55" t="str">
        <f t="shared" si="478"/>
        <v>ENERO</v>
      </c>
      <c r="C7523" s="55">
        <f t="shared" si="479"/>
        <v>1</v>
      </c>
      <c r="D7523" s="3" t="str">
        <f t="shared" si="480"/>
        <v>SÁBADO</v>
      </c>
      <c r="E7523" s="427"/>
      <c r="F7523" s="31">
        <f>IFERROR(VLOOKUP(E7523,BD!$L$2:$Q$244,2,0),0)</f>
        <v>0</v>
      </c>
      <c r="G7523" s="424"/>
      <c r="H7523" s="31">
        <f>+IFERROR(VLOOKUP(E7523,BD!$L$2:$Q$244,6,0),0)</f>
        <v>0</v>
      </c>
      <c r="I7523" s="626">
        <f>IFERROR(G7523*VLOOKUP($E7523,BD!$L$2:$Q$244,5,0),0)</f>
        <v>0</v>
      </c>
      <c r="J7523" s="3">
        <f t="shared" si="481"/>
        <v>1900</v>
      </c>
    </row>
    <row r="7524" spans="1:10" s="9" customFormat="1" x14ac:dyDescent="0.25">
      <c r="A7524" s="447"/>
      <c r="B7524" s="55" t="str">
        <f t="shared" si="478"/>
        <v>ENERO</v>
      </c>
      <c r="C7524" s="55">
        <f t="shared" si="479"/>
        <v>1</v>
      </c>
      <c r="D7524" s="3" t="str">
        <f t="shared" si="480"/>
        <v>SÁBADO</v>
      </c>
      <c r="E7524" s="427"/>
      <c r="F7524" s="31">
        <f>IFERROR(VLOOKUP(E7524,BD!$L$2:$Q$244,2,0),0)</f>
        <v>0</v>
      </c>
      <c r="G7524" s="424"/>
      <c r="H7524" s="31">
        <f>+IFERROR(VLOOKUP(E7524,BD!$L$2:$Q$244,6,0),0)</f>
        <v>0</v>
      </c>
      <c r="I7524" s="626">
        <f>IFERROR(G7524*VLOOKUP($E7524,BD!$L$2:$Q$244,5,0),0)</f>
        <v>0</v>
      </c>
      <c r="J7524" s="3">
        <f t="shared" si="481"/>
        <v>1900</v>
      </c>
    </row>
    <row r="7525" spans="1:10" s="9" customFormat="1" x14ac:dyDescent="0.25">
      <c r="A7525" s="447"/>
      <c r="B7525" s="55" t="str">
        <f t="shared" si="478"/>
        <v>ENERO</v>
      </c>
      <c r="C7525" s="55">
        <f t="shared" si="479"/>
        <v>1</v>
      </c>
      <c r="D7525" s="3" t="str">
        <f t="shared" si="480"/>
        <v>SÁBADO</v>
      </c>
      <c r="E7525" s="427"/>
      <c r="F7525" s="31">
        <f>IFERROR(VLOOKUP(E7525,BD!$L$2:$Q$244,2,0),0)</f>
        <v>0</v>
      </c>
      <c r="G7525" s="424"/>
      <c r="H7525" s="31">
        <f>+IFERROR(VLOOKUP(E7525,BD!$L$2:$Q$244,6,0),0)</f>
        <v>0</v>
      </c>
      <c r="I7525" s="626">
        <f>IFERROR(G7525*VLOOKUP($E7525,BD!$L$2:$Q$244,5,0),0)</f>
        <v>0</v>
      </c>
      <c r="J7525" s="3">
        <f t="shared" si="481"/>
        <v>1900</v>
      </c>
    </row>
    <row r="7526" spans="1:10" s="9" customFormat="1" x14ac:dyDescent="0.25">
      <c r="A7526" s="447"/>
      <c r="B7526" s="55" t="str">
        <f t="shared" si="478"/>
        <v>ENERO</v>
      </c>
      <c r="C7526" s="55">
        <f t="shared" si="479"/>
        <v>1</v>
      </c>
      <c r="D7526" s="3" t="str">
        <f t="shared" si="480"/>
        <v>SÁBADO</v>
      </c>
      <c r="E7526" s="427"/>
      <c r="F7526" s="31">
        <f>IFERROR(VLOOKUP(E7526,BD!$L$2:$Q$244,2,0),0)</f>
        <v>0</v>
      </c>
      <c r="G7526" s="424"/>
      <c r="H7526" s="31">
        <f>+IFERROR(VLOOKUP(E7526,BD!$L$2:$Q$244,6,0),0)</f>
        <v>0</v>
      </c>
      <c r="I7526" s="626">
        <f>IFERROR(G7526*VLOOKUP($E7526,BD!$L$2:$Q$244,5,0),0)</f>
        <v>0</v>
      </c>
      <c r="J7526" s="3">
        <f t="shared" si="481"/>
        <v>1900</v>
      </c>
    </row>
    <row r="7527" spans="1:10" s="9" customFormat="1" x14ac:dyDescent="0.25">
      <c r="A7527" s="447"/>
      <c r="B7527" s="55" t="str">
        <f t="shared" si="478"/>
        <v>ENERO</v>
      </c>
      <c r="C7527" s="55">
        <f t="shared" si="479"/>
        <v>1</v>
      </c>
      <c r="D7527" s="3" t="str">
        <f t="shared" si="480"/>
        <v>SÁBADO</v>
      </c>
      <c r="E7527" s="427"/>
      <c r="F7527" s="31">
        <f>IFERROR(VLOOKUP(E7527,BD!$L$2:$Q$244,2,0),0)</f>
        <v>0</v>
      </c>
      <c r="G7527" s="424"/>
      <c r="H7527" s="31">
        <f>+IFERROR(VLOOKUP(E7527,BD!$L$2:$Q$244,6,0),0)</f>
        <v>0</v>
      </c>
      <c r="I7527" s="626">
        <f>IFERROR(G7527*VLOOKUP($E7527,BD!$L$2:$Q$244,5,0),0)</f>
        <v>0</v>
      </c>
      <c r="J7527" s="3">
        <f t="shared" si="481"/>
        <v>1900</v>
      </c>
    </row>
    <row r="7528" spans="1:10" s="9" customFormat="1" x14ac:dyDescent="0.25">
      <c r="A7528" s="447"/>
      <c r="B7528" s="55" t="str">
        <f t="shared" si="478"/>
        <v>ENERO</v>
      </c>
      <c r="C7528" s="55">
        <f t="shared" si="479"/>
        <v>1</v>
      </c>
      <c r="D7528" s="3" t="str">
        <f t="shared" si="480"/>
        <v>SÁBADO</v>
      </c>
      <c r="E7528" s="427"/>
      <c r="F7528" s="31">
        <f>IFERROR(VLOOKUP(E7528,BD!$L$2:$Q$244,2,0),0)</f>
        <v>0</v>
      </c>
      <c r="G7528" s="424"/>
      <c r="H7528" s="31">
        <f>+IFERROR(VLOOKUP(E7528,BD!$L$2:$Q$244,6,0),0)</f>
        <v>0</v>
      </c>
      <c r="I7528" s="626">
        <f>IFERROR(G7528*VLOOKUP($E7528,BD!$L$2:$Q$244,5,0),0)</f>
        <v>0</v>
      </c>
      <c r="J7528" s="3">
        <f t="shared" si="481"/>
        <v>1900</v>
      </c>
    </row>
    <row r="7529" spans="1:10" s="9" customFormat="1" x14ac:dyDescent="0.25">
      <c r="A7529" s="447"/>
      <c r="B7529" s="55" t="str">
        <f t="shared" si="478"/>
        <v>ENERO</v>
      </c>
      <c r="C7529" s="55">
        <f t="shared" si="479"/>
        <v>1</v>
      </c>
      <c r="D7529" s="3" t="str">
        <f t="shared" si="480"/>
        <v>SÁBADO</v>
      </c>
      <c r="E7529" s="427"/>
      <c r="F7529" s="31">
        <f>IFERROR(VLOOKUP(E7529,BD!$L$2:$Q$244,2,0),0)</f>
        <v>0</v>
      </c>
      <c r="G7529" s="424"/>
      <c r="H7529" s="31">
        <f>+IFERROR(VLOOKUP(E7529,BD!$L$2:$Q$244,6,0),0)</f>
        <v>0</v>
      </c>
      <c r="I7529" s="626">
        <f>IFERROR(G7529*VLOOKUP($E7529,BD!$L$2:$Q$244,5,0),0)</f>
        <v>0</v>
      </c>
      <c r="J7529" s="3">
        <f t="shared" si="481"/>
        <v>1900</v>
      </c>
    </row>
    <row r="7530" spans="1:10" s="9" customFormat="1" x14ac:dyDescent="0.25">
      <c r="A7530" s="447"/>
      <c r="B7530" s="55" t="str">
        <f t="shared" si="478"/>
        <v>ENERO</v>
      </c>
      <c r="C7530" s="55">
        <f t="shared" si="479"/>
        <v>1</v>
      </c>
      <c r="D7530" s="3" t="str">
        <f t="shared" si="480"/>
        <v>SÁBADO</v>
      </c>
      <c r="E7530" s="427"/>
      <c r="F7530" s="31">
        <f>IFERROR(VLOOKUP(E7530,BD!$L$2:$Q$244,2,0),0)</f>
        <v>0</v>
      </c>
      <c r="G7530" s="424"/>
      <c r="H7530" s="31">
        <f>+IFERROR(VLOOKUP(E7530,BD!$L$2:$Q$244,6,0),0)</f>
        <v>0</v>
      </c>
      <c r="I7530" s="626">
        <f>IFERROR(G7530*VLOOKUP($E7530,BD!$L$2:$Q$244,5,0),0)</f>
        <v>0</v>
      </c>
      <c r="J7530" s="3">
        <f t="shared" si="481"/>
        <v>1900</v>
      </c>
    </row>
    <row r="7531" spans="1:10" s="9" customFormat="1" x14ac:dyDescent="0.25">
      <c r="A7531" s="447"/>
      <c r="B7531" s="55" t="str">
        <f t="shared" si="478"/>
        <v>ENERO</v>
      </c>
      <c r="C7531" s="55">
        <f t="shared" si="479"/>
        <v>1</v>
      </c>
      <c r="D7531" s="3" t="str">
        <f t="shared" si="480"/>
        <v>SÁBADO</v>
      </c>
      <c r="E7531" s="427"/>
      <c r="F7531" s="31">
        <f>IFERROR(VLOOKUP(E7531,BD!$L$2:$Q$244,2,0),0)</f>
        <v>0</v>
      </c>
      <c r="G7531" s="424"/>
      <c r="H7531" s="31">
        <f>+IFERROR(VLOOKUP(E7531,BD!$L$2:$Q$244,6,0),0)</f>
        <v>0</v>
      </c>
      <c r="I7531" s="626">
        <f>IFERROR(G7531*VLOOKUP($E7531,BD!$L$2:$Q$244,5,0),0)</f>
        <v>0</v>
      </c>
      <c r="J7531" s="3">
        <f t="shared" si="481"/>
        <v>1900</v>
      </c>
    </row>
    <row r="7532" spans="1:10" s="9" customFormat="1" x14ac:dyDescent="0.25">
      <c r="A7532" s="447"/>
      <c r="B7532" s="55" t="str">
        <f t="shared" si="478"/>
        <v>ENERO</v>
      </c>
      <c r="C7532" s="55">
        <f t="shared" si="479"/>
        <v>1</v>
      </c>
      <c r="D7532" s="3" t="str">
        <f t="shared" si="480"/>
        <v>SÁBADO</v>
      </c>
      <c r="E7532" s="427"/>
      <c r="F7532" s="31">
        <f>IFERROR(VLOOKUP(E7532,BD!$L$2:$Q$244,2,0),0)</f>
        <v>0</v>
      </c>
      <c r="G7532" s="424"/>
      <c r="H7532" s="31">
        <f>+IFERROR(VLOOKUP(E7532,BD!$L$2:$Q$244,6,0),0)</f>
        <v>0</v>
      </c>
      <c r="I7532" s="626">
        <f>IFERROR(G7532*VLOOKUP($E7532,BD!$L$2:$Q$244,5,0),0)</f>
        <v>0</v>
      </c>
      <c r="J7532" s="3">
        <f t="shared" si="481"/>
        <v>1900</v>
      </c>
    </row>
    <row r="7533" spans="1:10" s="9" customFormat="1" x14ac:dyDescent="0.25">
      <c r="A7533" s="447"/>
      <c r="B7533" s="55" t="str">
        <f t="shared" si="478"/>
        <v>ENERO</v>
      </c>
      <c r="C7533" s="55">
        <f t="shared" si="479"/>
        <v>1</v>
      </c>
      <c r="D7533" s="3" t="str">
        <f t="shared" si="480"/>
        <v>SÁBADO</v>
      </c>
      <c r="E7533" s="427"/>
      <c r="F7533" s="31">
        <f>IFERROR(VLOOKUP(E7533,BD!$L$2:$Q$244,2,0),0)</f>
        <v>0</v>
      </c>
      <c r="G7533" s="424"/>
      <c r="H7533" s="31">
        <f>+IFERROR(VLOOKUP(E7533,BD!$L$2:$Q$244,6,0),0)</f>
        <v>0</v>
      </c>
      <c r="I7533" s="626">
        <f>IFERROR(G7533*VLOOKUP($E7533,BD!$L$2:$Q$244,5,0),0)</f>
        <v>0</v>
      </c>
      <c r="J7533" s="3">
        <f t="shared" si="481"/>
        <v>1900</v>
      </c>
    </row>
    <row r="7534" spans="1:10" s="9" customFormat="1" x14ac:dyDescent="0.25">
      <c r="A7534" s="447"/>
      <c r="B7534" s="55" t="str">
        <f t="shared" si="478"/>
        <v>ENERO</v>
      </c>
      <c r="C7534" s="55">
        <f t="shared" si="479"/>
        <v>1</v>
      </c>
      <c r="D7534" s="3" t="str">
        <f t="shared" si="480"/>
        <v>SÁBADO</v>
      </c>
      <c r="E7534" s="427"/>
      <c r="F7534" s="31">
        <f>IFERROR(VLOOKUP(E7534,BD!$L$2:$Q$244,2,0),0)</f>
        <v>0</v>
      </c>
      <c r="G7534" s="424"/>
      <c r="H7534" s="31">
        <f>+IFERROR(VLOOKUP(E7534,BD!$L$2:$Q$244,6,0),0)</f>
        <v>0</v>
      </c>
      <c r="I7534" s="626">
        <f>IFERROR(G7534*VLOOKUP($E7534,BD!$L$2:$Q$244,5,0),0)</f>
        <v>0</v>
      </c>
      <c r="J7534" s="3">
        <f t="shared" si="481"/>
        <v>1900</v>
      </c>
    </row>
    <row r="7535" spans="1:10" s="9" customFormat="1" x14ac:dyDescent="0.25">
      <c r="A7535" s="447"/>
      <c r="B7535" s="55" t="str">
        <f t="shared" si="478"/>
        <v>ENERO</v>
      </c>
      <c r="C7535" s="55">
        <f t="shared" si="479"/>
        <v>1</v>
      </c>
      <c r="D7535" s="3" t="str">
        <f t="shared" si="480"/>
        <v>SÁBADO</v>
      </c>
      <c r="E7535" s="427"/>
      <c r="F7535" s="31">
        <f>IFERROR(VLOOKUP(E7535,BD!$L$2:$Q$244,2,0),0)</f>
        <v>0</v>
      </c>
      <c r="G7535" s="424"/>
      <c r="H7535" s="31">
        <f>+IFERROR(VLOOKUP(E7535,BD!$L$2:$Q$244,6,0),0)</f>
        <v>0</v>
      </c>
      <c r="I7535" s="626">
        <f>IFERROR(G7535*VLOOKUP($E7535,BD!$L$2:$Q$244,5,0),0)</f>
        <v>0</v>
      </c>
      <c r="J7535" s="3">
        <f t="shared" si="481"/>
        <v>1900</v>
      </c>
    </row>
    <row r="7536" spans="1:10" s="9" customFormat="1" x14ac:dyDescent="0.25">
      <c r="A7536" s="447"/>
      <c r="B7536" s="55" t="str">
        <f t="shared" si="478"/>
        <v>ENERO</v>
      </c>
      <c r="C7536" s="55">
        <f t="shared" si="479"/>
        <v>1</v>
      </c>
      <c r="D7536" s="3" t="str">
        <f t="shared" si="480"/>
        <v>SÁBADO</v>
      </c>
      <c r="E7536" s="427"/>
      <c r="F7536" s="31">
        <f>IFERROR(VLOOKUP(E7536,BD!$L$2:$Q$244,2,0),0)</f>
        <v>0</v>
      </c>
      <c r="G7536" s="424"/>
      <c r="H7536" s="31">
        <f>+IFERROR(VLOOKUP(E7536,BD!$L$2:$Q$244,6,0),0)</f>
        <v>0</v>
      </c>
      <c r="I7536" s="626">
        <f>IFERROR(G7536*VLOOKUP($E7536,BD!$L$2:$Q$244,5,0),0)</f>
        <v>0</v>
      </c>
      <c r="J7536" s="3">
        <f t="shared" si="481"/>
        <v>1900</v>
      </c>
    </row>
    <row r="7537" spans="1:10" s="9" customFormat="1" x14ac:dyDescent="0.25">
      <c r="A7537" s="447"/>
      <c r="B7537" s="55" t="str">
        <f t="shared" si="478"/>
        <v>ENERO</v>
      </c>
      <c r="C7537" s="55">
        <f t="shared" si="479"/>
        <v>1</v>
      </c>
      <c r="D7537" s="3" t="str">
        <f t="shared" si="480"/>
        <v>SÁBADO</v>
      </c>
      <c r="E7537" s="427"/>
      <c r="F7537" s="31">
        <f>IFERROR(VLOOKUP(E7537,BD!$L$2:$Q$244,2,0),0)</f>
        <v>0</v>
      </c>
      <c r="G7537" s="424"/>
      <c r="H7537" s="31">
        <f>+IFERROR(VLOOKUP(E7537,BD!$L$2:$Q$244,6,0),0)</f>
        <v>0</v>
      </c>
      <c r="I7537" s="626">
        <f>IFERROR(G7537*VLOOKUP($E7537,BD!$L$2:$Q$244,5,0),0)</f>
        <v>0</v>
      </c>
      <c r="J7537" s="3">
        <f t="shared" si="481"/>
        <v>1900</v>
      </c>
    </row>
    <row r="7538" spans="1:10" s="9" customFormat="1" x14ac:dyDescent="0.25">
      <c r="A7538" s="447"/>
      <c r="B7538" s="55" t="str">
        <f t="shared" si="478"/>
        <v>ENERO</v>
      </c>
      <c r="C7538" s="55">
        <f t="shared" si="479"/>
        <v>1</v>
      </c>
      <c r="D7538" s="3" t="str">
        <f t="shared" si="480"/>
        <v>SÁBADO</v>
      </c>
      <c r="E7538" s="427"/>
      <c r="F7538" s="31">
        <f>IFERROR(VLOOKUP(E7538,BD!$L$2:$Q$244,2,0),0)</f>
        <v>0</v>
      </c>
      <c r="G7538" s="424"/>
      <c r="H7538" s="31">
        <f>+IFERROR(VLOOKUP(E7538,BD!$L$2:$Q$244,6,0),0)</f>
        <v>0</v>
      </c>
      <c r="I7538" s="626">
        <f>IFERROR(G7538*VLOOKUP($E7538,BD!$L$2:$Q$244,5,0),0)</f>
        <v>0</v>
      </c>
      <c r="J7538" s="3">
        <f t="shared" si="481"/>
        <v>1900</v>
      </c>
    </row>
    <row r="7539" spans="1:10" s="9" customFormat="1" x14ac:dyDescent="0.25">
      <c r="A7539" s="447"/>
      <c r="B7539" s="55" t="str">
        <f t="shared" si="478"/>
        <v>ENERO</v>
      </c>
      <c r="C7539" s="55">
        <f t="shared" si="479"/>
        <v>1</v>
      </c>
      <c r="D7539" s="3" t="str">
        <f t="shared" si="480"/>
        <v>SÁBADO</v>
      </c>
      <c r="E7539" s="427"/>
      <c r="F7539" s="31">
        <f>IFERROR(VLOOKUP(E7539,BD!$L$2:$Q$244,2,0),0)</f>
        <v>0</v>
      </c>
      <c r="G7539" s="424"/>
      <c r="H7539" s="31">
        <f>+IFERROR(VLOOKUP(E7539,BD!$L$2:$Q$244,6,0),0)</f>
        <v>0</v>
      </c>
      <c r="I7539" s="626">
        <f>IFERROR(G7539*VLOOKUP($E7539,BD!$L$2:$Q$244,5,0),0)</f>
        <v>0</v>
      </c>
      <c r="J7539" s="3">
        <f t="shared" si="481"/>
        <v>1900</v>
      </c>
    </row>
    <row r="7540" spans="1:10" s="9" customFormat="1" x14ac:dyDescent="0.25">
      <c r="A7540" s="447"/>
      <c r="B7540" s="55" t="str">
        <f t="shared" si="478"/>
        <v>ENERO</v>
      </c>
      <c r="C7540" s="55">
        <f t="shared" si="479"/>
        <v>1</v>
      </c>
      <c r="D7540" s="3" t="str">
        <f t="shared" si="480"/>
        <v>SÁBADO</v>
      </c>
      <c r="E7540" s="427"/>
      <c r="F7540" s="31">
        <f>IFERROR(VLOOKUP(E7540,BD!$L$2:$Q$244,2,0),0)</f>
        <v>0</v>
      </c>
      <c r="G7540" s="424"/>
      <c r="H7540" s="31">
        <f>+IFERROR(VLOOKUP(E7540,BD!$L$2:$Q$244,6,0),0)</f>
        <v>0</v>
      </c>
      <c r="I7540" s="626">
        <f>IFERROR(G7540*VLOOKUP($E7540,BD!$L$2:$Q$244,5,0),0)</f>
        <v>0</v>
      </c>
      <c r="J7540" s="3">
        <f t="shared" si="481"/>
        <v>1900</v>
      </c>
    </row>
    <row r="7541" spans="1:10" s="9" customFormat="1" x14ac:dyDescent="0.25">
      <c r="A7541" s="447"/>
      <c r="B7541" s="55" t="str">
        <f t="shared" si="478"/>
        <v>ENERO</v>
      </c>
      <c r="C7541" s="55">
        <f t="shared" si="479"/>
        <v>1</v>
      </c>
      <c r="D7541" s="3" t="str">
        <f t="shared" si="480"/>
        <v>SÁBADO</v>
      </c>
      <c r="E7541" s="427"/>
      <c r="F7541" s="31">
        <f>IFERROR(VLOOKUP(E7541,BD!$L$2:$Q$244,2,0),0)</f>
        <v>0</v>
      </c>
      <c r="G7541" s="424"/>
      <c r="H7541" s="31">
        <f>+IFERROR(VLOOKUP(E7541,BD!$L$2:$Q$244,6,0),0)</f>
        <v>0</v>
      </c>
      <c r="I7541" s="626">
        <f>IFERROR(G7541*VLOOKUP($E7541,BD!$L$2:$Q$244,5,0),0)</f>
        <v>0</v>
      </c>
      <c r="J7541" s="3">
        <f t="shared" si="481"/>
        <v>1900</v>
      </c>
    </row>
    <row r="7542" spans="1:10" s="9" customFormat="1" x14ac:dyDescent="0.25">
      <c r="A7542" s="447"/>
      <c r="B7542" s="55" t="str">
        <f t="shared" si="478"/>
        <v>ENERO</v>
      </c>
      <c r="C7542" s="55">
        <f t="shared" si="479"/>
        <v>1</v>
      </c>
      <c r="D7542" s="3" t="str">
        <f t="shared" si="480"/>
        <v>SÁBADO</v>
      </c>
      <c r="E7542" s="427"/>
      <c r="F7542" s="31">
        <f>IFERROR(VLOOKUP(E7542,BD!$L$2:$Q$244,2,0),0)</f>
        <v>0</v>
      </c>
      <c r="G7542" s="424"/>
      <c r="H7542" s="31">
        <f>+IFERROR(VLOOKUP(E7542,BD!$L$2:$Q$244,6,0),0)</f>
        <v>0</v>
      </c>
      <c r="I7542" s="626">
        <f>IFERROR(G7542*VLOOKUP($E7542,BD!$L$2:$Q$244,5,0),0)</f>
        <v>0</v>
      </c>
      <c r="J7542" s="3">
        <f t="shared" si="481"/>
        <v>1900</v>
      </c>
    </row>
    <row r="7543" spans="1:10" s="9" customFormat="1" x14ac:dyDescent="0.25">
      <c r="A7543" s="447"/>
      <c r="B7543" s="55" t="str">
        <f t="shared" si="478"/>
        <v>ENERO</v>
      </c>
      <c r="C7543" s="55">
        <f t="shared" si="479"/>
        <v>1</v>
      </c>
      <c r="D7543" s="3" t="str">
        <f t="shared" si="480"/>
        <v>SÁBADO</v>
      </c>
      <c r="E7543" s="427"/>
      <c r="F7543" s="31">
        <f>IFERROR(VLOOKUP(E7543,BD!$L$2:$Q$244,2,0),0)</f>
        <v>0</v>
      </c>
      <c r="G7543" s="424"/>
      <c r="H7543" s="31">
        <f>+IFERROR(VLOOKUP(E7543,BD!$L$2:$Q$244,6,0),0)</f>
        <v>0</v>
      </c>
      <c r="I7543" s="626">
        <f>IFERROR(G7543*VLOOKUP($E7543,BD!$L$2:$Q$244,5,0),0)</f>
        <v>0</v>
      </c>
      <c r="J7543" s="3">
        <f t="shared" si="481"/>
        <v>1900</v>
      </c>
    </row>
    <row r="7544" spans="1:10" s="9" customFormat="1" x14ac:dyDescent="0.25">
      <c r="A7544" s="447"/>
      <c r="B7544" s="55" t="str">
        <f t="shared" si="478"/>
        <v>ENERO</v>
      </c>
      <c r="C7544" s="55">
        <f t="shared" si="479"/>
        <v>1</v>
      </c>
      <c r="D7544" s="3" t="str">
        <f t="shared" si="480"/>
        <v>SÁBADO</v>
      </c>
      <c r="E7544" s="427"/>
      <c r="F7544" s="31">
        <f>IFERROR(VLOOKUP(E7544,BD!$L$2:$Q$244,2,0),0)</f>
        <v>0</v>
      </c>
      <c r="G7544" s="424"/>
      <c r="H7544" s="31">
        <f>+IFERROR(VLOOKUP(E7544,BD!$L$2:$Q$244,6,0),0)</f>
        <v>0</v>
      </c>
      <c r="I7544" s="626">
        <f>IFERROR(G7544*VLOOKUP($E7544,BD!$L$2:$Q$244,5,0),0)</f>
        <v>0</v>
      </c>
      <c r="J7544" s="3">
        <f t="shared" si="481"/>
        <v>1900</v>
      </c>
    </row>
    <row r="7545" spans="1:10" s="9" customFormat="1" x14ac:dyDescent="0.25">
      <c r="A7545" s="447"/>
      <c r="B7545" s="55" t="str">
        <f t="shared" si="478"/>
        <v>ENERO</v>
      </c>
      <c r="C7545" s="55">
        <f t="shared" si="479"/>
        <v>1</v>
      </c>
      <c r="D7545" s="3" t="str">
        <f t="shared" si="480"/>
        <v>SÁBADO</v>
      </c>
      <c r="E7545" s="427"/>
      <c r="F7545" s="31">
        <f>IFERROR(VLOOKUP(E7545,BD!$L$2:$Q$244,2,0),0)</f>
        <v>0</v>
      </c>
      <c r="G7545" s="424"/>
      <c r="H7545" s="31">
        <f>+IFERROR(VLOOKUP(E7545,BD!$L$2:$Q$244,6,0),0)</f>
        <v>0</v>
      </c>
      <c r="I7545" s="626">
        <f>IFERROR(G7545*VLOOKUP($E7545,BD!$L$2:$Q$244,5,0),0)</f>
        <v>0</v>
      </c>
      <c r="J7545" s="3">
        <f t="shared" si="481"/>
        <v>1900</v>
      </c>
    </row>
    <row r="7546" spans="1:10" s="9" customFormat="1" x14ac:dyDescent="0.25">
      <c r="A7546" s="447"/>
      <c r="B7546" s="55" t="str">
        <f t="shared" si="478"/>
        <v>ENERO</v>
      </c>
      <c r="C7546" s="55">
        <f t="shared" si="479"/>
        <v>1</v>
      </c>
      <c r="D7546" s="3" t="str">
        <f t="shared" si="480"/>
        <v>SÁBADO</v>
      </c>
      <c r="E7546" s="427"/>
      <c r="F7546" s="31">
        <f>IFERROR(VLOOKUP(E7546,BD!$L$2:$Q$244,2,0),0)</f>
        <v>0</v>
      </c>
      <c r="G7546" s="424"/>
      <c r="H7546" s="31">
        <f>+IFERROR(VLOOKUP(E7546,BD!$L$2:$Q$244,6,0),0)</f>
        <v>0</v>
      </c>
      <c r="I7546" s="626">
        <f>IFERROR(G7546*VLOOKUP($E7546,BD!$L$2:$Q$244,5,0),0)</f>
        <v>0</v>
      </c>
      <c r="J7546" s="3">
        <f t="shared" si="481"/>
        <v>1900</v>
      </c>
    </row>
    <row r="7547" spans="1:10" s="9" customFormat="1" x14ac:dyDescent="0.25">
      <c r="A7547" s="447"/>
      <c r="B7547" s="55" t="str">
        <f t="shared" si="478"/>
        <v>ENERO</v>
      </c>
      <c r="C7547" s="55">
        <f t="shared" si="479"/>
        <v>1</v>
      </c>
      <c r="D7547" s="3" t="str">
        <f t="shared" si="480"/>
        <v>SÁBADO</v>
      </c>
      <c r="E7547" s="427"/>
      <c r="F7547" s="31">
        <f>IFERROR(VLOOKUP(E7547,BD!$L$2:$Q$244,2,0),0)</f>
        <v>0</v>
      </c>
      <c r="G7547" s="424"/>
      <c r="H7547" s="31">
        <f>+IFERROR(VLOOKUP(E7547,BD!$L$2:$Q$244,6,0),0)</f>
        <v>0</v>
      </c>
      <c r="I7547" s="626">
        <f>IFERROR(G7547*VLOOKUP($E7547,BD!$L$2:$Q$244,5,0),0)</f>
        <v>0</v>
      </c>
      <c r="J7547" s="3">
        <f t="shared" si="481"/>
        <v>1900</v>
      </c>
    </row>
    <row r="7548" spans="1:10" s="9" customFormat="1" x14ac:dyDescent="0.25">
      <c r="A7548" s="447"/>
      <c r="B7548" s="55" t="str">
        <f t="shared" si="478"/>
        <v>ENERO</v>
      </c>
      <c r="C7548" s="55">
        <f t="shared" si="479"/>
        <v>1</v>
      </c>
      <c r="D7548" s="3" t="str">
        <f t="shared" si="480"/>
        <v>SÁBADO</v>
      </c>
      <c r="E7548" s="427"/>
      <c r="F7548" s="31">
        <f>IFERROR(VLOOKUP(E7548,BD!$L$2:$Q$244,2,0),0)</f>
        <v>0</v>
      </c>
      <c r="G7548" s="424"/>
      <c r="H7548" s="31">
        <f>+IFERROR(VLOOKUP(E7548,BD!$L$2:$Q$244,6,0),0)</f>
        <v>0</v>
      </c>
      <c r="I7548" s="626">
        <f>IFERROR(G7548*VLOOKUP($E7548,BD!$L$2:$Q$244,5,0),0)</f>
        <v>0</v>
      </c>
      <c r="J7548" s="3">
        <f t="shared" si="481"/>
        <v>1900</v>
      </c>
    </row>
    <row r="7549" spans="1:10" s="9" customFormat="1" x14ac:dyDescent="0.25">
      <c r="A7549" s="447"/>
      <c r="B7549" s="55" t="str">
        <f t="shared" ref="B7549:B7612" si="482">UPPER(TEXT(A7549,"MMMM"))</f>
        <v>ENERO</v>
      </c>
      <c r="C7549" s="55">
        <f t="shared" ref="C7549:C7612" si="483">WEEKNUM(A7549,16)</f>
        <v>1</v>
      </c>
      <c r="D7549" s="3" t="str">
        <f t="shared" ref="D7549:D7612" si="484">UPPER(TEXT(A7549,"DDDD"))</f>
        <v>SÁBADO</v>
      </c>
      <c r="E7549" s="427"/>
      <c r="F7549" s="31">
        <f>IFERROR(VLOOKUP(E7549,BD!$L$2:$Q$244,2,0),0)</f>
        <v>0</v>
      </c>
      <c r="G7549" s="424"/>
      <c r="H7549" s="31">
        <f>+IFERROR(VLOOKUP(E7549,BD!$L$2:$Q$244,6,0),0)</f>
        <v>0</v>
      </c>
      <c r="I7549" s="626">
        <f>IFERROR(G7549*VLOOKUP($E7549,BD!$L$2:$Q$244,5,0),0)</f>
        <v>0</v>
      </c>
      <c r="J7549" s="3">
        <f t="shared" ref="J7549:J7612" si="485">+YEAR(A7549)</f>
        <v>1900</v>
      </c>
    </row>
    <row r="7550" spans="1:10" s="9" customFormat="1" x14ac:dyDescent="0.25">
      <c r="A7550" s="447"/>
      <c r="B7550" s="55" t="str">
        <f t="shared" si="482"/>
        <v>ENERO</v>
      </c>
      <c r="C7550" s="55">
        <f t="shared" si="483"/>
        <v>1</v>
      </c>
      <c r="D7550" s="3" t="str">
        <f t="shared" si="484"/>
        <v>SÁBADO</v>
      </c>
      <c r="E7550" s="427"/>
      <c r="F7550" s="31">
        <f>IFERROR(VLOOKUP(E7550,BD!$L$2:$Q$244,2,0),0)</f>
        <v>0</v>
      </c>
      <c r="G7550" s="424"/>
      <c r="H7550" s="31">
        <f>+IFERROR(VLOOKUP(E7550,BD!$L$2:$Q$244,6,0),0)</f>
        <v>0</v>
      </c>
      <c r="I7550" s="626">
        <f>IFERROR(G7550*VLOOKUP($E7550,BD!$L$2:$Q$244,5,0),0)</f>
        <v>0</v>
      </c>
      <c r="J7550" s="3">
        <f t="shared" si="485"/>
        <v>1900</v>
      </c>
    </row>
    <row r="7551" spans="1:10" s="9" customFormat="1" x14ac:dyDescent="0.25">
      <c r="A7551" s="447"/>
      <c r="B7551" s="55" t="str">
        <f t="shared" si="482"/>
        <v>ENERO</v>
      </c>
      <c r="C7551" s="55">
        <f t="shared" si="483"/>
        <v>1</v>
      </c>
      <c r="D7551" s="3" t="str">
        <f t="shared" si="484"/>
        <v>SÁBADO</v>
      </c>
      <c r="E7551" s="427"/>
      <c r="F7551" s="31">
        <f>IFERROR(VLOOKUP(E7551,BD!$L$2:$Q$244,2,0),0)</f>
        <v>0</v>
      </c>
      <c r="G7551" s="424"/>
      <c r="H7551" s="31">
        <f>+IFERROR(VLOOKUP(E7551,BD!$L$2:$Q$244,6,0),0)</f>
        <v>0</v>
      </c>
      <c r="I7551" s="626">
        <f>IFERROR(G7551*VLOOKUP($E7551,BD!$L$2:$Q$244,5,0),0)</f>
        <v>0</v>
      </c>
      <c r="J7551" s="3">
        <f t="shared" si="485"/>
        <v>1900</v>
      </c>
    </row>
    <row r="7552" spans="1:10" s="9" customFormat="1" x14ac:dyDescent="0.25">
      <c r="A7552" s="447"/>
      <c r="B7552" s="55" t="str">
        <f t="shared" si="482"/>
        <v>ENERO</v>
      </c>
      <c r="C7552" s="55">
        <f t="shared" si="483"/>
        <v>1</v>
      </c>
      <c r="D7552" s="3" t="str">
        <f t="shared" si="484"/>
        <v>SÁBADO</v>
      </c>
      <c r="E7552" s="427"/>
      <c r="F7552" s="31">
        <f>IFERROR(VLOOKUP(E7552,BD!$L$2:$Q$244,2,0),0)</f>
        <v>0</v>
      </c>
      <c r="G7552" s="424"/>
      <c r="H7552" s="31">
        <f>+IFERROR(VLOOKUP(E7552,BD!$L$2:$Q$244,6,0),0)</f>
        <v>0</v>
      </c>
      <c r="I7552" s="626">
        <f>IFERROR(G7552*VLOOKUP($E7552,BD!$L$2:$Q$244,5,0),0)</f>
        <v>0</v>
      </c>
      <c r="J7552" s="3">
        <f t="shared" si="485"/>
        <v>1900</v>
      </c>
    </row>
    <row r="7553" spans="1:10" s="9" customFormat="1" x14ac:dyDescent="0.25">
      <c r="A7553" s="447"/>
      <c r="B7553" s="55" t="str">
        <f t="shared" si="482"/>
        <v>ENERO</v>
      </c>
      <c r="C7553" s="55">
        <f t="shared" si="483"/>
        <v>1</v>
      </c>
      <c r="D7553" s="3" t="str">
        <f t="shared" si="484"/>
        <v>SÁBADO</v>
      </c>
      <c r="E7553" s="427"/>
      <c r="F7553" s="31">
        <f>IFERROR(VLOOKUP(E7553,BD!$L$2:$Q$244,2,0),0)</f>
        <v>0</v>
      </c>
      <c r="G7553" s="424"/>
      <c r="H7553" s="31">
        <f>+IFERROR(VLOOKUP(E7553,BD!$L$2:$Q$244,6,0),0)</f>
        <v>0</v>
      </c>
      <c r="I7553" s="626">
        <f>IFERROR(G7553*VLOOKUP($E7553,BD!$L$2:$Q$244,5,0),0)</f>
        <v>0</v>
      </c>
      <c r="J7553" s="3">
        <f t="shared" si="485"/>
        <v>1900</v>
      </c>
    </row>
    <row r="7554" spans="1:10" s="9" customFormat="1" x14ac:dyDescent="0.25">
      <c r="A7554" s="447"/>
      <c r="B7554" s="55" t="str">
        <f t="shared" si="482"/>
        <v>ENERO</v>
      </c>
      <c r="C7554" s="55">
        <f t="shared" si="483"/>
        <v>1</v>
      </c>
      <c r="D7554" s="3" t="str">
        <f t="shared" si="484"/>
        <v>SÁBADO</v>
      </c>
      <c r="E7554" s="427"/>
      <c r="F7554" s="31">
        <f>IFERROR(VLOOKUP(E7554,BD!$L$2:$Q$244,2,0),0)</f>
        <v>0</v>
      </c>
      <c r="G7554" s="424"/>
      <c r="H7554" s="31">
        <f>+IFERROR(VLOOKUP(E7554,BD!$L$2:$Q$244,6,0),0)</f>
        <v>0</v>
      </c>
      <c r="I7554" s="626">
        <f>IFERROR(G7554*VLOOKUP($E7554,BD!$L$2:$Q$244,5,0),0)</f>
        <v>0</v>
      </c>
      <c r="J7554" s="3">
        <f t="shared" si="485"/>
        <v>1900</v>
      </c>
    </row>
    <row r="7555" spans="1:10" s="9" customFormat="1" x14ac:dyDescent="0.25">
      <c r="A7555" s="447"/>
      <c r="B7555" s="55" t="str">
        <f t="shared" si="482"/>
        <v>ENERO</v>
      </c>
      <c r="C7555" s="55">
        <f t="shared" si="483"/>
        <v>1</v>
      </c>
      <c r="D7555" s="3" t="str">
        <f t="shared" si="484"/>
        <v>SÁBADO</v>
      </c>
      <c r="E7555" s="427"/>
      <c r="F7555" s="31">
        <f>IFERROR(VLOOKUP(E7555,BD!$L$2:$Q$244,2,0),0)</f>
        <v>0</v>
      </c>
      <c r="G7555" s="424"/>
      <c r="H7555" s="31">
        <f>+IFERROR(VLOOKUP(E7555,BD!$L$2:$Q$244,6,0),0)</f>
        <v>0</v>
      </c>
      <c r="I7555" s="626">
        <f>IFERROR(G7555*VLOOKUP($E7555,BD!$L$2:$Q$244,5,0),0)</f>
        <v>0</v>
      </c>
      <c r="J7555" s="3">
        <f t="shared" si="485"/>
        <v>1900</v>
      </c>
    </row>
    <row r="7556" spans="1:10" s="9" customFormat="1" x14ac:dyDescent="0.25">
      <c r="A7556" s="447"/>
      <c r="B7556" s="55" t="str">
        <f t="shared" si="482"/>
        <v>ENERO</v>
      </c>
      <c r="C7556" s="55">
        <f t="shared" si="483"/>
        <v>1</v>
      </c>
      <c r="D7556" s="3" t="str">
        <f t="shared" si="484"/>
        <v>SÁBADO</v>
      </c>
      <c r="E7556" s="427"/>
      <c r="F7556" s="31">
        <f>IFERROR(VLOOKUP(E7556,BD!$L$2:$Q$244,2,0),0)</f>
        <v>0</v>
      </c>
      <c r="G7556" s="424"/>
      <c r="H7556" s="31">
        <f>+IFERROR(VLOOKUP(E7556,BD!$L$2:$Q$244,6,0),0)</f>
        <v>0</v>
      </c>
      <c r="I7556" s="626">
        <f>IFERROR(G7556*VLOOKUP($E7556,BD!$L$2:$Q$244,5,0),0)</f>
        <v>0</v>
      </c>
      <c r="J7556" s="3">
        <f t="shared" si="485"/>
        <v>1900</v>
      </c>
    </row>
    <row r="7557" spans="1:10" s="9" customFormat="1" x14ac:dyDescent="0.25">
      <c r="A7557" s="447"/>
      <c r="B7557" s="55" t="str">
        <f t="shared" si="482"/>
        <v>ENERO</v>
      </c>
      <c r="C7557" s="55">
        <f t="shared" si="483"/>
        <v>1</v>
      </c>
      <c r="D7557" s="3" t="str">
        <f t="shared" si="484"/>
        <v>SÁBADO</v>
      </c>
      <c r="E7557" s="427"/>
      <c r="F7557" s="31">
        <f>IFERROR(VLOOKUP(E7557,BD!$L$2:$Q$244,2,0),0)</f>
        <v>0</v>
      </c>
      <c r="G7557" s="424"/>
      <c r="H7557" s="31">
        <f>+IFERROR(VLOOKUP(E7557,BD!$L$2:$Q$244,6,0),0)</f>
        <v>0</v>
      </c>
      <c r="I7557" s="626">
        <f>IFERROR(G7557*VLOOKUP($E7557,BD!$L$2:$Q$244,5,0),0)</f>
        <v>0</v>
      </c>
      <c r="J7557" s="3">
        <f t="shared" si="485"/>
        <v>1900</v>
      </c>
    </row>
    <row r="7558" spans="1:10" s="9" customFormat="1" x14ac:dyDescent="0.25">
      <c r="A7558" s="447"/>
      <c r="B7558" s="55" t="str">
        <f t="shared" si="482"/>
        <v>ENERO</v>
      </c>
      <c r="C7558" s="55">
        <f t="shared" si="483"/>
        <v>1</v>
      </c>
      <c r="D7558" s="3" t="str">
        <f t="shared" si="484"/>
        <v>SÁBADO</v>
      </c>
      <c r="E7558" s="427"/>
      <c r="F7558" s="31">
        <f>IFERROR(VLOOKUP(E7558,BD!$L$2:$Q$244,2,0),0)</f>
        <v>0</v>
      </c>
      <c r="G7558" s="424"/>
      <c r="H7558" s="31">
        <f>+IFERROR(VLOOKUP(E7558,BD!$L$2:$Q$244,6,0),0)</f>
        <v>0</v>
      </c>
      <c r="I7558" s="626">
        <f>IFERROR(G7558*VLOOKUP($E7558,BD!$L$2:$Q$244,5,0),0)</f>
        <v>0</v>
      </c>
      <c r="J7558" s="3">
        <f t="shared" si="485"/>
        <v>1900</v>
      </c>
    </row>
    <row r="7559" spans="1:10" s="9" customFormat="1" x14ac:dyDescent="0.25">
      <c r="A7559" s="447"/>
      <c r="B7559" s="55" t="str">
        <f t="shared" si="482"/>
        <v>ENERO</v>
      </c>
      <c r="C7559" s="55">
        <f t="shared" si="483"/>
        <v>1</v>
      </c>
      <c r="D7559" s="3" t="str">
        <f t="shared" si="484"/>
        <v>SÁBADO</v>
      </c>
      <c r="E7559" s="427"/>
      <c r="F7559" s="31">
        <f>IFERROR(VLOOKUP(E7559,BD!$L$2:$Q$244,2,0),0)</f>
        <v>0</v>
      </c>
      <c r="G7559" s="424"/>
      <c r="H7559" s="31">
        <f>+IFERROR(VLOOKUP(E7559,BD!$L$2:$Q$244,6,0),0)</f>
        <v>0</v>
      </c>
      <c r="I7559" s="626">
        <f>IFERROR(G7559*VLOOKUP($E7559,BD!$L$2:$Q$244,5,0),0)</f>
        <v>0</v>
      </c>
      <c r="J7559" s="3">
        <f t="shared" si="485"/>
        <v>1900</v>
      </c>
    </row>
    <row r="7560" spans="1:10" s="9" customFormat="1" x14ac:dyDescent="0.25">
      <c r="A7560" s="447"/>
      <c r="B7560" s="55" t="str">
        <f t="shared" si="482"/>
        <v>ENERO</v>
      </c>
      <c r="C7560" s="55">
        <f t="shared" si="483"/>
        <v>1</v>
      </c>
      <c r="D7560" s="3" t="str">
        <f t="shared" si="484"/>
        <v>SÁBADO</v>
      </c>
      <c r="E7560" s="427"/>
      <c r="F7560" s="31">
        <f>IFERROR(VLOOKUP(E7560,BD!$L$2:$Q$244,2,0),0)</f>
        <v>0</v>
      </c>
      <c r="G7560" s="424"/>
      <c r="H7560" s="31">
        <f>+IFERROR(VLOOKUP(E7560,BD!$L$2:$Q$244,6,0),0)</f>
        <v>0</v>
      </c>
      <c r="I7560" s="626">
        <f>IFERROR(G7560*VLOOKUP($E7560,BD!$L$2:$Q$244,5,0),0)</f>
        <v>0</v>
      </c>
      <c r="J7560" s="3">
        <f t="shared" si="485"/>
        <v>1900</v>
      </c>
    </row>
    <row r="7561" spans="1:10" s="9" customFormat="1" x14ac:dyDescent="0.25">
      <c r="A7561" s="447"/>
      <c r="B7561" s="55" t="str">
        <f t="shared" si="482"/>
        <v>ENERO</v>
      </c>
      <c r="C7561" s="55">
        <f t="shared" si="483"/>
        <v>1</v>
      </c>
      <c r="D7561" s="3" t="str">
        <f t="shared" si="484"/>
        <v>SÁBADO</v>
      </c>
      <c r="E7561" s="427"/>
      <c r="F7561" s="31">
        <f>IFERROR(VLOOKUP(E7561,BD!$L$2:$Q$244,2,0),0)</f>
        <v>0</v>
      </c>
      <c r="G7561" s="424"/>
      <c r="H7561" s="31">
        <f>+IFERROR(VLOOKUP(E7561,BD!$L$2:$Q$244,6,0),0)</f>
        <v>0</v>
      </c>
      <c r="I7561" s="626">
        <f>IFERROR(G7561*VLOOKUP($E7561,BD!$L$2:$Q$244,5,0),0)</f>
        <v>0</v>
      </c>
      <c r="J7561" s="3">
        <f t="shared" si="485"/>
        <v>1900</v>
      </c>
    </row>
    <row r="7562" spans="1:10" s="9" customFormat="1" x14ac:dyDescent="0.25">
      <c r="A7562" s="447"/>
      <c r="B7562" s="55" t="str">
        <f t="shared" si="482"/>
        <v>ENERO</v>
      </c>
      <c r="C7562" s="55">
        <f t="shared" si="483"/>
        <v>1</v>
      </c>
      <c r="D7562" s="3" t="str">
        <f t="shared" si="484"/>
        <v>SÁBADO</v>
      </c>
      <c r="E7562" s="427"/>
      <c r="F7562" s="31">
        <f>IFERROR(VLOOKUP(E7562,BD!$L$2:$Q$244,2,0),0)</f>
        <v>0</v>
      </c>
      <c r="G7562" s="425"/>
      <c r="H7562" s="31">
        <f>+IFERROR(VLOOKUP(E7562,BD!$L$2:$Q$244,6,0),0)</f>
        <v>0</v>
      </c>
      <c r="I7562" s="626">
        <f>IFERROR(G7562*VLOOKUP($E7562,BD!$L$2:$Q$244,5,0),0)</f>
        <v>0</v>
      </c>
      <c r="J7562" s="3">
        <f t="shared" si="485"/>
        <v>1900</v>
      </c>
    </row>
    <row r="7563" spans="1:10" s="9" customFormat="1" x14ac:dyDescent="0.25">
      <c r="A7563" s="447"/>
      <c r="B7563" s="55" t="str">
        <f t="shared" si="482"/>
        <v>ENERO</v>
      </c>
      <c r="C7563" s="55">
        <f t="shared" si="483"/>
        <v>1</v>
      </c>
      <c r="D7563" s="3" t="str">
        <f t="shared" si="484"/>
        <v>SÁBADO</v>
      </c>
      <c r="E7563" s="427"/>
      <c r="F7563" s="31">
        <f>IFERROR(VLOOKUP(E7563,BD!$L$2:$Q$244,2,0),0)</f>
        <v>0</v>
      </c>
      <c r="G7563" s="424"/>
      <c r="H7563" s="31">
        <f>+IFERROR(VLOOKUP(E7563,BD!$L$2:$Q$244,6,0),0)</f>
        <v>0</v>
      </c>
      <c r="I7563" s="626">
        <f>IFERROR(G7563*VLOOKUP($E7563,BD!$L$2:$Q$244,5,0),0)</f>
        <v>0</v>
      </c>
      <c r="J7563" s="3">
        <f t="shared" si="485"/>
        <v>1900</v>
      </c>
    </row>
    <row r="7564" spans="1:10" s="9" customFormat="1" x14ac:dyDescent="0.25">
      <c r="A7564" s="447"/>
      <c r="B7564" s="55" t="str">
        <f t="shared" si="482"/>
        <v>ENERO</v>
      </c>
      <c r="C7564" s="55">
        <f t="shared" si="483"/>
        <v>1</v>
      </c>
      <c r="D7564" s="3" t="str">
        <f t="shared" si="484"/>
        <v>SÁBADO</v>
      </c>
      <c r="E7564" s="427"/>
      <c r="F7564" s="31">
        <f>IFERROR(VLOOKUP(E7564,BD!$L$2:$Q$244,2,0),0)</f>
        <v>0</v>
      </c>
      <c r="G7564" s="424"/>
      <c r="H7564" s="31">
        <f>+IFERROR(VLOOKUP(E7564,BD!$L$2:$Q$244,6,0),0)</f>
        <v>0</v>
      </c>
      <c r="I7564" s="626">
        <f>IFERROR(G7564*VLOOKUP($E7564,BD!$L$2:$Q$244,5,0),0)</f>
        <v>0</v>
      </c>
      <c r="J7564" s="3">
        <f t="shared" si="485"/>
        <v>1900</v>
      </c>
    </row>
    <row r="7565" spans="1:10" s="9" customFormat="1" x14ac:dyDescent="0.25">
      <c r="A7565" s="447"/>
      <c r="B7565" s="55" t="str">
        <f t="shared" si="482"/>
        <v>ENERO</v>
      </c>
      <c r="C7565" s="55">
        <f t="shared" si="483"/>
        <v>1</v>
      </c>
      <c r="D7565" s="3" t="str">
        <f t="shared" si="484"/>
        <v>SÁBADO</v>
      </c>
      <c r="E7565" s="427"/>
      <c r="F7565" s="31">
        <f>IFERROR(VLOOKUP(E7565,BD!$L$2:$Q$244,2,0),0)</f>
        <v>0</v>
      </c>
      <c r="G7565" s="424"/>
      <c r="H7565" s="31">
        <f>+IFERROR(VLOOKUP(E7565,BD!$L$2:$Q$244,6,0),0)</f>
        <v>0</v>
      </c>
      <c r="I7565" s="626">
        <f>IFERROR(G7565*VLOOKUP($E7565,BD!$L$2:$Q$244,5,0),0)</f>
        <v>0</v>
      </c>
      <c r="J7565" s="3">
        <f t="shared" si="485"/>
        <v>1900</v>
      </c>
    </row>
    <row r="7566" spans="1:10" s="9" customFormat="1" x14ac:dyDescent="0.25">
      <c r="A7566" s="447"/>
      <c r="B7566" s="55" t="str">
        <f t="shared" si="482"/>
        <v>ENERO</v>
      </c>
      <c r="C7566" s="55">
        <f t="shared" si="483"/>
        <v>1</v>
      </c>
      <c r="D7566" s="3" t="str">
        <f t="shared" si="484"/>
        <v>SÁBADO</v>
      </c>
      <c r="E7566" s="427"/>
      <c r="F7566" s="31">
        <f>IFERROR(VLOOKUP(E7566,BD!$L$2:$Q$244,2,0),0)</f>
        <v>0</v>
      </c>
      <c r="G7566" s="424"/>
      <c r="H7566" s="31">
        <f>+IFERROR(VLOOKUP(E7566,BD!$L$2:$Q$244,6,0),0)</f>
        <v>0</v>
      </c>
      <c r="I7566" s="626">
        <f>IFERROR(G7566*VLOOKUP($E7566,BD!$L$2:$Q$244,5,0),0)</f>
        <v>0</v>
      </c>
      <c r="J7566" s="3">
        <f t="shared" si="485"/>
        <v>1900</v>
      </c>
    </row>
    <row r="7567" spans="1:10" s="9" customFormat="1" x14ac:dyDescent="0.25">
      <c r="A7567" s="447"/>
      <c r="B7567" s="55" t="str">
        <f t="shared" si="482"/>
        <v>ENERO</v>
      </c>
      <c r="C7567" s="55">
        <f t="shared" si="483"/>
        <v>1</v>
      </c>
      <c r="D7567" s="3" t="str">
        <f t="shared" si="484"/>
        <v>SÁBADO</v>
      </c>
      <c r="E7567" s="427"/>
      <c r="F7567" s="31">
        <f>IFERROR(VLOOKUP(E7567,BD!$L$2:$Q$244,2,0),0)</f>
        <v>0</v>
      </c>
      <c r="G7567" s="424"/>
      <c r="H7567" s="31">
        <f>+IFERROR(VLOOKUP(E7567,BD!$L$2:$Q$244,6,0),0)</f>
        <v>0</v>
      </c>
      <c r="I7567" s="626">
        <f>IFERROR(G7567*VLOOKUP($E7567,BD!$L$2:$Q$244,5,0),0)</f>
        <v>0</v>
      </c>
      <c r="J7567" s="3">
        <f t="shared" si="485"/>
        <v>1900</v>
      </c>
    </row>
    <row r="7568" spans="1:10" s="9" customFormat="1" x14ac:dyDescent="0.25">
      <c r="A7568" s="447"/>
      <c r="B7568" s="55" t="str">
        <f t="shared" si="482"/>
        <v>ENERO</v>
      </c>
      <c r="C7568" s="55">
        <f t="shared" si="483"/>
        <v>1</v>
      </c>
      <c r="D7568" s="3" t="str">
        <f t="shared" si="484"/>
        <v>SÁBADO</v>
      </c>
      <c r="E7568" s="427"/>
      <c r="F7568" s="31">
        <f>IFERROR(VLOOKUP(E7568,BD!$L$2:$Q$244,2,0),0)</f>
        <v>0</v>
      </c>
      <c r="G7568" s="424"/>
      <c r="H7568" s="31">
        <f>+IFERROR(VLOOKUP(E7568,BD!$L$2:$Q$244,6,0),0)</f>
        <v>0</v>
      </c>
      <c r="I7568" s="626">
        <f>IFERROR(G7568*VLOOKUP($E7568,BD!$L$2:$Q$244,5,0),0)</f>
        <v>0</v>
      </c>
      <c r="J7568" s="3">
        <f t="shared" si="485"/>
        <v>1900</v>
      </c>
    </row>
    <row r="7569" spans="1:10" s="9" customFormat="1" x14ac:dyDescent="0.25">
      <c r="A7569" s="447"/>
      <c r="B7569" s="55" t="str">
        <f t="shared" si="482"/>
        <v>ENERO</v>
      </c>
      <c r="C7569" s="55">
        <f t="shared" si="483"/>
        <v>1</v>
      </c>
      <c r="D7569" s="3" t="str">
        <f t="shared" si="484"/>
        <v>SÁBADO</v>
      </c>
      <c r="E7569" s="427"/>
      <c r="F7569" s="31">
        <f>IFERROR(VLOOKUP(E7569,BD!$L$2:$Q$244,2,0),0)</f>
        <v>0</v>
      </c>
      <c r="G7569" s="424"/>
      <c r="H7569" s="31">
        <f>+IFERROR(VLOOKUP(E7569,BD!$L$2:$Q$244,6,0),0)</f>
        <v>0</v>
      </c>
      <c r="I7569" s="626">
        <f>IFERROR(G7569*VLOOKUP($E7569,BD!$L$2:$Q$244,5,0),0)</f>
        <v>0</v>
      </c>
      <c r="J7569" s="3">
        <f t="shared" si="485"/>
        <v>1900</v>
      </c>
    </row>
    <row r="7570" spans="1:10" s="9" customFormat="1" x14ac:dyDescent="0.25">
      <c r="A7570" s="447"/>
      <c r="B7570" s="55" t="str">
        <f t="shared" si="482"/>
        <v>ENERO</v>
      </c>
      <c r="C7570" s="55">
        <f t="shared" si="483"/>
        <v>1</v>
      </c>
      <c r="D7570" s="3" t="str">
        <f t="shared" si="484"/>
        <v>SÁBADO</v>
      </c>
      <c r="E7570" s="427"/>
      <c r="F7570" s="31">
        <f>IFERROR(VLOOKUP(E7570,BD!$L$2:$Q$244,2,0),0)</f>
        <v>0</v>
      </c>
      <c r="G7570" s="424"/>
      <c r="H7570" s="31">
        <f>+IFERROR(VLOOKUP(E7570,BD!$L$2:$Q$244,6,0),0)</f>
        <v>0</v>
      </c>
      <c r="I7570" s="626">
        <f>IFERROR(G7570*VLOOKUP($E7570,BD!$L$2:$Q$244,5,0),0)</f>
        <v>0</v>
      </c>
      <c r="J7570" s="3">
        <f t="shared" si="485"/>
        <v>1900</v>
      </c>
    </row>
    <row r="7571" spans="1:10" s="9" customFormat="1" x14ac:dyDescent="0.25">
      <c r="A7571" s="447"/>
      <c r="B7571" s="55" t="str">
        <f t="shared" si="482"/>
        <v>ENERO</v>
      </c>
      <c r="C7571" s="55">
        <f t="shared" si="483"/>
        <v>1</v>
      </c>
      <c r="D7571" s="3" t="str">
        <f t="shared" si="484"/>
        <v>SÁBADO</v>
      </c>
      <c r="E7571" s="427"/>
      <c r="F7571" s="31">
        <f>IFERROR(VLOOKUP(E7571,BD!$L$2:$Q$244,2,0),0)</f>
        <v>0</v>
      </c>
      <c r="G7571" s="424"/>
      <c r="H7571" s="31">
        <f>+IFERROR(VLOOKUP(E7571,BD!$L$2:$Q$244,6,0),0)</f>
        <v>0</v>
      </c>
      <c r="I7571" s="626">
        <f>IFERROR(G7571*VLOOKUP($E7571,BD!$L$2:$Q$244,5,0),0)</f>
        <v>0</v>
      </c>
      <c r="J7571" s="3">
        <f t="shared" si="485"/>
        <v>1900</v>
      </c>
    </row>
    <row r="7572" spans="1:10" s="9" customFormat="1" x14ac:dyDescent="0.25">
      <c r="A7572" s="447"/>
      <c r="B7572" s="55" t="str">
        <f t="shared" si="482"/>
        <v>ENERO</v>
      </c>
      <c r="C7572" s="55">
        <f t="shared" si="483"/>
        <v>1</v>
      </c>
      <c r="D7572" s="3" t="str">
        <f t="shared" si="484"/>
        <v>SÁBADO</v>
      </c>
      <c r="E7572" s="427"/>
      <c r="F7572" s="31">
        <f>IFERROR(VLOOKUP(E7572,BD!$L$2:$Q$244,2,0),0)</f>
        <v>0</v>
      </c>
      <c r="G7572" s="424"/>
      <c r="H7572" s="31">
        <f>+IFERROR(VLOOKUP(E7572,BD!$L$2:$Q$244,6,0),0)</f>
        <v>0</v>
      </c>
      <c r="I7572" s="626">
        <f>IFERROR(G7572*VLOOKUP($E7572,BD!$L$2:$Q$244,5,0),0)</f>
        <v>0</v>
      </c>
      <c r="J7572" s="3">
        <f t="shared" si="485"/>
        <v>1900</v>
      </c>
    </row>
    <row r="7573" spans="1:10" s="9" customFormat="1" x14ac:dyDescent="0.25">
      <c r="A7573" s="447"/>
      <c r="B7573" s="55" t="str">
        <f t="shared" si="482"/>
        <v>ENERO</v>
      </c>
      <c r="C7573" s="55">
        <f t="shared" si="483"/>
        <v>1</v>
      </c>
      <c r="D7573" s="3" t="str">
        <f t="shared" si="484"/>
        <v>SÁBADO</v>
      </c>
      <c r="E7573" s="427"/>
      <c r="F7573" s="31">
        <f>IFERROR(VLOOKUP(E7573,BD!$L$2:$Q$244,2,0),0)</f>
        <v>0</v>
      </c>
      <c r="G7573" s="424"/>
      <c r="H7573" s="31">
        <f>+IFERROR(VLOOKUP(E7573,BD!$L$2:$Q$244,6,0),0)</f>
        <v>0</v>
      </c>
      <c r="I7573" s="626">
        <f>IFERROR(G7573*VLOOKUP($E7573,BD!$L$2:$Q$244,5,0),0)</f>
        <v>0</v>
      </c>
      <c r="J7573" s="3">
        <f t="shared" si="485"/>
        <v>1900</v>
      </c>
    </row>
    <row r="7574" spans="1:10" s="9" customFormat="1" x14ac:dyDescent="0.25">
      <c r="A7574" s="447"/>
      <c r="B7574" s="55" t="str">
        <f t="shared" si="482"/>
        <v>ENERO</v>
      </c>
      <c r="C7574" s="55">
        <f t="shared" si="483"/>
        <v>1</v>
      </c>
      <c r="D7574" s="3" t="str">
        <f t="shared" si="484"/>
        <v>SÁBADO</v>
      </c>
      <c r="E7574" s="427"/>
      <c r="F7574" s="31">
        <f>IFERROR(VLOOKUP(E7574,BD!$L$2:$Q$244,2,0),0)</f>
        <v>0</v>
      </c>
      <c r="G7574" s="424"/>
      <c r="H7574" s="31">
        <f>+IFERROR(VLOOKUP(E7574,BD!$L$2:$Q$244,6,0),0)</f>
        <v>0</v>
      </c>
      <c r="I7574" s="626">
        <f>IFERROR(G7574*VLOOKUP($E7574,BD!$L$2:$Q$244,5,0),0)</f>
        <v>0</v>
      </c>
      <c r="J7574" s="3">
        <f t="shared" si="485"/>
        <v>1900</v>
      </c>
    </row>
    <row r="7575" spans="1:10" s="9" customFormat="1" x14ac:dyDescent="0.25">
      <c r="A7575" s="447"/>
      <c r="B7575" s="55" t="str">
        <f t="shared" si="482"/>
        <v>ENERO</v>
      </c>
      <c r="C7575" s="55">
        <f t="shared" si="483"/>
        <v>1</v>
      </c>
      <c r="D7575" s="3" t="str">
        <f t="shared" si="484"/>
        <v>SÁBADO</v>
      </c>
      <c r="E7575" s="427"/>
      <c r="F7575" s="31">
        <f>IFERROR(VLOOKUP(E7575,BD!$L$2:$Q$244,2,0),0)</f>
        <v>0</v>
      </c>
      <c r="G7575" s="424"/>
      <c r="H7575" s="31">
        <f>+IFERROR(VLOOKUP(E7575,BD!$L$2:$Q$244,6,0),0)</f>
        <v>0</v>
      </c>
      <c r="I7575" s="626">
        <f>IFERROR(G7575*VLOOKUP($E7575,BD!$L$2:$Q$244,5,0),0)</f>
        <v>0</v>
      </c>
      <c r="J7575" s="3">
        <f t="shared" si="485"/>
        <v>1900</v>
      </c>
    </row>
    <row r="7576" spans="1:10" s="9" customFormat="1" x14ac:dyDescent="0.25">
      <c r="A7576" s="447"/>
      <c r="B7576" s="55" t="str">
        <f t="shared" si="482"/>
        <v>ENERO</v>
      </c>
      <c r="C7576" s="55">
        <f t="shared" si="483"/>
        <v>1</v>
      </c>
      <c r="D7576" s="3" t="str">
        <f t="shared" si="484"/>
        <v>SÁBADO</v>
      </c>
      <c r="E7576" s="427"/>
      <c r="F7576" s="31">
        <f>IFERROR(VLOOKUP(E7576,BD!$L$2:$Q$244,2,0),0)</f>
        <v>0</v>
      </c>
      <c r="G7576" s="424"/>
      <c r="H7576" s="31">
        <f>+IFERROR(VLOOKUP(E7576,BD!$L$2:$Q$244,6,0),0)</f>
        <v>0</v>
      </c>
      <c r="I7576" s="626">
        <f>IFERROR(G7576*VLOOKUP($E7576,BD!$L$2:$Q$244,5,0),0)</f>
        <v>0</v>
      </c>
      <c r="J7576" s="3">
        <f t="shared" si="485"/>
        <v>1900</v>
      </c>
    </row>
    <row r="7577" spans="1:10" s="9" customFormat="1" x14ac:dyDescent="0.25">
      <c r="A7577" s="447"/>
      <c r="B7577" s="55" t="str">
        <f t="shared" si="482"/>
        <v>ENERO</v>
      </c>
      <c r="C7577" s="55">
        <f t="shared" si="483"/>
        <v>1</v>
      </c>
      <c r="D7577" s="3" t="str">
        <f t="shared" si="484"/>
        <v>SÁBADO</v>
      </c>
      <c r="E7577" s="427"/>
      <c r="F7577" s="31">
        <f>IFERROR(VLOOKUP(E7577,BD!$L$2:$Q$244,2,0),0)</f>
        <v>0</v>
      </c>
      <c r="G7577" s="424"/>
      <c r="H7577" s="31">
        <f>+IFERROR(VLOOKUP(E7577,BD!$L$2:$Q$244,6,0),0)</f>
        <v>0</v>
      </c>
      <c r="I7577" s="626">
        <f>IFERROR(G7577*VLOOKUP($E7577,BD!$L$2:$Q$244,5,0),0)</f>
        <v>0</v>
      </c>
      <c r="J7577" s="3">
        <f t="shared" si="485"/>
        <v>1900</v>
      </c>
    </row>
    <row r="7578" spans="1:10" s="9" customFormat="1" x14ac:dyDescent="0.25">
      <c r="A7578" s="447"/>
      <c r="B7578" s="55" t="str">
        <f t="shared" si="482"/>
        <v>ENERO</v>
      </c>
      <c r="C7578" s="55">
        <f t="shared" si="483"/>
        <v>1</v>
      </c>
      <c r="D7578" s="3" t="str">
        <f t="shared" si="484"/>
        <v>SÁBADO</v>
      </c>
      <c r="E7578" s="427"/>
      <c r="F7578" s="31">
        <f>IFERROR(VLOOKUP(E7578,BD!$L$2:$Q$244,2,0),0)</f>
        <v>0</v>
      </c>
      <c r="G7578" s="424"/>
      <c r="H7578" s="31">
        <f>+IFERROR(VLOOKUP(E7578,BD!$L$2:$Q$244,6,0),0)</f>
        <v>0</v>
      </c>
      <c r="I7578" s="626">
        <f>IFERROR(G7578*VLOOKUP($E7578,BD!$L$2:$Q$244,5,0),0)</f>
        <v>0</v>
      </c>
      <c r="J7578" s="3">
        <f t="shared" si="485"/>
        <v>1900</v>
      </c>
    </row>
    <row r="7579" spans="1:10" s="9" customFormat="1" x14ac:dyDescent="0.25">
      <c r="A7579" s="447"/>
      <c r="B7579" s="55" t="str">
        <f t="shared" si="482"/>
        <v>ENERO</v>
      </c>
      <c r="C7579" s="55">
        <f t="shared" si="483"/>
        <v>1</v>
      </c>
      <c r="D7579" s="3" t="str">
        <f t="shared" si="484"/>
        <v>SÁBADO</v>
      </c>
      <c r="E7579" s="427"/>
      <c r="F7579" s="31">
        <f>IFERROR(VLOOKUP(E7579,BD!$L$2:$Q$244,2,0),0)</f>
        <v>0</v>
      </c>
      <c r="G7579" s="424"/>
      <c r="H7579" s="31">
        <f>+IFERROR(VLOOKUP(E7579,BD!$L$2:$Q$244,6,0),0)</f>
        <v>0</v>
      </c>
      <c r="I7579" s="626">
        <f>IFERROR(G7579*VLOOKUP($E7579,BD!$L$2:$Q$244,5,0),0)</f>
        <v>0</v>
      </c>
      <c r="J7579" s="3">
        <f t="shared" si="485"/>
        <v>1900</v>
      </c>
    </row>
    <row r="7580" spans="1:10" s="9" customFormat="1" x14ac:dyDescent="0.25">
      <c r="A7580" s="447"/>
      <c r="B7580" s="55" t="str">
        <f t="shared" si="482"/>
        <v>ENERO</v>
      </c>
      <c r="C7580" s="55">
        <f t="shared" si="483"/>
        <v>1</v>
      </c>
      <c r="D7580" s="3" t="str">
        <f t="shared" si="484"/>
        <v>SÁBADO</v>
      </c>
      <c r="E7580" s="427"/>
      <c r="F7580" s="31">
        <f>IFERROR(VLOOKUP(E7580,BD!$L$2:$Q$244,2,0),0)</f>
        <v>0</v>
      </c>
      <c r="G7580" s="424"/>
      <c r="H7580" s="31">
        <f>+IFERROR(VLOOKUP(E7580,BD!$L$2:$Q$244,6,0),0)</f>
        <v>0</v>
      </c>
      <c r="I7580" s="626">
        <f>IFERROR(G7580*VLOOKUP($E7580,BD!$L$2:$Q$244,5,0),0)</f>
        <v>0</v>
      </c>
      <c r="J7580" s="3">
        <f t="shared" si="485"/>
        <v>1900</v>
      </c>
    </row>
    <row r="7581" spans="1:10" s="9" customFormat="1" x14ac:dyDescent="0.25">
      <c r="A7581" s="447"/>
      <c r="B7581" s="55" t="str">
        <f t="shared" si="482"/>
        <v>ENERO</v>
      </c>
      <c r="C7581" s="55">
        <f t="shared" si="483"/>
        <v>1</v>
      </c>
      <c r="D7581" s="3" t="str">
        <f t="shared" si="484"/>
        <v>SÁBADO</v>
      </c>
      <c r="E7581" s="427"/>
      <c r="F7581" s="31">
        <f>IFERROR(VLOOKUP(E7581,BD!$L$2:$Q$244,2,0),0)</f>
        <v>0</v>
      </c>
      <c r="G7581" s="424"/>
      <c r="H7581" s="31">
        <f>+IFERROR(VLOOKUP(E7581,BD!$L$2:$Q$244,6,0),0)</f>
        <v>0</v>
      </c>
      <c r="I7581" s="626">
        <f>IFERROR(G7581*VLOOKUP($E7581,BD!$L$2:$Q$244,5,0),0)</f>
        <v>0</v>
      </c>
      <c r="J7581" s="3">
        <f t="shared" si="485"/>
        <v>1900</v>
      </c>
    </row>
    <row r="7582" spans="1:10" s="9" customFormat="1" x14ac:dyDescent="0.25">
      <c r="A7582" s="447"/>
      <c r="B7582" s="55" t="str">
        <f t="shared" si="482"/>
        <v>ENERO</v>
      </c>
      <c r="C7582" s="55">
        <f t="shared" si="483"/>
        <v>1</v>
      </c>
      <c r="D7582" s="3" t="str">
        <f t="shared" si="484"/>
        <v>SÁBADO</v>
      </c>
      <c r="E7582" s="427"/>
      <c r="F7582" s="31">
        <f>IFERROR(VLOOKUP(E7582,BD!$L$2:$Q$244,2,0),0)</f>
        <v>0</v>
      </c>
      <c r="G7582" s="424"/>
      <c r="H7582" s="31">
        <f>+IFERROR(VLOOKUP(E7582,BD!$L$2:$Q$244,6,0),0)</f>
        <v>0</v>
      </c>
      <c r="I7582" s="626">
        <f>IFERROR(G7582*VLOOKUP($E7582,BD!$L$2:$Q$244,5,0),0)</f>
        <v>0</v>
      </c>
      <c r="J7582" s="3">
        <f t="shared" si="485"/>
        <v>1900</v>
      </c>
    </row>
    <row r="7583" spans="1:10" s="9" customFormat="1" x14ac:dyDescent="0.25">
      <c r="A7583" s="447"/>
      <c r="B7583" s="55" t="str">
        <f t="shared" si="482"/>
        <v>ENERO</v>
      </c>
      <c r="C7583" s="55">
        <f t="shared" si="483"/>
        <v>1</v>
      </c>
      <c r="D7583" s="3" t="str">
        <f t="shared" si="484"/>
        <v>SÁBADO</v>
      </c>
      <c r="E7583" s="427"/>
      <c r="F7583" s="31">
        <f>IFERROR(VLOOKUP(E7583,BD!$L$2:$Q$244,2,0),0)</f>
        <v>0</v>
      </c>
      <c r="G7583" s="424"/>
      <c r="H7583" s="31">
        <f>+IFERROR(VLOOKUP(E7583,BD!$L$2:$Q$244,6,0),0)</f>
        <v>0</v>
      </c>
      <c r="I7583" s="626">
        <f>IFERROR(G7583*VLOOKUP($E7583,BD!$L$2:$Q$244,5,0),0)</f>
        <v>0</v>
      </c>
      <c r="J7583" s="3">
        <f t="shared" si="485"/>
        <v>1900</v>
      </c>
    </row>
    <row r="7584" spans="1:10" s="9" customFormat="1" x14ac:dyDescent="0.25">
      <c r="A7584" s="447"/>
      <c r="B7584" s="55" t="str">
        <f t="shared" si="482"/>
        <v>ENERO</v>
      </c>
      <c r="C7584" s="55">
        <f t="shared" si="483"/>
        <v>1</v>
      </c>
      <c r="D7584" s="3" t="str">
        <f t="shared" si="484"/>
        <v>SÁBADO</v>
      </c>
      <c r="E7584" s="427"/>
      <c r="F7584" s="31">
        <f>IFERROR(VLOOKUP(E7584,BD!$L$2:$Q$244,2,0),0)</f>
        <v>0</v>
      </c>
      <c r="G7584" s="424"/>
      <c r="H7584" s="31">
        <f>+IFERROR(VLOOKUP(E7584,BD!$L$2:$Q$244,6,0),0)</f>
        <v>0</v>
      </c>
      <c r="I7584" s="626">
        <f>IFERROR(G7584*VLOOKUP($E7584,BD!$L$2:$Q$244,5,0),0)</f>
        <v>0</v>
      </c>
      <c r="J7584" s="3">
        <f t="shared" si="485"/>
        <v>1900</v>
      </c>
    </row>
    <row r="7585" spans="1:10" s="9" customFormat="1" x14ac:dyDescent="0.25">
      <c r="A7585" s="447"/>
      <c r="B7585" s="55" t="str">
        <f t="shared" si="482"/>
        <v>ENERO</v>
      </c>
      <c r="C7585" s="55">
        <f t="shared" si="483"/>
        <v>1</v>
      </c>
      <c r="D7585" s="3" t="str">
        <f t="shared" si="484"/>
        <v>SÁBADO</v>
      </c>
      <c r="E7585" s="427"/>
      <c r="F7585" s="31">
        <f>IFERROR(VLOOKUP(E7585,BD!$L$2:$Q$244,2,0),0)</f>
        <v>0</v>
      </c>
      <c r="G7585" s="424"/>
      <c r="H7585" s="31">
        <f>+IFERROR(VLOOKUP(E7585,BD!$L$2:$Q$244,6,0),0)</f>
        <v>0</v>
      </c>
      <c r="I7585" s="626">
        <f>IFERROR(G7585*VLOOKUP($E7585,BD!$L$2:$Q$244,5,0),0)</f>
        <v>0</v>
      </c>
      <c r="J7585" s="3">
        <f t="shared" si="485"/>
        <v>1900</v>
      </c>
    </row>
    <row r="7586" spans="1:10" s="9" customFormat="1" x14ac:dyDescent="0.25">
      <c r="A7586" s="447"/>
      <c r="B7586" s="55" t="str">
        <f t="shared" si="482"/>
        <v>ENERO</v>
      </c>
      <c r="C7586" s="55">
        <f t="shared" si="483"/>
        <v>1</v>
      </c>
      <c r="D7586" s="3" t="str">
        <f t="shared" si="484"/>
        <v>SÁBADO</v>
      </c>
      <c r="E7586" s="427"/>
      <c r="F7586" s="31">
        <f>IFERROR(VLOOKUP(E7586,BD!$L$2:$Q$244,2,0),0)</f>
        <v>0</v>
      </c>
      <c r="G7586" s="424"/>
      <c r="H7586" s="31">
        <f>+IFERROR(VLOOKUP(E7586,BD!$L$2:$Q$244,6,0),0)</f>
        <v>0</v>
      </c>
      <c r="I7586" s="626">
        <f>IFERROR(G7586*VLOOKUP($E7586,BD!$L$2:$Q$244,5,0),0)</f>
        <v>0</v>
      </c>
      <c r="J7586" s="3">
        <f t="shared" si="485"/>
        <v>1900</v>
      </c>
    </row>
    <row r="7587" spans="1:10" s="9" customFormat="1" x14ac:dyDescent="0.25">
      <c r="A7587" s="447"/>
      <c r="B7587" s="55" t="str">
        <f t="shared" si="482"/>
        <v>ENERO</v>
      </c>
      <c r="C7587" s="55">
        <f t="shared" si="483"/>
        <v>1</v>
      </c>
      <c r="D7587" s="3" t="str">
        <f t="shared" si="484"/>
        <v>SÁBADO</v>
      </c>
      <c r="E7587" s="427"/>
      <c r="F7587" s="31">
        <f>IFERROR(VLOOKUP(E7587,BD!$L$2:$Q$244,2,0),0)</f>
        <v>0</v>
      </c>
      <c r="G7587" s="424"/>
      <c r="H7587" s="31">
        <f>+IFERROR(VLOOKUP(E7587,BD!$L$2:$Q$244,6,0),0)</f>
        <v>0</v>
      </c>
      <c r="I7587" s="626">
        <f>IFERROR(G7587*VLOOKUP($E7587,BD!$L$2:$Q$244,5,0),0)</f>
        <v>0</v>
      </c>
      <c r="J7587" s="3">
        <f t="shared" si="485"/>
        <v>1900</v>
      </c>
    </row>
    <row r="7588" spans="1:10" s="9" customFormat="1" x14ac:dyDescent="0.25">
      <c r="A7588" s="447"/>
      <c r="B7588" s="55" t="str">
        <f t="shared" si="482"/>
        <v>ENERO</v>
      </c>
      <c r="C7588" s="55">
        <f t="shared" si="483"/>
        <v>1</v>
      </c>
      <c r="D7588" s="3" t="str">
        <f t="shared" si="484"/>
        <v>SÁBADO</v>
      </c>
      <c r="E7588" s="427"/>
      <c r="F7588" s="31">
        <f>IFERROR(VLOOKUP(E7588,BD!$L$2:$Q$244,2,0),0)</f>
        <v>0</v>
      </c>
      <c r="G7588" s="424"/>
      <c r="H7588" s="31">
        <f>+IFERROR(VLOOKUP(E7588,BD!$L$2:$Q$244,6,0),0)</f>
        <v>0</v>
      </c>
      <c r="I7588" s="626">
        <f>IFERROR(G7588*VLOOKUP($E7588,BD!$L$2:$Q$244,5,0),0)</f>
        <v>0</v>
      </c>
      <c r="J7588" s="3">
        <f t="shared" si="485"/>
        <v>1900</v>
      </c>
    </row>
    <row r="7589" spans="1:10" s="9" customFormat="1" x14ac:dyDescent="0.25">
      <c r="A7589" s="447"/>
      <c r="B7589" s="55" t="str">
        <f t="shared" si="482"/>
        <v>ENERO</v>
      </c>
      <c r="C7589" s="55">
        <f t="shared" si="483"/>
        <v>1</v>
      </c>
      <c r="D7589" s="3" t="str">
        <f t="shared" si="484"/>
        <v>SÁBADO</v>
      </c>
      <c r="E7589" s="427"/>
      <c r="F7589" s="31">
        <f>IFERROR(VLOOKUP(E7589,BD!$L$2:$Q$244,2,0),0)</f>
        <v>0</v>
      </c>
      <c r="G7589" s="424"/>
      <c r="H7589" s="31">
        <f>+IFERROR(VLOOKUP(E7589,BD!$L$2:$Q$244,6,0),0)</f>
        <v>0</v>
      </c>
      <c r="I7589" s="626">
        <f>IFERROR(G7589*VLOOKUP($E7589,BD!$L$2:$Q$244,5,0),0)</f>
        <v>0</v>
      </c>
      <c r="J7589" s="3">
        <f t="shared" si="485"/>
        <v>1900</v>
      </c>
    </row>
    <row r="7590" spans="1:10" s="9" customFormat="1" x14ac:dyDescent="0.25">
      <c r="A7590" s="447"/>
      <c r="B7590" s="55" t="str">
        <f t="shared" si="482"/>
        <v>ENERO</v>
      </c>
      <c r="C7590" s="55">
        <f t="shared" si="483"/>
        <v>1</v>
      </c>
      <c r="D7590" s="3" t="str">
        <f t="shared" si="484"/>
        <v>SÁBADO</v>
      </c>
      <c r="E7590" s="427"/>
      <c r="F7590" s="31">
        <f>IFERROR(VLOOKUP(E7590,BD!$L$2:$Q$244,2,0),0)</f>
        <v>0</v>
      </c>
      <c r="G7590" s="424"/>
      <c r="H7590" s="31">
        <f>+IFERROR(VLOOKUP(E7590,BD!$L$2:$Q$244,6,0),0)</f>
        <v>0</v>
      </c>
      <c r="I7590" s="626">
        <f>IFERROR(G7590*VLOOKUP($E7590,BD!$L$2:$Q$244,5,0),0)</f>
        <v>0</v>
      </c>
      <c r="J7590" s="3">
        <f t="shared" si="485"/>
        <v>1900</v>
      </c>
    </row>
    <row r="7591" spans="1:10" s="9" customFormat="1" x14ac:dyDescent="0.25">
      <c r="A7591" s="447"/>
      <c r="B7591" s="55" t="str">
        <f t="shared" si="482"/>
        <v>ENERO</v>
      </c>
      <c r="C7591" s="55">
        <f t="shared" si="483"/>
        <v>1</v>
      </c>
      <c r="D7591" s="3" t="str">
        <f t="shared" si="484"/>
        <v>SÁBADO</v>
      </c>
      <c r="E7591" s="427"/>
      <c r="F7591" s="31">
        <f>IFERROR(VLOOKUP(E7591,BD!$L$2:$Q$244,2,0),0)</f>
        <v>0</v>
      </c>
      <c r="G7591" s="424"/>
      <c r="H7591" s="31">
        <f>+IFERROR(VLOOKUP(E7591,BD!$L$2:$Q$244,6,0),0)</f>
        <v>0</v>
      </c>
      <c r="I7591" s="626">
        <f>IFERROR(G7591*VLOOKUP($E7591,BD!$L$2:$Q$244,5,0),0)</f>
        <v>0</v>
      </c>
      <c r="J7591" s="3">
        <f t="shared" si="485"/>
        <v>1900</v>
      </c>
    </row>
    <row r="7592" spans="1:10" s="9" customFormat="1" x14ac:dyDescent="0.25">
      <c r="A7592" s="447"/>
      <c r="B7592" s="55" t="str">
        <f t="shared" si="482"/>
        <v>ENERO</v>
      </c>
      <c r="C7592" s="55">
        <f t="shared" si="483"/>
        <v>1</v>
      </c>
      <c r="D7592" s="3" t="str">
        <f t="shared" si="484"/>
        <v>SÁBADO</v>
      </c>
      <c r="E7592" s="427"/>
      <c r="F7592" s="31">
        <f>IFERROR(VLOOKUP(E7592,BD!$L$2:$Q$244,2,0),0)</f>
        <v>0</v>
      </c>
      <c r="G7592" s="424"/>
      <c r="H7592" s="31">
        <f>+IFERROR(VLOOKUP(E7592,BD!$L$2:$Q$244,6,0),0)</f>
        <v>0</v>
      </c>
      <c r="I7592" s="626">
        <f>IFERROR(G7592*VLOOKUP($E7592,BD!$L$2:$Q$244,5,0),0)</f>
        <v>0</v>
      </c>
      <c r="J7592" s="3">
        <f t="shared" si="485"/>
        <v>1900</v>
      </c>
    </row>
    <row r="7593" spans="1:10" s="9" customFormat="1" x14ac:dyDescent="0.25">
      <c r="A7593" s="447"/>
      <c r="B7593" s="55" t="str">
        <f t="shared" si="482"/>
        <v>ENERO</v>
      </c>
      <c r="C7593" s="55">
        <f t="shared" si="483"/>
        <v>1</v>
      </c>
      <c r="D7593" s="3" t="str">
        <f t="shared" si="484"/>
        <v>SÁBADO</v>
      </c>
      <c r="E7593" s="427"/>
      <c r="F7593" s="31">
        <f>IFERROR(VLOOKUP(E7593,BD!$L$2:$Q$244,2,0),0)</f>
        <v>0</v>
      </c>
      <c r="G7593" s="424"/>
      <c r="H7593" s="31">
        <f>+IFERROR(VLOOKUP(E7593,BD!$L$2:$Q$244,6,0),0)</f>
        <v>0</v>
      </c>
      <c r="I7593" s="626">
        <f>IFERROR(G7593*VLOOKUP($E7593,BD!$L$2:$Q$244,5,0),0)</f>
        <v>0</v>
      </c>
      <c r="J7593" s="3">
        <f t="shared" si="485"/>
        <v>1900</v>
      </c>
    </row>
    <row r="7594" spans="1:10" s="9" customFormat="1" x14ac:dyDescent="0.25">
      <c r="A7594" s="447"/>
      <c r="B7594" s="55" t="str">
        <f t="shared" si="482"/>
        <v>ENERO</v>
      </c>
      <c r="C7594" s="55">
        <f t="shared" si="483"/>
        <v>1</v>
      </c>
      <c r="D7594" s="3" t="str">
        <f t="shared" si="484"/>
        <v>SÁBADO</v>
      </c>
      <c r="E7594" s="427"/>
      <c r="F7594" s="31">
        <f>IFERROR(VLOOKUP(E7594,BD!$L$2:$Q$244,2,0),0)</f>
        <v>0</v>
      </c>
      <c r="G7594" s="424"/>
      <c r="H7594" s="31">
        <f>+IFERROR(VLOOKUP(E7594,BD!$L$2:$Q$244,6,0),0)</f>
        <v>0</v>
      </c>
      <c r="I7594" s="626">
        <f>IFERROR(G7594*VLOOKUP($E7594,BD!$L$2:$Q$244,5,0),0)</f>
        <v>0</v>
      </c>
      <c r="J7594" s="3">
        <f t="shared" si="485"/>
        <v>1900</v>
      </c>
    </row>
    <row r="7595" spans="1:10" s="9" customFormat="1" x14ac:dyDescent="0.25">
      <c r="A7595" s="447"/>
      <c r="B7595" s="55" t="str">
        <f t="shared" si="482"/>
        <v>ENERO</v>
      </c>
      <c r="C7595" s="55">
        <f t="shared" si="483"/>
        <v>1</v>
      </c>
      <c r="D7595" s="3" t="str">
        <f t="shared" si="484"/>
        <v>SÁBADO</v>
      </c>
      <c r="E7595" s="427"/>
      <c r="F7595" s="31">
        <f>IFERROR(VLOOKUP(E7595,BD!$L$2:$Q$244,2,0),0)</f>
        <v>0</v>
      </c>
      <c r="G7595" s="424"/>
      <c r="H7595" s="31">
        <f>+IFERROR(VLOOKUP(E7595,BD!$L$2:$Q$244,6,0),0)</f>
        <v>0</v>
      </c>
      <c r="I7595" s="626">
        <f>IFERROR(G7595*VLOOKUP($E7595,BD!$L$2:$Q$244,5,0),0)</f>
        <v>0</v>
      </c>
      <c r="J7595" s="3">
        <f t="shared" si="485"/>
        <v>1900</v>
      </c>
    </row>
    <row r="7596" spans="1:10" s="9" customFormat="1" x14ac:dyDescent="0.25">
      <c r="A7596" s="447"/>
      <c r="B7596" s="55" t="str">
        <f t="shared" si="482"/>
        <v>ENERO</v>
      </c>
      <c r="C7596" s="55">
        <f t="shared" si="483"/>
        <v>1</v>
      </c>
      <c r="D7596" s="3" t="str">
        <f t="shared" si="484"/>
        <v>SÁBADO</v>
      </c>
      <c r="E7596" s="427"/>
      <c r="F7596" s="31">
        <f>IFERROR(VLOOKUP(E7596,BD!$L$2:$Q$244,2,0),0)</f>
        <v>0</v>
      </c>
      <c r="G7596" s="424"/>
      <c r="H7596" s="31">
        <f>+IFERROR(VLOOKUP(E7596,BD!$L$2:$Q$244,6,0),0)</f>
        <v>0</v>
      </c>
      <c r="I7596" s="626">
        <f>IFERROR(G7596*VLOOKUP($E7596,BD!$L$2:$Q$244,5,0),0)</f>
        <v>0</v>
      </c>
      <c r="J7596" s="3">
        <f t="shared" si="485"/>
        <v>1900</v>
      </c>
    </row>
    <row r="7597" spans="1:10" s="9" customFormat="1" x14ac:dyDescent="0.25">
      <c r="A7597" s="447"/>
      <c r="B7597" s="55" t="str">
        <f t="shared" si="482"/>
        <v>ENERO</v>
      </c>
      <c r="C7597" s="55">
        <f t="shared" si="483"/>
        <v>1</v>
      </c>
      <c r="D7597" s="3" t="str">
        <f t="shared" si="484"/>
        <v>SÁBADO</v>
      </c>
      <c r="E7597" s="427"/>
      <c r="F7597" s="31">
        <f>IFERROR(VLOOKUP(E7597,BD!$L$2:$Q$244,2,0),0)</f>
        <v>0</v>
      </c>
      <c r="G7597" s="424"/>
      <c r="H7597" s="31">
        <f>+IFERROR(VLOOKUP(E7597,BD!$L$2:$Q$244,6,0),0)</f>
        <v>0</v>
      </c>
      <c r="I7597" s="626">
        <f>IFERROR(G7597*VLOOKUP($E7597,BD!$L$2:$Q$244,5,0),0)</f>
        <v>0</v>
      </c>
      <c r="J7597" s="3">
        <f t="shared" si="485"/>
        <v>1900</v>
      </c>
    </row>
    <row r="7598" spans="1:10" s="9" customFormat="1" x14ac:dyDescent="0.25">
      <c r="A7598" s="447"/>
      <c r="B7598" s="55" t="str">
        <f t="shared" si="482"/>
        <v>ENERO</v>
      </c>
      <c r="C7598" s="55">
        <f t="shared" si="483"/>
        <v>1</v>
      </c>
      <c r="D7598" s="3" t="str">
        <f t="shared" si="484"/>
        <v>SÁBADO</v>
      </c>
      <c r="E7598" s="427"/>
      <c r="F7598" s="31">
        <f>IFERROR(VLOOKUP(E7598,BD!$L$2:$Q$244,2,0),0)</f>
        <v>0</v>
      </c>
      <c r="G7598" s="424"/>
      <c r="H7598" s="31">
        <f>+IFERROR(VLOOKUP(E7598,BD!$L$2:$Q$244,6,0),0)</f>
        <v>0</v>
      </c>
      <c r="I7598" s="626">
        <f>IFERROR(G7598*VLOOKUP($E7598,BD!$L$2:$Q$244,5,0),0)</f>
        <v>0</v>
      </c>
      <c r="J7598" s="3">
        <f t="shared" si="485"/>
        <v>1900</v>
      </c>
    </row>
    <row r="7599" spans="1:10" s="9" customFormat="1" x14ac:dyDescent="0.25">
      <c r="A7599" s="447"/>
      <c r="B7599" s="55" t="str">
        <f t="shared" si="482"/>
        <v>ENERO</v>
      </c>
      <c r="C7599" s="55">
        <f t="shared" si="483"/>
        <v>1</v>
      </c>
      <c r="D7599" s="3" t="str">
        <f t="shared" si="484"/>
        <v>SÁBADO</v>
      </c>
      <c r="E7599" s="427"/>
      <c r="F7599" s="31">
        <f>IFERROR(VLOOKUP(E7599,BD!$L$2:$Q$244,2,0),0)</f>
        <v>0</v>
      </c>
      <c r="G7599" s="424"/>
      <c r="H7599" s="31">
        <f>+IFERROR(VLOOKUP(E7599,BD!$L$2:$Q$244,6,0),0)</f>
        <v>0</v>
      </c>
      <c r="I7599" s="626">
        <f>IFERROR(G7599*VLOOKUP($E7599,BD!$L$2:$Q$244,5,0),0)</f>
        <v>0</v>
      </c>
      <c r="J7599" s="3">
        <f t="shared" si="485"/>
        <v>1900</v>
      </c>
    </row>
    <row r="7600" spans="1:10" s="9" customFormat="1" x14ac:dyDescent="0.25">
      <c r="A7600" s="447"/>
      <c r="B7600" s="55" t="str">
        <f t="shared" si="482"/>
        <v>ENERO</v>
      </c>
      <c r="C7600" s="55">
        <f t="shared" si="483"/>
        <v>1</v>
      </c>
      <c r="D7600" s="3" t="str">
        <f t="shared" si="484"/>
        <v>SÁBADO</v>
      </c>
      <c r="E7600" s="427"/>
      <c r="F7600" s="31">
        <f>IFERROR(VLOOKUP(E7600,BD!$L$2:$Q$244,2,0),0)</f>
        <v>0</v>
      </c>
      <c r="G7600" s="424"/>
      <c r="H7600" s="31">
        <f>+IFERROR(VLOOKUP(E7600,BD!$L$2:$Q$244,6,0),0)</f>
        <v>0</v>
      </c>
      <c r="I7600" s="626">
        <f>IFERROR(G7600*VLOOKUP($E7600,BD!$L$2:$Q$244,5,0),0)</f>
        <v>0</v>
      </c>
      <c r="J7600" s="3">
        <f t="shared" si="485"/>
        <v>1900</v>
      </c>
    </row>
    <row r="7601" spans="1:10" s="9" customFormat="1" x14ac:dyDescent="0.25">
      <c r="A7601" s="447"/>
      <c r="B7601" s="55" t="str">
        <f t="shared" si="482"/>
        <v>ENERO</v>
      </c>
      <c r="C7601" s="55">
        <f t="shared" si="483"/>
        <v>1</v>
      </c>
      <c r="D7601" s="3" t="str">
        <f t="shared" si="484"/>
        <v>SÁBADO</v>
      </c>
      <c r="E7601" s="427"/>
      <c r="F7601" s="31">
        <f>IFERROR(VLOOKUP(E7601,BD!$L$2:$Q$244,2,0),0)</f>
        <v>0</v>
      </c>
      <c r="G7601" s="424"/>
      <c r="H7601" s="31">
        <f>+IFERROR(VLOOKUP(E7601,BD!$L$2:$Q$244,6,0),0)</f>
        <v>0</v>
      </c>
      <c r="I7601" s="626">
        <f>IFERROR(G7601*VLOOKUP($E7601,BD!$L$2:$Q$244,5,0),0)</f>
        <v>0</v>
      </c>
      <c r="J7601" s="3">
        <f t="shared" si="485"/>
        <v>1900</v>
      </c>
    </row>
    <row r="7602" spans="1:10" s="9" customFormat="1" x14ac:dyDescent="0.25">
      <c r="A7602" s="447"/>
      <c r="B7602" s="55" t="str">
        <f t="shared" si="482"/>
        <v>ENERO</v>
      </c>
      <c r="C7602" s="55">
        <f t="shared" si="483"/>
        <v>1</v>
      </c>
      <c r="D7602" s="3" t="str">
        <f t="shared" si="484"/>
        <v>SÁBADO</v>
      </c>
      <c r="E7602" s="427"/>
      <c r="F7602" s="31">
        <f>IFERROR(VLOOKUP(E7602,BD!$L$2:$Q$244,2,0),0)</f>
        <v>0</v>
      </c>
      <c r="G7602" s="424"/>
      <c r="H7602" s="31">
        <f>+IFERROR(VLOOKUP(E7602,BD!$L$2:$Q$244,6,0),0)</f>
        <v>0</v>
      </c>
      <c r="I7602" s="626">
        <f>IFERROR(G7602*VLOOKUP($E7602,BD!$L$2:$Q$244,5,0),0)</f>
        <v>0</v>
      </c>
      <c r="J7602" s="3">
        <f t="shared" si="485"/>
        <v>1900</v>
      </c>
    </row>
    <row r="7603" spans="1:10" s="9" customFormat="1" x14ac:dyDescent="0.25">
      <c r="A7603" s="447"/>
      <c r="B7603" s="55" t="str">
        <f t="shared" si="482"/>
        <v>ENERO</v>
      </c>
      <c r="C7603" s="55">
        <f t="shared" si="483"/>
        <v>1</v>
      </c>
      <c r="D7603" s="3" t="str">
        <f t="shared" si="484"/>
        <v>SÁBADO</v>
      </c>
      <c r="E7603" s="427"/>
      <c r="F7603" s="31">
        <f>IFERROR(VLOOKUP(E7603,BD!$L$2:$Q$244,2,0),0)</f>
        <v>0</v>
      </c>
      <c r="G7603" s="424"/>
      <c r="H7603" s="31">
        <f>+IFERROR(VLOOKUP(E7603,BD!$L$2:$Q$244,6,0),0)</f>
        <v>0</v>
      </c>
      <c r="I7603" s="626">
        <f>IFERROR(G7603*VLOOKUP($E7603,BD!$L$2:$Q$244,5,0),0)</f>
        <v>0</v>
      </c>
      <c r="J7603" s="3">
        <f t="shared" si="485"/>
        <v>1900</v>
      </c>
    </row>
    <row r="7604" spans="1:10" s="9" customFormat="1" x14ac:dyDescent="0.25">
      <c r="A7604" s="447"/>
      <c r="B7604" s="55" t="str">
        <f t="shared" si="482"/>
        <v>ENERO</v>
      </c>
      <c r="C7604" s="55">
        <f t="shared" si="483"/>
        <v>1</v>
      </c>
      <c r="D7604" s="3" t="str">
        <f t="shared" si="484"/>
        <v>SÁBADO</v>
      </c>
      <c r="E7604" s="427"/>
      <c r="F7604" s="31">
        <f>IFERROR(VLOOKUP(E7604,BD!$L$2:$Q$244,2,0),0)</f>
        <v>0</v>
      </c>
      <c r="G7604" s="424"/>
      <c r="H7604" s="31">
        <f>+IFERROR(VLOOKUP(E7604,BD!$L$2:$Q$244,6,0),0)</f>
        <v>0</v>
      </c>
      <c r="I7604" s="626">
        <f>IFERROR(G7604*VLOOKUP($E7604,BD!$L$2:$Q$244,5,0),0)</f>
        <v>0</v>
      </c>
      <c r="J7604" s="3">
        <f t="shared" si="485"/>
        <v>1900</v>
      </c>
    </row>
    <row r="7605" spans="1:10" s="9" customFormat="1" x14ac:dyDescent="0.25">
      <c r="A7605" s="447"/>
      <c r="B7605" s="55" t="str">
        <f t="shared" si="482"/>
        <v>ENERO</v>
      </c>
      <c r="C7605" s="55">
        <f t="shared" si="483"/>
        <v>1</v>
      </c>
      <c r="D7605" s="3" t="str">
        <f t="shared" si="484"/>
        <v>SÁBADO</v>
      </c>
      <c r="E7605" s="427"/>
      <c r="F7605" s="31">
        <f>IFERROR(VLOOKUP(E7605,BD!$L$2:$Q$244,2,0),0)</f>
        <v>0</v>
      </c>
      <c r="G7605" s="424"/>
      <c r="H7605" s="31">
        <f>+IFERROR(VLOOKUP(E7605,BD!$L$2:$Q$244,6,0),0)</f>
        <v>0</v>
      </c>
      <c r="I7605" s="626">
        <f>IFERROR(G7605*VLOOKUP($E7605,BD!$L$2:$Q$244,5,0),0)</f>
        <v>0</v>
      </c>
      <c r="J7605" s="3">
        <f t="shared" si="485"/>
        <v>1900</v>
      </c>
    </row>
    <row r="7606" spans="1:10" s="9" customFormat="1" x14ac:dyDescent="0.25">
      <c r="A7606" s="447"/>
      <c r="B7606" s="55" t="str">
        <f t="shared" si="482"/>
        <v>ENERO</v>
      </c>
      <c r="C7606" s="55">
        <f t="shared" si="483"/>
        <v>1</v>
      </c>
      <c r="D7606" s="3" t="str">
        <f t="shared" si="484"/>
        <v>SÁBADO</v>
      </c>
      <c r="E7606" s="427"/>
      <c r="F7606" s="31">
        <f>IFERROR(VLOOKUP(E7606,BD!$L$2:$Q$244,2,0),0)</f>
        <v>0</v>
      </c>
      <c r="G7606" s="424"/>
      <c r="H7606" s="31">
        <f>+IFERROR(VLOOKUP(E7606,BD!$L$2:$Q$244,6,0),0)</f>
        <v>0</v>
      </c>
      <c r="I7606" s="626">
        <f>IFERROR(G7606*VLOOKUP($E7606,BD!$L$2:$Q$244,5,0),0)</f>
        <v>0</v>
      </c>
      <c r="J7606" s="3">
        <f t="shared" si="485"/>
        <v>1900</v>
      </c>
    </row>
    <row r="7607" spans="1:10" s="9" customFormat="1" x14ac:dyDescent="0.25">
      <c r="A7607" s="447"/>
      <c r="B7607" s="55" t="str">
        <f t="shared" si="482"/>
        <v>ENERO</v>
      </c>
      <c r="C7607" s="55">
        <f t="shared" si="483"/>
        <v>1</v>
      </c>
      <c r="D7607" s="3" t="str">
        <f t="shared" si="484"/>
        <v>SÁBADO</v>
      </c>
      <c r="E7607" s="427"/>
      <c r="F7607" s="31">
        <f>IFERROR(VLOOKUP(E7607,BD!$L$2:$Q$244,2,0),0)</f>
        <v>0</v>
      </c>
      <c r="G7607" s="424"/>
      <c r="H7607" s="31">
        <f>+IFERROR(VLOOKUP(E7607,BD!$L$2:$Q$244,6,0),0)</f>
        <v>0</v>
      </c>
      <c r="I7607" s="626">
        <f>IFERROR(G7607*VLOOKUP($E7607,BD!$L$2:$Q$244,5,0),0)</f>
        <v>0</v>
      </c>
      <c r="J7607" s="3">
        <f t="shared" si="485"/>
        <v>1900</v>
      </c>
    </row>
    <row r="7608" spans="1:10" s="9" customFormat="1" x14ac:dyDescent="0.25">
      <c r="A7608" s="447"/>
      <c r="B7608" s="55" t="str">
        <f t="shared" si="482"/>
        <v>ENERO</v>
      </c>
      <c r="C7608" s="55">
        <f t="shared" si="483"/>
        <v>1</v>
      </c>
      <c r="D7608" s="3" t="str">
        <f t="shared" si="484"/>
        <v>SÁBADO</v>
      </c>
      <c r="E7608" s="427"/>
      <c r="F7608" s="31">
        <f>IFERROR(VLOOKUP(E7608,BD!$L$2:$Q$244,2,0),0)</f>
        <v>0</v>
      </c>
      <c r="G7608" s="424"/>
      <c r="H7608" s="31">
        <f>+IFERROR(VLOOKUP(E7608,BD!$L$2:$Q$244,6,0),0)</f>
        <v>0</v>
      </c>
      <c r="I7608" s="626">
        <f>IFERROR(G7608*VLOOKUP($E7608,BD!$L$2:$Q$244,5,0),0)</f>
        <v>0</v>
      </c>
      <c r="J7608" s="3">
        <f t="shared" si="485"/>
        <v>1900</v>
      </c>
    </row>
    <row r="7609" spans="1:10" s="9" customFormat="1" x14ac:dyDescent="0.25">
      <c r="A7609" s="447"/>
      <c r="B7609" s="55" t="str">
        <f t="shared" si="482"/>
        <v>ENERO</v>
      </c>
      <c r="C7609" s="55">
        <f t="shared" si="483"/>
        <v>1</v>
      </c>
      <c r="D7609" s="3" t="str">
        <f t="shared" si="484"/>
        <v>SÁBADO</v>
      </c>
      <c r="E7609" s="427"/>
      <c r="F7609" s="31">
        <f>IFERROR(VLOOKUP(E7609,BD!$L$2:$Q$244,2,0),0)</f>
        <v>0</v>
      </c>
      <c r="G7609" s="424"/>
      <c r="H7609" s="31">
        <f>+IFERROR(VLOOKUP(E7609,BD!$L$2:$Q$244,6,0),0)</f>
        <v>0</v>
      </c>
      <c r="I7609" s="626">
        <f>IFERROR(G7609*VLOOKUP($E7609,BD!$L$2:$Q$244,5,0),0)</f>
        <v>0</v>
      </c>
      <c r="J7609" s="3">
        <f t="shared" si="485"/>
        <v>1900</v>
      </c>
    </row>
    <row r="7610" spans="1:10" s="9" customFormat="1" x14ac:dyDescent="0.25">
      <c r="A7610" s="447"/>
      <c r="B7610" s="55" t="str">
        <f t="shared" si="482"/>
        <v>ENERO</v>
      </c>
      <c r="C7610" s="55">
        <f t="shared" si="483"/>
        <v>1</v>
      </c>
      <c r="D7610" s="3" t="str">
        <f t="shared" si="484"/>
        <v>SÁBADO</v>
      </c>
      <c r="E7610" s="427"/>
      <c r="F7610" s="31">
        <f>IFERROR(VLOOKUP(E7610,BD!$L$2:$Q$244,2,0),0)</f>
        <v>0</v>
      </c>
      <c r="G7610" s="424"/>
      <c r="H7610" s="31">
        <f>+IFERROR(VLOOKUP(E7610,BD!$L$2:$Q$244,6,0),0)</f>
        <v>0</v>
      </c>
      <c r="I7610" s="626">
        <f>IFERROR(G7610*VLOOKUP($E7610,BD!$L$2:$Q$244,5,0),0)</f>
        <v>0</v>
      </c>
      <c r="J7610" s="3">
        <f t="shared" si="485"/>
        <v>1900</v>
      </c>
    </row>
    <row r="7611" spans="1:10" s="9" customFormat="1" x14ac:dyDescent="0.25">
      <c r="A7611" s="447"/>
      <c r="B7611" s="55" t="str">
        <f t="shared" si="482"/>
        <v>ENERO</v>
      </c>
      <c r="C7611" s="55">
        <f t="shared" si="483"/>
        <v>1</v>
      </c>
      <c r="D7611" s="3" t="str">
        <f t="shared" si="484"/>
        <v>SÁBADO</v>
      </c>
      <c r="E7611" s="427"/>
      <c r="F7611" s="31">
        <f>IFERROR(VLOOKUP(E7611,BD!$L$2:$Q$244,2,0),0)</f>
        <v>0</v>
      </c>
      <c r="G7611" s="424"/>
      <c r="H7611" s="31">
        <f>+IFERROR(VLOOKUP(E7611,BD!$L$2:$Q$244,6,0),0)</f>
        <v>0</v>
      </c>
      <c r="I7611" s="626">
        <f>IFERROR(G7611*VLOOKUP($E7611,BD!$L$2:$Q$244,5,0),0)</f>
        <v>0</v>
      </c>
      <c r="J7611" s="3">
        <f t="shared" si="485"/>
        <v>1900</v>
      </c>
    </row>
    <row r="7612" spans="1:10" s="9" customFormat="1" x14ac:dyDescent="0.25">
      <c r="A7612" s="447"/>
      <c r="B7612" s="55" t="str">
        <f t="shared" si="482"/>
        <v>ENERO</v>
      </c>
      <c r="C7612" s="55">
        <f t="shared" si="483"/>
        <v>1</v>
      </c>
      <c r="D7612" s="3" t="str">
        <f t="shared" si="484"/>
        <v>SÁBADO</v>
      </c>
      <c r="E7612" s="427"/>
      <c r="F7612" s="31">
        <f>IFERROR(VLOOKUP(E7612,BD!$L$2:$Q$244,2,0),0)</f>
        <v>0</v>
      </c>
      <c r="G7612" s="424"/>
      <c r="H7612" s="31">
        <f>+IFERROR(VLOOKUP(E7612,BD!$L$2:$Q$244,6,0),0)</f>
        <v>0</v>
      </c>
      <c r="I7612" s="626">
        <f>IFERROR(G7612*VLOOKUP($E7612,BD!$L$2:$Q$244,5,0),0)</f>
        <v>0</v>
      </c>
      <c r="J7612" s="3">
        <f t="shared" si="485"/>
        <v>1900</v>
      </c>
    </row>
    <row r="7613" spans="1:10" s="9" customFormat="1" x14ac:dyDescent="0.25">
      <c r="A7613" s="447"/>
      <c r="B7613" s="55" t="str">
        <f t="shared" ref="B7613:B7676" si="486">UPPER(TEXT(A7613,"MMMM"))</f>
        <v>ENERO</v>
      </c>
      <c r="C7613" s="55">
        <f t="shared" ref="C7613:C7676" si="487">WEEKNUM(A7613,16)</f>
        <v>1</v>
      </c>
      <c r="D7613" s="3" t="str">
        <f t="shared" ref="D7613:D7676" si="488">UPPER(TEXT(A7613,"DDDD"))</f>
        <v>SÁBADO</v>
      </c>
      <c r="E7613" s="427"/>
      <c r="F7613" s="31">
        <f>IFERROR(VLOOKUP(E7613,BD!$L$2:$Q$244,2,0),0)</f>
        <v>0</v>
      </c>
      <c r="G7613" s="424"/>
      <c r="H7613" s="31">
        <f>+IFERROR(VLOOKUP(E7613,BD!$L$2:$Q$244,6,0),0)</f>
        <v>0</v>
      </c>
      <c r="I7613" s="626">
        <f>IFERROR(G7613*VLOOKUP($E7613,BD!$L$2:$Q$244,5,0),0)</f>
        <v>0</v>
      </c>
      <c r="J7613" s="3">
        <f t="shared" ref="J7613:J7676" si="489">+YEAR(A7613)</f>
        <v>1900</v>
      </c>
    </row>
    <row r="7614" spans="1:10" s="9" customFormat="1" x14ac:dyDescent="0.25">
      <c r="A7614" s="447"/>
      <c r="B7614" s="55" t="str">
        <f t="shared" si="486"/>
        <v>ENERO</v>
      </c>
      <c r="C7614" s="55">
        <f t="shared" si="487"/>
        <v>1</v>
      </c>
      <c r="D7614" s="3" t="str">
        <f t="shared" si="488"/>
        <v>SÁBADO</v>
      </c>
      <c r="E7614" s="427"/>
      <c r="F7614" s="31">
        <f>IFERROR(VLOOKUP(E7614,BD!$L$2:$Q$244,2,0),0)</f>
        <v>0</v>
      </c>
      <c r="G7614" s="424"/>
      <c r="H7614" s="31">
        <f>+IFERROR(VLOOKUP(E7614,BD!$L$2:$Q$244,6,0),0)</f>
        <v>0</v>
      </c>
      <c r="I7614" s="626">
        <f>IFERROR(G7614*VLOOKUP($E7614,BD!$L$2:$Q$244,5,0),0)</f>
        <v>0</v>
      </c>
      <c r="J7614" s="3">
        <f t="shared" si="489"/>
        <v>1900</v>
      </c>
    </row>
    <row r="7615" spans="1:10" s="9" customFormat="1" x14ac:dyDescent="0.25">
      <c r="A7615" s="447"/>
      <c r="B7615" s="55" t="str">
        <f t="shared" si="486"/>
        <v>ENERO</v>
      </c>
      <c r="C7615" s="55">
        <f t="shared" si="487"/>
        <v>1</v>
      </c>
      <c r="D7615" s="3" t="str">
        <f t="shared" si="488"/>
        <v>SÁBADO</v>
      </c>
      <c r="E7615" s="427"/>
      <c r="F7615" s="31">
        <f>IFERROR(VLOOKUP(E7615,BD!$L$2:$Q$244,2,0),0)</f>
        <v>0</v>
      </c>
      <c r="G7615" s="424"/>
      <c r="H7615" s="31">
        <f>+IFERROR(VLOOKUP(E7615,BD!$L$2:$Q$244,6,0),0)</f>
        <v>0</v>
      </c>
      <c r="I7615" s="626">
        <f>IFERROR(G7615*VLOOKUP($E7615,BD!$L$2:$Q$244,5,0),0)</f>
        <v>0</v>
      </c>
      <c r="J7615" s="3">
        <f t="shared" si="489"/>
        <v>1900</v>
      </c>
    </row>
    <row r="7616" spans="1:10" s="9" customFormat="1" x14ac:dyDescent="0.25">
      <c r="A7616" s="447"/>
      <c r="B7616" s="55" t="str">
        <f t="shared" si="486"/>
        <v>ENERO</v>
      </c>
      <c r="C7616" s="55">
        <f t="shared" si="487"/>
        <v>1</v>
      </c>
      <c r="D7616" s="3" t="str">
        <f t="shared" si="488"/>
        <v>SÁBADO</v>
      </c>
      <c r="E7616" s="427"/>
      <c r="F7616" s="31">
        <f>IFERROR(VLOOKUP(E7616,BD!$L$2:$Q$244,2,0),0)</f>
        <v>0</v>
      </c>
      <c r="G7616" s="424"/>
      <c r="H7616" s="31">
        <f>+IFERROR(VLOOKUP(E7616,BD!$L$2:$Q$244,6,0),0)</f>
        <v>0</v>
      </c>
      <c r="I7616" s="626">
        <f>IFERROR(G7616*VLOOKUP($E7616,BD!$L$2:$Q$244,5,0),0)</f>
        <v>0</v>
      </c>
      <c r="J7616" s="3">
        <f t="shared" si="489"/>
        <v>1900</v>
      </c>
    </row>
    <row r="7617" spans="1:10" s="9" customFormat="1" x14ac:dyDescent="0.25">
      <c r="A7617" s="447"/>
      <c r="B7617" s="55" t="str">
        <f t="shared" si="486"/>
        <v>ENERO</v>
      </c>
      <c r="C7617" s="55">
        <f t="shared" si="487"/>
        <v>1</v>
      </c>
      <c r="D7617" s="3" t="str">
        <f t="shared" si="488"/>
        <v>SÁBADO</v>
      </c>
      <c r="E7617" s="427"/>
      <c r="F7617" s="31">
        <f>IFERROR(VLOOKUP(E7617,BD!$L$2:$Q$244,2,0),0)</f>
        <v>0</v>
      </c>
      <c r="G7617" s="424"/>
      <c r="H7617" s="31">
        <f>+IFERROR(VLOOKUP(E7617,BD!$L$2:$Q$244,6,0),0)</f>
        <v>0</v>
      </c>
      <c r="I7617" s="626">
        <f>IFERROR(G7617*VLOOKUP($E7617,BD!$L$2:$Q$244,5,0),0)</f>
        <v>0</v>
      </c>
      <c r="J7617" s="3">
        <f t="shared" si="489"/>
        <v>1900</v>
      </c>
    </row>
    <row r="7618" spans="1:10" s="9" customFormat="1" x14ac:dyDescent="0.25">
      <c r="A7618" s="447"/>
      <c r="B7618" s="55" t="str">
        <f t="shared" si="486"/>
        <v>ENERO</v>
      </c>
      <c r="C7618" s="55">
        <f t="shared" si="487"/>
        <v>1</v>
      </c>
      <c r="D7618" s="3" t="str">
        <f t="shared" si="488"/>
        <v>SÁBADO</v>
      </c>
      <c r="E7618" s="427"/>
      <c r="F7618" s="31">
        <f>IFERROR(VLOOKUP(E7618,BD!$L$2:$Q$244,2,0),0)</f>
        <v>0</v>
      </c>
      <c r="G7618" s="424"/>
      <c r="H7618" s="31">
        <f>+IFERROR(VLOOKUP(E7618,BD!$L$2:$Q$244,6,0),0)</f>
        <v>0</v>
      </c>
      <c r="I7618" s="626">
        <f>IFERROR(G7618*VLOOKUP($E7618,BD!$L$2:$Q$244,5,0),0)</f>
        <v>0</v>
      </c>
      <c r="J7618" s="3">
        <f t="shared" si="489"/>
        <v>1900</v>
      </c>
    </row>
    <row r="7619" spans="1:10" s="9" customFormat="1" x14ac:dyDescent="0.25">
      <c r="A7619" s="447"/>
      <c r="B7619" s="55" t="str">
        <f t="shared" si="486"/>
        <v>ENERO</v>
      </c>
      <c r="C7619" s="55">
        <f t="shared" si="487"/>
        <v>1</v>
      </c>
      <c r="D7619" s="3" t="str">
        <f t="shared" si="488"/>
        <v>SÁBADO</v>
      </c>
      <c r="E7619" s="427"/>
      <c r="F7619" s="31">
        <f>IFERROR(VLOOKUP(E7619,BD!$L$2:$Q$244,2,0),0)</f>
        <v>0</v>
      </c>
      <c r="G7619" s="424"/>
      <c r="H7619" s="31">
        <f>+IFERROR(VLOOKUP(E7619,BD!$L$2:$Q$244,6,0),0)</f>
        <v>0</v>
      </c>
      <c r="I7619" s="626">
        <f>IFERROR(G7619*VLOOKUP($E7619,BD!$L$2:$Q$244,5,0),0)</f>
        <v>0</v>
      </c>
      <c r="J7619" s="3">
        <f t="shared" si="489"/>
        <v>1900</v>
      </c>
    </row>
    <row r="7620" spans="1:10" s="9" customFormat="1" x14ac:dyDescent="0.25">
      <c r="A7620" s="447"/>
      <c r="B7620" s="55" t="str">
        <f t="shared" si="486"/>
        <v>ENERO</v>
      </c>
      <c r="C7620" s="55">
        <f t="shared" si="487"/>
        <v>1</v>
      </c>
      <c r="D7620" s="3" t="str">
        <f t="shared" si="488"/>
        <v>SÁBADO</v>
      </c>
      <c r="E7620" s="427"/>
      <c r="F7620" s="31">
        <f>IFERROR(VLOOKUP(E7620,BD!$L$2:$Q$244,2,0),0)</f>
        <v>0</v>
      </c>
      <c r="G7620" s="424"/>
      <c r="H7620" s="31">
        <f>+IFERROR(VLOOKUP(E7620,BD!$L$2:$Q$244,6,0),0)</f>
        <v>0</v>
      </c>
      <c r="I7620" s="626">
        <f>IFERROR(G7620*VLOOKUP($E7620,BD!$L$2:$Q$244,5,0),0)</f>
        <v>0</v>
      </c>
      <c r="J7620" s="3">
        <f t="shared" si="489"/>
        <v>1900</v>
      </c>
    </row>
    <row r="7621" spans="1:10" s="9" customFormat="1" x14ac:dyDescent="0.25">
      <c r="A7621" s="447"/>
      <c r="B7621" s="55" t="str">
        <f t="shared" si="486"/>
        <v>ENERO</v>
      </c>
      <c r="C7621" s="55">
        <f t="shared" si="487"/>
        <v>1</v>
      </c>
      <c r="D7621" s="3" t="str">
        <f t="shared" si="488"/>
        <v>SÁBADO</v>
      </c>
      <c r="E7621" s="427"/>
      <c r="F7621" s="31">
        <f>IFERROR(VLOOKUP(E7621,BD!$L$2:$Q$244,2,0),0)</f>
        <v>0</v>
      </c>
      <c r="G7621" s="424"/>
      <c r="H7621" s="31">
        <f>+IFERROR(VLOOKUP(E7621,BD!$L$2:$Q$244,6,0),0)</f>
        <v>0</v>
      </c>
      <c r="I7621" s="626">
        <f>IFERROR(G7621*VLOOKUP($E7621,BD!$L$2:$Q$244,5,0),0)</f>
        <v>0</v>
      </c>
      <c r="J7621" s="3">
        <f t="shared" si="489"/>
        <v>1900</v>
      </c>
    </row>
    <row r="7622" spans="1:10" s="9" customFormat="1" x14ac:dyDescent="0.25">
      <c r="A7622" s="447"/>
      <c r="B7622" s="55" t="str">
        <f t="shared" si="486"/>
        <v>ENERO</v>
      </c>
      <c r="C7622" s="55">
        <f t="shared" si="487"/>
        <v>1</v>
      </c>
      <c r="D7622" s="3" t="str">
        <f t="shared" si="488"/>
        <v>SÁBADO</v>
      </c>
      <c r="E7622" s="427"/>
      <c r="F7622" s="31">
        <f>IFERROR(VLOOKUP(E7622,BD!$L$2:$Q$244,2,0),0)</f>
        <v>0</v>
      </c>
      <c r="G7622" s="424"/>
      <c r="H7622" s="31">
        <f>+IFERROR(VLOOKUP(E7622,BD!$L$2:$Q$244,6,0),0)</f>
        <v>0</v>
      </c>
      <c r="I7622" s="626">
        <f>IFERROR(G7622*VLOOKUP($E7622,BD!$L$2:$Q$244,5,0),0)</f>
        <v>0</v>
      </c>
      <c r="J7622" s="3">
        <f t="shared" si="489"/>
        <v>1900</v>
      </c>
    </row>
    <row r="7623" spans="1:10" s="9" customFormat="1" x14ac:dyDescent="0.25">
      <c r="A7623" s="447"/>
      <c r="B7623" s="55" t="str">
        <f t="shared" si="486"/>
        <v>ENERO</v>
      </c>
      <c r="C7623" s="55">
        <f t="shared" si="487"/>
        <v>1</v>
      </c>
      <c r="D7623" s="3" t="str">
        <f t="shared" si="488"/>
        <v>SÁBADO</v>
      </c>
      <c r="E7623" s="427"/>
      <c r="F7623" s="31">
        <f>IFERROR(VLOOKUP(E7623,BD!$L$2:$Q$244,2,0),0)</f>
        <v>0</v>
      </c>
      <c r="G7623" s="424"/>
      <c r="H7623" s="31">
        <f>+IFERROR(VLOOKUP(E7623,BD!$L$2:$Q$244,6,0),0)</f>
        <v>0</v>
      </c>
      <c r="I7623" s="626">
        <f>IFERROR(G7623*VLOOKUP($E7623,BD!$L$2:$Q$244,5,0),0)</f>
        <v>0</v>
      </c>
      <c r="J7623" s="3">
        <f t="shared" si="489"/>
        <v>1900</v>
      </c>
    </row>
    <row r="7624" spans="1:10" s="9" customFormat="1" x14ac:dyDescent="0.25">
      <c r="A7624" s="447"/>
      <c r="B7624" s="55" t="str">
        <f t="shared" si="486"/>
        <v>ENERO</v>
      </c>
      <c r="C7624" s="55">
        <f t="shared" si="487"/>
        <v>1</v>
      </c>
      <c r="D7624" s="3" t="str">
        <f t="shared" si="488"/>
        <v>SÁBADO</v>
      </c>
      <c r="E7624" s="427"/>
      <c r="F7624" s="31">
        <f>IFERROR(VLOOKUP(E7624,BD!$L$2:$Q$244,2,0),0)</f>
        <v>0</v>
      </c>
      <c r="G7624" s="424"/>
      <c r="H7624" s="31">
        <f>+IFERROR(VLOOKUP(E7624,BD!$L$2:$Q$244,6,0),0)</f>
        <v>0</v>
      </c>
      <c r="I7624" s="626">
        <f>IFERROR(G7624*VLOOKUP($E7624,BD!$L$2:$Q$244,5,0),0)</f>
        <v>0</v>
      </c>
      <c r="J7624" s="3">
        <f t="shared" si="489"/>
        <v>1900</v>
      </c>
    </row>
    <row r="7625" spans="1:10" s="9" customFormat="1" x14ac:dyDescent="0.25">
      <c r="A7625" s="447"/>
      <c r="B7625" s="55" t="str">
        <f t="shared" si="486"/>
        <v>ENERO</v>
      </c>
      <c r="C7625" s="55">
        <f t="shared" si="487"/>
        <v>1</v>
      </c>
      <c r="D7625" s="3" t="str">
        <f t="shared" si="488"/>
        <v>SÁBADO</v>
      </c>
      <c r="E7625" s="427"/>
      <c r="F7625" s="31">
        <f>IFERROR(VLOOKUP(E7625,BD!$L$2:$Q$244,2,0),0)</f>
        <v>0</v>
      </c>
      <c r="G7625" s="424"/>
      <c r="H7625" s="31">
        <f>+IFERROR(VLOOKUP(E7625,BD!$L$2:$Q$244,6,0),0)</f>
        <v>0</v>
      </c>
      <c r="I7625" s="626">
        <f>IFERROR(G7625*VLOOKUP($E7625,BD!$L$2:$Q$244,5,0),0)</f>
        <v>0</v>
      </c>
      <c r="J7625" s="3">
        <f t="shared" si="489"/>
        <v>1900</v>
      </c>
    </row>
    <row r="7626" spans="1:10" s="9" customFormat="1" x14ac:dyDescent="0.25">
      <c r="A7626" s="447"/>
      <c r="B7626" s="55" t="str">
        <f t="shared" si="486"/>
        <v>ENERO</v>
      </c>
      <c r="C7626" s="55">
        <f t="shared" si="487"/>
        <v>1</v>
      </c>
      <c r="D7626" s="3" t="str">
        <f t="shared" si="488"/>
        <v>SÁBADO</v>
      </c>
      <c r="E7626" s="427"/>
      <c r="F7626" s="31">
        <f>IFERROR(VLOOKUP(E7626,BD!$L$2:$Q$244,2,0),0)</f>
        <v>0</v>
      </c>
      <c r="G7626" s="424"/>
      <c r="H7626" s="31">
        <f>+IFERROR(VLOOKUP(E7626,BD!$L$2:$Q$244,6,0),0)</f>
        <v>0</v>
      </c>
      <c r="I7626" s="626">
        <f>IFERROR(G7626*VLOOKUP($E7626,BD!$L$2:$Q$244,5,0),0)</f>
        <v>0</v>
      </c>
      <c r="J7626" s="3">
        <f t="shared" si="489"/>
        <v>1900</v>
      </c>
    </row>
    <row r="7627" spans="1:10" s="9" customFormat="1" x14ac:dyDescent="0.25">
      <c r="A7627" s="447"/>
      <c r="B7627" s="55" t="str">
        <f t="shared" si="486"/>
        <v>ENERO</v>
      </c>
      <c r="C7627" s="55">
        <f t="shared" si="487"/>
        <v>1</v>
      </c>
      <c r="D7627" s="3" t="str">
        <f t="shared" si="488"/>
        <v>SÁBADO</v>
      </c>
      <c r="E7627" s="427"/>
      <c r="F7627" s="31">
        <f>IFERROR(VLOOKUP(E7627,BD!$L$2:$Q$244,2,0),0)</f>
        <v>0</v>
      </c>
      <c r="G7627" s="424"/>
      <c r="H7627" s="31">
        <f>+IFERROR(VLOOKUP(E7627,BD!$L$2:$Q$244,6,0),0)</f>
        <v>0</v>
      </c>
      <c r="I7627" s="626">
        <f>IFERROR(G7627*VLOOKUP($E7627,BD!$L$2:$Q$244,5,0),0)</f>
        <v>0</v>
      </c>
      <c r="J7627" s="3">
        <f t="shared" si="489"/>
        <v>1900</v>
      </c>
    </row>
    <row r="7628" spans="1:10" s="9" customFormat="1" x14ac:dyDescent="0.25">
      <c r="A7628" s="447"/>
      <c r="B7628" s="55" t="str">
        <f t="shared" si="486"/>
        <v>ENERO</v>
      </c>
      <c r="C7628" s="55">
        <f t="shared" si="487"/>
        <v>1</v>
      </c>
      <c r="D7628" s="3" t="str">
        <f t="shared" si="488"/>
        <v>SÁBADO</v>
      </c>
      <c r="E7628" s="427"/>
      <c r="F7628" s="31">
        <f>IFERROR(VLOOKUP(E7628,BD!$L$2:$Q$244,2,0),0)</f>
        <v>0</v>
      </c>
      <c r="G7628" s="424"/>
      <c r="H7628" s="31">
        <f>+IFERROR(VLOOKUP(E7628,BD!$L$2:$Q$244,6,0),0)</f>
        <v>0</v>
      </c>
      <c r="I7628" s="626">
        <f>IFERROR(G7628*VLOOKUP($E7628,BD!$L$2:$Q$244,5,0),0)</f>
        <v>0</v>
      </c>
      <c r="J7628" s="3">
        <f t="shared" si="489"/>
        <v>1900</v>
      </c>
    </row>
    <row r="7629" spans="1:10" s="9" customFormat="1" x14ac:dyDescent="0.25">
      <c r="A7629" s="447"/>
      <c r="B7629" s="55" t="str">
        <f t="shared" si="486"/>
        <v>ENERO</v>
      </c>
      <c r="C7629" s="55">
        <f t="shared" si="487"/>
        <v>1</v>
      </c>
      <c r="D7629" s="3" t="str">
        <f t="shared" si="488"/>
        <v>SÁBADO</v>
      </c>
      <c r="E7629" s="427"/>
      <c r="F7629" s="31">
        <f>IFERROR(VLOOKUP(E7629,BD!$L$2:$Q$244,2,0),0)</f>
        <v>0</v>
      </c>
      <c r="G7629" s="424"/>
      <c r="H7629" s="31">
        <f>+IFERROR(VLOOKUP(E7629,BD!$L$2:$Q$244,6,0),0)</f>
        <v>0</v>
      </c>
      <c r="I7629" s="626">
        <f>IFERROR(G7629*VLOOKUP($E7629,BD!$L$2:$Q$244,5,0),0)</f>
        <v>0</v>
      </c>
      <c r="J7629" s="3">
        <f t="shared" si="489"/>
        <v>1900</v>
      </c>
    </row>
    <row r="7630" spans="1:10" s="9" customFormat="1" x14ac:dyDescent="0.25">
      <c r="A7630" s="447"/>
      <c r="B7630" s="55" t="str">
        <f t="shared" si="486"/>
        <v>ENERO</v>
      </c>
      <c r="C7630" s="55">
        <f t="shared" si="487"/>
        <v>1</v>
      </c>
      <c r="D7630" s="3" t="str">
        <f t="shared" si="488"/>
        <v>SÁBADO</v>
      </c>
      <c r="E7630" s="427"/>
      <c r="F7630" s="31">
        <f>IFERROR(VLOOKUP(E7630,BD!$L$2:$Q$244,2,0),0)</f>
        <v>0</v>
      </c>
      <c r="G7630" s="424"/>
      <c r="H7630" s="31">
        <f>+IFERROR(VLOOKUP(E7630,BD!$L$2:$Q$244,6,0),0)</f>
        <v>0</v>
      </c>
      <c r="I7630" s="626">
        <f>IFERROR(G7630*VLOOKUP($E7630,BD!$L$2:$Q$244,5,0),0)</f>
        <v>0</v>
      </c>
      <c r="J7630" s="3">
        <f t="shared" si="489"/>
        <v>1900</v>
      </c>
    </row>
    <row r="7631" spans="1:10" s="9" customFormat="1" x14ac:dyDescent="0.25">
      <c r="A7631" s="447"/>
      <c r="B7631" s="55" t="str">
        <f t="shared" si="486"/>
        <v>ENERO</v>
      </c>
      <c r="C7631" s="55">
        <f t="shared" si="487"/>
        <v>1</v>
      </c>
      <c r="D7631" s="3" t="str">
        <f t="shared" si="488"/>
        <v>SÁBADO</v>
      </c>
      <c r="E7631" s="427"/>
      <c r="F7631" s="31">
        <f>IFERROR(VLOOKUP(E7631,BD!$L$2:$Q$244,2,0),0)</f>
        <v>0</v>
      </c>
      <c r="G7631" s="424"/>
      <c r="H7631" s="31">
        <f>+IFERROR(VLOOKUP(E7631,BD!$L$2:$Q$244,6,0),0)</f>
        <v>0</v>
      </c>
      <c r="I7631" s="626">
        <f>IFERROR(G7631*VLOOKUP($E7631,BD!$L$2:$Q$244,5,0),0)</f>
        <v>0</v>
      </c>
      <c r="J7631" s="3">
        <f t="shared" si="489"/>
        <v>1900</v>
      </c>
    </row>
    <row r="7632" spans="1:10" s="9" customFormat="1" x14ac:dyDescent="0.25">
      <c r="A7632" s="447"/>
      <c r="B7632" s="55" t="str">
        <f t="shared" si="486"/>
        <v>ENERO</v>
      </c>
      <c r="C7632" s="55">
        <f t="shared" si="487"/>
        <v>1</v>
      </c>
      <c r="D7632" s="3" t="str">
        <f t="shared" si="488"/>
        <v>SÁBADO</v>
      </c>
      <c r="E7632" s="427"/>
      <c r="F7632" s="31">
        <f>IFERROR(VLOOKUP(E7632,BD!$L$2:$Q$244,2,0),0)</f>
        <v>0</v>
      </c>
      <c r="G7632" s="424"/>
      <c r="H7632" s="31">
        <f>+IFERROR(VLOOKUP(E7632,BD!$L$2:$Q$244,6,0),0)</f>
        <v>0</v>
      </c>
      <c r="I7632" s="626">
        <f>IFERROR(G7632*VLOOKUP($E7632,BD!$L$2:$Q$244,5,0),0)</f>
        <v>0</v>
      </c>
      <c r="J7632" s="3">
        <f t="shared" si="489"/>
        <v>1900</v>
      </c>
    </row>
    <row r="7633" spans="1:10" s="9" customFormat="1" x14ac:dyDescent="0.25">
      <c r="A7633" s="447"/>
      <c r="B7633" s="55" t="str">
        <f t="shared" si="486"/>
        <v>ENERO</v>
      </c>
      <c r="C7633" s="55">
        <f t="shared" si="487"/>
        <v>1</v>
      </c>
      <c r="D7633" s="3" t="str">
        <f t="shared" si="488"/>
        <v>SÁBADO</v>
      </c>
      <c r="E7633" s="427"/>
      <c r="F7633" s="31">
        <f>IFERROR(VLOOKUP(E7633,BD!$L$2:$Q$244,2,0),0)</f>
        <v>0</v>
      </c>
      <c r="G7633" s="424"/>
      <c r="H7633" s="31">
        <f>+IFERROR(VLOOKUP(E7633,BD!$L$2:$Q$244,6,0),0)</f>
        <v>0</v>
      </c>
      <c r="I7633" s="626">
        <f>IFERROR(G7633*VLOOKUP($E7633,BD!$L$2:$Q$244,5,0),0)</f>
        <v>0</v>
      </c>
      <c r="J7633" s="3">
        <f t="shared" si="489"/>
        <v>1900</v>
      </c>
    </row>
    <row r="7634" spans="1:10" s="9" customFormat="1" x14ac:dyDescent="0.25">
      <c r="A7634" s="447"/>
      <c r="B7634" s="55" t="str">
        <f t="shared" si="486"/>
        <v>ENERO</v>
      </c>
      <c r="C7634" s="55">
        <f t="shared" si="487"/>
        <v>1</v>
      </c>
      <c r="D7634" s="3" t="str">
        <f t="shared" si="488"/>
        <v>SÁBADO</v>
      </c>
      <c r="E7634" s="427"/>
      <c r="F7634" s="31">
        <f>IFERROR(VLOOKUP(E7634,BD!$L$2:$Q$244,2,0),0)</f>
        <v>0</v>
      </c>
      <c r="G7634" s="424"/>
      <c r="H7634" s="31">
        <f>+IFERROR(VLOOKUP(E7634,BD!$L$2:$Q$244,6,0),0)</f>
        <v>0</v>
      </c>
      <c r="I7634" s="626">
        <f>IFERROR(G7634*VLOOKUP($E7634,BD!$L$2:$Q$244,5,0),0)</f>
        <v>0</v>
      </c>
      <c r="J7634" s="3">
        <f t="shared" si="489"/>
        <v>1900</v>
      </c>
    </row>
    <row r="7635" spans="1:10" s="9" customFormat="1" x14ac:dyDescent="0.25">
      <c r="A7635" s="447"/>
      <c r="B7635" s="55" t="str">
        <f t="shared" si="486"/>
        <v>ENERO</v>
      </c>
      <c r="C7635" s="55">
        <f t="shared" si="487"/>
        <v>1</v>
      </c>
      <c r="D7635" s="3" t="str">
        <f t="shared" si="488"/>
        <v>SÁBADO</v>
      </c>
      <c r="E7635" s="427"/>
      <c r="F7635" s="31">
        <f>IFERROR(VLOOKUP(E7635,BD!$L$2:$Q$244,2,0),0)</f>
        <v>0</v>
      </c>
      <c r="G7635" s="424"/>
      <c r="H7635" s="31">
        <f>+IFERROR(VLOOKUP(E7635,BD!$L$2:$Q$244,6,0),0)</f>
        <v>0</v>
      </c>
      <c r="I7635" s="626">
        <f>IFERROR(G7635*VLOOKUP($E7635,BD!$L$2:$Q$244,5,0),0)</f>
        <v>0</v>
      </c>
      <c r="J7635" s="3">
        <f t="shared" si="489"/>
        <v>1900</v>
      </c>
    </row>
    <row r="7636" spans="1:10" s="9" customFormat="1" x14ac:dyDescent="0.25">
      <c r="A7636" s="447"/>
      <c r="B7636" s="55" t="str">
        <f t="shared" si="486"/>
        <v>ENERO</v>
      </c>
      <c r="C7636" s="55">
        <f t="shared" si="487"/>
        <v>1</v>
      </c>
      <c r="D7636" s="3" t="str">
        <f t="shared" si="488"/>
        <v>SÁBADO</v>
      </c>
      <c r="E7636" s="427"/>
      <c r="F7636" s="31">
        <f>IFERROR(VLOOKUP(E7636,BD!$L$2:$Q$244,2,0),0)</f>
        <v>0</v>
      </c>
      <c r="G7636" s="424"/>
      <c r="H7636" s="31">
        <f>+IFERROR(VLOOKUP(E7636,BD!$L$2:$Q$244,6,0),0)</f>
        <v>0</v>
      </c>
      <c r="I7636" s="626">
        <f>IFERROR(G7636*VLOOKUP($E7636,BD!$L$2:$Q$244,5,0),0)</f>
        <v>0</v>
      </c>
      <c r="J7636" s="3">
        <f t="shared" si="489"/>
        <v>1900</v>
      </c>
    </row>
    <row r="7637" spans="1:10" s="9" customFormat="1" x14ac:dyDescent="0.25">
      <c r="A7637" s="447"/>
      <c r="B7637" s="55" t="str">
        <f t="shared" si="486"/>
        <v>ENERO</v>
      </c>
      <c r="C7637" s="55">
        <f t="shared" si="487"/>
        <v>1</v>
      </c>
      <c r="D7637" s="3" t="str">
        <f t="shared" si="488"/>
        <v>SÁBADO</v>
      </c>
      <c r="E7637" s="427"/>
      <c r="F7637" s="31">
        <f>IFERROR(VLOOKUP(E7637,BD!$L$2:$Q$244,2,0),0)</f>
        <v>0</v>
      </c>
      <c r="G7637" s="424"/>
      <c r="H7637" s="31">
        <f>+IFERROR(VLOOKUP(E7637,BD!$L$2:$Q$244,6,0),0)</f>
        <v>0</v>
      </c>
      <c r="I7637" s="626">
        <f>IFERROR(G7637*VLOOKUP($E7637,BD!$L$2:$Q$244,5,0),0)</f>
        <v>0</v>
      </c>
      <c r="J7637" s="3">
        <f t="shared" si="489"/>
        <v>1900</v>
      </c>
    </row>
    <row r="7638" spans="1:10" s="9" customFormat="1" x14ac:dyDescent="0.25">
      <c r="A7638" s="447"/>
      <c r="B7638" s="55" t="str">
        <f t="shared" si="486"/>
        <v>ENERO</v>
      </c>
      <c r="C7638" s="55">
        <f t="shared" si="487"/>
        <v>1</v>
      </c>
      <c r="D7638" s="3" t="str">
        <f t="shared" si="488"/>
        <v>SÁBADO</v>
      </c>
      <c r="E7638" s="427"/>
      <c r="F7638" s="31">
        <f>IFERROR(VLOOKUP(E7638,BD!$L$2:$Q$244,2,0),0)</f>
        <v>0</v>
      </c>
      <c r="G7638" s="424"/>
      <c r="H7638" s="31">
        <f>+IFERROR(VLOOKUP(E7638,BD!$L$2:$Q$244,6,0),0)</f>
        <v>0</v>
      </c>
      <c r="I7638" s="626">
        <f>IFERROR(G7638*VLOOKUP($E7638,BD!$L$2:$Q$244,5,0),0)</f>
        <v>0</v>
      </c>
      <c r="J7638" s="3">
        <f t="shared" si="489"/>
        <v>1900</v>
      </c>
    </row>
    <row r="7639" spans="1:10" s="9" customFormat="1" x14ac:dyDescent="0.25">
      <c r="A7639" s="447"/>
      <c r="B7639" s="55" t="str">
        <f t="shared" si="486"/>
        <v>ENERO</v>
      </c>
      <c r="C7639" s="55">
        <f t="shared" si="487"/>
        <v>1</v>
      </c>
      <c r="D7639" s="3" t="str">
        <f t="shared" si="488"/>
        <v>SÁBADO</v>
      </c>
      <c r="E7639" s="427"/>
      <c r="F7639" s="31">
        <f>IFERROR(VLOOKUP(E7639,BD!$L$2:$Q$244,2,0),0)</f>
        <v>0</v>
      </c>
      <c r="G7639" s="424"/>
      <c r="H7639" s="31">
        <f>+IFERROR(VLOOKUP(E7639,BD!$L$2:$Q$244,6,0),0)</f>
        <v>0</v>
      </c>
      <c r="I7639" s="626">
        <f>IFERROR(G7639*VLOOKUP($E7639,BD!$L$2:$Q$244,5,0),0)</f>
        <v>0</v>
      </c>
      <c r="J7639" s="3">
        <f t="shared" si="489"/>
        <v>1900</v>
      </c>
    </row>
    <row r="7640" spans="1:10" s="9" customFormat="1" x14ac:dyDescent="0.25">
      <c r="A7640" s="447"/>
      <c r="B7640" s="55" t="str">
        <f t="shared" si="486"/>
        <v>ENERO</v>
      </c>
      <c r="C7640" s="55">
        <f t="shared" si="487"/>
        <v>1</v>
      </c>
      <c r="D7640" s="3" t="str">
        <f t="shared" si="488"/>
        <v>SÁBADO</v>
      </c>
      <c r="E7640" s="427"/>
      <c r="F7640" s="31">
        <f>IFERROR(VLOOKUP(E7640,BD!$L$2:$Q$244,2,0),0)</f>
        <v>0</v>
      </c>
      <c r="G7640" s="424"/>
      <c r="H7640" s="31">
        <f>+IFERROR(VLOOKUP(E7640,BD!$L$2:$Q$244,6,0),0)</f>
        <v>0</v>
      </c>
      <c r="I7640" s="626">
        <f>IFERROR(G7640*VLOOKUP($E7640,BD!$L$2:$Q$244,5,0),0)</f>
        <v>0</v>
      </c>
      <c r="J7640" s="3">
        <f t="shared" si="489"/>
        <v>1900</v>
      </c>
    </row>
    <row r="7641" spans="1:10" s="9" customFormat="1" x14ac:dyDescent="0.25">
      <c r="A7641" s="447"/>
      <c r="B7641" s="55" t="str">
        <f t="shared" si="486"/>
        <v>ENERO</v>
      </c>
      <c r="C7641" s="55">
        <f t="shared" si="487"/>
        <v>1</v>
      </c>
      <c r="D7641" s="3" t="str">
        <f t="shared" si="488"/>
        <v>SÁBADO</v>
      </c>
      <c r="E7641" s="427"/>
      <c r="F7641" s="31">
        <f>IFERROR(VLOOKUP(E7641,BD!$L$2:$Q$244,2,0),0)</f>
        <v>0</v>
      </c>
      <c r="G7641" s="424"/>
      <c r="H7641" s="31">
        <f>+IFERROR(VLOOKUP(E7641,BD!$L$2:$Q$244,6,0),0)</f>
        <v>0</v>
      </c>
      <c r="I7641" s="626">
        <f>IFERROR(G7641*VLOOKUP($E7641,BD!$L$2:$Q$244,5,0),0)</f>
        <v>0</v>
      </c>
      <c r="J7641" s="3">
        <f t="shared" si="489"/>
        <v>1900</v>
      </c>
    </row>
    <row r="7642" spans="1:10" s="9" customFormat="1" x14ac:dyDescent="0.25">
      <c r="A7642" s="447"/>
      <c r="B7642" s="55" t="str">
        <f t="shared" si="486"/>
        <v>ENERO</v>
      </c>
      <c r="C7642" s="55">
        <f t="shared" si="487"/>
        <v>1</v>
      </c>
      <c r="D7642" s="3" t="str">
        <f t="shared" si="488"/>
        <v>SÁBADO</v>
      </c>
      <c r="E7642" s="427"/>
      <c r="F7642" s="31">
        <f>IFERROR(VLOOKUP(E7642,BD!$L$2:$Q$244,2,0),0)</f>
        <v>0</v>
      </c>
      <c r="G7642" s="424"/>
      <c r="H7642" s="31">
        <f>+IFERROR(VLOOKUP(E7642,BD!$L$2:$Q$244,6,0),0)</f>
        <v>0</v>
      </c>
      <c r="I7642" s="626">
        <f>IFERROR(G7642*VLOOKUP($E7642,BD!$L$2:$Q$244,5,0),0)</f>
        <v>0</v>
      </c>
      <c r="J7642" s="3">
        <f t="shared" si="489"/>
        <v>1900</v>
      </c>
    </row>
    <row r="7643" spans="1:10" s="9" customFormat="1" x14ac:dyDescent="0.25">
      <c r="A7643" s="447"/>
      <c r="B7643" s="55" t="str">
        <f t="shared" si="486"/>
        <v>ENERO</v>
      </c>
      <c r="C7643" s="55">
        <f t="shared" si="487"/>
        <v>1</v>
      </c>
      <c r="D7643" s="3" t="str">
        <f t="shared" si="488"/>
        <v>SÁBADO</v>
      </c>
      <c r="E7643" s="427"/>
      <c r="F7643" s="31">
        <f>IFERROR(VLOOKUP(E7643,BD!$L$2:$Q$244,2,0),0)</f>
        <v>0</v>
      </c>
      <c r="G7643" s="424"/>
      <c r="H7643" s="31">
        <f>+IFERROR(VLOOKUP(E7643,BD!$L$2:$Q$244,6,0),0)</f>
        <v>0</v>
      </c>
      <c r="I7643" s="626">
        <f>IFERROR(G7643*VLOOKUP($E7643,BD!$L$2:$Q$244,5,0),0)</f>
        <v>0</v>
      </c>
      <c r="J7643" s="3">
        <f t="shared" si="489"/>
        <v>1900</v>
      </c>
    </row>
    <row r="7644" spans="1:10" s="9" customFormat="1" x14ac:dyDescent="0.25">
      <c r="A7644" s="447"/>
      <c r="B7644" s="55" t="str">
        <f t="shared" si="486"/>
        <v>ENERO</v>
      </c>
      <c r="C7644" s="55">
        <f t="shared" si="487"/>
        <v>1</v>
      </c>
      <c r="D7644" s="3" t="str">
        <f t="shared" si="488"/>
        <v>SÁBADO</v>
      </c>
      <c r="E7644" s="427"/>
      <c r="F7644" s="31">
        <f>IFERROR(VLOOKUP(E7644,BD!$L$2:$Q$244,2,0),0)</f>
        <v>0</v>
      </c>
      <c r="G7644" s="424"/>
      <c r="H7644" s="31">
        <f>+IFERROR(VLOOKUP(E7644,BD!$L$2:$Q$244,6,0),0)</f>
        <v>0</v>
      </c>
      <c r="I7644" s="626">
        <f>IFERROR(G7644*VLOOKUP($E7644,BD!$L$2:$Q$244,5,0),0)</f>
        <v>0</v>
      </c>
      <c r="J7644" s="3">
        <f t="shared" si="489"/>
        <v>1900</v>
      </c>
    </row>
    <row r="7645" spans="1:10" s="9" customFormat="1" x14ac:dyDescent="0.25">
      <c r="A7645" s="447"/>
      <c r="B7645" s="55" t="str">
        <f t="shared" si="486"/>
        <v>ENERO</v>
      </c>
      <c r="C7645" s="55">
        <f t="shared" si="487"/>
        <v>1</v>
      </c>
      <c r="D7645" s="3" t="str">
        <f t="shared" si="488"/>
        <v>SÁBADO</v>
      </c>
      <c r="E7645" s="427"/>
      <c r="F7645" s="31">
        <f>IFERROR(VLOOKUP(E7645,BD!$L$2:$Q$244,2,0),0)</f>
        <v>0</v>
      </c>
      <c r="G7645" s="424"/>
      <c r="H7645" s="31">
        <f>+IFERROR(VLOOKUP(E7645,BD!$L$2:$Q$244,6,0),0)</f>
        <v>0</v>
      </c>
      <c r="I7645" s="626">
        <f>IFERROR(G7645*VLOOKUP($E7645,BD!$L$2:$Q$244,5,0),0)</f>
        <v>0</v>
      </c>
      <c r="J7645" s="3">
        <f t="shared" si="489"/>
        <v>1900</v>
      </c>
    </row>
    <row r="7646" spans="1:10" s="9" customFormat="1" x14ac:dyDescent="0.25">
      <c r="A7646" s="447"/>
      <c r="B7646" s="55" t="str">
        <f t="shared" si="486"/>
        <v>ENERO</v>
      </c>
      <c r="C7646" s="55">
        <f t="shared" si="487"/>
        <v>1</v>
      </c>
      <c r="D7646" s="3" t="str">
        <f t="shared" si="488"/>
        <v>SÁBADO</v>
      </c>
      <c r="E7646" s="427"/>
      <c r="F7646" s="31">
        <f>IFERROR(VLOOKUP(E7646,BD!$L$2:$Q$244,2,0),0)</f>
        <v>0</v>
      </c>
      <c r="G7646" s="424"/>
      <c r="H7646" s="31">
        <f>+IFERROR(VLOOKUP(E7646,BD!$L$2:$Q$244,6,0),0)</f>
        <v>0</v>
      </c>
      <c r="I7646" s="626">
        <f>IFERROR(G7646*VLOOKUP($E7646,BD!$L$2:$Q$244,5,0),0)</f>
        <v>0</v>
      </c>
      <c r="J7646" s="3">
        <f t="shared" si="489"/>
        <v>1900</v>
      </c>
    </row>
    <row r="7647" spans="1:10" s="9" customFormat="1" x14ac:dyDescent="0.25">
      <c r="A7647" s="447"/>
      <c r="B7647" s="55" t="str">
        <f t="shared" si="486"/>
        <v>ENERO</v>
      </c>
      <c r="C7647" s="55">
        <f t="shared" si="487"/>
        <v>1</v>
      </c>
      <c r="D7647" s="3" t="str">
        <f t="shared" si="488"/>
        <v>SÁBADO</v>
      </c>
      <c r="E7647" s="427"/>
      <c r="F7647" s="31">
        <f>IFERROR(VLOOKUP(E7647,BD!$L$2:$Q$244,2,0),0)</f>
        <v>0</v>
      </c>
      <c r="G7647" s="424"/>
      <c r="H7647" s="31">
        <f>+IFERROR(VLOOKUP(E7647,BD!$L$2:$Q$244,6,0),0)</f>
        <v>0</v>
      </c>
      <c r="I7647" s="626">
        <f>IFERROR(G7647*VLOOKUP($E7647,BD!$L$2:$Q$244,5,0),0)</f>
        <v>0</v>
      </c>
      <c r="J7647" s="3">
        <f t="shared" si="489"/>
        <v>1900</v>
      </c>
    </row>
    <row r="7648" spans="1:10" s="9" customFormat="1" x14ac:dyDescent="0.25">
      <c r="A7648" s="447"/>
      <c r="B7648" s="55" t="str">
        <f t="shared" si="486"/>
        <v>ENERO</v>
      </c>
      <c r="C7648" s="55">
        <f t="shared" si="487"/>
        <v>1</v>
      </c>
      <c r="D7648" s="3" t="str">
        <f t="shared" si="488"/>
        <v>SÁBADO</v>
      </c>
      <c r="E7648" s="427"/>
      <c r="F7648" s="31">
        <f>IFERROR(VLOOKUP(E7648,BD!$L$2:$Q$244,2,0),0)</f>
        <v>0</v>
      </c>
      <c r="G7648" s="424"/>
      <c r="H7648" s="31">
        <f>+IFERROR(VLOOKUP(E7648,BD!$L$2:$Q$244,6,0),0)</f>
        <v>0</v>
      </c>
      <c r="I7648" s="626">
        <f>IFERROR(G7648*VLOOKUP($E7648,BD!$L$2:$Q$244,5,0),0)</f>
        <v>0</v>
      </c>
      <c r="J7648" s="3">
        <f t="shared" si="489"/>
        <v>1900</v>
      </c>
    </row>
    <row r="7649" spans="1:10" s="9" customFormat="1" x14ac:dyDescent="0.25">
      <c r="A7649" s="447"/>
      <c r="B7649" s="55" t="str">
        <f t="shared" si="486"/>
        <v>ENERO</v>
      </c>
      <c r="C7649" s="55">
        <f t="shared" si="487"/>
        <v>1</v>
      </c>
      <c r="D7649" s="3" t="str">
        <f t="shared" si="488"/>
        <v>SÁBADO</v>
      </c>
      <c r="E7649" s="427"/>
      <c r="F7649" s="31">
        <f>IFERROR(VLOOKUP(E7649,BD!$L$2:$Q$244,2,0),0)</f>
        <v>0</v>
      </c>
      <c r="G7649" s="424"/>
      <c r="H7649" s="31">
        <f>+IFERROR(VLOOKUP(E7649,BD!$L$2:$Q$244,6,0),0)</f>
        <v>0</v>
      </c>
      <c r="I7649" s="626">
        <f>IFERROR(G7649*VLOOKUP($E7649,BD!$L$2:$Q$244,5,0),0)</f>
        <v>0</v>
      </c>
      <c r="J7649" s="3">
        <f t="shared" si="489"/>
        <v>1900</v>
      </c>
    </row>
    <row r="7650" spans="1:10" s="9" customFormat="1" x14ac:dyDescent="0.25">
      <c r="A7650" s="447"/>
      <c r="B7650" s="55" t="str">
        <f t="shared" si="486"/>
        <v>ENERO</v>
      </c>
      <c r="C7650" s="55">
        <f t="shared" si="487"/>
        <v>1</v>
      </c>
      <c r="D7650" s="3" t="str">
        <f t="shared" si="488"/>
        <v>SÁBADO</v>
      </c>
      <c r="E7650" s="427"/>
      <c r="F7650" s="31">
        <f>IFERROR(VLOOKUP(E7650,BD!$L$2:$Q$244,2,0),0)</f>
        <v>0</v>
      </c>
      <c r="G7650" s="424"/>
      <c r="H7650" s="31">
        <f>+IFERROR(VLOOKUP(E7650,BD!$L$2:$Q$244,6,0),0)</f>
        <v>0</v>
      </c>
      <c r="I7650" s="626">
        <f>IFERROR(G7650*VLOOKUP($E7650,BD!$L$2:$Q$244,5,0),0)</f>
        <v>0</v>
      </c>
      <c r="J7650" s="3">
        <f t="shared" si="489"/>
        <v>1900</v>
      </c>
    </row>
    <row r="7651" spans="1:10" s="9" customFormat="1" x14ac:dyDescent="0.25">
      <c r="A7651" s="447"/>
      <c r="B7651" s="55" t="str">
        <f t="shared" si="486"/>
        <v>ENERO</v>
      </c>
      <c r="C7651" s="55">
        <f t="shared" si="487"/>
        <v>1</v>
      </c>
      <c r="D7651" s="3" t="str">
        <f t="shared" si="488"/>
        <v>SÁBADO</v>
      </c>
      <c r="E7651" s="427"/>
      <c r="F7651" s="31">
        <f>IFERROR(VLOOKUP(E7651,BD!$L$2:$Q$244,2,0),0)</f>
        <v>0</v>
      </c>
      <c r="G7651" s="424"/>
      <c r="H7651" s="31">
        <f>+IFERROR(VLOOKUP(E7651,BD!$L$2:$Q$244,6,0),0)</f>
        <v>0</v>
      </c>
      <c r="I7651" s="626">
        <f>IFERROR(G7651*VLOOKUP($E7651,BD!$L$2:$Q$244,5,0),0)</f>
        <v>0</v>
      </c>
      <c r="J7651" s="3">
        <f t="shared" si="489"/>
        <v>1900</v>
      </c>
    </row>
    <row r="7652" spans="1:10" s="9" customFormat="1" x14ac:dyDescent="0.25">
      <c r="A7652" s="447"/>
      <c r="B7652" s="55" t="str">
        <f t="shared" si="486"/>
        <v>ENERO</v>
      </c>
      <c r="C7652" s="55">
        <f t="shared" si="487"/>
        <v>1</v>
      </c>
      <c r="D7652" s="3" t="str">
        <f t="shared" si="488"/>
        <v>SÁBADO</v>
      </c>
      <c r="E7652" s="427"/>
      <c r="F7652" s="31">
        <f>IFERROR(VLOOKUP(E7652,BD!$L$2:$Q$244,2,0),0)</f>
        <v>0</v>
      </c>
      <c r="G7652" s="424"/>
      <c r="H7652" s="31">
        <f>+IFERROR(VLOOKUP(E7652,BD!$L$2:$Q$244,6,0),0)</f>
        <v>0</v>
      </c>
      <c r="I7652" s="626">
        <f>IFERROR(G7652*VLOOKUP($E7652,BD!$L$2:$Q$244,5,0),0)</f>
        <v>0</v>
      </c>
      <c r="J7652" s="3">
        <f t="shared" si="489"/>
        <v>1900</v>
      </c>
    </row>
    <row r="7653" spans="1:10" s="9" customFormat="1" x14ac:dyDescent="0.25">
      <c r="A7653" s="447"/>
      <c r="B7653" s="55" t="str">
        <f t="shared" si="486"/>
        <v>ENERO</v>
      </c>
      <c r="C7653" s="55">
        <f t="shared" si="487"/>
        <v>1</v>
      </c>
      <c r="D7653" s="3" t="str">
        <f t="shared" si="488"/>
        <v>SÁBADO</v>
      </c>
      <c r="E7653" s="427"/>
      <c r="F7653" s="31">
        <f>IFERROR(VLOOKUP(E7653,BD!$L$2:$Q$244,2,0),0)</f>
        <v>0</v>
      </c>
      <c r="G7653" s="424"/>
      <c r="H7653" s="31">
        <f>+IFERROR(VLOOKUP(E7653,BD!$L$2:$Q$244,6,0),0)</f>
        <v>0</v>
      </c>
      <c r="I7653" s="626">
        <f>IFERROR(G7653*VLOOKUP($E7653,BD!$L$2:$Q$244,5,0),0)</f>
        <v>0</v>
      </c>
      <c r="J7653" s="3">
        <f t="shared" si="489"/>
        <v>1900</v>
      </c>
    </row>
    <row r="7654" spans="1:10" s="9" customFormat="1" x14ac:dyDescent="0.25">
      <c r="A7654" s="447"/>
      <c r="B7654" s="55" t="str">
        <f t="shared" si="486"/>
        <v>ENERO</v>
      </c>
      <c r="C7654" s="55">
        <f t="shared" si="487"/>
        <v>1</v>
      </c>
      <c r="D7654" s="3" t="str">
        <f t="shared" si="488"/>
        <v>SÁBADO</v>
      </c>
      <c r="E7654" s="427"/>
      <c r="F7654" s="31">
        <f>IFERROR(VLOOKUP(E7654,BD!$L$2:$Q$244,2,0),0)</f>
        <v>0</v>
      </c>
      <c r="G7654" s="424"/>
      <c r="H7654" s="31">
        <f>+IFERROR(VLOOKUP(E7654,BD!$L$2:$Q$244,6,0),0)</f>
        <v>0</v>
      </c>
      <c r="I7654" s="626">
        <f>IFERROR(G7654*VLOOKUP($E7654,BD!$L$2:$Q$244,5,0),0)</f>
        <v>0</v>
      </c>
      <c r="J7654" s="3">
        <f t="shared" si="489"/>
        <v>1900</v>
      </c>
    </row>
    <row r="7655" spans="1:10" s="9" customFormat="1" x14ac:dyDescent="0.25">
      <c r="A7655" s="447"/>
      <c r="B7655" s="55" t="str">
        <f t="shared" si="486"/>
        <v>ENERO</v>
      </c>
      <c r="C7655" s="55">
        <f t="shared" si="487"/>
        <v>1</v>
      </c>
      <c r="D7655" s="3" t="str">
        <f t="shared" si="488"/>
        <v>SÁBADO</v>
      </c>
      <c r="E7655" s="427"/>
      <c r="F7655" s="31">
        <f>IFERROR(VLOOKUP(E7655,BD!$L$2:$Q$244,2,0),0)</f>
        <v>0</v>
      </c>
      <c r="G7655" s="424"/>
      <c r="H7655" s="31">
        <f>+IFERROR(VLOOKUP(E7655,BD!$L$2:$Q$244,6,0),0)</f>
        <v>0</v>
      </c>
      <c r="I7655" s="626">
        <f>IFERROR(G7655*VLOOKUP($E7655,BD!$L$2:$Q$244,5,0),0)</f>
        <v>0</v>
      </c>
      <c r="J7655" s="3">
        <f t="shared" si="489"/>
        <v>1900</v>
      </c>
    </row>
    <row r="7656" spans="1:10" s="9" customFormat="1" x14ac:dyDescent="0.25">
      <c r="A7656" s="447"/>
      <c r="B7656" s="55" t="str">
        <f t="shared" si="486"/>
        <v>ENERO</v>
      </c>
      <c r="C7656" s="55">
        <f t="shared" si="487"/>
        <v>1</v>
      </c>
      <c r="D7656" s="3" t="str">
        <f t="shared" si="488"/>
        <v>SÁBADO</v>
      </c>
      <c r="E7656" s="427"/>
      <c r="F7656" s="31">
        <f>IFERROR(VLOOKUP(E7656,BD!$L$2:$Q$244,2,0),0)</f>
        <v>0</v>
      </c>
      <c r="G7656" s="424"/>
      <c r="H7656" s="31">
        <f>+IFERROR(VLOOKUP(E7656,BD!$L$2:$Q$244,6,0),0)</f>
        <v>0</v>
      </c>
      <c r="I7656" s="626">
        <f>IFERROR(G7656*VLOOKUP($E7656,BD!$L$2:$Q$244,5,0),0)</f>
        <v>0</v>
      </c>
      <c r="J7656" s="3">
        <f t="shared" si="489"/>
        <v>1900</v>
      </c>
    </row>
    <row r="7657" spans="1:10" s="9" customFormat="1" x14ac:dyDescent="0.25">
      <c r="A7657" s="447"/>
      <c r="B7657" s="55" t="str">
        <f t="shared" si="486"/>
        <v>ENERO</v>
      </c>
      <c r="C7657" s="55">
        <f t="shared" si="487"/>
        <v>1</v>
      </c>
      <c r="D7657" s="3" t="str">
        <f t="shared" si="488"/>
        <v>SÁBADO</v>
      </c>
      <c r="E7657" s="427"/>
      <c r="F7657" s="31">
        <f>IFERROR(VLOOKUP(E7657,BD!$L$2:$Q$244,2,0),0)</f>
        <v>0</v>
      </c>
      <c r="G7657" s="424"/>
      <c r="H7657" s="31">
        <f>+IFERROR(VLOOKUP(E7657,BD!$L$2:$Q$244,6,0),0)</f>
        <v>0</v>
      </c>
      <c r="I7657" s="626">
        <f>IFERROR(G7657*VLOOKUP($E7657,BD!$L$2:$Q$244,5,0),0)</f>
        <v>0</v>
      </c>
      <c r="J7657" s="3">
        <f t="shared" si="489"/>
        <v>1900</v>
      </c>
    </row>
    <row r="7658" spans="1:10" s="9" customFormat="1" x14ac:dyDescent="0.25">
      <c r="A7658" s="447"/>
      <c r="B7658" s="55" t="str">
        <f t="shared" si="486"/>
        <v>ENERO</v>
      </c>
      <c r="C7658" s="55">
        <f t="shared" si="487"/>
        <v>1</v>
      </c>
      <c r="D7658" s="3" t="str">
        <f t="shared" si="488"/>
        <v>SÁBADO</v>
      </c>
      <c r="E7658" s="427"/>
      <c r="F7658" s="31">
        <f>IFERROR(VLOOKUP(E7658,BD!$L$2:$Q$244,2,0),0)</f>
        <v>0</v>
      </c>
      <c r="G7658" s="424"/>
      <c r="H7658" s="31">
        <f>+IFERROR(VLOOKUP(E7658,BD!$L$2:$Q$244,6,0),0)</f>
        <v>0</v>
      </c>
      <c r="I7658" s="626">
        <f>IFERROR(G7658*VLOOKUP($E7658,BD!$L$2:$Q$244,5,0),0)</f>
        <v>0</v>
      </c>
      <c r="J7658" s="3">
        <f t="shared" si="489"/>
        <v>1900</v>
      </c>
    </row>
    <row r="7659" spans="1:10" s="9" customFormat="1" x14ac:dyDescent="0.25">
      <c r="A7659" s="447"/>
      <c r="B7659" s="55" t="str">
        <f t="shared" si="486"/>
        <v>ENERO</v>
      </c>
      <c r="C7659" s="55">
        <f t="shared" si="487"/>
        <v>1</v>
      </c>
      <c r="D7659" s="3" t="str">
        <f t="shared" si="488"/>
        <v>SÁBADO</v>
      </c>
      <c r="E7659" s="427"/>
      <c r="F7659" s="31">
        <f>IFERROR(VLOOKUP(E7659,BD!$L$2:$Q$244,2,0),0)</f>
        <v>0</v>
      </c>
      <c r="G7659" s="424"/>
      <c r="H7659" s="31">
        <f>+IFERROR(VLOOKUP(E7659,BD!$L$2:$Q$244,6,0),0)</f>
        <v>0</v>
      </c>
      <c r="I7659" s="626">
        <f>IFERROR(G7659*VLOOKUP($E7659,BD!$L$2:$Q$244,5,0),0)</f>
        <v>0</v>
      </c>
      <c r="J7659" s="3">
        <f t="shared" si="489"/>
        <v>1900</v>
      </c>
    </row>
    <row r="7660" spans="1:10" s="9" customFormat="1" x14ac:dyDescent="0.25">
      <c r="A7660" s="447"/>
      <c r="B7660" s="55" t="str">
        <f t="shared" si="486"/>
        <v>ENERO</v>
      </c>
      <c r="C7660" s="55">
        <f t="shared" si="487"/>
        <v>1</v>
      </c>
      <c r="D7660" s="3" t="str">
        <f t="shared" si="488"/>
        <v>SÁBADO</v>
      </c>
      <c r="E7660" s="427"/>
      <c r="F7660" s="31">
        <f>IFERROR(VLOOKUP(E7660,BD!$L$2:$Q$244,2,0),0)</f>
        <v>0</v>
      </c>
      <c r="G7660" s="424"/>
      <c r="H7660" s="31">
        <f>+IFERROR(VLOOKUP(E7660,BD!$L$2:$Q$244,6,0),0)</f>
        <v>0</v>
      </c>
      <c r="I7660" s="626">
        <f>IFERROR(G7660*VLOOKUP($E7660,BD!$L$2:$Q$244,5,0),0)</f>
        <v>0</v>
      </c>
      <c r="J7660" s="3">
        <f t="shared" si="489"/>
        <v>1900</v>
      </c>
    </row>
    <row r="7661" spans="1:10" s="9" customFormat="1" x14ac:dyDescent="0.25">
      <c r="A7661" s="447"/>
      <c r="B7661" s="55" t="str">
        <f t="shared" si="486"/>
        <v>ENERO</v>
      </c>
      <c r="C7661" s="55">
        <f t="shared" si="487"/>
        <v>1</v>
      </c>
      <c r="D7661" s="3" t="str">
        <f t="shared" si="488"/>
        <v>SÁBADO</v>
      </c>
      <c r="E7661" s="427"/>
      <c r="F7661" s="31">
        <f>IFERROR(VLOOKUP(E7661,BD!$L$2:$Q$244,2,0),0)</f>
        <v>0</v>
      </c>
      <c r="G7661" s="424"/>
      <c r="H7661" s="31">
        <f>+IFERROR(VLOOKUP(E7661,BD!$L$2:$Q$244,6,0),0)</f>
        <v>0</v>
      </c>
      <c r="I7661" s="626">
        <f>IFERROR(G7661*VLOOKUP($E7661,BD!$L$2:$Q$244,5,0),0)</f>
        <v>0</v>
      </c>
      <c r="J7661" s="3">
        <f t="shared" si="489"/>
        <v>1900</v>
      </c>
    </row>
    <row r="7662" spans="1:10" s="9" customFormat="1" x14ac:dyDescent="0.25">
      <c r="A7662" s="447"/>
      <c r="B7662" s="55" t="str">
        <f t="shared" si="486"/>
        <v>ENERO</v>
      </c>
      <c r="C7662" s="55">
        <f t="shared" si="487"/>
        <v>1</v>
      </c>
      <c r="D7662" s="3" t="str">
        <f t="shared" si="488"/>
        <v>SÁBADO</v>
      </c>
      <c r="E7662" s="427"/>
      <c r="F7662" s="31">
        <f>IFERROR(VLOOKUP(E7662,BD!$L$2:$Q$244,2,0),0)</f>
        <v>0</v>
      </c>
      <c r="G7662" s="424"/>
      <c r="H7662" s="31">
        <f>+IFERROR(VLOOKUP(E7662,BD!$L$2:$Q$244,6,0),0)</f>
        <v>0</v>
      </c>
      <c r="I7662" s="626">
        <f>IFERROR(G7662*VLOOKUP($E7662,BD!$L$2:$Q$244,5,0),0)</f>
        <v>0</v>
      </c>
      <c r="J7662" s="3">
        <f t="shared" si="489"/>
        <v>1900</v>
      </c>
    </row>
    <row r="7663" spans="1:10" s="9" customFormat="1" x14ac:dyDescent="0.25">
      <c r="A7663" s="447"/>
      <c r="B7663" s="55" t="str">
        <f t="shared" si="486"/>
        <v>ENERO</v>
      </c>
      <c r="C7663" s="55">
        <f t="shared" si="487"/>
        <v>1</v>
      </c>
      <c r="D7663" s="3" t="str">
        <f t="shared" si="488"/>
        <v>SÁBADO</v>
      </c>
      <c r="E7663" s="427"/>
      <c r="F7663" s="31">
        <f>IFERROR(VLOOKUP(E7663,BD!$L$2:$Q$244,2,0),0)</f>
        <v>0</v>
      </c>
      <c r="G7663" s="424"/>
      <c r="H7663" s="31">
        <f>+IFERROR(VLOOKUP(E7663,BD!$L$2:$Q$244,6,0),0)</f>
        <v>0</v>
      </c>
      <c r="I7663" s="626">
        <f>IFERROR(G7663*VLOOKUP($E7663,BD!$L$2:$Q$244,5,0),0)</f>
        <v>0</v>
      </c>
      <c r="J7663" s="3">
        <f t="shared" si="489"/>
        <v>1900</v>
      </c>
    </row>
    <row r="7664" spans="1:10" s="9" customFormat="1" x14ac:dyDescent="0.25">
      <c r="A7664" s="447"/>
      <c r="B7664" s="55" t="str">
        <f t="shared" si="486"/>
        <v>ENERO</v>
      </c>
      <c r="C7664" s="55">
        <f t="shared" si="487"/>
        <v>1</v>
      </c>
      <c r="D7664" s="3" t="str">
        <f t="shared" si="488"/>
        <v>SÁBADO</v>
      </c>
      <c r="E7664" s="427"/>
      <c r="F7664" s="31">
        <f>IFERROR(VLOOKUP(E7664,BD!$L$2:$Q$244,2,0),0)</f>
        <v>0</v>
      </c>
      <c r="G7664" s="424"/>
      <c r="H7664" s="31">
        <f>+IFERROR(VLOOKUP(E7664,BD!$L$2:$Q$244,6,0),0)</f>
        <v>0</v>
      </c>
      <c r="I7664" s="626">
        <f>IFERROR(G7664*VLOOKUP($E7664,BD!$L$2:$Q$244,5,0),0)</f>
        <v>0</v>
      </c>
      <c r="J7664" s="3">
        <f t="shared" si="489"/>
        <v>1900</v>
      </c>
    </row>
    <row r="7665" spans="1:10" s="9" customFormat="1" x14ac:dyDescent="0.25">
      <c r="A7665" s="447"/>
      <c r="B7665" s="55" t="str">
        <f t="shared" si="486"/>
        <v>ENERO</v>
      </c>
      <c r="C7665" s="55">
        <f t="shared" si="487"/>
        <v>1</v>
      </c>
      <c r="D7665" s="3" t="str">
        <f t="shared" si="488"/>
        <v>SÁBADO</v>
      </c>
      <c r="E7665" s="427"/>
      <c r="F7665" s="31">
        <f>IFERROR(VLOOKUP(E7665,BD!$L$2:$Q$244,2,0),0)</f>
        <v>0</v>
      </c>
      <c r="G7665" s="424"/>
      <c r="H7665" s="31">
        <f>+IFERROR(VLOOKUP(E7665,BD!$L$2:$Q$244,6,0),0)</f>
        <v>0</v>
      </c>
      <c r="I7665" s="626">
        <f>IFERROR(G7665*VLOOKUP($E7665,BD!$L$2:$Q$244,5,0),0)</f>
        <v>0</v>
      </c>
      <c r="J7665" s="3">
        <f t="shared" si="489"/>
        <v>1900</v>
      </c>
    </row>
    <row r="7666" spans="1:10" s="9" customFormat="1" x14ac:dyDescent="0.25">
      <c r="A7666" s="447"/>
      <c r="B7666" s="55" t="str">
        <f t="shared" si="486"/>
        <v>ENERO</v>
      </c>
      <c r="C7666" s="55">
        <f t="shared" si="487"/>
        <v>1</v>
      </c>
      <c r="D7666" s="3" t="str">
        <f t="shared" si="488"/>
        <v>SÁBADO</v>
      </c>
      <c r="E7666" s="427"/>
      <c r="F7666" s="31">
        <f>IFERROR(VLOOKUP(E7666,BD!$L$2:$Q$244,2,0),0)</f>
        <v>0</v>
      </c>
      <c r="G7666" s="424"/>
      <c r="H7666" s="31">
        <f>+IFERROR(VLOOKUP(E7666,BD!$L$2:$Q$244,6,0),0)</f>
        <v>0</v>
      </c>
      <c r="I7666" s="626">
        <f>IFERROR(G7666*VLOOKUP($E7666,BD!$L$2:$Q$244,5,0),0)</f>
        <v>0</v>
      </c>
      <c r="J7666" s="3">
        <f t="shared" si="489"/>
        <v>1900</v>
      </c>
    </row>
    <row r="7667" spans="1:10" s="9" customFormat="1" x14ac:dyDescent="0.25">
      <c r="A7667" s="447"/>
      <c r="B7667" s="55" t="str">
        <f t="shared" si="486"/>
        <v>ENERO</v>
      </c>
      <c r="C7667" s="55">
        <f t="shared" si="487"/>
        <v>1</v>
      </c>
      <c r="D7667" s="3" t="str">
        <f t="shared" si="488"/>
        <v>SÁBADO</v>
      </c>
      <c r="E7667" s="427"/>
      <c r="F7667" s="31">
        <f>IFERROR(VLOOKUP(E7667,BD!$L$2:$Q$244,2,0),0)</f>
        <v>0</v>
      </c>
      <c r="G7667" s="424"/>
      <c r="H7667" s="31">
        <f>+IFERROR(VLOOKUP(E7667,BD!$L$2:$Q$244,6,0),0)</f>
        <v>0</v>
      </c>
      <c r="I7667" s="626">
        <f>IFERROR(G7667*VLOOKUP($E7667,BD!$L$2:$Q$244,5,0),0)</f>
        <v>0</v>
      </c>
      <c r="J7667" s="3">
        <f t="shared" si="489"/>
        <v>1900</v>
      </c>
    </row>
    <row r="7668" spans="1:10" s="9" customFormat="1" x14ac:dyDescent="0.25">
      <c r="A7668" s="447"/>
      <c r="B7668" s="55" t="str">
        <f t="shared" si="486"/>
        <v>ENERO</v>
      </c>
      <c r="C7668" s="55">
        <f t="shared" si="487"/>
        <v>1</v>
      </c>
      <c r="D7668" s="3" t="str">
        <f t="shared" si="488"/>
        <v>SÁBADO</v>
      </c>
      <c r="E7668" s="427"/>
      <c r="F7668" s="31">
        <f>IFERROR(VLOOKUP(E7668,BD!$L$2:$Q$244,2,0),0)</f>
        <v>0</v>
      </c>
      <c r="G7668" s="424"/>
      <c r="H7668" s="31">
        <f>+IFERROR(VLOOKUP(E7668,BD!$L$2:$Q$244,6,0),0)</f>
        <v>0</v>
      </c>
      <c r="I7668" s="626">
        <f>IFERROR(G7668*VLOOKUP($E7668,BD!$L$2:$Q$244,5,0),0)</f>
        <v>0</v>
      </c>
      <c r="J7668" s="3">
        <f t="shared" si="489"/>
        <v>1900</v>
      </c>
    </row>
    <row r="7669" spans="1:10" s="9" customFormat="1" x14ac:dyDescent="0.25">
      <c r="A7669" s="447"/>
      <c r="B7669" s="55" t="str">
        <f t="shared" si="486"/>
        <v>ENERO</v>
      </c>
      <c r="C7669" s="55">
        <f t="shared" si="487"/>
        <v>1</v>
      </c>
      <c r="D7669" s="3" t="str">
        <f t="shared" si="488"/>
        <v>SÁBADO</v>
      </c>
      <c r="E7669" s="427"/>
      <c r="F7669" s="31">
        <f>IFERROR(VLOOKUP(E7669,BD!$L$2:$Q$244,2,0),0)</f>
        <v>0</v>
      </c>
      <c r="G7669" s="424"/>
      <c r="H7669" s="31">
        <f>+IFERROR(VLOOKUP(E7669,BD!$L$2:$Q$244,6,0),0)</f>
        <v>0</v>
      </c>
      <c r="I7669" s="626">
        <f>IFERROR(G7669*VLOOKUP($E7669,BD!$L$2:$Q$244,5,0),0)</f>
        <v>0</v>
      </c>
      <c r="J7669" s="3">
        <f t="shared" si="489"/>
        <v>1900</v>
      </c>
    </row>
    <row r="7670" spans="1:10" s="9" customFormat="1" x14ac:dyDescent="0.25">
      <c r="A7670" s="447"/>
      <c r="B7670" s="55" t="str">
        <f t="shared" si="486"/>
        <v>ENERO</v>
      </c>
      <c r="C7670" s="55">
        <f t="shared" si="487"/>
        <v>1</v>
      </c>
      <c r="D7670" s="3" t="str">
        <f t="shared" si="488"/>
        <v>SÁBADO</v>
      </c>
      <c r="E7670" s="427"/>
      <c r="F7670" s="31">
        <f>IFERROR(VLOOKUP(E7670,BD!$L$2:$Q$244,2,0),0)</f>
        <v>0</v>
      </c>
      <c r="G7670" s="424"/>
      <c r="H7670" s="31">
        <f>+IFERROR(VLOOKUP(E7670,BD!$L$2:$Q$244,6,0),0)</f>
        <v>0</v>
      </c>
      <c r="I7670" s="626">
        <f>IFERROR(G7670*VLOOKUP($E7670,BD!$L$2:$Q$244,5,0),0)</f>
        <v>0</v>
      </c>
      <c r="J7670" s="3">
        <f t="shared" si="489"/>
        <v>1900</v>
      </c>
    </row>
    <row r="7671" spans="1:10" s="9" customFormat="1" x14ac:dyDescent="0.25">
      <c r="A7671" s="447"/>
      <c r="B7671" s="55" t="str">
        <f t="shared" si="486"/>
        <v>ENERO</v>
      </c>
      <c r="C7671" s="55">
        <f t="shared" si="487"/>
        <v>1</v>
      </c>
      <c r="D7671" s="3" t="str">
        <f t="shared" si="488"/>
        <v>SÁBADO</v>
      </c>
      <c r="E7671" s="427"/>
      <c r="F7671" s="31">
        <f>IFERROR(VLOOKUP(E7671,BD!$L$2:$Q$244,2,0),0)</f>
        <v>0</v>
      </c>
      <c r="G7671" s="424"/>
      <c r="H7671" s="31">
        <f>+IFERROR(VLOOKUP(E7671,BD!$L$2:$Q$244,6,0),0)</f>
        <v>0</v>
      </c>
      <c r="I7671" s="626">
        <f>IFERROR(G7671*VLOOKUP($E7671,BD!$L$2:$Q$244,5,0),0)</f>
        <v>0</v>
      </c>
      <c r="J7671" s="3">
        <f t="shared" si="489"/>
        <v>1900</v>
      </c>
    </row>
    <row r="7672" spans="1:10" s="9" customFormat="1" x14ac:dyDescent="0.25">
      <c r="A7672" s="447"/>
      <c r="B7672" s="55" t="str">
        <f t="shared" si="486"/>
        <v>ENERO</v>
      </c>
      <c r="C7672" s="55">
        <f t="shared" si="487"/>
        <v>1</v>
      </c>
      <c r="D7672" s="3" t="str">
        <f t="shared" si="488"/>
        <v>SÁBADO</v>
      </c>
      <c r="E7672" s="427"/>
      <c r="F7672" s="31">
        <f>IFERROR(VLOOKUP(E7672,BD!$L$2:$Q$244,2,0),0)</f>
        <v>0</v>
      </c>
      <c r="G7672" s="424"/>
      <c r="H7672" s="31">
        <f>+IFERROR(VLOOKUP(E7672,BD!$L$2:$Q$244,6,0),0)</f>
        <v>0</v>
      </c>
      <c r="I7672" s="626">
        <f>IFERROR(G7672*VLOOKUP($E7672,BD!$L$2:$Q$244,5,0),0)</f>
        <v>0</v>
      </c>
      <c r="J7672" s="3">
        <f t="shared" si="489"/>
        <v>1900</v>
      </c>
    </row>
    <row r="7673" spans="1:10" s="9" customFormat="1" x14ac:dyDescent="0.25">
      <c r="A7673" s="447"/>
      <c r="B7673" s="55" t="str">
        <f t="shared" si="486"/>
        <v>ENERO</v>
      </c>
      <c r="C7673" s="55">
        <f t="shared" si="487"/>
        <v>1</v>
      </c>
      <c r="D7673" s="3" t="str">
        <f t="shared" si="488"/>
        <v>SÁBADO</v>
      </c>
      <c r="E7673" s="427"/>
      <c r="F7673" s="31">
        <f>IFERROR(VLOOKUP(E7673,BD!$L$2:$Q$244,2,0),0)</f>
        <v>0</v>
      </c>
      <c r="G7673" s="425"/>
      <c r="H7673" s="31">
        <f>+IFERROR(VLOOKUP(E7673,BD!$L$2:$Q$244,6,0),0)</f>
        <v>0</v>
      </c>
      <c r="I7673" s="626">
        <f>IFERROR(G7673*VLOOKUP($E7673,BD!$L$2:$Q$244,5,0),0)</f>
        <v>0</v>
      </c>
      <c r="J7673" s="3">
        <f t="shared" si="489"/>
        <v>1900</v>
      </c>
    </row>
    <row r="7674" spans="1:10" s="9" customFormat="1" x14ac:dyDescent="0.25">
      <c r="A7674" s="447"/>
      <c r="B7674" s="55" t="str">
        <f t="shared" si="486"/>
        <v>ENERO</v>
      </c>
      <c r="C7674" s="55">
        <f t="shared" si="487"/>
        <v>1</v>
      </c>
      <c r="D7674" s="3" t="str">
        <f t="shared" si="488"/>
        <v>SÁBADO</v>
      </c>
      <c r="E7674" s="427"/>
      <c r="F7674" s="31">
        <f>IFERROR(VLOOKUP(E7674,BD!$L$2:$Q$244,2,0),0)</f>
        <v>0</v>
      </c>
      <c r="G7674" s="424"/>
      <c r="H7674" s="31">
        <f>+IFERROR(VLOOKUP(E7674,BD!$L$2:$Q$244,6,0),0)</f>
        <v>0</v>
      </c>
      <c r="I7674" s="626">
        <f>IFERROR(G7674*VLOOKUP($E7674,BD!$L$2:$Q$244,5,0),0)</f>
        <v>0</v>
      </c>
      <c r="J7674" s="3">
        <f t="shared" si="489"/>
        <v>1900</v>
      </c>
    </row>
    <row r="7675" spans="1:10" s="9" customFormat="1" x14ac:dyDescent="0.25">
      <c r="A7675" s="447"/>
      <c r="B7675" s="55" t="str">
        <f t="shared" si="486"/>
        <v>ENERO</v>
      </c>
      <c r="C7675" s="55">
        <f t="shared" si="487"/>
        <v>1</v>
      </c>
      <c r="D7675" s="3" t="str">
        <f t="shared" si="488"/>
        <v>SÁBADO</v>
      </c>
      <c r="E7675" s="427"/>
      <c r="F7675" s="31">
        <f>IFERROR(VLOOKUP(E7675,BD!$L$2:$Q$244,2,0),0)</f>
        <v>0</v>
      </c>
      <c r="G7675" s="424"/>
      <c r="H7675" s="31">
        <f>+IFERROR(VLOOKUP(E7675,BD!$L$2:$Q$244,6,0),0)</f>
        <v>0</v>
      </c>
      <c r="I7675" s="626">
        <f>IFERROR(G7675*VLOOKUP($E7675,BD!$L$2:$Q$244,5,0),0)</f>
        <v>0</v>
      </c>
      <c r="J7675" s="3">
        <f t="shared" si="489"/>
        <v>1900</v>
      </c>
    </row>
    <row r="7676" spans="1:10" s="9" customFormat="1" x14ac:dyDescent="0.25">
      <c r="A7676" s="447"/>
      <c r="B7676" s="55" t="str">
        <f t="shared" si="486"/>
        <v>ENERO</v>
      </c>
      <c r="C7676" s="55">
        <f t="shared" si="487"/>
        <v>1</v>
      </c>
      <c r="D7676" s="3" t="str">
        <f t="shared" si="488"/>
        <v>SÁBADO</v>
      </c>
      <c r="E7676" s="427"/>
      <c r="F7676" s="31">
        <f>IFERROR(VLOOKUP(E7676,BD!$L$2:$Q$244,2,0),0)</f>
        <v>0</v>
      </c>
      <c r="G7676" s="424"/>
      <c r="H7676" s="31">
        <f>+IFERROR(VLOOKUP(E7676,BD!$L$2:$Q$244,6,0),0)</f>
        <v>0</v>
      </c>
      <c r="I7676" s="626">
        <f>IFERROR(G7676*VLOOKUP($E7676,BD!$L$2:$Q$244,5,0),0)</f>
        <v>0</v>
      </c>
      <c r="J7676" s="3">
        <f t="shared" si="489"/>
        <v>1900</v>
      </c>
    </row>
    <row r="7677" spans="1:10" s="9" customFormat="1" x14ac:dyDescent="0.25">
      <c r="A7677" s="447"/>
      <c r="B7677" s="55" t="str">
        <f t="shared" ref="B7677:B7740" si="490">UPPER(TEXT(A7677,"MMMM"))</f>
        <v>ENERO</v>
      </c>
      <c r="C7677" s="55">
        <f t="shared" ref="C7677:C7740" si="491">WEEKNUM(A7677,16)</f>
        <v>1</v>
      </c>
      <c r="D7677" s="3" t="str">
        <f t="shared" ref="D7677:D7740" si="492">UPPER(TEXT(A7677,"DDDD"))</f>
        <v>SÁBADO</v>
      </c>
      <c r="E7677" s="427"/>
      <c r="F7677" s="31">
        <f>IFERROR(VLOOKUP(E7677,BD!$L$2:$Q$244,2,0),0)</f>
        <v>0</v>
      </c>
      <c r="G7677" s="424"/>
      <c r="H7677" s="31">
        <f>+IFERROR(VLOOKUP(E7677,BD!$L$2:$Q$244,6,0),0)</f>
        <v>0</v>
      </c>
      <c r="I7677" s="626">
        <f>IFERROR(G7677*VLOOKUP($E7677,BD!$L$2:$Q$244,5,0),0)</f>
        <v>0</v>
      </c>
      <c r="J7677" s="3">
        <f t="shared" ref="J7677:J7740" si="493">+YEAR(A7677)</f>
        <v>1900</v>
      </c>
    </row>
    <row r="7678" spans="1:10" s="9" customFormat="1" x14ac:dyDescent="0.25">
      <c r="A7678" s="447"/>
      <c r="B7678" s="55" t="str">
        <f t="shared" si="490"/>
        <v>ENERO</v>
      </c>
      <c r="C7678" s="55">
        <f t="shared" si="491"/>
        <v>1</v>
      </c>
      <c r="D7678" s="3" t="str">
        <f t="shared" si="492"/>
        <v>SÁBADO</v>
      </c>
      <c r="E7678" s="427"/>
      <c r="F7678" s="31">
        <f>IFERROR(VLOOKUP(E7678,BD!$L$2:$Q$244,2,0),0)</f>
        <v>0</v>
      </c>
      <c r="G7678" s="424"/>
      <c r="H7678" s="31">
        <f>+IFERROR(VLOOKUP(E7678,BD!$L$2:$Q$244,6,0),0)</f>
        <v>0</v>
      </c>
      <c r="I7678" s="626">
        <f>IFERROR(G7678*VLOOKUP($E7678,BD!$L$2:$Q$244,5,0),0)</f>
        <v>0</v>
      </c>
      <c r="J7678" s="3">
        <f t="shared" si="493"/>
        <v>1900</v>
      </c>
    </row>
    <row r="7679" spans="1:10" s="9" customFormat="1" x14ac:dyDescent="0.25">
      <c r="A7679" s="447"/>
      <c r="B7679" s="55" t="str">
        <f t="shared" si="490"/>
        <v>ENERO</v>
      </c>
      <c r="C7679" s="55">
        <f t="shared" si="491"/>
        <v>1</v>
      </c>
      <c r="D7679" s="3" t="str">
        <f t="shared" si="492"/>
        <v>SÁBADO</v>
      </c>
      <c r="E7679" s="427"/>
      <c r="F7679" s="31">
        <f>IFERROR(VLOOKUP(E7679,BD!$L$2:$Q$244,2,0),0)</f>
        <v>0</v>
      </c>
      <c r="G7679" s="424"/>
      <c r="H7679" s="31">
        <f>+IFERROR(VLOOKUP(E7679,BD!$L$2:$Q$244,6,0),0)</f>
        <v>0</v>
      </c>
      <c r="I7679" s="626">
        <f>IFERROR(G7679*VLOOKUP($E7679,BD!$L$2:$Q$244,5,0),0)</f>
        <v>0</v>
      </c>
      <c r="J7679" s="3">
        <f t="shared" si="493"/>
        <v>1900</v>
      </c>
    </row>
    <row r="7680" spans="1:10" s="9" customFormat="1" x14ac:dyDescent="0.25">
      <c r="A7680" s="447"/>
      <c r="B7680" s="55" t="str">
        <f t="shared" si="490"/>
        <v>ENERO</v>
      </c>
      <c r="C7680" s="55">
        <f t="shared" si="491"/>
        <v>1</v>
      </c>
      <c r="D7680" s="3" t="str">
        <f t="shared" si="492"/>
        <v>SÁBADO</v>
      </c>
      <c r="E7680" s="427"/>
      <c r="F7680" s="31">
        <f>IFERROR(VLOOKUP(E7680,BD!$L$2:$Q$244,2,0),0)</f>
        <v>0</v>
      </c>
      <c r="G7680" s="425"/>
      <c r="H7680" s="31">
        <f>+IFERROR(VLOOKUP(E7680,BD!$L$2:$Q$244,6,0),0)</f>
        <v>0</v>
      </c>
      <c r="I7680" s="626">
        <f>IFERROR(G7680*VLOOKUP($E7680,BD!$L$2:$Q$244,5,0),0)</f>
        <v>0</v>
      </c>
      <c r="J7680" s="3">
        <f t="shared" si="493"/>
        <v>1900</v>
      </c>
    </row>
    <row r="7681" spans="1:10" s="9" customFormat="1" x14ac:dyDescent="0.25">
      <c r="A7681" s="447"/>
      <c r="B7681" s="55" t="str">
        <f t="shared" si="490"/>
        <v>ENERO</v>
      </c>
      <c r="C7681" s="55">
        <f t="shared" si="491"/>
        <v>1</v>
      </c>
      <c r="D7681" s="3" t="str">
        <f t="shared" si="492"/>
        <v>SÁBADO</v>
      </c>
      <c r="E7681" s="427"/>
      <c r="F7681" s="31">
        <f>IFERROR(VLOOKUP(E7681,BD!$L$2:$Q$244,2,0),0)</f>
        <v>0</v>
      </c>
      <c r="G7681" s="424"/>
      <c r="H7681" s="31">
        <f>+IFERROR(VLOOKUP(E7681,BD!$L$2:$Q$244,6,0),0)</f>
        <v>0</v>
      </c>
      <c r="I7681" s="626">
        <f>IFERROR(G7681*VLOOKUP($E7681,BD!$L$2:$Q$244,5,0),0)</f>
        <v>0</v>
      </c>
      <c r="J7681" s="3">
        <f t="shared" si="493"/>
        <v>1900</v>
      </c>
    </row>
    <row r="7682" spans="1:10" s="9" customFormat="1" x14ac:dyDescent="0.25">
      <c r="A7682" s="447"/>
      <c r="B7682" s="55" t="str">
        <f t="shared" si="490"/>
        <v>ENERO</v>
      </c>
      <c r="C7682" s="55">
        <f t="shared" si="491"/>
        <v>1</v>
      </c>
      <c r="D7682" s="3" t="str">
        <f t="shared" si="492"/>
        <v>SÁBADO</v>
      </c>
      <c r="E7682" s="427"/>
      <c r="F7682" s="31">
        <f>IFERROR(VLOOKUP(E7682,BD!$L$2:$Q$244,2,0),0)</f>
        <v>0</v>
      </c>
      <c r="G7682" s="424"/>
      <c r="H7682" s="31">
        <f>+IFERROR(VLOOKUP(E7682,BD!$L$2:$Q$244,6,0),0)</f>
        <v>0</v>
      </c>
      <c r="I7682" s="626">
        <f>IFERROR(G7682*VLOOKUP($E7682,BD!$L$2:$Q$244,5,0),0)</f>
        <v>0</v>
      </c>
      <c r="J7682" s="3">
        <f t="shared" si="493"/>
        <v>1900</v>
      </c>
    </row>
    <row r="7683" spans="1:10" s="9" customFormat="1" x14ac:dyDescent="0.25">
      <c r="A7683" s="447"/>
      <c r="B7683" s="55" t="str">
        <f t="shared" si="490"/>
        <v>ENERO</v>
      </c>
      <c r="C7683" s="55">
        <f t="shared" si="491"/>
        <v>1</v>
      </c>
      <c r="D7683" s="3" t="str">
        <f t="shared" si="492"/>
        <v>SÁBADO</v>
      </c>
      <c r="E7683" s="427"/>
      <c r="F7683" s="31">
        <f>IFERROR(VLOOKUP(E7683,BD!$L$2:$Q$244,2,0),0)</f>
        <v>0</v>
      </c>
      <c r="G7683" s="424"/>
      <c r="H7683" s="31">
        <f>+IFERROR(VLOOKUP(E7683,BD!$L$2:$Q$244,6,0),0)</f>
        <v>0</v>
      </c>
      <c r="I7683" s="626">
        <f>IFERROR(G7683*VLOOKUP($E7683,BD!$L$2:$Q$244,5,0),0)</f>
        <v>0</v>
      </c>
      <c r="J7683" s="3">
        <f t="shared" si="493"/>
        <v>1900</v>
      </c>
    </row>
    <row r="7684" spans="1:10" s="9" customFormat="1" x14ac:dyDescent="0.25">
      <c r="A7684" s="447"/>
      <c r="B7684" s="55" t="str">
        <f t="shared" si="490"/>
        <v>ENERO</v>
      </c>
      <c r="C7684" s="55">
        <f t="shared" si="491"/>
        <v>1</v>
      </c>
      <c r="D7684" s="3" t="str">
        <f t="shared" si="492"/>
        <v>SÁBADO</v>
      </c>
      <c r="E7684" s="427"/>
      <c r="F7684" s="31">
        <f>IFERROR(VLOOKUP(E7684,BD!$L$2:$Q$244,2,0),0)</f>
        <v>0</v>
      </c>
      <c r="G7684" s="424"/>
      <c r="H7684" s="31">
        <f>+IFERROR(VLOOKUP(E7684,BD!$L$2:$Q$244,6,0),0)</f>
        <v>0</v>
      </c>
      <c r="I7684" s="626">
        <f>IFERROR(G7684*VLOOKUP($E7684,BD!$L$2:$Q$244,5,0),0)</f>
        <v>0</v>
      </c>
      <c r="J7684" s="3">
        <f t="shared" si="493"/>
        <v>1900</v>
      </c>
    </row>
    <row r="7685" spans="1:10" s="9" customFormat="1" x14ac:dyDescent="0.25">
      <c r="A7685" s="447"/>
      <c r="B7685" s="55" t="str">
        <f t="shared" si="490"/>
        <v>ENERO</v>
      </c>
      <c r="C7685" s="55">
        <f t="shared" si="491"/>
        <v>1</v>
      </c>
      <c r="D7685" s="3" t="str">
        <f t="shared" si="492"/>
        <v>SÁBADO</v>
      </c>
      <c r="E7685" s="427"/>
      <c r="F7685" s="31">
        <f>IFERROR(VLOOKUP(E7685,BD!$L$2:$Q$244,2,0),0)</f>
        <v>0</v>
      </c>
      <c r="G7685" s="424"/>
      <c r="H7685" s="31">
        <f>+IFERROR(VLOOKUP(E7685,BD!$L$2:$Q$244,6,0),0)</f>
        <v>0</v>
      </c>
      <c r="I7685" s="626">
        <f>IFERROR(G7685*VLOOKUP($E7685,BD!$L$2:$Q$244,5,0),0)</f>
        <v>0</v>
      </c>
      <c r="J7685" s="3">
        <f t="shared" si="493"/>
        <v>1900</v>
      </c>
    </row>
    <row r="7686" spans="1:10" s="9" customFormat="1" x14ac:dyDescent="0.25">
      <c r="A7686" s="447"/>
      <c r="B7686" s="55" t="str">
        <f t="shared" si="490"/>
        <v>ENERO</v>
      </c>
      <c r="C7686" s="55">
        <f t="shared" si="491"/>
        <v>1</v>
      </c>
      <c r="D7686" s="3" t="str">
        <f t="shared" si="492"/>
        <v>SÁBADO</v>
      </c>
      <c r="E7686" s="427"/>
      <c r="F7686" s="31">
        <f>IFERROR(VLOOKUP(E7686,BD!$L$2:$Q$244,2,0),0)</f>
        <v>0</v>
      </c>
      <c r="G7686" s="424"/>
      <c r="H7686" s="31">
        <f>+IFERROR(VLOOKUP(E7686,BD!$L$2:$Q$244,6,0),0)</f>
        <v>0</v>
      </c>
      <c r="I7686" s="626">
        <f>IFERROR(G7686*VLOOKUP($E7686,BD!$L$2:$Q$244,5,0),0)</f>
        <v>0</v>
      </c>
      <c r="J7686" s="3">
        <f t="shared" si="493"/>
        <v>1900</v>
      </c>
    </row>
    <row r="7687" spans="1:10" s="9" customFormat="1" x14ac:dyDescent="0.25">
      <c r="A7687" s="447"/>
      <c r="B7687" s="55" t="str">
        <f t="shared" si="490"/>
        <v>ENERO</v>
      </c>
      <c r="C7687" s="55">
        <f t="shared" si="491"/>
        <v>1</v>
      </c>
      <c r="D7687" s="3" t="str">
        <f t="shared" si="492"/>
        <v>SÁBADO</v>
      </c>
      <c r="E7687" s="427"/>
      <c r="F7687" s="31">
        <f>IFERROR(VLOOKUP(E7687,BD!$L$2:$Q$244,2,0),0)</f>
        <v>0</v>
      </c>
      <c r="G7687" s="424"/>
      <c r="H7687" s="31">
        <f>+IFERROR(VLOOKUP(E7687,BD!$L$2:$Q$244,6,0),0)</f>
        <v>0</v>
      </c>
      <c r="I7687" s="626">
        <f>IFERROR(G7687*VLOOKUP($E7687,BD!$L$2:$Q$244,5,0),0)</f>
        <v>0</v>
      </c>
      <c r="J7687" s="3">
        <f t="shared" si="493"/>
        <v>1900</v>
      </c>
    </row>
    <row r="7688" spans="1:10" s="9" customFormat="1" x14ac:dyDescent="0.25">
      <c r="A7688" s="447"/>
      <c r="B7688" s="55" t="str">
        <f t="shared" si="490"/>
        <v>ENERO</v>
      </c>
      <c r="C7688" s="55">
        <f t="shared" si="491"/>
        <v>1</v>
      </c>
      <c r="D7688" s="3" t="str">
        <f t="shared" si="492"/>
        <v>SÁBADO</v>
      </c>
      <c r="E7688" s="427"/>
      <c r="F7688" s="31">
        <f>IFERROR(VLOOKUP(E7688,BD!$L$2:$Q$244,2,0),0)</f>
        <v>0</v>
      </c>
      <c r="G7688" s="424"/>
      <c r="H7688" s="31">
        <f>+IFERROR(VLOOKUP(E7688,BD!$L$2:$Q$244,6,0),0)</f>
        <v>0</v>
      </c>
      <c r="I7688" s="626">
        <f>IFERROR(G7688*VLOOKUP($E7688,BD!$L$2:$Q$244,5,0),0)</f>
        <v>0</v>
      </c>
      <c r="J7688" s="3">
        <f t="shared" si="493"/>
        <v>1900</v>
      </c>
    </row>
    <row r="7689" spans="1:10" s="9" customFormat="1" x14ac:dyDescent="0.25">
      <c r="A7689" s="447"/>
      <c r="B7689" s="55" t="str">
        <f t="shared" si="490"/>
        <v>ENERO</v>
      </c>
      <c r="C7689" s="55">
        <f t="shared" si="491"/>
        <v>1</v>
      </c>
      <c r="D7689" s="3" t="str">
        <f t="shared" si="492"/>
        <v>SÁBADO</v>
      </c>
      <c r="E7689" s="427"/>
      <c r="F7689" s="31">
        <f>IFERROR(VLOOKUP(E7689,BD!$L$2:$Q$244,2,0),0)</f>
        <v>0</v>
      </c>
      <c r="G7689" s="424"/>
      <c r="H7689" s="31">
        <f>+IFERROR(VLOOKUP(E7689,BD!$L$2:$Q$244,6,0),0)</f>
        <v>0</v>
      </c>
      <c r="I7689" s="626">
        <f>IFERROR(G7689*VLOOKUP($E7689,BD!$L$2:$Q$244,5,0),0)</f>
        <v>0</v>
      </c>
      <c r="J7689" s="3">
        <f t="shared" si="493"/>
        <v>1900</v>
      </c>
    </row>
    <row r="7690" spans="1:10" s="9" customFormat="1" x14ac:dyDescent="0.25">
      <c r="A7690" s="447"/>
      <c r="B7690" s="55" t="str">
        <f t="shared" si="490"/>
        <v>ENERO</v>
      </c>
      <c r="C7690" s="55">
        <f t="shared" si="491"/>
        <v>1</v>
      </c>
      <c r="D7690" s="3" t="str">
        <f t="shared" si="492"/>
        <v>SÁBADO</v>
      </c>
      <c r="E7690" s="427"/>
      <c r="F7690" s="31">
        <f>IFERROR(VLOOKUP(E7690,BD!$L$2:$Q$244,2,0),0)</f>
        <v>0</v>
      </c>
      <c r="G7690" s="424"/>
      <c r="H7690" s="31">
        <f>+IFERROR(VLOOKUP(E7690,BD!$L$2:$Q$244,6,0),0)</f>
        <v>0</v>
      </c>
      <c r="I7690" s="626">
        <f>IFERROR(G7690*VLOOKUP($E7690,BD!$L$2:$Q$244,5,0),0)</f>
        <v>0</v>
      </c>
      <c r="J7690" s="3">
        <f t="shared" si="493"/>
        <v>1900</v>
      </c>
    </row>
    <row r="7691" spans="1:10" s="9" customFormat="1" x14ac:dyDescent="0.25">
      <c r="A7691" s="447"/>
      <c r="B7691" s="55" t="str">
        <f t="shared" si="490"/>
        <v>ENERO</v>
      </c>
      <c r="C7691" s="55">
        <f t="shared" si="491"/>
        <v>1</v>
      </c>
      <c r="D7691" s="3" t="str">
        <f t="shared" si="492"/>
        <v>SÁBADO</v>
      </c>
      <c r="E7691" s="427"/>
      <c r="F7691" s="31">
        <f>IFERROR(VLOOKUP(E7691,BD!$L$2:$Q$244,2,0),0)</f>
        <v>0</v>
      </c>
      <c r="G7691" s="424"/>
      <c r="H7691" s="31">
        <f>+IFERROR(VLOOKUP(E7691,BD!$L$2:$Q$244,6,0),0)</f>
        <v>0</v>
      </c>
      <c r="I7691" s="626">
        <f>IFERROR(G7691*VLOOKUP($E7691,BD!$L$2:$Q$244,5,0),0)</f>
        <v>0</v>
      </c>
      <c r="J7691" s="3">
        <f t="shared" si="493"/>
        <v>1900</v>
      </c>
    </row>
    <row r="7692" spans="1:10" s="9" customFormat="1" x14ac:dyDescent="0.25">
      <c r="A7692" s="447"/>
      <c r="B7692" s="55" t="str">
        <f t="shared" si="490"/>
        <v>ENERO</v>
      </c>
      <c r="C7692" s="55">
        <f t="shared" si="491"/>
        <v>1</v>
      </c>
      <c r="D7692" s="3" t="str">
        <f t="shared" si="492"/>
        <v>SÁBADO</v>
      </c>
      <c r="E7692" s="427"/>
      <c r="F7692" s="31">
        <f>IFERROR(VLOOKUP(E7692,BD!$L$2:$Q$244,2,0),0)</f>
        <v>0</v>
      </c>
      <c r="G7692" s="424"/>
      <c r="H7692" s="31">
        <f>+IFERROR(VLOOKUP(E7692,BD!$L$2:$Q$244,6,0),0)</f>
        <v>0</v>
      </c>
      <c r="I7692" s="626">
        <f>IFERROR(G7692*VLOOKUP($E7692,BD!$L$2:$Q$244,5,0),0)</f>
        <v>0</v>
      </c>
      <c r="J7692" s="3">
        <f t="shared" si="493"/>
        <v>1900</v>
      </c>
    </row>
    <row r="7693" spans="1:10" s="9" customFormat="1" x14ac:dyDescent="0.25">
      <c r="A7693" s="447"/>
      <c r="B7693" s="55" t="str">
        <f t="shared" si="490"/>
        <v>ENERO</v>
      </c>
      <c r="C7693" s="55">
        <f t="shared" si="491"/>
        <v>1</v>
      </c>
      <c r="D7693" s="3" t="str">
        <f t="shared" si="492"/>
        <v>SÁBADO</v>
      </c>
      <c r="E7693" s="427"/>
      <c r="F7693" s="31">
        <f>IFERROR(VLOOKUP(E7693,BD!$L$2:$Q$244,2,0),0)</f>
        <v>0</v>
      </c>
      <c r="G7693" s="424"/>
      <c r="H7693" s="31">
        <f>+IFERROR(VLOOKUP(E7693,BD!$L$2:$Q$244,6,0),0)</f>
        <v>0</v>
      </c>
      <c r="I7693" s="626">
        <f>IFERROR(G7693*VLOOKUP($E7693,BD!$L$2:$Q$244,5,0),0)</f>
        <v>0</v>
      </c>
      <c r="J7693" s="3">
        <f t="shared" si="493"/>
        <v>1900</v>
      </c>
    </row>
    <row r="7694" spans="1:10" s="9" customFormat="1" x14ac:dyDescent="0.25">
      <c r="A7694" s="447"/>
      <c r="B7694" s="55" t="str">
        <f t="shared" si="490"/>
        <v>ENERO</v>
      </c>
      <c r="C7694" s="55">
        <f t="shared" si="491"/>
        <v>1</v>
      </c>
      <c r="D7694" s="3" t="str">
        <f t="shared" si="492"/>
        <v>SÁBADO</v>
      </c>
      <c r="E7694" s="427"/>
      <c r="F7694" s="31">
        <f>IFERROR(VLOOKUP(E7694,BD!$L$2:$Q$244,2,0),0)</f>
        <v>0</v>
      </c>
      <c r="G7694" s="424"/>
      <c r="H7694" s="31">
        <f>+IFERROR(VLOOKUP(E7694,BD!$L$2:$Q$244,6,0),0)</f>
        <v>0</v>
      </c>
      <c r="I7694" s="626">
        <f>IFERROR(G7694*VLOOKUP($E7694,BD!$L$2:$Q$244,5,0),0)</f>
        <v>0</v>
      </c>
      <c r="J7694" s="3">
        <f t="shared" si="493"/>
        <v>1900</v>
      </c>
    </row>
    <row r="7695" spans="1:10" s="9" customFormat="1" x14ac:dyDescent="0.25">
      <c r="A7695" s="447"/>
      <c r="B7695" s="55" t="str">
        <f t="shared" si="490"/>
        <v>ENERO</v>
      </c>
      <c r="C7695" s="55">
        <f t="shared" si="491"/>
        <v>1</v>
      </c>
      <c r="D7695" s="3" t="str">
        <f t="shared" si="492"/>
        <v>SÁBADO</v>
      </c>
      <c r="E7695" s="427"/>
      <c r="F7695" s="31">
        <f>IFERROR(VLOOKUP(E7695,BD!$L$2:$Q$244,2,0),0)</f>
        <v>0</v>
      </c>
      <c r="G7695" s="424"/>
      <c r="H7695" s="31">
        <f>+IFERROR(VLOOKUP(E7695,BD!$L$2:$Q$244,6,0),0)</f>
        <v>0</v>
      </c>
      <c r="I7695" s="626">
        <f>IFERROR(G7695*VLOOKUP($E7695,BD!$L$2:$Q$244,5,0),0)</f>
        <v>0</v>
      </c>
      <c r="J7695" s="3">
        <f t="shared" si="493"/>
        <v>1900</v>
      </c>
    </row>
    <row r="7696" spans="1:10" s="9" customFormat="1" x14ac:dyDescent="0.25">
      <c r="A7696" s="447"/>
      <c r="B7696" s="55" t="str">
        <f t="shared" si="490"/>
        <v>ENERO</v>
      </c>
      <c r="C7696" s="55">
        <f t="shared" si="491"/>
        <v>1</v>
      </c>
      <c r="D7696" s="3" t="str">
        <f t="shared" si="492"/>
        <v>SÁBADO</v>
      </c>
      <c r="E7696" s="427"/>
      <c r="F7696" s="31">
        <f>IFERROR(VLOOKUP(E7696,BD!$L$2:$Q$244,2,0),0)</f>
        <v>0</v>
      </c>
      <c r="G7696" s="424"/>
      <c r="H7696" s="31">
        <f>+IFERROR(VLOOKUP(E7696,BD!$L$2:$Q$244,6,0),0)</f>
        <v>0</v>
      </c>
      <c r="I7696" s="626">
        <f>IFERROR(G7696*VLOOKUP($E7696,BD!$L$2:$Q$244,5,0),0)</f>
        <v>0</v>
      </c>
      <c r="J7696" s="3">
        <f t="shared" si="493"/>
        <v>1900</v>
      </c>
    </row>
    <row r="7697" spans="1:10" s="9" customFormat="1" x14ac:dyDescent="0.25">
      <c r="A7697" s="447"/>
      <c r="B7697" s="55" t="str">
        <f t="shared" si="490"/>
        <v>ENERO</v>
      </c>
      <c r="C7697" s="55">
        <f t="shared" si="491"/>
        <v>1</v>
      </c>
      <c r="D7697" s="3" t="str">
        <f t="shared" si="492"/>
        <v>SÁBADO</v>
      </c>
      <c r="E7697" s="427"/>
      <c r="F7697" s="31">
        <f>IFERROR(VLOOKUP(E7697,BD!$L$2:$Q$244,2,0),0)</f>
        <v>0</v>
      </c>
      <c r="G7697" s="424"/>
      <c r="H7697" s="31">
        <f>+IFERROR(VLOOKUP(E7697,BD!$L$2:$Q$244,6,0),0)</f>
        <v>0</v>
      </c>
      <c r="I7697" s="626">
        <f>IFERROR(G7697*VLOOKUP($E7697,BD!$L$2:$Q$244,5,0),0)</f>
        <v>0</v>
      </c>
      <c r="J7697" s="3">
        <f t="shared" si="493"/>
        <v>1900</v>
      </c>
    </row>
    <row r="7698" spans="1:10" s="9" customFormat="1" x14ac:dyDescent="0.25">
      <c r="A7698" s="447"/>
      <c r="B7698" s="55" t="str">
        <f t="shared" si="490"/>
        <v>ENERO</v>
      </c>
      <c r="C7698" s="55">
        <f t="shared" si="491"/>
        <v>1</v>
      </c>
      <c r="D7698" s="3" t="str">
        <f t="shared" si="492"/>
        <v>SÁBADO</v>
      </c>
      <c r="E7698" s="427"/>
      <c r="F7698" s="31">
        <f>IFERROR(VLOOKUP(E7698,BD!$L$2:$Q$244,2,0),0)</f>
        <v>0</v>
      </c>
      <c r="G7698" s="424"/>
      <c r="H7698" s="31">
        <f>+IFERROR(VLOOKUP(E7698,BD!$L$2:$Q$244,6,0),0)</f>
        <v>0</v>
      </c>
      <c r="I7698" s="626">
        <f>IFERROR(G7698*VLOOKUP($E7698,BD!$L$2:$Q$244,5,0),0)</f>
        <v>0</v>
      </c>
      <c r="J7698" s="3">
        <f t="shared" si="493"/>
        <v>1900</v>
      </c>
    </row>
    <row r="7699" spans="1:10" s="9" customFormat="1" x14ac:dyDescent="0.25">
      <c r="A7699" s="447"/>
      <c r="B7699" s="55" t="str">
        <f t="shared" si="490"/>
        <v>ENERO</v>
      </c>
      <c r="C7699" s="55">
        <f t="shared" si="491"/>
        <v>1</v>
      </c>
      <c r="D7699" s="3" t="str">
        <f t="shared" si="492"/>
        <v>SÁBADO</v>
      </c>
      <c r="E7699" s="427"/>
      <c r="F7699" s="31">
        <f>IFERROR(VLOOKUP(E7699,BD!$L$2:$Q$244,2,0),0)</f>
        <v>0</v>
      </c>
      <c r="G7699" s="424"/>
      <c r="H7699" s="31">
        <f>+IFERROR(VLOOKUP(E7699,BD!$L$2:$Q$244,6,0),0)</f>
        <v>0</v>
      </c>
      <c r="I7699" s="626">
        <f>IFERROR(G7699*VLOOKUP($E7699,BD!$L$2:$Q$244,5,0),0)</f>
        <v>0</v>
      </c>
      <c r="J7699" s="3">
        <f t="shared" si="493"/>
        <v>1900</v>
      </c>
    </row>
    <row r="7700" spans="1:10" s="9" customFormat="1" x14ac:dyDescent="0.25">
      <c r="A7700" s="447"/>
      <c r="B7700" s="55" t="str">
        <f t="shared" si="490"/>
        <v>ENERO</v>
      </c>
      <c r="C7700" s="55">
        <f t="shared" si="491"/>
        <v>1</v>
      </c>
      <c r="D7700" s="3" t="str">
        <f t="shared" si="492"/>
        <v>SÁBADO</v>
      </c>
      <c r="E7700" s="427"/>
      <c r="F7700" s="31">
        <f>IFERROR(VLOOKUP(E7700,BD!$L$2:$Q$244,2,0),0)</f>
        <v>0</v>
      </c>
      <c r="G7700" s="424"/>
      <c r="H7700" s="31">
        <f>+IFERROR(VLOOKUP(E7700,BD!$L$2:$Q$244,6,0),0)</f>
        <v>0</v>
      </c>
      <c r="I7700" s="626">
        <f>IFERROR(G7700*VLOOKUP($E7700,BD!$L$2:$Q$244,5,0),0)</f>
        <v>0</v>
      </c>
      <c r="J7700" s="3">
        <f t="shared" si="493"/>
        <v>1900</v>
      </c>
    </row>
    <row r="7701" spans="1:10" s="9" customFormat="1" x14ac:dyDescent="0.25">
      <c r="A7701" s="447"/>
      <c r="B7701" s="55" t="str">
        <f t="shared" si="490"/>
        <v>ENERO</v>
      </c>
      <c r="C7701" s="55">
        <f t="shared" si="491"/>
        <v>1</v>
      </c>
      <c r="D7701" s="3" t="str">
        <f t="shared" si="492"/>
        <v>SÁBADO</v>
      </c>
      <c r="E7701" s="427"/>
      <c r="F7701" s="31">
        <f>IFERROR(VLOOKUP(E7701,BD!$L$2:$Q$244,2,0),0)</f>
        <v>0</v>
      </c>
      <c r="G7701" s="424"/>
      <c r="H7701" s="31">
        <f>+IFERROR(VLOOKUP(E7701,BD!$L$2:$Q$244,6,0),0)</f>
        <v>0</v>
      </c>
      <c r="I7701" s="626">
        <f>IFERROR(G7701*VLOOKUP($E7701,BD!$L$2:$Q$244,5,0),0)</f>
        <v>0</v>
      </c>
      <c r="J7701" s="3">
        <f t="shared" si="493"/>
        <v>1900</v>
      </c>
    </row>
    <row r="7702" spans="1:10" s="9" customFormat="1" x14ac:dyDescent="0.25">
      <c r="A7702" s="447"/>
      <c r="B7702" s="55" t="str">
        <f t="shared" si="490"/>
        <v>ENERO</v>
      </c>
      <c r="C7702" s="55">
        <f t="shared" si="491"/>
        <v>1</v>
      </c>
      <c r="D7702" s="3" t="str">
        <f t="shared" si="492"/>
        <v>SÁBADO</v>
      </c>
      <c r="E7702" s="427"/>
      <c r="F7702" s="31">
        <f>IFERROR(VLOOKUP(E7702,BD!$L$2:$Q$244,2,0),0)</f>
        <v>0</v>
      </c>
      <c r="G7702" s="424"/>
      <c r="H7702" s="31">
        <f>+IFERROR(VLOOKUP(E7702,BD!$L$2:$Q$244,6,0),0)</f>
        <v>0</v>
      </c>
      <c r="I7702" s="626">
        <f>IFERROR(G7702*VLOOKUP($E7702,BD!$L$2:$Q$244,5,0),0)</f>
        <v>0</v>
      </c>
      <c r="J7702" s="3">
        <f t="shared" si="493"/>
        <v>1900</v>
      </c>
    </row>
    <row r="7703" spans="1:10" s="9" customFormat="1" x14ac:dyDescent="0.25">
      <c r="A7703" s="447"/>
      <c r="B7703" s="55" t="str">
        <f t="shared" si="490"/>
        <v>ENERO</v>
      </c>
      <c r="C7703" s="55">
        <f t="shared" si="491"/>
        <v>1</v>
      </c>
      <c r="D7703" s="3" t="str">
        <f t="shared" si="492"/>
        <v>SÁBADO</v>
      </c>
      <c r="E7703" s="427"/>
      <c r="F7703" s="31">
        <f>IFERROR(VLOOKUP(E7703,BD!$L$2:$Q$244,2,0),0)</f>
        <v>0</v>
      </c>
      <c r="G7703" s="424"/>
      <c r="H7703" s="31">
        <f>+IFERROR(VLOOKUP(E7703,BD!$L$2:$Q$244,6,0),0)</f>
        <v>0</v>
      </c>
      <c r="I7703" s="626">
        <f>IFERROR(G7703*VLOOKUP($E7703,BD!$L$2:$Q$244,5,0),0)</f>
        <v>0</v>
      </c>
      <c r="J7703" s="3">
        <f t="shared" si="493"/>
        <v>1900</v>
      </c>
    </row>
    <row r="7704" spans="1:10" s="9" customFormat="1" x14ac:dyDescent="0.25">
      <c r="A7704" s="447"/>
      <c r="B7704" s="55" t="str">
        <f t="shared" si="490"/>
        <v>ENERO</v>
      </c>
      <c r="C7704" s="55">
        <f t="shared" si="491"/>
        <v>1</v>
      </c>
      <c r="D7704" s="3" t="str">
        <f t="shared" si="492"/>
        <v>SÁBADO</v>
      </c>
      <c r="E7704" s="427"/>
      <c r="F7704" s="31">
        <f>IFERROR(VLOOKUP(E7704,BD!$L$2:$Q$244,2,0),0)</f>
        <v>0</v>
      </c>
      <c r="G7704" s="424"/>
      <c r="H7704" s="31">
        <f>+IFERROR(VLOOKUP(E7704,BD!$L$2:$Q$244,6,0),0)</f>
        <v>0</v>
      </c>
      <c r="I7704" s="626">
        <f>IFERROR(G7704*VLOOKUP($E7704,BD!$L$2:$Q$244,5,0),0)</f>
        <v>0</v>
      </c>
      <c r="J7704" s="3">
        <f t="shared" si="493"/>
        <v>1900</v>
      </c>
    </row>
    <row r="7705" spans="1:10" s="9" customFormat="1" x14ac:dyDescent="0.25">
      <c r="A7705" s="447"/>
      <c r="B7705" s="55" t="str">
        <f t="shared" si="490"/>
        <v>ENERO</v>
      </c>
      <c r="C7705" s="55">
        <f t="shared" si="491"/>
        <v>1</v>
      </c>
      <c r="D7705" s="3" t="str">
        <f t="shared" si="492"/>
        <v>SÁBADO</v>
      </c>
      <c r="E7705" s="427"/>
      <c r="F7705" s="31">
        <f>IFERROR(VLOOKUP(E7705,BD!$L$2:$Q$244,2,0),0)</f>
        <v>0</v>
      </c>
      <c r="G7705" s="424"/>
      <c r="H7705" s="31">
        <f>+IFERROR(VLOOKUP(E7705,BD!$L$2:$Q$244,6,0),0)</f>
        <v>0</v>
      </c>
      <c r="I7705" s="626">
        <f>IFERROR(G7705*VLOOKUP($E7705,BD!$L$2:$Q$244,5,0),0)</f>
        <v>0</v>
      </c>
      <c r="J7705" s="3">
        <f t="shared" si="493"/>
        <v>1900</v>
      </c>
    </row>
    <row r="7706" spans="1:10" s="9" customFormat="1" x14ac:dyDescent="0.25">
      <c r="A7706" s="447"/>
      <c r="B7706" s="55" t="str">
        <f t="shared" si="490"/>
        <v>ENERO</v>
      </c>
      <c r="C7706" s="55">
        <f t="shared" si="491"/>
        <v>1</v>
      </c>
      <c r="D7706" s="3" t="str">
        <f t="shared" si="492"/>
        <v>SÁBADO</v>
      </c>
      <c r="E7706" s="427"/>
      <c r="F7706" s="31">
        <f>IFERROR(VLOOKUP(E7706,BD!$L$2:$Q$244,2,0),0)</f>
        <v>0</v>
      </c>
      <c r="G7706" s="424"/>
      <c r="H7706" s="31">
        <f>+IFERROR(VLOOKUP(E7706,BD!$L$2:$Q$244,6,0),0)</f>
        <v>0</v>
      </c>
      <c r="I7706" s="626">
        <f>IFERROR(G7706*VLOOKUP($E7706,BD!$L$2:$Q$244,5,0),0)</f>
        <v>0</v>
      </c>
      <c r="J7706" s="3">
        <f t="shared" si="493"/>
        <v>1900</v>
      </c>
    </row>
    <row r="7707" spans="1:10" s="9" customFormat="1" x14ac:dyDescent="0.25">
      <c r="A7707" s="447"/>
      <c r="B7707" s="55" t="str">
        <f t="shared" si="490"/>
        <v>ENERO</v>
      </c>
      <c r="C7707" s="55">
        <f t="shared" si="491"/>
        <v>1</v>
      </c>
      <c r="D7707" s="3" t="str">
        <f t="shared" si="492"/>
        <v>SÁBADO</v>
      </c>
      <c r="E7707" s="427"/>
      <c r="F7707" s="31">
        <f>IFERROR(VLOOKUP(E7707,BD!$L$2:$Q$244,2,0),0)</f>
        <v>0</v>
      </c>
      <c r="G7707" s="424"/>
      <c r="H7707" s="31">
        <f>+IFERROR(VLOOKUP(E7707,BD!$L$2:$Q$244,6,0),0)</f>
        <v>0</v>
      </c>
      <c r="I7707" s="626">
        <f>IFERROR(G7707*VLOOKUP($E7707,BD!$L$2:$Q$244,5,0),0)</f>
        <v>0</v>
      </c>
      <c r="J7707" s="3">
        <f t="shared" si="493"/>
        <v>1900</v>
      </c>
    </row>
    <row r="7708" spans="1:10" s="9" customFormat="1" x14ac:dyDescent="0.25">
      <c r="A7708" s="447"/>
      <c r="B7708" s="55" t="str">
        <f t="shared" si="490"/>
        <v>ENERO</v>
      </c>
      <c r="C7708" s="55">
        <f t="shared" si="491"/>
        <v>1</v>
      </c>
      <c r="D7708" s="3" t="str">
        <f t="shared" si="492"/>
        <v>SÁBADO</v>
      </c>
      <c r="E7708" s="427"/>
      <c r="F7708" s="31">
        <f>IFERROR(VLOOKUP(E7708,BD!$L$2:$Q$244,2,0),0)</f>
        <v>0</v>
      </c>
      <c r="G7708" s="424"/>
      <c r="H7708" s="31">
        <f>+IFERROR(VLOOKUP(E7708,BD!$L$2:$Q$244,6,0),0)</f>
        <v>0</v>
      </c>
      <c r="I7708" s="626">
        <f>IFERROR(G7708*VLOOKUP($E7708,BD!$L$2:$Q$244,5,0),0)</f>
        <v>0</v>
      </c>
      <c r="J7708" s="3">
        <f t="shared" si="493"/>
        <v>1900</v>
      </c>
    </row>
    <row r="7709" spans="1:10" s="9" customFormat="1" x14ac:dyDescent="0.25">
      <c r="A7709" s="447"/>
      <c r="B7709" s="55" t="str">
        <f t="shared" si="490"/>
        <v>ENERO</v>
      </c>
      <c r="C7709" s="55">
        <f t="shared" si="491"/>
        <v>1</v>
      </c>
      <c r="D7709" s="3" t="str">
        <f t="shared" si="492"/>
        <v>SÁBADO</v>
      </c>
      <c r="E7709" s="427"/>
      <c r="F7709" s="31">
        <f>IFERROR(VLOOKUP(E7709,BD!$L$2:$Q$244,2,0),0)</f>
        <v>0</v>
      </c>
      <c r="G7709" s="424"/>
      <c r="H7709" s="31">
        <f>+IFERROR(VLOOKUP(E7709,BD!$L$2:$Q$244,6,0),0)</f>
        <v>0</v>
      </c>
      <c r="I7709" s="626">
        <f>IFERROR(G7709*VLOOKUP($E7709,BD!$L$2:$Q$244,5,0),0)</f>
        <v>0</v>
      </c>
      <c r="J7709" s="3">
        <f t="shared" si="493"/>
        <v>1900</v>
      </c>
    </row>
    <row r="7710" spans="1:10" s="9" customFormat="1" x14ac:dyDescent="0.25">
      <c r="A7710" s="447"/>
      <c r="B7710" s="55" t="str">
        <f t="shared" si="490"/>
        <v>ENERO</v>
      </c>
      <c r="C7710" s="55">
        <f t="shared" si="491"/>
        <v>1</v>
      </c>
      <c r="D7710" s="3" t="str">
        <f t="shared" si="492"/>
        <v>SÁBADO</v>
      </c>
      <c r="E7710" s="427"/>
      <c r="F7710" s="31">
        <f>IFERROR(VLOOKUP(E7710,BD!$L$2:$Q$244,2,0),0)</f>
        <v>0</v>
      </c>
      <c r="G7710" s="424"/>
      <c r="H7710" s="31">
        <f>+IFERROR(VLOOKUP(E7710,BD!$L$2:$Q$244,6,0),0)</f>
        <v>0</v>
      </c>
      <c r="I7710" s="626">
        <f>IFERROR(G7710*VLOOKUP($E7710,BD!$L$2:$Q$244,5,0),0)</f>
        <v>0</v>
      </c>
      <c r="J7710" s="3">
        <f t="shared" si="493"/>
        <v>1900</v>
      </c>
    </row>
    <row r="7711" spans="1:10" s="9" customFormat="1" x14ac:dyDescent="0.25">
      <c r="A7711" s="447"/>
      <c r="B7711" s="55" t="str">
        <f t="shared" si="490"/>
        <v>ENERO</v>
      </c>
      <c r="C7711" s="55">
        <f t="shared" si="491"/>
        <v>1</v>
      </c>
      <c r="D7711" s="3" t="str">
        <f t="shared" si="492"/>
        <v>SÁBADO</v>
      </c>
      <c r="E7711" s="427"/>
      <c r="F7711" s="31">
        <f>IFERROR(VLOOKUP(E7711,BD!$L$2:$Q$244,2,0),0)</f>
        <v>0</v>
      </c>
      <c r="G7711" s="424"/>
      <c r="H7711" s="31">
        <f>+IFERROR(VLOOKUP(E7711,BD!$L$2:$Q$244,6,0),0)</f>
        <v>0</v>
      </c>
      <c r="I7711" s="626">
        <f>IFERROR(G7711*VLOOKUP($E7711,BD!$L$2:$Q$244,5,0),0)</f>
        <v>0</v>
      </c>
      <c r="J7711" s="3">
        <f t="shared" si="493"/>
        <v>1900</v>
      </c>
    </row>
    <row r="7712" spans="1:10" s="9" customFormat="1" x14ac:dyDescent="0.25">
      <c r="A7712" s="447"/>
      <c r="B7712" s="55" t="str">
        <f t="shared" si="490"/>
        <v>ENERO</v>
      </c>
      <c r="C7712" s="55">
        <f t="shared" si="491"/>
        <v>1</v>
      </c>
      <c r="D7712" s="3" t="str">
        <f t="shared" si="492"/>
        <v>SÁBADO</v>
      </c>
      <c r="E7712" s="427"/>
      <c r="F7712" s="31">
        <f>IFERROR(VLOOKUP(E7712,BD!$L$2:$Q$244,2,0),0)</f>
        <v>0</v>
      </c>
      <c r="G7712" s="425"/>
      <c r="H7712" s="31">
        <f>+IFERROR(VLOOKUP(E7712,BD!$L$2:$Q$244,6,0),0)</f>
        <v>0</v>
      </c>
      <c r="I7712" s="626">
        <f>IFERROR(G7712*VLOOKUP($E7712,BD!$L$2:$Q$244,5,0),0)</f>
        <v>0</v>
      </c>
      <c r="J7712" s="3">
        <f t="shared" si="493"/>
        <v>1900</v>
      </c>
    </row>
    <row r="7713" spans="1:10" s="9" customFormat="1" x14ac:dyDescent="0.25">
      <c r="A7713" s="447"/>
      <c r="B7713" s="55" t="str">
        <f t="shared" si="490"/>
        <v>ENERO</v>
      </c>
      <c r="C7713" s="55">
        <f t="shared" si="491"/>
        <v>1</v>
      </c>
      <c r="D7713" s="3" t="str">
        <f t="shared" si="492"/>
        <v>SÁBADO</v>
      </c>
      <c r="E7713" s="427"/>
      <c r="F7713" s="31">
        <f>IFERROR(VLOOKUP(E7713,BD!$L$2:$Q$244,2,0),0)</f>
        <v>0</v>
      </c>
      <c r="G7713" s="424"/>
      <c r="H7713" s="31">
        <f>+IFERROR(VLOOKUP(E7713,BD!$L$2:$Q$244,6,0),0)</f>
        <v>0</v>
      </c>
      <c r="I7713" s="626">
        <f>IFERROR(G7713*VLOOKUP($E7713,BD!$L$2:$Q$244,5,0),0)</f>
        <v>0</v>
      </c>
      <c r="J7713" s="3">
        <f t="shared" si="493"/>
        <v>1900</v>
      </c>
    </row>
    <row r="7714" spans="1:10" s="9" customFormat="1" x14ac:dyDescent="0.25">
      <c r="A7714" s="447"/>
      <c r="B7714" s="55" t="str">
        <f t="shared" si="490"/>
        <v>ENERO</v>
      </c>
      <c r="C7714" s="55">
        <f t="shared" si="491"/>
        <v>1</v>
      </c>
      <c r="D7714" s="3" t="str">
        <f t="shared" si="492"/>
        <v>SÁBADO</v>
      </c>
      <c r="E7714" s="427"/>
      <c r="F7714" s="31">
        <f>IFERROR(VLOOKUP(E7714,BD!$L$2:$Q$244,2,0),0)</f>
        <v>0</v>
      </c>
      <c r="G7714" s="424"/>
      <c r="H7714" s="31">
        <f>+IFERROR(VLOOKUP(E7714,BD!$L$2:$Q$244,6,0),0)</f>
        <v>0</v>
      </c>
      <c r="I7714" s="626">
        <f>IFERROR(G7714*VLOOKUP($E7714,BD!$L$2:$Q$244,5,0),0)</f>
        <v>0</v>
      </c>
      <c r="J7714" s="3">
        <f t="shared" si="493"/>
        <v>1900</v>
      </c>
    </row>
    <row r="7715" spans="1:10" s="9" customFormat="1" x14ac:dyDescent="0.25">
      <c r="A7715" s="447"/>
      <c r="B7715" s="55" t="str">
        <f t="shared" si="490"/>
        <v>ENERO</v>
      </c>
      <c r="C7715" s="55">
        <f t="shared" si="491"/>
        <v>1</v>
      </c>
      <c r="D7715" s="3" t="str">
        <f t="shared" si="492"/>
        <v>SÁBADO</v>
      </c>
      <c r="E7715" s="427"/>
      <c r="F7715" s="31">
        <f>IFERROR(VLOOKUP(E7715,BD!$L$2:$Q$244,2,0),0)</f>
        <v>0</v>
      </c>
      <c r="G7715" s="424"/>
      <c r="H7715" s="31">
        <f>+IFERROR(VLOOKUP(E7715,BD!$L$2:$Q$244,6,0),0)</f>
        <v>0</v>
      </c>
      <c r="I7715" s="626">
        <f>IFERROR(G7715*VLOOKUP($E7715,BD!$L$2:$Q$244,5,0),0)</f>
        <v>0</v>
      </c>
      <c r="J7715" s="3">
        <f t="shared" si="493"/>
        <v>1900</v>
      </c>
    </row>
    <row r="7716" spans="1:10" s="9" customFormat="1" x14ac:dyDescent="0.25">
      <c r="A7716" s="447"/>
      <c r="B7716" s="55" t="str">
        <f t="shared" si="490"/>
        <v>ENERO</v>
      </c>
      <c r="C7716" s="55">
        <f t="shared" si="491"/>
        <v>1</v>
      </c>
      <c r="D7716" s="3" t="str">
        <f t="shared" si="492"/>
        <v>SÁBADO</v>
      </c>
      <c r="E7716" s="427"/>
      <c r="F7716" s="31">
        <f>IFERROR(VLOOKUP(E7716,BD!$L$2:$Q$244,2,0),0)</f>
        <v>0</v>
      </c>
      <c r="G7716" s="424"/>
      <c r="H7716" s="31">
        <f>+IFERROR(VLOOKUP(E7716,BD!$L$2:$Q$244,6,0),0)</f>
        <v>0</v>
      </c>
      <c r="I7716" s="626">
        <f>IFERROR(G7716*VLOOKUP($E7716,BD!$L$2:$Q$244,5,0),0)</f>
        <v>0</v>
      </c>
      <c r="J7716" s="3">
        <f t="shared" si="493"/>
        <v>1900</v>
      </c>
    </row>
    <row r="7717" spans="1:10" s="9" customFormat="1" x14ac:dyDescent="0.25">
      <c r="A7717" s="447"/>
      <c r="B7717" s="55" t="str">
        <f t="shared" si="490"/>
        <v>ENERO</v>
      </c>
      <c r="C7717" s="55">
        <f t="shared" si="491"/>
        <v>1</v>
      </c>
      <c r="D7717" s="3" t="str">
        <f t="shared" si="492"/>
        <v>SÁBADO</v>
      </c>
      <c r="E7717" s="427"/>
      <c r="F7717" s="31">
        <f>IFERROR(VLOOKUP(E7717,BD!$L$2:$Q$244,2,0),0)</f>
        <v>0</v>
      </c>
      <c r="G7717" s="424"/>
      <c r="H7717" s="31">
        <f>+IFERROR(VLOOKUP(E7717,BD!$L$2:$Q$244,6,0),0)</f>
        <v>0</v>
      </c>
      <c r="I7717" s="626">
        <f>IFERROR(G7717*VLOOKUP($E7717,BD!$L$2:$Q$244,5,0),0)</f>
        <v>0</v>
      </c>
      <c r="J7717" s="3">
        <f t="shared" si="493"/>
        <v>1900</v>
      </c>
    </row>
    <row r="7718" spans="1:10" s="9" customFormat="1" x14ac:dyDescent="0.25">
      <c r="A7718" s="447"/>
      <c r="B7718" s="55" t="str">
        <f t="shared" si="490"/>
        <v>ENERO</v>
      </c>
      <c r="C7718" s="55">
        <f t="shared" si="491"/>
        <v>1</v>
      </c>
      <c r="D7718" s="3" t="str">
        <f t="shared" si="492"/>
        <v>SÁBADO</v>
      </c>
      <c r="E7718" s="427"/>
      <c r="F7718" s="31">
        <f>IFERROR(VLOOKUP(E7718,BD!$L$2:$Q$244,2,0),0)</f>
        <v>0</v>
      </c>
      <c r="G7718" s="424"/>
      <c r="H7718" s="31">
        <f>+IFERROR(VLOOKUP(E7718,BD!$L$2:$Q$244,6,0),0)</f>
        <v>0</v>
      </c>
      <c r="I7718" s="626">
        <f>IFERROR(G7718*VLOOKUP($E7718,BD!$L$2:$Q$244,5,0),0)</f>
        <v>0</v>
      </c>
      <c r="J7718" s="3">
        <f t="shared" si="493"/>
        <v>1900</v>
      </c>
    </row>
    <row r="7719" spans="1:10" s="9" customFormat="1" x14ac:dyDescent="0.25">
      <c r="A7719" s="447"/>
      <c r="B7719" s="55" t="str">
        <f t="shared" si="490"/>
        <v>ENERO</v>
      </c>
      <c r="C7719" s="55">
        <f t="shared" si="491"/>
        <v>1</v>
      </c>
      <c r="D7719" s="3" t="str">
        <f t="shared" si="492"/>
        <v>SÁBADO</v>
      </c>
      <c r="E7719" s="427"/>
      <c r="F7719" s="31">
        <f>IFERROR(VLOOKUP(E7719,BD!$L$2:$Q$244,2,0),0)</f>
        <v>0</v>
      </c>
      <c r="G7719" s="424"/>
      <c r="H7719" s="31">
        <f>+IFERROR(VLOOKUP(E7719,BD!$L$2:$Q$244,6,0),0)</f>
        <v>0</v>
      </c>
      <c r="I7719" s="626">
        <f>IFERROR(G7719*VLOOKUP($E7719,BD!$L$2:$Q$244,5,0),0)</f>
        <v>0</v>
      </c>
      <c r="J7719" s="3">
        <f t="shared" si="493"/>
        <v>1900</v>
      </c>
    </row>
    <row r="7720" spans="1:10" s="9" customFormat="1" x14ac:dyDescent="0.25">
      <c r="A7720" s="447"/>
      <c r="B7720" s="55" t="str">
        <f t="shared" si="490"/>
        <v>ENERO</v>
      </c>
      <c r="C7720" s="55">
        <f t="shared" si="491"/>
        <v>1</v>
      </c>
      <c r="D7720" s="3" t="str">
        <f t="shared" si="492"/>
        <v>SÁBADO</v>
      </c>
      <c r="E7720" s="427"/>
      <c r="F7720" s="31">
        <f>IFERROR(VLOOKUP(E7720,BD!$L$2:$Q$244,2,0),0)</f>
        <v>0</v>
      </c>
      <c r="G7720" s="424"/>
      <c r="H7720" s="31">
        <f>+IFERROR(VLOOKUP(E7720,BD!$L$2:$Q$244,6,0),0)</f>
        <v>0</v>
      </c>
      <c r="I7720" s="626">
        <f>IFERROR(G7720*VLOOKUP($E7720,BD!$L$2:$Q$244,5,0),0)</f>
        <v>0</v>
      </c>
      <c r="J7720" s="3">
        <f t="shared" si="493"/>
        <v>1900</v>
      </c>
    </row>
    <row r="7721" spans="1:10" s="9" customFormat="1" x14ac:dyDescent="0.25">
      <c r="A7721" s="447"/>
      <c r="B7721" s="55" t="str">
        <f t="shared" si="490"/>
        <v>ENERO</v>
      </c>
      <c r="C7721" s="55">
        <f t="shared" si="491"/>
        <v>1</v>
      </c>
      <c r="D7721" s="3" t="str">
        <f t="shared" si="492"/>
        <v>SÁBADO</v>
      </c>
      <c r="E7721" s="427"/>
      <c r="F7721" s="31">
        <f>IFERROR(VLOOKUP(E7721,BD!$L$2:$Q$244,2,0),0)</f>
        <v>0</v>
      </c>
      <c r="G7721" s="424"/>
      <c r="H7721" s="31">
        <f>+IFERROR(VLOOKUP(E7721,BD!$L$2:$Q$244,6,0),0)</f>
        <v>0</v>
      </c>
      <c r="I7721" s="626">
        <f>IFERROR(G7721*VLOOKUP($E7721,BD!$L$2:$Q$244,5,0),0)</f>
        <v>0</v>
      </c>
      <c r="J7721" s="3">
        <f t="shared" si="493"/>
        <v>1900</v>
      </c>
    </row>
    <row r="7722" spans="1:10" s="9" customFormat="1" x14ac:dyDescent="0.25">
      <c r="A7722" s="447"/>
      <c r="B7722" s="55" t="str">
        <f t="shared" si="490"/>
        <v>ENERO</v>
      </c>
      <c r="C7722" s="55">
        <f t="shared" si="491"/>
        <v>1</v>
      </c>
      <c r="D7722" s="3" t="str">
        <f t="shared" si="492"/>
        <v>SÁBADO</v>
      </c>
      <c r="E7722" s="427"/>
      <c r="F7722" s="31">
        <f>IFERROR(VLOOKUP(E7722,BD!$L$2:$Q$244,2,0),0)</f>
        <v>0</v>
      </c>
      <c r="G7722" s="424"/>
      <c r="H7722" s="31">
        <f>+IFERROR(VLOOKUP(E7722,BD!$L$2:$Q$244,6,0),0)</f>
        <v>0</v>
      </c>
      <c r="I7722" s="626">
        <f>IFERROR(G7722*VLOOKUP($E7722,BD!$L$2:$Q$244,5,0),0)</f>
        <v>0</v>
      </c>
      <c r="J7722" s="3">
        <f t="shared" si="493"/>
        <v>1900</v>
      </c>
    </row>
    <row r="7723" spans="1:10" s="9" customFormat="1" x14ac:dyDescent="0.25">
      <c r="A7723" s="447"/>
      <c r="B7723" s="55" t="str">
        <f t="shared" si="490"/>
        <v>ENERO</v>
      </c>
      <c r="C7723" s="55">
        <f t="shared" si="491"/>
        <v>1</v>
      </c>
      <c r="D7723" s="3" t="str">
        <f t="shared" si="492"/>
        <v>SÁBADO</v>
      </c>
      <c r="E7723" s="427"/>
      <c r="F7723" s="31">
        <f>IFERROR(VLOOKUP(E7723,BD!$L$2:$Q$244,2,0),0)</f>
        <v>0</v>
      </c>
      <c r="G7723" s="424"/>
      <c r="H7723" s="31">
        <f>+IFERROR(VLOOKUP(E7723,BD!$L$2:$Q$244,6,0),0)</f>
        <v>0</v>
      </c>
      <c r="I7723" s="626">
        <f>IFERROR(G7723*VLOOKUP($E7723,BD!$L$2:$Q$244,5,0),0)</f>
        <v>0</v>
      </c>
      <c r="J7723" s="3">
        <f t="shared" si="493"/>
        <v>1900</v>
      </c>
    </row>
    <row r="7724" spans="1:10" s="9" customFormat="1" x14ac:dyDescent="0.25">
      <c r="A7724" s="447"/>
      <c r="B7724" s="55" t="str">
        <f t="shared" si="490"/>
        <v>ENERO</v>
      </c>
      <c r="C7724" s="55">
        <f t="shared" si="491"/>
        <v>1</v>
      </c>
      <c r="D7724" s="3" t="str">
        <f t="shared" si="492"/>
        <v>SÁBADO</v>
      </c>
      <c r="E7724" s="427"/>
      <c r="F7724" s="31">
        <f>IFERROR(VLOOKUP(E7724,BD!$L$2:$Q$244,2,0),0)</f>
        <v>0</v>
      </c>
      <c r="G7724" s="424"/>
      <c r="H7724" s="31">
        <f>+IFERROR(VLOOKUP(E7724,BD!$L$2:$Q$244,6,0),0)</f>
        <v>0</v>
      </c>
      <c r="I7724" s="626">
        <f>IFERROR(G7724*VLOOKUP($E7724,BD!$L$2:$Q$244,5,0),0)</f>
        <v>0</v>
      </c>
      <c r="J7724" s="3">
        <f t="shared" si="493"/>
        <v>1900</v>
      </c>
    </row>
    <row r="7725" spans="1:10" s="9" customFormat="1" x14ac:dyDescent="0.25">
      <c r="A7725" s="447"/>
      <c r="B7725" s="55" t="str">
        <f t="shared" si="490"/>
        <v>ENERO</v>
      </c>
      <c r="C7725" s="55">
        <f t="shared" si="491"/>
        <v>1</v>
      </c>
      <c r="D7725" s="3" t="str">
        <f t="shared" si="492"/>
        <v>SÁBADO</v>
      </c>
      <c r="E7725" s="427"/>
      <c r="F7725" s="31">
        <f>IFERROR(VLOOKUP(E7725,BD!$L$2:$Q$244,2,0),0)</f>
        <v>0</v>
      </c>
      <c r="G7725" s="424"/>
      <c r="H7725" s="31">
        <f>+IFERROR(VLOOKUP(E7725,BD!$L$2:$Q$244,6,0),0)</f>
        <v>0</v>
      </c>
      <c r="I7725" s="626">
        <f>IFERROR(G7725*VLOOKUP($E7725,BD!$L$2:$Q$244,5,0),0)</f>
        <v>0</v>
      </c>
      <c r="J7725" s="3">
        <f t="shared" si="493"/>
        <v>1900</v>
      </c>
    </row>
    <row r="7726" spans="1:10" s="9" customFormat="1" x14ac:dyDescent="0.25">
      <c r="A7726" s="447"/>
      <c r="B7726" s="55" t="str">
        <f t="shared" si="490"/>
        <v>ENERO</v>
      </c>
      <c r="C7726" s="55">
        <f t="shared" si="491"/>
        <v>1</v>
      </c>
      <c r="D7726" s="3" t="str">
        <f t="shared" si="492"/>
        <v>SÁBADO</v>
      </c>
      <c r="E7726" s="427"/>
      <c r="F7726" s="31">
        <f>IFERROR(VLOOKUP(E7726,BD!$L$2:$Q$244,2,0),0)</f>
        <v>0</v>
      </c>
      <c r="G7726" s="425"/>
      <c r="H7726" s="31">
        <f>+IFERROR(VLOOKUP(E7726,BD!$L$2:$Q$244,6,0),0)</f>
        <v>0</v>
      </c>
      <c r="I7726" s="626">
        <f>IFERROR(G7726*VLOOKUP($E7726,BD!$L$2:$Q$244,5,0),0)</f>
        <v>0</v>
      </c>
      <c r="J7726" s="3">
        <f t="shared" si="493"/>
        <v>1900</v>
      </c>
    </row>
    <row r="7727" spans="1:10" s="9" customFormat="1" x14ac:dyDescent="0.25">
      <c r="A7727" s="447"/>
      <c r="B7727" s="55" t="str">
        <f t="shared" si="490"/>
        <v>ENERO</v>
      </c>
      <c r="C7727" s="55">
        <f t="shared" si="491"/>
        <v>1</v>
      </c>
      <c r="D7727" s="3" t="str">
        <f t="shared" si="492"/>
        <v>SÁBADO</v>
      </c>
      <c r="E7727" s="427"/>
      <c r="F7727" s="31">
        <f>IFERROR(VLOOKUP(E7727,BD!$L$2:$Q$244,2,0),0)</f>
        <v>0</v>
      </c>
      <c r="G7727" s="424"/>
      <c r="H7727" s="31">
        <f>+IFERROR(VLOOKUP(E7727,BD!$L$2:$Q$244,6,0),0)</f>
        <v>0</v>
      </c>
      <c r="I7727" s="626">
        <f>IFERROR(G7727*VLOOKUP($E7727,BD!$L$2:$Q$244,5,0),0)</f>
        <v>0</v>
      </c>
      <c r="J7727" s="3">
        <f t="shared" si="493"/>
        <v>1900</v>
      </c>
    </row>
    <row r="7728" spans="1:10" s="9" customFormat="1" x14ac:dyDescent="0.25">
      <c r="A7728" s="447"/>
      <c r="B7728" s="55" t="str">
        <f t="shared" si="490"/>
        <v>ENERO</v>
      </c>
      <c r="C7728" s="55">
        <f t="shared" si="491"/>
        <v>1</v>
      </c>
      <c r="D7728" s="3" t="str">
        <f t="shared" si="492"/>
        <v>SÁBADO</v>
      </c>
      <c r="E7728" s="427"/>
      <c r="F7728" s="31">
        <f>IFERROR(VLOOKUP(E7728,BD!$L$2:$Q$244,2,0),0)</f>
        <v>0</v>
      </c>
      <c r="G7728" s="424"/>
      <c r="H7728" s="31">
        <f>+IFERROR(VLOOKUP(E7728,BD!$L$2:$Q$244,6,0),0)</f>
        <v>0</v>
      </c>
      <c r="I7728" s="626">
        <f>IFERROR(G7728*VLOOKUP($E7728,BD!$L$2:$Q$244,5,0),0)</f>
        <v>0</v>
      </c>
      <c r="J7728" s="3">
        <f t="shared" si="493"/>
        <v>1900</v>
      </c>
    </row>
    <row r="7729" spans="1:10" s="9" customFormat="1" x14ac:dyDescent="0.25">
      <c r="A7729" s="447"/>
      <c r="B7729" s="55" t="str">
        <f t="shared" si="490"/>
        <v>ENERO</v>
      </c>
      <c r="C7729" s="55">
        <f t="shared" si="491"/>
        <v>1</v>
      </c>
      <c r="D7729" s="3" t="str">
        <f t="shared" si="492"/>
        <v>SÁBADO</v>
      </c>
      <c r="E7729" s="427"/>
      <c r="F7729" s="31">
        <f>IFERROR(VLOOKUP(E7729,BD!$L$2:$Q$244,2,0),0)</f>
        <v>0</v>
      </c>
      <c r="G7729" s="424"/>
      <c r="H7729" s="31">
        <f>+IFERROR(VLOOKUP(E7729,BD!$L$2:$Q$244,6,0),0)</f>
        <v>0</v>
      </c>
      <c r="I7729" s="626">
        <f>IFERROR(G7729*VLOOKUP($E7729,BD!$L$2:$Q$244,5,0),0)</f>
        <v>0</v>
      </c>
      <c r="J7729" s="3">
        <f t="shared" si="493"/>
        <v>1900</v>
      </c>
    </row>
    <row r="7730" spans="1:10" s="9" customFormat="1" x14ac:dyDescent="0.25">
      <c r="A7730" s="447"/>
      <c r="B7730" s="55" t="str">
        <f t="shared" si="490"/>
        <v>ENERO</v>
      </c>
      <c r="C7730" s="55">
        <f t="shared" si="491"/>
        <v>1</v>
      </c>
      <c r="D7730" s="3" t="str">
        <f t="shared" si="492"/>
        <v>SÁBADO</v>
      </c>
      <c r="E7730" s="427"/>
      <c r="F7730" s="31">
        <f>IFERROR(VLOOKUP(E7730,BD!$L$2:$Q$244,2,0),0)</f>
        <v>0</v>
      </c>
      <c r="G7730" s="424"/>
      <c r="H7730" s="31">
        <f>+IFERROR(VLOOKUP(E7730,BD!$L$2:$Q$244,6,0),0)</f>
        <v>0</v>
      </c>
      <c r="I7730" s="626">
        <f>IFERROR(G7730*VLOOKUP($E7730,BD!$L$2:$Q$244,5,0),0)</f>
        <v>0</v>
      </c>
      <c r="J7730" s="3">
        <f t="shared" si="493"/>
        <v>1900</v>
      </c>
    </row>
    <row r="7731" spans="1:10" s="9" customFormat="1" x14ac:dyDescent="0.25">
      <c r="A7731" s="447"/>
      <c r="B7731" s="55" t="str">
        <f t="shared" si="490"/>
        <v>ENERO</v>
      </c>
      <c r="C7731" s="55">
        <f t="shared" si="491"/>
        <v>1</v>
      </c>
      <c r="D7731" s="3" t="str">
        <f t="shared" si="492"/>
        <v>SÁBADO</v>
      </c>
      <c r="E7731" s="427"/>
      <c r="F7731" s="31">
        <f>IFERROR(VLOOKUP(E7731,BD!$L$2:$Q$244,2,0),0)</f>
        <v>0</v>
      </c>
      <c r="G7731" s="424"/>
      <c r="H7731" s="31">
        <f>+IFERROR(VLOOKUP(E7731,BD!$L$2:$Q$244,6,0),0)</f>
        <v>0</v>
      </c>
      <c r="I7731" s="626">
        <f>IFERROR(G7731*VLOOKUP($E7731,BD!$L$2:$Q$244,5,0),0)</f>
        <v>0</v>
      </c>
      <c r="J7731" s="3">
        <f t="shared" si="493"/>
        <v>1900</v>
      </c>
    </row>
    <row r="7732" spans="1:10" s="9" customFormat="1" x14ac:dyDescent="0.25">
      <c r="A7732" s="447"/>
      <c r="B7732" s="55" t="str">
        <f t="shared" si="490"/>
        <v>ENERO</v>
      </c>
      <c r="C7732" s="55">
        <f t="shared" si="491"/>
        <v>1</v>
      </c>
      <c r="D7732" s="3" t="str">
        <f t="shared" si="492"/>
        <v>SÁBADO</v>
      </c>
      <c r="E7732" s="427"/>
      <c r="F7732" s="31">
        <f>IFERROR(VLOOKUP(E7732,BD!$L$2:$Q$244,2,0),0)</f>
        <v>0</v>
      </c>
      <c r="G7732" s="424"/>
      <c r="H7732" s="31">
        <f>+IFERROR(VLOOKUP(E7732,BD!$L$2:$Q$244,6,0),0)</f>
        <v>0</v>
      </c>
      <c r="I7732" s="626">
        <f>IFERROR(G7732*VLOOKUP($E7732,BD!$L$2:$Q$244,5,0),0)</f>
        <v>0</v>
      </c>
      <c r="J7732" s="3">
        <f t="shared" si="493"/>
        <v>1900</v>
      </c>
    </row>
    <row r="7733" spans="1:10" s="9" customFormat="1" x14ac:dyDescent="0.25">
      <c r="A7733" s="447"/>
      <c r="B7733" s="55" t="str">
        <f t="shared" si="490"/>
        <v>ENERO</v>
      </c>
      <c r="C7733" s="55">
        <f t="shared" si="491"/>
        <v>1</v>
      </c>
      <c r="D7733" s="3" t="str">
        <f t="shared" si="492"/>
        <v>SÁBADO</v>
      </c>
      <c r="E7733" s="427"/>
      <c r="F7733" s="31">
        <f>IFERROR(VLOOKUP(E7733,BD!$L$2:$Q$244,2,0),0)</f>
        <v>0</v>
      </c>
      <c r="G7733" s="424"/>
      <c r="H7733" s="31">
        <f>+IFERROR(VLOOKUP(E7733,BD!$L$2:$Q$244,6,0),0)</f>
        <v>0</v>
      </c>
      <c r="I7733" s="626">
        <f>IFERROR(G7733*VLOOKUP($E7733,BD!$L$2:$Q$244,5,0),0)</f>
        <v>0</v>
      </c>
      <c r="J7733" s="3">
        <f t="shared" si="493"/>
        <v>1900</v>
      </c>
    </row>
    <row r="7734" spans="1:10" s="9" customFormat="1" x14ac:dyDescent="0.25">
      <c r="A7734" s="447"/>
      <c r="B7734" s="55" t="str">
        <f t="shared" si="490"/>
        <v>ENERO</v>
      </c>
      <c r="C7734" s="55">
        <f t="shared" si="491"/>
        <v>1</v>
      </c>
      <c r="D7734" s="3" t="str">
        <f t="shared" si="492"/>
        <v>SÁBADO</v>
      </c>
      <c r="E7734" s="427"/>
      <c r="F7734" s="31">
        <f>IFERROR(VLOOKUP(E7734,BD!$L$2:$Q$244,2,0),0)</f>
        <v>0</v>
      </c>
      <c r="G7734" s="424"/>
      <c r="H7734" s="31">
        <f>+IFERROR(VLOOKUP(E7734,BD!$L$2:$Q$244,6,0),0)</f>
        <v>0</v>
      </c>
      <c r="I7734" s="626">
        <f>IFERROR(G7734*VLOOKUP($E7734,BD!$L$2:$Q$244,5,0),0)</f>
        <v>0</v>
      </c>
      <c r="J7734" s="3">
        <f t="shared" si="493"/>
        <v>1900</v>
      </c>
    </row>
    <row r="7735" spans="1:10" s="9" customFormat="1" x14ac:dyDescent="0.25">
      <c r="A7735" s="447"/>
      <c r="B7735" s="55" t="str">
        <f t="shared" si="490"/>
        <v>ENERO</v>
      </c>
      <c r="C7735" s="55">
        <f t="shared" si="491"/>
        <v>1</v>
      </c>
      <c r="D7735" s="3" t="str">
        <f t="shared" si="492"/>
        <v>SÁBADO</v>
      </c>
      <c r="E7735" s="427"/>
      <c r="F7735" s="31">
        <f>IFERROR(VLOOKUP(E7735,BD!$L$2:$Q$244,2,0),0)</f>
        <v>0</v>
      </c>
      <c r="G7735" s="424"/>
      <c r="H7735" s="31">
        <f>+IFERROR(VLOOKUP(E7735,BD!$L$2:$Q$244,6,0),0)</f>
        <v>0</v>
      </c>
      <c r="I7735" s="626">
        <f>IFERROR(G7735*VLOOKUP($E7735,BD!$L$2:$Q$244,5,0),0)</f>
        <v>0</v>
      </c>
      <c r="J7735" s="3">
        <f t="shared" si="493"/>
        <v>1900</v>
      </c>
    </row>
    <row r="7736" spans="1:10" s="9" customFormat="1" x14ac:dyDescent="0.25">
      <c r="A7736" s="447"/>
      <c r="B7736" s="55" t="str">
        <f t="shared" si="490"/>
        <v>ENERO</v>
      </c>
      <c r="C7736" s="55">
        <f t="shared" si="491"/>
        <v>1</v>
      </c>
      <c r="D7736" s="3" t="str">
        <f t="shared" si="492"/>
        <v>SÁBADO</v>
      </c>
      <c r="E7736" s="427"/>
      <c r="F7736" s="31">
        <f>IFERROR(VLOOKUP(E7736,BD!$L$2:$Q$244,2,0),0)</f>
        <v>0</v>
      </c>
      <c r="G7736" s="424"/>
      <c r="H7736" s="31">
        <f>+IFERROR(VLOOKUP(E7736,BD!$L$2:$Q$244,6,0),0)</f>
        <v>0</v>
      </c>
      <c r="I7736" s="626">
        <f>IFERROR(G7736*VLOOKUP($E7736,BD!$L$2:$Q$244,5,0),0)</f>
        <v>0</v>
      </c>
      <c r="J7736" s="3">
        <f t="shared" si="493"/>
        <v>1900</v>
      </c>
    </row>
    <row r="7737" spans="1:10" s="9" customFormat="1" x14ac:dyDescent="0.25">
      <c r="A7737" s="447"/>
      <c r="B7737" s="55" t="str">
        <f t="shared" si="490"/>
        <v>ENERO</v>
      </c>
      <c r="C7737" s="55">
        <f t="shared" si="491"/>
        <v>1</v>
      </c>
      <c r="D7737" s="3" t="str">
        <f t="shared" si="492"/>
        <v>SÁBADO</v>
      </c>
      <c r="E7737" s="427"/>
      <c r="F7737" s="31">
        <f>IFERROR(VLOOKUP(E7737,BD!$L$2:$Q$244,2,0),0)</f>
        <v>0</v>
      </c>
      <c r="G7737" s="424"/>
      <c r="H7737" s="31">
        <f>+IFERROR(VLOOKUP(E7737,BD!$L$2:$Q$244,6,0),0)</f>
        <v>0</v>
      </c>
      <c r="I7737" s="626">
        <f>IFERROR(G7737*VLOOKUP($E7737,BD!$L$2:$Q$244,5,0),0)</f>
        <v>0</v>
      </c>
      <c r="J7737" s="3">
        <f t="shared" si="493"/>
        <v>1900</v>
      </c>
    </row>
    <row r="7738" spans="1:10" s="9" customFormat="1" x14ac:dyDescent="0.25">
      <c r="A7738" s="447"/>
      <c r="B7738" s="55" t="str">
        <f t="shared" si="490"/>
        <v>ENERO</v>
      </c>
      <c r="C7738" s="55">
        <f t="shared" si="491"/>
        <v>1</v>
      </c>
      <c r="D7738" s="3" t="str">
        <f t="shared" si="492"/>
        <v>SÁBADO</v>
      </c>
      <c r="E7738" s="427"/>
      <c r="F7738" s="31">
        <f>IFERROR(VLOOKUP(E7738,BD!$L$2:$Q$244,2,0),0)</f>
        <v>0</v>
      </c>
      <c r="G7738" s="424"/>
      <c r="H7738" s="31">
        <f>+IFERROR(VLOOKUP(E7738,BD!$L$2:$Q$244,6,0),0)</f>
        <v>0</v>
      </c>
      <c r="I7738" s="626">
        <f>IFERROR(G7738*VLOOKUP($E7738,BD!$L$2:$Q$244,5,0),0)</f>
        <v>0</v>
      </c>
      <c r="J7738" s="3">
        <f t="shared" si="493"/>
        <v>1900</v>
      </c>
    </row>
    <row r="7739" spans="1:10" s="9" customFormat="1" x14ac:dyDescent="0.25">
      <c r="A7739" s="447"/>
      <c r="B7739" s="55" t="str">
        <f t="shared" si="490"/>
        <v>ENERO</v>
      </c>
      <c r="C7739" s="55">
        <f t="shared" si="491"/>
        <v>1</v>
      </c>
      <c r="D7739" s="3" t="str">
        <f t="shared" si="492"/>
        <v>SÁBADO</v>
      </c>
      <c r="E7739" s="427"/>
      <c r="F7739" s="31">
        <f>IFERROR(VLOOKUP(E7739,BD!$L$2:$Q$244,2,0),0)</f>
        <v>0</v>
      </c>
      <c r="G7739" s="424"/>
      <c r="H7739" s="31">
        <f>+IFERROR(VLOOKUP(E7739,BD!$L$2:$Q$244,6,0),0)</f>
        <v>0</v>
      </c>
      <c r="I7739" s="626">
        <f>IFERROR(G7739*VLOOKUP($E7739,BD!$L$2:$Q$244,5,0),0)</f>
        <v>0</v>
      </c>
      <c r="J7739" s="3">
        <f t="shared" si="493"/>
        <v>1900</v>
      </c>
    </row>
    <row r="7740" spans="1:10" s="9" customFormat="1" x14ac:dyDescent="0.25">
      <c r="A7740" s="447"/>
      <c r="B7740" s="55" t="str">
        <f t="shared" si="490"/>
        <v>ENERO</v>
      </c>
      <c r="C7740" s="55">
        <f t="shared" si="491"/>
        <v>1</v>
      </c>
      <c r="D7740" s="3" t="str">
        <f t="shared" si="492"/>
        <v>SÁBADO</v>
      </c>
      <c r="E7740" s="427"/>
      <c r="F7740" s="31">
        <f>IFERROR(VLOOKUP(E7740,BD!$L$2:$Q$244,2,0),0)</f>
        <v>0</v>
      </c>
      <c r="G7740" s="425"/>
      <c r="H7740" s="31">
        <f>+IFERROR(VLOOKUP(E7740,BD!$L$2:$Q$244,6,0),0)</f>
        <v>0</v>
      </c>
      <c r="I7740" s="626">
        <f>IFERROR(G7740*VLOOKUP($E7740,BD!$L$2:$Q$244,5,0),0)</f>
        <v>0</v>
      </c>
      <c r="J7740" s="3">
        <f t="shared" si="493"/>
        <v>1900</v>
      </c>
    </row>
    <row r="7741" spans="1:10" s="9" customFormat="1" x14ac:dyDescent="0.25">
      <c r="A7741" s="447"/>
      <c r="B7741" s="55" t="str">
        <f t="shared" ref="B7741:B7804" si="494">UPPER(TEXT(A7741,"MMMM"))</f>
        <v>ENERO</v>
      </c>
      <c r="C7741" s="55">
        <f t="shared" ref="C7741:C7804" si="495">WEEKNUM(A7741,16)</f>
        <v>1</v>
      </c>
      <c r="D7741" s="3" t="str">
        <f t="shared" ref="D7741:D7804" si="496">UPPER(TEXT(A7741,"DDDD"))</f>
        <v>SÁBADO</v>
      </c>
      <c r="E7741" s="427"/>
      <c r="F7741" s="31">
        <f>IFERROR(VLOOKUP(E7741,BD!$L$2:$Q$244,2,0),0)</f>
        <v>0</v>
      </c>
      <c r="G7741" s="424"/>
      <c r="H7741" s="31">
        <f>+IFERROR(VLOOKUP(E7741,BD!$L$2:$Q$244,6,0),0)</f>
        <v>0</v>
      </c>
      <c r="I7741" s="626">
        <f>IFERROR(G7741*VLOOKUP($E7741,BD!$L$2:$Q$244,5,0),0)</f>
        <v>0</v>
      </c>
      <c r="J7741" s="3">
        <f t="shared" ref="J7741:J7804" si="497">+YEAR(A7741)</f>
        <v>1900</v>
      </c>
    </row>
    <row r="7742" spans="1:10" s="9" customFormat="1" x14ac:dyDescent="0.25">
      <c r="A7742" s="447"/>
      <c r="B7742" s="55" t="str">
        <f t="shared" si="494"/>
        <v>ENERO</v>
      </c>
      <c r="C7742" s="55">
        <f t="shared" si="495"/>
        <v>1</v>
      </c>
      <c r="D7742" s="3" t="str">
        <f t="shared" si="496"/>
        <v>SÁBADO</v>
      </c>
      <c r="E7742" s="427"/>
      <c r="F7742" s="31">
        <f>IFERROR(VLOOKUP(E7742,BD!$L$2:$Q$244,2,0),0)</f>
        <v>0</v>
      </c>
      <c r="G7742" s="424"/>
      <c r="H7742" s="31">
        <f>+IFERROR(VLOOKUP(E7742,BD!$L$2:$Q$244,6,0),0)</f>
        <v>0</v>
      </c>
      <c r="I7742" s="626">
        <f>IFERROR(G7742*VLOOKUP($E7742,BD!$L$2:$Q$244,5,0),0)</f>
        <v>0</v>
      </c>
      <c r="J7742" s="3">
        <f t="shared" si="497"/>
        <v>1900</v>
      </c>
    </row>
    <row r="7743" spans="1:10" s="9" customFormat="1" x14ac:dyDescent="0.25">
      <c r="A7743" s="447"/>
      <c r="B7743" s="55" t="str">
        <f t="shared" si="494"/>
        <v>ENERO</v>
      </c>
      <c r="C7743" s="55">
        <f t="shared" si="495"/>
        <v>1</v>
      </c>
      <c r="D7743" s="3" t="str">
        <f t="shared" si="496"/>
        <v>SÁBADO</v>
      </c>
      <c r="E7743" s="427"/>
      <c r="F7743" s="31">
        <f>IFERROR(VLOOKUP(E7743,BD!$L$2:$Q$244,2,0),0)</f>
        <v>0</v>
      </c>
      <c r="G7743" s="424"/>
      <c r="H7743" s="31">
        <f>+IFERROR(VLOOKUP(E7743,BD!$L$2:$Q$244,6,0),0)</f>
        <v>0</v>
      </c>
      <c r="I7743" s="626">
        <f>IFERROR(G7743*VLOOKUP($E7743,BD!$L$2:$Q$244,5,0),0)</f>
        <v>0</v>
      </c>
      <c r="J7743" s="3">
        <f t="shared" si="497"/>
        <v>1900</v>
      </c>
    </row>
    <row r="7744" spans="1:10" s="9" customFormat="1" x14ac:dyDescent="0.25">
      <c r="A7744" s="447"/>
      <c r="B7744" s="55" t="str">
        <f t="shared" si="494"/>
        <v>ENERO</v>
      </c>
      <c r="C7744" s="55">
        <f t="shared" si="495"/>
        <v>1</v>
      </c>
      <c r="D7744" s="3" t="str">
        <f t="shared" si="496"/>
        <v>SÁBADO</v>
      </c>
      <c r="E7744" s="427"/>
      <c r="F7744" s="31">
        <f>IFERROR(VLOOKUP(E7744,BD!$L$2:$Q$244,2,0),0)</f>
        <v>0</v>
      </c>
      <c r="G7744" s="424"/>
      <c r="H7744" s="31">
        <f>+IFERROR(VLOOKUP(E7744,BD!$L$2:$Q$244,6,0),0)</f>
        <v>0</v>
      </c>
      <c r="I7744" s="626">
        <f>IFERROR(G7744*VLOOKUP($E7744,BD!$L$2:$Q$244,5,0),0)</f>
        <v>0</v>
      </c>
      <c r="J7744" s="3">
        <f t="shared" si="497"/>
        <v>1900</v>
      </c>
    </row>
    <row r="7745" spans="1:10" s="9" customFormat="1" x14ac:dyDescent="0.25">
      <c r="A7745" s="447"/>
      <c r="B7745" s="55" t="str">
        <f t="shared" si="494"/>
        <v>ENERO</v>
      </c>
      <c r="C7745" s="55">
        <f t="shared" si="495"/>
        <v>1</v>
      </c>
      <c r="D7745" s="3" t="str">
        <f t="shared" si="496"/>
        <v>SÁBADO</v>
      </c>
      <c r="E7745" s="427"/>
      <c r="F7745" s="31">
        <f>IFERROR(VLOOKUP(E7745,BD!$L$2:$Q$244,2,0),0)</f>
        <v>0</v>
      </c>
      <c r="G7745" s="424"/>
      <c r="H7745" s="31">
        <f>+IFERROR(VLOOKUP(E7745,BD!$L$2:$Q$244,6,0),0)</f>
        <v>0</v>
      </c>
      <c r="I7745" s="626">
        <f>IFERROR(G7745*VLOOKUP($E7745,BD!$L$2:$Q$244,5,0),0)</f>
        <v>0</v>
      </c>
      <c r="J7745" s="3">
        <f t="shared" si="497"/>
        <v>1900</v>
      </c>
    </row>
    <row r="7746" spans="1:10" s="9" customFormat="1" x14ac:dyDescent="0.25">
      <c r="A7746" s="447"/>
      <c r="B7746" s="55" t="str">
        <f t="shared" si="494"/>
        <v>ENERO</v>
      </c>
      <c r="C7746" s="55">
        <f t="shared" si="495"/>
        <v>1</v>
      </c>
      <c r="D7746" s="3" t="str">
        <f t="shared" si="496"/>
        <v>SÁBADO</v>
      </c>
      <c r="E7746" s="427"/>
      <c r="F7746" s="31">
        <f>IFERROR(VLOOKUP(E7746,BD!$L$2:$Q$244,2,0),0)</f>
        <v>0</v>
      </c>
      <c r="G7746" s="424"/>
      <c r="H7746" s="31">
        <f>+IFERROR(VLOOKUP(E7746,BD!$L$2:$Q$244,6,0),0)</f>
        <v>0</v>
      </c>
      <c r="I7746" s="626">
        <f>IFERROR(G7746*VLOOKUP($E7746,BD!$L$2:$Q$244,5,0),0)</f>
        <v>0</v>
      </c>
      <c r="J7746" s="3">
        <f t="shared" si="497"/>
        <v>1900</v>
      </c>
    </row>
    <row r="7747" spans="1:10" s="9" customFormat="1" x14ac:dyDescent="0.25">
      <c r="A7747" s="447"/>
      <c r="B7747" s="55" t="str">
        <f t="shared" si="494"/>
        <v>ENERO</v>
      </c>
      <c r="C7747" s="55">
        <f t="shared" si="495"/>
        <v>1</v>
      </c>
      <c r="D7747" s="3" t="str">
        <f t="shared" si="496"/>
        <v>SÁBADO</v>
      </c>
      <c r="E7747" s="427"/>
      <c r="F7747" s="31">
        <f>IFERROR(VLOOKUP(E7747,BD!$L$2:$Q$244,2,0),0)</f>
        <v>0</v>
      </c>
      <c r="G7747" s="424"/>
      <c r="H7747" s="31">
        <f>+IFERROR(VLOOKUP(E7747,BD!$L$2:$Q$244,6,0),0)</f>
        <v>0</v>
      </c>
      <c r="I7747" s="626">
        <f>IFERROR(G7747*VLOOKUP($E7747,BD!$L$2:$Q$244,5,0),0)</f>
        <v>0</v>
      </c>
      <c r="J7747" s="3">
        <f t="shared" si="497"/>
        <v>1900</v>
      </c>
    </row>
    <row r="7748" spans="1:10" s="9" customFormat="1" x14ac:dyDescent="0.25">
      <c r="A7748" s="447"/>
      <c r="B7748" s="55" t="str">
        <f t="shared" si="494"/>
        <v>ENERO</v>
      </c>
      <c r="C7748" s="55">
        <f t="shared" si="495"/>
        <v>1</v>
      </c>
      <c r="D7748" s="3" t="str">
        <f t="shared" si="496"/>
        <v>SÁBADO</v>
      </c>
      <c r="E7748" s="427"/>
      <c r="F7748" s="31">
        <f>IFERROR(VLOOKUP(E7748,BD!$L$2:$Q$244,2,0),0)</f>
        <v>0</v>
      </c>
      <c r="G7748" s="424"/>
      <c r="H7748" s="31">
        <f>+IFERROR(VLOOKUP(E7748,BD!$L$2:$Q$244,6,0),0)</f>
        <v>0</v>
      </c>
      <c r="I7748" s="626">
        <f>IFERROR(G7748*VLOOKUP($E7748,BD!$L$2:$Q$244,5,0),0)</f>
        <v>0</v>
      </c>
      <c r="J7748" s="3">
        <f t="shared" si="497"/>
        <v>1900</v>
      </c>
    </row>
    <row r="7749" spans="1:10" s="9" customFormat="1" x14ac:dyDescent="0.25">
      <c r="A7749" s="447"/>
      <c r="B7749" s="55" t="str">
        <f t="shared" si="494"/>
        <v>ENERO</v>
      </c>
      <c r="C7749" s="55">
        <f t="shared" si="495"/>
        <v>1</v>
      </c>
      <c r="D7749" s="3" t="str">
        <f t="shared" si="496"/>
        <v>SÁBADO</v>
      </c>
      <c r="E7749" s="427"/>
      <c r="F7749" s="31">
        <f>IFERROR(VLOOKUP(E7749,BD!$L$2:$Q$244,2,0),0)</f>
        <v>0</v>
      </c>
      <c r="G7749" s="424"/>
      <c r="H7749" s="31">
        <f>+IFERROR(VLOOKUP(E7749,BD!$L$2:$Q$244,6,0),0)</f>
        <v>0</v>
      </c>
      <c r="I7749" s="626">
        <f>IFERROR(G7749*VLOOKUP($E7749,BD!$L$2:$Q$244,5,0),0)</f>
        <v>0</v>
      </c>
      <c r="J7749" s="3">
        <f t="shared" si="497"/>
        <v>1900</v>
      </c>
    </row>
    <row r="7750" spans="1:10" s="9" customFormat="1" x14ac:dyDescent="0.25">
      <c r="A7750" s="447"/>
      <c r="B7750" s="55" t="str">
        <f t="shared" si="494"/>
        <v>ENERO</v>
      </c>
      <c r="C7750" s="55">
        <f t="shared" si="495"/>
        <v>1</v>
      </c>
      <c r="D7750" s="3" t="str">
        <f t="shared" si="496"/>
        <v>SÁBADO</v>
      </c>
      <c r="E7750" s="427"/>
      <c r="F7750" s="31">
        <f>IFERROR(VLOOKUP(E7750,BD!$L$2:$Q$244,2,0),0)</f>
        <v>0</v>
      </c>
      <c r="G7750" s="424"/>
      <c r="H7750" s="31">
        <f>+IFERROR(VLOOKUP(E7750,BD!$L$2:$Q$244,6,0),0)</f>
        <v>0</v>
      </c>
      <c r="I7750" s="626">
        <f>IFERROR(G7750*VLOOKUP($E7750,BD!$L$2:$Q$244,5,0),0)</f>
        <v>0</v>
      </c>
      <c r="J7750" s="3">
        <f t="shared" si="497"/>
        <v>1900</v>
      </c>
    </row>
    <row r="7751" spans="1:10" s="9" customFormat="1" x14ac:dyDescent="0.25">
      <c r="A7751" s="447"/>
      <c r="B7751" s="55" t="str">
        <f t="shared" si="494"/>
        <v>ENERO</v>
      </c>
      <c r="C7751" s="55">
        <f t="shared" si="495"/>
        <v>1</v>
      </c>
      <c r="D7751" s="3" t="str">
        <f t="shared" si="496"/>
        <v>SÁBADO</v>
      </c>
      <c r="E7751" s="427"/>
      <c r="F7751" s="31">
        <f>IFERROR(VLOOKUP(E7751,BD!$L$2:$Q$244,2,0),0)</f>
        <v>0</v>
      </c>
      <c r="G7751" s="424"/>
      <c r="H7751" s="31">
        <f>+IFERROR(VLOOKUP(E7751,BD!$L$2:$Q$244,6,0),0)</f>
        <v>0</v>
      </c>
      <c r="I7751" s="626">
        <f>IFERROR(G7751*VLOOKUP($E7751,BD!$L$2:$Q$244,5,0),0)</f>
        <v>0</v>
      </c>
      <c r="J7751" s="3">
        <f t="shared" si="497"/>
        <v>1900</v>
      </c>
    </row>
    <row r="7752" spans="1:10" s="9" customFormat="1" x14ac:dyDescent="0.25">
      <c r="A7752" s="447"/>
      <c r="B7752" s="55" t="str">
        <f t="shared" si="494"/>
        <v>ENERO</v>
      </c>
      <c r="C7752" s="55">
        <f t="shared" si="495"/>
        <v>1</v>
      </c>
      <c r="D7752" s="3" t="str">
        <f t="shared" si="496"/>
        <v>SÁBADO</v>
      </c>
      <c r="E7752" s="427"/>
      <c r="F7752" s="31">
        <f>IFERROR(VLOOKUP(E7752,BD!$L$2:$Q$244,2,0),0)</f>
        <v>0</v>
      </c>
      <c r="G7752" s="424"/>
      <c r="H7752" s="31">
        <f>+IFERROR(VLOOKUP(E7752,BD!$L$2:$Q$244,6,0),0)</f>
        <v>0</v>
      </c>
      <c r="I7752" s="626">
        <f>IFERROR(G7752*VLOOKUP($E7752,BD!$L$2:$Q$244,5,0),0)</f>
        <v>0</v>
      </c>
      <c r="J7752" s="3">
        <f t="shared" si="497"/>
        <v>1900</v>
      </c>
    </row>
    <row r="7753" spans="1:10" s="9" customFormat="1" x14ac:dyDescent="0.25">
      <c r="A7753" s="447"/>
      <c r="B7753" s="55" t="str">
        <f t="shared" si="494"/>
        <v>ENERO</v>
      </c>
      <c r="C7753" s="55">
        <f t="shared" si="495"/>
        <v>1</v>
      </c>
      <c r="D7753" s="3" t="str">
        <f t="shared" si="496"/>
        <v>SÁBADO</v>
      </c>
      <c r="E7753" s="427"/>
      <c r="F7753" s="31">
        <f>IFERROR(VLOOKUP(E7753,BD!$L$2:$Q$244,2,0),0)</f>
        <v>0</v>
      </c>
      <c r="G7753" s="424"/>
      <c r="H7753" s="31">
        <f>+IFERROR(VLOOKUP(E7753,BD!$L$2:$Q$244,6,0),0)</f>
        <v>0</v>
      </c>
      <c r="I7753" s="626">
        <f>IFERROR(G7753*VLOOKUP($E7753,BD!$L$2:$Q$244,5,0),0)</f>
        <v>0</v>
      </c>
      <c r="J7753" s="3">
        <f t="shared" si="497"/>
        <v>1900</v>
      </c>
    </row>
    <row r="7754" spans="1:10" s="9" customFormat="1" x14ac:dyDescent="0.25">
      <c r="A7754" s="447"/>
      <c r="B7754" s="55" t="str">
        <f t="shared" si="494"/>
        <v>ENERO</v>
      </c>
      <c r="C7754" s="55">
        <f t="shared" si="495"/>
        <v>1</v>
      </c>
      <c r="D7754" s="3" t="str">
        <f t="shared" si="496"/>
        <v>SÁBADO</v>
      </c>
      <c r="E7754" s="427"/>
      <c r="F7754" s="31">
        <f>IFERROR(VLOOKUP(E7754,BD!$L$2:$Q$244,2,0),0)</f>
        <v>0</v>
      </c>
      <c r="G7754" s="425"/>
      <c r="H7754" s="31">
        <f>+IFERROR(VLOOKUP(E7754,BD!$L$2:$Q$244,6,0),0)</f>
        <v>0</v>
      </c>
      <c r="I7754" s="626">
        <f>IFERROR(G7754*VLOOKUP($E7754,BD!$L$2:$Q$244,5,0),0)</f>
        <v>0</v>
      </c>
      <c r="J7754" s="3">
        <f t="shared" si="497"/>
        <v>1900</v>
      </c>
    </row>
    <row r="7755" spans="1:10" s="9" customFormat="1" x14ac:dyDescent="0.25">
      <c r="A7755" s="447"/>
      <c r="B7755" s="55" t="str">
        <f t="shared" si="494"/>
        <v>ENERO</v>
      </c>
      <c r="C7755" s="55">
        <f t="shared" si="495"/>
        <v>1</v>
      </c>
      <c r="D7755" s="3" t="str">
        <f t="shared" si="496"/>
        <v>SÁBADO</v>
      </c>
      <c r="E7755" s="427"/>
      <c r="F7755" s="31">
        <f>IFERROR(VLOOKUP(E7755,BD!$L$2:$Q$244,2,0),0)</f>
        <v>0</v>
      </c>
      <c r="G7755" s="424"/>
      <c r="H7755" s="31">
        <f>+IFERROR(VLOOKUP(E7755,BD!$L$2:$Q$244,6,0),0)</f>
        <v>0</v>
      </c>
      <c r="I7755" s="626">
        <f>IFERROR(G7755*VLOOKUP($E7755,BD!$L$2:$Q$244,5,0),0)</f>
        <v>0</v>
      </c>
      <c r="J7755" s="3">
        <f t="shared" si="497"/>
        <v>1900</v>
      </c>
    </row>
    <row r="7756" spans="1:10" s="9" customFormat="1" x14ac:dyDescent="0.25">
      <c r="A7756" s="447"/>
      <c r="B7756" s="55" t="str">
        <f t="shared" si="494"/>
        <v>ENERO</v>
      </c>
      <c r="C7756" s="55">
        <f t="shared" si="495"/>
        <v>1</v>
      </c>
      <c r="D7756" s="3" t="str">
        <f t="shared" si="496"/>
        <v>SÁBADO</v>
      </c>
      <c r="E7756" s="427"/>
      <c r="F7756" s="31">
        <f>IFERROR(VLOOKUP(E7756,BD!$L$2:$Q$244,2,0),0)</f>
        <v>0</v>
      </c>
      <c r="G7756" s="424"/>
      <c r="H7756" s="31">
        <f>+IFERROR(VLOOKUP(E7756,BD!$L$2:$Q$244,6,0),0)</f>
        <v>0</v>
      </c>
      <c r="I7756" s="626">
        <f>IFERROR(G7756*VLOOKUP($E7756,BD!$L$2:$Q$244,5,0),0)</f>
        <v>0</v>
      </c>
      <c r="J7756" s="3">
        <f t="shared" si="497"/>
        <v>1900</v>
      </c>
    </row>
    <row r="7757" spans="1:10" s="9" customFormat="1" x14ac:dyDescent="0.25">
      <c r="A7757" s="447"/>
      <c r="B7757" s="55" t="str">
        <f t="shared" si="494"/>
        <v>ENERO</v>
      </c>
      <c r="C7757" s="55">
        <f t="shared" si="495"/>
        <v>1</v>
      </c>
      <c r="D7757" s="3" t="str">
        <f t="shared" si="496"/>
        <v>SÁBADO</v>
      </c>
      <c r="E7757" s="427"/>
      <c r="F7757" s="31">
        <f>IFERROR(VLOOKUP(E7757,BD!$L$2:$Q$244,2,0),0)</f>
        <v>0</v>
      </c>
      <c r="G7757" s="424"/>
      <c r="H7757" s="31">
        <f>+IFERROR(VLOOKUP(E7757,BD!$L$2:$Q$244,6,0),0)</f>
        <v>0</v>
      </c>
      <c r="I7757" s="626">
        <f>IFERROR(G7757*VLOOKUP($E7757,BD!$L$2:$Q$244,5,0),0)</f>
        <v>0</v>
      </c>
      <c r="J7757" s="3">
        <f t="shared" si="497"/>
        <v>1900</v>
      </c>
    </row>
    <row r="7758" spans="1:10" s="9" customFormat="1" x14ac:dyDescent="0.25">
      <c r="A7758" s="447"/>
      <c r="B7758" s="55" t="str">
        <f t="shared" si="494"/>
        <v>ENERO</v>
      </c>
      <c r="C7758" s="55">
        <f t="shared" si="495"/>
        <v>1</v>
      </c>
      <c r="D7758" s="3" t="str">
        <f t="shared" si="496"/>
        <v>SÁBADO</v>
      </c>
      <c r="E7758" s="427"/>
      <c r="F7758" s="31">
        <f>IFERROR(VLOOKUP(E7758,BD!$L$2:$Q$244,2,0),0)</f>
        <v>0</v>
      </c>
      <c r="G7758" s="424"/>
      <c r="H7758" s="31">
        <f>+IFERROR(VLOOKUP(E7758,BD!$L$2:$Q$244,6,0),0)</f>
        <v>0</v>
      </c>
      <c r="I7758" s="626">
        <f>IFERROR(G7758*VLOOKUP($E7758,BD!$L$2:$Q$244,5,0),0)</f>
        <v>0</v>
      </c>
      <c r="J7758" s="3">
        <f t="shared" si="497"/>
        <v>1900</v>
      </c>
    </row>
    <row r="7759" spans="1:10" s="9" customFormat="1" x14ac:dyDescent="0.25">
      <c r="A7759" s="447"/>
      <c r="B7759" s="55" t="str">
        <f t="shared" si="494"/>
        <v>ENERO</v>
      </c>
      <c r="C7759" s="55">
        <f t="shared" si="495"/>
        <v>1</v>
      </c>
      <c r="D7759" s="3" t="str">
        <f t="shared" si="496"/>
        <v>SÁBADO</v>
      </c>
      <c r="E7759" s="427"/>
      <c r="F7759" s="31">
        <f>IFERROR(VLOOKUP(E7759,BD!$L$2:$Q$244,2,0),0)</f>
        <v>0</v>
      </c>
      <c r="G7759" s="424"/>
      <c r="H7759" s="31">
        <f>+IFERROR(VLOOKUP(E7759,BD!$L$2:$Q$244,6,0),0)</f>
        <v>0</v>
      </c>
      <c r="I7759" s="626">
        <f>IFERROR(G7759*VLOOKUP($E7759,BD!$L$2:$Q$244,5,0),0)</f>
        <v>0</v>
      </c>
      <c r="J7759" s="3">
        <f t="shared" si="497"/>
        <v>1900</v>
      </c>
    </row>
    <row r="7760" spans="1:10" s="9" customFormat="1" x14ac:dyDescent="0.25">
      <c r="A7760" s="447"/>
      <c r="B7760" s="55" t="str">
        <f t="shared" si="494"/>
        <v>ENERO</v>
      </c>
      <c r="C7760" s="55">
        <f t="shared" si="495"/>
        <v>1</v>
      </c>
      <c r="D7760" s="3" t="str">
        <f t="shared" si="496"/>
        <v>SÁBADO</v>
      </c>
      <c r="E7760" s="427"/>
      <c r="F7760" s="31">
        <f>IFERROR(VLOOKUP(E7760,BD!$L$2:$Q$244,2,0),0)</f>
        <v>0</v>
      </c>
      <c r="G7760" s="424"/>
      <c r="H7760" s="31">
        <f>+IFERROR(VLOOKUP(E7760,BD!$L$2:$Q$244,6,0),0)</f>
        <v>0</v>
      </c>
      <c r="I7760" s="626">
        <f>IFERROR(G7760*VLOOKUP($E7760,BD!$L$2:$Q$244,5,0),0)</f>
        <v>0</v>
      </c>
      <c r="J7760" s="3">
        <f t="shared" si="497"/>
        <v>1900</v>
      </c>
    </row>
    <row r="7761" spans="1:10" s="9" customFormat="1" x14ac:dyDescent="0.25">
      <c r="A7761" s="447"/>
      <c r="B7761" s="55" t="str">
        <f t="shared" si="494"/>
        <v>ENERO</v>
      </c>
      <c r="C7761" s="55">
        <f t="shared" si="495"/>
        <v>1</v>
      </c>
      <c r="D7761" s="3" t="str">
        <f t="shared" si="496"/>
        <v>SÁBADO</v>
      </c>
      <c r="E7761" s="427"/>
      <c r="F7761" s="31">
        <f>IFERROR(VLOOKUP(E7761,BD!$L$2:$Q$244,2,0),0)</f>
        <v>0</v>
      </c>
      <c r="G7761" s="424"/>
      <c r="H7761" s="31">
        <f>+IFERROR(VLOOKUP(E7761,BD!$L$2:$Q$244,6,0),0)</f>
        <v>0</v>
      </c>
      <c r="I7761" s="626">
        <f>IFERROR(G7761*VLOOKUP($E7761,BD!$L$2:$Q$244,5,0),0)</f>
        <v>0</v>
      </c>
      <c r="J7761" s="3">
        <f t="shared" si="497"/>
        <v>1900</v>
      </c>
    </row>
    <row r="7762" spans="1:10" s="9" customFormat="1" x14ac:dyDescent="0.25">
      <c r="A7762" s="447"/>
      <c r="B7762" s="55" t="str">
        <f t="shared" si="494"/>
        <v>ENERO</v>
      </c>
      <c r="C7762" s="55">
        <f t="shared" si="495"/>
        <v>1</v>
      </c>
      <c r="D7762" s="3" t="str">
        <f t="shared" si="496"/>
        <v>SÁBADO</v>
      </c>
      <c r="E7762" s="427"/>
      <c r="F7762" s="31">
        <f>IFERROR(VLOOKUP(E7762,BD!$L$2:$Q$244,2,0),0)</f>
        <v>0</v>
      </c>
      <c r="G7762" s="424"/>
      <c r="H7762" s="31">
        <f>+IFERROR(VLOOKUP(E7762,BD!$L$2:$Q$244,6,0),0)</f>
        <v>0</v>
      </c>
      <c r="I7762" s="626">
        <f>IFERROR(G7762*VLOOKUP($E7762,BD!$L$2:$Q$244,5,0),0)</f>
        <v>0</v>
      </c>
      <c r="J7762" s="3">
        <f t="shared" si="497"/>
        <v>1900</v>
      </c>
    </row>
    <row r="7763" spans="1:10" s="9" customFormat="1" x14ac:dyDescent="0.25">
      <c r="A7763" s="447"/>
      <c r="B7763" s="55" t="str">
        <f t="shared" si="494"/>
        <v>ENERO</v>
      </c>
      <c r="C7763" s="55">
        <f t="shared" si="495"/>
        <v>1</v>
      </c>
      <c r="D7763" s="3" t="str">
        <f t="shared" si="496"/>
        <v>SÁBADO</v>
      </c>
      <c r="E7763" s="427"/>
      <c r="F7763" s="31">
        <f>IFERROR(VLOOKUP(E7763,BD!$L$2:$Q$244,2,0),0)</f>
        <v>0</v>
      </c>
      <c r="G7763" s="424"/>
      <c r="H7763" s="31">
        <f>+IFERROR(VLOOKUP(E7763,BD!$L$2:$Q$244,6,0),0)</f>
        <v>0</v>
      </c>
      <c r="I7763" s="626">
        <f>IFERROR(G7763*VLOOKUP($E7763,BD!$L$2:$Q$244,5,0),0)</f>
        <v>0</v>
      </c>
      <c r="J7763" s="3">
        <f t="shared" si="497"/>
        <v>1900</v>
      </c>
    </row>
    <row r="7764" spans="1:10" s="9" customFormat="1" x14ac:dyDescent="0.25">
      <c r="A7764" s="447"/>
      <c r="B7764" s="55" t="str">
        <f t="shared" si="494"/>
        <v>ENERO</v>
      </c>
      <c r="C7764" s="55">
        <f t="shared" si="495"/>
        <v>1</v>
      </c>
      <c r="D7764" s="3" t="str">
        <f t="shared" si="496"/>
        <v>SÁBADO</v>
      </c>
      <c r="E7764" s="427"/>
      <c r="F7764" s="31">
        <f>IFERROR(VLOOKUP(E7764,BD!$L$2:$Q$244,2,0),0)</f>
        <v>0</v>
      </c>
      <c r="G7764" s="424"/>
      <c r="H7764" s="31">
        <f>+IFERROR(VLOOKUP(E7764,BD!$L$2:$Q$244,6,0),0)</f>
        <v>0</v>
      </c>
      <c r="I7764" s="626">
        <f>IFERROR(G7764*VLOOKUP($E7764,BD!$L$2:$Q$244,5,0),0)</f>
        <v>0</v>
      </c>
      <c r="J7764" s="3">
        <f t="shared" si="497"/>
        <v>1900</v>
      </c>
    </row>
    <row r="7765" spans="1:10" s="9" customFormat="1" x14ac:dyDescent="0.25">
      <c r="A7765" s="447"/>
      <c r="B7765" s="55" t="str">
        <f t="shared" si="494"/>
        <v>ENERO</v>
      </c>
      <c r="C7765" s="55">
        <f t="shared" si="495"/>
        <v>1</v>
      </c>
      <c r="D7765" s="3" t="str">
        <f t="shared" si="496"/>
        <v>SÁBADO</v>
      </c>
      <c r="E7765" s="427"/>
      <c r="F7765" s="31">
        <f>IFERROR(VLOOKUP(E7765,BD!$L$2:$Q$244,2,0),0)</f>
        <v>0</v>
      </c>
      <c r="G7765" s="424"/>
      <c r="H7765" s="31">
        <f>+IFERROR(VLOOKUP(E7765,BD!$L$2:$Q$244,6,0),0)</f>
        <v>0</v>
      </c>
      <c r="I7765" s="626">
        <f>IFERROR(G7765*VLOOKUP($E7765,BD!$L$2:$Q$244,5,0),0)</f>
        <v>0</v>
      </c>
      <c r="J7765" s="3">
        <f t="shared" si="497"/>
        <v>1900</v>
      </c>
    </row>
    <row r="7766" spans="1:10" s="9" customFormat="1" x14ac:dyDescent="0.25">
      <c r="A7766" s="447"/>
      <c r="B7766" s="55" t="str">
        <f t="shared" si="494"/>
        <v>ENERO</v>
      </c>
      <c r="C7766" s="55">
        <f t="shared" si="495"/>
        <v>1</v>
      </c>
      <c r="D7766" s="3" t="str">
        <f t="shared" si="496"/>
        <v>SÁBADO</v>
      </c>
      <c r="E7766" s="427"/>
      <c r="F7766" s="31">
        <f>IFERROR(VLOOKUP(E7766,BD!$L$2:$Q$244,2,0),0)</f>
        <v>0</v>
      </c>
      <c r="G7766" s="424"/>
      <c r="H7766" s="31">
        <f>+IFERROR(VLOOKUP(E7766,BD!$L$2:$Q$244,6,0),0)</f>
        <v>0</v>
      </c>
      <c r="I7766" s="626">
        <f>IFERROR(G7766*VLOOKUP($E7766,BD!$L$2:$Q$244,5,0),0)</f>
        <v>0</v>
      </c>
      <c r="J7766" s="3">
        <f t="shared" si="497"/>
        <v>1900</v>
      </c>
    </row>
    <row r="7767" spans="1:10" s="9" customFormat="1" x14ac:dyDescent="0.25">
      <c r="A7767" s="447"/>
      <c r="B7767" s="55" t="str">
        <f t="shared" si="494"/>
        <v>ENERO</v>
      </c>
      <c r="C7767" s="55">
        <f t="shared" si="495"/>
        <v>1</v>
      </c>
      <c r="D7767" s="3" t="str">
        <f t="shared" si="496"/>
        <v>SÁBADO</v>
      </c>
      <c r="E7767" s="427"/>
      <c r="F7767" s="31">
        <f>IFERROR(VLOOKUP(E7767,BD!$L$2:$Q$244,2,0),0)</f>
        <v>0</v>
      </c>
      <c r="G7767" s="424"/>
      <c r="H7767" s="31">
        <f>+IFERROR(VLOOKUP(E7767,BD!$L$2:$Q$244,6,0),0)</f>
        <v>0</v>
      </c>
      <c r="I7767" s="626">
        <f>IFERROR(G7767*VLOOKUP($E7767,BD!$L$2:$Q$244,5,0),0)</f>
        <v>0</v>
      </c>
      <c r="J7767" s="3">
        <f t="shared" si="497"/>
        <v>1900</v>
      </c>
    </row>
    <row r="7768" spans="1:10" s="9" customFormat="1" x14ac:dyDescent="0.25">
      <c r="A7768" s="447"/>
      <c r="B7768" s="55" t="str">
        <f t="shared" si="494"/>
        <v>ENERO</v>
      </c>
      <c r="C7768" s="55">
        <f t="shared" si="495"/>
        <v>1</v>
      </c>
      <c r="D7768" s="3" t="str">
        <f t="shared" si="496"/>
        <v>SÁBADO</v>
      </c>
      <c r="E7768" s="427"/>
      <c r="F7768" s="31">
        <f>IFERROR(VLOOKUP(E7768,BD!$L$2:$Q$244,2,0),0)</f>
        <v>0</v>
      </c>
      <c r="G7768" s="425"/>
      <c r="H7768" s="31">
        <f>+IFERROR(VLOOKUP(E7768,BD!$L$2:$Q$244,6,0),0)</f>
        <v>0</v>
      </c>
      <c r="I7768" s="626">
        <f>IFERROR(G7768*VLOOKUP($E7768,BD!$L$2:$Q$244,5,0),0)</f>
        <v>0</v>
      </c>
      <c r="J7768" s="3">
        <f t="shared" si="497"/>
        <v>1900</v>
      </c>
    </row>
    <row r="7769" spans="1:10" s="9" customFormat="1" x14ac:dyDescent="0.25">
      <c r="A7769" s="447"/>
      <c r="B7769" s="55" t="str">
        <f t="shared" si="494"/>
        <v>ENERO</v>
      </c>
      <c r="C7769" s="55">
        <f t="shared" si="495"/>
        <v>1</v>
      </c>
      <c r="D7769" s="3" t="str">
        <f t="shared" si="496"/>
        <v>SÁBADO</v>
      </c>
      <c r="E7769" s="427"/>
      <c r="F7769" s="31">
        <f>IFERROR(VLOOKUP(E7769,BD!$L$2:$Q$244,2,0),0)</f>
        <v>0</v>
      </c>
      <c r="G7769" s="424"/>
      <c r="H7769" s="31">
        <f>+IFERROR(VLOOKUP(E7769,BD!$L$2:$Q$244,6,0),0)</f>
        <v>0</v>
      </c>
      <c r="I7769" s="626">
        <f>IFERROR(G7769*VLOOKUP($E7769,BD!$L$2:$Q$244,5,0),0)</f>
        <v>0</v>
      </c>
      <c r="J7769" s="3">
        <f t="shared" si="497"/>
        <v>1900</v>
      </c>
    </row>
    <row r="7770" spans="1:10" s="9" customFormat="1" x14ac:dyDescent="0.25">
      <c r="A7770" s="447"/>
      <c r="B7770" s="55" t="str">
        <f t="shared" si="494"/>
        <v>ENERO</v>
      </c>
      <c r="C7770" s="55">
        <f t="shared" si="495"/>
        <v>1</v>
      </c>
      <c r="D7770" s="3" t="str">
        <f t="shared" si="496"/>
        <v>SÁBADO</v>
      </c>
      <c r="E7770" s="427"/>
      <c r="F7770" s="31">
        <f>IFERROR(VLOOKUP(E7770,BD!$L$2:$Q$244,2,0),0)</f>
        <v>0</v>
      </c>
      <c r="G7770" s="424"/>
      <c r="H7770" s="31">
        <f>+IFERROR(VLOOKUP(E7770,BD!$L$2:$Q$244,6,0),0)</f>
        <v>0</v>
      </c>
      <c r="I7770" s="626">
        <f>IFERROR(G7770*VLOOKUP($E7770,BD!$L$2:$Q$244,5,0),0)</f>
        <v>0</v>
      </c>
      <c r="J7770" s="3">
        <f t="shared" si="497"/>
        <v>1900</v>
      </c>
    </row>
    <row r="7771" spans="1:10" s="9" customFormat="1" x14ac:dyDescent="0.25">
      <c r="A7771" s="447"/>
      <c r="B7771" s="55" t="str">
        <f t="shared" si="494"/>
        <v>ENERO</v>
      </c>
      <c r="C7771" s="55">
        <f t="shared" si="495"/>
        <v>1</v>
      </c>
      <c r="D7771" s="3" t="str">
        <f t="shared" si="496"/>
        <v>SÁBADO</v>
      </c>
      <c r="E7771" s="427"/>
      <c r="F7771" s="31">
        <f>IFERROR(VLOOKUP(E7771,BD!$L$2:$Q$244,2,0),0)</f>
        <v>0</v>
      </c>
      <c r="G7771" s="424"/>
      <c r="H7771" s="31">
        <f>+IFERROR(VLOOKUP(E7771,BD!$L$2:$Q$244,6,0),0)</f>
        <v>0</v>
      </c>
      <c r="I7771" s="626">
        <f>IFERROR(G7771*VLOOKUP($E7771,BD!$L$2:$Q$244,5,0),0)</f>
        <v>0</v>
      </c>
      <c r="J7771" s="3">
        <f t="shared" si="497"/>
        <v>1900</v>
      </c>
    </row>
    <row r="7772" spans="1:10" s="9" customFormat="1" x14ac:dyDescent="0.25">
      <c r="A7772" s="447"/>
      <c r="B7772" s="55" t="str">
        <f t="shared" si="494"/>
        <v>ENERO</v>
      </c>
      <c r="C7772" s="55">
        <f t="shared" si="495"/>
        <v>1</v>
      </c>
      <c r="D7772" s="3" t="str">
        <f t="shared" si="496"/>
        <v>SÁBADO</v>
      </c>
      <c r="E7772" s="427"/>
      <c r="F7772" s="31">
        <f>IFERROR(VLOOKUP(E7772,BD!$L$2:$Q$244,2,0),0)</f>
        <v>0</v>
      </c>
      <c r="G7772" s="424"/>
      <c r="H7772" s="31">
        <f>+IFERROR(VLOOKUP(E7772,BD!$L$2:$Q$244,6,0),0)</f>
        <v>0</v>
      </c>
      <c r="I7772" s="626">
        <f>IFERROR(G7772*VLOOKUP($E7772,BD!$L$2:$Q$244,5,0),0)</f>
        <v>0</v>
      </c>
      <c r="J7772" s="3">
        <f t="shared" si="497"/>
        <v>1900</v>
      </c>
    </row>
    <row r="7773" spans="1:10" s="9" customFormat="1" x14ac:dyDescent="0.25">
      <c r="A7773" s="447"/>
      <c r="B7773" s="55" t="str">
        <f t="shared" si="494"/>
        <v>ENERO</v>
      </c>
      <c r="C7773" s="55">
        <f t="shared" si="495"/>
        <v>1</v>
      </c>
      <c r="D7773" s="3" t="str">
        <f t="shared" si="496"/>
        <v>SÁBADO</v>
      </c>
      <c r="E7773" s="427"/>
      <c r="F7773" s="31">
        <f>IFERROR(VLOOKUP(E7773,BD!$L$2:$Q$244,2,0),0)</f>
        <v>0</v>
      </c>
      <c r="G7773" s="424"/>
      <c r="H7773" s="31">
        <f>+IFERROR(VLOOKUP(E7773,BD!$L$2:$Q$244,6,0),0)</f>
        <v>0</v>
      </c>
      <c r="I7773" s="626">
        <f>IFERROR(G7773*VLOOKUP($E7773,BD!$L$2:$Q$244,5,0),0)</f>
        <v>0</v>
      </c>
      <c r="J7773" s="3">
        <f t="shared" si="497"/>
        <v>1900</v>
      </c>
    </row>
    <row r="7774" spans="1:10" s="9" customFormat="1" x14ac:dyDescent="0.25">
      <c r="A7774" s="447"/>
      <c r="B7774" s="55" t="str">
        <f t="shared" si="494"/>
        <v>ENERO</v>
      </c>
      <c r="C7774" s="55">
        <f t="shared" si="495"/>
        <v>1</v>
      </c>
      <c r="D7774" s="3" t="str">
        <f t="shared" si="496"/>
        <v>SÁBADO</v>
      </c>
      <c r="E7774" s="427"/>
      <c r="F7774" s="31">
        <f>IFERROR(VLOOKUP(E7774,BD!$L$2:$Q$244,2,0),0)</f>
        <v>0</v>
      </c>
      <c r="G7774" s="424"/>
      <c r="H7774" s="31">
        <f>+IFERROR(VLOOKUP(E7774,BD!$L$2:$Q$244,6,0),0)</f>
        <v>0</v>
      </c>
      <c r="I7774" s="626">
        <f>IFERROR(G7774*VLOOKUP($E7774,BD!$L$2:$Q$244,5,0),0)</f>
        <v>0</v>
      </c>
      <c r="J7774" s="3">
        <f t="shared" si="497"/>
        <v>1900</v>
      </c>
    </row>
    <row r="7775" spans="1:10" s="9" customFormat="1" x14ac:dyDescent="0.25">
      <c r="A7775" s="447"/>
      <c r="B7775" s="55" t="str">
        <f t="shared" si="494"/>
        <v>ENERO</v>
      </c>
      <c r="C7775" s="55">
        <f t="shared" si="495"/>
        <v>1</v>
      </c>
      <c r="D7775" s="3" t="str">
        <f t="shared" si="496"/>
        <v>SÁBADO</v>
      </c>
      <c r="E7775" s="427"/>
      <c r="F7775" s="31">
        <f>IFERROR(VLOOKUP(E7775,BD!$L$2:$Q$244,2,0),0)</f>
        <v>0</v>
      </c>
      <c r="G7775" s="424"/>
      <c r="H7775" s="31">
        <f>+IFERROR(VLOOKUP(E7775,BD!$L$2:$Q$244,6,0),0)</f>
        <v>0</v>
      </c>
      <c r="I7775" s="626">
        <f>IFERROR(G7775*VLOOKUP($E7775,BD!$L$2:$Q$244,5,0),0)</f>
        <v>0</v>
      </c>
      <c r="J7775" s="3">
        <f t="shared" si="497"/>
        <v>1900</v>
      </c>
    </row>
    <row r="7776" spans="1:10" s="9" customFormat="1" x14ac:dyDescent="0.25">
      <c r="A7776" s="447"/>
      <c r="B7776" s="55" t="str">
        <f t="shared" si="494"/>
        <v>ENERO</v>
      </c>
      <c r="C7776" s="55">
        <f t="shared" si="495"/>
        <v>1</v>
      </c>
      <c r="D7776" s="3" t="str">
        <f t="shared" si="496"/>
        <v>SÁBADO</v>
      </c>
      <c r="E7776" s="427"/>
      <c r="F7776" s="31">
        <f>IFERROR(VLOOKUP(E7776,BD!$L$2:$Q$244,2,0),0)</f>
        <v>0</v>
      </c>
      <c r="G7776" s="424"/>
      <c r="H7776" s="31">
        <f>+IFERROR(VLOOKUP(E7776,BD!$L$2:$Q$244,6,0),0)</f>
        <v>0</v>
      </c>
      <c r="I7776" s="626">
        <f>IFERROR(G7776*VLOOKUP($E7776,BD!$L$2:$Q$244,5,0),0)</f>
        <v>0</v>
      </c>
      <c r="J7776" s="3">
        <f t="shared" si="497"/>
        <v>1900</v>
      </c>
    </row>
    <row r="7777" spans="1:10" s="9" customFormat="1" x14ac:dyDescent="0.25">
      <c r="A7777" s="447"/>
      <c r="B7777" s="55" t="str">
        <f t="shared" si="494"/>
        <v>ENERO</v>
      </c>
      <c r="C7777" s="55">
        <f t="shared" si="495"/>
        <v>1</v>
      </c>
      <c r="D7777" s="3" t="str">
        <f t="shared" si="496"/>
        <v>SÁBADO</v>
      </c>
      <c r="E7777" s="427"/>
      <c r="F7777" s="31">
        <f>IFERROR(VLOOKUP(E7777,BD!$L$2:$Q$244,2,0),0)</f>
        <v>0</v>
      </c>
      <c r="G7777" s="424"/>
      <c r="H7777" s="31">
        <f>+IFERROR(VLOOKUP(E7777,BD!$L$2:$Q$244,6,0),0)</f>
        <v>0</v>
      </c>
      <c r="I7777" s="626">
        <f>IFERROR(G7777*VLOOKUP($E7777,BD!$L$2:$Q$244,5,0),0)</f>
        <v>0</v>
      </c>
      <c r="J7777" s="3">
        <f t="shared" si="497"/>
        <v>1900</v>
      </c>
    </row>
    <row r="7778" spans="1:10" s="9" customFormat="1" x14ac:dyDescent="0.25">
      <c r="A7778" s="447"/>
      <c r="B7778" s="55" t="str">
        <f t="shared" si="494"/>
        <v>ENERO</v>
      </c>
      <c r="C7778" s="55">
        <f t="shared" si="495"/>
        <v>1</v>
      </c>
      <c r="D7778" s="3" t="str">
        <f t="shared" si="496"/>
        <v>SÁBADO</v>
      </c>
      <c r="E7778" s="427"/>
      <c r="F7778" s="31">
        <f>IFERROR(VLOOKUP(E7778,BD!$L$2:$Q$244,2,0),0)</f>
        <v>0</v>
      </c>
      <c r="G7778" s="424"/>
      <c r="H7778" s="31">
        <f>+IFERROR(VLOOKUP(E7778,BD!$L$2:$Q$244,6,0),0)</f>
        <v>0</v>
      </c>
      <c r="I7778" s="626">
        <f>IFERROR(G7778*VLOOKUP($E7778,BD!$L$2:$Q$244,5,0),0)</f>
        <v>0</v>
      </c>
      <c r="J7778" s="3">
        <f t="shared" si="497"/>
        <v>1900</v>
      </c>
    </row>
    <row r="7779" spans="1:10" s="9" customFormat="1" x14ac:dyDescent="0.25">
      <c r="A7779" s="447"/>
      <c r="B7779" s="55" t="str">
        <f t="shared" si="494"/>
        <v>ENERO</v>
      </c>
      <c r="C7779" s="55">
        <f t="shared" si="495"/>
        <v>1</v>
      </c>
      <c r="D7779" s="3" t="str">
        <f t="shared" si="496"/>
        <v>SÁBADO</v>
      </c>
      <c r="E7779" s="427"/>
      <c r="F7779" s="31">
        <f>IFERROR(VLOOKUP(E7779,BD!$L$2:$Q$244,2,0),0)</f>
        <v>0</v>
      </c>
      <c r="G7779" s="424"/>
      <c r="H7779" s="31">
        <f>+IFERROR(VLOOKUP(E7779,BD!$L$2:$Q$244,6,0),0)</f>
        <v>0</v>
      </c>
      <c r="I7779" s="626">
        <f>IFERROR(G7779*VLOOKUP($E7779,BD!$L$2:$Q$244,5,0),0)</f>
        <v>0</v>
      </c>
      <c r="J7779" s="3">
        <f t="shared" si="497"/>
        <v>1900</v>
      </c>
    </row>
    <row r="7780" spans="1:10" s="9" customFormat="1" x14ac:dyDescent="0.25">
      <c r="A7780" s="447"/>
      <c r="B7780" s="55" t="str">
        <f t="shared" si="494"/>
        <v>ENERO</v>
      </c>
      <c r="C7780" s="55">
        <f t="shared" si="495"/>
        <v>1</v>
      </c>
      <c r="D7780" s="3" t="str">
        <f t="shared" si="496"/>
        <v>SÁBADO</v>
      </c>
      <c r="E7780" s="427"/>
      <c r="F7780" s="31">
        <f>IFERROR(VLOOKUP(E7780,BD!$L$2:$Q$244,2,0),0)</f>
        <v>0</v>
      </c>
      <c r="G7780" s="424"/>
      <c r="H7780" s="31">
        <f>+IFERROR(VLOOKUP(E7780,BD!$L$2:$Q$244,6,0),0)</f>
        <v>0</v>
      </c>
      <c r="I7780" s="626">
        <f>IFERROR(G7780*VLOOKUP($E7780,BD!$L$2:$Q$244,5,0),0)</f>
        <v>0</v>
      </c>
      <c r="J7780" s="3">
        <f t="shared" si="497"/>
        <v>1900</v>
      </c>
    </row>
    <row r="7781" spans="1:10" s="9" customFormat="1" x14ac:dyDescent="0.25">
      <c r="A7781" s="447"/>
      <c r="B7781" s="55" t="str">
        <f t="shared" si="494"/>
        <v>ENERO</v>
      </c>
      <c r="C7781" s="55">
        <f t="shared" si="495"/>
        <v>1</v>
      </c>
      <c r="D7781" s="3" t="str">
        <f t="shared" si="496"/>
        <v>SÁBADO</v>
      </c>
      <c r="E7781" s="427"/>
      <c r="F7781" s="31">
        <f>IFERROR(VLOOKUP(E7781,BD!$L$2:$Q$244,2,0),0)</f>
        <v>0</v>
      </c>
      <c r="G7781" s="424"/>
      <c r="H7781" s="31">
        <f>+IFERROR(VLOOKUP(E7781,BD!$L$2:$Q$244,6,0),0)</f>
        <v>0</v>
      </c>
      <c r="I7781" s="626">
        <f>IFERROR(G7781*VLOOKUP($E7781,BD!$L$2:$Q$244,5,0),0)</f>
        <v>0</v>
      </c>
      <c r="J7781" s="3">
        <f t="shared" si="497"/>
        <v>1900</v>
      </c>
    </row>
    <row r="7782" spans="1:10" s="9" customFormat="1" x14ac:dyDescent="0.25">
      <c r="A7782" s="447"/>
      <c r="B7782" s="55" t="str">
        <f t="shared" si="494"/>
        <v>ENERO</v>
      </c>
      <c r="C7782" s="55">
        <f t="shared" si="495"/>
        <v>1</v>
      </c>
      <c r="D7782" s="3" t="str">
        <f t="shared" si="496"/>
        <v>SÁBADO</v>
      </c>
      <c r="E7782" s="427"/>
      <c r="F7782" s="31">
        <f>IFERROR(VLOOKUP(E7782,BD!$L$2:$Q$244,2,0),0)</f>
        <v>0</v>
      </c>
      <c r="G7782" s="425"/>
      <c r="H7782" s="31">
        <f>+IFERROR(VLOOKUP(E7782,BD!$L$2:$Q$244,6,0),0)</f>
        <v>0</v>
      </c>
      <c r="I7782" s="626">
        <f>IFERROR(G7782*VLOOKUP($E7782,BD!$L$2:$Q$244,5,0),0)</f>
        <v>0</v>
      </c>
      <c r="J7782" s="3">
        <f t="shared" si="497"/>
        <v>1900</v>
      </c>
    </row>
    <row r="7783" spans="1:10" s="9" customFormat="1" x14ac:dyDescent="0.25">
      <c r="A7783" s="447"/>
      <c r="B7783" s="55" t="str">
        <f t="shared" si="494"/>
        <v>ENERO</v>
      </c>
      <c r="C7783" s="55">
        <f t="shared" si="495"/>
        <v>1</v>
      </c>
      <c r="D7783" s="3" t="str">
        <f t="shared" si="496"/>
        <v>SÁBADO</v>
      </c>
      <c r="E7783" s="427"/>
      <c r="F7783" s="31">
        <f>IFERROR(VLOOKUP(E7783,BD!$L$2:$Q$244,2,0),0)</f>
        <v>0</v>
      </c>
      <c r="G7783" s="424"/>
      <c r="H7783" s="31">
        <f>+IFERROR(VLOOKUP(E7783,BD!$L$2:$Q$244,6,0),0)</f>
        <v>0</v>
      </c>
      <c r="I7783" s="626">
        <f>IFERROR(G7783*VLOOKUP($E7783,BD!$L$2:$Q$244,5,0),0)</f>
        <v>0</v>
      </c>
      <c r="J7783" s="3">
        <f t="shared" si="497"/>
        <v>1900</v>
      </c>
    </row>
    <row r="7784" spans="1:10" s="9" customFormat="1" x14ac:dyDescent="0.25">
      <c r="A7784" s="447"/>
      <c r="B7784" s="55" t="str">
        <f t="shared" si="494"/>
        <v>ENERO</v>
      </c>
      <c r="C7784" s="55">
        <f t="shared" si="495"/>
        <v>1</v>
      </c>
      <c r="D7784" s="3" t="str">
        <f t="shared" si="496"/>
        <v>SÁBADO</v>
      </c>
      <c r="E7784" s="427"/>
      <c r="F7784" s="31">
        <f>IFERROR(VLOOKUP(E7784,BD!$L$2:$Q$244,2,0),0)</f>
        <v>0</v>
      </c>
      <c r="G7784" s="424"/>
      <c r="H7784" s="31">
        <f>+IFERROR(VLOOKUP(E7784,BD!$L$2:$Q$244,6,0),0)</f>
        <v>0</v>
      </c>
      <c r="I7784" s="626">
        <f>IFERROR(G7784*VLOOKUP($E7784,BD!$L$2:$Q$244,5,0),0)</f>
        <v>0</v>
      </c>
      <c r="J7784" s="3">
        <f t="shared" si="497"/>
        <v>1900</v>
      </c>
    </row>
    <row r="7785" spans="1:10" s="9" customFormat="1" x14ac:dyDescent="0.25">
      <c r="A7785" s="447"/>
      <c r="B7785" s="55" t="str">
        <f t="shared" si="494"/>
        <v>ENERO</v>
      </c>
      <c r="C7785" s="55">
        <f t="shared" si="495"/>
        <v>1</v>
      </c>
      <c r="D7785" s="3" t="str">
        <f t="shared" si="496"/>
        <v>SÁBADO</v>
      </c>
      <c r="E7785" s="427"/>
      <c r="F7785" s="31">
        <f>IFERROR(VLOOKUP(E7785,BD!$L$2:$Q$244,2,0),0)</f>
        <v>0</v>
      </c>
      <c r="G7785" s="424"/>
      <c r="H7785" s="31">
        <f>+IFERROR(VLOOKUP(E7785,BD!$L$2:$Q$244,6,0),0)</f>
        <v>0</v>
      </c>
      <c r="I7785" s="626">
        <f>IFERROR(G7785*VLOOKUP($E7785,BD!$L$2:$Q$244,5,0),0)</f>
        <v>0</v>
      </c>
      <c r="J7785" s="3">
        <f t="shared" si="497"/>
        <v>1900</v>
      </c>
    </row>
    <row r="7786" spans="1:10" s="9" customFormat="1" x14ac:dyDescent="0.25">
      <c r="A7786" s="447"/>
      <c r="B7786" s="55" t="str">
        <f t="shared" si="494"/>
        <v>ENERO</v>
      </c>
      <c r="C7786" s="55">
        <f t="shared" si="495"/>
        <v>1</v>
      </c>
      <c r="D7786" s="3" t="str">
        <f t="shared" si="496"/>
        <v>SÁBADO</v>
      </c>
      <c r="E7786" s="427"/>
      <c r="F7786" s="31">
        <f>IFERROR(VLOOKUP(E7786,BD!$L$2:$Q$244,2,0),0)</f>
        <v>0</v>
      </c>
      <c r="G7786" s="424"/>
      <c r="H7786" s="31">
        <f>+IFERROR(VLOOKUP(E7786,BD!$L$2:$Q$244,6,0),0)</f>
        <v>0</v>
      </c>
      <c r="I7786" s="626">
        <f>IFERROR(G7786*VLOOKUP($E7786,BD!$L$2:$Q$244,5,0),0)</f>
        <v>0</v>
      </c>
      <c r="J7786" s="3">
        <f t="shared" si="497"/>
        <v>1900</v>
      </c>
    </row>
    <row r="7787" spans="1:10" s="9" customFormat="1" x14ac:dyDescent="0.25">
      <c r="A7787" s="447"/>
      <c r="B7787" s="55" t="str">
        <f t="shared" si="494"/>
        <v>ENERO</v>
      </c>
      <c r="C7787" s="55">
        <f t="shared" si="495"/>
        <v>1</v>
      </c>
      <c r="D7787" s="3" t="str">
        <f t="shared" si="496"/>
        <v>SÁBADO</v>
      </c>
      <c r="E7787" s="427"/>
      <c r="F7787" s="31">
        <f>IFERROR(VLOOKUP(E7787,BD!$L$2:$Q$244,2,0),0)</f>
        <v>0</v>
      </c>
      <c r="G7787" s="424"/>
      <c r="H7787" s="31">
        <f>+IFERROR(VLOOKUP(E7787,BD!$L$2:$Q$244,6,0),0)</f>
        <v>0</v>
      </c>
      <c r="I7787" s="626">
        <f>IFERROR(G7787*VLOOKUP($E7787,BD!$L$2:$Q$244,5,0),0)</f>
        <v>0</v>
      </c>
      <c r="J7787" s="3">
        <f t="shared" si="497"/>
        <v>1900</v>
      </c>
    </row>
    <row r="7788" spans="1:10" s="9" customFormat="1" x14ac:dyDescent="0.25">
      <c r="A7788" s="447"/>
      <c r="B7788" s="55" t="str">
        <f t="shared" si="494"/>
        <v>ENERO</v>
      </c>
      <c r="C7788" s="55">
        <f t="shared" si="495"/>
        <v>1</v>
      </c>
      <c r="D7788" s="3" t="str">
        <f t="shared" si="496"/>
        <v>SÁBADO</v>
      </c>
      <c r="E7788" s="427"/>
      <c r="F7788" s="31">
        <f>IFERROR(VLOOKUP(E7788,BD!$L$2:$Q$244,2,0),0)</f>
        <v>0</v>
      </c>
      <c r="G7788" s="424"/>
      <c r="H7788" s="31">
        <f>+IFERROR(VLOOKUP(E7788,BD!$L$2:$Q$244,6,0),0)</f>
        <v>0</v>
      </c>
      <c r="I7788" s="626">
        <f>IFERROR(G7788*VLOOKUP($E7788,BD!$L$2:$Q$244,5,0),0)</f>
        <v>0</v>
      </c>
      <c r="J7788" s="3">
        <f t="shared" si="497"/>
        <v>1900</v>
      </c>
    </row>
    <row r="7789" spans="1:10" s="9" customFormat="1" x14ac:dyDescent="0.25">
      <c r="A7789" s="447"/>
      <c r="B7789" s="55" t="str">
        <f t="shared" si="494"/>
        <v>ENERO</v>
      </c>
      <c r="C7789" s="55">
        <f t="shared" si="495"/>
        <v>1</v>
      </c>
      <c r="D7789" s="3" t="str">
        <f t="shared" si="496"/>
        <v>SÁBADO</v>
      </c>
      <c r="E7789" s="427"/>
      <c r="F7789" s="31">
        <f>IFERROR(VLOOKUP(E7789,BD!$L$2:$Q$244,2,0),0)</f>
        <v>0</v>
      </c>
      <c r="G7789" s="424"/>
      <c r="H7789" s="31">
        <f>+IFERROR(VLOOKUP(E7789,BD!$L$2:$Q$244,6,0),0)</f>
        <v>0</v>
      </c>
      <c r="I7789" s="626">
        <f>IFERROR(G7789*VLOOKUP($E7789,BD!$L$2:$Q$244,5,0),0)</f>
        <v>0</v>
      </c>
      <c r="J7789" s="3">
        <f t="shared" si="497"/>
        <v>1900</v>
      </c>
    </row>
    <row r="7790" spans="1:10" s="9" customFormat="1" x14ac:dyDescent="0.25">
      <c r="A7790" s="447"/>
      <c r="B7790" s="55" t="str">
        <f t="shared" si="494"/>
        <v>ENERO</v>
      </c>
      <c r="C7790" s="55">
        <f t="shared" si="495"/>
        <v>1</v>
      </c>
      <c r="D7790" s="3" t="str">
        <f t="shared" si="496"/>
        <v>SÁBADO</v>
      </c>
      <c r="E7790" s="427"/>
      <c r="F7790" s="31">
        <f>IFERROR(VLOOKUP(E7790,BD!$L$2:$Q$244,2,0),0)</f>
        <v>0</v>
      </c>
      <c r="G7790" s="424"/>
      <c r="H7790" s="31">
        <f>+IFERROR(VLOOKUP(E7790,BD!$L$2:$Q$244,6,0),0)</f>
        <v>0</v>
      </c>
      <c r="I7790" s="626">
        <f>IFERROR(G7790*VLOOKUP($E7790,BD!$L$2:$Q$244,5,0),0)</f>
        <v>0</v>
      </c>
      <c r="J7790" s="3">
        <f t="shared" si="497"/>
        <v>1900</v>
      </c>
    </row>
    <row r="7791" spans="1:10" s="9" customFormat="1" x14ac:dyDescent="0.25">
      <c r="A7791" s="447"/>
      <c r="B7791" s="55" t="str">
        <f t="shared" si="494"/>
        <v>ENERO</v>
      </c>
      <c r="C7791" s="55">
        <f t="shared" si="495"/>
        <v>1</v>
      </c>
      <c r="D7791" s="3" t="str">
        <f t="shared" si="496"/>
        <v>SÁBADO</v>
      </c>
      <c r="E7791" s="427"/>
      <c r="F7791" s="31">
        <f>IFERROR(VLOOKUP(E7791,BD!$L$2:$Q$244,2,0),0)</f>
        <v>0</v>
      </c>
      <c r="G7791" s="424"/>
      <c r="H7791" s="31">
        <f>+IFERROR(VLOOKUP(E7791,BD!$L$2:$Q$244,6,0),0)</f>
        <v>0</v>
      </c>
      <c r="I7791" s="626">
        <f>IFERROR(G7791*VLOOKUP($E7791,BD!$L$2:$Q$244,5,0),0)</f>
        <v>0</v>
      </c>
      <c r="J7791" s="3">
        <f t="shared" si="497"/>
        <v>1900</v>
      </c>
    </row>
    <row r="7792" spans="1:10" s="9" customFormat="1" x14ac:dyDescent="0.25">
      <c r="A7792" s="447"/>
      <c r="B7792" s="55" t="str">
        <f t="shared" si="494"/>
        <v>ENERO</v>
      </c>
      <c r="C7792" s="55">
        <f t="shared" si="495"/>
        <v>1</v>
      </c>
      <c r="D7792" s="3" t="str">
        <f t="shared" si="496"/>
        <v>SÁBADO</v>
      </c>
      <c r="E7792" s="427"/>
      <c r="F7792" s="31">
        <f>IFERROR(VLOOKUP(E7792,BD!$L$2:$Q$244,2,0),0)</f>
        <v>0</v>
      </c>
      <c r="G7792" s="424"/>
      <c r="H7792" s="31">
        <f>+IFERROR(VLOOKUP(E7792,BD!$L$2:$Q$244,6,0),0)</f>
        <v>0</v>
      </c>
      <c r="I7792" s="626">
        <f>IFERROR(G7792*VLOOKUP($E7792,BD!$L$2:$Q$244,5,0),0)</f>
        <v>0</v>
      </c>
      <c r="J7792" s="3">
        <f t="shared" si="497"/>
        <v>1900</v>
      </c>
    </row>
    <row r="7793" spans="1:10" s="9" customFormat="1" x14ac:dyDescent="0.25">
      <c r="A7793" s="447"/>
      <c r="B7793" s="55" t="str">
        <f t="shared" si="494"/>
        <v>ENERO</v>
      </c>
      <c r="C7793" s="55">
        <f t="shared" si="495"/>
        <v>1</v>
      </c>
      <c r="D7793" s="3" t="str">
        <f t="shared" si="496"/>
        <v>SÁBADO</v>
      </c>
      <c r="E7793" s="427"/>
      <c r="F7793" s="31">
        <f>IFERROR(VLOOKUP(E7793,BD!$L$2:$Q$244,2,0),0)</f>
        <v>0</v>
      </c>
      <c r="G7793" s="424"/>
      <c r="H7793" s="31">
        <f>+IFERROR(VLOOKUP(E7793,BD!$L$2:$Q$244,6,0),0)</f>
        <v>0</v>
      </c>
      <c r="I7793" s="626">
        <f>IFERROR(G7793*VLOOKUP($E7793,BD!$L$2:$Q$244,5,0),0)</f>
        <v>0</v>
      </c>
      <c r="J7793" s="3">
        <f t="shared" si="497"/>
        <v>1900</v>
      </c>
    </row>
    <row r="7794" spans="1:10" s="9" customFormat="1" x14ac:dyDescent="0.25">
      <c r="A7794" s="447"/>
      <c r="B7794" s="55" t="str">
        <f t="shared" si="494"/>
        <v>ENERO</v>
      </c>
      <c r="C7794" s="55">
        <f t="shared" si="495"/>
        <v>1</v>
      </c>
      <c r="D7794" s="3" t="str">
        <f t="shared" si="496"/>
        <v>SÁBADO</v>
      </c>
      <c r="E7794" s="427"/>
      <c r="F7794" s="31">
        <f>IFERROR(VLOOKUP(E7794,BD!$L$2:$Q$244,2,0),0)</f>
        <v>0</v>
      </c>
      <c r="G7794" s="424"/>
      <c r="H7794" s="31">
        <f>+IFERROR(VLOOKUP(E7794,BD!$L$2:$Q$244,6,0),0)</f>
        <v>0</v>
      </c>
      <c r="I7794" s="626">
        <f>IFERROR(G7794*VLOOKUP($E7794,BD!$L$2:$Q$244,5,0),0)</f>
        <v>0</v>
      </c>
      <c r="J7794" s="3">
        <f t="shared" si="497"/>
        <v>1900</v>
      </c>
    </row>
    <row r="7795" spans="1:10" s="9" customFormat="1" x14ac:dyDescent="0.25">
      <c r="A7795" s="447"/>
      <c r="B7795" s="55" t="str">
        <f t="shared" si="494"/>
        <v>ENERO</v>
      </c>
      <c r="C7795" s="55">
        <f t="shared" si="495"/>
        <v>1</v>
      </c>
      <c r="D7795" s="3" t="str">
        <f t="shared" si="496"/>
        <v>SÁBADO</v>
      </c>
      <c r="E7795" s="427"/>
      <c r="F7795" s="31">
        <f>IFERROR(VLOOKUP(E7795,BD!$L$2:$Q$244,2,0),0)</f>
        <v>0</v>
      </c>
      <c r="G7795" s="424"/>
      <c r="H7795" s="31">
        <f>+IFERROR(VLOOKUP(E7795,BD!$L$2:$Q$244,6,0),0)</f>
        <v>0</v>
      </c>
      <c r="I7795" s="626">
        <f>IFERROR(G7795*VLOOKUP($E7795,BD!$L$2:$Q$244,5,0),0)</f>
        <v>0</v>
      </c>
      <c r="J7795" s="3">
        <f t="shared" si="497"/>
        <v>1900</v>
      </c>
    </row>
    <row r="7796" spans="1:10" s="9" customFormat="1" x14ac:dyDescent="0.25">
      <c r="A7796" s="447"/>
      <c r="B7796" s="55" t="str">
        <f t="shared" si="494"/>
        <v>ENERO</v>
      </c>
      <c r="C7796" s="55">
        <f t="shared" si="495"/>
        <v>1</v>
      </c>
      <c r="D7796" s="3" t="str">
        <f t="shared" si="496"/>
        <v>SÁBADO</v>
      </c>
      <c r="E7796" s="427"/>
      <c r="F7796" s="31">
        <f>IFERROR(VLOOKUP(E7796,BD!$L$2:$Q$244,2,0),0)</f>
        <v>0</v>
      </c>
      <c r="G7796" s="425"/>
      <c r="H7796" s="31">
        <f>+IFERROR(VLOOKUP(E7796,BD!$L$2:$Q$244,6,0),0)</f>
        <v>0</v>
      </c>
      <c r="I7796" s="626">
        <f>IFERROR(G7796*VLOOKUP($E7796,BD!$L$2:$Q$244,5,0),0)</f>
        <v>0</v>
      </c>
      <c r="J7796" s="3">
        <f t="shared" si="497"/>
        <v>1900</v>
      </c>
    </row>
    <row r="7797" spans="1:10" s="9" customFormat="1" x14ac:dyDescent="0.25">
      <c r="A7797" s="447"/>
      <c r="B7797" s="55" t="str">
        <f t="shared" si="494"/>
        <v>ENERO</v>
      </c>
      <c r="C7797" s="55">
        <f t="shared" si="495"/>
        <v>1</v>
      </c>
      <c r="D7797" s="3" t="str">
        <f t="shared" si="496"/>
        <v>SÁBADO</v>
      </c>
      <c r="E7797" s="427"/>
      <c r="F7797" s="31">
        <f>IFERROR(VLOOKUP(E7797,BD!$L$2:$Q$244,2,0),0)</f>
        <v>0</v>
      </c>
      <c r="G7797" s="424"/>
      <c r="H7797" s="31">
        <f>+IFERROR(VLOOKUP(E7797,BD!$L$2:$Q$244,6,0),0)</f>
        <v>0</v>
      </c>
      <c r="I7797" s="626">
        <f>IFERROR(G7797*VLOOKUP($E7797,BD!$L$2:$Q$244,5,0),0)</f>
        <v>0</v>
      </c>
      <c r="J7797" s="3">
        <f t="shared" si="497"/>
        <v>1900</v>
      </c>
    </row>
    <row r="7798" spans="1:10" s="9" customFormat="1" x14ac:dyDescent="0.25">
      <c r="A7798" s="447"/>
      <c r="B7798" s="55" t="str">
        <f t="shared" si="494"/>
        <v>ENERO</v>
      </c>
      <c r="C7798" s="55">
        <f t="shared" si="495"/>
        <v>1</v>
      </c>
      <c r="D7798" s="3" t="str">
        <f t="shared" si="496"/>
        <v>SÁBADO</v>
      </c>
      <c r="E7798" s="427"/>
      <c r="F7798" s="31">
        <f>IFERROR(VLOOKUP(E7798,BD!$L$2:$Q$244,2,0),0)</f>
        <v>0</v>
      </c>
      <c r="G7798" s="424"/>
      <c r="H7798" s="31">
        <f>+IFERROR(VLOOKUP(E7798,BD!$L$2:$Q$244,6,0),0)</f>
        <v>0</v>
      </c>
      <c r="I7798" s="626">
        <f>IFERROR(G7798*VLOOKUP($E7798,BD!$L$2:$Q$244,5,0),0)</f>
        <v>0</v>
      </c>
      <c r="J7798" s="3">
        <f t="shared" si="497"/>
        <v>1900</v>
      </c>
    </row>
    <row r="7799" spans="1:10" s="9" customFormat="1" x14ac:dyDescent="0.25">
      <c r="A7799" s="447"/>
      <c r="B7799" s="55" t="str">
        <f t="shared" si="494"/>
        <v>ENERO</v>
      </c>
      <c r="C7799" s="55">
        <f t="shared" si="495"/>
        <v>1</v>
      </c>
      <c r="D7799" s="3" t="str">
        <f t="shared" si="496"/>
        <v>SÁBADO</v>
      </c>
      <c r="E7799" s="427"/>
      <c r="F7799" s="31">
        <f>IFERROR(VLOOKUP(E7799,BD!$L$2:$Q$244,2,0),0)</f>
        <v>0</v>
      </c>
      <c r="G7799" s="424"/>
      <c r="H7799" s="31">
        <f>+IFERROR(VLOOKUP(E7799,BD!$L$2:$Q$244,6,0),0)</f>
        <v>0</v>
      </c>
      <c r="I7799" s="626">
        <f>IFERROR(G7799*VLOOKUP($E7799,BD!$L$2:$Q$244,5,0),0)</f>
        <v>0</v>
      </c>
      <c r="J7799" s="3">
        <f t="shared" si="497"/>
        <v>1900</v>
      </c>
    </row>
    <row r="7800" spans="1:10" s="9" customFormat="1" x14ac:dyDescent="0.25">
      <c r="A7800" s="447"/>
      <c r="B7800" s="55" t="str">
        <f t="shared" si="494"/>
        <v>ENERO</v>
      </c>
      <c r="C7800" s="55">
        <f t="shared" si="495"/>
        <v>1</v>
      </c>
      <c r="D7800" s="3" t="str">
        <f t="shared" si="496"/>
        <v>SÁBADO</v>
      </c>
      <c r="E7800" s="427"/>
      <c r="F7800" s="31">
        <f>IFERROR(VLOOKUP(E7800,BD!$L$2:$Q$244,2,0),0)</f>
        <v>0</v>
      </c>
      <c r="G7800" s="424"/>
      <c r="H7800" s="31">
        <f>+IFERROR(VLOOKUP(E7800,BD!$L$2:$Q$244,6,0),0)</f>
        <v>0</v>
      </c>
      <c r="I7800" s="626">
        <f>IFERROR(G7800*VLOOKUP($E7800,BD!$L$2:$Q$244,5,0),0)</f>
        <v>0</v>
      </c>
      <c r="J7800" s="3">
        <f t="shared" si="497"/>
        <v>1900</v>
      </c>
    </row>
    <row r="7801" spans="1:10" s="9" customFormat="1" x14ac:dyDescent="0.25">
      <c r="A7801" s="447"/>
      <c r="B7801" s="55" t="str">
        <f t="shared" si="494"/>
        <v>ENERO</v>
      </c>
      <c r="C7801" s="55">
        <f t="shared" si="495"/>
        <v>1</v>
      </c>
      <c r="D7801" s="3" t="str">
        <f t="shared" si="496"/>
        <v>SÁBADO</v>
      </c>
      <c r="E7801" s="427"/>
      <c r="F7801" s="31">
        <f>IFERROR(VLOOKUP(E7801,BD!$L$2:$Q$244,2,0),0)</f>
        <v>0</v>
      </c>
      <c r="G7801" s="424"/>
      <c r="H7801" s="31">
        <f>+IFERROR(VLOOKUP(E7801,BD!$L$2:$Q$244,6,0),0)</f>
        <v>0</v>
      </c>
      <c r="I7801" s="626">
        <f>IFERROR(G7801*VLOOKUP($E7801,BD!$L$2:$Q$244,5,0),0)</f>
        <v>0</v>
      </c>
      <c r="J7801" s="3">
        <f t="shared" si="497"/>
        <v>1900</v>
      </c>
    </row>
    <row r="7802" spans="1:10" s="9" customFormat="1" x14ac:dyDescent="0.25">
      <c r="A7802" s="447"/>
      <c r="B7802" s="55" t="str">
        <f t="shared" si="494"/>
        <v>ENERO</v>
      </c>
      <c r="C7802" s="55">
        <f t="shared" si="495"/>
        <v>1</v>
      </c>
      <c r="D7802" s="3" t="str">
        <f t="shared" si="496"/>
        <v>SÁBADO</v>
      </c>
      <c r="E7802" s="427"/>
      <c r="F7802" s="31">
        <f>IFERROR(VLOOKUP(E7802,BD!$L$2:$Q$244,2,0),0)</f>
        <v>0</v>
      </c>
      <c r="G7802" s="424"/>
      <c r="H7802" s="31">
        <f>+IFERROR(VLOOKUP(E7802,BD!$L$2:$Q$244,6,0),0)</f>
        <v>0</v>
      </c>
      <c r="I7802" s="626">
        <f>IFERROR(G7802*VLOOKUP($E7802,BD!$L$2:$Q$244,5,0),0)</f>
        <v>0</v>
      </c>
      <c r="J7802" s="3">
        <f t="shared" si="497"/>
        <v>1900</v>
      </c>
    </row>
    <row r="7803" spans="1:10" s="9" customFormat="1" x14ac:dyDescent="0.25">
      <c r="A7803" s="447"/>
      <c r="B7803" s="55" t="str">
        <f t="shared" si="494"/>
        <v>ENERO</v>
      </c>
      <c r="C7803" s="55">
        <f t="shared" si="495"/>
        <v>1</v>
      </c>
      <c r="D7803" s="3" t="str">
        <f t="shared" si="496"/>
        <v>SÁBADO</v>
      </c>
      <c r="E7803" s="427"/>
      <c r="F7803" s="31">
        <f>IFERROR(VLOOKUP(E7803,BD!$L$2:$Q$244,2,0),0)</f>
        <v>0</v>
      </c>
      <c r="G7803" s="424"/>
      <c r="H7803" s="31">
        <f>+IFERROR(VLOOKUP(E7803,BD!$L$2:$Q$244,6,0),0)</f>
        <v>0</v>
      </c>
      <c r="I7803" s="626">
        <f>IFERROR(G7803*VLOOKUP($E7803,BD!$L$2:$Q$244,5,0),0)</f>
        <v>0</v>
      </c>
      <c r="J7803" s="3">
        <f t="shared" si="497"/>
        <v>1900</v>
      </c>
    </row>
    <row r="7804" spans="1:10" s="9" customFormat="1" x14ac:dyDescent="0.25">
      <c r="A7804" s="447"/>
      <c r="B7804" s="55" t="str">
        <f t="shared" si="494"/>
        <v>ENERO</v>
      </c>
      <c r="C7804" s="55">
        <f t="shared" si="495"/>
        <v>1</v>
      </c>
      <c r="D7804" s="3" t="str">
        <f t="shared" si="496"/>
        <v>SÁBADO</v>
      </c>
      <c r="E7804" s="427"/>
      <c r="F7804" s="31">
        <f>IFERROR(VLOOKUP(E7804,BD!$L$2:$Q$244,2,0),0)</f>
        <v>0</v>
      </c>
      <c r="G7804" s="424"/>
      <c r="H7804" s="31">
        <f>+IFERROR(VLOOKUP(E7804,BD!$L$2:$Q$244,6,0),0)</f>
        <v>0</v>
      </c>
      <c r="I7804" s="626">
        <f>IFERROR(G7804*VLOOKUP($E7804,BD!$L$2:$Q$244,5,0),0)</f>
        <v>0</v>
      </c>
      <c r="J7804" s="3">
        <f t="shared" si="497"/>
        <v>1900</v>
      </c>
    </row>
    <row r="7805" spans="1:10" s="9" customFormat="1" x14ac:dyDescent="0.25">
      <c r="A7805" s="447"/>
      <c r="B7805" s="55" t="str">
        <f t="shared" ref="B7805:B7868" si="498">UPPER(TEXT(A7805,"MMMM"))</f>
        <v>ENERO</v>
      </c>
      <c r="C7805" s="55">
        <f t="shared" ref="C7805:C7868" si="499">WEEKNUM(A7805,16)</f>
        <v>1</v>
      </c>
      <c r="D7805" s="3" t="str">
        <f t="shared" ref="D7805:D7868" si="500">UPPER(TEXT(A7805,"DDDD"))</f>
        <v>SÁBADO</v>
      </c>
      <c r="E7805" s="427"/>
      <c r="F7805" s="31">
        <f>IFERROR(VLOOKUP(E7805,BD!$L$2:$Q$244,2,0),0)</f>
        <v>0</v>
      </c>
      <c r="G7805" s="424"/>
      <c r="H7805" s="31">
        <f>+IFERROR(VLOOKUP(E7805,BD!$L$2:$Q$244,6,0),0)</f>
        <v>0</v>
      </c>
      <c r="I7805" s="626">
        <f>IFERROR(G7805*VLOOKUP($E7805,BD!$L$2:$Q$244,5,0),0)</f>
        <v>0</v>
      </c>
      <c r="J7805" s="3">
        <f t="shared" ref="J7805:J7868" si="501">+YEAR(A7805)</f>
        <v>1900</v>
      </c>
    </row>
    <row r="7806" spans="1:10" s="9" customFormat="1" x14ac:dyDescent="0.25">
      <c r="A7806" s="447"/>
      <c r="B7806" s="55" t="str">
        <f t="shared" si="498"/>
        <v>ENERO</v>
      </c>
      <c r="C7806" s="55">
        <f t="shared" si="499"/>
        <v>1</v>
      </c>
      <c r="D7806" s="3" t="str">
        <f t="shared" si="500"/>
        <v>SÁBADO</v>
      </c>
      <c r="E7806" s="427"/>
      <c r="F7806" s="31">
        <f>IFERROR(VLOOKUP(E7806,BD!$L$2:$Q$244,2,0),0)</f>
        <v>0</v>
      </c>
      <c r="G7806" s="424"/>
      <c r="H7806" s="31">
        <f>+IFERROR(VLOOKUP(E7806,BD!$L$2:$Q$244,6,0),0)</f>
        <v>0</v>
      </c>
      <c r="I7806" s="626">
        <f>IFERROR(G7806*VLOOKUP($E7806,BD!$L$2:$Q$244,5,0),0)</f>
        <v>0</v>
      </c>
      <c r="J7806" s="3">
        <f t="shared" si="501"/>
        <v>1900</v>
      </c>
    </row>
    <row r="7807" spans="1:10" s="9" customFormat="1" x14ac:dyDescent="0.25">
      <c r="A7807" s="447"/>
      <c r="B7807" s="55" t="str">
        <f t="shared" si="498"/>
        <v>ENERO</v>
      </c>
      <c r="C7807" s="55">
        <f t="shared" si="499"/>
        <v>1</v>
      </c>
      <c r="D7807" s="3" t="str">
        <f t="shared" si="500"/>
        <v>SÁBADO</v>
      </c>
      <c r="E7807" s="427"/>
      <c r="F7807" s="31">
        <f>IFERROR(VLOOKUP(E7807,BD!$L$2:$Q$244,2,0),0)</f>
        <v>0</v>
      </c>
      <c r="G7807" s="424"/>
      <c r="H7807" s="31">
        <f>+IFERROR(VLOOKUP(E7807,BD!$L$2:$Q$244,6,0),0)</f>
        <v>0</v>
      </c>
      <c r="I7807" s="626">
        <f>IFERROR(G7807*VLOOKUP($E7807,BD!$L$2:$Q$244,5,0),0)</f>
        <v>0</v>
      </c>
      <c r="J7807" s="3">
        <f t="shared" si="501"/>
        <v>1900</v>
      </c>
    </row>
    <row r="7808" spans="1:10" s="9" customFormat="1" x14ac:dyDescent="0.25">
      <c r="A7808" s="447"/>
      <c r="B7808" s="55" t="str">
        <f t="shared" si="498"/>
        <v>ENERO</v>
      </c>
      <c r="C7808" s="55">
        <f t="shared" si="499"/>
        <v>1</v>
      </c>
      <c r="D7808" s="3" t="str">
        <f t="shared" si="500"/>
        <v>SÁBADO</v>
      </c>
      <c r="E7808" s="427"/>
      <c r="F7808" s="31">
        <f>IFERROR(VLOOKUP(E7808,BD!$L$2:$Q$244,2,0),0)</f>
        <v>0</v>
      </c>
      <c r="G7808" s="424"/>
      <c r="H7808" s="31">
        <f>+IFERROR(VLOOKUP(E7808,BD!$L$2:$Q$244,6,0),0)</f>
        <v>0</v>
      </c>
      <c r="I7808" s="626">
        <f>IFERROR(G7808*VLOOKUP($E7808,BD!$L$2:$Q$244,5,0),0)</f>
        <v>0</v>
      </c>
      <c r="J7808" s="3">
        <f t="shared" si="501"/>
        <v>1900</v>
      </c>
    </row>
    <row r="7809" spans="1:10" s="9" customFormat="1" x14ac:dyDescent="0.25">
      <c r="A7809" s="447"/>
      <c r="B7809" s="55" t="str">
        <f t="shared" si="498"/>
        <v>ENERO</v>
      </c>
      <c r="C7809" s="55">
        <f t="shared" si="499"/>
        <v>1</v>
      </c>
      <c r="D7809" s="3" t="str">
        <f t="shared" si="500"/>
        <v>SÁBADO</v>
      </c>
      <c r="E7809" s="427"/>
      <c r="F7809" s="31">
        <f>IFERROR(VLOOKUP(E7809,BD!$L$2:$Q$244,2,0),0)</f>
        <v>0</v>
      </c>
      <c r="G7809" s="424"/>
      <c r="H7809" s="31">
        <f>+IFERROR(VLOOKUP(E7809,BD!$L$2:$Q$244,6,0),0)</f>
        <v>0</v>
      </c>
      <c r="I7809" s="626">
        <f>IFERROR(G7809*VLOOKUP($E7809,BD!$L$2:$Q$244,5,0),0)</f>
        <v>0</v>
      </c>
      <c r="J7809" s="3">
        <f t="shared" si="501"/>
        <v>1900</v>
      </c>
    </row>
    <row r="7810" spans="1:10" s="9" customFormat="1" x14ac:dyDescent="0.25">
      <c r="A7810" s="447"/>
      <c r="B7810" s="55" t="str">
        <f t="shared" si="498"/>
        <v>ENERO</v>
      </c>
      <c r="C7810" s="55">
        <f t="shared" si="499"/>
        <v>1</v>
      </c>
      <c r="D7810" s="3" t="str">
        <f t="shared" si="500"/>
        <v>SÁBADO</v>
      </c>
      <c r="E7810" s="427"/>
      <c r="F7810" s="31">
        <f>IFERROR(VLOOKUP(E7810,BD!$L$2:$Q$244,2,0),0)</f>
        <v>0</v>
      </c>
      <c r="G7810" s="425"/>
      <c r="H7810" s="31">
        <f>+IFERROR(VLOOKUP(E7810,BD!$L$2:$Q$244,6,0),0)</f>
        <v>0</v>
      </c>
      <c r="I7810" s="626">
        <f>IFERROR(G7810*VLOOKUP($E7810,BD!$L$2:$Q$244,5,0),0)</f>
        <v>0</v>
      </c>
      <c r="J7810" s="3">
        <f t="shared" si="501"/>
        <v>1900</v>
      </c>
    </row>
    <row r="7811" spans="1:10" s="9" customFormat="1" x14ac:dyDescent="0.25">
      <c r="A7811" s="447"/>
      <c r="B7811" s="55" t="str">
        <f t="shared" si="498"/>
        <v>ENERO</v>
      </c>
      <c r="C7811" s="55">
        <f t="shared" si="499"/>
        <v>1</v>
      </c>
      <c r="D7811" s="3" t="str">
        <f t="shared" si="500"/>
        <v>SÁBADO</v>
      </c>
      <c r="E7811" s="427"/>
      <c r="F7811" s="31">
        <f>IFERROR(VLOOKUP(E7811,BD!$L$2:$Q$244,2,0),0)</f>
        <v>0</v>
      </c>
      <c r="G7811" s="424"/>
      <c r="H7811" s="31">
        <f>+IFERROR(VLOOKUP(E7811,BD!$L$2:$Q$244,6,0),0)</f>
        <v>0</v>
      </c>
      <c r="I7811" s="626">
        <f>IFERROR(G7811*VLOOKUP($E7811,BD!$L$2:$Q$244,5,0),0)</f>
        <v>0</v>
      </c>
      <c r="J7811" s="3">
        <f t="shared" si="501"/>
        <v>1900</v>
      </c>
    </row>
    <row r="7812" spans="1:10" s="9" customFormat="1" x14ac:dyDescent="0.25">
      <c r="A7812" s="447"/>
      <c r="B7812" s="55" t="str">
        <f t="shared" si="498"/>
        <v>ENERO</v>
      </c>
      <c r="C7812" s="55">
        <f t="shared" si="499"/>
        <v>1</v>
      </c>
      <c r="D7812" s="3" t="str">
        <f t="shared" si="500"/>
        <v>SÁBADO</v>
      </c>
      <c r="E7812" s="427"/>
      <c r="F7812" s="31">
        <f>IFERROR(VLOOKUP(E7812,BD!$L$2:$Q$244,2,0),0)</f>
        <v>0</v>
      </c>
      <c r="G7812" s="424"/>
      <c r="H7812" s="31">
        <f>+IFERROR(VLOOKUP(E7812,BD!$L$2:$Q$244,6,0),0)</f>
        <v>0</v>
      </c>
      <c r="I7812" s="626">
        <f>IFERROR(G7812*VLOOKUP($E7812,BD!$L$2:$Q$244,5,0),0)</f>
        <v>0</v>
      </c>
      <c r="J7812" s="3">
        <f t="shared" si="501"/>
        <v>1900</v>
      </c>
    </row>
    <row r="7813" spans="1:10" s="9" customFormat="1" x14ac:dyDescent="0.25">
      <c r="A7813" s="447"/>
      <c r="B7813" s="55" t="str">
        <f t="shared" si="498"/>
        <v>ENERO</v>
      </c>
      <c r="C7813" s="55">
        <f t="shared" si="499"/>
        <v>1</v>
      </c>
      <c r="D7813" s="3" t="str">
        <f t="shared" si="500"/>
        <v>SÁBADO</v>
      </c>
      <c r="E7813" s="427"/>
      <c r="F7813" s="31">
        <f>IFERROR(VLOOKUP(E7813,BD!$L$2:$Q$244,2,0),0)</f>
        <v>0</v>
      </c>
      <c r="G7813" s="424"/>
      <c r="H7813" s="31">
        <f>+IFERROR(VLOOKUP(E7813,BD!$L$2:$Q$244,6,0),0)</f>
        <v>0</v>
      </c>
      <c r="I7813" s="626">
        <f>IFERROR(G7813*VLOOKUP($E7813,BD!$L$2:$Q$244,5,0),0)</f>
        <v>0</v>
      </c>
      <c r="J7813" s="3">
        <f t="shared" si="501"/>
        <v>1900</v>
      </c>
    </row>
    <row r="7814" spans="1:10" s="9" customFormat="1" x14ac:dyDescent="0.25">
      <c r="A7814" s="447"/>
      <c r="B7814" s="55" t="str">
        <f t="shared" si="498"/>
        <v>ENERO</v>
      </c>
      <c r="C7814" s="55">
        <f t="shared" si="499"/>
        <v>1</v>
      </c>
      <c r="D7814" s="3" t="str">
        <f t="shared" si="500"/>
        <v>SÁBADO</v>
      </c>
      <c r="E7814" s="427"/>
      <c r="F7814" s="31">
        <f>IFERROR(VLOOKUP(E7814,BD!$L$2:$Q$244,2,0),0)</f>
        <v>0</v>
      </c>
      <c r="G7814" s="424"/>
      <c r="H7814" s="31">
        <f>+IFERROR(VLOOKUP(E7814,BD!$L$2:$Q$244,6,0),0)</f>
        <v>0</v>
      </c>
      <c r="I7814" s="626">
        <f>IFERROR(G7814*VLOOKUP($E7814,BD!$L$2:$Q$244,5,0),0)</f>
        <v>0</v>
      </c>
      <c r="J7814" s="3">
        <f t="shared" si="501"/>
        <v>1900</v>
      </c>
    </row>
    <row r="7815" spans="1:10" s="9" customFormat="1" x14ac:dyDescent="0.25">
      <c r="A7815" s="447"/>
      <c r="B7815" s="55" t="str">
        <f t="shared" si="498"/>
        <v>ENERO</v>
      </c>
      <c r="C7815" s="55">
        <f t="shared" si="499"/>
        <v>1</v>
      </c>
      <c r="D7815" s="3" t="str">
        <f t="shared" si="500"/>
        <v>SÁBADO</v>
      </c>
      <c r="E7815" s="427"/>
      <c r="F7815" s="31">
        <f>IFERROR(VLOOKUP(E7815,BD!$L$2:$Q$244,2,0),0)</f>
        <v>0</v>
      </c>
      <c r="G7815" s="424"/>
      <c r="H7815" s="31">
        <f>+IFERROR(VLOOKUP(E7815,BD!$L$2:$Q$244,6,0),0)</f>
        <v>0</v>
      </c>
      <c r="I7815" s="626">
        <f>IFERROR(G7815*VLOOKUP($E7815,BD!$L$2:$Q$244,5,0),0)</f>
        <v>0</v>
      </c>
      <c r="J7815" s="3">
        <f t="shared" si="501"/>
        <v>1900</v>
      </c>
    </row>
    <row r="7816" spans="1:10" s="9" customFormat="1" x14ac:dyDescent="0.25">
      <c r="A7816" s="447"/>
      <c r="B7816" s="55" t="str">
        <f t="shared" si="498"/>
        <v>ENERO</v>
      </c>
      <c r="C7816" s="55">
        <f t="shared" si="499"/>
        <v>1</v>
      </c>
      <c r="D7816" s="3" t="str">
        <f t="shared" si="500"/>
        <v>SÁBADO</v>
      </c>
      <c r="E7816" s="427"/>
      <c r="F7816" s="31">
        <f>IFERROR(VLOOKUP(E7816,BD!$L$2:$Q$244,2,0),0)</f>
        <v>0</v>
      </c>
      <c r="G7816" s="424"/>
      <c r="H7816" s="31">
        <f>+IFERROR(VLOOKUP(E7816,BD!$L$2:$Q$244,6,0),0)</f>
        <v>0</v>
      </c>
      <c r="I7816" s="626">
        <f>IFERROR(G7816*VLOOKUP($E7816,BD!$L$2:$Q$244,5,0),0)</f>
        <v>0</v>
      </c>
      <c r="J7816" s="3">
        <f t="shared" si="501"/>
        <v>1900</v>
      </c>
    </row>
    <row r="7817" spans="1:10" s="9" customFormat="1" x14ac:dyDescent="0.25">
      <c r="A7817" s="447"/>
      <c r="B7817" s="55" t="str">
        <f t="shared" si="498"/>
        <v>ENERO</v>
      </c>
      <c r="C7817" s="55">
        <f t="shared" si="499"/>
        <v>1</v>
      </c>
      <c r="D7817" s="3" t="str">
        <f t="shared" si="500"/>
        <v>SÁBADO</v>
      </c>
      <c r="E7817" s="427"/>
      <c r="F7817" s="31">
        <f>IFERROR(VLOOKUP(E7817,BD!$L$2:$Q$244,2,0),0)</f>
        <v>0</v>
      </c>
      <c r="G7817" s="424"/>
      <c r="H7817" s="31">
        <f>+IFERROR(VLOOKUP(E7817,BD!$L$2:$Q$244,6,0),0)</f>
        <v>0</v>
      </c>
      <c r="I7817" s="626">
        <f>IFERROR(G7817*VLOOKUP($E7817,BD!$L$2:$Q$244,5,0),0)</f>
        <v>0</v>
      </c>
      <c r="J7817" s="3">
        <f t="shared" si="501"/>
        <v>1900</v>
      </c>
    </row>
    <row r="7818" spans="1:10" s="9" customFormat="1" x14ac:dyDescent="0.25">
      <c r="A7818" s="447"/>
      <c r="B7818" s="55" t="str">
        <f t="shared" si="498"/>
        <v>ENERO</v>
      </c>
      <c r="C7818" s="55">
        <f t="shared" si="499"/>
        <v>1</v>
      </c>
      <c r="D7818" s="3" t="str">
        <f t="shared" si="500"/>
        <v>SÁBADO</v>
      </c>
      <c r="E7818" s="427"/>
      <c r="F7818" s="31">
        <f>IFERROR(VLOOKUP(E7818,BD!$L$2:$Q$244,2,0),0)</f>
        <v>0</v>
      </c>
      <c r="G7818" s="424"/>
      <c r="H7818" s="31">
        <f>+IFERROR(VLOOKUP(E7818,BD!$L$2:$Q$244,6,0),0)</f>
        <v>0</v>
      </c>
      <c r="I7818" s="626">
        <f>IFERROR(G7818*VLOOKUP($E7818,BD!$L$2:$Q$244,5,0),0)</f>
        <v>0</v>
      </c>
      <c r="J7818" s="3">
        <f t="shared" si="501"/>
        <v>1900</v>
      </c>
    </row>
    <row r="7819" spans="1:10" s="9" customFormat="1" x14ac:dyDescent="0.25">
      <c r="A7819" s="447"/>
      <c r="B7819" s="55" t="str">
        <f t="shared" si="498"/>
        <v>ENERO</v>
      </c>
      <c r="C7819" s="55">
        <f t="shared" si="499"/>
        <v>1</v>
      </c>
      <c r="D7819" s="3" t="str">
        <f t="shared" si="500"/>
        <v>SÁBADO</v>
      </c>
      <c r="E7819" s="427"/>
      <c r="F7819" s="31">
        <f>IFERROR(VLOOKUP(E7819,BD!$L$2:$Q$244,2,0),0)</f>
        <v>0</v>
      </c>
      <c r="G7819" s="424"/>
      <c r="H7819" s="31">
        <f>+IFERROR(VLOOKUP(E7819,BD!$L$2:$Q$244,6,0),0)</f>
        <v>0</v>
      </c>
      <c r="I7819" s="626">
        <f>IFERROR(G7819*VLOOKUP($E7819,BD!$L$2:$Q$244,5,0),0)</f>
        <v>0</v>
      </c>
      <c r="J7819" s="3">
        <f t="shared" si="501"/>
        <v>1900</v>
      </c>
    </row>
    <row r="7820" spans="1:10" s="9" customFormat="1" x14ac:dyDescent="0.25">
      <c r="A7820" s="447"/>
      <c r="B7820" s="55" t="str">
        <f t="shared" si="498"/>
        <v>ENERO</v>
      </c>
      <c r="C7820" s="55">
        <f t="shared" si="499"/>
        <v>1</v>
      </c>
      <c r="D7820" s="3" t="str">
        <f t="shared" si="500"/>
        <v>SÁBADO</v>
      </c>
      <c r="E7820" s="427"/>
      <c r="F7820" s="31">
        <f>IFERROR(VLOOKUP(E7820,BD!$L$2:$Q$244,2,0),0)</f>
        <v>0</v>
      </c>
      <c r="G7820" s="424"/>
      <c r="H7820" s="31">
        <f>+IFERROR(VLOOKUP(E7820,BD!$L$2:$Q$244,6,0),0)</f>
        <v>0</v>
      </c>
      <c r="I7820" s="626">
        <f>IFERROR(G7820*VLOOKUP($E7820,BD!$L$2:$Q$244,5,0),0)</f>
        <v>0</v>
      </c>
      <c r="J7820" s="3">
        <f t="shared" si="501"/>
        <v>1900</v>
      </c>
    </row>
    <row r="7821" spans="1:10" s="9" customFormat="1" x14ac:dyDescent="0.25">
      <c r="A7821" s="447"/>
      <c r="B7821" s="55" t="str">
        <f t="shared" si="498"/>
        <v>ENERO</v>
      </c>
      <c r="C7821" s="55">
        <f t="shared" si="499"/>
        <v>1</v>
      </c>
      <c r="D7821" s="3" t="str">
        <f t="shared" si="500"/>
        <v>SÁBADO</v>
      </c>
      <c r="E7821" s="427"/>
      <c r="F7821" s="31">
        <f>IFERROR(VLOOKUP(E7821,BD!$L$2:$Q$244,2,0),0)</f>
        <v>0</v>
      </c>
      <c r="G7821" s="424"/>
      <c r="H7821" s="31">
        <f>+IFERROR(VLOOKUP(E7821,BD!$L$2:$Q$244,6,0),0)</f>
        <v>0</v>
      </c>
      <c r="I7821" s="626">
        <f>IFERROR(G7821*VLOOKUP($E7821,BD!$L$2:$Q$244,5,0),0)</f>
        <v>0</v>
      </c>
      <c r="J7821" s="3">
        <f t="shared" si="501"/>
        <v>1900</v>
      </c>
    </row>
    <row r="7822" spans="1:10" s="9" customFormat="1" x14ac:dyDescent="0.25">
      <c r="A7822" s="447"/>
      <c r="B7822" s="55" t="str">
        <f t="shared" si="498"/>
        <v>ENERO</v>
      </c>
      <c r="C7822" s="55">
        <f t="shared" si="499"/>
        <v>1</v>
      </c>
      <c r="D7822" s="3" t="str">
        <f t="shared" si="500"/>
        <v>SÁBADO</v>
      </c>
      <c r="E7822" s="427"/>
      <c r="F7822" s="31">
        <f>IFERROR(VLOOKUP(E7822,BD!$L$2:$Q$244,2,0),0)</f>
        <v>0</v>
      </c>
      <c r="G7822" s="424"/>
      <c r="H7822" s="31">
        <f>+IFERROR(VLOOKUP(E7822,BD!$L$2:$Q$244,6,0),0)</f>
        <v>0</v>
      </c>
      <c r="I7822" s="626">
        <f>IFERROR(G7822*VLOOKUP($E7822,BD!$L$2:$Q$244,5,0),0)</f>
        <v>0</v>
      </c>
      <c r="J7822" s="3">
        <f t="shared" si="501"/>
        <v>1900</v>
      </c>
    </row>
    <row r="7823" spans="1:10" s="9" customFormat="1" x14ac:dyDescent="0.25">
      <c r="A7823" s="447"/>
      <c r="B7823" s="55" t="str">
        <f t="shared" si="498"/>
        <v>ENERO</v>
      </c>
      <c r="C7823" s="55">
        <f t="shared" si="499"/>
        <v>1</v>
      </c>
      <c r="D7823" s="3" t="str">
        <f t="shared" si="500"/>
        <v>SÁBADO</v>
      </c>
      <c r="E7823" s="427"/>
      <c r="F7823" s="31">
        <f>IFERROR(VLOOKUP(E7823,BD!$L$2:$Q$244,2,0),0)</f>
        <v>0</v>
      </c>
      <c r="G7823" s="424"/>
      <c r="H7823" s="31">
        <f>+IFERROR(VLOOKUP(E7823,BD!$L$2:$Q$244,6,0),0)</f>
        <v>0</v>
      </c>
      <c r="I7823" s="626">
        <f>IFERROR(G7823*VLOOKUP($E7823,BD!$L$2:$Q$244,5,0),0)</f>
        <v>0</v>
      </c>
      <c r="J7823" s="3">
        <f t="shared" si="501"/>
        <v>1900</v>
      </c>
    </row>
    <row r="7824" spans="1:10" s="9" customFormat="1" x14ac:dyDescent="0.25">
      <c r="A7824" s="447"/>
      <c r="B7824" s="55" t="str">
        <f t="shared" si="498"/>
        <v>ENERO</v>
      </c>
      <c r="C7824" s="55">
        <f t="shared" si="499"/>
        <v>1</v>
      </c>
      <c r="D7824" s="3" t="str">
        <f t="shared" si="500"/>
        <v>SÁBADO</v>
      </c>
      <c r="E7824" s="427"/>
      <c r="F7824" s="31">
        <f>IFERROR(VLOOKUP(E7824,BD!$L$2:$Q$244,2,0),0)</f>
        <v>0</v>
      </c>
      <c r="G7824" s="425"/>
      <c r="H7824" s="31">
        <f>+IFERROR(VLOOKUP(E7824,BD!$L$2:$Q$244,6,0),0)</f>
        <v>0</v>
      </c>
      <c r="I7824" s="626">
        <f>IFERROR(G7824*VLOOKUP($E7824,BD!$L$2:$Q$244,5,0),0)</f>
        <v>0</v>
      </c>
      <c r="J7824" s="3">
        <f t="shared" si="501"/>
        <v>1900</v>
      </c>
    </row>
    <row r="7825" spans="1:10" s="9" customFormat="1" x14ac:dyDescent="0.25">
      <c r="A7825" s="447"/>
      <c r="B7825" s="55" t="str">
        <f t="shared" si="498"/>
        <v>ENERO</v>
      </c>
      <c r="C7825" s="55">
        <f t="shared" si="499"/>
        <v>1</v>
      </c>
      <c r="D7825" s="3" t="str">
        <f t="shared" si="500"/>
        <v>SÁBADO</v>
      </c>
      <c r="E7825" s="427"/>
      <c r="F7825" s="31">
        <f>IFERROR(VLOOKUP(E7825,BD!$L$2:$Q$244,2,0),0)</f>
        <v>0</v>
      </c>
      <c r="G7825" s="424"/>
      <c r="H7825" s="31">
        <f>+IFERROR(VLOOKUP(E7825,BD!$L$2:$Q$244,6,0),0)</f>
        <v>0</v>
      </c>
      <c r="I7825" s="626">
        <f>IFERROR(G7825*VLOOKUP($E7825,BD!$L$2:$Q$244,5,0),0)</f>
        <v>0</v>
      </c>
      <c r="J7825" s="3">
        <f t="shared" si="501"/>
        <v>1900</v>
      </c>
    </row>
    <row r="7826" spans="1:10" s="9" customFormat="1" x14ac:dyDescent="0.25">
      <c r="A7826" s="447"/>
      <c r="B7826" s="55" t="str">
        <f t="shared" si="498"/>
        <v>ENERO</v>
      </c>
      <c r="C7826" s="55">
        <f t="shared" si="499"/>
        <v>1</v>
      </c>
      <c r="D7826" s="3" t="str">
        <f t="shared" si="500"/>
        <v>SÁBADO</v>
      </c>
      <c r="E7826" s="427"/>
      <c r="F7826" s="31">
        <f>IFERROR(VLOOKUP(E7826,BD!$L$2:$Q$244,2,0),0)</f>
        <v>0</v>
      </c>
      <c r="G7826" s="424"/>
      <c r="H7826" s="31">
        <f>+IFERROR(VLOOKUP(E7826,BD!$L$2:$Q$244,6,0),0)</f>
        <v>0</v>
      </c>
      <c r="I7826" s="626">
        <f>IFERROR(G7826*VLOOKUP($E7826,BD!$L$2:$Q$244,5,0),0)</f>
        <v>0</v>
      </c>
      <c r="J7826" s="3">
        <f t="shared" si="501"/>
        <v>1900</v>
      </c>
    </row>
    <row r="7827" spans="1:10" s="9" customFormat="1" x14ac:dyDescent="0.25">
      <c r="A7827" s="447"/>
      <c r="B7827" s="55" t="str">
        <f t="shared" si="498"/>
        <v>ENERO</v>
      </c>
      <c r="C7827" s="55">
        <f t="shared" si="499"/>
        <v>1</v>
      </c>
      <c r="D7827" s="3" t="str">
        <f t="shared" si="500"/>
        <v>SÁBADO</v>
      </c>
      <c r="E7827" s="427"/>
      <c r="F7827" s="31">
        <f>IFERROR(VLOOKUP(E7827,BD!$L$2:$Q$244,2,0),0)</f>
        <v>0</v>
      </c>
      <c r="G7827" s="424"/>
      <c r="H7827" s="31">
        <f>+IFERROR(VLOOKUP(E7827,BD!$L$2:$Q$244,6,0),0)</f>
        <v>0</v>
      </c>
      <c r="I7827" s="626">
        <f>IFERROR(G7827*VLOOKUP($E7827,BD!$L$2:$Q$244,5,0),0)</f>
        <v>0</v>
      </c>
      <c r="J7827" s="3">
        <f t="shared" si="501"/>
        <v>1900</v>
      </c>
    </row>
    <row r="7828" spans="1:10" s="9" customFormat="1" x14ac:dyDescent="0.25">
      <c r="A7828" s="447"/>
      <c r="B7828" s="55" t="str">
        <f t="shared" si="498"/>
        <v>ENERO</v>
      </c>
      <c r="C7828" s="55">
        <f t="shared" si="499"/>
        <v>1</v>
      </c>
      <c r="D7828" s="3" t="str">
        <f t="shared" si="500"/>
        <v>SÁBADO</v>
      </c>
      <c r="E7828" s="427"/>
      <c r="F7828" s="31">
        <f>IFERROR(VLOOKUP(E7828,BD!$L$2:$Q$244,2,0),0)</f>
        <v>0</v>
      </c>
      <c r="G7828" s="424"/>
      <c r="H7828" s="31">
        <f>+IFERROR(VLOOKUP(E7828,BD!$L$2:$Q$244,6,0),0)</f>
        <v>0</v>
      </c>
      <c r="I7828" s="626">
        <f>IFERROR(G7828*VLOOKUP($E7828,BD!$L$2:$Q$244,5,0),0)</f>
        <v>0</v>
      </c>
      <c r="J7828" s="3">
        <f t="shared" si="501"/>
        <v>1900</v>
      </c>
    </row>
    <row r="7829" spans="1:10" s="9" customFormat="1" x14ac:dyDescent="0.25">
      <c r="A7829" s="447"/>
      <c r="B7829" s="55" t="str">
        <f t="shared" si="498"/>
        <v>ENERO</v>
      </c>
      <c r="C7829" s="55">
        <f t="shared" si="499"/>
        <v>1</v>
      </c>
      <c r="D7829" s="3" t="str">
        <f t="shared" si="500"/>
        <v>SÁBADO</v>
      </c>
      <c r="E7829" s="427"/>
      <c r="F7829" s="31">
        <f>IFERROR(VLOOKUP(E7829,BD!$L$2:$Q$244,2,0),0)</f>
        <v>0</v>
      </c>
      <c r="G7829" s="424"/>
      <c r="H7829" s="31">
        <f>+IFERROR(VLOOKUP(E7829,BD!$L$2:$Q$244,6,0),0)</f>
        <v>0</v>
      </c>
      <c r="I7829" s="626">
        <f>IFERROR(G7829*VLOOKUP($E7829,BD!$L$2:$Q$244,5,0),0)</f>
        <v>0</v>
      </c>
      <c r="J7829" s="3">
        <f t="shared" si="501"/>
        <v>1900</v>
      </c>
    </row>
    <row r="7830" spans="1:10" s="9" customFormat="1" x14ac:dyDescent="0.25">
      <c r="A7830" s="447"/>
      <c r="B7830" s="55" t="str">
        <f t="shared" si="498"/>
        <v>ENERO</v>
      </c>
      <c r="C7830" s="55">
        <f t="shared" si="499"/>
        <v>1</v>
      </c>
      <c r="D7830" s="3" t="str">
        <f t="shared" si="500"/>
        <v>SÁBADO</v>
      </c>
      <c r="E7830" s="427"/>
      <c r="F7830" s="31">
        <f>IFERROR(VLOOKUP(E7830,BD!$L$2:$Q$244,2,0),0)</f>
        <v>0</v>
      </c>
      <c r="G7830" s="424"/>
      <c r="H7830" s="31">
        <f>+IFERROR(VLOOKUP(E7830,BD!$L$2:$Q$244,6,0),0)</f>
        <v>0</v>
      </c>
      <c r="I7830" s="626">
        <f>IFERROR(G7830*VLOOKUP($E7830,BD!$L$2:$Q$244,5,0),0)</f>
        <v>0</v>
      </c>
      <c r="J7830" s="3">
        <f t="shared" si="501"/>
        <v>1900</v>
      </c>
    </row>
    <row r="7831" spans="1:10" s="9" customFormat="1" x14ac:dyDescent="0.25">
      <c r="A7831" s="447"/>
      <c r="B7831" s="55" t="str">
        <f t="shared" si="498"/>
        <v>ENERO</v>
      </c>
      <c r="C7831" s="55">
        <f t="shared" si="499"/>
        <v>1</v>
      </c>
      <c r="D7831" s="3" t="str">
        <f t="shared" si="500"/>
        <v>SÁBADO</v>
      </c>
      <c r="E7831" s="427"/>
      <c r="F7831" s="31">
        <f>IFERROR(VLOOKUP(E7831,BD!$L$2:$Q$244,2,0),0)</f>
        <v>0</v>
      </c>
      <c r="G7831" s="424"/>
      <c r="H7831" s="31">
        <f>+IFERROR(VLOOKUP(E7831,BD!$L$2:$Q$244,6,0),0)</f>
        <v>0</v>
      </c>
      <c r="I7831" s="626">
        <f>IFERROR(G7831*VLOOKUP($E7831,BD!$L$2:$Q$244,5,0),0)</f>
        <v>0</v>
      </c>
      <c r="J7831" s="3">
        <f t="shared" si="501"/>
        <v>1900</v>
      </c>
    </row>
    <row r="7832" spans="1:10" s="9" customFormat="1" x14ac:dyDescent="0.25">
      <c r="A7832" s="447"/>
      <c r="B7832" s="55" t="str">
        <f t="shared" si="498"/>
        <v>ENERO</v>
      </c>
      <c r="C7832" s="55">
        <f t="shared" si="499"/>
        <v>1</v>
      </c>
      <c r="D7832" s="3" t="str">
        <f t="shared" si="500"/>
        <v>SÁBADO</v>
      </c>
      <c r="E7832" s="427"/>
      <c r="F7832" s="31">
        <f>IFERROR(VLOOKUP(E7832,BD!$L$2:$Q$244,2,0),0)</f>
        <v>0</v>
      </c>
      <c r="G7832" s="424"/>
      <c r="H7832" s="31">
        <f>+IFERROR(VLOOKUP(E7832,BD!$L$2:$Q$244,6,0),0)</f>
        <v>0</v>
      </c>
      <c r="I7832" s="626">
        <f>IFERROR(G7832*VLOOKUP($E7832,BD!$L$2:$Q$244,5,0),0)</f>
        <v>0</v>
      </c>
      <c r="J7832" s="3">
        <f t="shared" si="501"/>
        <v>1900</v>
      </c>
    </row>
    <row r="7833" spans="1:10" s="9" customFormat="1" x14ac:dyDescent="0.25">
      <c r="A7833" s="447"/>
      <c r="B7833" s="55" t="str">
        <f t="shared" si="498"/>
        <v>ENERO</v>
      </c>
      <c r="C7833" s="55">
        <f t="shared" si="499"/>
        <v>1</v>
      </c>
      <c r="D7833" s="3" t="str">
        <f t="shared" si="500"/>
        <v>SÁBADO</v>
      </c>
      <c r="E7833" s="427"/>
      <c r="F7833" s="31">
        <f>IFERROR(VLOOKUP(E7833,BD!$L$2:$Q$244,2,0),0)</f>
        <v>0</v>
      </c>
      <c r="G7833" s="424"/>
      <c r="H7833" s="31">
        <f>+IFERROR(VLOOKUP(E7833,BD!$L$2:$Q$244,6,0),0)</f>
        <v>0</v>
      </c>
      <c r="I7833" s="626">
        <f>IFERROR(G7833*VLOOKUP($E7833,BD!$L$2:$Q$244,5,0),0)</f>
        <v>0</v>
      </c>
      <c r="J7833" s="3">
        <f t="shared" si="501"/>
        <v>1900</v>
      </c>
    </row>
    <row r="7834" spans="1:10" s="9" customFormat="1" x14ac:dyDescent="0.25">
      <c r="A7834" s="447"/>
      <c r="B7834" s="55" t="str">
        <f t="shared" si="498"/>
        <v>ENERO</v>
      </c>
      <c r="C7834" s="55">
        <f t="shared" si="499"/>
        <v>1</v>
      </c>
      <c r="D7834" s="3" t="str">
        <f t="shared" si="500"/>
        <v>SÁBADO</v>
      </c>
      <c r="E7834" s="427"/>
      <c r="F7834" s="31">
        <f>IFERROR(VLOOKUP(E7834,BD!$L$2:$Q$244,2,0),0)</f>
        <v>0</v>
      </c>
      <c r="G7834" s="424"/>
      <c r="H7834" s="31">
        <f>+IFERROR(VLOOKUP(E7834,BD!$L$2:$Q$244,6,0),0)</f>
        <v>0</v>
      </c>
      <c r="I7834" s="626">
        <f>IFERROR(G7834*VLOOKUP($E7834,BD!$L$2:$Q$244,5,0),0)</f>
        <v>0</v>
      </c>
      <c r="J7834" s="3">
        <f t="shared" si="501"/>
        <v>1900</v>
      </c>
    </row>
    <row r="7835" spans="1:10" s="9" customFormat="1" x14ac:dyDescent="0.25">
      <c r="A7835" s="447"/>
      <c r="B7835" s="55" t="str">
        <f t="shared" si="498"/>
        <v>ENERO</v>
      </c>
      <c r="C7835" s="55">
        <f t="shared" si="499"/>
        <v>1</v>
      </c>
      <c r="D7835" s="3" t="str">
        <f t="shared" si="500"/>
        <v>SÁBADO</v>
      </c>
      <c r="E7835" s="427"/>
      <c r="F7835" s="31">
        <f>IFERROR(VLOOKUP(E7835,BD!$L$2:$Q$244,2,0),0)</f>
        <v>0</v>
      </c>
      <c r="G7835" s="424"/>
      <c r="H7835" s="31">
        <f>+IFERROR(VLOOKUP(E7835,BD!$L$2:$Q$244,6,0),0)</f>
        <v>0</v>
      </c>
      <c r="I7835" s="626">
        <f>IFERROR(G7835*VLOOKUP($E7835,BD!$L$2:$Q$244,5,0),0)</f>
        <v>0</v>
      </c>
      <c r="J7835" s="3">
        <f t="shared" si="501"/>
        <v>1900</v>
      </c>
    </row>
    <row r="7836" spans="1:10" s="9" customFormat="1" x14ac:dyDescent="0.25">
      <c r="A7836" s="447"/>
      <c r="B7836" s="55" t="str">
        <f t="shared" si="498"/>
        <v>ENERO</v>
      </c>
      <c r="C7836" s="55">
        <f t="shared" si="499"/>
        <v>1</v>
      </c>
      <c r="D7836" s="3" t="str">
        <f t="shared" si="500"/>
        <v>SÁBADO</v>
      </c>
      <c r="E7836" s="427"/>
      <c r="F7836" s="31">
        <f>IFERROR(VLOOKUP(E7836,BD!$L$2:$Q$244,2,0),0)</f>
        <v>0</v>
      </c>
      <c r="G7836" s="424"/>
      <c r="H7836" s="31">
        <f>+IFERROR(VLOOKUP(E7836,BD!$L$2:$Q$244,6,0),0)</f>
        <v>0</v>
      </c>
      <c r="I7836" s="626">
        <f>IFERROR(G7836*VLOOKUP($E7836,BD!$L$2:$Q$244,5,0),0)</f>
        <v>0</v>
      </c>
      <c r="J7836" s="3">
        <f t="shared" si="501"/>
        <v>1900</v>
      </c>
    </row>
    <row r="7837" spans="1:10" s="9" customFormat="1" x14ac:dyDescent="0.25">
      <c r="A7837" s="447"/>
      <c r="B7837" s="55" t="str">
        <f t="shared" si="498"/>
        <v>ENERO</v>
      </c>
      <c r="C7837" s="55">
        <f t="shared" si="499"/>
        <v>1</v>
      </c>
      <c r="D7837" s="3" t="str">
        <f t="shared" si="500"/>
        <v>SÁBADO</v>
      </c>
      <c r="E7837" s="427"/>
      <c r="F7837" s="31">
        <f>IFERROR(VLOOKUP(E7837,BD!$L$2:$Q$244,2,0),0)</f>
        <v>0</v>
      </c>
      <c r="G7837" s="424"/>
      <c r="H7837" s="31">
        <f>+IFERROR(VLOOKUP(E7837,BD!$L$2:$Q$244,6,0),0)</f>
        <v>0</v>
      </c>
      <c r="I7837" s="626">
        <f>IFERROR(G7837*VLOOKUP($E7837,BD!$L$2:$Q$244,5,0),0)</f>
        <v>0</v>
      </c>
      <c r="J7837" s="3">
        <f t="shared" si="501"/>
        <v>1900</v>
      </c>
    </row>
    <row r="7838" spans="1:10" s="9" customFormat="1" x14ac:dyDescent="0.25">
      <c r="A7838" s="447"/>
      <c r="B7838" s="55" t="str">
        <f t="shared" si="498"/>
        <v>ENERO</v>
      </c>
      <c r="C7838" s="55">
        <f t="shared" si="499"/>
        <v>1</v>
      </c>
      <c r="D7838" s="3" t="str">
        <f t="shared" si="500"/>
        <v>SÁBADO</v>
      </c>
      <c r="E7838" s="427"/>
      <c r="F7838" s="31">
        <f>IFERROR(VLOOKUP(E7838,BD!$L$2:$Q$244,2,0),0)</f>
        <v>0</v>
      </c>
      <c r="G7838" s="425"/>
      <c r="H7838" s="31">
        <f>+IFERROR(VLOOKUP(E7838,BD!$L$2:$Q$244,6,0),0)</f>
        <v>0</v>
      </c>
      <c r="I7838" s="626">
        <f>IFERROR(G7838*VLOOKUP($E7838,BD!$L$2:$Q$244,5,0),0)</f>
        <v>0</v>
      </c>
      <c r="J7838" s="3">
        <f t="shared" si="501"/>
        <v>1900</v>
      </c>
    </row>
    <row r="7839" spans="1:10" s="9" customFormat="1" x14ac:dyDescent="0.25">
      <c r="A7839" s="447"/>
      <c r="B7839" s="55" t="str">
        <f t="shared" si="498"/>
        <v>ENERO</v>
      </c>
      <c r="C7839" s="55">
        <f t="shared" si="499"/>
        <v>1</v>
      </c>
      <c r="D7839" s="3" t="str">
        <f t="shared" si="500"/>
        <v>SÁBADO</v>
      </c>
      <c r="E7839" s="427"/>
      <c r="F7839" s="31">
        <f>IFERROR(VLOOKUP(E7839,BD!$L$2:$Q$244,2,0),0)</f>
        <v>0</v>
      </c>
      <c r="G7839" s="424"/>
      <c r="H7839" s="31">
        <f>+IFERROR(VLOOKUP(E7839,BD!$L$2:$Q$244,6,0),0)</f>
        <v>0</v>
      </c>
      <c r="I7839" s="626">
        <f>IFERROR(G7839*VLOOKUP($E7839,BD!$L$2:$Q$244,5,0),0)</f>
        <v>0</v>
      </c>
      <c r="J7839" s="3">
        <f t="shared" si="501"/>
        <v>1900</v>
      </c>
    </row>
    <row r="7840" spans="1:10" s="9" customFormat="1" x14ac:dyDescent="0.25">
      <c r="A7840" s="447"/>
      <c r="B7840" s="55" t="str">
        <f t="shared" si="498"/>
        <v>ENERO</v>
      </c>
      <c r="C7840" s="55">
        <f t="shared" si="499"/>
        <v>1</v>
      </c>
      <c r="D7840" s="3" t="str">
        <f t="shared" si="500"/>
        <v>SÁBADO</v>
      </c>
      <c r="E7840" s="427"/>
      <c r="F7840" s="31">
        <f>IFERROR(VLOOKUP(E7840,BD!$L$2:$Q$244,2,0),0)</f>
        <v>0</v>
      </c>
      <c r="G7840" s="424"/>
      <c r="H7840" s="31">
        <f>+IFERROR(VLOOKUP(E7840,BD!$L$2:$Q$244,6,0),0)</f>
        <v>0</v>
      </c>
      <c r="I7840" s="626">
        <f>IFERROR(G7840*VLOOKUP($E7840,BD!$L$2:$Q$244,5,0),0)</f>
        <v>0</v>
      </c>
      <c r="J7840" s="3">
        <f t="shared" si="501"/>
        <v>1900</v>
      </c>
    </row>
    <row r="7841" spans="1:10" s="9" customFormat="1" x14ac:dyDescent="0.25">
      <c r="A7841" s="447"/>
      <c r="B7841" s="55" t="str">
        <f t="shared" si="498"/>
        <v>ENERO</v>
      </c>
      <c r="C7841" s="55">
        <f t="shared" si="499"/>
        <v>1</v>
      </c>
      <c r="D7841" s="3" t="str">
        <f t="shared" si="500"/>
        <v>SÁBADO</v>
      </c>
      <c r="E7841" s="427"/>
      <c r="F7841" s="31">
        <f>IFERROR(VLOOKUP(E7841,BD!$L$2:$Q$244,2,0),0)</f>
        <v>0</v>
      </c>
      <c r="G7841" s="424"/>
      <c r="H7841" s="31">
        <f>+IFERROR(VLOOKUP(E7841,BD!$L$2:$Q$244,6,0),0)</f>
        <v>0</v>
      </c>
      <c r="I7841" s="626">
        <f>IFERROR(G7841*VLOOKUP($E7841,BD!$L$2:$Q$244,5,0),0)</f>
        <v>0</v>
      </c>
      <c r="J7841" s="3">
        <f t="shared" si="501"/>
        <v>1900</v>
      </c>
    </row>
    <row r="7842" spans="1:10" s="9" customFormat="1" x14ac:dyDescent="0.25">
      <c r="A7842" s="447"/>
      <c r="B7842" s="55" t="str">
        <f t="shared" si="498"/>
        <v>ENERO</v>
      </c>
      <c r="C7842" s="55">
        <f t="shared" si="499"/>
        <v>1</v>
      </c>
      <c r="D7842" s="3" t="str">
        <f t="shared" si="500"/>
        <v>SÁBADO</v>
      </c>
      <c r="E7842" s="427"/>
      <c r="F7842" s="31">
        <f>IFERROR(VLOOKUP(E7842,BD!$L$2:$Q$244,2,0),0)</f>
        <v>0</v>
      </c>
      <c r="G7842" s="424"/>
      <c r="H7842" s="31">
        <f>+IFERROR(VLOOKUP(E7842,BD!$L$2:$Q$244,6,0),0)</f>
        <v>0</v>
      </c>
      <c r="I7842" s="626">
        <f>IFERROR(G7842*VLOOKUP($E7842,BD!$L$2:$Q$244,5,0),0)</f>
        <v>0</v>
      </c>
      <c r="J7842" s="3">
        <f t="shared" si="501"/>
        <v>1900</v>
      </c>
    </row>
    <row r="7843" spans="1:10" s="9" customFormat="1" x14ac:dyDescent="0.25">
      <c r="A7843" s="447"/>
      <c r="B7843" s="55" t="str">
        <f t="shared" si="498"/>
        <v>ENERO</v>
      </c>
      <c r="C7843" s="55">
        <f t="shared" si="499"/>
        <v>1</v>
      </c>
      <c r="D7843" s="3" t="str">
        <f t="shared" si="500"/>
        <v>SÁBADO</v>
      </c>
      <c r="E7843" s="427"/>
      <c r="F7843" s="31">
        <f>IFERROR(VLOOKUP(E7843,BD!$L$2:$Q$244,2,0),0)</f>
        <v>0</v>
      </c>
      <c r="G7843" s="424"/>
      <c r="H7843" s="31">
        <f>+IFERROR(VLOOKUP(E7843,BD!$L$2:$Q$244,6,0),0)</f>
        <v>0</v>
      </c>
      <c r="I7843" s="626">
        <f>IFERROR(G7843*VLOOKUP($E7843,BD!$L$2:$Q$244,5,0),0)</f>
        <v>0</v>
      </c>
      <c r="J7843" s="3">
        <f t="shared" si="501"/>
        <v>1900</v>
      </c>
    </row>
    <row r="7844" spans="1:10" s="9" customFormat="1" x14ac:dyDescent="0.25">
      <c r="A7844" s="447"/>
      <c r="B7844" s="55" t="str">
        <f t="shared" si="498"/>
        <v>ENERO</v>
      </c>
      <c r="C7844" s="55">
        <f t="shared" si="499"/>
        <v>1</v>
      </c>
      <c r="D7844" s="3" t="str">
        <f t="shared" si="500"/>
        <v>SÁBADO</v>
      </c>
      <c r="E7844" s="427"/>
      <c r="F7844" s="31">
        <f>IFERROR(VLOOKUP(E7844,BD!$L$2:$Q$244,2,0),0)</f>
        <v>0</v>
      </c>
      <c r="G7844" s="424"/>
      <c r="H7844" s="31">
        <f>+IFERROR(VLOOKUP(E7844,BD!$L$2:$Q$244,6,0),0)</f>
        <v>0</v>
      </c>
      <c r="I7844" s="626">
        <f>IFERROR(G7844*VLOOKUP($E7844,BD!$L$2:$Q$244,5,0),0)</f>
        <v>0</v>
      </c>
      <c r="J7844" s="3">
        <f t="shared" si="501"/>
        <v>1900</v>
      </c>
    </row>
    <row r="7845" spans="1:10" s="9" customFormat="1" x14ac:dyDescent="0.25">
      <c r="A7845" s="447"/>
      <c r="B7845" s="55" t="str">
        <f t="shared" si="498"/>
        <v>ENERO</v>
      </c>
      <c r="C7845" s="55">
        <f t="shared" si="499"/>
        <v>1</v>
      </c>
      <c r="D7845" s="3" t="str">
        <f t="shared" si="500"/>
        <v>SÁBADO</v>
      </c>
      <c r="E7845" s="427"/>
      <c r="F7845" s="31">
        <f>IFERROR(VLOOKUP(E7845,BD!$L$2:$Q$244,2,0),0)</f>
        <v>0</v>
      </c>
      <c r="G7845" s="424"/>
      <c r="H7845" s="31">
        <f>+IFERROR(VLOOKUP(E7845,BD!$L$2:$Q$244,6,0),0)</f>
        <v>0</v>
      </c>
      <c r="I7845" s="626">
        <f>IFERROR(G7845*VLOOKUP($E7845,BD!$L$2:$Q$244,5,0),0)</f>
        <v>0</v>
      </c>
      <c r="J7845" s="3">
        <f t="shared" si="501"/>
        <v>1900</v>
      </c>
    </row>
    <row r="7846" spans="1:10" s="9" customFormat="1" x14ac:dyDescent="0.25">
      <c r="A7846" s="447"/>
      <c r="B7846" s="55" t="str">
        <f t="shared" si="498"/>
        <v>ENERO</v>
      </c>
      <c r="C7846" s="55">
        <f t="shared" si="499"/>
        <v>1</v>
      </c>
      <c r="D7846" s="3" t="str">
        <f t="shared" si="500"/>
        <v>SÁBADO</v>
      </c>
      <c r="E7846" s="427"/>
      <c r="F7846" s="31">
        <f>IFERROR(VLOOKUP(E7846,BD!$L$2:$Q$244,2,0),0)</f>
        <v>0</v>
      </c>
      <c r="G7846" s="424"/>
      <c r="H7846" s="31">
        <f>+IFERROR(VLOOKUP(E7846,BD!$L$2:$Q$244,6,0),0)</f>
        <v>0</v>
      </c>
      <c r="I7846" s="626">
        <f>IFERROR(G7846*VLOOKUP($E7846,BD!$L$2:$Q$244,5,0),0)</f>
        <v>0</v>
      </c>
      <c r="J7846" s="3">
        <f t="shared" si="501"/>
        <v>1900</v>
      </c>
    </row>
    <row r="7847" spans="1:10" s="9" customFormat="1" x14ac:dyDescent="0.25">
      <c r="A7847" s="447"/>
      <c r="B7847" s="55" t="str">
        <f t="shared" si="498"/>
        <v>ENERO</v>
      </c>
      <c r="C7847" s="55">
        <f t="shared" si="499"/>
        <v>1</v>
      </c>
      <c r="D7847" s="3" t="str">
        <f t="shared" si="500"/>
        <v>SÁBADO</v>
      </c>
      <c r="E7847" s="427"/>
      <c r="F7847" s="31">
        <f>IFERROR(VLOOKUP(E7847,BD!$L$2:$Q$244,2,0),0)</f>
        <v>0</v>
      </c>
      <c r="G7847" s="424"/>
      <c r="H7847" s="31">
        <f>+IFERROR(VLOOKUP(E7847,BD!$L$2:$Q$244,6,0),0)</f>
        <v>0</v>
      </c>
      <c r="I7847" s="626">
        <f>IFERROR(G7847*VLOOKUP($E7847,BD!$L$2:$Q$244,5,0),0)</f>
        <v>0</v>
      </c>
      <c r="J7847" s="3">
        <f t="shared" si="501"/>
        <v>1900</v>
      </c>
    </row>
    <row r="7848" spans="1:10" s="9" customFormat="1" x14ac:dyDescent="0.25">
      <c r="A7848" s="447"/>
      <c r="B7848" s="55" t="str">
        <f t="shared" si="498"/>
        <v>ENERO</v>
      </c>
      <c r="C7848" s="55">
        <f t="shared" si="499"/>
        <v>1</v>
      </c>
      <c r="D7848" s="3" t="str">
        <f t="shared" si="500"/>
        <v>SÁBADO</v>
      </c>
      <c r="E7848" s="427"/>
      <c r="F7848" s="31">
        <f>IFERROR(VLOOKUP(E7848,BD!$L$2:$Q$244,2,0),0)</f>
        <v>0</v>
      </c>
      <c r="G7848" s="424"/>
      <c r="H7848" s="31">
        <f>+IFERROR(VLOOKUP(E7848,BD!$L$2:$Q$244,6,0),0)</f>
        <v>0</v>
      </c>
      <c r="I7848" s="626">
        <f>IFERROR(G7848*VLOOKUP($E7848,BD!$L$2:$Q$244,5,0),0)</f>
        <v>0</v>
      </c>
      <c r="J7848" s="3">
        <f t="shared" si="501"/>
        <v>1900</v>
      </c>
    </row>
    <row r="7849" spans="1:10" s="9" customFormat="1" x14ac:dyDescent="0.25">
      <c r="A7849" s="447"/>
      <c r="B7849" s="55" t="str">
        <f t="shared" si="498"/>
        <v>ENERO</v>
      </c>
      <c r="C7849" s="55">
        <f t="shared" si="499"/>
        <v>1</v>
      </c>
      <c r="D7849" s="3" t="str">
        <f t="shared" si="500"/>
        <v>SÁBADO</v>
      </c>
      <c r="E7849" s="427"/>
      <c r="F7849" s="31">
        <f>IFERROR(VLOOKUP(E7849,BD!$L$2:$Q$244,2,0),0)</f>
        <v>0</v>
      </c>
      <c r="G7849" s="424"/>
      <c r="H7849" s="31">
        <f>+IFERROR(VLOOKUP(E7849,BD!$L$2:$Q$244,6,0),0)</f>
        <v>0</v>
      </c>
      <c r="I7849" s="626">
        <f>IFERROR(G7849*VLOOKUP($E7849,BD!$L$2:$Q$244,5,0),0)</f>
        <v>0</v>
      </c>
      <c r="J7849" s="3">
        <f t="shared" si="501"/>
        <v>1900</v>
      </c>
    </row>
    <row r="7850" spans="1:10" s="9" customFormat="1" x14ac:dyDescent="0.25">
      <c r="A7850" s="447"/>
      <c r="B7850" s="55" t="str">
        <f t="shared" si="498"/>
        <v>ENERO</v>
      </c>
      <c r="C7850" s="55">
        <f t="shared" si="499"/>
        <v>1</v>
      </c>
      <c r="D7850" s="3" t="str">
        <f t="shared" si="500"/>
        <v>SÁBADO</v>
      </c>
      <c r="E7850" s="427"/>
      <c r="F7850" s="31">
        <f>IFERROR(VLOOKUP(E7850,BD!$L$2:$Q$244,2,0),0)</f>
        <v>0</v>
      </c>
      <c r="G7850" s="424"/>
      <c r="H7850" s="31">
        <f>+IFERROR(VLOOKUP(E7850,BD!$L$2:$Q$244,6,0),0)</f>
        <v>0</v>
      </c>
      <c r="I7850" s="626">
        <f>IFERROR(G7850*VLOOKUP($E7850,BD!$L$2:$Q$244,5,0),0)</f>
        <v>0</v>
      </c>
      <c r="J7850" s="3">
        <f t="shared" si="501"/>
        <v>1900</v>
      </c>
    </row>
    <row r="7851" spans="1:10" s="9" customFormat="1" x14ac:dyDescent="0.25">
      <c r="A7851" s="447"/>
      <c r="B7851" s="55" t="str">
        <f t="shared" si="498"/>
        <v>ENERO</v>
      </c>
      <c r="C7851" s="55">
        <f t="shared" si="499"/>
        <v>1</v>
      </c>
      <c r="D7851" s="3" t="str">
        <f t="shared" si="500"/>
        <v>SÁBADO</v>
      </c>
      <c r="E7851" s="427"/>
      <c r="F7851" s="31">
        <f>IFERROR(VLOOKUP(E7851,BD!$L$2:$Q$244,2,0),0)</f>
        <v>0</v>
      </c>
      <c r="G7851" s="424"/>
      <c r="H7851" s="31">
        <f>+IFERROR(VLOOKUP(E7851,BD!$L$2:$Q$244,6,0),0)</f>
        <v>0</v>
      </c>
      <c r="I7851" s="626">
        <f>IFERROR(G7851*VLOOKUP($E7851,BD!$L$2:$Q$244,5,0),0)</f>
        <v>0</v>
      </c>
      <c r="J7851" s="3">
        <f t="shared" si="501"/>
        <v>1900</v>
      </c>
    </row>
    <row r="7852" spans="1:10" s="9" customFormat="1" x14ac:dyDescent="0.25">
      <c r="A7852" s="447"/>
      <c r="B7852" s="55" t="str">
        <f t="shared" si="498"/>
        <v>ENERO</v>
      </c>
      <c r="C7852" s="55">
        <f t="shared" si="499"/>
        <v>1</v>
      </c>
      <c r="D7852" s="3" t="str">
        <f t="shared" si="500"/>
        <v>SÁBADO</v>
      </c>
      <c r="E7852" s="427"/>
      <c r="F7852" s="31">
        <f>IFERROR(VLOOKUP(E7852,BD!$L$2:$Q$244,2,0),0)</f>
        <v>0</v>
      </c>
      <c r="G7852" s="425"/>
      <c r="H7852" s="31">
        <f>+IFERROR(VLOOKUP(E7852,BD!$L$2:$Q$244,6,0),0)</f>
        <v>0</v>
      </c>
      <c r="I7852" s="626">
        <f>IFERROR(G7852*VLOOKUP($E7852,BD!$L$2:$Q$244,5,0),0)</f>
        <v>0</v>
      </c>
      <c r="J7852" s="3">
        <f t="shared" si="501"/>
        <v>1900</v>
      </c>
    </row>
    <row r="7853" spans="1:10" s="9" customFormat="1" x14ac:dyDescent="0.25">
      <c r="A7853" s="447"/>
      <c r="B7853" s="55" t="str">
        <f t="shared" si="498"/>
        <v>ENERO</v>
      </c>
      <c r="C7853" s="55">
        <f t="shared" si="499"/>
        <v>1</v>
      </c>
      <c r="D7853" s="3" t="str">
        <f t="shared" si="500"/>
        <v>SÁBADO</v>
      </c>
      <c r="E7853" s="427"/>
      <c r="F7853" s="31">
        <f>IFERROR(VLOOKUP(E7853,BD!$L$2:$Q$244,2,0),0)</f>
        <v>0</v>
      </c>
      <c r="G7853" s="424"/>
      <c r="H7853" s="31">
        <f>+IFERROR(VLOOKUP(E7853,BD!$L$2:$Q$244,6,0),0)</f>
        <v>0</v>
      </c>
      <c r="I7853" s="626">
        <f>IFERROR(G7853*VLOOKUP($E7853,BD!$L$2:$Q$244,5,0),0)</f>
        <v>0</v>
      </c>
      <c r="J7853" s="3">
        <f t="shared" si="501"/>
        <v>1900</v>
      </c>
    </row>
    <row r="7854" spans="1:10" s="9" customFormat="1" x14ac:dyDescent="0.25">
      <c r="A7854" s="447"/>
      <c r="B7854" s="55" t="str">
        <f t="shared" si="498"/>
        <v>ENERO</v>
      </c>
      <c r="C7854" s="55">
        <f t="shared" si="499"/>
        <v>1</v>
      </c>
      <c r="D7854" s="3" t="str">
        <f t="shared" si="500"/>
        <v>SÁBADO</v>
      </c>
      <c r="E7854" s="427"/>
      <c r="F7854" s="31">
        <f>IFERROR(VLOOKUP(E7854,BD!$L$2:$Q$244,2,0),0)</f>
        <v>0</v>
      </c>
      <c r="G7854" s="424"/>
      <c r="H7854" s="31">
        <f>+IFERROR(VLOOKUP(E7854,BD!$L$2:$Q$244,6,0),0)</f>
        <v>0</v>
      </c>
      <c r="I7854" s="626">
        <f>IFERROR(G7854*VLOOKUP($E7854,BD!$L$2:$Q$244,5,0),0)</f>
        <v>0</v>
      </c>
      <c r="J7854" s="3">
        <f t="shared" si="501"/>
        <v>1900</v>
      </c>
    </row>
    <row r="7855" spans="1:10" s="9" customFormat="1" x14ac:dyDescent="0.25">
      <c r="A7855" s="447"/>
      <c r="B7855" s="55" t="str">
        <f t="shared" si="498"/>
        <v>ENERO</v>
      </c>
      <c r="C7855" s="55">
        <f t="shared" si="499"/>
        <v>1</v>
      </c>
      <c r="D7855" s="3" t="str">
        <f t="shared" si="500"/>
        <v>SÁBADO</v>
      </c>
      <c r="E7855" s="427"/>
      <c r="F7855" s="31">
        <f>IFERROR(VLOOKUP(E7855,BD!$L$2:$Q$244,2,0),0)</f>
        <v>0</v>
      </c>
      <c r="G7855" s="424"/>
      <c r="H7855" s="31">
        <f>+IFERROR(VLOOKUP(E7855,BD!$L$2:$Q$244,6,0),0)</f>
        <v>0</v>
      </c>
      <c r="I7855" s="626">
        <f>IFERROR(G7855*VLOOKUP($E7855,BD!$L$2:$Q$244,5,0),0)</f>
        <v>0</v>
      </c>
      <c r="J7855" s="3">
        <f t="shared" si="501"/>
        <v>1900</v>
      </c>
    </row>
    <row r="7856" spans="1:10" s="9" customFormat="1" x14ac:dyDescent="0.25">
      <c r="A7856" s="447"/>
      <c r="B7856" s="55" t="str">
        <f t="shared" si="498"/>
        <v>ENERO</v>
      </c>
      <c r="C7856" s="55">
        <f t="shared" si="499"/>
        <v>1</v>
      </c>
      <c r="D7856" s="3" t="str">
        <f t="shared" si="500"/>
        <v>SÁBADO</v>
      </c>
      <c r="E7856" s="427"/>
      <c r="F7856" s="31">
        <f>IFERROR(VLOOKUP(E7856,BD!$L$2:$Q$244,2,0),0)</f>
        <v>0</v>
      </c>
      <c r="G7856" s="424"/>
      <c r="H7856" s="31">
        <f>+IFERROR(VLOOKUP(E7856,BD!$L$2:$Q$244,6,0),0)</f>
        <v>0</v>
      </c>
      <c r="I7856" s="626">
        <f>IFERROR(G7856*VLOOKUP($E7856,BD!$L$2:$Q$244,5,0),0)</f>
        <v>0</v>
      </c>
      <c r="J7856" s="3">
        <f t="shared" si="501"/>
        <v>1900</v>
      </c>
    </row>
    <row r="7857" spans="1:10" s="9" customFormat="1" x14ac:dyDescent="0.25">
      <c r="A7857" s="447"/>
      <c r="B7857" s="55" t="str">
        <f t="shared" si="498"/>
        <v>ENERO</v>
      </c>
      <c r="C7857" s="55">
        <f t="shared" si="499"/>
        <v>1</v>
      </c>
      <c r="D7857" s="3" t="str">
        <f t="shared" si="500"/>
        <v>SÁBADO</v>
      </c>
      <c r="E7857" s="427"/>
      <c r="F7857" s="31">
        <f>IFERROR(VLOOKUP(E7857,BD!$L$2:$Q$244,2,0),0)</f>
        <v>0</v>
      </c>
      <c r="G7857" s="424"/>
      <c r="H7857" s="31">
        <f>+IFERROR(VLOOKUP(E7857,BD!$L$2:$Q$244,6,0),0)</f>
        <v>0</v>
      </c>
      <c r="I7857" s="626">
        <f>IFERROR(G7857*VLOOKUP($E7857,BD!$L$2:$Q$244,5,0),0)</f>
        <v>0</v>
      </c>
      <c r="J7857" s="3">
        <f t="shared" si="501"/>
        <v>1900</v>
      </c>
    </row>
    <row r="7858" spans="1:10" s="9" customFormat="1" x14ac:dyDescent="0.25">
      <c r="A7858" s="447"/>
      <c r="B7858" s="55" t="str">
        <f t="shared" si="498"/>
        <v>ENERO</v>
      </c>
      <c r="C7858" s="55">
        <f t="shared" si="499"/>
        <v>1</v>
      </c>
      <c r="D7858" s="3" t="str">
        <f t="shared" si="500"/>
        <v>SÁBADO</v>
      </c>
      <c r="E7858" s="427"/>
      <c r="F7858" s="31">
        <f>IFERROR(VLOOKUP(E7858,BD!$L$2:$Q$244,2,0),0)</f>
        <v>0</v>
      </c>
      <c r="G7858" s="424"/>
      <c r="H7858" s="31">
        <f>+IFERROR(VLOOKUP(E7858,BD!$L$2:$Q$244,6,0),0)</f>
        <v>0</v>
      </c>
      <c r="I7858" s="626">
        <f>IFERROR(G7858*VLOOKUP($E7858,BD!$L$2:$Q$244,5,0),0)</f>
        <v>0</v>
      </c>
      <c r="J7858" s="3">
        <f t="shared" si="501"/>
        <v>1900</v>
      </c>
    </row>
    <row r="7859" spans="1:10" s="9" customFormat="1" x14ac:dyDescent="0.25">
      <c r="A7859" s="447"/>
      <c r="B7859" s="55" t="str">
        <f t="shared" si="498"/>
        <v>ENERO</v>
      </c>
      <c r="C7859" s="55">
        <f t="shared" si="499"/>
        <v>1</v>
      </c>
      <c r="D7859" s="3" t="str">
        <f t="shared" si="500"/>
        <v>SÁBADO</v>
      </c>
      <c r="E7859" s="427"/>
      <c r="F7859" s="31">
        <f>IFERROR(VLOOKUP(E7859,BD!$L$2:$Q$244,2,0),0)</f>
        <v>0</v>
      </c>
      <c r="G7859" s="424"/>
      <c r="H7859" s="31">
        <f>+IFERROR(VLOOKUP(E7859,BD!$L$2:$Q$244,6,0),0)</f>
        <v>0</v>
      </c>
      <c r="I7859" s="626">
        <f>IFERROR(G7859*VLOOKUP($E7859,BD!$L$2:$Q$244,5,0),0)</f>
        <v>0</v>
      </c>
      <c r="J7859" s="3">
        <f t="shared" si="501"/>
        <v>1900</v>
      </c>
    </row>
    <row r="7860" spans="1:10" s="9" customFormat="1" x14ac:dyDescent="0.25">
      <c r="A7860" s="447"/>
      <c r="B7860" s="55" t="str">
        <f t="shared" si="498"/>
        <v>ENERO</v>
      </c>
      <c r="C7860" s="55">
        <f t="shared" si="499"/>
        <v>1</v>
      </c>
      <c r="D7860" s="3" t="str">
        <f t="shared" si="500"/>
        <v>SÁBADO</v>
      </c>
      <c r="E7860" s="427"/>
      <c r="F7860" s="31">
        <f>IFERROR(VLOOKUP(E7860,BD!$L$2:$Q$244,2,0),0)</f>
        <v>0</v>
      </c>
      <c r="G7860" s="424"/>
      <c r="H7860" s="31">
        <f>+IFERROR(VLOOKUP(E7860,BD!$L$2:$Q$244,6,0),0)</f>
        <v>0</v>
      </c>
      <c r="I7860" s="626">
        <f>IFERROR(G7860*VLOOKUP($E7860,BD!$L$2:$Q$244,5,0),0)</f>
        <v>0</v>
      </c>
      <c r="J7860" s="3">
        <f t="shared" si="501"/>
        <v>1900</v>
      </c>
    </row>
    <row r="7861" spans="1:10" s="9" customFormat="1" x14ac:dyDescent="0.25">
      <c r="A7861" s="447"/>
      <c r="B7861" s="55" t="str">
        <f t="shared" si="498"/>
        <v>ENERO</v>
      </c>
      <c r="C7861" s="55">
        <f t="shared" si="499"/>
        <v>1</v>
      </c>
      <c r="D7861" s="3" t="str">
        <f t="shared" si="500"/>
        <v>SÁBADO</v>
      </c>
      <c r="E7861" s="427"/>
      <c r="F7861" s="31">
        <f>IFERROR(VLOOKUP(E7861,BD!$L$2:$Q$244,2,0),0)</f>
        <v>0</v>
      </c>
      <c r="G7861" s="424"/>
      <c r="H7861" s="31">
        <f>+IFERROR(VLOOKUP(E7861,BD!$L$2:$Q$244,6,0),0)</f>
        <v>0</v>
      </c>
      <c r="I7861" s="626">
        <f>IFERROR(G7861*VLOOKUP($E7861,BD!$L$2:$Q$244,5,0),0)</f>
        <v>0</v>
      </c>
      <c r="J7861" s="3">
        <f t="shared" si="501"/>
        <v>1900</v>
      </c>
    </row>
    <row r="7862" spans="1:10" s="9" customFormat="1" x14ac:dyDescent="0.25">
      <c r="A7862" s="447"/>
      <c r="B7862" s="55" t="str">
        <f t="shared" si="498"/>
        <v>ENERO</v>
      </c>
      <c r="C7862" s="55">
        <f t="shared" si="499"/>
        <v>1</v>
      </c>
      <c r="D7862" s="3" t="str">
        <f t="shared" si="500"/>
        <v>SÁBADO</v>
      </c>
      <c r="E7862" s="427"/>
      <c r="F7862" s="31">
        <f>IFERROR(VLOOKUP(E7862,BD!$L$2:$Q$244,2,0),0)</f>
        <v>0</v>
      </c>
      <c r="G7862" s="424"/>
      <c r="H7862" s="31">
        <f>+IFERROR(VLOOKUP(E7862,BD!$L$2:$Q$244,6,0),0)</f>
        <v>0</v>
      </c>
      <c r="I7862" s="626">
        <f>IFERROR(G7862*VLOOKUP($E7862,BD!$L$2:$Q$244,5,0),0)</f>
        <v>0</v>
      </c>
      <c r="J7862" s="3">
        <f t="shared" si="501"/>
        <v>1900</v>
      </c>
    </row>
    <row r="7863" spans="1:10" s="9" customFormat="1" x14ac:dyDescent="0.25">
      <c r="A7863" s="447"/>
      <c r="B7863" s="55" t="str">
        <f t="shared" si="498"/>
        <v>ENERO</v>
      </c>
      <c r="C7863" s="55">
        <f t="shared" si="499"/>
        <v>1</v>
      </c>
      <c r="D7863" s="3" t="str">
        <f t="shared" si="500"/>
        <v>SÁBADO</v>
      </c>
      <c r="E7863" s="427"/>
      <c r="F7863" s="31">
        <f>IFERROR(VLOOKUP(E7863,BD!$L$2:$Q$244,2,0),0)</f>
        <v>0</v>
      </c>
      <c r="G7863" s="424"/>
      <c r="H7863" s="31">
        <f>+IFERROR(VLOOKUP(E7863,BD!$L$2:$Q$244,6,0),0)</f>
        <v>0</v>
      </c>
      <c r="I7863" s="626">
        <f>IFERROR(G7863*VLOOKUP($E7863,BD!$L$2:$Q$244,5,0),0)</f>
        <v>0</v>
      </c>
      <c r="J7863" s="3">
        <f t="shared" si="501"/>
        <v>1900</v>
      </c>
    </row>
    <row r="7864" spans="1:10" s="9" customFormat="1" x14ac:dyDescent="0.25">
      <c r="A7864" s="447"/>
      <c r="B7864" s="55" t="str">
        <f t="shared" si="498"/>
        <v>ENERO</v>
      </c>
      <c r="C7864" s="55">
        <f t="shared" si="499"/>
        <v>1</v>
      </c>
      <c r="D7864" s="3" t="str">
        <f t="shared" si="500"/>
        <v>SÁBADO</v>
      </c>
      <c r="E7864" s="427"/>
      <c r="F7864" s="31">
        <f>IFERROR(VLOOKUP(E7864,BD!$L$2:$Q$244,2,0),0)</f>
        <v>0</v>
      </c>
      <c r="G7864" s="424"/>
      <c r="H7864" s="31">
        <f>+IFERROR(VLOOKUP(E7864,BD!$L$2:$Q$244,6,0),0)</f>
        <v>0</v>
      </c>
      <c r="I7864" s="626">
        <f>IFERROR(G7864*VLOOKUP($E7864,BD!$L$2:$Q$244,5,0),0)</f>
        <v>0</v>
      </c>
      <c r="J7864" s="3">
        <f t="shared" si="501"/>
        <v>1900</v>
      </c>
    </row>
    <row r="7865" spans="1:10" s="9" customFormat="1" x14ac:dyDescent="0.25">
      <c r="A7865" s="447"/>
      <c r="B7865" s="55" t="str">
        <f t="shared" si="498"/>
        <v>ENERO</v>
      </c>
      <c r="C7865" s="55">
        <f t="shared" si="499"/>
        <v>1</v>
      </c>
      <c r="D7865" s="3" t="str">
        <f t="shared" si="500"/>
        <v>SÁBADO</v>
      </c>
      <c r="E7865" s="427"/>
      <c r="F7865" s="31">
        <f>IFERROR(VLOOKUP(E7865,BD!$L$2:$Q$244,2,0),0)</f>
        <v>0</v>
      </c>
      <c r="G7865" s="424"/>
      <c r="H7865" s="31">
        <f>+IFERROR(VLOOKUP(E7865,BD!$L$2:$Q$244,6,0),0)</f>
        <v>0</v>
      </c>
      <c r="I7865" s="626">
        <f>IFERROR(G7865*VLOOKUP($E7865,BD!$L$2:$Q$244,5,0),0)</f>
        <v>0</v>
      </c>
      <c r="J7865" s="3">
        <f t="shared" si="501"/>
        <v>1900</v>
      </c>
    </row>
    <row r="7866" spans="1:10" s="9" customFormat="1" x14ac:dyDescent="0.25">
      <c r="A7866" s="447"/>
      <c r="B7866" s="55" t="str">
        <f t="shared" si="498"/>
        <v>ENERO</v>
      </c>
      <c r="C7866" s="55">
        <f t="shared" si="499"/>
        <v>1</v>
      </c>
      <c r="D7866" s="3" t="str">
        <f t="shared" si="500"/>
        <v>SÁBADO</v>
      </c>
      <c r="E7866" s="427"/>
      <c r="F7866" s="31">
        <f>IFERROR(VLOOKUP(E7866,BD!$L$2:$Q$244,2,0),0)</f>
        <v>0</v>
      </c>
      <c r="G7866" s="425"/>
      <c r="H7866" s="31">
        <f>+IFERROR(VLOOKUP(E7866,BD!$L$2:$Q$244,6,0),0)</f>
        <v>0</v>
      </c>
      <c r="I7866" s="626">
        <f>IFERROR(G7866*VLOOKUP($E7866,BD!$L$2:$Q$244,5,0),0)</f>
        <v>0</v>
      </c>
      <c r="J7866" s="3">
        <f t="shared" si="501"/>
        <v>1900</v>
      </c>
    </row>
    <row r="7867" spans="1:10" s="9" customFormat="1" x14ac:dyDescent="0.25">
      <c r="A7867" s="447"/>
      <c r="B7867" s="55" t="str">
        <f t="shared" si="498"/>
        <v>ENERO</v>
      </c>
      <c r="C7867" s="55">
        <f t="shared" si="499"/>
        <v>1</v>
      </c>
      <c r="D7867" s="3" t="str">
        <f t="shared" si="500"/>
        <v>SÁBADO</v>
      </c>
      <c r="E7867" s="427"/>
      <c r="F7867" s="31">
        <f>IFERROR(VLOOKUP(E7867,BD!$L$2:$Q$244,2,0),0)</f>
        <v>0</v>
      </c>
      <c r="G7867" s="424"/>
      <c r="H7867" s="31">
        <f>+IFERROR(VLOOKUP(E7867,BD!$L$2:$Q$244,6,0),0)</f>
        <v>0</v>
      </c>
      <c r="I7867" s="626">
        <f>IFERROR(G7867*VLOOKUP($E7867,BD!$L$2:$Q$244,5,0),0)</f>
        <v>0</v>
      </c>
      <c r="J7867" s="3">
        <f t="shared" si="501"/>
        <v>1900</v>
      </c>
    </row>
    <row r="7868" spans="1:10" s="9" customFormat="1" x14ac:dyDescent="0.25">
      <c r="A7868" s="447"/>
      <c r="B7868" s="55" t="str">
        <f t="shared" si="498"/>
        <v>ENERO</v>
      </c>
      <c r="C7868" s="55">
        <f t="shared" si="499"/>
        <v>1</v>
      </c>
      <c r="D7868" s="3" t="str">
        <f t="shared" si="500"/>
        <v>SÁBADO</v>
      </c>
      <c r="E7868" s="427"/>
      <c r="F7868" s="31">
        <f>IFERROR(VLOOKUP(E7868,BD!$L$2:$Q$244,2,0),0)</f>
        <v>0</v>
      </c>
      <c r="G7868" s="424"/>
      <c r="H7868" s="31">
        <f>+IFERROR(VLOOKUP(E7868,BD!$L$2:$Q$244,6,0),0)</f>
        <v>0</v>
      </c>
      <c r="I7868" s="626">
        <f>IFERROR(G7868*VLOOKUP($E7868,BD!$L$2:$Q$244,5,0),0)</f>
        <v>0</v>
      </c>
      <c r="J7868" s="3">
        <f t="shared" si="501"/>
        <v>1900</v>
      </c>
    </row>
    <row r="7869" spans="1:10" s="9" customFormat="1" x14ac:dyDescent="0.25">
      <c r="A7869" s="447"/>
      <c r="B7869" s="55" t="str">
        <f t="shared" ref="B7869:B7932" si="502">UPPER(TEXT(A7869,"MMMM"))</f>
        <v>ENERO</v>
      </c>
      <c r="C7869" s="55">
        <f t="shared" ref="C7869:C7932" si="503">WEEKNUM(A7869,16)</f>
        <v>1</v>
      </c>
      <c r="D7869" s="3" t="str">
        <f t="shared" ref="D7869:D7932" si="504">UPPER(TEXT(A7869,"DDDD"))</f>
        <v>SÁBADO</v>
      </c>
      <c r="E7869" s="427"/>
      <c r="F7869" s="31">
        <f>IFERROR(VLOOKUP(E7869,BD!$L$2:$Q$244,2,0),0)</f>
        <v>0</v>
      </c>
      <c r="G7869" s="424"/>
      <c r="H7869" s="31">
        <f>+IFERROR(VLOOKUP(E7869,BD!$L$2:$Q$244,6,0),0)</f>
        <v>0</v>
      </c>
      <c r="I7869" s="626">
        <f>IFERROR(G7869*VLOOKUP($E7869,BD!$L$2:$Q$244,5,0),0)</f>
        <v>0</v>
      </c>
      <c r="J7869" s="3">
        <f t="shared" ref="J7869:J7932" si="505">+YEAR(A7869)</f>
        <v>1900</v>
      </c>
    </row>
    <row r="7870" spans="1:10" s="9" customFormat="1" x14ac:dyDescent="0.25">
      <c r="A7870" s="447"/>
      <c r="B7870" s="55" t="str">
        <f t="shared" si="502"/>
        <v>ENERO</v>
      </c>
      <c r="C7870" s="55">
        <f t="shared" si="503"/>
        <v>1</v>
      </c>
      <c r="D7870" s="3" t="str">
        <f t="shared" si="504"/>
        <v>SÁBADO</v>
      </c>
      <c r="E7870" s="427"/>
      <c r="F7870" s="31">
        <f>IFERROR(VLOOKUP(E7870,BD!$L$2:$Q$244,2,0),0)</f>
        <v>0</v>
      </c>
      <c r="G7870" s="424"/>
      <c r="H7870" s="31">
        <f>+IFERROR(VLOOKUP(E7870,BD!$L$2:$Q$244,6,0),0)</f>
        <v>0</v>
      </c>
      <c r="I7870" s="626">
        <f>IFERROR(G7870*VLOOKUP($E7870,BD!$L$2:$Q$244,5,0),0)</f>
        <v>0</v>
      </c>
      <c r="J7870" s="3">
        <f t="shared" si="505"/>
        <v>1900</v>
      </c>
    </row>
    <row r="7871" spans="1:10" s="9" customFormat="1" x14ac:dyDescent="0.25">
      <c r="A7871" s="447"/>
      <c r="B7871" s="55" t="str">
        <f t="shared" si="502"/>
        <v>ENERO</v>
      </c>
      <c r="C7871" s="55">
        <f t="shared" si="503"/>
        <v>1</v>
      </c>
      <c r="D7871" s="3" t="str">
        <f t="shared" si="504"/>
        <v>SÁBADO</v>
      </c>
      <c r="E7871" s="427"/>
      <c r="F7871" s="31">
        <f>IFERROR(VLOOKUP(E7871,BD!$L$2:$Q$244,2,0),0)</f>
        <v>0</v>
      </c>
      <c r="G7871" s="424"/>
      <c r="H7871" s="31">
        <f>+IFERROR(VLOOKUP(E7871,BD!$L$2:$Q$244,6,0),0)</f>
        <v>0</v>
      </c>
      <c r="I7871" s="626">
        <f>IFERROR(G7871*VLOOKUP($E7871,BD!$L$2:$Q$244,5,0),0)</f>
        <v>0</v>
      </c>
      <c r="J7871" s="3">
        <f t="shared" si="505"/>
        <v>1900</v>
      </c>
    </row>
    <row r="7872" spans="1:10" s="9" customFormat="1" x14ac:dyDescent="0.25">
      <c r="A7872" s="447"/>
      <c r="B7872" s="55" t="str">
        <f t="shared" si="502"/>
        <v>ENERO</v>
      </c>
      <c r="C7872" s="55">
        <f t="shared" si="503"/>
        <v>1</v>
      </c>
      <c r="D7872" s="3" t="str">
        <f t="shared" si="504"/>
        <v>SÁBADO</v>
      </c>
      <c r="E7872" s="427"/>
      <c r="F7872" s="31">
        <f>IFERROR(VLOOKUP(E7872,BD!$L$2:$Q$244,2,0),0)</f>
        <v>0</v>
      </c>
      <c r="G7872" s="424"/>
      <c r="H7872" s="31">
        <f>+IFERROR(VLOOKUP(E7872,BD!$L$2:$Q$244,6,0),0)</f>
        <v>0</v>
      </c>
      <c r="I7872" s="626">
        <f>IFERROR(G7872*VLOOKUP($E7872,BD!$L$2:$Q$244,5,0),0)</f>
        <v>0</v>
      </c>
      <c r="J7872" s="3">
        <f t="shared" si="505"/>
        <v>1900</v>
      </c>
    </row>
    <row r="7873" spans="1:10" s="9" customFormat="1" x14ac:dyDescent="0.25">
      <c r="A7873" s="447"/>
      <c r="B7873" s="55" t="str">
        <f t="shared" si="502"/>
        <v>ENERO</v>
      </c>
      <c r="C7873" s="55">
        <f t="shared" si="503"/>
        <v>1</v>
      </c>
      <c r="D7873" s="3" t="str">
        <f t="shared" si="504"/>
        <v>SÁBADO</v>
      </c>
      <c r="E7873" s="427"/>
      <c r="F7873" s="31">
        <f>IFERROR(VLOOKUP(E7873,BD!$L$2:$Q$244,2,0),0)</f>
        <v>0</v>
      </c>
      <c r="G7873" s="424"/>
      <c r="H7873" s="31">
        <f>+IFERROR(VLOOKUP(E7873,BD!$L$2:$Q$244,6,0),0)</f>
        <v>0</v>
      </c>
      <c r="I7873" s="626">
        <f>IFERROR(G7873*VLOOKUP($E7873,BD!$L$2:$Q$244,5,0),0)</f>
        <v>0</v>
      </c>
      <c r="J7873" s="3">
        <f t="shared" si="505"/>
        <v>1900</v>
      </c>
    </row>
    <row r="7874" spans="1:10" s="9" customFormat="1" x14ac:dyDescent="0.25">
      <c r="A7874" s="447"/>
      <c r="B7874" s="55" t="str">
        <f t="shared" si="502"/>
        <v>ENERO</v>
      </c>
      <c r="C7874" s="55">
        <f t="shared" si="503"/>
        <v>1</v>
      </c>
      <c r="D7874" s="3" t="str">
        <f t="shared" si="504"/>
        <v>SÁBADO</v>
      </c>
      <c r="E7874" s="427"/>
      <c r="F7874" s="31">
        <f>IFERROR(VLOOKUP(E7874,BD!$L$2:$Q$244,2,0),0)</f>
        <v>0</v>
      </c>
      <c r="G7874" s="424"/>
      <c r="H7874" s="31">
        <f>+IFERROR(VLOOKUP(E7874,BD!$L$2:$Q$244,6,0),0)</f>
        <v>0</v>
      </c>
      <c r="I7874" s="626">
        <f>IFERROR(G7874*VLOOKUP($E7874,BD!$L$2:$Q$244,5,0),0)</f>
        <v>0</v>
      </c>
      <c r="J7874" s="3">
        <f t="shared" si="505"/>
        <v>1900</v>
      </c>
    </row>
    <row r="7875" spans="1:10" s="9" customFormat="1" x14ac:dyDescent="0.25">
      <c r="A7875" s="447"/>
      <c r="B7875" s="55" t="str">
        <f t="shared" si="502"/>
        <v>ENERO</v>
      </c>
      <c r="C7875" s="55">
        <f t="shared" si="503"/>
        <v>1</v>
      </c>
      <c r="D7875" s="3" t="str">
        <f t="shared" si="504"/>
        <v>SÁBADO</v>
      </c>
      <c r="E7875" s="427"/>
      <c r="F7875" s="31">
        <f>IFERROR(VLOOKUP(E7875,BD!$L$2:$Q$244,2,0),0)</f>
        <v>0</v>
      </c>
      <c r="G7875" s="424"/>
      <c r="H7875" s="31">
        <f>+IFERROR(VLOOKUP(E7875,BD!$L$2:$Q$244,6,0),0)</f>
        <v>0</v>
      </c>
      <c r="I7875" s="626">
        <f>IFERROR(G7875*VLOOKUP($E7875,BD!$L$2:$Q$244,5,0),0)</f>
        <v>0</v>
      </c>
      <c r="J7875" s="3">
        <f t="shared" si="505"/>
        <v>1900</v>
      </c>
    </row>
    <row r="7876" spans="1:10" s="9" customFormat="1" x14ac:dyDescent="0.25">
      <c r="A7876" s="447"/>
      <c r="B7876" s="55" t="str">
        <f t="shared" si="502"/>
        <v>ENERO</v>
      </c>
      <c r="C7876" s="55">
        <f t="shared" si="503"/>
        <v>1</v>
      </c>
      <c r="D7876" s="3" t="str">
        <f t="shared" si="504"/>
        <v>SÁBADO</v>
      </c>
      <c r="E7876" s="427"/>
      <c r="F7876" s="31">
        <f>IFERROR(VLOOKUP(E7876,BD!$L$2:$Q$244,2,0),0)</f>
        <v>0</v>
      </c>
      <c r="G7876" s="424"/>
      <c r="H7876" s="31">
        <f>+IFERROR(VLOOKUP(E7876,BD!$L$2:$Q$244,6,0),0)</f>
        <v>0</v>
      </c>
      <c r="I7876" s="626">
        <f>IFERROR(G7876*VLOOKUP($E7876,BD!$L$2:$Q$244,5,0),0)</f>
        <v>0</v>
      </c>
      <c r="J7876" s="3">
        <f t="shared" si="505"/>
        <v>1900</v>
      </c>
    </row>
    <row r="7877" spans="1:10" s="9" customFormat="1" x14ac:dyDescent="0.25">
      <c r="A7877" s="447"/>
      <c r="B7877" s="55" t="str">
        <f t="shared" si="502"/>
        <v>ENERO</v>
      </c>
      <c r="C7877" s="55">
        <f t="shared" si="503"/>
        <v>1</v>
      </c>
      <c r="D7877" s="3" t="str">
        <f t="shared" si="504"/>
        <v>SÁBADO</v>
      </c>
      <c r="E7877" s="427"/>
      <c r="F7877" s="31">
        <f>IFERROR(VLOOKUP(E7877,BD!$L$2:$Q$244,2,0),0)</f>
        <v>0</v>
      </c>
      <c r="G7877" s="424"/>
      <c r="H7877" s="31">
        <f>+IFERROR(VLOOKUP(E7877,BD!$L$2:$Q$244,6,0),0)</f>
        <v>0</v>
      </c>
      <c r="I7877" s="626">
        <f>IFERROR(G7877*VLOOKUP($E7877,BD!$L$2:$Q$244,5,0),0)</f>
        <v>0</v>
      </c>
      <c r="J7877" s="3">
        <f t="shared" si="505"/>
        <v>1900</v>
      </c>
    </row>
    <row r="7878" spans="1:10" s="9" customFormat="1" x14ac:dyDescent="0.25">
      <c r="A7878" s="447"/>
      <c r="B7878" s="55" t="str">
        <f t="shared" si="502"/>
        <v>ENERO</v>
      </c>
      <c r="C7878" s="55">
        <f t="shared" si="503"/>
        <v>1</v>
      </c>
      <c r="D7878" s="3" t="str">
        <f t="shared" si="504"/>
        <v>SÁBADO</v>
      </c>
      <c r="E7878" s="427"/>
      <c r="F7878" s="31">
        <f>IFERROR(VLOOKUP(E7878,BD!$L$2:$Q$244,2,0),0)</f>
        <v>0</v>
      </c>
      <c r="G7878" s="424"/>
      <c r="H7878" s="31">
        <f>+IFERROR(VLOOKUP(E7878,BD!$L$2:$Q$244,6,0),0)</f>
        <v>0</v>
      </c>
      <c r="I7878" s="626">
        <f>IFERROR(G7878*VLOOKUP($E7878,BD!$L$2:$Q$244,5,0),0)</f>
        <v>0</v>
      </c>
      <c r="J7878" s="3">
        <f t="shared" si="505"/>
        <v>1900</v>
      </c>
    </row>
    <row r="7879" spans="1:10" s="9" customFormat="1" x14ac:dyDescent="0.25">
      <c r="A7879" s="447"/>
      <c r="B7879" s="55" t="str">
        <f t="shared" si="502"/>
        <v>ENERO</v>
      </c>
      <c r="C7879" s="55">
        <f t="shared" si="503"/>
        <v>1</v>
      </c>
      <c r="D7879" s="3" t="str">
        <f t="shared" si="504"/>
        <v>SÁBADO</v>
      </c>
      <c r="E7879" s="427"/>
      <c r="F7879" s="31">
        <f>IFERROR(VLOOKUP(E7879,BD!$L$2:$Q$244,2,0),0)</f>
        <v>0</v>
      </c>
      <c r="G7879" s="424"/>
      <c r="H7879" s="31">
        <f>+IFERROR(VLOOKUP(E7879,BD!$L$2:$Q$244,6,0),0)</f>
        <v>0</v>
      </c>
      <c r="I7879" s="626">
        <f>IFERROR(G7879*VLOOKUP($E7879,BD!$L$2:$Q$244,5,0),0)</f>
        <v>0</v>
      </c>
      <c r="J7879" s="3">
        <f t="shared" si="505"/>
        <v>1900</v>
      </c>
    </row>
    <row r="7880" spans="1:10" s="9" customFormat="1" x14ac:dyDescent="0.25">
      <c r="A7880" s="447"/>
      <c r="B7880" s="55" t="str">
        <f t="shared" si="502"/>
        <v>ENERO</v>
      </c>
      <c r="C7880" s="55">
        <f t="shared" si="503"/>
        <v>1</v>
      </c>
      <c r="D7880" s="3" t="str">
        <f t="shared" si="504"/>
        <v>SÁBADO</v>
      </c>
      <c r="E7880" s="427"/>
      <c r="F7880" s="31">
        <f>IFERROR(VLOOKUP(E7880,BD!$L$2:$Q$244,2,0),0)</f>
        <v>0</v>
      </c>
      <c r="G7880" s="425"/>
      <c r="H7880" s="31">
        <f>+IFERROR(VLOOKUP(E7880,BD!$L$2:$Q$244,6,0),0)</f>
        <v>0</v>
      </c>
      <c r="I7880" s="626">
        <f>IFERROR(G7880*VLOOKUP($E7880,BD!$L$2:$Q$244,5,0),0)</f>
        <v>0</v>
      </c>
      <c r="J7880" s="3">
        <f t="shared" si="505"/>
        <v>1900</v>
      </c>
    </row>
    <row r="7881" spans="1:10" s="9" customFormat="1" x14ac:dyDescent="0.25">
      <c r="A7881" s="447"/>
      <c r="B7881" s="55" t="str">
        <f t="shared" si="502"/>
        <v>ENERO</v>
      </c>
      <c r="C7881" s="55">
        <f t="shared" si="503"/>
        <v>1</v>
      </c>
      <c r="D7881" s="3" t="str">
        <f t="shared" si="504"/>
        <v>SÁBADO</v>
      </c>
      <c r="E7881" s="427"/>
      <c r="F7881" s="31">
        <f>IFERROR(VLOOKUP(E7881,BD!$L$2:$Q$244,2,0),0)</f>
        <v>0</v>
      </c>
      <c r="G7881" s="424"/>
      <c r="H7881" s="31">
        <f>+IFERROR(VLOOKUP(E7881,BD!$L$2:$Q$244,6,0),0)</f>
        <v>0</v>
      </c>
      <c r="I7881" s="626">
        <f>IFERROR(G7881*VLOOKUP($E7881,BD!$L$2:$Q$244,5,0),0)</f>
        <v>0</v>
      </c>
      <c r="J7881" s="3">
        <f t="shared" si="505"/>
        <v>1900</v>
      </c>
    </row>
    <row r="7882" spans="1:10" s="9" customFormat="1" x14ac:dyDescent="0.25">
      <c r="A7882" s="447"/>
      <c r="B7882" s="55" t="str">
        <f t="shared" si="502"/>
        <v>ENERO</v>
      </c>
      <c r="C7882" s="55">
        <f t="shared" si="503"/>
        <v>1</v>
      </c>
      <c r="D7882" s="3" t="str">
        <f t="shared" si="504"/>
        <v>SÁBADO</v>
      </c>
      <c r="E7882" s="427"/>
      <c r="F7882" s="31">
        <f>IFERROR(VLOOKUP(E7882,BD!$L$2:$Q$244,2,0),0)</f>
        <v>0</v>
      </c>
      <c r="G7882" s="424"/>
      <c r="H7882" s="31">
        <f>+IFERROR(VLOOKUP(E7882,BD!$L$2:$Q$244,6,0),0)</f>
        <v>0</v>
      </c>
      <c r="I7882" s="626">
        <f>IFERROR(G7882*VLOOKUP($E7882,BD!$L$2:$Q$244,5,0),0)</f>
        <v>0</v>
      </c>
      <c r="J7882" s="3">
        <f t="shared" si="505"/>
        <v>1900</v>
      </c>
    </row>
    <row r="7883" spans="1:10" s="9" customFormat="1" x14ac:dyDescent="0.25">
      <c r="A7883" s="447"/>
      <c r="B7883" s="55" t="str">
        <f t="shared" si="502"/>
        <v>ENERO</v>
      </c>
      <c r="C7883" s="55">
        <f t="shared" si="503"/>
        <v>1</v>
      </c>
      <c r="D7883" s="3" t="str">
        <f t="shared" si="504"/>
        <v>SÁBADO</v>
      </c>
      <c r="E7883" s="427"/>
      <c r="F7883" s="31">
        <f>IFERROR(VLOOKUP(E7883,BD!$L$2:$Q$244,2,0),0)</f>
        <v>0</v>
      </c>
      <c r="G7883" s="424"/>
      <c r="H7883" s="31">
        <f>+IFERROR(VLOOKUP(E7883,BD!$L$2:$Q$244,6,0),0)</f>
        <v>0</v>
      </c>
      <c r="I7883" s="626">
        <f>IFERROR(G7883*VLOOKUP($E7883,BD!$L$2:$Q$244,5,0),0)</f>
        <v>0</v>
      </c>
      <c r="J7883" s="3">
        <f t="shared" si="505"/>
        <v>1900</v>
      </c>
    </row>
    <row r="7884" spans="1:10" s="9" customFormat="1" x14ac:dyDescent="0.25">
      <c r="A7884" s="447"/>
      <c r="B7884" s="55" t="str">
        <f t="shared" si="502"/>
        <v>ENERO</v>
      </c>
      <c r="C7884" s="55">
        <f t="shared" si="503"/>
        <v>1</v>
      </c>
      <c r="D7884" s="3" t="str">
        <f t="shared" si="504"/>
        <v>SÁBADO</v>
      </c>
      <c r="E7884" s="427"/>
      <c r="F7884" s="31">
        <f>IFERROR(VLOOKUP(E7884,BD!$L$2:$Q$244,2,0),0)</f>
        <v>0</v>
      </c>
      <c r="G7884" s="424"/>
      <c r="H7884" s="31">
        <f>+IFERROR(VLOOKUP(E7884,BD!$L$2:$Q$244,6,0),0)</f>
        <v>0</v>
      </c>
      <c r="I7884" s="626">
        <f>IFERROR(G7884*VLOOKUP($E7884,BD!$L$2:$Q$244,5,0),0)</f>
        <v>0</v>
      </c>
      <c r="J7884" s="3">
        <f t="shared" si="505"/>
        <v>1900</v>
      </c>
    </row>
    <row r="7885" spans="1:10" s="9" customFormat="1" x14ac:dyDescent="0.25">
      <c r="A7885" s="447"/>
      <c r="B7885" s="55" t="str">
        <f t="shared" si="502"/>
        <v>ENERO</v>
      </c>
      <c r="C7885" s="55">
        <f t="shared" si="503"/>
        <v>1</v>
      </c>
      <c r="D7885" s="3" t="str">
        <f t="shared" si="504"/>
        <v>SÁBADO</v>
      </c>
      <c r="E7885" s="427"/>
      <c r="F7885" s="31">
        <f>IFERROR(VLOOKUP(E7885,BD!$L$2:$Q$244,2,0),0)</f>
        <v>0</v>
      </c>
      <c r="G7885" s="424"/>
      <c r="H7885" s="31">
        <f>+IFERROR(VLOOKUP(E7885,BD!$L$2:$Q$244,6,0),0)</f>
        <v>0</v>
      </c>
      <c r="I7885" s="626">
        <f>IFERROR(G7885*VLOOKUP($E7885,BD!$L$2:$Q$244,5,0),0)</f>
        <v>0</v>
      </c>
      <c r="J7885" s="3">
        <f t="shared" si="505"/>
        <v>1900</v>
      </c>
    </row>
    <row r="7886" spans="1:10" s="9" customFormat="1" x14ac:dyDescent="0.25">
      <c r="A7886" s="447"/>
      <c r="B7886" s="55" t="str">
        <f t="shared" si="502"/>
        <v>ENERO</v>
      </c>
      <c r="C7886" s="55">
        <f t="shared" si="503"/>
        <v>1</v>
      </c>
      <c r="D7886" s="3" t="str">
        <f t="shared" si="504"/>
        <v>SÁBADO</v>
      </c>
      <c r="E7886" s="427"/>
      <c r="F7886" s="31">
        <f>IFERROR(VLOOKUP(E7886,BD!$L$2:$Q$244,2,0),0)</f>
        <v>0</v>
      </c>
      <c r="G7886" s="424"/>
      <c r="H7886" s="31">
        <f>+IFERROR(VLOOKUP(E7886,BD!$L$2:$Q$244,6,0),0)</f>
        <v>0</v>
      </c>
      <c r="I7886" s="626">
        <f>IFERROR(G7886*VLOOKUP($E7886,BD!$L$2:$Q$244,5,0),0)</f>
        <v>0</v>
      </c>
      <c r="J7886" s="3">
        <f t="shared" si="505"/>
        <v>1900</v>
      </c>
    </row>
    <row r="7887" spans="1:10" s="9" customFormat="1" x14ac:dyDescent="0.25">
      <c r="A7887" s="447"/>
      <c r="B7887" s="55" t="str">
        <f t="shared" si="502"/>
        <v>ENERO</v>
      </c>
      <c r="C7887" s="55">
        <f t="shared" si="503"/>
        <v>1</v>
      </c>
      <c r="D7887" s="3" t="str">
        <f t="shared" si="504"/>
        <v>SÁBADO</v>
      </c>
      <c r="E7887" s="427"/>
      <c r="F7887" s="31">
        <f>IFERROR(VLOOKUP(E7887,BD!$L$2:$Q$244,2,0),0)</f>
        <v>0</v>
      </c>
      <c r="G7887" s="424"/>
      <c r="H7887" s="31">
        <f>+IFERROR(VLOOKUP(E7887,BD!$L$2:$Q$244,6,0),0)</f>
        <v>0</v>
      </c>
      <c r="I7887" s="626">
        <f>IFERROR(G7887*VLOOKUP($E7887,BD!$L$2:$Q$244,5,0),0)</f>
        <v>0</v>
      </c>
      <c r="J7887" s="3">
        <f t="shared" si="505"/>
        <v>1900</v>
      </c>
    </row>
    <row r="7888" spans="1:10" s="9" customFormat="1" x14ac:dyDescent="0.25">
      <c r="A7888" s="447"/>
      <c r="B7888" s="55" t="str">
        <f t="shared" si="502"/>
        <v>ENERO</v>
      </c>
      <c r="C7888" s="55">
        <f t="shared" si="503"/>
        <v>1</v>
      </c>
      <c r="D7888" s="3" t="str">
        <f t="shared" si="504"/>
        <v>SÁBADO</v>
      </c>
      <c r="E7888" s="427"/>
      <c r="F7888" s="31">
        <f>IFERROR(VLOOKUP(E7888,BD!$L$2:$Q$244,2,0),0)</f>
        <v>0</v>
      </c>
      <c r="G7888" s="424"/>
      <c r="H7888" s="31">
        <f>+IFERROR(VLOOKUP(E7888,BD!$L$2:$Q$244,6,0),0)</f>
        <v>0</v>
      </c>
      <c r="I7888" s="626">
        <f>IFERROR(G7888*VLOOKUP($E7888,BD!$L$2:$Q$244,5,0),0)</f>
        <v>0</v>
      </c>
      <c r="J7888" s="3">
        <f t="shared" si="505"/>
        <v>1900</v>
      </c>
    </row>
    <row r="7889" spans="1:10" s="9" customFormat="1" x14ac:dyDescent="0.25">
      <c r="A7889" s="447"/>
      <c r="B7889" s="55" t="str">
        <f t="shared" si="502"/>
        <v>ENERO</v>
      </c>
      <c r="C7889" s="55">
        <f t="shared" si="503"/>
        <v>1</v>
      </c>
      <c r="D7889" s="3" t="str">
        <f t="shared" si="504"/>
        <v>SÁBADO</v>
      </c>
      <c r="E7889" s="427"/>
      <c r="F7889" s="31">
        <f>IFERROR(VLOOKUP(E7889,BD!$L$2:$Q$244,2,0),0)</f>
        <v>0</v>
      </c>
      <c r="G7889" s="424"/>
      <c r="H7889" s="31">
        <f>+IFERROR(VLOOKUP(E7889,BD!$L$2:$Q$244,6,0),0)</f>
        <v>0</v>
      </c>
      <c r="I7889" s="626">
        <f>IFERROR(G7889*VLOOKUP($E7889,BD!$L$2:$Q$244,5,0),0)</f>
        <v>0</v>
      </c>
      <c r="J7889" s="3">
        <f t="shared" si="505"/>
        <v>1900</v>
      </c>
    </row>
    <row r="7890" spans="1:10" s="9" customFormat="1" x14ac:dyDescent="0.25">
      <c r="A7890" s="447"/>
      <c r="B7890" s="55" t="str">
        <f t="shared" si="502"/>
        <v>ENERO</v>
      </c>
      <c r="C7890" s="55">
        <f t="shared" si="503"/>
        <v>1</v>
      </c>
      <c r="D7890" s="3" t="str">
        <f t="shared" si="504"/>
        <v>SÁBADO</v>
      </c>
      <c r="E7890" s="427"/>
      <c r="F7890" s="31">
        <f>IFERROR(VLOOKUP(E7890,BD!$L$2:$Q$244,2,0),0)</f>
        <v>0</v>
      </c>
      <c r="G7890" s="424"/>
      <c r="H7890" s="31">
        <f>+IFERROR(VLOOKUP(E7890,BD!$L$2:$Q$244,6,0),0)</f>
        <v>0</v>
      </c>
      <c r="I7890" s="626">
        <f>IFERROR(G7890*VLOOKUP($E7890,BD!$L$2:$Q$244,5,0),0)</f>
        <v>0</v>
      </c>
      <c r="J7890" s="3">
        <f t="shared" si="505"/>
        <v>1900</v>
      </c>
    </row>
    <row r="7891" spans="1:10" s="9" customFormat="1" x14ac:dyDescent="0.25">
      <c r="A7891" s="447"/>
      <c r="B7891" s="55" t="str">
        <f t="shared" si="502"/>
        <v>ENERO</v>
      </c>
      <c r="C7891" s="55">
        <f t="shared" si="503"/>
        <v>1</v>
      </c>
      <c r="D7891" s="3" t="str">
        <f t="shared" si="504"/>
        <v>SÁBADO</v>
      </c>
      <c r="E7891" s="427"/>
      <c r="F7891" s="31">
        <f>IFERROR(VLOOKUP(E7891,BD!$L$2:$Q$244,2,0),0)</f>
        <v>0</v>
      </c>
      <c r="G7891" s="424"/>
      <c r="H7891" s="31">
        <f>+IFERROR(VLOOKUP(E7891,BD!$L$2:$Q$244,6,0),0)</f>
        <v>0</v>
      </c>
      <c r="I7891" s="626">
        <f>IFERROR(G7891*VLOOKUP($E7891,BD!$L$2:$Q$244,5,0),0)</f>
        <v>0</v>
      </c>
      <c r="J7891" s="3">
        <f t="shared" si="505"/>
        <v>1900</v>
      </c>
    </row>
    <row r="7892" spans="1:10" s="9" customFormat="1" x14ac:dyDescent="0.25">
      <c r="A7892" s="447"/>
      <c r="B7892" s="55" t="str">
        <f t="shared" si="502"/>
        <v>ENERO</v>
      </c>
      <c r="C7892" s="55">
        <f t="shared" si="503"/>
        <v>1</v>
      </c>
      <c r="D7892" s="3" t="str">
        <f t="shared" si="504"/>
        <v>SÁBADO</v>
      </c>
      <c r="E7892" s="427"/>
      <c r="F7892" s="31">
        <f>IFERROR(VLOOKUP(E7892,BD!$L$2:$Q$244,2,0),0)</f>
        <v>0</v>
      </c>
      <c r="G7892" s="424"/>
      <c r="H7892" s="31">
        <f>+IFERROR(VLOOKUP(E7892,BD!$L$2:$Q$244,6,0),0)</f>
        <v>0</v>
      </c>
      <c r="I7892" s="626">
        <f>IFERROR(G7892*VLOOKUP($E7892,BD!$L$2:$Q$244,5,0),0)</f>
        <v>0</v>
      </c>
      <c r="J7892" s="3">
        <f t="shared" si="505"/>
        <v>1900</v>
      </c>
    </row>
    <row r="7893" spans="1:10" s="9" customFormat="1" x14ac:dyDescent="0.25">
      <c r="A7893" s="447"/>
      <c r="B7893" s="55" t="str">
        <f t="shared" si="502"/>
        <v>ENERO</v>
      </c>
      <c r="C7893" s="55">
        <f t="shared" si="503"/>
        <v>1</v>
      </c>
      <c r="D7893" s="3" t="str">
        <f t="shared" si="504"/>
        <v>SÁBADO</v>
      </c>
      <c r="E7893" s="427"/>
      <c r="F7893" s="31">
        <f>IFERROR(VLOOKUP(E7893,BD!$L$2:$Q$244,2,0),0)</f>
        <v>0</v>
      </c>
      <c r="G7893" s="424"/>
      <c r="H7893" s="31">
        <f>+IFERROR(VLOOKUP(E7893,BD!$L$2:$Q$244,6,0),0)</f>
        <v>0</v>
      </c>
      <c r="I7893" s="626">
        <f>IFERROR(G7893*VLOOKUP($E7893,BD!$L$2:$Q$244,5,0),0)</f>
        <v>0</v>
      </c>
      <c r="J7893" s="3">
        <f t="shared" si="505"/>
        <v>1900</v>
      </c>
    </row>
    <row r="7894" spans="1:10" s="9" customFormat="1" x14ac:dyDescent="0.25">
      <c r="A7894" s="447"/>
      <c r="B7894" s="55" t="str">
        <f t="shared" si="502"/>
        <v>ENERO</v>
      </c>
      <c r="C7894" s="55">
        <f t="shared" si="503"/>
        <v>1</v>
      </c>
      <c r="D7894" s="3" t="str">
        <f t="shared" si="504"/>
        <v>SÁBADO</v>
      </c>
      <c r="E7894" s="427"/>
      <c r="F7894" s="31">
        <f>IFERROR(VLOOKUP(E7894,BD!$L$2:$Q$244,2,0),0)</f>
        <v>0</v>
      </c>
      <c r="G7894" s="425"/>
      <c r="H7894" s="31">
        <f>+IFERROR(VLOOKUP(E7894,BD!$L$2:$Q$244,6,0),0)</f>
        <v>0</v>
      </c>
      <c r="I7894" s="626">
        <f>IFERROR(G7894*VLOOKUP($E7894,BD!$L$2:$Q$244,5,0),0)</f>
        <v>0</v>
      </c>
      <c r="J7894" s="3">
        <f t="shared" si="505"/>
        <v>1900</v>
      </c>
    </row>
    <row r="7895" spans="1:10" s="9" customFormat="1" x14ac:dyDescent="0.25">
      <c r="A7895" s="447"/>
      <c r="B7895" s="55" t="str">
        <f t="shared" si="502"/>
        <v>ENERO</v>
      </c>
      <c r="C7895" s="55">
        <f t="shared" si="503"/>
        <v>1</v>
      </c>
      <c r="D7895" s="3" t="str">
        <f t="shared" si="504"/>
        <v>SÁBADO</v>
      </c>
      <c r="E7895" s="427"/>
      <c r="F7895" s="31">
        <f>IFERROR(VLOOKUP(E7895,BD!$L$2:$Q$244,2,0),0)</f>
        <v>0</v>
      </c>
      <c r="G7895" s="424"/>
      <c r="H7895" s="31">
        <f>+IFERROR(VLOOKUP(E7895,BD!$L$2:$Q$244,6,0),0)</f>
        <v>0</v>
      </c>
      <c r="I7895" s="626">
        <f>IFERROR(G7895*VLOOKUP($E7895,BD!$L$2:$Q$244,5,0),0)</f>
        <v>0</v>
      </c>
      <c r="J7895" s="3">
        <f t="shared" si="505"/>
        <v>1900</v>
      </c>
    </row>
    <row r="7896" spans="1:10" s="9" customFormat="1" x14ac:dyDescent="0.25">
      <c r="A7896" s="447"/>
      <c r="B7896" s="55" t="str">
        <f t="shared" si="502"/>
        <v>ENERO</v>
      </c>
      <c r="C7896" s="55">
        <f t="shared" si="503"/>
        <v>1</v>
      </c>
      <c r="D7896" s="3" t="str">
        <f t="shared" si="504"/>
        <v>SÁBADO</v>
      </c>
      <c r="E7896" s="427"/>
      <c r="F7896" s="31">
        <f>IFERROR(VLOOKUP(E7896,BD!$L$2:$Q$244,2,0),0)</f>
        <v>0</v>
      </c>
      <c r="G7896" s="424"/>
      <c r="H7896" s="31">
        <f>+IFERROR(VLOOKUP(E7896,BD!$L$2:$Q$244,6,0),0)</f>
        <v>0</v>
      </c>
      <c r="I7896" s="626">
        <f>IFERROR(G7896*VLOOKUP($E7896,BD!$L$2:$Q$244,5,0),0)</f>
        <v>0</v>
      </c>
      <c r="J7896" s="3">
        <f t="shared" si="505"/>
        <v>1900</v>
      </c>
    </row>
    <row r="7897" spans="1:10" s="9" customFormat="1" x14ac:dyDescent="0.25">
      <c r="A7897" s="447"/>
      <c r="B7897" s="55" t="str">
        <f t="shared" si="502"/>
        <v>ENERO</v>
      </c>
      <c r="C7897" s="55">
        <f t="shared" si="503"/>
        <v>1</v>
      </c>
      <c r="D7897" s="3" t="str">
        <f t="shared" si="504"/>
        <v>SÁBADO</v>
      </c>
      <c r="E7897" s="427"/>
      <c r="F7897" s="31">
        <f>IFERROR(VLOOKUP(E7897,BD!$L$2:$Q$244,2,0),0)</f>
        <v>0</v>
      </c>
      <c r="G7897" s="424"/>
      <c r="H7897" s="31">
        <f>+IFERROR(VLOOKUP(E7897,BD!$L$2:$Q$244,6,0),0)</f>
        <v>0</v>
      </c>
      <c r="I7897" s="626">
        <f>IFERROR(G7897*VLOOKUP($E7897,BD!$L$2:$Q$244,5,0),0)</f>
        <v>0</v>
      </c>
      <c r="J7897" s="3">
        <f t="shared" si="505"/>
        <v>1900</v>
      </c>
    </row>
    <row r="7898" spans="1:10" s="9" customFormat="1" x14ac:dyDescent="0.25">
      <c r="A7898" s="447"/>
      <c r="B7898" s="55" t="str">
        <f t="shared" si="502"/>
        <v>ENERO</v>
      </c>
      <c r="C7898" s="55">
        <f t="shared" si="503"/>
        <v>1</v>
      </c>
      <c r="D7898" s="3" t="str">
        <f t="shared" si="504"/>
        <v>SÁBADO</v>
      </c>
      <c r="E7898" s="427"/>
      <c r="F7898" s="31">
        <f>IFERROR(VLOOKUP(E7898,BD!$L$2:$Q$244,2,0),0)</f>
        <v>0</v>
      </c>
      <c r="G7898" s="424"/>
      <c r="H7898" s="31">
        <f>+IFERROR(VLOOKUP(E7898,BD!$L$2:$Q$244,6,0),0)</f>
        <v>0</v>
      </c>
      <c r="I7898" s="626">
        <f>IFERROR(G7898*VLOOKUP($E7898,BD!$L$2:$Q$244,5,0),0)</f>
        <v>0</v>
      </c>
      <c r="J7898" s="3">
        <f t="shared" si="505"/>
        <v>1900</v>
      </c>
    </row>
    <row r="7899" spans="1:10" s="9" customFormat="1" x14ac:dyDescent="0.25">
      <c r="A7899" s="447"/>
      <c r="B7899" s="55" t="str">
        <f t="shared" si="502"/>
        <v>ENERO</v>
      </c>
      <c r="C7899" s="55">
        <f t="shared" si="503"/>
        <v>1</v>
      </c>
      <c r="D7899" s="3" t="str">
        <f t="shared" si="504"/>
        <v>SÁBADO</v>
      </c>
      <c r="E7899" s="427"/>
      <c r="F7899" s="31">
        <f>IFERROR(VLOOKUP(E7899,BD!$L$2:$Q$244,2,0),0)</f>
        <v>0</v>
      </c>
      <c r="G7899" s="424"/>
      <c r="H7899" s="31">
        <f>+IFERROR(VLOOKUP(E7899,BD!$L$2:$Q$244,6,0),0)</f>
        <v>0</v>
      </c>
      <c r="I7899" s="626">
        <f>IFERROR(G7899*VLOOKUP($E7899,BD!$L$2:$Q$244,5,0),0)</f>
        <v>0</v>
      </c>
      <c r="J7899" s="3">
        <f t="shared" si="505"/>
        <v>1900</v>
      </c>
    </row>
    <row r="7900" spans="1:10" s="9" customFormat="1" x14ac:dyDescent="0.25">
      <c r="A7900" s="447"/>
      <c r="B7900" s="55" t="str">
        <f t="shared" si="502"/>
        <v>ENERO</v>
      </c>
      <c r="C7900" s="55">
        <f t="shared" si="503"/>
        <v>1</v>
      </c>
      <c r="D7900" s="3" t="str">
        <f t="shared" si="504"/>
        <v>SÁBADO</v>
      </c>
      <c r="E7900" s="427"/>
      <c r="F7900" s="31">
        <f>IFERROR(VLOOKUP(E7900,BD!$L$2:$Q$244,2,0),0)</f>
        <v>0</v>
      </c>
      <c r="G7900" s="424"/>
      <c r="H7900" s="31">
        <f>+IFERROR(VLOOKUP(E7900,BD!$L$2:$Q$244,6,0),0)</f>
        <v>0</v>
      </c>
      <c r="I7900" s="626">
        <f>IFERROR(G7900*VLOOKUP($E7900,BD!$L$2:$Q$244,5,0),0)</f>
        <v>0</v>
      </c>
      <c r="J7900" s="3">
        <f t="shared" si="505"/>
        <v>1900</v>
      </c>
    </row>
    <row r="7901" spans="1:10" s="9" customFormat="1" x14ac:dyDescent="0.25">
      <c r="A7901" s="447"/>
      <c r="B7901" s="55" t="str">
        <f t="shared" si="502"/>
        <v>ENERO</v>
      </c>
      <c r="C7901" s="55">
        <f t="shared" si="503"/>
        <v>1</v>
      </c>
      <c r="D7901" s="3" t="str">
        <f t="shared" si="504"/>
        <v>SÁBADO</v>
      </c>
      <c r="E7901" s="427"/>
      <c r="F7901" s="31">
        <f>IFERROR(VLOOKUP(E7901,BD!$L$2:$Q$244,2,0),0)</f>
        <v>0</v>
      </c>
      <c r="G7901" s="424"/>
      <c r="H7901" s="31">
        <f>+IFERROR(VLOOKUP(E7901,BD!$L$2:$Q$244,6,0),0)</f>
        <v>0</v>
      </c>
      <c r="I7901" s="626">
        <f>IFERROR(G7901*VLOOKUP($E7901,BD!$L$2:$Q$244,5,0),0)</f>
        <v>0</v>
      </c>
      <c r="J7901" s="3">
        <f t="shared" si="505"/>
        <v>1900</v>
      </c>
    </row>
    <row r="7902" spans="1:10" s="9" customFormat="1" x14ac:dyDescent="0.25">
      <c r="A7902" s="447"/>
      <c r="B7902" s="55" t="str">
        <f t="shared" si="502"/>
        <v>ENERO</v>
      </c>
      <c r="C7902" s="55">
        <f t="shared" si="503"/>
        <v>1</v>
      </c>
      <c r="D7902" s="3" t="str">
        <f t="shared" si="504"/>
        <v>SÁBADO</v>
      </c>
      <c r="E7902" s="427"/>
      <c r="F7902" s="31">
        <f>IFERROR(VLOOKUP(E7902,BD!$L$2:$Q$244,2,0),0)</f>
        <v>0</v>
      </c>
      <c r="G7902" s="424"/>
      <c r="H7902" s="31">
        <f>+IFERROR(VLOOKUP(E7902,BD!$L$2:$Q$244,6,0),0)</f>
        <v>0</v>
      </c>
      <c r="I7902" s="626">
        <f>IFERROR(G7902*VLOOKUP($E7902,BD!$L$2:$Q$244,5,0),0)</f>
        <v>0</v>
      </c>
      <c r="J7902" s="3">
        <f t="shared" si="505"/>
        <v>1900</v>
      </c>
    </row>
    <row r="7903" spans="1:10" s="9" customFormat="1" x14ac:dyDescent="0.25">
      <c r="A7903" s="447"/>
      <c r="B7903" s="55" t="str">
        <f t="shared" si="502"/>
        <v>ENERO</v>
      </c>
      <c r="C7903" s="55">
        <f t="shared" si="503"/>
        <v>1</v>
      </c>
      <c r="D7903" s="3" t="str">
        <f t="shared" si="504"/>
        <v>SÁBADO</v>
      </c>
      <c r="E7903" s="427"/>
      <c r="F7903" s="31">
        <f>IFERROR(VLOOKUP(E7903,BD!$L$2:$Q$244,2,0),0)</f>
        <v>0</v>
      </c>
      <c r="G7903" s="424"/>
      <c r="H7903" s="31">
        <f>+IFERROR(VLOOKUP(E7903,BD!$L$2:$Q$244,6,0),0)</f>
        <v>0</v>
      </c>
      <c r="I7903" s="626">
        <f>IFERROR(G7903*VLOOKUP($E7903,BD!$L$2:$Q$244,5,0),0)</f>
        <v>0</v>
      </c>
      <c r="J7903" s="3">
        <f t="shared" si="505"/>
        <v>1900</v>
      </c>
    </row>
    <row r="7904" spans="1:10" s="9" customFormat="1" x14ac:dyDescent="0.25">
      <c r="A7904" s="447"/>
      <c r="B7904" s="55" t="str">
        <f t="shared" si="502"/>
        <v>ENERO</v>
      </c>
      <c r="C7904" s="55">
        <f t="shared" si="503"/>
        <v>1</v>
      </c>
      <c r="D7904" s="3" t="str">
        <f t="shared" si="504"/>
        <v>SÁBADO</v>
      </c>
      <c r="E7904" s="427"/>
      <c r="F7904" s="31">
        <f>IFERROR(VLOOKUP(E7904,BD!$L$2:$Q$244,2,0),0)</f>
        <v>0</v>
      </c>
      <c r="G7904" s="424"/>
      <c r="H7904" s="31">
        <f>+IFERROR(VLOOKUP(E7904,BD!$L$2:$Q$244,6,0),0)</f>
        <v>0</v>
      </c>
      <c r="I7904" s="626">
        <f>IFERROR(G7904*VLOOKUP($E7904,BD!$L$2:$Q$244,5,0),0)</f>
        <v>0</v>
      </c>
      <c r="J7904" s="3">
        <f t="shared" si="505"/>
        <v>1900</v>
      </c>
    </row>
    <row r="7905" spans="1:10" s="9" customFormat="1" x14ac:dyDescent="0.25">
      <c r="A7905" s="447"/>
      <c r="B7905" s="55" t="str">
        <f t="shared" si="502"/>
        <v>ENERO</v>
      </c>
      <c r="C7905" s="55">
        <f t="shared" si="503"/>
        <v>1</v>
      </c>
      <c r="D7905" s="3" t="str">
        <f t="shared" si="504"/>
        <v>SÁBADO</v>
      </c>
      <c r="E7905" s="427"/>
      <c r="F7905" s="31">
        <f>IFERROR(VLOOKUP(E7905,BD!$L$2:$Q$244,2,0),0)</f>
        <v>0</v>
      </c>
      <c r="G7905" s="424"/>
      <c r="H7905" s="31">
        <f>+IFERROR(VLOOKUP(E7905,BD!$L$2:$Q$244,6,0),0)</f>
        <v>0</v>
      </c>
      <c r="I7905" s="626">
        <f>IFERROR(G7905*VLOOKUP($E7905,BD!$L$2:$Q$244,5,0),0)</f>
        <v>0</v>
      </c>
      <c r="J7905" s="3">
        <f t="shared" si="505"/>
        <v>1900</v>
      </c>
    </row>
    <row r="7906" spans="1:10" s="9" customFormat="1" x14ac:dyDescent="0.25">
      <c r="A7906" s="447"/>
      <c r="B7906" s="55" t="str">
        <f t="shared" si="502"/>
        <v>ENERO</v>
      </c>
      <c r="C7906" s="55">
        <f t="shared" si="503"/>
        <v>1</v>
      </c>
      <c r="D7906" s="3" t="str">
        <f t="shared" si="504"/>
        <v>SÁBADO</v>
      </c>
      <c r="E7906" s="427"/>
      <c r="F7906" s="31">
        <f>IFERROR(VLOOKUP(E7906,BD!$L$2:$Q$244,2,0),0)</f>
        <v>0</v>
      </c>
      <c r="G7906" s="424"/>
      <c r="H7906" s="31">
        <f>+IFERROR(VLOOKUP(E7906,BD!$L$2:$Q$244,6,0),0)</f>
        <v>0</v>
      </c>
      <c r="I7906" s="626">
        <f>IFERROR(G7906*VLOOKUP($E7906,BD!$L$2:$Q$244,5,0),0)</f>
        <v>0</v>
      </c>
      <c r="J7906" s="3">
        <f t="shared" si="505"/>
        <v>1900</v>
      </c>
    </row>
    <row r="7907" spans="1:10" s="9" customFormat="1" x14ac:dyDescent="0.25">
      <c r="A7907" s="447"/>
      <c r="B7907" s="55" t="str">
        <f t="shared" si="502"/>
        <v>ENERO</v>
      </c>
      <c r="C7907" s="55">
        <f t="shared" si="503"/>
        <v>1</v>
      </c>
      <c r="D7907" s="3" t="str">
        <f t="shared" si="504"/>
        <v>SÁBADO</v>
      </c>
      <c r="E7907" s="427"/>
      <c r="F7907" s="31">
        <f>IFERROR(VLOOKUP(E7907,BD!$L$2:$Q$244,2,0),0)</f>
        <v>0</v>
      </c>
      <c r="G7907" s="424"/>
      <c r="H7907" s="31">
        <f>+IFERROR(VLOOKUP(E7907,BD!$L$2:$Q$244,6,0),0)</f>
        <v>0</v>
      </c>
      <c r="I7907" s="626">
        <f>IFERROR(G7907*VLOOKUP($E7907,BD!$L$2:$Q$244,5,0),0)</f>
        <v>0</v>
      </c>
      <c r="J7907" s="3">
        <f t="shared" si="505"/>
        <v>1900</v>
      </c>
    </row>
    <row r="7908" spans="1:10" s="9" customFormat="1" x14ac:dyDescent="0.25">
      <c r="A7908" s="447"/>
      <c r="B7908" s="55" t="str">
        <f t="shared" si="502"/>
        <v>ENERO</v>
      </c>
      <c r="C7908" s="55">
        <f t="shared" si="503"/>
        <v>1</v>
      </c>
      <c r="D7908" s="3" t="str">
        <f t="shared" si="504"/>
        <v>SÁBADO</v>
      </c>
      <c r="E7908" s="427"/>
      <c r="F7908" s="31">
        <f>IFERROR(VLOOKUP(E7908,BD!$L$2:$Q$244,2,0),0)</f>
        <v>0</v>
      </c>
      <c r="G7908" s="425"/>
      <c r="H7908" s="31">
        <f>+IFERROR(VLOOKUP(E7908,BD!$L$2:$Q$244,6,0),0)</f>
        <v>0</v>
      </c>
      <c r="I7908" s="626">
        <f>IFERROR(G7908*VLOOKUP($E7908,BD!$L$2:$Q$244,5,0),0)</f>
        <v>0</v>
      </c>
      <c r="J7908" s="3">
        <f t="shared" si="505"/>
        <v>1900</v>
      </c>
    </row>
    <row r="7909" spans="1:10" s="9" customFormat="1" x14ac:dyDescent="0.25">
      <c r="A7909" s="447"/>
      <c r="B7909" s="55" t="str">
        <f t="shared" si="502"/>
        <v>ENERO</v>
      </c>
      <c r="C7909" s="55">
        <f t="shared" si="503"/>
        <v>1</v>
      </c>
      <c r="D7909" s="3" t="str">
        <f t="shared" si="504"/>
        <v>SÁBADO</v>
      </c>
      <c r="E7909" s="427"/>
      <c r="F7909" s="31">
        <f>IFERROR(VLOOKUP(E7909,BD!$L$2:$Q$244,2,0),0)</f>
        <v>0</v>
      </c>
      <c r="G7909" s="424"/>
      <c r="H7909" s="31">
        <f>+IFERROR(VLOOKUP(E7909,BD!$L$2:$Q$244,6,0),0)</f>
        <v>0</v>
      </c>
      <c r="I7909" s="626">
        <f>IFERROR(G7909*VLOOKUP($E7909,BD!$L$2:$Q$244,5,0),0)</f>
        <v>0</v>
      </c>
      <c r="J7909" s="3">
        <f t="shared" si="505"/>
        <v>1900</v>
      </c>
    </row>
    <row r="7910" spans="1:10" s="9" customFormat="1" x14ac:dyDescent="0.25">
      <c r="A7910" s="447"/>
      <c r="B7910" s="55" t="str">
        <f t="shared" si="502"/>
        <v>ENERO</v>
      </c>
      <c r="C7910" s="55">
        <f t="shared" si="503"/>
        <v>1</v>
      </c>
      <c r="D7910" s="3" t="str">
        <f t="shared" si="504"/>
        <v>SÁBADO</v>
      </c>
      <c r="E7910" s="427"/>
      <c r="F7910" s="31">
        <f>IFERROR(VLOOKUP(E7910,BD!$L$2:$Q$244,2,0),0)</f>
        <v>0</v>
      </c>
      <c r="G7910" s="424"/>
      <c r="H7910" s="31">
        <f>+IFERROR(VLOOKUP(E7910,BD!$L$2:$Q$244,6,0),0)</f>
        <v>0</v>
      </c>
      <c r="I7910" s="626">
        <f>IFERROR(G7910*VLOOKUP($E7910,BD!$L$2:$Q$244,5,0),0)</f>
        <v>0</v>
      </c>
      <c r="J7910" s="3">
        <f t="shared" si="505"/>
        <v>1900</v>
      </c>
    </row>
    <row r="7911" spans="1:10" s="9" customFormat="1" x14ac:dyDescent="0.25">
      <c r="A7911" s="447"/>
      <c r="B7911" s="55" t="str">
        <f t="shared" si="502"/>
        <v>ENERO</v>
      </c>
      <c r="C7911" s="55">
        <f t="shared" si="503"/>
        <v>1</v>
      </c>
      <c r="D7911" s="3" t="str">
        <f t="shared" si="504"/>
        <v>SÁBADO</v>
      </c>
      <c r="E7911" s="427"/>
      <c r="F7911" s="31">
        <f>IFERROR(VLOOKUP(E7911,BD!$L$2:$Q$244,2,0),0)</f>
        <v>0</v>
      </c>
      <c r="G7911" s="424"/>
      <c r="H7911" s="31">
        <f>+IFERROR(VLOOKUP(E7911,BD!$L$2:$Q$244,6,0),0)</f>
        <v>0</v>
      </c>
      <c r="I7911" s="626">
        <f>IFERROR(G7911*VLOOKUP($E7911,BD!$L$2:$Q$244,5,0),0)</f>
        <v>0</v>
      </c>
      <c r="J7911" s="3">
        <f t="shared" si="505"/>
        <v>1900</v>
      </c>
    </row>
    <row r="7912" spans="1:10" s="9" customFormat="1" x14ac:dyDescent="0.25">
      <c r="A7912" s="447"/>
      <c r="B7912" s="55" t="str">
        <f t="shared" si="502"/>
        <v>ENERO</v>
      </c>
      <c r="C7912" s="55">
        <f t="shared" si="503"/>
        <v>1</v>
      </c>
      <c r="D7912" s="3" t="str">
        <f t="shared" si="504"/>
        <v>SÁBADO</v>
      </c>
      <c r="E7912" s="427"/>
      <c r="F7912" s="31">
        <f>IFERROR(VLOOKUP(E7912,BD!$L$2:$Q$244,2,0),0)</f>
        <v>0</v>
      </c>
      <c r="G7912" s="424"/>
      <c r="H7912" s="31">
        <f>+IFERROR(VLOOKUP(E7912,BD!$L$2:$Q$244,6,0),0)</f>
        <v>0</v>
      </c>
      <c r="I7912" s="626">
        <f>IFERROR(G7912*VLOOKUP($E7912,BD!$L$2:$Q$244,5,0),0)</f>
        <v>0</v>
      </c>
      <c r="J7912" s="3">
        <f t="shared" si="505"/>
        <v>1900</v>
      </c>
    </row>
    <row r="7913" spans="1:10" s="9" customFormat="1" x14ac:dyDescent="0.25">
      <c r="A7913" s="447"/>
      <c r="B7913" s="55" t="str">
        <f t="shared" si="502"/>
        <v>ENERO</v>
      </c>
      <c r="C7913" s="55">
        <f t="shared" si="503"/>
        <v>1</v>
      </c>
      <c r="D7913" s="3" t="str">
        <f t="shared" si="504"/>
        <v>SÁBADO</v>
      </c>
      <c r="E7913" s="427"/>
      <c r="F7913" s="31">
        <f>IFERROR(VLOOKUP(E7913,BD!$L$2:$Q$244,2,0),0)</f>
        <v>0</v>
      </c>
      <c r="G7913" s="424"/>
      <c r="H7913" s="31">
        <f>+IFERROR(VLOOKUP(E7913,BD!$L$2:$Q$244,6,0),0)</f>
        <v>0</v>
      </c>
      <c r="I7913" s="626">
        <f>IFERROR(G7913*VLOOKUP($E7913,BD!$L$2:$Q$244,5,0),0)</f>
        <v>0</v>
      </c>
      <c r="J7913" s="3">
        <f t="shared" si="505"/>
        <v>1900</v>
      </c>
    </row>
    <row r="7914" spans="1:10" s="9" customFormat="1" x14ac:dyDescent="0.25">
      <c r="A7914" s="447"/>
      <c r="B7914" s="55" t="str">
        <f t="shared" si="502"/>
        <v>ENERO</v>
      </c>
      <c r="C7914" s="55">
        <f t="shared" si="503"/>
        <v>1</v>
      </c>
      <c r="D7914" s="3" t="str">
        <f t="shared" si="504"/>
        <v>SÁBADO</v>
      </c>
      <c r="E7914" s="427"/>
      <c r="F7914" s="31">
        <f>IFERROR(VLOOKUP(E7914,BD!$L$2:$Q$244,2,0),0)</f>
        <v>0</v>
      </c>
      <c r="G7914" s="424"/>
      <c r="H7914" s="31">
        <f>+IFERROR(VLOOKUP(E7914,BD!$L$2:$Q$244,6,0),0)</f>
        <v>0</v>
      </c>
      <c r="I7914" s="626">
        <f>IFERROR(G7914*VLOOKUP($E7914,BD!$L$2:$Q$244,5,0),0)</f>
        <v>0</v>
      </c>
      <c r="J7914" s="3">
        <f t="shared" si="505"/>
        <v>1900</v>
      </c>
    </row>
    <row r="7915" spans="1:10" s="9" customFormat="1" x14ac:dyDescent="0.25">
      <c r="A7915" s="447"/>
      <c r="B7915" s="55" t="str">
        <f t="shared" si="502"/>
        <v>ENERO</v>
      </c>
      <c r="C7915" s="55">
        <f t="shared" si="503"/>
        <v>1</v>
      </c>
      <c r="D7915" s="3" t="str">
        <f t="shared" si="504"/>
        <v>SÁBADO</v>
      </c>
      <c r="E7915" s="427"/>
      <c r="F7915" s="31">
        <f>IFERROR(VLOOKUP(E7915,BD!$L$2:$Q$244,2,0),0)</f>
        <v>0</v>
      </c>
      <c r="G7915" s="424"/>
      <c r="H7915" s="31">
        <f>+IFERROR(VLOOKUP(E7915,BD!$L$2:$Q$244,6,0),0)</f>
        <v>0</v>
      </c>
      <c r="I7915" s="626">
        <f>IFERROR(G7915*VLOOKUP($E7915,BD!$L$2:$Q$244,5,0),0)</f>
        <v>0</v>
      </c>
      <c r="J7915" s="3">
        <f t="shared" si="505"/>
        <v>1900</v>
      </c>
    </row>
    <row r="7916" spans="1:10" s="9" customFormat="1" x14ac:dyDescent="0.25">
      <c r="A7916" s="447"/>
      <c r="B7916" s="55" t="str">
        <f t="shared" si="502"/>
        <v>ENERO</v>
      </c>
      <c r="C7916" s="55">
        <f t="shared" si="503"/>
        <v>1</v>
      </c>
      <c r="D7916" s="3" t="str">
        <f t="shared" si="504"/>
        <v>SÁBADO</v>
      </c>
      <c r="E7916" s="427"/>
      <c r="F7916" s="31">
        <f>IFERROR(VLOOKUP(E7916,BD!$L$2:$Q$244,2,0),0)</f>
        <v>0</v>
      </c>
      <c r="G7916" s="424"/>
      <c r="H7916" s="31">
        <f>+IFERROR(VLOOKUP(E7916,BD!$L$2:$Q$244,6,0),0)</f>
        <v>0</v>
      </c>
      <c r="I7916" s="626">
        <f>IFERROR(G7916*VLOOKUP($E7916,BD!$L$2:$Q$244,5,0),0)</f>
        <v>0</v>
      </c>
      <c r="J7916" s="3">
        <f t="shared" si="505"/>
        <v>1900</v>
      </c>
    </row>
    <row r="7917" spans="1:10" s="9" customFormat="1" x14ac:dyDescent="0.25">
      <c r="A7917" s="447"/>
      <c r="B7917" s="55" t="str">
        <f t="shared" si="502"/>
        <v>ENERO</v>
      </c>
      <c r="C7917" s="55">
        <f t="shared" si="503"/>
        <v>1</v>
      </c>
      <c r="D7917" s="3" t="str">
        <f t="shared" si="504"/>
        <v>SÁBADO</v>
      </c>
      <c r="E7917" s="427"/>
      <c r="F7917" s="31">
        <f>IFERROR(VLOOKUP(E7917,BD!$L$2:$Q$244,2,0),0)</f>
        <v>0</v>
      </c>
      <c r="G7917" s="424"/>
      <c r="H7917" s="31">
        <f>+IFERROR(VLOOKUP(E7917,BD!$L$2:$Q$244,6,0),0)</f>
        <v>0</v>
      </c>
      <c r="I7917" s="626">
        <f>IFERROR(G7917*VLOOKUP($E7917,BD!$L$2:$Q$244,5,0),0)</f>
        <v>0</v>
      </c>
      <c r="J7917" s="3">
        <f t="shared" si="505"/>
        <v>1900</v>
      </c>
    </row>
    <row r="7918" spans="1:10" s="9" customFormat="1" x14ac:dyDescent="0.25">
      <c r="A7918" s="447"/>
      <c r="B7918" s="55" t="str">
        <f t="shared" si="502"/>
        <v>ENERO</v>
      </c>
      <c r="C7918" s="55">
        <f t="shared" si="503"/>
        <v>1</v>
      </c>
      <c r="D7918" s="3" t="str">
        <f t="shared" si="504"/>
        <v>SÁBADO</v>
      </c>
      <c r="E7918" s="427"/>
      <c r="F7918" s="31">
        <f>IFERROR(VLOOKUP(E7918,BD!$L$2:$Q$244,2,0),0)</f>
        <v>0</v>
      </c>
      <c r="G7918" s="424"/>
      <c r="H7918" s="31">
        <f>+IFERROR(VLOOKUP(E7918,BD!$L$2:$Q$244,6,0),0)</f>
        <v>0</v>
      </c>
      <c r="I7918" s="626">
        <f>IFERROR(G7918*VLOOKUP($E7918,BD!$L$2:$Q$244,5,0),0)</f>
        <v>0</v>
      </c>
      <c r="J7918" s="3">
        <f t="shared" si="505"/>
        <v>1900</v>
      </c>
    </row>
    <row r="7919" spans="1:10" s="9" customFormat="1" x14ac:dyDescent="0.25">
      <c r="A7919" s="447"/>
      <c r="B7919" s="55" t="str">
        <f t="shared" si="502"/>
        <v>ENERO</v>
      </c>
      <c r="C7919" s="55">
        <f t="shared" si="503"/>
        <v>1</v>
      </c>
      <c r="D7919" s="3" t="str">
        <f t="shared" si="504"/>
        <v>SÁBADO</v>
      </c>
      <c r="E7919" s="427"/>
      <c r="F7919" s="31">
        <f>IFERROR(VLOOKUP(E7919,BD!$L$2:$Q$244,2,0),0)</f>
        <v>0</v>
      </c>
      <c r="G7919" s="424"/>
      <c r="H7919" s="31">
        <f>+IFERROR(VLOOKUP(E7919,BD!$L$2:$Q$244,6,0),0)</f>
        <v>0</v>
      </c>
      <c r="I7919" s="626">
        <f>IFERROR(G7919*VLOOKUP($E7919,BD!$L$2:$Q$244,5,0),0)</f>
        <v>0</v>
      </c>
      <c r="J7919" s="3">
        <f t="shared" si="505"/>
        <v>1900</v>
      </c>
    </row>
    <row r="7920" spans="1:10" s="9" customFormat="1" x14ac:dyDescent="0.25">
      <c r="A7920" s="447"/>
      <c r="B7920" s="55" t="str">
        <f t="shared" si="502"/>
        <v>ENERO</v>
      </c>
      <c r="C7920" s="55">
        <f t="shared" si="503"/>
        <v>1</v>
      </c>
      <c r="D7920" s="3" t="str">
        <f t="shared" si="504"/>
        <v>SÁBADO</v>
      </c>
      <c r="E7920" s="427"/>
      <c r="F7920" s="31">
        <f>IFERROR(VLOOKUP(E7920,BD!$L$2:$Q$244,2,0),0)</f>
        <v>0</v>
      </c>
      <c r="G7920" s="424"/>
      <c r="H7920" s="31">
        <f>+IFERROR(VLOOKUP(E7920,BD!$L$2:$Q$244,6,0),0)</f>
        <v>0</v>
      </c>
      <c r="I7920" s="626">
        <f>IFERROR(G7920*VLOOKUP($E7920,BD!$L$2:$Q$244,5,0),0)</f>
        <v>0</v>
      </c>
      <c r="J7920" s="3">
        <f t="shared" si="505"/>
        <v>1900</v>
      </c>
    </row>
    <row r="7921" spans="1:10" s="9" customFormat="1" x14ac:dyDescent="0.25">
      <c r="A7921" s="447"/>
      <c r="B7921" s="55" t="str">
        <f t="shared" si="502"/>
        <v>ENERO</v>
      </c>
      <c r="C7921" s="55">
        <f t="shared" si="503"/>
        <v>1</v>
      </c>
      <c r="D7921" s="3" t="str">
        <f t="shared" si="504"/>
        <v>SÁBADO</v>
      </c>
      <c r="E7921" s="427"/>
      <c r="F7921" s="31">
        <f>IFERROR(VLOOKUP(E7921,BD!$L$2:$Q$244,2,0),0)</f>
        <v>0</v>
      </c>
      <c r="G7921" s="424"/>
      <c r="H7921" s="31">
        <f>+IFERROR(VLOOKUP(E7921,BD!$L$2:$Q$244,6,0),0)</f>
        <v>0</v>
      </c>
      <c r="I7921" s="626">
        <f>IFERROR(G7921*VLOOKUP($E7921,BD!$L$2:$Q$244,5,0),0)</f>
        <v>0</v>
      </c>
      <c r="J7921" s="3">
        <f t="shared" si="505"/>
        <v>1900</v>
      </c>
    </row>
    <row r="7922" spans="1:10" s="9" customFormat="1" x14ac:dyDescent="0.25">
      <c r="A7922" s="447"/>
      <c r="B7922" s="55" t="str">
        <f t="shared" si="502"/>
        <v>ENERO</v>
      </c>
      <c r="C7922" s="55">
        <f t="shared" si="503"/>
        <v>1</v>
      </c>
      <c r="D7922" s="3" t="str">
        <f t="shared" si="504"/>
        <v>SÁBADO</v>
      </c>
      <c r="E7922" s="427"/>
      <c r="F7922" s="31">
        <f>IFERROR(VLOOKUP(E7922,BD!$L$2:$Q$244,2,0),0)</f>
        <v>0</v>
      </c>
      <c r="G7922" s="425"/>
      <c r="H7922" s="31">
        <f>+IFERROR(VLOOKUP(E7922,BD!$L$2:$Q$244,6,0),0)</f>
        <v>0</v>
      </c>
      <c r="I7922" s="626">
        <f>IFERROR(G7922*VLOOKUP($E7922,BD!$L$2:$Q$244,5,0),0)</f>
        <v>0</v>
      </c>
      <c r="J7922" s="3">
        <f t="shared" si="505"/>
        <v>1900</v>
      </c>
    </row>
    <row r="7923" spans="1:10" s="9" customFormat="1" x14ac:dyDescent="0.25">
      <c r="A7923" s="447"/>
      <c r="B7923" s="55" t="str">
        <f t="shared" si="502"/>
        <v>ENERO</v>
      </c>
      <c r="C7923" s="55">
        <f t="shared" si="503"/>
        <v>1</v>
      </c>
      <c r="D7923" s="3" t="str">
        <f t="shared" si="504"/>
        <v>SÁBADO</v>
      </c>
      <c r="E7923" s="427"/>
      <c r="F7923" s="31">
        <f>IFERROR(VLOOKUP(E7923,BD!$L$2:$Q$244,2,0),0)</f>
        <v>0</v>
      </c>
      <c r="G7923" s="424"/>
      <c r="H7923" s="31">
        <f>+IFERROR(VLOOKUP(E7923,BD!$L$2:$Q$244,6,0),0)</f>
        <v>0</v>
      </c>
      <c r="I7923" s="626">
        <f>IFERROR(G7923*VLOOKUP($E7923,BD!$L$2:$Q$244,5,0),0)</f>
        <v>0</v>
      </c>
      <c r="J7923" s="3">
        <f t="shared" si="505"/>
        <v>1900</v>
      </c>
    </row>
    <row r="7924" spans="1:10" s="9" customFormat="1" x14ac:dyDescent="0.25">
      <c r="A7924" s="447"/>
      <c r="B7924" s="55" t="str">
        <f t="shared" si="502"/>
        <v>ENERO</v>
      </c>
      <c r="C7924" s="55">
        <f t="shared" si="503"/>
        <v>1</v>
      </c>
      <c r="D7924" s="3" t="str">
        <f t="shared" si="504"/>
        <v>SÁBADO</v>
      </c>
      <c r="E7924" s="427"/>
      <c r="F7924" s="31">
        <f>IFERROR(VLOOKUP(E7924,BD!$L$2:$Q$244,2,0),0)</f>
        <v>0</v>
      </c>
      <c r="G7924" s="424"/>
      <c r="H7924" s="31">
        <f>+IFERROR(VLOOKUP(E7924,BD!$L$2:$Q$244,6,0),0)</f>
        <v>0</v>
      </c>
      <c r="I7924" s="626">
        <f>IFERROR(G7924*VLOOKUP($E7924,BD!$L$2:$Q$244,5,0),0)</f>
        <v>0</v>
      </c>
      <c r="J7924" s="3">
        <f t="shared" si="505"/>
        <v>1900</v>
      </c>
    </row>
    <row r="7925" spans="1:10" s="9" customFormat="1" x14ac:dyDescent="0.25">
      <c r="A7925" s="447"/>
      <c r="B7925" s="55" t="str">
        <f t="shared" si="502"/>
        <v>ENERO</v>
      </c>
      <c r="C7925" s="55">
        <f t="shared" si="503"/>
        <v>1</v>
      </c>
      <c r="D7925" s="3" t="str">
        <f t="shared" si="504"/>
        <v>SÁBADO</v>
      </c>
      <c r="E7925" s="427"/>
      <c r="F7925" s="31">
        <f>IFERROR(VLOOKUP(E7925,BD!$L$2:$Q$244,2,0),0)</f>
        <v>0</v>
      </c>
      <c r="G7925" s="424"/>
      <c r="H7925" s="31">
        <f>+IFERROR(VLOOKUP(E7925,BD!$L$2:$Q$244,6,0),0)</f>
        <v>0</v>
      </c>
      <c r="I7925" s="626">
        <f>IFERROR(G7925*VLOOKUP($E7925,BD!$L$2:$Q$244,5,0),0)</f>
        <v>0</v>
      </c>
      <c r="J7925" s="3">
        <f t="shared" si="505"/>
        <v>1900</v>
      </c>
    </row>
    <row r="7926" spans="1:10" s="9" customFormat="1" x14ac:dyDescent="0.25">
      <c r="A7926" s="447"/>
      <c r="B7926" s="55" t="str">
        <f t="shared" si="502"/>
        <v>ENERO</v>
      </c>
      <c r="C7926" s="55">
        <f t="shared" si="503"/>
        <v>1</v>
      </c>
      <c r="D7926" s="3" t="str">
        <f t="shared" si="504"/>
        <v>SÁBADO</v>
      </c>
      <c r="E7926" s="427"/>
      <c r="F7926" s="31">
        <f>IFERROR(VLOOKUP(E7926,BD!$L$2:$Q$244,2,0),0)</f>
        <v>0</v>
      </c>
      <c r="G7926" s="424"/>
      <c r="H7926" s="31">
        <f>+IFERROR(VLOOKUP(E7926,BD!$L$2:$Q$244,6,0),0)</f>
        <v>0</v>
      </c>
      <c r="I7926" s="626">
        <f>IFERROR(G7926*VLOOKUP($E7926,BD!$L$2:$Q$244,5,0),0)</f>
        <v>0</v>
      </c>
      <c r="J7926" s="3">
        <f t="shared" si="505"/>
        <v>1900</v>
      </c>
    </row>
    <row r="7927" spans="1:10" s="9" customFormat="1" x14ac:dyDescent="0.25">
      <c r="A7927" s="447"/>
      <c r="B7927" s="55" t="str">
        <f t="shared" si="502"/>
        <v>ENERO</v>
      </c>
      <c r="C7927" s="55">
        <f t="shared" si="503"/>
        <v>1</v>
      </c>
      <c r="D7927" s="3" t="str">
        <f t="shared" si="504"/>
        <v>SÁBADO</v>
      </c>
      <c r="E7927" s="427"/>
      <c r="F7927" s="31">
        <f>IFERROR(VLOOKUP(E7927,BD!$L$2:$Q$244,2,0),0)</f>
        <v>0</v>
      </c>
      <c r="G7927" s="424"/>
      <c r="H7927" s="31">
        <f>+IFERROR(VLOOKUP(E7927,BD!$L$2:$Q$244,6,0),0)</f>
        <v>0</v>
      </c>
      <c r="I7927" s="626">
        <f>IFERROR(G7927*VLOOKUP($E7927,BD!$L$2:$Q$244,5,0),0)</f>
        <v>0</v>
      </c>
      <c r="J7927" s="3">
        <f t="shared" si="505"/>
        <v>1900</v>
      </c>
    </row>
    <row r="7928" spans="1:10" s="9" customFormat="1" x14ac:dyDescent="0.25">
      <c r="A7928" s="447"/>
      <c r="B7928" s="55" t="str">
        <f t="shared" si="502"/>
        <v>ENERO</v>
      </c>
      <c r="C7928" s="55">
        <f t="shared" si="503"/>
        <v>1</v>
      </c>
      <c r="D7928" s="3" t="str">
        <f t="shared" si="504"/>
        <v>SÁBADO</v>
      </c>
      <c r="E7928" s="427"/>
      <c r="F7928" s="31">
        <f>IFERROR(VLOOKUP(E7928,BD!$L$2:$Q$244,2,0),0)</f>
        <v>0</v>
      </c>
      <c r="G7928" s="424"/>
      <c r="H7928" s="31">
        <f>+IFERROR(VLOOKUP(E7928,BD!$L$2:$Q$244,6,0),0)</f>
        <v>0</v>
      </c>
      <c r="I7928" s="626">
        <f>IFERROR(G7928*VLOOKUP($E7928,BD!$L$2:$Q$244,5,0),0)</f>
        <v>0</v>
      </c>
      <c r="J7928" s="3">
        <f t="shared" si="505"/>
        <v>1900</v>
      </c>
    </row>
    <row r="7929" spans="1:10" s="9" customFormat="1" x14ac:dyDescent="0.25">
      <c r="A7929" s="447"/>
      <c r="B7929" s="55" t="str">
        <f t="shared" si="502"/>
        <v>ENERO</v>
      </c>
      <c r="C7929" s="55">
        <f t="shared" si="503"/>
        <v>1</v>
      </c>
      <c r="D7929" s="3" t="str">
        <f t="shared" si="504"/>
        <v>SÁBADO</v>
      </c>
      <c r="E7929" s="427"/>
      <c r="F7929" s="31">
        <f>IFERROR(VLOOKUP(E7929,BD!$L$2:$Q$244,2,0),0)</f>
        <v>0</v>
      </c>
      <c r="G7929" s="424"/>
      <c r="H7929" s="31">
        <f>+IFERROR(VLOOKUP(E7929,BD!$L$2:$Q$244,6,0),0)</f>
        <v>0</v>
      </c>
      <c r="I7929" s="626">
        <f>IFERROR(G7929*VLOOKUP($E7929,BD!$L$2:$Q$244,5,0),0)</f>
        <v>0</v>
      </c>
      <c r="J7929" s="3">
        <f t="shared" si="505"/>
        <v>1900</v>
      </c>
    </row>
    <row r="7930" spans="1:10" s="9" customFormat="1" x14ac:dyDescent="0.25">
      <c r="A7930" s="447"/>
      <c r="B7930" s="55" t="str">
        <f t="shared" si="502"/>
        <v>ENERO</v>
      </c>
      <c r="C7930" s="55">
        <f t="shared" si="503"/>
        <v>1</v>
      </c>
      <c r="D7930" s="3" t="str">
        <f t="shared" si="504"/>
        <v>SÁBADO</v>
      </c>
      <c r="E7930" s="427"/>
      <c r="F7930" s="31">
        <f>IFERROR(VLOOKUP(E7930,BD!$L$2:$Q$244,2,0),0)</f>
        <v>0</v>
      </c>
      <c r="G7930" s="424"/>
      <c r="H7930" s="31">
        <f>+IFERROR(VLOOKUP(E7930,BD!$L$2:$Q$244,6,0),0)</f>
        <v>0</v>
      </c>
      <c r="I7930" s="626">
        <f>IFERROR(G7930*VLOOKUP($E7930,BD!$L$2:$Q$244,5,0),0)</f>
        <v>0</v>
      </c>
      <c r="J7930" s="3">
        <f t="shared" si="505"/>
        <v>1900</v>
      </c>
    </row>
    <row r="7931" spans="1:10" s="9" customFormat="1" x14ac:dyDescent="0.25">
      <c r="A7931" s="447"/>
      <c r="B7931" s="55" t="str">
        <f t="shared" si="502"/>
        <v>ENERO</v>
      </c>
      <c r="C7931" s="55">
        <f t="shared" si="503"/>
        <v>1</v>
      </c>
      <c r="D7931" s="3" t="str">
        <f t="shared" si="504"/>
        <v>SÁBADO</v>
      </c>
      <c r="E7931" s="427"/>
      <c r="F7931" s="31">
        <f>IFERROR(VLOOKUP(E7931,BD!$L$2:$Q$244,2,0),0)</f>
        <v>0</v>
      </c>
      <c r="G7931" s="424"/>
      <c r="H7931" s="31">
        <f>+IFERROR(VLOOKUP(E7931,BD!$L$2:$Q$244,6,0),0)</f>
        <v>0</v>
      </c>
      <c r="I7931" s="626">
        <f>IFERROR(G7931*VLOOKUP($E7931,BD!$L$2:$Q$244,5,0),0)</f>
        <v>0</v>
      </c>
      <c r="J7931" s="3">
        <f t="shared" si="505"/>
        <v>1900</v>
      </c>
    </row>
    <row r="7932" spans="1:10" s="9" customFormat="1" x14ac:dyDescent="0.25">
      <c r="A7932" s="447"/>
      <c r="B7932" s="55" t="str">
        <f t="shared" si="502"/>
        <v>ENERO</v>
      </c>
      <c r="C7932" s="55">
        <f t="shared" si="503"/>
        <v>1</v>
      </c>
      <c r="D7932" s="3" t="str">
        <f t="shared" si="504"/>
        <v>SÁBADO</v>
      </c>
      <c r="E7932" s="427"/>
      <c r="F7932" s="31">
        <f>IFERROR(VLOOKUP(E7932,BD!$L$2:$Q$244,2,0),0)</f>
        <v>0</v>
      </c>
      <c r="G7932" s="424"/>
      <c r="H7932" s="31">
        <f>+IFERROR(VLOOKUP(E7932,BD!$L$2:$Q$244,6,0),0)</f>
        <v>0</v>
      </c>
      <c r="I7932" s="626">
        <f>IFERROR(G7932*VLOOKUP($E7932,BD!$L$2:$Q$244,5,0),0)</f>
        <v>0</v>
      </c>
      <c r="J7932" s="3">
        <f t="shared" si="505"/>
        <v>1900</v>
      </c>
    </row>
    <row r="7933" spans="1:10" s="9" customFormat="1" x14ac:dyDescent="0.25">
      <c r="A7933" s="447"/>
      <c r="B7933" s="55" t="str">
        <f t="shared" ref="B7933:B8187" si="506">UPPER(TEXT(A7933,"MMMM"))</f>
        <v>ENERO</v>
      </c>
      <c r="C7933" s="55">
        <f t="shared" ref="C7933:C8187" si="507">WEEKNUM(A7933,16)</f>
        <v>1</v>
      </c>
      <c r="D7933" s="3" t="str">
        <f t="shared" ref="D7933:D8187" si="508">UPPER(TEXT(A7933,"DDDD"))</f>
        <v>SÁBADO</v>
      </c>
      <c r="E7933" s="427"/>
      <c r="F7933" s="31">
        <f>IFERROR(VLOOKUP(E7933,BD!$L$2:$Q$244,2,0),0)</f>
        <v>0</v>
      </c>
      <c r="G7933" s="424"/>
      <c r="H7933" s="31">
        <f>+IFERROR(VLOOKUP(E7933,BD!$L$2:$Q$244,6,0),0)</f>
        <v>0</v>
      </c>
      <c r="I7933" s="626">
        <f>IFERROR(G7933*VLOOKUP($E7933,BD!$L$2:$Q$244,5,0),0)</f>
        <v>0</v>
      </c>
      <c r="J7933" s="3">
        <f t="shared" ref="J7933:J8187" si="509">+YEAR(A7933)</f>
        <v>1900</v>
      </c>
    </row>
    <row r="7934" spans="1:10" s="9" customFormat="1" x14ac:dyDescent="0.25">
      <c r="A7934" s="447"/>
      <c r="B7934" s="55" t="str">
        <f t="shared" si="506"/>
        <v>ENERO</v>
      </c>
      <c r="C7934" s="55">
        <f t="shared" si="507"/>
        <v>1</v>
      </c>
      <c r="D7934" s="3" t="str">
        <f t="shared" si="508"/>
        <v>SÁBADO</v>
      </c>
      <c r="E7934" s="427"/>
      <c r="F7934" s="31">
        <f>IFERROR(VLOOKUP(E7934,BD!$L$2:$Q$244,2,0),0)</f>
        <v>0</v>
      </c>
      <c r="G7934" s="424"/>
      <c r="H7934" s="31">
        <f>+IFERROR(VLOOKUP(E7934,BD!$L$2:$Q$244,6,0),0)</f>
        <v>0</v>
      </c>
      <c r="I7934" s="626">
        <f>IFERROR(G7934*VLOOKUP($E7934,BD!$L$2:$Q$244,5,0),0)</f>
        <v>0</v>
      </c>
      <c r="J7934" s="3">
        <f t="shared" si="509"/>
        <v>1900</v>
      </c>
    </row>
    <row r="7935" spans="1:10" s="9" customFormat="1" x14ac:dyDescent="0.25">
      <c r="A7935" s="447"/>
      <c r="B7935" s="55" t="str">
        <f t="shared" si="506"/>
        <v>ENERO</v>
      </c>
      <c r="C7935" s="55">
        <f t="shared" si="507"/>
        <v>1</v>
      </c>
      <c r="D7935" s="3" t="str">
        <f t="shared" si="508"/>
        <v>SÁBADO</v>
      </c>
      <c r="E7935" s="427"/>
      <c r="F7935" s="31">
        <f>IFERROR(VLOOKUP(E7935,BD!$L$2:$Q$244,2,0),0)</f>
        <v>0</v>
      </c>
      <c r="G7935" s="424"/>
      <c r="H7935" s="31">
        <f>+IFERROR(VLOOKUP(E7935,BD!$L$2:$Q$244,6,0),0)</f>
        <v>0</v>
      </c>
      <c r="I7935" s="626">
        <f>IFERROR(G7935*VLOOKUP($E7935,BD!$L$2:$Q$244,5,0),0)</f>
        <v>0</v>
      </c>
      <c r="J7935" s="3">
        <f t="shared" si="509"/>
        <v>1900</v>
      </c>
    </row>
    <row r="7936" spans="1:10" s="9" customFormat="1" x14ac:dyDescent="0.25">
      <c r="A7936" s="447"/>
      <c r="B7936" s="55" t="str">
        <f t="shared" si="506"/>
        <v>ENERO</v>
      </c>
      <c r="C7936" s="55">
        <f t="shared" si="507"/>
        <v>1</v>
      </c>
      <c r="D7936" s="3" t="str">
        <f t="shared" si="508"/>
        <v>SÁBADO</v>
      </c>
      <c r="E7936" s="427"/>
      <c r="F7936" s="31">
        <f>IFERROR(VLOOKUP(E7936,BD!$L$2:$Q$244,2,0),0)</f>
        <v>0</v>
      </c>
      <c r="G7936" s="425"/>
      <c r="H7936" s="31">
        <f>+IFERROR(VLOOKUP(E7936,BD!$L$2:$Q$244,6,0),0)</f>
        <v>0</v>
      </c>
      <c r="I7936" s="626">
        <f>IFERROR(G7936*VLOOKUP($E7936,BD!$L$2:$Q$244,5,0),0)</f>
        <v>0</v>
      </c>
      <c r="J7936" s="3">
        <f t="shared" si="509"/>
        <v>1900</v>
      </c>
    </row>
    <row r="7937" spans="1:10" s="9" customFormat="1" x14ac:dyDescent="0.25">
      <c r="A7937" s="447"/>
      <c r="B7937" s="55" t="str">
        <f t="shared" si="506"/>
        <v>ENERO</v>
      </c>
      <c r="C7937" s="55">
        <f t="shared" si="507"/>
        <v>1</v>
      </c>
      <c r="D7937" s="3" t="str">
        <f t="shared" si="508"/>
        <v>SÁBADO</v>
      </c>
      <c r="E7937" s="427"/>
      <c r="F7937" s="31">
        <f>IFERROR(VLOOKUP(E7937,BD!$L$2:$Q$244,2,0),0)</f>
        <v>0</v>
      </c>
      <c r="G7937" s="424"/>
      <c r="H7937" s="31">
        <f>+IFERROR(VLOOKUP(E7937,BD!$L$2:$Q$244,6,0),0)</f>
        <v>0</v>
      </c>
      <c r="I7937" s="626">
        <f>IFERROR(G7937*VLOOKUP($E7937,BD!$L$2:$Q$244,5,0),0)</f>
        <v>0</v>
      </c>
      <c r="J7937" s="3">
        <f t="shared" si="509"/>
        <v>1900</v>
      </c>
    </row>
    <row r="7938" spans="1:10" s="9" customFormat="1" x14ac:dyDescent="0.25">
      <c r="A7938" s="447"/>
      <c r="B7938" s="55" t="str">
        <f t="shared" si="506"/>
        <v>ENERO</v>
      </c>
      <c r="C7938" s="55">
        <f t="shared" si="507"/>
        <v>1</v>
      </c>
      <c r="D7938" s="3" t="str">
        <f t="shared" si="508"/>
        <v>SÁBADO</v>
      </c>
      <c r="E7938" s="427"/>
      <c r="F7938" s="31">
        <f>IFERROR(VLOOKUP(E7938,BD!$L$2:$Q$244,2,0),0)</f>
        <v>0</v>
      </c>
      <c r="G7938" s="424"/>
      <c r="H7938" s="31">
        <f>+IFERROR(VLOOKUP(E7938,BD!$L$2:$Q$244,6,0),0)</f>
        <v>0</v>
      </c>
      <c r="I7938" s="626">
        <f>IFERROR(G7938*VLOOKUP($E7938,BD!$L$2:$Q$244,5,0),0)</f>
        <v>0</v>
      </c>
      <c r="J7938" s="3">
        <f t="shared" si="509"/>
        <v>1900</v>
      </c>
    </row>
    <row r="7939" spans="1:10" s="9" customFormat="1" x14ac:dyDescent="0.25">
      <c r="A7939" s="447"/>
      <c r="B7939" s="55" t="str">
        <f t="shared" si="506"/>
        <v>ENERO</v>
      </c>
      <c r="C7939" s="55">
        <f t="shared" si="507"/>
        <v>1</v>
      </c>
      <c r="D7939" s="3" t="str">
        <f t="shared" si="508"/>
        <v>SÁBADO</v>
      </c>
      <c r="E7939" s="427"/>
      <c r="F7939" s="31">
        <f>IFERROR(VLOOKUP(E7939,BD!$L$2:$Q$244,2,0),0)</f>
        <v>0</v>
      </c>
      <c r="G7939" s="424"/>
      <c r="H7939" s="31">
        <f>+IFERROR(VLOOKUP(E7939,BD!$L$2:$Q$244,6,0),0)</f>
        <v>0</v>
      </c>
      <c r="I7939" s="626">
        <f>IFERROR(G7939*VLOOKUP($E7939,BD!$L$2:$Q$244,5,0),0)</f>
        <v>0</v>
      </c>
      <c r="J7939" s="3">
        <f t="shared" si="509"/>
        <v>1900</v>
      </c>
    </row>
    <row r="7940" spans="1:10" s="9" customFormat="1" x14ac:dyDescent="0.25">
      <c r="A7940" s="447"/>
      <c r="B7940" s="55" t="str">
        <f t="shared" si="506"/>
        <v>ENERO</v>
      </c>
      <c r="C7940" s="55">
        <f t="shared" si="507"/>
        <v>1</v>
      </c>
      <c r="D7940" s="3" t="str">
        <f t="shared" si="508"/>
        <v>SÁBADO</v>
      </c>
      <c r="E7940" s="427"/>
      <c r="F7940" s="31">
        <f>IFERROR(VLOOKUP(E7940,BD!$L$2:$Q$244,2,0),0)</f>
        <v>0</v>
      </c>
      <c r="G7940" s="424"/>
      <c r="H7940" s="31">
        <f>+IFERROR(VLOOKUP(E7940,BD!$L$2:$Q$244,6,0),0)</f>
        <v>0</v>
      </c>
      <c r="I7940" s="626">
        <f>IFERROR(G7940*VLOOKUP($E7940,BD!$L$2:$Q$244,5,0),0)</f>
        <v>0</v>
      </c>
      <c r="J7940" s="3">
        <f t="shared" si="509"/>
        <v>1900</v>
      </c>
    </row>
    <row r="7941" spans="1:10" s="9" customFormat="1" x14ac:dyDescent="0.25">
      <c r="A7941" s="447"/>
      <c r="B7941" s="55" t="str">
        <f t="shared" si="506"/>
        <v>ENERO</v>
      </c>
      <c r="C7941" s="55">
        <f t="shared" si="507"/>
        <v>1</v>
      </c>
      <c r="D7941" s="3" t="str">
        <f t="shared" si="508"/>
        <v>SÁBADO</v>
      </c>
      <c r="E7941" s="427"/>
      <c r="F7941" s="31">
        <f>IFERROR(VLOOKUP(E7941,BD!$L$2:$Q$244,2,0),0)</f>
        <v>0</v>
      </c>
      <c r="G7941" s="424"/>
      <c r="H7941" s="31">
        <f>+IFERROR(VLOOKUP(E7941,BD!$L$2:$Q$244,6,0),0)</f>
        <v>0</v>
      </c>
      <c r="I7941" s="626">
        <f>IFERROR(G7941*VLOOKUP($E7941,BD!$L$2:$Q$244,5,0),0)</f>
        <v>0</v>
      </c>
      <c r="J7941" s="3">
        <f t="shared" si="509"/>
        <v>1900</v>
      </c>
    </row>
    <row r="7942" spans="1:10" s="9" customFormat="1" x14ac:dyDescent="0.25">
      <c r="A7942" s="447"/>
      <c r="B7942" s="55" t="str">
        <f t="shared" si="506"/>
        <v>ENERO</v>
      </c>
      <c r="C7942" s="55">
        <f t="shared" si="507"/>
        <v>1</v>
      </c>
      <c r="D7942" s="3" t="str">
        <f t="shared" si="508"/>
        <v>SÁBADO</v>
      </c>
      <c r="E7942" s="427"/>
      <c r="F7942" s="31">
        <f>IFERROR(VLOOKUP(E7942,BD!$L$2:$Q$244,2,0),0)</f>
        <v>0</v>
      </c>
      <c r="G7942" s="424"/>
      <c r="H7942" s="31">
        <f>+IFERROR(VLOOKUP(E7942,BD!$L$2:$Q$244,6,0),0)</f>
        <v>0</v>
      </c>
      <c r="I7942" s="626">
        <f>IFERROR(G7942*VLOOKUP($E7942,BD!$L$2:$Q$244,5,0),0)</f>
        <v>0</v>
      </c>
      <c r="J7942" s="3">
        <f t="shared" si="509"/>
        <v>1900</v>
      </c>
    </row>
    <row r="7943" spans="1:10" s="9" customFormat="1" x14ac:dyDescent="0.25">
      <c r="A7943" s="447"/>
      <c r="B7943" s="55" t="str">
        <f t="shared" si="506"/>
        <v>ENERO</v>
      </c>
      <c r="C7943" s="55">
        <f t="shared" si="507"/>
        <v>1</v>
      </c>
      <c r="D7943" s="3" t="str">
        <f t="shared" si="508"/>
        <v>SÁBADO</v>
      </c>
      <c r="E7943" s="427"/>
      <c r="F7943" s="31">
        <f>IFERROR(VLOOKUP(E7943,BD!$L$2:$Q$244,2,0),0)</f>
        <v>0</v>
      </c>
      <c r="G7943" s="424"/>
      <c r="H7943" s="31">
        <f>+IFERROR(VLOOKUP(E7943,BD!$L$2:$Q$244,6,0),0)</f>
        <v>0</v>
      </c>
      <c r="I7943" s="626">
        <f>IFERROR(G7943*VLOOKUP($E7943,BD!$L$2:$Q$244,5,0),0)</f>
        <v>0</v>
      </c>
      <c r="J7943" s="3">
        <f t="shared" si="509"/>
        <v>1900</v>
      </c>
    </row>
    <row r="7944" spans="1:10" s="9" customFormat="1" x14ac:dyDescent="0.25">
      <c r="A7944" s="447"/>
      <c r="B7944" s="55" t="str">
        <f t="shared" si="506"/>
        <v>ENERO</v>
      </c>
      <c r="C7944" s="55">
        <f t="shared" si="507"/>
        <v>1</v>
      </c>
      <c r="D7944" s="3" t="str">
        <f t="shared" si="508"/>
        <v>SÁBADO</v>
      </c>
      <c r="E7944" s="427"/>
      <c r="F7944" s="31">
        <f>IFERROR(VLOOKUP(E7944,BD!$L$2:$Q$244,2,0),0)</f>
        <v>0</v>
      </c>
      <c r="G7944" s="424"/>
      <c r="H7944" s="31">
        <f>+IFERROR(VLOOKUP(E7944,BD!$L$2:$Q$244,6,0),0)</f>
        <v>0</v>
      </c>
      <c r="I7944" s="626">
        <f>IFERROR(G7944*VLOOKUP($E7944,BD!$L$2:$Q$244,5,0),0)</f>
        <v>0</v>
      </c>
      <c r="J7944" s="3">
        <f t="shared" si="509"/>
        <v>1900</v>
      </c>
    </row>
    <row r="7945" spans="1:10" s="9" customFormat="1" x14ac:dyDescent="0.25">
      <c r="A7945" s="447"/>
      <c r="B7945" s="55" t="str">
        <f t="shared" si="506"/>
        <v>ENERO</v>
      </c>
      <c r="C7945" s="55">
        <f t="shared" si="507"/>
        <v>1</v>
      </c>
      <c r="D7945" s="3" t="str">
        <f t="shared" si="508"/>
        <v>SÁBADO</v>
      </c>
      <c r="E7945" s="427"/>
      <c r="F7945" s="31">
        <f>IFERROR(VLOOKUP(E7945,BD!$L$2:$Q$244,2,0),0)</f>
        <v>0</v>
      </c>
      <c r="G7945" s="424"/>
      <c r="H7945" s="31">
        <f>+IFERROR(VLOOKUP(E7945,BD!$L$2:$Q$244,6,0),0)</f>
        <v>0</v>
      </c>
      <c r="I7945" s="626">
        <f>IFERROR(G7945*VLOOKUP($E7945,BD!$L$2:$Q$244,5,0),0)</f>
        <v>0</v>
      </c>
      <c r="J7945" s="3">
        <f t="shared" si="509"/>
        <v>1900</v>
      </c>
    </row>
    <row r="7946" spans="1:10" s="9" customFormat="1" x14ac:dyDescent="0.25">
      <c r="A7946" s="447"/>
      <c r="B7946" s="55" t="str">
        <f t="shared" si="506"/>
        <v>ENERO</v>
      </c>
      <c r="C7946" s="55">
        <f t="shared" si="507"/>
        <v>1</v>
      </c>
      <c r="D7946" s="3" t="str">
        <f t="shared" si="508"/>
        <v>SÁBADO</v>
      </c>
      <c r="E7946" s="427"/>
      <c r="F7946" s="31">
        <f>IFERROR(VLOOKUP(E7946,BD!$L$2:$Q$244,2,0),0)</f>
        <v>0</v>
      </c>
      <c r="G7946" s="424"/>
      <c r="H7946" s="31">
        <f>+IFERROR(VLOOKUP(E7946,BD!$L$2:$Q$244,6,0),0)</f>
        <v>0</v>
      </c>
      <c r="I7946" s="626">
        <f>IFERROR(G7946*VLOOKUP($E7946,BD!$L$2:$Q$244,5,0),0)</f>
        <v>0</v>
      </c>
      <c r="J7946" s="3">
        <f t="shared" si="509"/>
        <v>1900</v>
      </c>
    </row>
    <row r="7947" spans="1:10" s="9" customFormat="1" x14ac:dyDescent="0.25">
      <c r="A7947" s="447"/>
      <c r="B7947" s="55" t="str">
        <f t="shared" si="506"/>
        <v>ENERO</v>
      </c>
      <c r="C7947" s="55">
        <f t="shared" si="507"/>
        <v>1</v>
      </c>
      <c r="D7947" s="3" t="str">
        <f t="shared" si="508"/>
        <v>SÁBADO</v>
      </c>
      <c r="E7947" s="427"/>
      <c r="F7947" s="31">
        <f>IFERROR(VLOOKUP(E7947,BD!$L$2:$Q$244,2,0),0)</f>
        <v>0</v>
      </c>
      <c r="G7947" s="424"/>
      <c r="H7947" s="31">
        <f>+IFERROR(VLOOKUP(E7947,BD!$L$2:$Q$244,6,0),0)</f>
        <v>0</v>
      </c>
      <c r="I7947" s="626">
        <f>IFERROR(G7947*VLOOKUP($E7947,BD!$L$2:$Q$244,5,0),0)</f>
        <v>0</v>
      </c>
      <c r="J7947" s="3">
        <f t="shared" si="509"/>
        <v>1900</v>
      </c>
    </row>
    <row r="7948" spans="1:10" s="9" customFormat="1" x14ac:dyDescent="0.25">
      <c r="A7948" s="447"/>
      <c r="B7948" s="55" t="str">
        <f t="shared" si="506"/>
        <v>ENERO</v>
      </c>
      <c r="C7948" s="55">
        <f t="shared" si="507"/>
        <v>1</v>
      </c>
      <c r="D7948" s="3" t="str">
        <f t="shared" si="508"/>
        <v>SÁBADO</v>
      </c>
      <c r="E7948" s="427"/>
      <c r="F7948" s="31">
        <f>IFERROR(VLOOKUP(E7948,BD!$L$2:$Q$244,2,0),0)</f>
        <v>0</v>
      </c>
      <c r="G7948" s="424"/>
      <c r="H7948" s="31">
        <f>+IFERROR(VLOOKUP(E7948,BD!$L$2:$Q$244,6,0),0)</f>
        <v>0</v>
      </c>
      <c r="I7948" s="626">
        <f>IFERROR(G7948*VLOOKUP($E7948,BD!$L$2:$Q$244,5,0),0)</f>
        <v>0</v>
      </c>
      <c r="J7948" s="3">
        <f t="shared" si="509"/>
        <v>1900</v>
      </c>
    </row>
    <row r="7949" spans="1:10" s="9" customFormat="1" x14ac:dyDescent="0.25">
      <c r="A7949" s="447"/>
      <c r="B7949" s="55" t="str">
        <f t="shared" si="506"/>
        <v>ENERO</v>
      </c>
      <c r="C7949" s="55">
        <f t="shared" si="507"/>
        <v>1</v>
      </c>
      <c r="D7949" s="3" t="str">
        <f t="shared" si="508"/>
        <v>SÁBADO</v>
      </c>
      <c r="E7949" s="427"/>
      <c r="F7949" s="31">
        <f>IFERROR(VLOOKUP(E7949,BD!$L$2:$Q$244,2,0),0)</f>
        <v>0</v>
      </c>
      <c r="G7949" s="424"/>
      <c r="H7949" s="31">
        <f>+IFERROR(VLOOKUP(E7949,BD!$L$2:$Q$244,6,0),0)</f>
        <v>0</v>
      </c>
      <c r="I7949" s="626">
        <f>IFERROR(G7949*VLOOKUP($E7949,BD!$L$2:$Q$244,5,0),0)</f>
        <v>0</v>
      </c>
      <c r="J7949" s="3">
        <f t="shared" si="509"/>
        <v>1900</v>
      </c>
    </row>
    <row r="7950" spans="1:10" s="9" customFormat="1" x14ac:dyDescent="0.25">
      <c r="A7950" s="447"/>
      <c r="B7950" s="55" t="str">
        <f t="shared" si="506"/>
        <v>ENERO</v>
      </c>
      <c r="C7950" s="55">
        <f t="shared" si="507"/>
        <v>1</v>
      </c>
      <c r="D7950" s="3" t="str">
        <f t="shared" si="508"/>
        <v>SÁBADO</v>
      </c>
      <c r="E7950" s="427"/>
      <c r="F7950" s="31">
        <f>IFERROR(VLOOKUP(E7950,BD!$L$2:$Q$244,2,0),0)</f>
        <v>0</v>
      </c>
      <c r="G7950" s="424"/>
      <c r="H7950" s="31">
        <f>+IFERROR(VLOOKUP(E7950,BD!$L$2:$Q$244,6,0),0)</f>
        <v>0</v>
      </c>
      <c r="I7950" s="626">
        <f>IFERROR(G7950*VLOOKUP($E7950,BD!$L$2:$Q$244,5,0),0)</f>
        <v>0</v>
      </c>
      <c r="J7950" s="3">
        <f t="shared" si="509"/>
        <v>1900</v>
      </c>
    </row>
    <row r="7951" spans="1:10" s="9" customFormat="1" x14ac:dyDescent="0.25">
      <c r="A7951" s="447"/>
      <c r="B7951" s="55" t="str">
        <f t="shared" si="506"/>
        <v>ENERO</v>
      </c>
      <c r="C7951" s="55">
        <f t="shared" si="507"/>
        <v>1</v>
      </c>
      <c r="D7951" s="3" t="str">
        <f t="shared" si="508"/>
        <v>SÁBADO</v>
      </c>
      <c r="E7951" s="427"/>
      <c r="F7951" s="31">
        <f>IFERROR(VLOOKUP(E7951,BD!$L$2:$Q$244,2,0),0)</f>
        <v>0</v>
      </c>
      <c r="G7951" s="424"/>
      <c r="H7951" s="31">
        <f>+IFERROR(VLOOKUP(E7951,BD!$L$2:$Q$244,6,0),0)</f>
        <v>0</v>
      </c>
      <c r="I7951" s="626">
        <f>IFERROR(G7951*VLOOKUP($E7951,BD!$L$2:$Q$244,5,0),0)</f>
        <v>0</v>
      </c>
      <c r="J7951" s="3">
        <f t="shared" si="509"/>
        <v>1900</v>
      </c>
    </row>
    <row r="7952" spans="1:10" s="9" customFormat="1" x14ac:dyDescent="0.25">
      <c r="A7952" s="447"/>
      <c r="B7952" s="55" t="str">
        <f t="shared" si="506"/>
        <v>ENERO</v>
      </c>
      <c r="C7952" s="55">
        <f t="shared" si="507"/>
        <v>1</v>
      </c>
      <c r="D7952" s="3" t="str">
        <f t="shared" si="508"/>
        <v>SÁBADO</v>
      </c>
      <c r="E7952" s="427"/>
      <c r="F7952" s="31">
        <f>IFERROR(VLOOKUP(E7952,BD!$L$2:$Q$244,2,0),0)</f>
        <v>0</v>
      </c>
      <c r="G7952" s="424"/>
      <c r="H7952" s="31">
        <f>+IFERROR(VLOOKUP(E7952,BD!$L$2:$Q$244,6,0),0)</f>
        <v>0</v>
      </c>
      <c r="I7952" s="626">
        <f>IFERROR(G7952*VLOOKUP($E7952,BD!$L$2:$Q$244,5,0),0)</f>
        <v>0</v>
      </c>
      <c r="J7952" s="3">
        <f t="shared" si="509"/>
        <v>1900</v>
      </c>
    </row>
    <row r="7953" spans="1:10" s="9" customFormat="1" x14ac:dyDescent="0.25">
      <c r="A7953" s="447"/>
      <c r="B7953" s="55" t="str">
        <f t="shared" si="506"/>
        <v>ENERO</v>
      </c>
      <c r="C7953" s="55">
        <f t="shared" si="507"/>
        <v>1</v>
      </c>
      <c r="D7953" s="3" t="str">
        <f t="shared" si="508"/>
        <v>SÁBADO</v>
      </c>
      <c r="E7953" s="427"/>
      <c r="F7953" s="31">
        <f>IFERROR(VLOOKUP(E7953,BD!$L$2:$Q$244,2,0),0)</f>
        <v>0</v>
      </c>
      <c r="G7953" s="424"/>
      <c r="H7953" s="31">
        <f>+IFERROR(VLOOKUP(E7953,BD!$L$2:$Q$244,6,0),0)</f>
        <v>0</v>
      </c>
      <c r="I7953" s="626">
        <f>IFERROR(G7953*VLOOKUP($E7953,BD!$L$2:$Q$244,5,0),0)</f>
        <v>0</v>
      </c>
      <c r="J7953" s="3">
        <f t="shared" si="509"/>
        <v>1900</v>
      </c>
    </row>
    <row r="7954" spans="1:10" s="9" customFormat="1" x14ac:dyDescent="0.25">
      <c r="A7954" s="447"/>
      <c r="B7954" s="55" t="str">
        <f t="shared" si="506"/>
        <v>ENERO</v>
      </c>
      <c r="C7954" s="55">
        <f t="shared" si="507"/>
        <v>1</v>
      </c>
      <c r="D7954" s="3" t="str">
        <f t="shared" si="508"/>
        <v>SÁBADO</v>
      </c>
      <c r="E7954" s="427"/>
      <c r="F7954" s="31">
        <f>IFERROR(VLOOKUP(E7954,BD!$L$2:$Q$244,2,0),0)</f>
        <v>0</v>
      </c>
      <c r="G7954" s="424"/>
      <c r="H7954" s="31">
        <f>+IFERROR(VLOOKUP(E7954,BD!$L$2:$Q$244,6,0),0)</f>
        <v>0</v>
      </c>
      <c r="I7954" s="626">
        <f>IFERROR(G7954*VLOOKUP($E7954,BD!$L$2:$Q$244,5,0),0)</f>
        <v>0</v>
      </c>
      <c r="J7954" s="3">
        <f t="shared" si="509"/>
        <v>1900</v>
      </c>
    </row>
    <row r="7955" spans="1:10" s="9" customFormat="1" x14ac:dyDescent="0.25">
      <c r="A7955" s="447"/>
      <c r="B7955" s="55" t="str">
        <f t="shared" si="506"/>
        <v>ENERO</v>
      </c>
      <c r="C7955" s="55">
        <f t="shared" si="507"/>
        <v>1</v>
      </c>
      <c r="D7955" s="3" t="str">
        <f t="shared" si="508"/>
        <v>SÁBADO</v>
      </c>
      <c r="E7955" s="427"/>
      <c r="F7955" s="31">
        <f>IFERROR(VLOOKUP(E7955,BD!$L$2:$Q$244,2,0),0)</f>
        <v>0</v>
      </c>
      <c r="G7955" s="424"/>
      <c r="H7955" s="31">
        <f>+IFERROR(VLOOKUP(E7955,BD!$L$2:$Q$244,6,0),0)</f>
        <v>0</v>
      </c>
      <c r="I7955" s="626">
        <f>IFERROR(G7955*VLOOKUP($E7955,BD!$L$2:$Q$244,5,0),0)</f>
        <v>0</v>
      </c>
      <c r="J7955" s="3">
        <f t="shared" si="509"/>
        <v>1900</v>
      </c>
    </row>
    <row r="7956" spans="1:10" s="9" customFormat="1" x14ac:dyDescent="0.25">
      <c r="A7956" s="447"/>
      <c r="B7956" s="55" t="str">
        <f t="shared" si="506"/>
        <v>ENERO</v>
      </c>
      <c r="C7956" s="55">
        <f t="shared" si="507"/>
        <v>1</v>
      </c>
      <c r="D7956" s="3" t="str">
        <f t="shared" si="508"/>
        <v>SÁBADO</v>
      </c>
      <c r="E7956" s="427"/>
      <c r="F7956" s="31">
        <f>IFERROR(VLOOKUP(E7956,BD!$L$2:$Q$244,2,0),0)</f>
        <v>0</v>
      </c>
      <c r="G7956" s="424"/>
      <c r="H7956" s="31">
        <f>+IFERROR(VLOOKUP(E7956,BD!$L$2:$Q$244,6,0),0)</f>
        <v>0</v>
      </c>
      <c r="I7956" s="626">
        <f>IFERROR(G7956*VLOOKUP($E7956,BD!$L$2:$Q$244,5,0),0)</f>
        <v>0</v>
      </c>
      <c r="J7956" s="3">
        <f t="shared" si="509"/>
        <v>1900</v>
      </c>
    </row>
    <row r="7957" spans="1:10" s="9" customFormat="1" x14ac:dyDescent="0.25">
      <c r="A7957" s="447"/>
      <c r="B7957" s="55" t="str">
        <f t="shared" si="506"/>
        <v>ENERO</v>
      </c>
      <c r="C7957" s="55">
        <f t="shared" si="507"/>
        <v>1</v>
      </c>
      <c r="D7957" s="3" t="str">
        <f t="shared" si="508"/>
        <v>SÁBADO</v>
      </c>
      <c r="E7957" s="427"/>
      <c r="F7957" s="31">
        <f>IFERROR(VLOOKUP(E7957,BD!$L$2:$Q$244,2,0),0)</f>
        <v>0</v>
      </c>
      <c r="G7957" s="424"/>
      <c r="H7957" s="31">
        <f>+IFERROR(VLOOKUP(E7957,BD!$L$2:$Q$244,6,0),0)</f>
        <v>0</v>
      </c>
      <c r="I7957" s="626">
        <f>IFERROR(G7957*VLOOKUP($E7957,BD!$L$2:$Q$244,5,0),0)</f>
        <v>0</v>
      </c>
      <c r="J7957" s="3">
        <f t="shared" si="509"/>
        <v>1900</v>
      </c>
    </row>
    <row r="7958" spans="1:10" s="9" customFormat="1" x14ac:dyDescent="0.25">
      <c r="A7958" s="447"/>
      <c r="B7958" s="55" t="str">
        <f t="shared" si="506"/>
        <v>ENERO</v>
      </c>
      <c r="C7958" s="55">
        <f t="shared" si="507"/>
        <v>1</v>
      </c>
      <c r="D7958" s="3" t="str">
        <f t="shared" si="508"/>
        <v>SÁBADO</v>
      </c>
      <c r="E7958" s="427"/>
      <c r="F7958" s="31">
        <f>IFERROR(VLOOKUP(E7958,BD!$L$2:$Q$244,2,0),0)</f>
        <v>0</v>
      </c>
      <c r="G7958" s="424"/>
      <c r="H7958" s="31">
        <f>+IFERROR(VLOOKUP(E7958,BD!$L$2:$Q$244,6,0),0)</f>
        <v>0</v>
      </c>
      <c r="I7958" s="626">
        <f>IFERROR(G7958*VLOOKUP($E7958,BD!$L$2:$Q$244,5,0),0)</f>
        <v>0</v>
      </c>
      <c r="J7958" s="3">
        <f t="shared" si="509"/>
        <v>1900</v>
      </c>
    </row>
    <row r="7959" spans="1:10" s="9" customFormat="1" x14ac:dyDescent="0.25">
      <c r="A7959" s="447"/>
      <c r="B7959" s="55" t="str">
        <f t="shared" si="506"/>
        <v>ENERO</v>
      </c>
      <c r="C7959" s="55">
        <f t="shared" si="507"/>
        <v>1</v>
      </c>
      <c r="D7959" s="3" t="str">
        <f t="shared" si="508"/>
        <v>SÁBADO</v>
      </c>
      <c r="E7959" s="427"/>
      <c r="F7959" s="31">
        <f>IFERROR(VLOOKUP(E7959,BD!$L$2:$Q$244,2,0),0)</f>
        <v>0</v>
      </c>
      <c r="G7959" s="424"/>
      <c r="H7959" s="31">
        <f>+IFERROR(VLOOKUP(E7959,BD!$L$2:$Q$244,6,0),0)</f>
        <v>0</v>
      </c>
      <c r="I7959" s="626">
        <f>IFERROR(G7959*VLOOKUP($E7959,BD!$L$2:$Q$244,5,0),0)</f>
        <v>0</v>
      </c>
      <c r="J7959" s="3">
        <f t="shared" si="509"/>
        <v>1900</v>
      </c>
    </row>
    <row r="7960" spans="1:10" s="9" customFormat="1" x14ac:dyDescent="0.25">
      <c r="A7960" s="447"/>
      <c r="B7960" s="55" t="str">
        <f t="shared" si="506"/>
        <v>ENERO</v>
      </c>
      <c r="C7960" s="55">
        <f t="shared" si="507"/>
        <v>1</v>
      </c>
      <c r="D7960" s="3" t="str">
        <f t="shared" si="508"/>
        <v>SÁBADO</v>
      </c>
      <c r="E7960" s="427"/>
      <c r="F7960" s="31">
        <f>IFERROR(VLOOKUP(E7960,BD!$L$2:$Q$244,2,0),0)</f>
        <v>0</v>
      </c>
      <c r="G7960" s="424"/>
      <c r="H7960" s="31">
        <f>+IFERROR(VLOOKUP(E7960,BD!$L$2:$Q$244,6,0),0)</f>
        <v>0</v>
      </c>
      <c r="I7960" s="626">
        <f>IFERROR(G7960*VLOOKUP($E7960,BD!$L$2:$Q$244,5,0),0)</f>
        <v>0</v>
      </c>
      <c r="J7960" s="3">
        <f t="shared" si="509"/>
        <v>1900</v>
      </c>
    </row>
    <row r="7961" spans="1:10" s="9" customFormat="1" x14ac:dyDescent="0.25">
      <c r="A7961" s="447"/>
      <c r="B7961" s="55" t="str">
        <f t="shared" si="506"/>
        <v>ENERO</v>
      </c>
      <c r="C7961" s="55">
        <f t="shared" si="507"/>
        <v>1</v>
      </c>
      <c r="D7961" s="3" t="str">
        <f t="shared" si="508"/>
        <v>SÁBADO</v>
      </c>
      <c r="E7961" s="427"/>
      <c r="F7961" s="31">
        <f>IFERROR(VLOOKUP(E7961,BD!$L$2:$Q$244,2,0),0)</f>
        <v>0</v>
      </c>
      <c r="G7961" s="424"/>
      <c r="H7961" s="31">
        <f>+IFERROR(VLOOKUP(E7961,BD!$L$2:$Q$244,6,0),0)</f>
        <v>0</v>
      </c>
      <c r="I7961" s="626">
        <f>IFERROR(G7961*VLOOKUP($E7961,BD!$L$2:$Q$244,5,0),0)</f>
        <v>0</v>
      </c>
      <c r="J7961" s="3">
        <f t="shared" si="509"/>
        <v>1900</v>
      </c>
    </row>
    <row r="7962" spans="1:10" s="9" customFormat="1" x14ac:dyDescent="0.25">
      <c r="A7962" s="447"/>
      <c r="B7962" s="55" t="str">
        <f t="shared" si="506"/>
        <v>ENERO</v>
      </c>
      <c r="C7962" s="55">
        <f t="shared" si="507"/>
        <v>1</v>
      </c>
      <c r="D7962" s="3" t="str">
        <f t="shared" si="508"/>
        <v>SÁBADO</v>
      </c>
      <c r="E7962" s="427"/>
      <c r="F7962" s="31">
        <f>IFERROR(VLOOKUP(E7962,BD!$L$2:$Q$244,2,0),0)</f>
        <v>0</v>
      </c>
      <c r="G7962" s="424"/>
      <c r="H7962" s="31">
        <f>+IFERROR(VLOOKUP(E7962,BD!$L$2:$Q$244,6,0),0)</f>
        <v>0</v>
      </c>
      <c r="I7962" s="626">
        <f>IFERROR(G7962*VLOOKUP($E7962,BD!$L$2:$Q$244,5,0),0)</f>
        <v>0</v>
      </c>
      <c r="J7962" s="3">
        <f t="shared" si="509"/>
        <v>1900</v>
      </c>
    </row>
    <row r="7963" spans="1:10" s="9" customFormat="1" x14ac:dyDescent="0.25">
      <c r="A7963" s="447"/>
      <c r="B7963" s="55" t="str">
        <f t="shared" si="506"/>
        <v>ENERO</v>
      </c>
      <c r="C7963" s="55">
        <f t="shared" si="507"/>
        <v>1</v>
      </c>
      <c r="D7963" s="3" t="str">
        <f t="shared" si="508"/>
        <v>SÁBADO</v>
      </c>
      <c r="E7963" s="427"/>
      <c r="F7963" s="31">
        <f>IFERROR(VLOOKUP(E7963,BD!$L$2:$Q$244,2,0),0)</f>
        <v>0</v>
      </c>
      <c r="G7963" s="425"/>
      <c r="H7963" s="31">
        <f>+IFERROR(VLOOKUP(E7963,BD!$L$2:$Q$244,6,0),0)</f>
        <v>0</v>
      </c>
      <c r="I7963" s="626">
        <f>IFERROR(G7963*VLOOKUP($E7963,BD!$L$2:$Q$244,5,0),0)</f>
        <v>0</v>
      </c>
      <c r="J7963" s="3">
        <f t="shared" si="509"/>
        <v>1900</v>
      </c>
    </row>
    <row r="7964" spans="1:10" s="9" customFormat="1" x14ac:dyDescent="0.25">
      <c r="A7964" s="447"/>
      <c r="B7964" s="55" t="str">
        <f t="shared" si="506"/>
        <v>ENERO</v>
      </c>
      <c r="C7964" s="55">
        <f t="shared" si="507"/>
        <v>1</v>
      </c>
      <c r="D7964" s="3" t="str">
        <f t="shared" si="508"/>
        <v>SÁBADO</v>
      </c>
      <c r="E7964" s="427"/>
      <c r="F7964" s="31">
        <f>IFERROR(VLOOKUP(E7964,BD!$L$2:$Q$244,2,0),0)</f>
        <v>0</v>
      </c>
      <c r="G7964" s="424"/>
      <c r="H7964" s="31">
        <f>+IFERROR(VLOOKUP(E7964,BD!$L$2:$Q$244,6,0),0)</f>
        <v>0</v>
      </c>
      <c r="I7964" s="626">
        <f>IFERROR(G7964*VLOOKUP($E7964,BD!$L$2:$Q$244,5,0),0)</f>
        <v>0</v>
      </c>
      <c r="J7964" s="3">
        <f t="shared" si="509"/>
        <v>1900</v>
      </c>
    </row>
    <row r="7965" spans="1:10" s="9" customFormat="1" x14ac:dyDescent="0.25">
      <c r="A7965" s="447"/>
      <c r="B7965" s="55" t="str">
        <f t="shared" si="506"/>
        <v>ENERO</v>
      </c>
      <c r="C7965" s="55">
        <f t="shared" si="507"/>
        <v>1</v>
      </c>
      <c r="D7965" s="3" t="str">
        <f t="shared" si="508"/>
        <v>SÁBADO</v>
      </c>
      <c r="E7965" s="427"/>
      <c r="F7965" s="31">
        <f>IFERROR(VLOOKUP(E7965,BD!$L$2:$Q$244,2,0),0)</f>
        <v>0</v>
      </c>
      <c r="G7965" s="424"/>
      <c r="H7965" s="31">
        <f>+IFERROR(VLOOKUP(E7965,BD!$L$2:$Q$244,6,0),0)</f>
        <v>0</v>
      </c>
      <c r="I7965" s="626">
        <f>IFERROR(G7965*VLOOKUP($E7965,BD!$L$2:$Q$244,5,0),0)</f>
        <v>0</v>
      </c>
      <c r="J7965" s="3">
        <f t="shared" si="509"/>
        <v>1900</v>
      </c>
    </row>
    <row r="7966" spans="1:10" s="9" customFormat="1" x14ac:dyDescent="0.25">
      <c r="A7966" s="447"/>
      <c r="B7966" s="55" t="str">
        <f t="shared" si="506"/>
        <v>ENERO</v>
      </c>
      <c r="C7966" s="55">
        <f t="shared" si="507"/>
        <v>1</v>
      </c>
      <c r="D7966" s="3" t="str">
        <f t="shared" si="508"/>
        <v>SÁBADO</v>
      </c>
      <c r="E7966" s="427"/>
      <c r="F7966" s="31">
        <f>IFERROR(VLOOKUP(E7966,BD!$L$2:$Q$244,2,0),0)</f>
        <v>0</v>
      </c>
      <c r="G7966" s="424"/>
      <c r="H7966" s="31">
        <f>+IFERROR(VLOOKUP(E7966,BD!$L$2:$Q$244,6,0),0)</f>
        <v>0</v>
      </c>
      <c r="I7966" s="626">
        <f>IFERROR(G7966*VLOOKUP($E7966,BD!$L$2:$Q$244,5,0),0)</f>
        <v>0</v>
      </c>
      <c r="J7966" s="3">
        <f t="shared" si="509"/>
        <v>1900</v>
      </c>
    </row>
    <row r="7967" spans="1:10" s="9" customFormat="1" x14ac:dyDescent="0.25">
      <c r="A7967" s="447"/>
      <c r="B7967" s="55" t="str">
        <f t="shared" si="506"/>
        <v>ENERO</v>
      </c>
      <c r="C7967" s="55">
        <f t="shared" si="507"/>
        <v>1</v>
      </c>
      <c r="D7967" s="3" t="str">
        <f t="shared" si="508"/>
        <v>SÁBADO</v>
      </c>
      <c r="E7967" s="427"/>
      <c r="F7967" s="31">
        <f>IFERROR(VLOOKUP(E7967,BD!$L$2:$Q$244,2,0),0)</f>
        <v>0</v>
      </c>
      <c r="G7967" s="424"/>
      <c r="H7967" s="31">
        <f>+IFERROR(VLOOKUP(E7967,BD!$L$2:$Q$244,6,0),0)</f>
        <v>0</v>
      </c>
      <c r="I7967" s="626">
        <f>IFERROR(G7967*VLOOKUP($E7967,BD!$L$2:$Q$244,5,0),0)</f>
        <v>0</v>
      </c>
      <c r="J7967" s="3">
        <f t="shared" si="509"/>
        <v>1900</v>
      </c>
    </row>
    <row r="7968" spans="1:10" s="9" customFormat="1" x14ac:dyDescent="0.25">
      <c r="A7968" s="447"/>
      <c r="B7968" s="55" t="str">
        <f t="shared" si="506"/>
        <v>ENERO</v>
      </c>
      <c r="C7968" s="55">
        <f t="shared" si="507"/>
        <v>1</v>
      </c>
      <c r="D7968" s="3" t="str">
        <f t="shared" si="508"/>
        <v>SÁBADO</v>
      </c>
      <c r="E7968" s="427"/>
      <c r="F7968" s="31">
        <f>IFERROR(VLOOKUP(E7968,BD!$L$2:$Q$244,2,0),0)</f>
        <v>0</v>
      </c>
      <c r="G7968" s="424"/>
      <c r="H7968" s="31">
        <f>+IFERROR(VLOOKUP(E7968,BD!$L$2:$Q$244,6,0),0)</f>
        <v>0</v>
      </c>
      <c r="I7968" s="626">
        <f>IFERROR(G7968*VLOOKUP($E7968,BD!$L$2:$Q$244,5,0),0)</f>
        <v>0</v>
      </c>
      <c r="J7968" s="3">
        <f t="shared" si="509"/>
        <v>1900</v>
      </c>
    </row>
    <row r="7969" spans="1:10" s="9" customFormat="1" x14ac:dyDescent="0.25">
      <c r="A7969" s="447"/>
      <c r="B7969" s="55" t="str">
        <f t="shared" si="506"/>
        <v>ENERO</v>
      </c>
      <c r="C7969" s="55">
        <f t="shared" si="507"/>
        <v>1</v>
      </c>
      <c r="D7969" s="3" t="str">
        <f t="shared" si="508"/>
        <v>SÁBADO</v>
      </c>
      <c r="E7969" s="427"/>
      <c r="F7969" s="31">
        <f>IFERROR(VLOOKUP(E7969,BD!$L$2:$Q$244,2,0),0)</f>
        <v>0</v>
      </c>
      <c r="G7969" s="424"/>
      <c r="H7969" s="31">
        <f>+IFERROR(VLOOKUP(E7969,BD!$L$2:$Q$244,6,0),0)</f>
        <v>0</v>
      </c>
      <c r="I7969" s="626">
        <f>IFERROR(G7969*VLOOKUP($E7969,BD!$L$2:$Q$244,5,0),0)</f>
        <v>0</v>
      </c>
      <c r="J7969" s="3">
        <f t="shared" si="509"/>
        <v>1900</v>
      </c>
    </row>
    <row r="7970" spans="1:10" s="9" customFormat="1" x14ac:dyDescent="0.25">
      <c r="A7970" s="447"/>
      <c r="B7970" s="55" t="str">
        <f t="shared" si="506"/>
        <v>ENERO</v>
      </c>
      <c r="C7970" s="55">
        <f t="shared" si="507"/>
        <v>1</v>
      </c>
      <c r="D7970" s="3" t="str">
        <f t="shared" si="508"/>
        <v>SÁBADO</v>
      </c>
      <c r="E7970" s="427"/>
      <c r="F7970" s="31">
        <f>IFERROR(VLOOKUP(E7970,BD!$L$2:$Q$244,2,0),0)</f>
        <v>0</v>
      </c>
      <c r="G7970" s="424"/>
      <c r="H7970" s="31">
        <f>+IFERROR(VLOOKUP(E7970,BD!$L$2:$Q$244,6,0),0)</f>
        <v>0</v>
      </c>
      <c r="I7970" s="626">
        <f>IFERROR(G7970*VLOOKUP($E7970,BD!$L$2:$Q$244,5,0),0)</f>
        <v>0</v>
      </c>
      <c r="J7970" s="3">
        <f t="shared" si="509"/>
        <v>1900</v>
      </c>
    </row>
    <row r="7971" spans="1:10" s="9" customFormat="1" x14ac:dyDescent="0.25">
      <c r="A7971" s="447"/>
      <c r="B7971" s="55" t="str">
        <f t="shared" si="506"/>
        <v>ENERO</v>
      </c>
      <c r="C7971" s="55">
        <f t="shared" si="507"/>
        <v>1</v>
      </c>
      <c r="D7971" s="3" t="str">
        <f t="shared" si="508"/>
        <v>SÁBADO</v>
      </c>
      <c r="E7971" s="427"/>
      <c r="F7971" s="31">
        <f>IFERROR(VLOOKUP(E7971,BD!$L$2:$Q$244,2,0),0)</f>
        <v>0</v>
      </c>
      <c r="G7971" s="424"/>
      <c r="H7971" s="31">
        <f>+IFERROR(VLOOKUP(E7971,BD!$L$2:$Q$244,6,0),0)</f>
        <v>0</v>
      </c>
      <c r="I7971" s="626">
        <f>IFERROR(G7971*VLOOKUP($E7971,BD!$L$2:$Q$244,5,0),0)</f>
        <v>0</v>
      </c>
      <c r="J7971" s="3">
        <f t="shared" si="509"/>
        <v>1900</v>
      </c>
    </row>
    <row r="7972" spans="1:10" s="9" customFormat="1" x14ac:dyDescent="0.25">
      <c r="A7972" s="447"/>
      <c r="B7972" s="55" t="str">
        <f t="shared" si="506"/>
        <v>ENERO</v>
      </c>
      <c r="C7972" s="55">
        <f t="shared" si="507"/>
        <v>1</v>
      </c>
      <c r="D7972" s="3" t="str">
        <f t="shared" si="508"/>
        <v>SÁBADO</v>
      </c>
      <c r="E7972" s="427"/>
      <c r="F7972" s="31">
        <f>IFERROR(VLOOKUP(E7972,BD!$L$2:$Q$244,2,0),0)</f>
        <v>0</v>
      </c>
      <c r="G7972" s="424"/>
      <c r="H7972" s="31">
        <f>+IFERROR(VLOOKUP(E7972,BD!$L$2:$Q$244,6,0),0)</f>
        <v>0</v>
      </c>
      <c r="I7972" s="626">
        <f>IFERROR(G7972*VLOOKUP($E7972,BD!$L$2:$Q$244,5,0),0)</f>
        <v>0</v>
      </c>
      <c r="J7972" s="3">
        <f t="shared" si="509"/>
        <v>1900</v>
      </c>
    </row>
    <row r="7973" spans="1:10" s="9" customFormat="1" x14ac:dyDescent="0.25">
      <c r="A7973" s="447"/>
      <c r="B7973" s="55" t="str">
        <f t="shared" si="506"/>
        <v>ENERO</v>
      </c>
      <c r="C7973" s="55">
        <f t="shared" si="507"/>
        <v>1</v>
      </c>
      <c r="D7973" s="3" t="str">
        <f t="shared" si="508"/>
        <v>SÁBADO</v>
      </c>
      <c r="E7973" s="427"/>
      <c r="F7973" s="31">
        <f>IFERROR(VLOOKUP(E7973,BD!$L$2:$Q$244,2,0),0)</f>
        <v>0</v>
      </c>
      <c r="G7973" s="424"/>
      <c r="H7973" s="31">
        <f>+IFERROR(VLOOKUP(E7973,BD!$L$2:$Q$244,6,0),0)</f>
        <v>0</v>
      </c>
      <c r="I7973" s="626">
        <f>IFERROR(G7973*VLOOKUP($E7973,BD!$L$2:$Q$244,5,0),0)</f>
        <v>0</v>
      </c>
      <c r="J7973" s="3">
        <f t="shared" si="509"/>
        <v>1900</v>
      </c>
    </row>
    <row r="7974" spans="1:10" s="9" customFormat="1" x14ac:dyDescent="0.25">
      <c r="A7974" s="447"/>
      <c r="B7974" s="55" t="str">
        <f t="shared" si="506"/>
        <v>ENERO</v>
      </c>
      <c r="C7974" s="55">
        <f t="shared" si="507"/>
        <v>1</v>
      </c>
      <c r="D7974" s="3" t="str">
        <f t="shared" si="508"/>
        <v>SÁBADO</v>
      </c>
      <c r="E7974" s="427"/>
      <c r="F7974" s="31">
        <f>IFERROR(VLOOKUP(E7974,BD!$L$2:$Q$244,2,0),0)</f>
        <v>0</v>
      </c>
      <c r="G7974" s="424"/>
      <c r="H7974" s="31">
        <f>+IFERROR(VLOOKUP(E7974,BD!$L$2:$Q$244,6,0),0)</f>
        <v>0</v>
      </c>
      <c r="I7974" s="626">
        <f>IFERROR(G7974*VLOOKUP($E7974,BD!$L$2:$Q$244,5,0),0)</f>
        <v>0</v>
      </c>
      <c r="J7974" s="3">
        <f t="shared" si="509"/>
        <v>1900</v>
      </c>
    </row>
    <row r="7975" spans="1:10" s="9" customFormat="1" x14ac:dyDescent="0.25">
      <c r="A7975" s="447"/>
      <c r="B7975" s="55" t="str">
        <f t="shared" si="506"/>
        <v>ENERO</v>
      </c>
      <c r="C7975" s="55">
        <f t="shared" si="507"/>
        <v>1</v>
      </c>
      <c r="D7975" s="3" t="str">
        <f t="shared" si="508"/>
        <v>SÁBADO</v>
      </c>
      <c r="E7975" s="427"/>
      <c r="F7975" s="31">
        <f>IFERROR(VLOOKUP(E7975,BD!$L$2:$Q$244,2,0),0)</f>
        <v>0</v>
      </c>
      <c r="G7975" s="424"/>
      <c r="H7975" s="31">
        <f>+IFERROR(VLOOKUP(E7975,BD!$L$2:$Q$244,6,0),0)</f>
        <v>0</v>
      </c>
      <c r="I7975" s="626">
        <f>IFERROR(G7975*VLOOKUP($E7975,BD!$L$2:$Q$244,5,0),0)</f>
        <v>0</v>
      </c>
      <c r="J7975" s="3">
        <f t="shared" si="509"/>
        <v>1900</v>
      </c>
    </row>
    <row r="7976" spans="1:10" s="9" customFormat="1" x14ac:dyDescent="0.25">
      <c r="A7976" s="447"/>
      <c r="B7976" s="55" t="str">
        <f t="shared" si="506"/>
        <v>ENERO</v>
      </c>
      <c r="C7976" s="55">
        <f t="shared" si="507"/>
        <v>1</v>
      </c>
      <c r="D7976" s="3" t="str">
        <f t="shared" si="508"/>
        <v>SÁBADO</v>
      </c>
      <c r="E7976" s="427"/>
      <c r="F7976" s="31">
        <f>IFERROR(VLOOKUP(E7976,BD!$L$2:$Q$244,2,0),0)</f>
        <v>0</v>
      </c>
      <c r="G7976" s="424"/>
      <c r="H7976" s="31">
        <f>+IFERROR(VLOOKUP(E7976,BD!$L$2:$Q$244,6,0),0)</f>
        <v>0</v>
      </c>
      <c r="I7976" s="626">
        <f>IFERROR(G7976*VLOOKUP($E7976,BD!$L$2:$Q$244,5,0),0)</f>
        <v>0</v>
      </c>
      <c r="J7976" s="3">
        <f t="shared" si="509"/>
        <v>1900</v>
      </c>
    </row>
    <row r="7977" spans="1:10" s="9" customFormat="1" x14ac:dyDescent="0.25">
      <c r="A7977" s="447"/>
      <c r="B7977" s="55" t="str">
        <f t="shared" si="506"/>
        <v>ENERO</v>
      </c>
      <c r="C7977" s="55">
        <f t="shared" si="507"/>
        <v>1</v>
      </c>
      <c r="D7977" s="3" t="str">
        <f t="shared" si="508"/>
        <v>SÁBADO</v>
      </c>
      <c r="E7977" s="427"/>
      <c r="F7977" s="31">
        <f>IFERROR(VLOOKUP(E7977,BD!$L$2:$Q$244,2,0),0)</f>
        <v>0</v>
      </c>
      <c r="G7977" s="424"/>
      <c r="H7977" s="31">
        <f>+IFERROR(VLOOKUP(E7977,BD!$L$2:$Q$244,6,0),0)</f>
        <v>0</v>
      </c>
      <c r="I7977" s="626">
        <f>IFERROR(G7977*VLOOKUP($E7977,BD!$L$2:$Q$244,5,0),0)</f>
        <v>0</v>
      </c>
      <c r="J7977" s="3">
        <f t="shared" si="509"/>
        <v>1900</v>
      </c>
    </row>
    <row r="7978" spans="1:10" s="9" customFormat="1" x14ac:dyDescent="0.25">
      <c r="A7978" s="447"/>
      <c r="B7978" s="55" t="str">
        <f t="shared" si="506"/>
        <v>ENERO</v>
      </c>
      <c r="C7978" s="55">
        <f t="shared" si="507"/>
        <v>1</v>
      </c>
      <c r="D7978" s="3" t="str">
        <f t="shared" si="508"/>
        <v>SÁBADO</v>
      </c>
      <c r="E7978" s="427"/>
      <c r="F7978" s="31">
        <f>IFERROR(VLOOKUP(E7978,BD!$L$2:$Q$244,2,0),0)</f>
        <v>0</v>
      </c>
      <c r="G7978" s="424"/>
      <c r="H7978" s="31">
        <f>+IFERROR(VLOOKUP(E7978,BD!$L$2:$Q$244,6,0),0)</f>
        <v>0</v>
      </c>
      <c r="I7978" s="626">
        <f>IFERROR(G7978*VLOOKUP($E7978,BD!$L$2:$Q$244,5,0),0)</f>
        <v>0</v>
      </c>
      <c r="J7978" s="3">
        <f t="shared" si="509"/>
        <v>1900</v>
      </c>
    </row>
    <row r="7979" spans="1:10" s="9" customFormat="1" x14ac:dyDescent="0.25">
      <c r="A7979" s="447"/>
      <c r="B7979" s="55" t="str">
        <f t="shared" si="506"/>
        <v>ENERO</v>
      </c>
      <c r="C7979" s="55">
        <f t="shared" si="507"/>
        <v>1</v>
      </c>
      <c r="D7979" s="3" t="str">
        <f t="shared" si="508"/>
        <v>SÁBADO</v>
      </c>
      <c r="E7979" s="427"/>
      <c r="F7979" s="31">
        <f>IFERROR(VLOOKUP(E7979,BD!$L$2:$Q$244,2,0),0)</f>
        <v>0</v>
      </c>
      <c r="G7979" s="424"/>
      <c r="H7979" s="31">
        <f>+IFERROR(VLOOKUP(E7979,BD!$L$2:$Q$244,6,0),0)</f>
        <v>0</v>
      </c>
      <c r="I7979" s="626">
        <f>IFERROR(G7979*VLOOKUP($E7979,BD!$L$2:$Q$244,5,0),0)</f>
        <v>0</v>
      </c>
      <c r="J7979" s="3">
        <f t="shared" si="509"/>
        <v>1900</v>
      </c>
    </row>
    <row r="7980" spans="1:10" s="9" customFormat="1" x14ac:dyDescent="0.25">
      <c r="A7980" s="447"/>
      <c r="B7980" s="55" t="str">
        <f t="shared" si="506"/>
        <v>ENERO</v>
      </c>
      <c r="C7980" s="55">
        <f t="shared" si="507"/>
        <v>1</v>
      </c>
      <c r="D7980" s="3" t="str">
        <f t="shared" si="508"/>
        <v>SÁBADO</v>
      </c>
      <c r="E7980" s="427"/>
      <c r="F7980" s="31">
        <f>IFERROR(VLOOKUP(E7980,BD!$L$2:$Q$244,2,0),0)</f>
        <v>0</v>
      </c>
      <c r="G7980" s="424"/>
      <c r="H7980" s="31">
        <f>+IFERROR(VLOOKUP(E7980,BD!$L$2:$Q$244,6,0),0)</f>
        <v>0</v>
      </c>
      <c r="I7980" s="626">
        <f>IFERROR(G7980*VLOOKUP($E7980,BD!$L$2:$Q$244,5,0),0)</f>
        <v>0</v>
      </c>
      <c r="J7980" s="3">
        <f t="shared" si="509"/>
        <v>1900</v>
      </c>
    </row>
    <row r="7981" spans="1:10" s="9" customFormat="1" x14ac:dyDescent="0.25">
      <c r="A7981" s="447"/>
      <c r="B7981" s="55" t="str">
        <f t="shared" si="506"/>
        <v>ENERO</v>
      </c>
      <c r="C7981" s="55">
        <f t="shared" si="507"/>
        <v>1</v>
      </c>
      <c r="D7981" s="3" t="str">
        <f t="shared" si="508"/>
        <v>SÁBADO</v>
      </c>
      <c r="E7981" s="427"/>
      <c r="F7981" s="31">
        <f>IFERROR(VLOOKUP(E7981,BD!$L$2:$Q$244,2,0),0)</f>
        <v>0</v>
      </c>
      <c r="G7981" s="424"/>
      <c r="H7981" s="31">
        <f>+IFERROR(VLOOKUP(E7981,BD!$L$2:$Q$244,6,0),0)</f>
        <v>0</v>
      </c>
      <c r="I7981" s="626">
        <f>IFERROR(G7981*VLOOKUP($E7981,BD!$L$2:$Q$244,5,0),0)</f>
        <v>0</v>
      </c>
      <c r="J7981" s="3">
        <f t="shared" si="509"/>
        <v>1900</v>
      </c>
    </row>
    <row r="7982" spans="1:10" s="9" customFormat="1" x14ac:dyDescent="0.25">
      <c r="A7982" s="447"/>
      <c r="B7982" s="55" t="str">
        <f t="shared" si="506"/>
        <v>ENERO</v>
      </c>
      <c r="C7982" s="55">
        <f t="shared" si="507"/>
        <v>1</v>
      </c>
      <c r="D7982" s="3" t="str">
        <f t="shared" si="508"/>
        <v>SÁBADO</v>
      </c>
      <c r="E7982" s="427"/>
      <c r="F7982" s="31">
        <f>IFERROR(VLOOKUP(E7982,BD!$L$2:$Q$244,2,0),0)</f>
        <v>0</v>
      </c>
      <c r="G7982" s="424"/>
      <c r="H7982" s="31">
        <f>+IFERROR(VLOOKUP(E7982,BD!$L$2:$Q$244,6,0),0)</f>
        <v>0</v>
      </c>
      <c r="I7982" s="626">
        <f>IFERROR(G7982*VLOOKUP($E7982,BD!$L$2:$Q$244,5,0),0)</f>
        <v>0</v>
      </c>
      <c r="J7982" s="3">
        <f t="shared" si="509"/>
        <v>1900</v>
      </c>
    </row>
    <row r="7983" spans="1:10" s="9" customFormat="1" x14ac:dyDescent="0.25">
      <c r="A7983" s="447"/>
      <c r="B7983" s="55" t="str">
        <f t="shared" si="506"/>
        <v>ENERO</v>
      </c>
      <c r="C7983" s="55">
        <f t="shared" si="507"/>
        <v>1</v>
      </c>
      <c r="D7983" s="3" t="str">
        <f t="shared" si="508"/>
        <v>SÁBADO</v>
      </c>
      <c r="E7983" s="427"/>
      <c r="F7983" s="31">
        <f>IFERROR(VLOOKUP(E7983,BD!$L$2:$Q$244,2,0),0)</f>
        <v>0</v>
      </c>
      <c r="G7983" s="424"/>
      <c r="H7983" s="31">
        <f>+IFERROR(VLOOKUP(E7983,BD!$L$2:$Q$244,6,0),0)</f>
        <v>0</v>
      </c>
      <c r="I7983" s="626">
        <f>IFERROR(G7983*VLOOKUP($E7983,BD!$L$2:$Q$244,5,0),0)</f>
        <v>0</v>
      </c>
      <c r="J7983" s="3">
        <f t="shared" si="509"/>
        <v>1900</v>
      </c>
    </row>
    <row r="7984" spans="1:10" s="9" customFormat="1" x14ac:dyDescent="0.25">
      <c r="A7984" s="447"/>
      <c r="B7984" s="55" t="str">
        <f t="shared" si="506"/>
        <v>ENERO</v>
      </c>
      <c r="C7984" s="55">
        <f t="shared" si="507"/>
        <v>1</v>
      </c>
      <c r="D7984" s="3" t="str">
        <f t="shared" si="508"/>
        <v>SÁBADO</v>
      </c>
      <c r="E7984" s="427"/>
      <c r="F7984" s="31">
        <f>IFERROR(VLOOKUP(E7984,BD!$L$2:$Q$244,2,0),0)</f>
        <v>0</v>
      </c>
      <c r="G7984" s="424"/>
      <c r="H7984" s="31">
        <f>+IFERROR(VLOOKUP(E7984,BD!$L$2:$Q$244,6,0),0)</f>
        <v>0</v>
      </c>
      <c r="I7984" s="626">
        <f>IFERROR(G7984*VLOOKUP($E7984,BD!$L$2:$Q$244,5,0),0)</f>
        <v>0</v>
      </c>
      <c r="J7984" s="3">
        <f t="shared" si="509"/>
        <v>1900</v>
      </c>
    </row>
    <row r="7985" spans="1:10" s="9" customFormat="1" x14ac:dyDescent="0.25">
      <c r="A7985" s="447"/>
      <c r="B7985" s="55" t="str">
        <f t="shared" si="506"/>
        <v>ENERO</v>
      </c>
      <c r="C7985" s="55">
        <f t="shared" si="507"/>
        <v>1</v>
      </c>
      <c r="D7985" s="3" t="str">
        <f t="shared" si="508"/>
        <v>SÁBADO</v>
      </c>
      <c r="E7985" s="427"/>
      <c r="F7985" s="31">
        <f>IFERROR(VLOOKUP(E7985,BD!$L$2:$Q$244,2,0),0)</f>
        <v>0</v>
      </c>
      <c r="G7985" s="424"/>
      <c r="H7985" s="31">
        <f>+IFERROR(VLOOKUP(E7985,BD!$L$2:$Q$244,6,0),0)</f>
        <v>0</v>
      </c>
      <c r="I7985" s="626">
        <f>IFERROR(G7985*VLOOKUP($E7985,BD!$L$2:$Q$244,5,0),0)</f>
        <v>0</v>
      </c>
      <c r="J7985" s="3">
        <f t="shared" si="509"/>
        <v>1900</v>
      </c>
    </row>
    <row r="7986" spans="1:10" s="9" customFormat="1" x14ac:dyDescent="0.25">
      <c r="A7986" s="447"/>
      <c r="B7986" s="55" t="str">
        <f t="shared" si="506"/>
        <v>ENERO</v>
      </c>
      <c r="C7986" s="55">
        <f t="shared" si="507"/>
        <v>1</v>
      </c>
      <c r="D7986" s="3" t="str">
        <f t="shared" si="508"/>
        <v>SÁBADO</v>
      </c>
      <c r="E7986" s="427"/>
      <c r="F7986" s="31">
        <f>IFERROR(VLOOKUP(E7986,BD!$L$2:$Q$244,2,0),0)</f>
        <v>0</v>
      </c>
      <c r="G7986" s="424"/>
      <c r="H7986" s="31">
        <f>+IFERROR(VLOOKUP(E7986,BD!$L$2:$Q$244,6,0),0)</f>
        <v>0</v>
      </c>
      <c r="I7986" s="626">
        <f>IFERROR(G7986*VLOOKUP($E7986,BD!$L$2:$Q$244,5,0),0)</f>
        <v>0</v>
      </c>
      <c r="J7986" s="3">
        <f t="shared" si="509"/>
        <v>1900</v>
      </c>
    </row>
    <row r="7987" spans="1:10" s="9" customFormat="1" x14ac:dyDescent="0.25">
      <c r="A7987" s="447"/>
      <c r="B7987" s="55" t="str">
        <f t="shared" si="506"/>
        <v>ENERO</v>
      </c>
      <c r="C7987" s="55">
        <f t="shared" si="507"/>
        <v>1</v>
      </c>
      <c r="D7987" s="3" t="str">
        <f t="shared" si="508"/>
        <v>SÁBADO</v>
      </c>
      <c r="E7987" s="427"/>
      <c r="F7987" s="31">
        <f>IFERROR(VLOOKUP(E7987,BD!$L$2:$Q$244,2,0),0)</f>
        <v>0</v>
      </c>
      <c r="G7987" s="424"/>
      <c r="H7987" s="31">
        <f>+IFERROR(VLOOKUP(E7987,BD!$L$2:$Q$244,6,0),0)</f>
        <v>0</v>
      </c>
      <c r="I7987" s="626">
        <f>IFERROR(G7987*VLOOKUP($E7987,BD!$L$2:$Q$244,5,0),0)</f>
        <v>0</v>
      </c>
      <c r="J7987" s="3">
        <f t="shared" si="509"/>
        <v>1900</v>
      </c>
    </row>
    <row r="7988" spans="1:10" s="9" customFormat="1" x14ac:dyDescent="0.25">
      <c r="A7988" s="447"/>
      <c r="B7988" s="55" t="str">
        <f t="shared" si="506"/>
        <v>ENERO</v>
      </c>
      <c r="C7988" s="55">
        <f t="shared" si="507"/>
        <v>1</v>
      </c>
      <c r="D7988" s="3" t="str">
        <f t="shared" si="508"/>
        <v>SÁBADO</v>
      </c>
      <c r="E7988" s="427"/>
      <c r="F7988" s="31">
        <f>IFERROR(VLOOKUP(E7988,BD!$L$2:$Q$244,2,0),0)</f>
        <v>0</v>
      </c>
      <c r="G7988" s="424"/>
      <c r="H7988" s="31">
        <f>+IFERROR(VLOOKUP(E7988,BD!$L$2:$Q$244,6,0),0)</f>
        <v>0</v>
      </c>
      <c r="I7988" s="626">
        <f>IFERROR(G7988*VLOOKUP($E7988,BD!$L$2:$Q$244,5,0),0)</f>
        <v>0</v>
      </c>
      <c r="J7988" s="3">
        <f t="shared" si="509"/>
        <v>1900</v>
      </c>
    </row>
    <row r="7989" spans="1:10" s="9" customFormat="1" x14ac:dyDescent="0.25">
      <c r="A7989" s="447"/>
      <c r="B7989" s="55" t="str">
        <f t="shared" si="506"/>
        <v>ENERO</v>
      </c>
      <c r="C7989" s="55">
        <f t="shared" si="507"/>
        <v>1</v>
      </c>
      <c r="D7989" s="3" t="str">
        <f t="shared" si="508"/>
        <v>SÁBADO</v>
      </c>
      <c r="E7989" s="427"/>
      <c r="F7989" s="31">
        <f>IFERROR(VLOOKUP(E7989,BD!$L$2:$Q$244,2,0),0)</f>
        <v>0</v>
      </c>
      <c r="G7989" s="424"/>
      <c r="H7989" s="31">
        <f>+IFERROR(VLOOKUP(E7989,BD!$L$2:$Q$244,6,0),0)</f>
        <v>0</v>
      </c>
      <c r="I7989" s="626">
        <f>IFERROR(G7989*VLOOKUP($E7989,BD!$L$2:$Q$244,5,0),0)</f>
        <v>0</v>
      </c>
      <c r="J7989" s="3">
        <f t="shared" si="509"/>
        <v>1900</v>
      </c>
    </row>
    <row r="7990" spans="1:10" s="9" customFormat="1" x14ac:dyDescent="0.25">
      <c r="A7990" s="447"/>
      <c r="B7990" s="55" t="str">
        <f t="shared" si="506"/>
        <v>ENERO</v>
      </c>
      <c r="C7990" s="55">
        <f t="shared" si="507"/>
        <v>1</v>
      </c>
      <c r="D7990" s="3" t="str">
        <f t="shared" si="508"/>
        <v>SÁBADO</v>
      </c>
      <c r="E7990" s="427"/>
      <c r="F7990" s="31">
        <f>IFERROR(VLOOKUP(E7990,BD!$L$2:$Q$244,2,0),0)</f>
        <v>0</v>
      </c>
      <c r="G7990" s="424"/>
      <c r="H7990" s="31">
        <f>+IFERROR(VLOOKUP(E7990,BD!$L$2:$Q$244,6,0),0)</f>
        <v>0</v>
      </c>
      <c r="I7990" s="626">
        <f>IFERROR(G7990*VLOOKUP($E7990,BD!$L$2:$Q$244,5,0),0)</f>
        <v>0</v>
      </c>
      <c r="J7990" s="3">
        <f t="shared" si="509"/>
        <v>1900</v>
      </c>
    </row>
    <row r="7991" spans="1:10" s="9" customFormat="1" x14ac:dyDescent="0.25">
      <c r="A7991" s="447"/>
      <c r="B7991" s="55" t="str">
        <f t="shared" si="506"/>
        <v>ENERO</v>
      </c>
      <c r="C7991" s="55">
        <f t="shared" si="507"/>
        <v>1</v>
      </c>
      <c r="D7991" s="3" t="str">
        <f t="shared" si="508"/>
        <v>SÁBADO</v>
      </c>
      <c r="E7991" s="427"/>
      <c r="F7991" s="31">
        <f>IFERROR(VLOOKUP(E7991,BD!$L$2:$Q$244,2,0),0)</f>
        <v>0</v>
      </c>
      <c r="G7991" s="424"/>
      <c r="H7991" s="31">
        <f>+IFERROR(VLOOKUP(E7991,BD!$L$2:$Q$244,6,0),0)</f>
        <v>0</v>
      </c>
      <c r="I7991" s="626">
        <f>IFERROR(G7991*VLOOKUP($E7991,BD!$L$2:$Q$244,5,0),0)</f>
        <v>0</v>
      </c>
      <c r="J7991" s="3">
        <f t="shared" si="509"/>
        <v>1900</v>
      </c>
    </row>
    <row r="7992" spans="1:10" s="9" customFormat="1" x14ac:dyDescent="0.25">
      <c r="A7992" s="447"/>
      <c r="B7992" s="55" t="str">
        <f t="shared" si="506"/>
        <v>ENERO</v>
      </c>
      <c r="C7992" s="55">
        <f t="shared" si="507"/>
        <v>1</v>
      </c>
      <c r="D7992" s="3" t="str">
        <f t="shared" si="508"/>
        <v>SÁBADO</v>
      </c>
      <c r="E7992" s="427"/>
      <c r="F7992" s="31">
        <f>IFERROR(VLOOKUP(E7992,BD!$L$2:$Q$244,2,0),0)</f>
        <v>0</v>
      </c>
      <c r="G7992" s="425"/>
      <c r="H7992" s="31">
        <f>+IFERROR(VLOOKUP(E7992,BD!$L$2:$Q$244,6,0),0)</f>
        <v>0</v>
      </c>
      <c r="I7992" s="626">
        <f>IFERROR(G7992*VLOOKUP($E7992,BD!$L$2:$Q$244,5,0),0)</f>
        <v>0</v>
      </c>
      <c r="J7992" s="3">
        <f t="shared" si="509"/>
        <v>1900</v>
      </c>
    </row>
    <row r="7993" spans="1:10" s="9" customFormat="1" x14ac:dyDescent="0.25">
      <c r="A7993" s="447"/>
      <c r="B7993" s="55" t="str">
        <f t="shared" si="506"/>
        <v>ENERO</v>
      </c>
      <c r="C7993" s="55">
        <f t="shared" si="507"/>
        <v>1</v>
      </c>
      <c r="D7993" s="3" t="str">
        <f t="shared" si="508"/>
        <v>SÁBADO</v>
      </c>
      <c r="E7993" s="427"/>
      <c r="F7993" s="31">
        <f>IFERROR(VLOOKUP(E7993,BD!$L$2:$Q$244,2,0),0)</f>
        <v>0</v>
      </c>
      <c r="G7993" s="424"/>
      <c r="H7993" s="31">
        <f>+IFERROR(VLOOKUP(E7993,BD!$L$2:$Q$244,6,0),0)</f>
        <v>0</v>
      </c>
      <c r="I7993" s="626">
        <f>IFERROR(G7993*VLOOKUP($E7993,BD!$L$2:$Q$244,5,0),0)</f>
        <v>0</v>
      </c>
      <c r="J7993" s="3">
        <f t="shared" si="509"/>
        <v>1900</v>
      </c>
    </row>
    <row r="7994" spans="1:10" s="9" customFormat="1" x14ac:dyDescent="0.25">
      <c r="A7994" s="447"/>
      <c r="B7994" s="55" t="str">
        <f t="shared" si="506"/>
        <v>ENERO</v>
      </c>
      <c r="C7994" s="55">
        <f t="shared" si="507"/>
        <v>1</v>
      </c>
      <c r="D7994" s="3" t="str">
        <f t="shared" si="508"/>
        <v>SÁBADO</v>
      </c>
      <c r="E7994" s="427"/>
      <c r="F7994" s="31">
        <f>IFERROR(VLOOKUP(E7994,BD!$L$2:$Q$244,2,0),0)</f>
        <v>0</v>
      </c>
      <c r="G7994" s="424"/>
      <c r="H7994" s="31">
        <f>+IFERROR(VLOOKUP(E7994,BD!$L$2:$Q$244,6,0),0)</f>
        <v>0</v>
      </c>
      <c r="I7994" s="626">
        <f>IFERROR(G7994*VLOOKUP($E7994,BD!$L$2:$Q$244,5,0),0)</f>
        <v>0</v>
      </c>
      <c r="J7994" s="3">
        <f t="shared" si="509"/>
        <v>1900</v>
      </c>
    </row>
    <row r="7995" spans="1:10" s="9" customFormat="1" x14ac:dyDescent="0.25">
      <c r="A7995" s="447"/>
      <c r="B7995" s="55" t="str">
        <f t="shared" si="506"/>
        <v>ENERO</v>
      </c>
      <c r="C7995" s="55">
        <f t="shared" si="507"/>
        <v>1</v>
      </c>
      <c r="D7995" s="3" t="str">
        <f t="shared" si="508"/>
        <v>SÁBADO</v>
      </c>
      <c r="E7995" s="427"/>
      <c r="F7995" s="31">
        <f>IFERROR(VLOOKUP(E7995,BD!$L$2:$Q$244,2,0),0)</f>
        <v>0</v>
      </c>
      <c r="G7995" s="424"/>
      <c r="H7995" s="31">
        <f>+IFERROR(VLOOKUP(E7995,BD!$L$2:$Q$244,6,0),0)</f>
        <v>0</v>
      </c>
      <c r="I7995" s="626">
        <f>IFERROR(G7995*VLOOKUP($E7995,BD!$L$2:$Q$244,5,0),0)</f>
        <v>0</v>
      </c>
      <c r="J7995" s="3">
        <f t="shared" si="509"/>
        <v>1900</v>
      </c>
    </row>
    <row r="7996" spans="1:10" s="9" customFormat="1" x14ac:dyDescent="0.25">
      <c r="A7996" s="447"/>
      <c r="B7996" s="55" t="str">
        <f t="shared" si="506"/>
        <v>ENERO</v>
      </c>
      <c r="C7996" s="55">
        <f t="shared" si="507"/>
        <v>1</v>
      </c>
      <c r="D7996" s="3" t="str">
        <f t="shared" si="508"/>
        <v>SÁBADO</v>
      </c>
      <c r="E7996" s="427"/>
      <c r="F7996" s="31">
        <f>IFERROR(VLOOKUP(E7996,BD!$L$2:$Q$244,2,0),0)</f>
        <v>0</v>
      </c>
      <c r="G7996" s="424"/>
      <c r="H7996" s="31">
        <f>+IFERROR(VLOOKUP(E7996,BD!$L$2:$Q$244,6,0),0)</f>
        <v>0</v>
      </c>
      <c r="I7996" s="626">
        <f>IFERROR(G7996*VLOOKUP($E7996,BD!$L$2:$Q$244,5,0),0)</f>
        <v>0</v>
      </c>
      <c r="J7996" s="3">
        <f t="shared" si="509"/>
        <v>1900</v>
      </c>
    </row>
    <row r="7997" spans="1:10" s="9" customFormat="1" x14ac:dyDescent="0.25">
      <c r="A7997" s="447"/>
      <c r="B7997" s="55" t="str">
        <f t="shared" si="506"/>
        <v>ENERO</v>
      </c>
      <c r="C7997" s="55">
        <f t="shared" si="507"/>
        <v>1</v>
      </c>
      <c r="D7997" s="3" t="str">
        <f t="shared" si="508"/>
        <v>SÁBADO</v>
      </c>
      <c r="E7997" s="427"/>
      <c r="F7997" s="31">
        <f>IFERROR(VLOOKUP(E7997,BD!$L$2:$Q$244,2,0),0)</f>
        <v>0</v>
      </c>
      <c r="G7997" s="424"/>
      <c r="H7997" s="31">
        <f>+IFERROR(VLOOKUP(E7997,BD!$L$2:$Q$244,6,0),0)</f>
        <v>0</v>
      </c>
      <c r="I7997" s="626">
        <f>IFERROR(G7997*VLOOKUP($E7997,BD!$L$2:$Q$244,5,0),0)</f>
        <v>0</v>
      </c>
      <c r="J7997" s="3">
        <f t="shared" si="509"/>
        <v>1900</v>
      </c>
    </row>
    <row r="7998" spans="1:10" s="9" customFormat="1" x14ac:dyDescent="0.25">
      <c r="A7998" s="447"/>
      <c r="B7998" s="55" t="str">
        <f t="shared" si="506"/>
        <v>ENERO</v>
      </c>
      <c r="C7998" s="55">
        <f t="shared" si="507"/>
        <v>1</v>
      </c>
      <c r="D7998" s="3" t="str">
        <f t="shared" si="508"/>
        <v>SÁBADO</v>
      </c>
      <c r="E7998" s="427"/>
      <c r="F7998" s="31">
        <f>IFERROR(VLOOKUP(E7998,BD!$L$2:$Q$244,2,0),0)</f>
        <v>0</v>
      </c>
      <c r="G7998" s="424"/>
      <c r="H7998" s="31">
        <f>+IFERROR(VLOOKUP(E7998,BD!$L$2:$Q$244,6,0),0)</f>
        <v>0</v>
      </c>
      <c r="I7998" s="626">
        <f>IFERROR(G7998*VLOOKUP($E7998,BD!$L$2:$Q$244,5,0),0)</f>
        <v>0</v>
      </c>
      <c r="J7998" s="3">
        <f t="shared" si="509"/>
        <v>1900</v>
      </c>
    </row>
    <row r="7999" spans="1:10" s="9" customFormat="1" x14ac:dyDescent="0.25">
      <c r="A7999" s="447"/>
      <c r="B7999" s="55" t="str">
        <f t="shared" si="506"/>
        <v>ENERO</v>
      </c>
      <c r="C7999" s="55">
        <f t="shared" si="507"/>
        <v>1</v>
      </c>
      <c r="D7999" s="3" t="str">
        <f t="shared" si="508"/>
        <v>SÁBADO</v>
      </c>
      <c r="E7999" s="427"/>
      <c r="F7999" s="31">
        <f>IFERROR(VLOOKUP(E7999,BD!$L$2:$Q$244,2,0),0)</f>
        <v>0</v>
      </c>
      <c r="G7999" s="425"/>
      <c r="H7999" s="31">
        <f>+IFERROR(VLOOKUP(E7999,BD!$L$2:$Q$244,6,0),0)</f>
        <v>0</v>
      </c>
      <c r="I7999" s="626">
        <f>IFERROR(G7999*VLOOKUP($E7999,BD!$L$2:$Q$244,5,0),0)</f>
        <v>0</v>
      </c>
      <c r="J7999" s="3">
        <f t="shared" si="509"/>
        <v>1900</v>
      </c>
    </row>
    <row r="8000" spans="1:10" s="9" customFormat="1" x14ac:dyDescent="0.25">
      <c r="A8000" s="447"/>
      <c r="B8000" s="55" t="str">
        <f t="shared" si="506"/>
        <v>ENERO</v>
      </c>
      <c r="C8000" s="55">
        <f t="shared" si="507"/>
        <v>1</v>
      </c>
      <c r="D8000" s="3" t="str">
        <f t="shared" si="508"/>
        <v>SÁBADO</v>
      </c>
      <c r="E8000" s="427"/>
      <c r="F8000" s="31">
        <f>IFERROR(VLOOKUP(E8000,BD!$L$2:$Q$244,2,0),0)</f>
        <v>0</v>
      </c>
      <c r="G8000" s="424"/>
      <c r="H8000" s="31">
        <f>+IFERROR(VLOOKUP(E8000,BD!$L$2:$Q$244,6,0),0)</f>
        <v>0</v>
      </c>
      <c r="I8000" s="626">
        <f>IFERROR(G8000*VLOOKUP($E8000,BD!$L$2:$Q$244,5,0),0)</f>
        <v>0</v>
      </c>
      <c r="J8000" s="3">
        <f t="shared" si="509"/>
        <v>1900</v>
      </c>
    </row>
    <row r="8001" spans="1:10" s="9" customFormat="1" x14ac:dyDescent="0.25">
      <c r="A8001" s="447"/>
      <c r="B8001" s="55" t="str">
        <f t="shared" si="506"/>
        <v>ENERO</v>
      </c>
      <c r="C8001" s="55">
        <f t="shared" si="507"/>
        <v>1</v>
      </c>
      <c r="D8001" s="3" t="str">
        <f t="shared" si="508"/>
        <v>SÁBADO</v>
      </c>
      <c r="E8001" s="427"/>
      <c r="F8001" s="31">
        <f>IFERROR(VLOOKUP(E8001,BD!$L$2:$Q$244,2,0),0)</f>
        <v>0</v>
      </c>
      <c r="G8001" s="424"/>
      <c r="H8001" s="31">
        <f>+IFERROR(VLOOKUP(E8001,BD!$L$2:$Q$244,6,0),0)</f>
        <v>0</v>
      </c>
      <c r="I8001" s="626">
        <f>IFERROR(G8001*VLOOKUP($E8001,BD!$L$2:$Q$244,5,0),0)</f>
        <v>0</v>
      </c>
      <c r="J8001" s="3">
        <f t="shared" si="509"/>
        <v>1900</v>
      </c>
    </row>
    <row r="8002" spans="1:10" s="9" customFormat="1" x14ac:dyDescent="0.25">
      <c r="A8002" s="447"/>
      <c r="B8002" s="55" t="str">
        <f t="shared" si="506"/>
        <v>ENERO</v>
      </c>
      <c r="C8002" s="55">
        <f t="shared" si="507"/>
        <v>1</v>
      </c>
      <c r="D8002" s="3" t="str">
        <f t="shared" si="508"/>
        <v>SÁBADO</v>
      </c>
      <c r="E8002" s="427"/>
      <c r="F8002" s="31">
        <f>IFERROR(VLOOKUP(E8002,BD!$L$2:$Q$244,2,0),0)</f>
        <v>0</v>
      </c>
      <c r="G8002" s="425"/>
      <c r="H8002" s="31">
        <f>+IFERROR(VLOOKUP(E8002,BD!$L$2:$Q$244,6,0),0)</f>
        <v>0</v>
      </c>
      <c r="I8002" s="626">
        <f>IFERROR(G8002*VLOOKUP($E8002,BD!$L$2:$Q$244,5,0),0)</f>
        <v>0</v>
      </c>
      <c r="J8002" s="3">
        <f t="shared" si="509"/>
        <v>1900</v>
      </c>
    </row>
    <row r="8003" spans="1:10" s="9" customFormat="1" x14ac:dyDescent="0.25">
      <c r="A8003" s="447"/>
      <c r="B8003" s="55" t="str">
        <f t="shared" si="506"/>
        <v>ENERO</v>
      </c>
      <c r="C8003" s="55">
        <f t="shared" si="507"/>
        <v>1</v>
      </c>
      <c r="D8003" s="3" t="str">
        <f t="shared" si="508"/>
        <v>SÁBADO</v>
      </c>
      <c r="E8003" s="427"/>
      <c r="F8003" s="31">
        <f>IFERROR(VLOOKUP(E8003,BD!$L$2:$Q$244,2,0),0)</f>
        <v>0</v>
      </c>
      <c r="G8003" s="424"/>
      <c r="H8003" s="31">
        <f>+IFERROR(VLOOKUP(E8003,BD!$L$2:$Q$244,6,0),0)</f>
        <v>0</v>
      </c>
      <c r="I8003" s="626">
        <f>IFERROR(G8003*VLOOKUP($E8003,BD!$L$2:$Q$244,5,0),0)</f>
        <v>0</v>
      </c>
      <c r="J8003" s="3">
        <f t="shared" si="509"/>
        <v>1900</v>
      </c>
    </row>
    <row r="8004" spans="1:10" s="9" customFormat="1" x14ac:dyDescent="0.25">
      <c r="A8004" s="447"/>
      <c r="B8004" s="55" t="str">
        <f t="shared" si="506"/>
        <v>ENERO</v>
      </c>
      <c r="C8004" s="55">
        <f t="shared" si="507"/>
        <v>1</v>
      </c>
      <c r="D8004" s="3" t="str">
        <f t="shared" si="508"/>
        <v>SÁBADO</v>
      </c>
      <c r="E8004" s="427"/>
      <c r="F8004" s="31">
        <f>IFERROR(VLOOKUP(E8004,BD!$L$2:$Q$244,2,0),0)</f>
        <v>0</v>
      </c>
      <c r="G8004" s="424"/>
      <c r="H8004" s="31">
        <f>+IFERROR(VLOOKUP(E8004,BD!$L$2:$Q$244,6,0),0)</f>
        <v>0</v>
      </c>
      <c r="I8004" s="626">
        <f>IFERROR(G8004*VLOOKUP($E8004,BD!$L$2:$Q$244,5,0),0)</f>
        <v>0</v>
      </c>
      <c r="J8004" s="3">
        <f t="shared" si="509"/>
        <v>1900</v>
      </c>
    </row>
    <row r="8005" spans="1:10" s="9" customFormat="1" x14ac:dyDescent="0.25">
      <c r="A8005" s="447"/>
      <c r="B8005" s="55" t="str">
        <f t="shared" si="506"/>
        <v>ENERO</v>
      </c>
      <c r="C8005" s="55">
        <f t="shared" si="507"/>
        <v>1</v>
      </c>
      <c r="D8005" s="3" t="str">
        <f t="shared" si="508"/>
        <v>SÁBADO</v>
      </c>
      <c r="E8005" s="427"/>
      <c r="F8005" s="31">
        <f>IFERROR(VLOOKUP(E8005,BD!$L$2:$Q$244,2,0),0)</f>
        <v>0</v>
      </c>
      <c r="G8005" s="424"/>
      <c r="H8005" s="31">
        <f>+IFERROR(VLOOKUP(E8005,BD!$L$2:$Q$244,6,0),0)</f>
        <v>0</v>
      </c>
      <c r="I8005" s="626">
        <f>IFERROR(G8005*VLOOKUP($E8005,BD!$L$2:$Q$244,5,0),0)</f>
        <v>0</v>
      </c>
      <c r="J8005" s="3">
        <f t="shared" si="509"/>
        <v>1900</v>
      </c>
    </row>
    <row r="8006" spans="1:10" s="9" customFormat="1" x14ac:dyDescent="0.25">
      <c r="A8006" s="447"/>
      <c r="B8006" s="55" t="str">
        <f t="shared" si="506"/>
        <v>ENERO</v>
      </c>
      <c r="C8006" s="55">
        <f t="shared" si="507"/>
        <v>1</v>
      </c>
      <c r="D8006" s="3" t="str">
        <f t="shared" si="508"/>
        <v>SÁBADO</v>
      </c>
      <c r="E8006" s="427"/>
      <c r="F8006" s="31">
        <f>IFERROR(VLOOKUP(E8006,BD!$L$2:$Q$244,2,0),0)</f>
        <v>0</v>
      </c>
      <c r="G8006" s="424"/>
      <c r="H8006" s="31">
        <f>+IFERROR(VLOOKUP(E8006,BD!$L$2:$Q$244,6,0),0)</f>
        <v>0</v>
      </c>
      <c r="I8006" s="626">
        <f>IFERROR(G8006*VLOOKUP($E8006,BD!$L$2:$Q$244,5,0),0)</f>
        <v>0</v>
      </c>
      <c r="J8006" s="3">
        <f t="shared" si="509"/>
        <v>1900</v>
      </c>
    </row>
    <row r="8007" spans="1:10" s="9" customFormat="1" x14ac:dyDescent="0.25">
      <c r="A8007" s="447"/>
      <c r="B8007" s="55" t="str">
        <f t="shared" si="506"/>
        <v>ENERO</v>
      </c>
      <c r="C8007" s="55">
        <f t="shared" si="507"/>
        <v>1</v>
      </c>
      <c r="D8007" s="3" t="str">
        <f t="shared" si="508"/>
        <v>SÁBADO</v>
      </c>
      <c r="E8007" s="427"/>
      <c r="F8007" s="31">
        <f>IFERROR(VLOOKUP(E8007,BD!$L$2:$Q$244,2,0),0)</f>
        <v>0</v>
      </c>
      <c r="G8007" s="424"/>
      <c r="H8007" s="31">
        <f>+IFERROR(VLOOKUP(E8007,BD!$L$2:$Q$244,6,0),0)</f>
        <v>0</v>
      </c>
      <c r="I8007" s="626">
        <f>IFERROR(G8007*VLOOKUP($E8007,BD!$L$2:$Q$244,5,0),0)</f>
        <v>0</v>
      </c>
      <c r="J8007" s="3">
        <f t="shared" si="509"/>
        <v>1900</v>
      </c>
    </row>
    <row r="8008" spans="1:10" s="9" customFormat="1" x14ac:dyDescent="0.25">
      <c r="A8008" s="447"/>
      <c r="B8008" s="55" t="str">
        <f t="shared" si="506"/>
        <v>ENERO</v>
      </c>
      <c r="C8008" s="55">
        <f t="shared" si="507"/>
        <v>1</v>
      </c>
      <c r="D8008" s="3" t="str">
        <f t="shared" si="508"/>
        <v>SÁBADO</v>
      </c>
      <c r="E8008" s="427"/>
      <c r="F8008" s="31">
        <f>IFERROR(VLOOKUP(E8008,BD!$L$2:$Q$244,2,0),0)</f>
        <v>0</v>
      </c>
      <c r="G8008" s="424"/>
      <c r="H8008" s="31">
        <f>+IFERROR(VLOOKUP(E8008,BD!$L$2:$Q$244,6,0),0)</f>
        <v>0</v>
      </c>
      <c r="I8008" s="626">
        <f>IFERROR(G8008*VLOOKUP($E8008,BD!$L$2:$Q$244,5,0),0)</f>
        <v>0</v>
      </c>
      <c r="J8008" s="3">
        <f t="shared" si="509"/>
        <v>1900</v>
      </c>
    </row>
    <row r="8009" spans="1:10" s="9" customFormat="1" x14ac:dyDescent="0.25">
      <c r="A8009" s="447"/>
      <c r="B8009" s="55" t="str">
        <f t="shared" si="506"/>
        <v>ENERO</v>
      </c>
      <c r="C8009" s="55">
        <f t="shared" si="507"/>
        <v>1</v>
      </c>
      <c r="D8009" s="3" t="str">
        <f t="shared" si="508"/>
        <v>SÁBADO</v>
      </c>
      <c r="E8009" s="427"/>
      <c r="F8009" s="31">
        <f>IFERROR(VLOOKUP(E8009,BD!$L$2:$Q$244,2,0),0)</f>
        <v>0</v>
      </c>
      <c r="G8009" s="424"/>
      <c r="H8009" s="31">
        <f>+IFERROR(VLOOKUP(E8009,BD!$L$2:$Q$244,6,0),0)</f>
        <v>0</v>
      </c>
      <c r="I8009" s="626">
        <f>IFERROR(G8009*VLOOKUP($E8009,BD!$L$2:$Q$244,5,0),0)</f>
        <v>0</v>
      </c>
      <c r="J8009" s="3">
        <f t="shared" si="509"/>
        <v>1900</v>
      </c>
    </row>
    <row r="8010" spans="1:10" s="9" customFormat="1" x14ac:dyDescent="0.25">
      <c r="A8010" s="447"/>
      <c r="B8010" s="55" t="str">
        <f t="shared" si="506"/>
        <v>ENERO</v>
      </c>
      <c r="C8010" s="55">
        <f t="shared" si="507"/>
        <v>1</v>
      </c>
      <c r="D8010" s="3" t="str">
        <f t="shared" si="508"/>
        <v>SÁBADO</v>
      </c>
      <c r="E8010" s="427"/>
      <c r="F8010" s="31">
        <f>IFERROR(VLOOKUP(E8010,BD!$L$2:$Q$244,2,0),0)</f>
        <v>0</v>
      </c>
      <c r="G8010" s="424"/>
      <c r="H8010" s="31">
        <f>+IFERROR(VLOOKUP(E8010,BD!$L$2:$Q$244,6,0),0)</f>
        <v>0</v>
      </c>
      <c r="I8010" s="626">
        <f>IFERROR(G8010*VLOOKUP($E8010,BD!$L$2:$Q$244,5,0),0)</f>
        <v>0</v>
      </c>
      <c r="J8010" s="3">
        <f t="shared" si="509"/>
        <v>1900</v>
      </c>
    </row>
    <row r="8011" spans="1:10" s="9" customFormat="1" x14ac:dyDescent="0.25">
      <c r="A8011" s="447"/>
      <c r="B8011" s="55" t="str">
        <f t="shared" si="506"/>
        <v>ENERO</v>
      </c>
      <c r="C8011" s="55">
        <f t="shared" si="507"/>
        <v>1</v>
      </c>
      <c r="D8011" s="3" t="str">
        <f t="shared" si="508"/>
        <v>SÁBADO</v>
      </c>
      <c r="E8011" s="427"/>
      <c r="F8011" s="31">
        <f>IFERROR(VLOOKUP(E8011,BD!$L$2:$Q$244,2,0),0)</f>
        <v>0</v>
      </c>
      <c r="G8011" s="424"/>
      <c r="H8011" s="31">
        <f>+IFERROR(VLOOKUP(E8011,BD!$L$2:$Q$244,6,0),0)</f>
        <v>0</v>
      </c>
      <c r="I8011" s="626">
        <f>IFERROR(G8011*VLOOKUP($E8011,BD!$L$2:$Q$244,5,0),0)</f>
        <v>0</v>
      </c>
      <c r="J8011" s="3">
        <f t="shared" si="509"/>
        <v>1900</v>
      </c>
    </row>
    <row r="8012" spans="1:10" s="9" customFormat="1" x14ac:dyDescent="0.25">
      <c r="A8012" s="447"/>
      <c r="B8012" s="55" t="str">
        <f t="shared" si="506"/>
        <v>ENERO</v>
      </c>
      <c r="C8012" s="55">
        <f t="shared" si="507"/>
        <v>1</v>
      </c>
      <c r="D8012" s="3" t="str">
        <f t="shared" si="508"/>
        <v>SÁBADO</v>
      </c>
      <c r="E8012" s="427"/>
      <c r="F8012" s="31">
        <f>IFERROR(VLOOKUP(E8012,BD!$L$2:$Q$244,2,0),0)</f>
        <v>0</v>
      </c>
      <c r="G8012" s="424"/>
      <c r="H8012" s="31">
        <f>+IFERROR(VLOOKUP(E8012,BD!$L$2:$Q$244,6,0),0)</f>
        <v>0</v>
      </c>
      <c r="I8012" s="626">
        <f>IFERROR(G8012*VLOOKUP($E8012,BD!$L$2:$Q$244,5,0),0)</f>
        <v>0</v>
      </c>
      <c r="J8012" s="3">
        <f t="shared" si="509"/>
        <v>1900</v>
      </c>
    </row>
    <row r="8013" spans="1:10" s="9" customFormat="1" x14ac:dyDescent="0.25">
      <c r="A8013" s="447"/>
      <c r="B8013" s="55" t="str">
        <f t="shared" si="506"/>
        <v>ENERO</v>
      </c>
      <c r="C8013" s="55">
        <f t="shared" si="507"/>
        <v>1</v>
      </c>
      <c r="D8013" s="3" t="str">
        <f t="shared" si="508"/>
        <v>SÁBADO</v>
      </c>
      <c r="E8013" s="427"/>
      <c r="F8013" s="31">
        <f>IFERROR(VLOOKUP(E8013,BD!$L$2:$Q$244,2,0),0)</f>
        <v>0</v>
      </c>
      <c r="G8013" s="424"/>
      <c r="H8013" s="31">
        <f>+IFERROR(VLOOKUP(E8013,BD!$L$2:$Q$244,6,0),0)</f>
        <v>0</v>
      </c>
      <c r="I8013" s="626">
        <f>IFERROR(G8013*VLOOKUP($E8013,BD!$L$2:$Q$244,5,0),0)</f>
        <v>0</v>
      </c>
      <c r="J8013" s="3">
        <f t="shared" si="509"/>
        <v>1900</v>
      </c>
    </row>
    <row r="8014" spans="1:10" s="9" customFormat="1" x14ac:dyDescent="0.25">
      <c r="A8014" s="447"/>
      <c r="B8014" s="55" t="str">
        <f t="shared" si="506"/>
        <v>ENERO</v>
      </c>
      <c r="C8014" s="55">
        <f t="shared" si="507"/>
        <v>1</v>
      </c>
      <c r="D8014" s="3" t="str">
        <f t="shared" si="508"/>
        <v>SÁBADO</v>
      </c>
      <c r="E8014" s="427"/>
      <c r="F8014" s="31">
        <f>IFERROR(VLOOKUP(E8014,BD!$L$2:$Q$244,2,0),0)</f>
        <v>0</v>
      </c>
      <c r="G8014" s="424"/>
      <c r="H8014" s="31">
        <f>+IFERROR(VLOOKUP(E8014,BD!$L$2:$Q$244,6,0),0)</f>
        <v>0</v>
      </c>
      <c r="I8014" s="626">
        <f>IFERROR(G8014*VLOOKUP($E8014,BD!$L$2:$Q$244,5,0),0)</f>
        <v>0</v>
      </c>
      <c r="J8014" s="3">
        <f t="shared" si="509"/>
        <v>1900</v>
      </c>
    </row>
    <row r="8015" spans="1:10" s="9" customFormat="1" x14ac:dyDescent="0.25">
      <c r="A8015" s="447"/>
      <c r="B8015" s="55" t="str">
        <f t="shared" si="506"/>
        <v>ENERO</v>
      </c>
      <c r="C8015" s="55">
        <f t="shared" si="507"/>
        <v>1</v>
      </c>
      <c r="D8015" s="3" t="str">
        <f t="shared" si="508"/>
        <v>SÁBADO</v>
      </c>
      <c r="E8015" s="427"/>
      <c r="F8015" s="31">
        <f>IFERROR(VLOOKUP(E8015,BD!$L$2:$Q$244,2,0),0)</f>
        <v>0</v>
      </c>
      <c r="G8015" s="424"/>
      <c r="H8015" s="31">
        <f>+IFERROR(VLOOKUP(E8015,BD!$L$2:$Q$244,6,0),0)</f>
        <v>0</v>
      </c>
      <c r="I8015" s="626">
        <f>IFERROR(G8015*VLOOKUP($E8015,BD!$L$2:$Q$244,5,0),0)</f>
        <v>0</v>
      </c>
      <c r="J8015" s="3">
        <f t="shared" si="509"/>
        <v>1900</v>
      </c>
    </row>
    <row r="8016" spans="1:10" s="9" customFormat="1" x14ac:dyDescent="0.25">
      <c r="A8016" s="447"/>
      <c r="B8016" s="55" t="str">
        <f t="shared" si="506"/>
        <v>ENERO</v>
      </c>
      <c r="C8016" s="55">
        <f t="shared" si="507"/>
        <v>1</v>
      </c>
      <c r="D8016" s="3" t="str">
        <f t="shared" si="508"/>
        <v>SÁBADO</v>
      </c>
      <c r="E8016" s="427"/>
      <c r="F8016" s="31">
        <f>IFERROR(VLOOKUP(E8016,BD!$L$2:$Q$244,2,0),0)</f>
        <v>0</v>
      </c>
      <c r="G8016" s="424"/>
      <c r="H8016" s="31">
        <f>+IFERROR(VLOOKUP(E8016,BD!$L$2:$Q$244,6,0),0)</f>
        <v>0</v>
      </c>
      <c r="I8016" s="626">
        <f>IFERROR(G8016*VLOOKUP($E8016,BD!$L$2:$Q$244,5,0),0)</f>
        <v>0</v>
      </c>
      <c r="J8016" s="3">
        <f t="shared" si="509"/>
        <v>1900</v>
      </c>
    </row>
    <row r="8017" spans="1:10" s="9" customFormat="1" x14ac:dyDescent="0.25">
      <c r="A8017" s="447"/>
      <c r="B8017" s="55" t="str">
        <f t="shared" si="506"/>
        <v>ENERO</v>
      </c>
      <c r="C8017" s="55">
        <f t="shared" si="507"/>
        <v>1</v>
      </c>
      <c r="D8017" s="3" t="str">
        <f t="shared" si="508"/>
        <v>SÁBADO</v>
      </c>
      <c r="E8017" s="427"/>
      <c r="F8017" s="31">
        <f>IFERROR(VLOOKUP(E8017,BD!$L$2:$Q$244,2,0),0)</f>
        <v>0</v>
      </c>
      <c r="G8017" s="424"/>
      <c r="H8017" s="31">
        <f>+IFERROR(VLOOKUP(E8017,BD!$L$2:$Q$244,6,0),0)</f>
        <v>0</v>
      </c>
      <c r="I8017" s="626">
        <f>IFERROR(G8017*VLOOKUP($E8017,BD!$L$2:$Q$244,5,0),0)</f>
        <v>0</v>
      </c>
      <c r="J8017" s="3">
        <f t="shared" si="509"/>
        <v>1900</v>
      </c>
    </row>
    <row r="8018" spans="1:10" s="9" customFormat="1" x14ac:dyDescent="0.25">
      <c r="A8018" s="447"/>
      <c r="B8018" s="55" t="str">
        <f t="shared" si="506"/>
        <v>ENERO</v>
      </c>
      <c r="C8018" s="55">
        <f t="shared" si="507"/>
        <v>1</v>
      </c>
      <c r="D8018" s="3" t="str">
        <f t="shared" si="508"/>
        <v>SÁBADO</v>
      </c>
      <c r="E8018" s="427"/>
      <c r="F8018" s="31">
        <f>IFERROR(VLOOKUP(E8018,BD!$L$2:$Q$244,2,0),0)</f>
        <v>0</v>
      </c>
      <c r="G8018" s="424"/>
      <c r="H8018" s="31">
        <f>+IFERROR(VLOOKUP(E8018,BD!$L$2:$Q$244,6,0),0)</f>
        <v>0</v>
      </c>
      <c r="I8018" s="626">
        <f>IFERROR(G8018*VLOOKUP($E8018,BD!$L$2:$Q$244,5,0),0)</f>
        <v>0</v>
      </c>
      <c r="J8018" s="3">
        <f t="shared" si="509"/>
        <v>1900</v>
      </c>
    </row>
    <row r="8019" spans="1:10" s="9" customFormat="1" x14ac:dyDescent="0.25">
      <c r="A8019" s="447"/>
      <c r="B8019" s="55" t="str">
        <f t="shared" si="506"/>
        <v>ENERO</v>
      </c>
      <c r="C8019" s="55">
        <f t="shared" si="507"/>
        <v>1</v>
      </c>
      <c r="D8019" s="3" t="str">
        <f t="shared" si="508"/>
        <v>SÁBADO</v>
      </c>
      <c r="E8019" s="427"/>
      <c r="F8019" s="31">
        <f>IFERROR(VLOOKUP(E8019,BD!$L$2:$Q$244,2,0),0)</f>
        <v>0</v>
      </c>
      <c r="G8019" s="424"/>
      <c r="H8019" s="31">
        <f>+IFERROR(VLOOKUP(E8019,BD!$L$2:$Q$244,6,0),0)</f>
        <v>0</v>
      </c>
      <c r="I8019" s="626">
        <f>IFERROR(G8019*VLOOKUP($E8019,BD!$L$2:$Q$244,5,0),0)</f>
        <v>0</v>
      </c>
      <c r="J8019" s="3">
        <f t="shared" si="509"/>
        <v>1900</v>
      </c>
    </row>
    <row r="8020" spans="1:10" s="9" customFormat="1" x14ac:dyDescent="0.25">
      <c r="A8020" s="447"/>
      <c r="B8020" s="55" t="str">
        <f t="shared" si="506"/>
        <v>ENERO</v>
      </c>
      <c r="C8020" s="55">
        <f t="shared" si="507"/>
        <v>1</v>
      </c>
      <c r="D8020" s="3" t="str">
        <f t="shared" si="508"/>
        <v>SÁBADO</v>
      </c>
      <c r="E8020" s="427"/>
      <c r="F8020" s="31">
        <f>IFERROR(VLOOKUP(E8020,BD!$L$2:$Q$244,2,0),0)</f>
        <v>0</v>
      </c>
      <c r="G8020" s="424"/>
      <c r="H8020" s="31">
        <f>+IFERROR(VLOOKUP(E8020,BD!$L$2:$Q$244,6,0),0)</f>
        <v>0</v>
      </c>
      <c r="I8020" s="626">
        <f>IFERROR(G8020*VLOOKUP($E8020,BD!$L$2:$Q$244,5,0),0)</f>
        <v>0</v>
      </c>
      <c r="J8020" s="3">
        <f t="shared" si="509"/>
        <v>1900</v>
      </c>
    </row>
    <row r="8021" spans="1:10" s="9" customFormat="1" x14ac:dyDescent="0.25">
      <c r="A8021" s="447"/>
      <c r="B8021" s="55" t="str">
        <f t="shared" si="506"/>
        <v>ENERO</v>
      </c>
      <c r="C8021" s="55">
        <f t="shared" si="507"/>
        <v>1</v>
      </c>
      <c r="D8021" s="3" t="str">
        <f t="shared" si="508"/>
        <v>SÁBADO</v>
      </c>
      <c r="E8021" s="427"/>
      <c r="F8021" s="31">
        <f>IFERROR(VLOOKUP(E8021,BD!$L$2:$Q$244,2,0),0)</f>
        <v>0</v>
      </c>
      <c r="G8021" s="424"/>
      <c r="H8021" s="31">
        <f>+IFERROR(VLOOKUP(E8021,BD!$L$2:$Q$244,6,0),0)</f>
        <v>0</v>
      </c>
      <c r="I8021" s="626">
        <f>IFERROR(G8021*VLOOKUP($E8021,BD!$L$2:$Q$244,5,0),0)</f>
        <v>0</v>
      </c>
      <c r="J8021" s="3">
        <f t="shared" si="509"/>
        <v>1900</v>
      </c>
    </row>
    <row r="8022" spans="1:10" s="9" customFormat="1" x14ac:dyDescent="0.25">
      <c r="A8022" s="447"/>
      <c r="B8022" s="55" t="str">
        <f t="shared" si="506"/>
        <v>ENERO</v>
      </c>
      <c r="C8022" s="55">
        <f t="shared" si="507"/>
        <v>1</v>
      </c>
      <c r="D8022" s="3" t="str">
        <f t="shared" si="508"/>
        <v>SÁBADO</v>
      </c>
      <c r="E8022" s="427"/>
      <c r="F8022" s="31">
        <f>IFERROR(VLOOKUP(E8022,BD!$L$2:$Q$244,2,0),0)</f>
        <v>0</v>
      </c>
      <c r="G8022" s="424"/>
      <c r="H8022" s="31">
        <f>+IFERROR(VLOOKUP(E8022,BD!$L$2:$Q$244,6,0),0)</f>
        <v>0</v>
      </c>
      <c r="I8022" s="626">
        <f>IFERROR(G8022*VLOOKUP($E8022,BD!$L$2:$Q$244,5,0),0)</f>
        <v>0</v>
      </c>
      <c r="J8022" s="3">
        <f t="shared" si="509"/>
        <v>1900</v>
      </c>
    </row>
    <row r="8023" spans="1:10" s="9" customFormat="1" x14ac:dyDescent="0.25">
      <c r="A8023" s="447"/>
      <c r="B8023" s="55" t="str">
        <f t="shared" si="506"/>
        <v>ENERO</v>
      </c>
      <c r="C8023" s="55">
        <f t="shared" si="507"/>
        <v>1</v>
      </c>
      <c r="D8023" s="3" t="str">
        <f t="shared" si="508"/>
        <v>SÁBADO</v>
      </c>
      <c r="E8023" s="427"/>
      <c r="F8023" s="31">
        <f>IFERROR(VLOOKUP(E8023,BD!$L$2:$Q$244,2,0),0)</f>
        <v>0</v>
      </c>
      <c r="G8023" s="424"/>
      <c r="H8023" s="31">
        <f>+IFERROR(VLOOKUP(E8023,BD!$L$2:$Q$244,6,0),0)</f>
        <v>0</v>
      </c>
      <c r="I8023" s="626">
        <f>IFERROR(G8023*VLOOKUP($E8023,BD!$L$2:$Q$244,5,0),0)</f>
        <v>0</v>
      </c>
      <c r="J8023" s="3">
        <f t="shared" si="509"/>
        <v>1900</v>
      </c>
    </row>
    <row r="8024" spans="1:10" s="9" customFormat="1" x14ac:dyDescent="0.25">
      <c r="A8024" s="447"/>
      <c r="B8024" s="55" t="str">
        <f t="shared" si="506"/>
        <v>ENERO</v>
      </c>
      <c r="C8024" s="55">
        <f t="shared" si="507"/>
        <v>1</v>
      </c>
      <c r="D8024" s="3" t="str">
        <f t="shared" si="508"/>
        <v>SÁBADO</v>
      </c>
      <c r="E8024" s="427"/>
      <c r="F8024" s="31">
        <f>IFERROR(VLOOKUP(E8024,BD!$L$2:$Q$244,2,0),0)</f>
        <v>0</v>
      </c>
      <c r="G8024" s="424"/>
      <c r="H8024" s="31">
        <f>+IFERROR(VLOOKUP(E8024,BD!$L$2:$Q$244,6,0),0)</f>
        <v>0</v>
      </c>
      <c r="I8024" s="626">
        <f>IFERROR(G8024*VLOOKUP($E8024,BD!$L$2:$Q$244,5,0),0)</f>
        <v>0</v>
      </c>
      <c r="J8024" s="3">
        <f t="shared" si="509"/>
        <v>1900</v>
      </c>
    </row>
    <row r="8025" spans="1:10" s="9" customFormat="1" x14ac:dyDescent="0.25">
      <c r="A8025" s="447"/>
      <c r="B8025" s="55" t="str">
        <f t="shared" si="506"/>
        <v>ENERO</v>
      </c>
      <c r="C8025" s="55">
        <f t="shared" si="507"/>
        <v>1</v>
      </c>
      <c r="D8025" s="3" t="str">
        <f t="shared" si="508"/>
        <v>SÁBADO</v>
      </c>
      <c r="E8025" s="427"/>
      <c r="F8025" s="31">
        <f>IFERROR(VLOOKUP(E8025,BD!$L$2:$Q$244,2,0),0)</f>
        <v>0</v>
      </c>
      <c r="G8025" s="424"/>
      <c r="H8025" s="31">
        <f>+IFERROR(VLOOKUP(E8025,BD!$L$2:$Q$244,6,0),0)</f>
        <v>0</v>
      </c>
      <c r="I8025" s="626">
        <f>IFERROR(G8025*VLOOKUP($E8025,BD!$L$2:$Q$244,5,0),0)</f>
        <v>0</v>
      </c>
      <c r="J8025" s="3">
        <f t="shared" si="509"/>
        <v>1900</v>
      </c>
    </row>
    <row r="8026" spans="1:10" s="9" customFormat="1" x14ac:dyDescent="0.25">
      <c r="A8026" s="447"/>
      <c r="B8026" s="55" t="str">
        <f t="shared" si="506"/>
        <v>ENERO</v>
      </c>
      <c r="C8026" s="55">
        <f t="shared" si="507"/>
        <v>1</v>
      </c>
      <c r="D8026" s="3" t="str">
        <f t="shared" si="508"/>
        <v>SÁBADO</v>
      </c>
      <c r="E8026" s="427"/>
      <c r="F8026" s="31">
        <f>IFERROR(VLOOKUP(E8026,BD!$L$2:$Q$244,2,0),0)</f>
        <v>0</v>
      </c>
      <c r="G8026" s="424"/>
      <c r="H8026" s="31">
        <f>+IFERROR(VLOOKUP(E8026,BD!$L$2:$Q$244,6,0),0)</f>
        <v>0</v>
      </c>
      <c r="I8026" s="626">
        <f>IFERROR(G8026*VLOOKUP($E8026,BD!$L$2:$Q$244,5,0),0)</f>
        <v>0</v>
      </c>
      <c r="J8026" s="3">
        <f t="shared" si="509"/>
        <v>1900</v>
      </c>
    </row>
    <row r="8027" spans="1:10" s="9" customFormat="1" x14ac:dyDescent="0.25">
      <c r="A8027" s="447"/>
      <c r="B8027" s="55" t="str">
        <f t="shared" si="506"/>
        <v>ENERO</v>
      </c>
      <c r="C8027" s="55">
        <f t="shared" si="507"/>
        <v>1</v>
      </c>
      <c r="D8027" s="3" t="str">
        <f t="shared" si="508"/>
        <v>SÁBADO</v>
      </c>
      <c r="E8027" s="427"/>
      <c r="F8027" s="31">
        <f>IFERROR(VLOOKUP(E8027,BD!$L$2:$Q$244,2,0),0)</f>
        <v>0</v>
      </c>
      <c r="G8027" s="424"/>
      <c r="H8027" s="31">
        <f>+IFERROR(VLOOKUP(E8027,BD!$L$2:$Q$244,6,0),0)</f>
        <v>0</v>
      </c>
      <c r="I8027" s="626">
        <f>IFERROR(G8027*VLOOKUP($E8027,BD!$L$2:$Q$244,5,0),0)</f>
        <v>0</v>
      </c>
      <c r="J8027" s="3">
        <f t="shared" si="509"/>
        <v>1900</v>
      </c>
    </row>
    <row r="8028" spans="1:10" s="9" customFormat="1" x14ac:dyDescent="0.25">
      <c r="A8028" s="447"/>
      <c r="B8028" s="55" t="str">
        <f t="shared" si="506"/>
        <v>ENERO</v>
      </c>
      <c r="C8028" s="55">
        <f t="shared" si="507"/>
        <v>1</v>
      </c>
      <c r="D8028" s="3" t="str">
        <f t="shared" si="508"/>
        <v>SÁBADO</v>
      </c>
      <c r="E8028" s="427"/>
      <c r="F8028" s="31">
        <f>IFERROR(VLOOKUP(E8028,BD!$L$2:$Q$244,2,0),0)</f>
        <v>0</v>
      </c>
      <c r="G8028" s="424"/>
      <c r="H8028" s="31">
        <f>+IFERROR(VLOOKUP(E8028,BD!$L$2:$Q$244,6,0),0)</f>
        <v>0</v>
      </c>
      <c r="I8028" s="626">
        <f>IFERROR(G8028*VLOOKUP($E8028,BD!$L$2:$Q$244,5,0),0)</f>
        <v>0</v>
      </c>
      <c r="J8028" s="3">
        <f t="shared" si="509"/>
        <v>1900</v>
      </c>
    </row>
    <row r="8029" spans="1:10" s="9" customFormat="1" x14ac:dyDescent="0.25">
      <c r="A8029" s="447"/>
      <c r="B8029" s="55" t="str">
        <f t="shared" si="506"/>
        <v>ENERO</v>
      </c>
      <c r="C8029" s="55">
        <f t="shared" si="507"/>
        <v>1</v>
      </c>
      <c r="D8029" s="3" t="str">
        <f t="shared" si="508"/>
        <v>SÁBADO</v>
      </c>
      <c r="E8029" s="427"/>
      <c r="F8029" s="31">
        <f>IFERROR(VLOOKUP(E8029,BD!$L$2:$Q$244,2,0),0)</f>
        <v>0</v>
      </c>
      <c r="G8029" s="425"/>
      <c r="H8029" s="31">
        <f>+IFERROR(VLOOKUP(E8029,BD!$L$2:$Q$244,6,0),0)</f>
        <v>0</v>
      </c>
      <c r="I8029" s="626">
        <f>IFERROR(G8029*VLOOKUP($E8029,BD!$L$2:$Q$244,5,0),0)</f>
        <v>0</v>
      </c>
      <c r="J8029" s="3">
        <f t="shared" si="509"/>
        <v>1900</v>
      </c>
    </row>
    <row r="8030" spans="1:10" s="9" customFormat="1" x14ac:dyDescent="0.25">
      <c r="A8030" s="447"/>
      <c r="B8030" s="55" t="str">
        <f t="shared" si="506"/>
        <v>ENERO</v>
      </c>
      <c r="C8030" s="55">
        <f t="shared" si="507"/>
        <v>1</v>
      </c>
      <c r="D8030" s="3" t="str">
        <f t="shared" si="508"/>
        <v>SÁBADO</v>
      </c>
      <c r="E8030" s="427"/>
      <c r="F8030" s="31">
        <f>IFERROR(VLOOKUP(E8030,BD!$L$2:$Q$244,2,0),0)</f>
        <v>0</v>
      </c>
      <c r="G8030" s="425"/>
      <c r="H8030" s="31">
        <f>+IFERROR(VLOOKUP(E8030,BD!$L$2:$Q$244,6,0),0)</f>
        <v>0</v>
      </c>
      <c r="I8030" s="626">
        <f>IFERROR(G8030*VLOOKUP($E8030,BD!$L$2:$Q$244,5,0),0)</f>
        <v>0</v>
      </c>
      <c r="J8030" s="3">
        <f t="shared" si="509"/>
        <v>1900</v>
      </c>
    </row>
    <row r="8031" spans="1:10" s="9" customFormat="1" x14ac:dyDescent="0.25">
      <c r="A8031" s="447"/>
      <c r="B8031" s="55" t="str">
        <f t="shared" si="506"/>
        <v>ENERO</v>
      </c>
      <c r="C8031" s="55">
        <f t="shared" si="507"/>
        <v>1</v>
      </c>
      <c r="D8031" s="3" t="str">
        <f t="shared" si="508"/>
        <v>SÁBADO</v>
      </c>
      <c r="E8031" s="427"/>
      <c r="F8031" s="31">
        <f>IFERROR(VLOOKUP(E8031,BD!$L$2:$Q$244,2,0),0)</f>
        <v>0</v>
      </c>
      <c r="G8031" s="424"/>
      <c r="H8031" s="31">
        <f>+IFERROR(VLOOKUP(E8031,BD!$L$2:$Q$244,6,0),0)</f>
        <v>0</v>
      </c>
      <c r="I8031" s="626">
        <f>IFERROR(G8031*VLOOKUP($E8031,BD!$L$2:$Q$244,5,0),0)</f>
        <v>0</v>
      </c>
      <c r="J8031" s="3">
        <f t="shared" si="509"/>
        <v>1900</v>
      </c>
    </row>
    <row r="8032" spans="1:10" s="9" customFormat="1" x14ac:dyDescent="0.25">
      <c r="A8032" s="447"/>
      <c r="B8032" s="55" t="str">
        <f t="shared" si="506"/>
        <v>ENERO</v>
      </c>
      <c r="C8032" s="55">
        <f t="shared" si="507"/>
        <v>1</v>
      </c>
      <c r="D8032" s="3" t="str">
        <f t="shared" si="508"/>
        <v>SÁBADO</v>
      </c>
      <c r="E8032" s="427"/>
      <c r="F8032" s="31">
        <f>IFERROR(VLOOKUP(E8032,BD!$L$2:$Q$244,2,0),0)</f>
        <v>0</v>
      </c>
      <c r="G8032" s="424"/>
      <c r="H8032" s="31">
        <f>+IFERROR(VLOOKUP(E8032,BD!$L$2:$Q$244,6,0),0)</f>
        <v>0</v>
      </c>
      <c r="I8032" s="626">
        <f>IFERROR(G8032*VLOOKUP($E8032,BD!$L$2:$Q$244,5,0),0)</f>
        <v>0</v>
      </c>
      <c r="J8032" s="3">
        <f t="shared" si="509"/>
        <v>1900</v>
      </c>
    </row>
    <row r="8033" spans="1:10" s="9" customFormat="1" x14ac:dyDescent="0.25">
      <c r="A8033" s="447"/>
      <c r="B8033" s="55" t="str">
        <f t="shared" si="506"/>
        <v>ENERO</v>
      </c>
      <c r="C8033" s="55">
        <f t="shared" si="507"/>
        <v>1</v>
      </c>
      <c r="D8033" s="3" t="str">
        <f t="shared" si="508"/>
        <v>SÁBADO</v>
      </c>
      <c r="E8033" s="427"/>
      <c r="F8033" s="31">
        <f>IFERROR(VLOOKUP(E8033,BD!$L$2:$Q$244,2,0),0)</f>
        <v>0</v>
      </c>
      <c r="G8033" s="425"/>
      <c r="H8033" s="31">
        <f>+IFERROR(VLOOKUP(E8033,BD!$L$2:$Q$244,6,0),0)</f>
        <v>0</v>
      </c>
      <c r="I8033" s="626">
        <f>IFERROR(G8033*VLOOKUP($E8033,BD!$L$2:$Q$244,5,0),0)</f>
        <v>0</v>
      </c>
      <c r="J8033" s="3">
        <f t="shared" si="509"/>
        <v>1900</v>
      </c>
    </row>
    <row r="8034" spans="1:10" s="9" customFormat="1" x14ac:dyDescent="0.25">
      <c r="A8034" s="447"/>
      <c r="B8034" s="55" t="str">
        <f t="shared" si="506"/>
        <v>ENERO</v>
      </c>
      <c r="C8034" s="55">
        <f t="shared" si="507"/>
        <v>1</v>
      </c>
      <c r="D8034" s="3" t="str">
        <f t="shared" si="508"/>
        <v>SÁBADO</v>
      </c>
      <c r="E8034" s="427"/>
      <c r="F8034" s="31">
        <f>IFERROR(VLOOKUP(E8034,BD!$L$2:$Q$244,2,0),0)</f>
        <v>0</v>
      </c>
      <c r="G8034" s="424"/>
      <c r="H8034" s="31">
        <f>+IFERROR(VLOOKUP(E8034,BD!$L$2:$Q$244,6,0),0)</f>
        <v>0</v>
      </c>
      <c r="I8034" s="626">
        <f>IFERROR(G8034*VLOOKUP($E8034,BD!$L$2:$Q$244,5,0),0)</f>
        <v>0</v>
      </c>
      <c r="J8034" s="3">
        <f t="shared" si="509"/>
        <v>1900</v>
      </c>
    </row>
    <row r="8035" spans="1:10" s="9" customFormat="1" x14ac:dyDescent="0.25">
      <c r="A8035" s="447"/>
      <c r="B8035" s="55" t="str">
        <f t="shared" si="506"/>
        <v>ENERO</v>
      </c>
      <c r="C8035" s="55">
        <f t="shared" si="507"/>
        <v>1</v>
      </c>
      <c r="D8035" s="3" t="str">
        <f t="shared" si="508"/>
        <v>SÁBADO</v>
      </c>
      <c r="E8035" s="427"/>
      <c r="F8035" s="31">
        <f>IFERROR(VLOOKUP(E8035,BD!$L$2:$Q$244,2,0),0)</f>
        <v>0</v>
      </c>
      <c r="G8035" s="424"/>
      <c r="H8035" s="31">
        <f>+IFERROR(VLOOKUP(E8035,BD!$L$2:$Q$244,6,0),0)</f>
        <v>0</v>
      </c>
      <c r="I8035" s="626">
        <f>IFERROR(G8035*VLOOKUP($E8035,BD!$L$2:$Q$244,5,0),0)</f>
        <v>0</v>
      </c>
      <c r="J8035" s="3">
        <f t="shared" si="509"/>
        <v>1900</v>
      </c>
    </row>
    <row r="8036" spans="1:10" s="9" customFormat="1" x14ac:dyDescent="0.25">
      <c r="A8036" s="447"/>
      <c r="B8036" s="55" t="str">
        <f t="shared" si="506"/>
        <v>ENERO</v>
      </c>
      <c r="C8036" s="55">
        <f t="shared" si="507"/>
        <v>1</v>
      </c>
      <c r="D8036" s="3" t="str">
        <f t="shared" si="508"/>
        <v>SÁBADO</v>
      </c>
      <c r="E8036" s="427"/>
      <c r="F8036" s="31">
        <f>IFERROR(VLOOKUP(E8036,BD!$L$2:$Q$244,2,0),0)</f>
        <v>0</v>
      </c>
      <c r="G8036" s="424"/>
      <c r="H8036" s="31">
        <f>+IFERROR(VLOOKUP(E8036,BD!$L$2:$Q$244,6,0),0)</f>
        <v>0</v>
      </c>
      <c r="I8036" s="626">
        <f>IFERROR(G8036*VLOOKUP($E8036,BD!$L$2:$Q$244,5,0),0)</f>
        <v>0</v>
      </c>
      <c r="J8036" s="3">
        <f t="shared" si="509"/>
        <v>1900</v>
      </c>
    </row>
    <row r="8037" spans="1:10" s="9" customFormat="1" x14ac:dyDescent="0.25">
      <c r="A8037" s="447"/>
      <c r="B8037" s="55" t="str">
        <f t="shared" si="506"/>
        <v>ENERO</v>
      </c>
      <c r="C8037" s="55">
        <f t="shared" si="507"/>
        <v>1</v>
      </c>
      <c r="D8037" s="3" t="str">
        <f t="shared" si="508"/>
        <v>SÁBADO</v>
      </c>
      <c r="E8037" s="427"/>
      <c r="F8037" s="31">
        <f>IFERROR(VLOOKUP(E8037,BD!$L$2:$Q$244,2,0),0)</f>
        <v>0</v>
      </c>
      <c r="G8037" s="424"/>
      <c r="H8037" s="31">
        <f>+IFERROR(VLOOKUP(E8037,BD!$L$2:$Q$244,6,0),0)</f>
        <v>0</v>
      </c>
      <c r="I8037" s="626">
        <f>IFERROR(G8037*VLOOKUP($E8037,BD!$L$2:$Q$244,5,0),0)</f>
        <v>0</v>
      </c>
      <c r="J8037" s="3">
        <f t="shared" si="509"/>
        <v>1900</v>
      </c>
    </row>
    <row r="8038" spans="1:10" s="9" customFormat="1" x14ac:dyDescent="0.25">
      <c r="A8038" s="447"/>
      <c r="B8038" s="55" t="str">
        <f t="shared" si="506"/>
        <v>ENERO</v>
      </c>
      <c r="C8038" s="55">
        <f t="shared" si="507"/>
        <v>1</v>
      </c>
      <c r="D8038" s="3" t="str">
        <f t="shared" si="508"/>
        <v>SÁBADO</v>
      </c>
      <c r="E8038" s="427"/>
      <c r="F8038" s="31">
        <f>IFERROR(VLOOKUP(E8038,BD!$L$2:$Q$244,2,0),0)</f>
        <v>0</v>
      </c>
      <c r="G8038" s="424"/>
      <c r="H8038" s="31">
        <f>+IFERROR(VLOOKUP(E8038,BD!$L$2:$Q$244,6,0),0)</f>
        <v>0</v>
      </c>
      <c r="I8038" s="626">
        <f>IFERROR(G8038*VLOOKUP($E8038,BD!$L$2:$Q$244,5,0),0)</f>
        <v>0</v>
      </c>
      <c r="J8038" s="3">
        <f t="shared" si="509"/>
        <v>1900</v>
      </c>
    </row>
    <row r="8039" spans="1:10" s="9" customFormat="1" x14ac:dyDescent="0.25">
      <c r="A8039" s="447"/>
      <c r="B8039" s="55" t="str">
        <f t="shared" si="506"/>
        <v>ENERO</v>
      </c>
      <c r="C8039" s="55">
        <f t="shared" si="507"/>
        <v>1</v>
      </c>
      <c r="D8039" s="3" t="str">
        <f t="shared" si="508"/>
        <v>SÁBADO</v>
      </c>
      <c r="E8039" s="427"/>
      <c r="F8039" s="31">
        <f>IFERROR(VLOOKUP(E8039,BD!$L$2:$Q$244,2,0),0)</f>
        <v>0</v>
      </c>
      <c r="G8039" s="425"/>
      <c r="H8039" s="31">
        <f>+IFERROR(VLOOKUP(E8039,BD!$L$2:$Q$244,6,0),0)</f>
        <v>0</v>
      </c>
      <c r="I8039" s="626">
        <f>IFERROR(G8039*VLOOKUP($E8039,BD!$L$2:$Q$244,5,0),0)</f>
        <v>0</v>
      </c>
      <c r="J8039" s="3">
        <f t="shared" si="509"/>
        <v>1900</v>
      </c>
    </row>
    <row r="8040" spans="1:10" s="9" customFormat="1" x14ac:dyDescent="0.25">
      <c r="A8040" s="447"/>
      <c r="B8040" s="55" t="str">
        <f t="shared" si="506"/>
        <v>ENERO</v>
      </c>
      <c r="C8040" s="55">
        <f t="shared" si="507"/>
        <v>1</v>
      </c>
      <c r="D8040" s="3" t="str">
        <f t="shared" si="508"/>
        <v>SÁBADO</v>
      </c>
      <c r="E8040" s="427"/>
      <c r="F8040" s="31">
        <f>IFERROR(VLOOKUP(E8040,BD!$L$2:$Q$244,2,0),0)</f>
        <v>0</v>
      </c>
      <c r="G8040" s="424"/>
      <c r="H8040" s="31">
        <f>+IFERROR(VLOOKUP(E8040,BD!$L$2:$Q$244,6,0),0)</f>
        <v>0</v>
      </c>
      <c r="I8040" s="626">
        <f>IFERROR(G8040*VLOOKUP($E8040,BD!$L$2:$Q$244,5,0),0)</f>
        <v>0</v>
      </c>
      <c r="J8040" s="3">
        <f t="shared" si="509"/>
        <v>1900</v>
      </c>
    </row>
    <row r="8041" spans="1:10" s="9" customFormat="1" x14ac:dyDescent="0.25">
      <c r="A8041" s="447"/>
      <c r="B8041" s="55" t="str">
        <f t="shared" si="506"/>
        <v>ENERO</v>
      </c>
      <c r="C8041" s="55">
        <f t="shared" si="507"/>
        <v>1</v>
      </c>
      <c r="D8041" s="3" t="str">
        <f t="shared" si="508"/>
        <v>SÁBADO</v>
      </c>
      <c r="E8041" s="427"/>
      <c r="F8041" s="31">
        <f>IFERROR(VLOOKUP(E8041,BD!$L$2:$Q$244,2,0),0)</f>
        <v>0</v>
      </c>
      <c r="G8041" s="424"/>
      <c r="H8041" s="31">
        <f>+IFERROR(VLOOKUP(E8041,BD!$L$2:$Q$244,6,0),0)</f>
        <v>0</v>
      </c>
      <c r="I8041" s="626">
        <f>IFERROR(G8041*VLOOKUP($E8041,BD!$L$2:$Q$244,5,0),0)</f>
        <v>0</v>
      </c>
      <c r="J8041" s="3">
        <f t="shared" si="509"/>
        <v>1900</v>
      </c>
    </row>
    <row r="8042" spans="1:10" s="9" customFormat="1" x14ac:dyDescent="0.25">
      <c r="A8042" s="447"/>
      <c r="B8042" s="55" t="str">
        <f t="shared" si="506"/>
        <v>ENERO</v>
      </c>
      <c r="C8042" s="55">
        <f t="shared" si="507"/>
        <v>1</v>
      </c>
      <c r="D8042" s="3" t="str">
        <f t="shared" si="508"/>
        <v>SÁBADO</v>
      </c>
      <c r="E8042" s="427"/>
      <c r="F8042" s="31">
        <f>IFERROR(VLOOKUP(E8042,BD!$L$2:$Q$244,2,0),0)</f>
        <v>0</v>
      </c>
      <c r="G8042" s="424"/>
      <c r="H8042" s="31">
        <f>+IFERROR(VLOOKUP(E8042,BD!$L$2:$Q$244,6,0),0)</f>
        <v>0</v>
      </c>
      <c r="I8042" s="626">
        <f>IFERROR(G8042*VLOOKUP($E8042,BD!$L$2:$Q$244,5,0),0)</f>
        <v>0</v>
      </c>
      <c r="J8042" s="3">
        <f t="shared" si="509"/>
        <v>1900</v>
      </c>
    </row>
    <row r="8043" spans="1:10" s="9" customFormat="1" x14ac:dyDescent="0.25">
      <c r="A8043" s="447"/>
      <c r="B8043" s="55" t="str">
        <f t="shared" si="506"/>
        <v>ENERO</v>
      </c>
      <c r="C8043" s="55">
        <f t="shared" si="507"/>
        <v>1</v>
      </c>
      <c r="D8043" s="3" t="str">
        <f t="shared" si="508"/>
        <v>SÁBADO</v>
      </c>
      <c r="E8043" s="427"/>
      <c r="F8043" s="31">
        <f>IFERROR(VLOOKUP(E8043,BD!$L$2:$Q$244,2,0),0)</f>
        <v>0</v>
      </c>
      <c r="G8043" s="424"/>
      <c r="H8043" s="31">
        <f>+IFERROR(VLOOKUP(E8043,BD!$L$2:$Q$244,6,0),0)</f>
        <v>0</v>
      </c>
      <c r="I8043" s="626">
        <f>IFERROR(G8043*VLOOKUP($E8043,BD!$L$2:$Q$244,5,0),0)</f>
        <v>0</v>
      </c>
      <c r="J8043" s="3">
        <f t="shared" si="509"/>
        <v>1900</v>
      </c>
    </row>
    <row r="8044" spans="1:10" s="9" customFormat="1" x14ac:dyDescent="0.25">
      <c r="A8044" s="447"/>
      <c r="B8044" s="55" t="str">
        <f t="shared" si="506"/>
        <v>ENERO</v>
      </c>
      <c r="C8044" s="55">
        <f t="shared" si="507"/>
        <v>1</v>
      </c>
      <c r="D8044" s="3" t="str">
        <f t="shared" si="508"/>
        <v>SÁBADO</v>
      </c>
      <c r="E8044" s="427"/>
      <c r="F8044" s="31">
        <f>IFERROR(VLOOKUP(E8044,BD!$L$2:$Q$244,2,0),0)</f>
        <v>0</v>
      </c>
      <c r="G8044" s="424"/>
      <c r="H8044" s="31">
        <f>+IFERROR(VLOOKUP(E8044,BD!$L$2:$Q$244,6,0),0)</f>
        <v>0</v>
      </c>
      <c r="I8044" s="626">
        <f>IFERROR(G8044*VLOOKUP($E8044,BD!$L$2:$Q$244,5,0),0)</f>
        <v>0</v>
      </c>
      <c r="J8044" s="3">
        <f t="shared" si="509"/>
        <v>1900</v>
      </c>
    </row>
    <row r="8045" spans="1:10" s="9" customFormat="1" x14ac:dyDescent="0.25">
      <c r="A8045" s="447"/>
      <c r="B8045" s="55" t="str">
        <f t="shared" si="506"/>
        <v>ENERO</v>
      </c>
      <c r="C8045" s="55">
        <f t="shared" si="507"/>
        <v>1</v>
      </c>
      <c r="D8045" s="3" t="str">
        <f t="shared" si="508"/>
        <v>SÁBADO</v>
      </c>
      <c r="E8045" s="427"/>
      <c r="F8045" s="31">
        <f>IFERROR(VLOOKUP(E8045,BD!$L$2:$Q$244,2,0),0)</f>
        <v>0</v>
      </c>
      <c r="G8045" s="424"/>
      <c r="H8045" s="31">
        <f>+IFERROR(VLOOKUP(E8045,BD!$L$2:$Q$244,6,0),0)</f>
        <v>0</v>
      </c>
      <c r="I8045" s="626">
        <f>IFERROR(G8045*VLOOKUP($E8045,BD!$L$2:$Q$244,5,0),0)</f>
        <v>0</v>
      </c>
      <c r="J8045" s="3">
        <f t="shared" si="509"/>
        <v>1900</v>
      </c>
    </row>
    <row r="8046" spans="1:10" s="9" customFormat="1" x14ac:dyDescent="0.25">
      <c r="A8046" s="447"/>
      <c r="B8046" s="55" t="str">
        <f t="shared" si="506"/>
        <v>ENERO</v>
      </c>
      <c r="C8046" s="55">
        <f t="shared" si="507"/>
        <v>1</v>
      </c>
      <c r="D8046" s="3" t="str">
        <f t="shared" si="508"/>
        <v>SÁBADO</v>
      </c>
      <c r="E8046" s="427"/>
      <c r="F8046" s="31">
        <f>IFERROR(VLOOKUP(E8046,BD!$L$2:$Q$244,2,0),0)</f>
        <v>0</v>
      </c>
      <c r="G8046" s="424"/>
      <c r="H8046" s="31">
        <f>+IFERROR(VLOOKUP(E8046,BD!$L$2:$Q$244,6,0),0)</f>
        <v>0</v>
      </c>
      <c r="I8046" s="626">
        <f>IFERROR(G8046*VLOOKUP($E8046,BD!$L$2:$Q$244,5,0),0)</f>
        <v>0</v>
      </c>
      <c r="J8046" s="3">
        <f t="shared" si="509"/>
        <v>1900</v>
      </c>
    </row>
    <row r="8047" spans="1:10" s="9" customFormat="1" x14ac:dyDescent="0.25">
      <c r="A8047" s="447"/>
      <c r="B8047" s="55" t="str">
        <f t="shared" si="506"/>
        <v>ENERO</v>
      </c>
      <c r="C8047" s="55">
        <f t="shared" si="507"/>
        <v>1</v>
      </c>
      <c r="D8047" s="3" t="str">
        <f t="shared" si="508"/>
        <v>SÁBADO</v>
      </c>
      <c r="E8047" s="427"/>
      <c r="F8047" s="31">
        <f>IFERROR(VLOOKUP(E8047,BD!$L$2:$Q$244,2,0),0)</f>
        <v>0</v>
      </c>
      <c r="G8047" s="424"/>
      <c r="H8047" s="31">
        <f>+IFERROR(VLOOKUP(E8047,BD!$L$2:$Q$244,6,0),0)</f>
        <v>0</v>
      </c>
      <c r="I8047" s="626">
        <f>IFERROR(G8047*VLOOKUP($E8047,BD!$L$2:$Q$244,5,0),0)</f>
        <v>0</v>
      </c>
      <c r="J8047" s="3">
        <f t="shared" si="509"/>
        <v>1900</v>
      </c>
    </row>
    <row r="8048" spans="1:10" s="9" customFormat="1" x14ac:dyDescent="0.25">
      <c r="A8048" s="447"/>
      <c r="B8048" s="55" t="str">
        <f t="shared" si="506"/>
        <v>ENERO</v>
      </c>
      <c r="C8048" s="55">
        <f t="shared" si="507"/>
        <v>1</v>
      </c>
      <c r="D8048" s="3" t="str">
        <f t="shared" si="508"/>
        <v>SÁBADO</v>
      </c>
      <c r="E8048" s="427"/>
      <c r="F8048" s="31">
        <f>IFERROR(VLOOKUP(E8048,BD!$L$2:$Q$244,2,0),0)</f>
        <v>0</v>
      </c>
      <c r="G8048" s="424"/>
      <c r="H8048" s="31">
        <f>+IFERROR(VLOOKUP(E8048,BD!$L$2:$Q$244,6,0),0)</f>
        <v>0</v>
      </c>
      <c r="I8048" s="626">
        <f>IFERROR(G8048*VLOOKUP($E8048,BD!$L$2:$Q$244,5,0),0)</f>
        <v>0</v>
      </c>
      <c r="J8048" s="3">
        <f t="shared" si="509"/>
        <v>1900</v>
      </c>
    </row>
    <row r="8049" spans="1:10" s="9" customFormat="1" x14ac:dyDescent="0.25">
      <c r="A8049" s="447"/>
      <c r="B8049" s="55" t="str">
        <f t="shared" si="506"/>
        <v>ENERO</v>
      </c>
      <c r="C8049" s="55">
        <f t="shared" si="507"/>
        <v>1</v>
      </c>
      <c r="D8049" s="3" t="str">
        <f t="shared" si="508"/>
        <v>SÁBADO</v>
      </c>
      <c r="E8049" s="427"/>
      <c r="F8049" s="31">
        <f>IFERROR(VLOOKUP(E8049,BD!$L$2:$Q$244,2,0),0)</f>
        <v>0</v>
      </c>
      <c r="G8049" s="424"/>
      <c r="H8049" s="31">
        <f>+IFERROR(VLOOKUP(E8049,BD!$L$2:$Q$244,6,0),0)</f>
        <v>0</v>
      </c>
      <c r="I8049" s="626">
        <f>IFERROR(G8049*VLOOKUP($E8049,BD!$L$2:$Q$244,5,0),0)</f>
        <v>0</v>
      </c>
      <c r="J8049" s="3">
        <f t="shared" si="509"/>
        <v>1900</v>
      </c>
    </row>
    <row r="8050" spans="1:10" s="9" customFormat="1" x14ac:dyDescent="0.25">
      <c r="A8050" s="447"/>
      <c r="B8050" s="55" t="str">
        <f t="shared" si="506"/>
        <v>ENERO</v>
      </c>
      <c r="C8050" s="55">
        <f t="shared" si="507"/>
        <v>1</v>
      </c>
      <c r="D8050" s="3" t="str">
        <f t="shared" si="508"/>
        <v>SÁBADO</v>
      </c>
      <c r="E8050" s="427"/>
      <c r="F8050" s="31">
        <f>IFERROR(VLOOKUP(E8050,BD!$L$2:$Q$244,2,0),0)</f>
        <v>0</v>
      </c>
      <c r="G8050" s="424"/>
      <c r="H8050" s="31">
        <f>+IFERROR(VLOOKUP(E8050,BD!$L$2:$Q$244,6,0),0)</f>
        <v>0</v>
      </c>
      <c r="I8050" s="626">
        <f>IFERROR(G8050*VLOOKUP($E8050,BD!$L$2:$Q$244,5,0),0)</f>
        <v>0</v>
      </c>
      <c r="J8050" s="3">
        <f t="shared" si="509"/>
        <v>1900</v>
      </c>
    </row>
    <row r="8051" spans="1:10" s="9" customFormat="1" x14ac:dyDescent="0.25">
      <c r="A8051" s="447"/>
      <c r="B8051" s="55" t="str">
        <f t="shared" si="506"/>
        <v>ENERO</v>
      </c>
      <c r="C8051" s="55">
        <f t="shared" si="507"/>
        <v>1</v>
      </c>
      <c r="D8051" s="3" t="str">
        <f t="shared" si="508"/>
        <v>SÁBADO</v>
      </c>
      <c r="E8051" s="427"/>
      <c r="F8051" s="31">
        <f>IFERROR(VLOOKUP(E8051,BD!$L$2:$Q$244,2,0),0)</f>
        <v>0</v>
      </c>
      <c r="G8051" s="424"/>
      <c r="H8051" s="31">
        <f>+IFERROR(VLOOKUP(E8051,BD!$L$2:$Q$244,6,0),0)</f>
        <v>0</v>
      </c>
      <c r="I8051" s="626">
        <f>IFERROR(G8051*VLOOKUP($E8051,BD!$L$2:$Q$244,5,0),0)</f>
        <v>0</v>
      </c>
      <c r="J8051" s="3">
        <f t="shared" si="509"/>
        <v>1900</v>
      </c>
    </row>
    <row r="8052" spans="1:10" s="9" customFormat="1" x14ac:dyDescent="0.25">
      <c r="A8052" s="447"/>
      <c r="B8052" s="55" t="str">
        <f t="shared" si="506"/>
        <v>ENERO</v>
      </c>
      <c r="C8052" s="55">
        <f t="shared" si="507"/>
        <v>1</v>
      </c>
      <c r="D8052" s="3" t="str">
        <f t="shared" si="508"/>
        <v>SÁBADO</v>
      </c>
      <c r="E8052" s="427"/>
      <c r="F8052" s="31">
        <f>IFERROR(VLOOKUP(E8052,BD!$L$2:$Q$244,2,0),0)</f>
        <v>0</v>
      </c>
      <c r="G8052" s="424"/>
      <c r="H8052" s="31">
        <f>+IFERROR(VLOOKUP(E8052,BD!$L$2:$Q$244,6,0),0)</f>
        <v>0</v>
      </c>
      <c r="I8052" s="626">
        <f>IFERROR(G8052*VLOOKUP($E8052,BD!$L$2:$Q$244,5,0),0)</f>
        <v>0</v>
      </c>
      <c r="J8052" s="3">
        <f t="shared" si="509"/>
        <v>1900</v>
      </c>
    </row>
    <row r="8053" spans="1:10" s="9" customFormat="1" x14ac:dyDescent="0.25">
      <c r="A8053" s="447"/>
      <c r="B8053" s="55" t="str">
        <f t="shared" si="506"/>
        <v>ENERO</v>
      </c>
      <c r="C8053" s="55">
        <f t="shared" si="507"/>
        <v>1</v>
      </c>
      <c r="D8053" s="3" t="str">
        <f t="shared" si="508"/>
        <v>SÁBADO</v>
      </c>
      <c r="E8053" s="427"/>
      <c r="F8053" s="31">
        <f>IFERROR(VLOOKUP(E8053,BD!$L$2:$Q$244,2,0),0)</f>
        <v>0</v>
      </c>
      <c r="G8053" s="424"/>
      <c r="H8053" s="31">
        <f>+IFERROR(VLOOKUP(E8053,BD!$L$2:$Q$244,6,0),0)</f>
        <v>0</v>
      </c>
      <c r="I8053" s="626">
        <f>IFERROR(G8053*VLOOKUP($E8053,BD!$L$2:$Q$244,5,0),0)</f>
        <v>0</v>
      </c>
      <c r="J8053" s="3">
        <f t="shared" si="509"/>
        <v>1900</v>
      </c>
    </row>
    <row r="8054" spans="1:10" s="9" customFormat="1" x14ac:dyDescent="0.25">
      <c r="A8054" s="447"/>
      <c r="B8054" s="55" t="str">
        <f t="shared" si="506"/>
        <v>ENERO</v>
      </c>
      <c r="C8054" s="55">
        <f t="shared" si="507"/>
        <v>1</v>
      </c>
      <c r="D8054" s="3" t="str">
        <f t="shared" si="508"/>
        <v>SÁBADO</v>
      </c>
      <c r="E8054" s="427"/>
      <c r="F8054" s="31">
        <f>IFERROR(VLOOKUP(E8054,BD!$L$2:$Q$244,2,0),0)</f>
        <v>0</v>
      </c>
      <c r="G8054" s="424"/>
      <c r="H8054" s="31">
        <f>+IFERROR(VLOOKUP(E8054,BD!$L$2:$Q$244,6,0),0)</f>
        <v>0</v>
      </c>
      <c r="I8054" s="626">
        <f>IFERROR(G8054*VLOOKUP($E8054,BD!$L$2:$Q$244,5,0),0)</f>
        <v>0</v>
      </c>
      <c r="J8054" s="3">
        <f t="shared" si="509"/>
        <v>1900</v>
      </c>
    </row>
    <row r="8055" spans="1:10" s="9" customFormat="1" x14ac:dyDescent="0.25">
      <c r="A8055" s="447"/>
      <c r="B8055" s="55" t="str">
        <f t="shared" si="506"/>
        <v>ENERO</v>
      </c>
      <c r="C8055" s="55">
        <f t="shared" si="507"/>
        <v>1</v>
      </c>
      <c r="D8055" s="3" t="str">
        <f t="shared" si="508"/>
        <v>SÁBADO</v>
      </c>
      <c r="E8055" s="427"/>
      <c r="F8055" s="31">
        <f>IFERROR(VLOOKUP(E8055,BD!$L$2:$Q$244,2,0),0)</f>
        <v>0</v>
      </c>
      <c r="G8055" s="424"/>
      <c r="H8055" s="31">
        <f>+IFERROR(VLOOKUP(E8055,BD!$L$2:$Q$244,6,0),0)</f>
        <v>0</v>
      </c>
      <c r="I8055" s="626">
        <f>IFERROR(G8055*VLOOKUP($E8055,BD!$L$2:$Q$244,5,0),0)</f>
        <v>0</v>
      </c>
      <c r="J8055" s="3">
        <f t="shared" si="509"/>
        <v>1900</v>
      </c>
    </row>
    <row r="8056" spans="1:10" s="9" customFormat="1" x14ac:dyDescent="0.25">
      <c r="A8056" s="447"/>
      <c r="B8056" s="55" t="str">
        <f t="shared" si="506"/>
        <v>ENERO</v>
      </c>
      <c r="C8056" s="55">
        <f t="shared" si="507"/>
        <v>1</v>
      </c>
      <c r="D8056" s="3" t="str">
        <f t="shared" si="508"/>
        <v>SÁBADO</v>
      </c>
      <c r="E8056" s="427"/>
      <c r="F8056" s="31">
        <f>IFERROR(VLOOKUP(E8056,BD!$L$2:$Q$244,2,0),0)</f>
        <v>0</v>
      </c>
      <c r="G8056" s="424"/>
      <c r="H8056" s="31">
        <f>+IFERROR(VLOOKUP(E8056,BD!$L$2:$Q$244,6,0),0)</f>
        <v>0</v>
      </c>
      <c r="I8056" s="626">
        <f>IFERROR(G8056*VLOOKUP($E8056,BD!$L$2:$Q$244,5,0),0)</f>
        <v>0</v>
      </c>
      <c r="J8056" s="3">
        <f t="shared" si="509"/>
        <v>1900</v>
      </c>
    </row>
    <row r="8057" spans="1:10" s="9" customFormat="1" x14ac:dyDescent="0.25">
      <c r="A8057" s="447"/>
      <c r="B8057" s="55" t="str">
        <f t="shared" si="506"/>
        <v>ENERO</v>
      </c>
      <c r="C8057" s="55">
        <f t="shared" si="507"/>
        <v>1</v>
      </c>
      <c r="D8057" s="3" t="str">
        <f t="shared" si="508"/>
        <v>SÁBADO</v>
      </c>
      <c r="E8057" s="427"/>
      <c r="F8057" s="31">
        <f>IFERROR(VLOOKUP(E8057,BD!$L$2:$Q$244,2,0),0)</f>
        <v>0</v>
      </c>
      <c r="G8057" s="424"/>
      <c r="H8057" s="31">
        <f>+IFERROR(VLOOKUP(E8057,BD!$L$2:$Q$244,6,0),0)</f>
        <v>0</v>
      </c>
      <c r="I8057" s="626">
        <f>IFERROR(G8057*VLOOKUP($E8057,BD!$L$2:$Q$244,5,0),0)</f>
        <v>0</v>
      </c>
      <c r="J8057" s="3">
        <f t="shared" si="509"/>
        <v>1900</v>
      </c>
    </row>
    <row r="8058" spans="1:10" s="9" customFormat="1" x14ac:dyDescent="0.25">
      <c r="A8058" s="447"/>
      <c r="B8058" s="55" t="str">
        <f t="shared" si="506"/>
        <v>ENERO</v>
      </c>
      <c r="C8058" s="55">
        <f t="shared" si="507"/>
        <v>1</v>
      </c>
      <c r="D8058" s="3" t="str">
        <f t="shared" si="508"/>
        <v>SÁBADO</v>
      </c>
      <c r="E8058" s="427"/>
      <c r="F8058" s="31">
        <f>IFERROR(VLOOKUP(E8058,BD!$L$2:$Q$244,2,0),0)</f>
        <v>0</v>
      </c>
      <c r="G8058" s="424"/>
      <c r="H8058" s="31">
        <f>+IFERROR(VLOOKUP(E8058,BD!$L$2:$Q$244,6,0),0)</f>
        <v>0</v>
      </c>
      <c r="I8058" s="626">
        <f>IFERROR(G8058*VLOOKUP($E8058,BD!$L$2:$Q$244,5,0),0)</f>
        <v>0</v>
      </c>
      <c r="J8058" s="3">
        <f t="shared" si="509"/>
        <v>1900</v>
      </c>
    </row>
    <row r="8059" spans="1:10" s="9" customFormat="1" x14ac:dyDescent="0.25">
      <c r="A8059" s="447"/>
      <c r="B8059" s="55" t="str">
        <f t="shared" si="506"/>
        <v>ENERO</v>
      </c>
      <c r="C8059" s="55">
        <f t="shared" si="507"/>
        <v>1</v>
      </c>
      <c r="D8059" s="3" t="str">
        <f t="shared" si="508"/>
        <v>SÁBADO</v>
      </c>
      <c r="E8059" s="427"/>
      <c r="F8059" s="31">
        <f>IFERROR(VLOOKUP(E8059,BD!$L$2:$Q$244,2,0),0)</f>
        <v>0</v>
      </c>
      <c r="G8059" s="424"/>
      <c r="H8059" s="31">
        <f>+IFERROR(VLOOKUP(E8059,BD!$L$2:$Q$244,6,0),0)</f>
        <v>0</v>
      </c>
      <c r="I8059" s="626">
        <f>IFERROR(G8059*VLOOKUP($E8059,BD!$L$2:$Q$244,5,0),0)</f>
        <v>0</v>
      </c>
      <c r="J8059" s="3">
        <f t="shared" si="509"/>
        <v>1900</v>
      </c>
    </row>
    <row r="8060" spans="1:10" s="9" customFormat="1" x14ac:dyDescent="0.25">
      <c r="A8060" s="447"/>
      <c r="B8060" s="55" t="str">
        <f t="shared" si="506"/>
        <v>ENERO</v>
      </c>
      <c r="C8060" s="55">
        <f t="shared" si="507"/>
        <v>1</v>
      </c>
      <c r="D8060" s="3" t="str">
        <f t="shared" si="508"/>
        <v>SÁBADO</v>
      </c>
      <c r="E8060" s="427"/>
      <c r="F8060" s="31">
        <f>IFERROR(VLOOKUP(E8060,BD!$L$2:$Q$244,2,0),0)</f>
        <v>0</v>
      </c>
      <c r="G8060" s="424"/>
      <c r="H8060" s="31">
        <f>+IFERROR(VLOOKUP(E8060,BD!$L$2:$Q$244,6,0),0)</f>
        <v>0</v>
      </c>
      <c r="I8060" s="626">
        <f>IFERROR(G8060*VLOOKUP($E8060,BD!$L$2:$Q$244,5,0),0)</f>
        <v>0</v>
      </c>
      <c r="J8060" s="3">
        <f t="shared" si="509"/>
        <v>1900</v>
      </c>
    </row>
    <row r="8061" spans="1:10" s="9" customFormat="1" x14ac:dyDescent="0.25">
      <c r="A8061" s="447"/>
      <c r="B8061" s="55" t="str">
        <f t="shared" si="506"/>
        <v>ENERO</v>
      </c>
      <c r="C8061" s="55">
        <f t="shared" si="507"/>
        <v>1</v>
      </c>
      <c r="D8061" s="3" t="str">
        <f t="shared" si="508"/>
        <v>SÁBADO</v>
      </c>
      <c r="E8061" s="427"/>
      <c r="F8061" s="31">
        <f>IFERROR(VLOOKUP(E8061,BD!$L$2:$Q$244,2,0),0)</f>
        <v>0</v>
      </c>
      <c r="G8061" s="424"/>
      <c r="H8061" s="31">
        <f>+IFERROR(VLOOKUP(E8061,BD!$L$2:$Q$244,6,0),0)</f>
        <v>0</v>
      </c>
      <c r="I8061" s="626">
        <f>IFERROR(G8061*VLOOKUP($E8061,BD!$L$2:$Q$244,5,0),0)</f>
        <v>0</v>
      </c>
      <c r="J8061" s="3">
        <f t="shared" si="509"/>
        <v>1900</v>
      </c>
    </row>
    <row r="8062" spans="1:10" s="9" customFormat="1" x14ac:dyDescent="0.25">
      <c r="A8062" s="447"/>
      <c r="B8062" s="55" t="str">
        <f t="shared" si="506"/>
        <v>ENERO</v>
      </c>
      <c r="C8062" s="55">
        <f t="shared" si="507"/>
        <v>1</v>
      </c>
      <c r="D8062" s="3" t="str">
        <f t="shared" si="508"/>
        <v>SÁBADO</v>
      </c>
      <c r="E8062" s="427"/>
      <c r="F8062" s="31">
        <f>IFERROR(VLOOKUP(E8062,BD!$L$2:$Q$244,2,0),0)</f>
        <v>0</v>
      </c>
      <c r="G8062" s="424"/>
      <c r="H8062" s="31">
        <f>+IFERROR(VLOOKUP(E8062,BD!$L$2:$Q$244,6,0),0)</f>
        <v>0</v>
      </c>
      <c r="I8062" s="626">
        <f>IFERROR(G8062*VLOOKUP($E8062,BD!$L$2:$Q$244,5,0),0)</f>
        <v>0</v>
      </c>
      <c r="J8062" s="3">
        <f t="shared" si="509"/>
        <v>1900</v>
      </c>
    </row>
    <row r="8063" spans="1:10" s="9" customFormat="1" x14ac:dyDescent="0.25">
      <c r="A8063" s="447"/>
      <c r="B8063" s="55" t="str">
        <f t="shared" si="506"/>
        <v>ENERO</v>
      </c>
      <c r="C8063" s="55">
        <f t="shared" si="507"/>
        <v>1</v>
      </c>
      <c r="D8063" s="3" t="str">
        <f t="shared" si="508"/>
        <v>SÁBADO</v>
      </c>
      <c r="E8063" s="427"/>
      <c r="F8063" s="31">
        <f>IFERROR(VLOOKUP(E8063,BD!$L$2:$Q$244,2,0),0)</f>
        <v>0</v>
      </c>
      <c r="G8063" s="424"/>
      <c r="H8063" s="31">
        <f>+IFERROR(VLOOKUP(E8063,BD!$L$2:$Q$244,6,0),0)</f>
        <v>0</v>
      </c>
      <c r="I8063" s="626">
        <f>IFERROR(G8063*VLOOKUP($E8063,BD!$L$2:$Q$244,5,0),0)</f>
        <v>0</v>
      </c>
      <c r="J8063" s="3">
        <f t="shared" si="509"/>
        <v>1900</v>
      </c>
    </row>
    <row r="8064" spans="1:10" s="9" customFormat="1" x14ac:dyDescent="0.25">
      <c r="A8064" s="447"/>
      <c r="B8064" s="55" t="str">
        <f t="shared" si="506"/>
        <v>ENERO</v>
      </c>
      <c r="C8064" s="55">
        <f t="shared" si="507"/>
        <v>1</v>
      </c>
      <c r="D8064" s="3" t="str">
        <f t="shared" si="508"/>
        <v>SÁBADO</v>
      </c>
      <c r="E8064" s="427"/>
      <c r="F8064" s="31">
        <f>IFERROR(VLOOKUP(E8064,BD!$L$2:$Q$244,2,0),0)</f>
        <v>0</v>
      </c>
      <c r="G8064" s="424"/>
      <c r="H8064" s="31">
        <f>+IFERROR(VLOOKUP(E8064,BD!$L$2:$Q$244,6,0),0)</f>
        <v>0</v>
      </c>
      <c r="I8064" s="626">
        <f>IFERROR(G8064*VLOOKUP($E8064,BD!$L$2:$Q$244,5,0),0)</f>
        <v>0</v>
      </c>
      <c r="J8064" s="3">
        <f t="shared" si="509"/>
        <v>1900</v>
      </c>
    </row>
    <row r="8065" spans="1:10" s="9" customFormat="1" x14ac:dyDescent="0.25">
      <c r="A8065" s="447"/>
      <c r="B8065" s="55" t="str">
        <f t="shared" si="506"/>
        <v>ENERO</v>
      </c>
      <c r="C8065" s="55">
        <f t="shared" si="507"/>
        <v>1</v>
      </c>
      <c r="D8065" s="3" t="str">
        <f t="shared" si="508"/>
        <v>SÁBADO</v>
      </c>
      <c r="E8065" s="427"/>
      <c r="F8065" s="31">
        <f>IFERROR(VLOOKUP(E8065,BD!$L$2:$Q$244,2,0),0)</f>
        <v>0</v>
      </c>
      <c r="G8065" s="424"/>
      <c r="H8065" s="31">
        <f>+IFERROR(VLOOKUP(E8065,BD!$L$2:$Q$244,6,0),0)</f>
        <v>0</v>
      </c>
      <c r="I8065" s="626">
        <f>IFERROR(G8065*VLOOKUP($E8065,BD!$L$2:$Q$244,5,0),0)</f>
        <v>0</v>
      </c>
      <c r="J8065" s="3">
        <f t="shared" si="509"/>
        <v>1900</v>
      </c>
    </row>
    <row r="8066" spans="1:10" s="9" customFormat="1" x14ac:dyDescent="0.25">
      <c r="A8066" s="447"/>
      <c r="B8066" s="55" t="str">
        <f t="shared" si="506"/>
        <v>ENERO</v>
      </c>
      <c r="C8066" s="55">
        <f t="shared" si="507"/>
        <v>1</v>
      </c>
      <c r="D8066" s="3" t="str">
        <f t="shared" si="508"/>
        <v>SÁBADO</v>
      </c>
      <c r="E8066" s="427"/>
      <c r="F8066" s="31">
        <f>IFERROR(VLOOKUP(E8066,BD!$L$2:$Q$244,2,0),0)</f>
        <v>0</v>
      </c>
      <c r="G8066" s="424"/>
      <c r="H8066" s="31">
        <f>+IFERROR(VLOOKUP(E8066,BD!$L$2:$Q$244,6,0),0)</f>
        <v>0</v>
      </c>
      <c r="I8066" s="626">
        <f>IFERROR(G8066*VLOOKUP($E8066,BD!$L$2:$Q$244,5,0),0)</f>
        <v>0</v>
      </c>
      <c r="J8066" s="3">
        <f t="shared" si="509"/>
        <v>1900</v>
      </c>
    </row>
    <row r="8067" spans="1:10" s="9" customFormat="1" x14ac:dyDescent="0.25">
      <c r="A8067" s="447"/>
      <c r="B8067" s="55" t="str">
        <f t="shared" si="506"/>
        <v>ENERO</v>
      </c>
      <c r="C8067" s="55">
        <f t="shared" si="507"/>
        <v>1</v>
      </c>
      <c r="D8067" s="3" t="str">
        <f t="shared" si="508"/>
        <v>SÁBADO</v>
      </c>
      <c r="E8067" s="427"/>
      <c r="F8067" s="31">
        <f>IFERROR(VLOOKUP(E8067,BD!$L$2:$Q$244,2,0),0)</f>
        <v>0</v>
      </c>
      <c r="G8067" s="424"/>
      <c r="H8067" s="31">
        <f>+IFERROR(VLOOKUP(E8067,BD!$L$2:$Q$244,6,0),0)</f>
        <v>0</v>
      </c>
      <c r="I8067" s="626">
        <f>IFERROR(G8067*VLOOKUP($E8067,BD!$L$2:$Q$244,5,0),0)</f>
        <v>0</v>
      </c>
      <c r="J8067" s="3">
        <f t="shared" si="509"/>
        <v>1900</v>
      </c>
    </row>
    <row r="8068" spans="1:10" s="9" customFormat="1" x14ac:dyDescent="0.25">
      <c r="A8068" s="447"/>
      <c r="B8068" s="55" t="str">
        <f t="shared" si="506"/>
        <v>ENERO</v>
      </c>
      <c r="C8068" s="55">
        <f t="shared" si="507"/>
        <v>1</v>
      </c>
      <c r="D8068" s="3" t="str">
        <f t="shared" si="508"/>
        <v>SÁBADO</v>
      </c>
      <c r="E8068" s="427"/>
      <c r="F8068" s="31">
        <f>IFERROR(VLOOKUP(E8068,BD!$L$2:$Q$244,2,0),0)</f>
        <v>0</v>
      </c>
      <c r="G8068" s="424"/>
      <c r="H8068" s="31">
        <f>+IFERROR(VLOOKUP(E8068,BD!$L$2:$Q$244,6,0),0)</f>
        <v>0</v>
      </c>
      <c r="I8068" s="626">
        <f>IFERROR(G8068*VLOOKUP($E8068,BD!$L$2:$Q$244,5,0),0)</f>
        <v>0</v>
      </c>
      <c r="J8068" s="3">
        <f t="shared" si="509"/>
        <v>1900</v>
      </c>
    </row>
    <row r="8069" spans="1:10" s="9" customFormat="1" x14ac:dyDescent="0.25">
      <c r="A8069" s="447"/>
      <c r="B8069" s="55" t="str">
        <f t="shared" si="506"/>
        <v>ENERO</v>
      </c>
      <c r="C8069" s="55">
        <f t="shared" si="507"/>
        <v>1</v>
      </c>
      <c r="D8069" s="3" t="str">
        <f t="shared" si="508"/>
        <v>SÁBADO</v>
      </c>
      <c r="E8069" s="427"/>
      <c r="F8069" s="31">
        <f>IFERROR(VLOOKUP(E8069,BD!$L$2:$Q$244,2,0),0)</f>
        <v>0</v>
      </c>
      <c r="G8069" s="425"/>
      <c r="H8069" s="31">
        <f>+IFERROR(VLOOKUP(E8069,BD!$L$2:$Q$244,6,0),0)</f>
        <v>0</v>
      </c>
      <c r="I8069" s="626">
        <f>IFERROR(G8069*VLOOKUP($E8069,BD!$L$2:$Q$244,5,0),0)</f>
        <v>0</v>
      </c>
      <c r="J8069" s="3">
        <f t="shared" si="509"/>
        <v>1900</v>
      </c>
    </row>
    <row r="8070" spans="1:10" s="9" customFormat="1" x14ac:dyDescent="0.25">
      <c r="A8070" s="447"/>
      <c r="B8070" s="55" t="str">
        <f t="shared" si="506"/>
        <v>ENERO</v>
      </c>
      <c r="C8070" s="55">
        <f t="shared" si="507"/>
        <v>1</v>
      </c>
      <c r="D8070" s="3" t="str">
        <f t="shared" si="508"/>
        <v>SÁBADO</v>
      </c>
      <c r="E8070" s="427"/>
      <c r="F8070" s="31">
        <f>IFERROR(VLOOKUP(E8070,BD!$L$2:$Q$244,2,0),0)</f>
        <v>0</v>
      </c>
      <c r="G8070" s="424"/>
      <c r="H8070" s="31">
        <f>+IFERROR(VLOOKUP(E8070,BD!$L$2:$Q$244,6,0),0)</f>
        <v>0</v>
      </c>
      <c r="I8070" s="626">
        <f>IFERROR(G8070*VLOOKUP($E8070,BD!$L$2:$Q$244,5,0),0)</f>
        <v>0</v>
      </c>
      <c r="J8070" s="3">
        <f t="shared" si="509"/>
        <v>1900</v>
      </c>
    </row>
    <row r="8071" spans="1:10" s="9" customFormat="1" x14ac:dyDescent="0.25">
      <c r="A8071" s="447"/>
      <c r="B8071" s="55" t="str">
        <f t="shared" si="506"/>
        <v>ENERO</v>
      </c>
      <c r="C8071" s="55">
        <f t="shared" si="507"/>
        <v>1</v>
      </c>
      <c r="D8071" s="3" t="str">
        <f t="shared" si="508"/>
        <v>SÁBADO</v>
      </c>
      <c r="E8071" s="427"/>
      <c r="F8071" s="31">
        <f>IFERROR(VLOOKUP(E8071,BD!$L$2:$Q$244,2,0),0)</f>
        <v>0</v>
      </c>
      <c r="G8071" s="425"/>
      <c r="H8071" s="31">
        <f>+IFERROR(VLOOKUP(E8071,BD!$L$2:$Q$244,6,0),0)</f>
        <v>0</v>
      </c>
      <c r="I8071" s="626">
        <f>IFERROR(G8071*VLOOKUP($E8071,BD!$L$2:$Q$244,5,0),0)</f>
        <v>0</v>
      </c>
      <c r="J8071" s="3">
        <f t="shared" si="509"/>
        <v>1900</v>
      </c>
    </row>
    <row r="8072" spans="1:10" s="9" customFormat="1" x14ac:dyDescent="0.25">
      <c r="A8072" s="447"/>
      <c r="B8072" s="55" t="str">
        <f t="shared" si="506"/>
        <v>ENERO</v>
      </c>
      <c r="C8072" s="55">
        <f t="shared" si="507"/>
        <v>1</v>
      </c>
      <c r="D8072" s="3" t="str">
        <f t="shared" si="508"/>
        <v>SÁBADO</v>
      </c>
      <c r="E8072" s="427"/>
      <c r="F8072" s="31">
        <f>IFERROR(VLOOKUP(E8072,BD!$L$2:$Q$244,2,0),0)</f>
        <v>0</v>
      </c>
      <c r="G8072" s="424"/>
      <c r="H8072" s="31">
        <f>+IFERROR(VLOOKUP(E8072,BD!$L$2:$Q$244,6,0),0)</f>
        <v>0</v>
      </c>
      <c r="I8072" s="626">
        <f>IFERROR(G8072*VLOOKUP($E8072,BD!$L$2:$Q$244,5,0),0)</f>
        <v>0</v>
      </c>
      <c r="J8072" s="3">
        <f t="shared" si="509"/>
        <v>1900</v>
      </c>
    </row>
    <row r="8073" spans="1:10" s="9" customFormat="1" x14ac:dyDescent="0.25">
      <c r="A8073" s="447"/>
      <c r="B8073" s="55" t="str">
        <f t="shared" si="506"/>
        <v>ENERO</v>
      </c>
      <c r="C8073" s="55">
        <f t="shared" si="507"/>
        <v>1</v>
      </c>
      <c r="D8073" s="3" t="str">
        <f t="shared" si="508"/>
        <v>SÁBADO</v>
      </c>
      <c r="E8073" s="427"/>
      <c r="F8073" s="31">
        <f>IFERROR(VLOOKUP(E8073,BD!$L$2:$Q$244,2,0),0)</f>
        <v>0</v>
      </c>
      <c r="G8073" s="425"/>
      <c r="H8073" s="31">
        <f>+IFERROR(VLOOKUP(E8073,BD!$L$2:$Q$244,6,0),0)</f>
        <v>0</v>
      </c>
      <c r="I8073" s="626">
        <f>IFERROR(G8073*VLOOKUP($E8073,BD!$L$2:$Q$244,5,0),0)</f>
        <v>0</v>
      </c>
      <c r="J8073" s="3">
        <f t="shared" si="509"/>
        <v>1900</v>
      </c>
    </row>
    <row r="8074" spans="1:10" s="9" customFormat="1" x14ac:dyDescent="0.25">
      <c r="A8074" s="447"/>
      <c r="B8074" s="55" t="str">
        <f t="shared" si="506"/>
        <v>ENERO</v>
      </c>
      <c r="C8074" s="55">
        <f t="shared" si="507"/>
        <v>1</v>
      </c>
      <c r="D8074" s="3" t="str">
        <f t="shared" si="508"/>
        <v>SÁBADO</v>
      </c>
      <c r="E8074" s="427"/>
      <c r="F8074" s="31">
        <f>IFERROR(VLOOKUP(E8074,BD!$L$2:$Q$244,2,0),0)</f>
        <v>0</v>
      </c>
      <c r="G8074" s="424"/>
      <c r="H8074" s="31">
        <f>+IFERROR(VLOOKUP(E8074,BD!$L$2:$Q$244,6,0),0)</f>
        <v>0</v>
      </c>
      <c r="I8074" s="626">
        <f>IFERROR(G8074*VLOOKUP($E8074,BD!$L$2:$Q$244,5,0),0)</f>
        <v>0</v>
      </c>
      <c r="J8074" s="3">
        <f t="shared" si="509"/>
        <v>1900</v>
      </c>
    </row>
    <row r="8075" spans="1:10" s="9" customFormat="1" x14ac:dyDescent="0.25">
      <c r="A8075" s="447"/>
      <c r="B8075" s="55" t="str">
        <f t="shared" si="506"/>
        <v>ENERO</v>
      </c>
      <c r="C8075" s="55">
        <f t="shared" si="507"/>
        <v>1</v>
      </c>
      <c r="D8075" s="3" t="str">
        <f t="shared" si="508"/>
        <v>SÁBADO</v>
      </c>
      <c r="E8075" s="427"/>
      <c r="F8075" s="31">
        <f>IFERROR(VLOOKUP(E8075,BD!$L$2:$Q$244,2,0),0)</f>
        <v>0</v>
      </c>
      <c r="G8075" s="424"/>
      <c r="H8075" s="31">
        <f>+IFERROR(VLOOKUP(E8075,BD!$L$2:$Q$244,6,0),0)</f>
        <v>0</v>
      </c>
      <c r="I8075" s="626">
        <f>IFERROR(G8075*VLOOKUP($E8075,BD!$L$2:$Q$244,5,0),0)</f>
        <v>0</v>
      </c>
      <c r="J8075" s="3">
        <f t="shared" si="509"/>
        <v>1900</v>
      </c>
    </row>
    <row r="8076" spans="1:10" s="9" customFormat="1" x14ac:dyDescent="0.25">
      <c r="A8076" s="447"/>
      <c r="B8076" s="55" t="str">
        <f t="shared" si="506"/>
        <v>ENERO</v>
      </c>
      <c r="C8076" s="55">
        <f t="shared" si="507"/>
        <v>1</v>
      </c>
      <c r="D8076" s="3" t="str">
        <f t="shared" si="508"/>
        <v>SÁBADO</v>
      </c>
      <c r="E8076" s="427"/>
      <c r="F8076" s="31">
        <f>IFERROR(VLOOKUP(E8076,BD!$L$2:$Q$244,2,0),0)</f>
        <v>0</v>
      </c>
      <c r="G8076" s="424"/>
      <c r="H8076" s="31">
        <f>+IFERROR(VLOOKUP(E8076,BD!$L$2:$Q$244,6,0),0)</f>
        <v>0</v>
      </c>
      <c r="I8076" s="626">
        <f>IFERROR(G8076*VLOOKUP($E8076,BD!$L$2:$Q$244,5,0),0)</f>
        <v>0</v>
      </c>
      <c r="J8076" s="3">
        <f t="shared" si="509"/>
        <v>1900</v>
      </c>
    </row>
    <row r="8077" spans="1:10" s="9" customFormat="1" x14ac:dyDescent="0.25">
      <c r="A8077" s="447"/>
      <c r="B8077" s="55" t="str">
        <f t="shared" si="506"/>
        <v>ENERO</v>
      </c>
      <c r="C8077" s="55">
        <f t="shared" si="507"/>
        <v>1</v>
      </c>
      <c r="D8077" s="3" t="str">
        <f t="shared" si="508"/>
        <v>SÁBADO</v>
      </c>
      <c r="E8077" s="427"/>
      <c r="F8077" s="31">
        <f>IFERROR(VLOOKUP(E8077,BD!$L$2:$Q$244,2,0),0)</f>
        <v>0</v>
      </c>
      <c r="G8077" s="424"/>
      <c r="H8077" s="31">
        <f>+IFERROR(VLOOKUP(E8077,BD!$L$2:$Q$244,6,0),0)</f>
        <v>0</v>
      </c>
      <c r="I8077" s="626">
        <f>IFERROR(G8077*VLOOKUP($E8077,BD!$L$2:$Q$244,5,0),0)</f>
        <v>0</v>
      </c>
      <c r="J8077" s="3">
        <f t="shared" si="509"/>
        <v>1900</v>
      </c>
    </row>
    <row r="8078" spans="1:10" s="9" customFormat="1" x14ac:dyDescent="0.25">
      <c r="A8078" s="447"/>
      <c r="B8078" s="55" t="str">
        <f t="shared" si="506"/>
        <v>ENERO</v>
      </c>
      <c r="C8078" s="55">
        <f t="shared" si="507"/>
        <v>1</v>
      </c>
      <c r="D8078" s="3" t="str">
        <f t="shared" si="508"/>
        <v>SÁBADO</v>
      </c>
      <c r="E8078" s="427"/>
      <c r="F8078" s="31">
        <f>IFERROR(VLOOKUP(E8078,BD!$L$2:$Q$244,2,0),0)</f>
        <v>0</v>
      </c>
      <c r="G8078" s="424"/>
      <c r="H8078" s="31">
        <f>+IFERROR(VLOOKUP(E8078,BD!$L$2:$Q$244,6,0),0)</f>
        <v>0</v>
      </c>
      <c r="I8078" s="626">
        <f>IFERROR(G8078*VLOOKUP($E8078,BD!$L$2:$Q$244,5,0),0)</f>
        <v>0</v>
      </c>
      <c r="J8078" s="3">
        <f t="shared" si="509"/>
        <v>1900</v>
      </c>
    </row>
    <row r="8079" spans="1:10" s="9" customFormat="1" x14ac:dyDescent="0.25">
      <c r="A8079" s="447"/>
      <c r="B8079" s="55" t="str">
        <f t="shared" si="506"/>
        <v>ENERO</v>
      </c>
      <c r="C8079" s="55">
        <f t="shared" si="507"/>
        <v>1</v>
      </c>
      <c r="D8079" s="3" t="str">
        <f t="shared" si="508"/>
        <v>SÁBADO</v>
      </c>
      <c r="E8079" s="427"/>
      <c r="F8079" s="31">
        <f>IFERROR(VLOOKUP(E8079,BD!$L$2:$Q$244,2,0),0)</f>
        <v>0</v>
      </c>
      <c r="G8079" s="424"/>
      <c r="H8079" s="31">
        <f>+IFERROR(VLOOKUP(E8079,BD!$L$2:$Q$244,6,0),0)</f>
        <v>0</v>
      </c>
      <c r="I8079" s="626">
        <f>IFERROR(G8079*VLOOKUP($E8079,BD!$L$2:$Q$244,5,0),0)</f>
        <v>0</v>
      </c>
      <c r="J8079" s="3">
        <f t="shared" si="509"/>
        <v>1900</v>
      </c>
    </row>
    <row r="8080" spans="1:10" s="9" customFormat="1" x14ac:dyDescent="0.25">
      <c r="A8080" s="447"/>
      <c r="B8080" s="55" t="str">
        <f t="shared" si="506"/>
        <v>ENERO</v>
      </c>
      <c r="C8080" s="55">
        <f t="shared" si="507"/>
        <v>1</v>
      </c>
      <c r="D8080" s="3" t="str">
        <f t="shared" si="508"/>
        <v>SÁBADO</v>
      </c>
      <c r="E8080" s="427"/>
      <c r="F8080" s="31">
        <f>IFERROR(VLOOKUP(E8080,BD!$L$2:$Q$244,2,0),0)</f>
        <v>0</v>
      </c>
      <c r="G8080" s="424"/>
      <c r="H8080" s="31">
        <f>+IFERROR(VLOOKUP(E8080,BD!$L$2:$Q$244,6,0),0)</f>
        <v>0</v>
      </c>
      <c r="I8080" s="626">
        <f>IFERROR(G8080*VLOOKUP($E8080,BD!$L$2:$Q$244,5,0),0)</f>
        <v>0</v>
      </c>
      <c r="J8080" s="3">
        <f t="shared" si="509"/>
        <v>1900</v>
      </c>
    </row>
    <row r="8081" spans="1:10" s="9" customFormat="1" x14ac:dyDescent="0.25">
      <c r="A8081" s="447"/>
      <c r="B8081" s="55" t="str">
        <f t="shared" si="506"/>
        <v>ENERO</v>
      </c>
      <c r="C8081" s="55">
        <f t="shared" si="507"/>
        <v>1</v>
      </c>
      <c r="D8081" s="3" t="str">
        <f t="shared" si="508"/>
        <v>SÁBADO</v>
      </c>
      <c r="E8081" s="427"/>
      <c r="F8081" s="31">
        <f>IFERROR(VLOOKUP(E8081,BD!$L$2:$Q$244,2,0),0)</f>
        <v>0</v>
      </c>
      <c r="G8081" s="425"/>
      <c r="H8081" s="31">
        <f>+IFERROR(VLOOKUP(E8081,BD!$L$2:$Q$244,6,0),0)</f>
        <v>0</v>
      </c>
      <c r="I8081" s="626">
        <f>IFERROR(G8081*VLOOKUP($E8081,BD!$L$2:$Q$244,5,0),0)</f>
        <v>0</v>
      </c>
      <c r="J8081" s="3">
        <f t="shared" si="509"/>
        <v>1900</v>
      </c>
    </row>
    <row r="8082" spans="1:10" s="9" customFormat="1" x14ac:dyDescent="0.25">
      <c r="A8082" s="447"/>
      <c r="B8082" s="55" t="str">
        <f t="shared" si="506"/>
        <v>ENERO</v>
      </c>
      <c r="C8082" s="55">
        <f t="shared" si="507"/>
        <v>1</v>
      </c>
      <c r="D8082" s="3" t="str">
        <f t="shared" si="508"/>
        <v>SÁBADO</v>
      </c>
      <c r="E8082" s="427"/>
      <c r="F8082" s="31">
        <f>IFERROR(VLOOKUP(E8082,BD!$L$2:$Q$244,2,0),0)</f>
        <v>0</v>
      </c>
      <c r="G8082" s="424"/>
      <c r="H8082" s="31">
        <f>+IFERROR(VLOOKUP(E8082,BD!$L$2:$Q$244,6,0),0)</f>
        <v>0</v>
      </c>
      <c r="I8082" s="626">
        <f>IFERROR(G8082*VLOOKUP($E8082,BD!$L$2:$Q$244,5,0),0)</f>
        <v>0</v>
      </c>
      <c r="J8082" s="3">
        <f t="shared" si="509"/>
        <v>1900</v>
      </c>
    </row>
    <row r="8083" spans="1:10" s="9" customFormat="1" x14ac:dyDescent="0.25">
      <c r="A8083" s="447"/>
      <c r="B8083" s="55" t="str">
        <f t="shared" si="506"/>
        <v>ENERO</v>
      </c>
      <c r="C8083" s="55">
        <f t="shared" si="507"/>
        <v>1</v>
      </c>
      <c r="D8083" s="3" t="str">
        <f t="shared" si="508"/>
        <v>SÁBADO</v>
      </c>
      <c r="E8083" s="427"/>
      <c r="F8083" s="31">
        <f>IFERROR(VLOOKUP(E8083,BD!$L$2:$Q$244,2,0),0)</f>
        <v>0</v>
      </c>
      <c r="G8083" s="425"/>
      <c r="H8083" s="31">
        <f>+IFERROR(VLOOKUP(E8083,BD!$L$2:$Q$244,6,0),0)</f>
        <v>0</v>
      </c>
      <c r="I8083" s="626">
        <f>IFERROR(G8083*VLOOKUP($E8083,BD!$L$2:$Q$244,5,0),0)</f>
        <v>0</v>
      </c>
      <c r="J8083" s="3">
        <f t="shared" si="509"/>
        <v>1900</v>
      </c>
    </row>
    <row r="8084" spans="1:10" s="9" customFormat="1" x14ac:dyDescent="0.25">
      <c r="A8084" s="447"/>
      <c r="B8084" s="55" t="str">
        <f t="shared" si="506"/>
        <v>ENERO</v>
      </c>
      <c r="C8084" s="55">
        <f t="shared" si="507"/>
        <v>1</v>
      </c>
      <c r="D8084" s="3" t="str">
        <f t="shared" si="508"/>
        <v>SÁBADO</v>
      </c>
      <c r="E8084" s="427"/>
      <c r="F8084" s="31">
        <f>IFERROR(VLOOKUP(E8084,BD!$L$2:$Q$244,2,0),0)</f>
        <v>0</v>
      </c>
      <c r="G8084" s="424"/>
      <c r="H8084" s="31">
        <f>+IFERROR(VLOOKUP(E8084,BD!$L$2:$Q$244,6,0),0)</f>
        <v>0</v>
      </c>
      <c r="I8084" s="626">
        <f>IFERROR(G8084*VLOOKUP($E8084,BD!$L$2:$Q$244,5,0),0)</f>
        <v>0</v>
      </c>
      <c r="J8084" s="3">
        <f t="shared" si="509"/>
        <v>1900</v>
      </c>
    </row>
    <row r="8085" spans="1:10" s="9" customFormat="1" x14ac:dyDescent="0.25">
      <c r="A8085" s="447"/>
      <c r="B8085" s="55" t="str">
        <f t="shared" si="506"/>
        <v>ENERO</v>
      </c>
      <c r="C8085" s="55">
        <f t="shared" si="507"/>
        <v>1</v>
      </c>
      <c r="D8085" s="3" t="str">
        <f t="shared" si="508"/>
        <v>SÁBADO</v>
      </c>
      <c r="E8085" s="427"/>
      <c r="F8085" s="31">
        <f>IFERROR(VLOOKUP(E8085,BD!$L$2:$Q$244,2,0),0)</f>
        <v>0</v>
      </c>
      <c r="G8085" s="424"/>
      <c r="H8085" s="31">
        <f>+IFERROR(VLOOKUP(E8085,BD!$L$2:$Q$244,6,0),0)</f>
        <v>0</v>
      </c>
      <c r="I8085" s="626">
        <f>IFERROR(G8085*VLOOKUP($E8085,BD!$L$2:$Q$244,5,0),0)</f>
        <v>0</v>
      </c>
      <c r="J8085" s="3">
        <f t="shared" si="509"/>
        <v>1900</v>
      </c>
    </row>
    <row r="8086" spans="1:10" s="9" customFormat="1" x14ac:dyDescent="0.25">
      <c r="A8086" s="447"/>
      <c r="B8086" s="55" t="str">
        <f t="shared" si="506"/>
        <v>ENERO</v>
      </c>
      <c r="C8086" s="55">
        <f t="shared" si="507"/>
        <v>1</v>
      </c>
      <c r="D8086" s="3" t="str">
        <f t="shared" si="508"/>
        <v>SÁBADO</v>
      </c>
      <c r="E8086" s="427"/>
      <c r="F8086" s="31">
        <f>IFERROR(VLOOKUP(E8086,BD!$L$2:$Q$244,2,0),0)</f>
        <v>0</v>
      </c>
      <c r="G8086" s="424"/>
      <c r="H8086" s="31">
        <f>+IFERROR(VLOOKUP(E8086,BD!$L$2:$Q$244,6,0),0)</f>
        <v>0</v>
      </c>
      <c r="I8086" s="626">
        <f>IFERROR(G8086*VLOOKUP($E8086,BD!$L$2:$Q$244,5,0),0)</f>
        <v>0</v>
      </c>
      <c r="J8086" s="3">
        <f t="shared" si="509"/>
        <v>1900</v>
      </c>
    </row>
    <row r="8087" spans="1:10" s="9" customFormat="1" x14ac:dyDescent="0.25">
      <c r="A8087" s="447"/>
      <c r="B8087" s="55" t="str">
        <f t="shared" si="506"/>
        <v>ENERO</v>
      </c>
      <c r="C8087" s="55">
        <f t="shared" si="507"/>
        <v>1</v>
      </c>
      <c r="D8087" s="3" t="str">
        <f t="shared" si="508"/>
        <v>SÁBADO</v>
      </c>
      <c r="E8087" s="427"/>
      <c r="F8087" s="31">
        <f>IFERROR(VLOOKUP(E8087,BD!$L$2:$Q$244,2,0),0)</f>
        <v>0</v>
      </c>
      <c r="G8087" s="424"/>
      <c r="H8087" s="31">
        <f>+IFERROR(VLOOKUP(E8087,BD!$L$2:$Q$244,6,0),0)</f>
        <v>0</v>
      </c>
      <c r="I8087" s="626">
        <f>IFERROR(G8087*VLOOKUP($E8087,BD!$L$2:$Q$244,5,0),0)</f>
        <v>0</v>
      </c>
      <c r="J8087" s="3">
        <f t="shared" si="509"/>
        <v>1900</v>
      </c>
    </row>
    <row r="8088" spans="1:10" s="9" customFormat="1" x14ac:dyDescent="0.25">
      <c r="A8088" s="447"/>
      <c r="B8088" s="55" t="str">
        <f t="shared" si="506"/>
        <v>ENERO</v>
      </c>
      <c r="C8088" s="55">
        <f t="shared" si="507"/>
        <v>1</v>
      </c>
      <c r="D8088" s="3" t="str">
        <f t="shared" si="508"/>
        <v>SÁBADO</v>
      </c>
      <c r="E8088" s="427"/>
      <c r="F8088" s="31">
        <f>IFERROR(VLOOKUP(E8088,BD!$L$2:$Q$244,2,0),0)</f>
        <v>0</v>
      </c>
      <c r="G8088" s="425"/>
      <c r="H8088" s="31">
        <f>+IFERROR(VLOOKUP(E8088,BD!$L$2:$Q$244,6,0),0)</f>
        <v>0</v>
      </c>
      <c r="I8088" s="626">
        <f>IFERROR(G8088*VLOOKUP($E8088,BD!$L$2:$Q$244,5,0),0)</f>
        <v>0</v>
      </c>
      <c r="J8088" s="3">
        <f t="shared" si="509"/>
        <v>1900</v>
      </c>
    </row>
    <row r="8089" spans="1:10" s="9" customFormat="1" x14ac:dyDescent="0.25">
      <c r="A8089" s="447"/>
      <c r="B8089" s="55" t="str">
        <f t="shared" si="506"/>
        <v>ENERO</v>
      </c>
      <c r="C8089" s="55">
        <f t="shared" si="507"/>
        <v>1</v>
      </c>
      <c r="D8089" s="3" t="str">
        <f t="shared" si="508"/>
        <v>SÁBADO</v>
      </c>
      <c r="E8089" s="427"/>
      <c r="F8089" s="31">
        <f>IFERROR(VLOOKUP(E8089,BD!$L$2:$Q$244,2,0),0)</f>
        <v>0</v>
      </c>
      <c r="G8089" s="424"/>
      <c r="H8089" s="31">
        <f>+IFERROR(VLOOKUP(E8089,BD!$L$2:$Q$244,6,0),0)</f>
        <v>0</v>
      </c>
      <c r="I8089" s="626">
        <f>IFERROR(G8089*VLOOKUP($E8089,BD!$L$2:$Q$244,5,0),0)</f>
        <v>0</v>
      </c>
      <c r="J8089" s="3">
        <f t="shared" si="509"/>
        <v>1900</v>
      </c>
    </row>
    <row r="8090" spans="1:10" s="9" customFormat="1" x14ac:dyDescent="0.25">
      <c r="A8090" s="447"/>
      <c r="B8090" s="55" t="str">
        <f t="shared" si="506"/>
        <v>ENERO</v>
      </c>
      <c r="C8090" s="55">
        <f t="shared" si="507"/>
        <v>1</v>
      </c>
      <c r="D8090" s="3" t="str">
        <f t="shared" si="508"/>
        <v>SÁBADO</v>
      </c>
      <c r="E8090" s="427"/>
      <c r="F8090" s="31">
        <f>IFERROR(VLOOKUP(E8090,BD!$L$2:$Q$244,2,0),0)</f>
        <v>0</v>
      </c>
      <c r="G8090" s="424"/>
      <c r="H8090" s="31">
        <f>+IFERROR(VLOOKUP(E8090,BD!$L$2:$Q$244,6,0),0)</f>
        <v>0</v>
      </c>
      <c r="I8090" s="626">
        <f>IFERROR(G8090*VLOOKUP($E8090,BD!$L$2:$Q$244,5,0),0)</f>
        <v>0</v>
      </c>
      <c r="J8090" s="3">
        <f t="shared" si="509"/>
        <v>1900</v>
      </c>
    </row>
    <row r="8091" spans="1:10" s="9" customFormat="1" x14ac:dyDescent="0.25">
      <c r="A8091" s="447"/>
      <c r="B8091" s="55" t="str">
        <f t="shared" si="506"/>
        <v>ENERO</v>
      </c>
      <c r="C8091" s="55">
        <f t="shared" si="507"/>
        <v>1</v>
      </c>
      <c r="D8091" s="3" t="str">
        <f t="shared" si="508"/>
        <v>SÁBADO</v>
      </c>
      <c r="E8091" s="427"/>
      <c r="F8091" s="31">
        <f>IFERROR(VLOOKUP(E8091,BD!$L$2:$Q$244,2,0),0)</f>
        <v>0</v>
      </c>
      <c r="G8091" s="424"/>
      <c r="H8091" s="31">
        <f>+IFERROR(VLOOKUP(E8091,BD!$L$2:$Q$244,6,0),0)</f>
        <v>0</v>
      </c>
      <c r="I8091" s="626">
        <f>IFERROR(G8091*VLOOKUP($E8091,BD!$L$2:$Q$244,5,0),0)</f>
        <v>0</v>
      </c>
      <c r="J8091" s="3">
        <f t="shared" si="509"/>
        <v>1900</v>
      </c>
    </row>
    <row r="8092" spans="1:10" s="9" customFormat="1" x14ac:dyDescent="0.25">
      <c r="A8092" s="447"/>
      <c r="B8092" s="55" t="str">
        <f t="shared" si="506"/>
        <v>ENERO</v>
      </c>
      <c r="C8092" s="55">
        <f t="shared" si="507"/>
        <v>1</v>
      </c>
      <c r="D8092" s="3" t="str">
        <f t="shared" si="508"/>
        <v>SÁBADO</v>
      </c>
      <c r="E8092" s="427"/>
      <c r="F8092" s="31">
        <f>IFERROR(VLOOKUP(E8092,BD!$L$2:$Q$244,2,0),0)</f>
        <v>0</v>
      </c>
      <c r="G8092" s="424"/>
      <c r="H8092" s="31">
        <f>+IFERROR(VLOOKUP(E8092,BD!$L$2:$Q$244,6,0),0)</f>
        <v>0</v>
      </c>
      <c r="I8092" s="626">
        <f>IFERROR(G8092*VLOOKUP($E8092,BD!$L$2:$Q$244,5,0),0)</f>
        <v>0</v>
      </c>
      <c r="J8092" s="3">
        <f t="shared" si="509"/>
        <v>1900</v>
      </c>
    </row>
    <row r="8093" spans="1:10" s="9" customFormat="1" x14ac:dyDescent="0.25">
      <c r="A8093" s="447"/>
      <c r="B8093" s="55" t="str">
        <f t="shared" si="506"/>
        <v>ENERO</v>
      </c>
      <c r="C8093" s="55">
        <f t="shared" si="507"/>
        <v>1</v>
      </c>
      <c r="D8093" s="3" t="str">
        <f t="shared" si="508"/>
        <v>SÁBADO</v>
      </c>
      <c r="E8093" s="427"/>
      <c r="F8093" s="31">
        <f>IFERROR(VLOOKUP(E8093,BD!$L$2:$Q$244,2,0),0)</f>
        <v>0</v>
      </c>
      <c r="G8093" s="424"/>
      <c r="H8093" s="31">
        <f>+IFERROR(VLOOKUP(E8093,BD!$L$2:$Q$244,6,0),0)</f>
        <v>0</v>
      </c>
      <c r="I8093" s="626">
        <f>IFERROR(G8093*VLOOKUP($E8093,BD!$L$2:$Q$244,5,0),0)</f>
        <v>0</v>
      </c>
      <c r="J8093" s="3">
        <f t="shared" si="509"/>
        <v>1900</v>
      </c>
    </row>
    <row r="8094" spans="1:10" s="9" customFormat="1" x14ac:dyDescent="0.25">
      <c r="A8094" s="447"/>
      <c r="B8094" s="55" t="str">
        <f t="shared" si="506"/>
        <v>ENERO</v>
      </c>
      <c r="C8094" s="55">
        <f t="shared" si="507"/>
        <v>1</v>
      </c>
      <c r="D8094" s="3" t="str">
        <f t="shared" si="508"/>
        <v>SÁBADO</v>
      </c>
      <c r="E8094" s="427"/>
      <c r="F8094" s="31">
        <f>IFERROR(VLOOKUP(E8094,BD!$L$2:$Q$244,2,0),0)</f>
        <v>0</v>
      </c>
      <c r="G8094" s="424"/>
      <c r="H8094" s="31">
        <f>+IFERROR(VLOOKUP(E8094,BD!$L$2:$Q$244,6,0),0)</f>
        <v>0</v>
      </c>
      <c r="I8094" s="626">
        <f>IFERROR(G8094*VLOOKUP($E8094,BD!$L$2:$Q$244,5,0),0)</f>
        <v>0</v>
      </c>
      <c r="J8094" s="3">
        <f t="shared" si="509"/>
        <v>1900</v>
      </c>
    </row>
    <row r="8095" spans="1:10" s="9" customFormat="1" x14ac:dyDescent="0.25">
      <c r="A8095" s="447"/>
      <c r="B8095" s="55" t="str">
        <f t="shared" si="506"/>
        <v>ENERO</v>
      </c>
      <c r="C8095" s="55">
        <f t="shared" si="507"/>
        <v>1</v>
      </c>
      <c r="D8095" s="3" t="str">
        <f t="shared" si="508"/>
        <v>SÁBADO</v>
      </c>
      <c r="E8095" s="427"/>
      <c r="F8095" s="31">
        <f>IFERROR(VLOOKUP(E8095,BD!$L$2:$Q$244,2,0),0)</f>
        <v>0</v>
      </c>
      <c r="G8095" s="424"/>
      <c r="H8095" s="31">
        <f>+IFERROR(VLOOKUP(E8095,BD!$L$2:$Q$244,6,0),0)</f>
        <v>0</v>
      </c>
      <c r="I8095" s="626">
        <f>IFERROR(G8095*VLOOKUP($E8095,BD!$L$2:$Q$244,5,0),0)</f>
        <v>0</v>
      </c>
      <c r="J8095" s="3">
        <f t="shared" si="509"/>
        <v>1900</v>
      </c>
    </row>
    <row r="8096" spans="1:10" s="9" customFormat="1" x14ac:dyDescent="0.25">
      <c r="A8096" s="447"/>
      <c r="B8096" s="55" t="str">
        <f t="shared" si="506"/>
        <v>ENERO</v>
      </c>
      <c r="C8096" s="55">
        <f t="shared" si="507"/>
        <v>1</v>
      </c>
      <c r="D8096" s="3" t="str">
        <f t="shared" si="508"/>
        <v>SÁBADO</v>
      </c>
      <c r="E8096" s="427"/>
      <c r="F8096" s="31">
        <f>IFERROR(VLOOKUP(E8096,BD!$L$2:$Q$244,2,0),0)</f>
        <v>0</v>
      </c>
      <c r="G8096" s="424"/>
      <c r="H8096" s="31">
        <f>+IFERROR(VLOOKUP(E8096,BD!$L$2:$Q$244,6,0),0)</f>
        <v>0</v>
      </c>
      <c r="I8096" s="626">
        <f>IFERROR(G8096*VLOOKUP($E8096,BD!$L$2:$Q$244,5,0),0)</f>
        <v>0</v>
      </c>
      <c r="J8096" s="3">
        <f t="shared" si="509"/>
        <v>1900</v>
      </c>
    </row>
    <row r="8097" spans="1:10" s="9" customFormat="1" x14ac:dyDescent="0.25">
      <c r="A8097" s="447"/>
      <c r="B8097" s="55" t="str">
        <f t="shared" si="506"/>
        <v>ENERO</v>
      </c>
      <c r="C8097" s="55">
        <f t="shared" si="507"/>
        <v>1</v>
      </c>
      <c r="D8097" s="3" t="str">
        <f t="shared" si="508"/>
        <v>SÁBADO</v>
      </c>
      <c r="E8097" s="427"/>
      <c r="F8097" s="31">
        <f>IFERROR(VLOOKUP(E8097,BD!$L$2:$Q$244,2,0),0)</f>
        <v>0</v>
      </c>
      <c r="G8097" s="424"/>
      <c r="H8097" s="31">
        <f>+IFERROR(VLOOKUP(E8097,BD!$L$2:$Q$244,6,0),0)</f>
        <v>0</v>
      </c>
      <c r="I8097" s="626">
        <f>IFERROR(G8097*VLOOKUP($E8097,BD!$L$2:$Q$244,5,0),0)</f>
        <v>0</v>
      </c>
      <c r="J8097" s="3">
        <f t="shared" si="509"/>
        <v>1900</v>
      </c>
    </row>
    <row r="8098" spans="1:10" s="9" customFormat="1" x14ac:dyDescent="0.25">
      <c r="A8098" s="447"/>
      <c r="B8098" s="55" t="str">
        <f t="shared" si="506"/>
        <v>ENERO</v>
      </c>
      <c r="C8098" s="55">
        <f t="shared" si="507"/>
        <v>1</v>
      </c>
      <c r="D8098" s="3" t="str">
        <f t="shared" si="508"/>
        <v>SÁBADO</v>
      </c>
      <c r="E8098" s="427"/>
      <c r="F8098" s="31">
        <f>IFERROR(VLOOKUP(E8098,BD!$L$2:$Q$244,2,0),0)</f>
        <v>0</v>
      </c>
      <c r="G8098" s="424"/>
      <c r="H8098" s="31">
        <f>+IFERROR(VLOOKUP(E8098,BD!$L$2:$Q$244,6,0),0)</f>
        <v>0</v>
      </c>
      <c r="I8098" s="626">
        <f>IFERROR(G8098*VLOOKUP($E8098,BD!$L$2:$Q$244,5,0),0)</f>
        <v>0</v>
      </c>
      <c r="J8098" s="3">
        <f t="shared" si="509"/>
        <v>1900</v>
      </c>
    </row>
    <row r="8099" spans="1:10" s="9" customFormat="1" x14ac:dyDescent="0.25">
      <c r="A8099" s="447"/>
      <c r="B8099" s="55" t="str">
        <f t="shared" si="506"/>
        <v>ENERO</v>
      </c>
      <c r="C8099" s="55">
        <f t="shared" si="507"/>
        <v>1</v>
      </c>
      <c r="D8099" s="3" t="str">
        <f t="shared" si="508"/>
        <v>SÁBADO</v>
      </c>
      <c r="E8099" s="427"/>
      <c r="F8099" s="31">
        <f>IFERROR(VLOOKUP(E8099,BD!$L$2:$Q$244,2,0),0)</f>
        <v>0</v>
      </c>
      <c r="G8099" s="424"/>
      <c r="H8099" s="31">
        <f>+IFERROR(VLOOKUP(E8099,BD!$L$2:$Q$244,6,0),0)</f>
        <v>0</v>
      </c>
      <c r="I8099" s="626">
        <f>IFERROR(G8099*VLOOKUP($E8099,BD!$L$2:$Q$244,5,0),0)</f>
        <v>0</v>
      </c>
      <c r="J8099" s="3">
        <f t="shared" si="509"/>
        <v>1900</v>
      </c>
    </row>
    <row r="8100" spans="1:10" s="9" customFormat="1" x14ac:dyDescent="0.25">
      <c r="A8100" s="447"/>
      <c r="B8100" s="55" t="str">
        <f t="shared" si="506"/>
        <v>ENERO</v>
      </c>
      <c r="C8100" s="55">
        <f t="shared" si="507"/>
        <v>1</v>
      </c>
      <c r="D8100" s="3" t="str">
        <f t="shared" si="508"/>
        <v>SÁBADO</v>
      </c>
      <c r="E8100" s="427"/>
      <c r="F8100" s="31">
        <f>IFERROR(VLOOKUP(E8100,BD!$L$2:$Q$244,2,0),0)</f>
        <v>0</v>
      </c>
      <c r="G8100" s="424"/>
      <c r="H8100" s="31">
        <f>+IFERROR(VLOOKUP(E8100,BD!$L$2:$Q$244,6,0),0)</f>
        <v>0</v>
      </c>
      <c r="I8100" s="626">
        <f>IFERROR(G8100*VLOOKUP($E8100,BD!$L$2:$Q$244,5,0),0)</f>
        <v>0</v>
      </c>
      <c r="J8100" s="3">
        <f t="shared" si="509"/>
        <v>1900</v>
      </c>
    </row>
    <row r="8101" spans="1:10" s="9" customFormat="1" x14ac:dyDescent="0.25">
      <c r="A8101" s="447"/>
      <c r="B8101" s="55" t="str">
        <f t="shared" si="506"/>
        <v>ENERO</v>
      </c>
      <c r="C8101" s="55">
        <f t="shared" si="507"/>
        <v>1</v>
      </c>
      <c r="D8101" s="3" t="str">
        <f t="shared" si="508"/>
        <v>SÁBADO</v>
      </c>
      <c r="E8101" s="427"/>
      <c r="F8101" s="31">
        <f>IFERROR(VLOOKUP(E8101,BD!$L$2:$Q$244,2,0),0)</f>
        <v>0</v>
      </c>
      <c r="G8101" s="424"/>
      <c r="H8101" s="31">
        <f>+IFERROR(VLOOKUP(E8101,BD!$L$2:$Q$244,6,0),0)</f>
        <v>0</v>
      </c>
      <c r="I8101" s="626">
        <f>IFERROR(G8101*VLOOKUP($E8101,BD!$L$2:$Q$244,5,0),0)</f>
        <v>0</v>
      </c>
      <c r="J8101" s="3">
        <f t="shared" si="509"/>
        <v>1900</v>
      </c>
    </row>
    <row r="8102" spans="1:10" s="9" customFormat="1" x14ac:dyDescent="0.25">
      <c r="A8102" s="447"/>
      <c r="B8102" s="55" t="str">
        <f t="shared" si="506"/>
        <v>ENERO</v>
      </c>
      <c r="C8102" s="55">
        <f t="shared" si="507"/>
        <v>1</v>
      </c>
      <c r="D8102" s="3" t="str">
        <f t="shared" si="508"/>
        <v>SÁBADO</v>
      </c>
      <c r="E8102" s="427"/>
      <c r="F8102" s="31">
        <f>IFERROR(VLOOKUP(E8102,BD!$L$2:$Q$244,2,0),0)</f>
        <v>0</v>
      </c>
      <c r="G8102" s="424"/>
      <c r="H8102" s="31">
        <f>+IFERROR(VLOOKUP(E8102,BD!$L$2:$Q$244,6,0),0)</f>
        <v>0</v>
      </c>
      <c r="I8102" s="626">
        <f>IFERROR(G8102*VLOOKUP($E8102,BD!$L$2:$Q$244,5,0),0)</f>
        <v>0</v>
      </c>
      <c r="J8102" s="3">
        <f t="shared" si="509"/>
        <v>1900</v>
      </c>
    </row>
    <row r="8103" spans="1:10" s="9" customFormat="1" x14ac:dyDescent="0.25">
      <c r="A8103" s="447"/>
      <c r="B8103" s="55" t="str">
        <f t="shared" si="506"/>
        <v>ENERO</v>
      </c>
      <c r="C8103" s="55">
        <f t="shared" si="507"/>
        <v>1</v>
      </c>
      <c r="D8103" s="3" t="str">
        <f t="shared" si="508"/>
        <v>SÁBADO</v>
      </c>
      <c r="E8103" s="427"/>
      <c r="F8103" s="31">
        <f>IFERROR(VLOOKUP(E8103,BD!$L$2:$Q$244,2,0),0)</f>
        <v>0</v>
      </c>
      <c r="G8103" s="424"/>
      <c r="H8103" s="31">
        <f>+IFERROR(VLOOKUP(E8103,BD!$L$2:$Q$244,6,0),0)</f>
        <v>0</v>
      </c>
      <c r="I8103" s="626">
        <f>IFERROR(G8103*VLOOKUP($E8103,BD!$L$2:$Q$244,5,0),0)</f>
        <v>0</v>
      </c>
      <c r="J8103" s="3">
        <f t="shared" si="509"/>
        <v>1900</v>
      </c>
    </row>
    <row r="8104" spans="1:10" s="9" customFormat="1" x14ac:dyDescent="0.25">
      <c r="A8104" s="447"/>
      <c r="B8104" s="55" t="str">
        <f t="shared" si="506"/>
        <v>ENERO</v>
      </c>
      <c r="C8104" s="55">
        <f t="shared" si="507"/>
        <v>1</v>
      </c>
      <c r="D8104" s="3" t="str">
        <f t="shared" si="508"/>
        <v>SÁBADO</v>
      </c>
      <c r="E8104" s="427"/>
      <c r="F8104" s="31">
        <f>IFERROR(VLOOKUP(E8104,BD!$L$2:$Q$244,2,0),0)</f>
        <v>0</v>
      </c>
      <c r="G8104" s="424"/>
      <c r="H8104" s="31">
        <f>+IFERROR(VLOOKUP(E8104,BD!$L$2:$Q$244,6,0),0)</f>
        <v>0</v>
      </c>
      <c r="I8104" s="626">
        <f>IFERROR(G8104*VLOOKUP($E8104,BD!$L$2:$Q$244,5,0),0)</f>
        <v>0</v>
      </c>
      <c r="J8104" s="3">
        <f t="shared" si="509"/>
        <v>1900</v>
      </c>
    </row>
    <row r="8105" spans="1:10" s="9" customFormat="1" x14ac:dyDescent="0.25">
      <c r="A8105" s="447"/>
      <c r="B8105" s="55" t="str">
        <f t="shared" si="506"/>
        <v>ENERO</v>
      </c>
      <c r="C8105" s="55">
        <f t="shared" si="507"/>
        <v>1</v>
      </c>
      <c r="D8105" s="3" t="str">
        <f t="shared" si="508"/>
        <v>SÁBADO</v>
      </c>
      <c r="E8105" s="427"/>
      <c r="F8105" s="31">
        <f>IFERROR(VLOOKUP(E8105,BD!$L$2:$Q$244,2,0),0)</f>
        <v>0</v>
      </c>
      <c r="G8105" s="424"/>
      <c r="H8105" s="31">
        <f>+IFERROR(VLOOKUP(E8105,BD!$L$2:$Q$244,6,0),0)</f>
        <v>0</v>
      </c>
      <c r="I8105" s="626">
        <f>IFERROR(G8105*VLOOKUP($E8105,BD!$L$2:$Q$244,5,0),0)</f>
        <v>0</v>
      </c>
      <c r="J8105" s="3">
        <f t="shared" si="509"/>
        <v>1900</v>
      </c>
    </row>
    <row r="8106" spans="1:10" s="9" customFormat="1" x14ac:dyDescent="0.25">
      <c r="A8106" s="447"/>
      <c r="B8106" s="55" t="str">
        <f t="shared" si="506"/>
        <v>ENERO</v>
      </c>
      <c r="C8106" s="55">
        <f t="shared" si="507"/>
        <v>1</v>
      </c>
      <c r="D8106" s="3" t="str">
        <f t="shared" si="508"/>
        <v>SÁBADO</v>
      </c>
      <c r="E8106" s="427"/>
      <c r="F8106" s="31">
        <f>IFERROR(VLOOKUP(E8106,BD!$L$2:$Q$244,2,0),0)</f>
        <v>0</v>
      </c>
      <c r="G8106" s="424"/>
      <c r="H8106" s="31">
        <f>+IFERROR(VLOOKUP(E8106,BD!$L$2:$Q$244,6,0),0)</f>
        <v>0</v>
      </c>
      <c r="I8106" s="626">
        <f>IFERROR(G8106*VLOOKUP($E8106,BD!$L$2:$Q$244,5,0),0)</f>
        <v>0</v>
      </c>
      <c r="J8106" s="3">
        <f t="shared" si="509"/>
        <v>1900</v>
      </c>
    </row>
    <row r="8107" spans="1:10" s="9" customFormat="1" x14ac:dyDescent="0.25">
      <c r="A8107" s="447"/>
      <c r="B8107" s="55" t="str">
        <f t="shared" si="506"/>
        <v>ENERO</v>
      </c>
      <c r="C8107" s="55">
        <f t="shared" si="507"/>
        <v>1</v>
      </c>
      <c r="D8107" s="3" t="str">
        <f t="shared" si="508"/>
        <v>SÁBADO</v>
      </c>
      <c r="E8107" s="427"/>
      <c r="F8107" s="31">
        <f>IFERROR(VLOOKUP(E8107,BD!$L$2:$Q$244,2,0),0)</f>
        <v>0</v>
      </c>
      <c r="G8107" s="424"/>
      <c r="H8107" s="31">
        <f>+IFERROR(VLOOKUP(E8107,BD!$L$2:$Q$244,6,0),0)</f>
        <v>0</v>
      </c>
      <c r="I8107" s="626">
        <f>IFERROR(G8107*VLOOKUP($E8107,BD!$L$2:$Q$244,5,0),0)</f>
        <v>0</v>
      </c>
      <c r="J8107" s="3">
        <f t="shared" si="509"/>
        <v>1900</v>
      </c>
    </row>
    <row r="8108" spans="1:10" s="9" customFormat="1" x14ac:dyDescent="0.25">
      <c r="A8108" s="447"/>
      <c r="B8108" s="55" t="str">
        <f t="shared" si="506"/>
        <v>ENERO</v>
      </c>
      <c r="C8108" s="55">
        <f t="shared" si="507"/>
        <v>1</v>
      </c>
      <c r="D8108" s="3" t="str">
        <f t="shared" si="508"/>
        <v>SÁBADO</v>
      </c>
      <c r="E8108" s="427"/>
      <c r="F8108" s="31">
        <f>IFERROR(VLOOKUP(E8108,BD!$L$2:$Q$244,2,0),0)</f>
        <v>0</v>
      </c>
      <c r="G8108" s="424"/>
      <c r="H8108" s="31">
        <f>+IFERROR(VLOOKUP(E8108,BD!$L$2:$Q$244,6,0),0)</f>
        <v>0</v>
      </c>
      <c r="I8108" s="626">
        <f>IFERROR(G8108*VLOOKUP($E8108,BD!$L$2:$Q$244,5,0),0)</f>
        <v>0</v>
      </c>
      <c r="J8108" s="3">
        <f t="shared" si="509"/>
        <v>1900</v>
      </c>
    </row>
    <row r="8109" spans="1:10" s="9" customFormat="1" x14ac:dyDescent="0.25">
      <c r="A8109" s="447"/>
      <c r="B8109" s="55" t="str">
        <f t="shared" si="506"/>
        <v>ENERO</v>
      </c>
      <c r="C8109" s="55">
        <f t="shared" si="507"/>
        <v>1</v>
      </c>
      <c r="D8109" s="3" t="str">
        <f t="shared" si="508"/>
        <v>SÁBADO</v>
      </c>
      <c r="E8109" s="427"/>
      <c r="F8109" s="31">
        <f>IFERROR(VLOOKUP(E8109,BD!$L$2:$Q$244,2,0),0)</f>
        <v>0</v>
      </c>
      <c r="G8109" s="424"/>
      <c r="H8109" s="31">
        <f>+IFERROR(VLOOKUP(E8109,BD!$L$2:$Q$244,6,0),0)</f>
        <v>0</v>
      </c>
      <c r="I8109" s="626">
        <f>IFERROR(G8109*VLOOKUP($E8109,BD!$L$2:$Q$244,5,0),0)</f>
        <v>0</v>
      </c>
      <c r="J8109" s="3">
        <f t="shared" si="509"/>
        <v>1900</v>
      </c>
    </row>
    <row r="8110" spans="1:10" s="9" customFormat="1" x14ac:dyDescent="0.25">
      <c r="A8110" s="447"/>
      <c r="B8110" s="55" t="str">
        <f t="shared" si="506"/>
        <v>ENERO</v>
      </c>
      <c r="C8110" s="55">
        <f t="shared" si="507"/>
        <v>1</v>
      </c>
      <c r="D8110" s="3" t="str">
        <f t="shared" si="508"/>
        <v>SÁBADO</v>
      </c>
      <c r="E8110" s="427"/>
      <c r="F8110" s="31">
        <f>IFERROR(VLOOKUP(E8110,BD!$L$2:$Q$244,2,0),0)</f>
        <v>0</v>
      </c>
      <c r="G8110" s="424"/>
      <c r="H8110" s="31">
        <f>+IFERROR(VLOOKUP(E8110,BD!$L$2:$Q$244,6,0),0)</f>
        <v>0</v>
      </c>
      <c r="I8110" s="626">
        <f>IFERROR(G8110*VLOOKUP($E8110,BD!$L$2:$Q$244,5,0),0)</f>
        <v>0</v>
      </c>
      <c r="J8110" s="3">
        <f t="shared" si="509"/>
        <v>1900</v>
      </c>
    </row>
    <row r="8111" spans="1:10" s="9" customFormat="1" x14ac:dyDescent="0.25">
      <c r="A8111" s="447"/>
      <c r="B8111" s="55" t="str">
        <f t="shared" si="506"/>
        <v>ENERO</v>
      </c>
      <c r="C8111" s="55">
        <f t="shared" si="507"/>
        <v>1</v>
      </c>
      <c r="D8111" s="3" t="str">
        <f t="shared" si="508"/>
        <v>SÁBADO</v>
      </c>
      <c r="E8111" s="427"/>
      <c r="F8111" s="31">
        <f>IFERROR(VLOOKUP(E8111,BD!$L$2:$Q$244,2,0),0)</f>
        <v>0</v>
      </c>
      <c r="G8111" s="424"/>
      <c r="H8111" s="31">
        <f>+IFERROR(VLOOKUP(E8111,BD!$L$2:$Q$244,6,0),0)</f>
        <v>0</v>
      </c>
      <c r="I8111" s="626">
        <f>IFERROR(G8111*VLOOKUP($E8111,BD!$L$2:$Q$244,5,0),0)</f>
        <v>0</v>
      </c>
      <c r="J8111" s="3">
        <f t="shared" si="509"/>
        <v>1900</v>
      </c>
    </row>
    <row r="8112" spans="1:10" s="9" customFormat="1" x14ac:dyDescent="0.25">
      <c r="A8112" s="447"/>
      <c r="B8112" s="55" t="str">
        <f t="shared" si="506"/>
        <v>ENERO</v>
      </c>
      <c r="C8112" s="55">
        <f t="shared" si="507"/>
        <v>1</v>
      </c>
      <c r="D8112" s="3" t="str">
        <f t="shared" si="508"/>
        <v>SÁBADO</v>
      </c>
      <c r="E8112" s="427"/>
      <c r="F8112" s="31">
        <f>IFERROR(VLOOKUP(E8112,BD!$L$2:$Q$244,2,0),0)</f>
        <v>0</v>
      </c>
      <c r="G8112" s="424"/>
      <c r="H8112" s="31">
        <f>+IFERROR(VLOOKUP(E8112,BD!$L$2:$Q$244,6,0),0)</f>
        <v>0</v>
      </c>
      <c r="I8112" s="626">
        <f>IFERROR(G8112*VLOOKUP($E8112,BD!$L$2:$Q$244,5,0),0)</f>
        <v>0</v>
      </c>
      <c r="J8112" s="3">
        <f t="shared" si="509"/>
        <v>1900</v>
      </c>
    </row>
    <row r="8113" spans="1:10" s="9" customFormat="1" x14ac:dyDescent="0.25">
      <c r="A8113" s="447"/>
      <c r="B8113" s="55" t="str">
        <f t="shared" si="506"/>
        <v>ENERO</v>
      </c>
      <c r="C8113" s="55">
        <f t="shared" si="507"/>
        <v>1</v>
      </c>
      <c r="D8113" s="3" t="str">
        <f t="shared" si="508"/>
        <v>SÁBADO</v>
      </c>
      <c r="E8113" s="427"/>
      <c r="F8113" s="31">
        <f>IFERROR(VLOOKUP(E8113,BD!$L$2:$Q$244,2,0),0)</f>
        <v>0</v>
      </c>
      <c r="G8113" s="424"/>
      <c r="H8113" s="31">
        <f>+IFERROR(VLOOKUP(E8113,BD!$L$2:$Q$244,6,0),0)</f>
        <v>0</v>
      </c>
      <c r="I8113" s="626">
        <f>IFERROR(G8113*VLOOKUP($E8113,BD!$L$2:$Q$244,5,0),0)</f>
        <v>0</v>
      </c>
      <c r="J8113" s="3">
        <f t="shared" si="509"/>
        <v>1900</v>
      </c>
    </row>
    <row r="8114" spans="1:10" s="9" customFormat="1" x14ac:dyDescent="0.25">
      <c r="A8114" s="447"/>
      <c r="B8114" s="55" t="str">
        <f t="shared" si="506"/>
        <v>ENERO</v>
      </c>
      <c r="C8114" s="55">
        <f t="shared" si="507"/>
        <v>1</v>
      </c>
      <c r="D8114" s="3" t="str">
        <f t="shared" si="508"/>
        <v>SÁBADO</v>
      </c>
      <c r="E8114" s="427"/>
      <c r="F8114" s="31">
        <f>IFERROR(VLOOKUP(E8114,BD!$L$2:$Q$244,2,0),0)</f>
        <v>0</v>
      </c>
      <c r="G8114" s="424"/>
      <c r="H8114" s="31">
        <f>+IFERROR(VLOOKUP(E8114,BD!$L$2:$Q$244,6,0),0)</f>
        <v>0</v>
      </c>
      <c r="I8114" s="626">
        <f>IFERROR(G8114*VLOOKUP($E8114,BD!$L$2:$Q$244,5,0),0)</f>
        <v>0</v>
      </c>
      <c r="J8114" s="3">
        <f t="shared" si="509"/>
        <v>1900</v>
      </c>
    </row>
    <row r="8115" spans="1:10" s="9" customFormat="1" x14ac:dyDescent="0.25">
      <c r="A8115" s="447"/>
      <c r="B8115" s="55" t="str">
        <f t="shared" si="506"/>
        <v>ENERO</v>
      </c>
      <c r="C8115" s="55">
        <f t="shared" si="507"/>
        <v>1</v>
      </c>
      <c r="D8115" s="3" t="str">
        <f t="shared" si="508"/>
        <v>SÁBADO</v>
      </c>
      <c r="E8115" s="427"/>
      <c r="F8115" s="31">
        <f>IFERROR(VLOOKUP(E8115,BD!$L$2:$Q$244,2,0),0)</f>
        <v>0</v>
      </c>
      <c r="G8115" s="424"/>
      <c r="H8115" s="31">
        <f>+IFERROR(VLOOKUP(E8115,BD!$L$2:$Q$244,6,0),0)</f>
        <v>0</v>
      </c>
      <c r="I8115" s="626">
        <f>IFERROR(G8115*VLOOKUP($E8115,BD!$L$2:$Q$244,5,0),0)</f>
        <v>0</v>
      </c>
      <c r="J8115" s="3">
        <f t="shared" si="509"/>
        <v>1900</v>
      </c>
    </row>
    <row r="8116" spans="1:10" s="9" customFormat="1" x14ac:dyDescent="0.25">
      <c r="A8116" s="447"/>
      <c r="B8116" s="55" t="str">
        <f t="shared" si="506"/>
        <v>ENERO</v>
      </c>
      <c r="C8116" s="55">
        <f t="shared" si="507"/>
        <v>1</v>
      </c>
      <c r="D8116" s="3" t="str">
        <f t="shared" si="508"/>
        <v>SÁBADO</v>
      </c>
      <c r="E8116" s="427"/>
      <c r="F8116" s="31">
        <f>IFERROR(VLOOKUP(E8116,BD!$L$2:$Q$244,2,0),0)</f>
        <v>0</v>
      </c>
      <c r="G8116" s="424"/>
      <c r="H8116" s="31">
        <f>+IFERROR(VLOOKUP(E8116,BD!$L$2:$Q$244,6,0),0)</f>
        <v>0</v>
      </c>
      <c r="I8116" s="626">
        <f>IFERROR(G8116*VLOOKUP($E8116,BD!$L$2:$Q$244,5,0),0)</f>
        <v>0</v>
      </c>
      <c r="J8116" s="3">
        <f t="shared" si="509"/>
        <v>1900</v>
      </c>
    </row>
    <row r="8117" spans="1:10" s="9" customFormat="1" x14ac:dyDescent="0.25">
      <c r="A8117" s="447"/>
      <c r="B8117" s="55" t="str">
        <f t="shared" si="506"/>
        <v>ENERO</v>
      </c>
      <c r="C8117" s="55">
        <f t="shared" si="507"/>
        <v>1</v>
      </c>
      <c r="D8117" s="3" t="str">
        <f t="shared" si="508"/>
        <v>SÁBADO</v>
      </c>
      <c r="E8117" s="427"/>
      <c r="F8117" s="31">
        <f>IFERROR(VLOOKUP(E8117,BD!$L$2:$Q$244,2,0),0)</f>
        <v>0</v>
      </c>
      <c r="G8117" s="424"/>
      <c r="H8117" s="31">
        <f>+IFERROR(VLOOKUP(E8117,BD!$L$2:$Q$244,6,0),0)</f>
        <v>0</v>
      </c>
      <c r="I8117" s="626">
        <f>IFERROR(G8117*VLOOKUP($E8117,BD!$L$2:$Q$244,5,0),0)</f>
        <v>0</v>
      </c>
      <c r="J8117" s="3">
        <f t="shared" si="509"/>
        <v>1900</v>
      </c>
    </row>
    <row r="8118" spans="1:10" s="9" customFormat="1" x14ac:dyDescent="0.25">
      <c r="A8118" s="447"/>
      <c r="B8118" s="55" t="str">
        <f t="shared" si="506"/>
        <v>ENERO</v>
      </c>
      <c r="C8118" s="55">
        <f t="shared" si="507"/>
        <v>1</v>
      </c>
      <c r="D8118" s="3" t="str">
        <f t="shared" si="508"/>
        <v>SÁBADO</v>
      </c>
      <c r="E8118" s="427"/>
      <c r="F8118" s="31">
        <f>IFERROR(VLOOKUP(E8118,BD!$L$2:$Q$244,2,0),0)</f>
        <v>0</v>
      </c>
      <c r="G8118" s="424"/>
      <c r="H8118" s="31">
        <f>+IFERROR(VLOOKUP(E8118,BD!$L$2:$Q$244,6,0),0)</f>
        <v>0</v>
      </c>
      <c r="I8118" s="626">
        <f>IFERROR(G8118*VLOOKUP($E8118,BD!$L$2:$Q$244,5,0),0)</f>
        <v>0</v>
      </c>
      <c r="J8118" s="3">
        <f t="shared" si="509"/>
        <v>1900</v>
      </c>
    </row>
    <row r="8119" spans="1:10" s="9" customFormat="1" x14ac:dyDescent="0.25">
      <c r="A8119" s="447"/>
      <c r="B8119" s="55" t="str">
        <f t="shared" si="506"/>
        <v>ENERO</v>
      </c>
      <c r="C8119" s="55">
        <f t="shared" si="507"/>
        <v>1</v>
      </c>
      <c r="D8119" s="3" t="str">
        <f t="shared" si="508"/>
        <v>SÁBADO</v>
      </c>
      <c r="E8119" s="427"/>
      <c r="F8119" s="31">
        <f>IFERROR(VLOOKUP(E8119,BD!$L$2:$Q$244,2,0),0)</f>
        <v>0</v>
      </c>
      <c r="G8119" s="424"/>
      <c r="H8119" s="31">
        <f>+IFERROR(VLOOKUP(E8119,BD!$L$2:$Q$244,6,0),0)</f>
        <v>0</v>
      </c>
      <c r="I8119" s="626">
        <f>IFERROR(G8119*VLOOKUP($E8119,BD!$L$2:$Q$244,5,0),0)</f>
        <v>0</v>
      </c>
      <c r="J8119" s="3">
        <f t="shared" si="509"/>
        <v>1900</v>
      </c>
    </row>
    <row r="8120" spans="1:10" s="9" customFormat="1" x14ac:dyDescent="0.25">
      <c r="A8120" s="447"/>
      <c r="B8120" s="55" t="str">
        <f t="shared" si="506"/>
        <v>ENERO</v>
      </c>
      <c r="C8120" s="55">
        <f t="shared" si="507"/>
        <v>1</v>
      </c>
      <c r="D8120" s="3" t="str">
        <f t="shared" si="508"/>
        <v>SÁBADO</v>
      </c>
      <c r="E8120" s="427"/>
      <c r="F8120" s="31">
        <f>IFERROR(VLOOKUP(E8120,BD!$L$2:$Q$244,2,0),0)</f>
        <v>0</v>
      </c>
      <c r="G8120" s="425"/>
      <c r="H8120" s="31">
        <f>+IFERROR(VLOOKUP(E8120,BD!$L$2:$Q$244,6,0),0)</f>
        <v>0</v>
      </c>
      <c r="I8120" s="626">
        <f>IFERROR(G8120*VLOOKUP($E8120,BD!$L$2:$Q$244,5,0),0)</f>
        <v>0</v>
      </c>
      <c r="J8120" s="3">
        <f t="shared" si="509"/>
        <v>1900</v>
      </c>
    </row>
    <row r="8121" spans="1:10" s="9" customFormat="1" x14ac:dyDescent="0.25">
      <c r="A8121" s="447"/>
      <c r="B8121" s="55" t="str">
        <f t="shared" si="506"/>
        <v>ENERO</v>
      </c>
      <c r="C8121" s="55">
        <f t="shared" si="507"/>
        <v>1</v>
      </c>
      <c r="D8121" s="3" t="str">
        <f t="shared" si="508"/>
        <v>SÁBADO</v>
      </c>
      <c r="E8121" s="427"/>
      <c r="F8121" s="31">
        <f>IFERROR(VLOOKUP(E8121,BD!$L$2:$Q$244,2,0),0)</f>
        <v>0</v>
      </c>
      <c r="G8121" s="424"/>
      <c r="H8121" s="31">
        <f>+IFERROR(VLOOKUP(E8121,BD!$L$2:$Q$244,6,0),0)</f>
        <v>0</v>
      </c>
      <c r="I8121" s="626">
        <f>IFERROR(G8121*VLOOKUP($E8121,BD!$L$2:$Q$244,5,0),0)</f>
        <v>0</v>
      </c>
      <c r="J8121" s="3">
        <f t="shared" si="509"/>
        <v>1900</v>
      </c>
    </row>
    <row r="8122" spans="1:10" s="9" customFormat="1" x14ac:dyDescent="0.25">
      <c r="A8122" s="447"/>
      <c r="B8122" s="55" t="str">
        <f t="shared" si="506"/>
        <v>ENERO</v>
      </c>
      <c r="C8122" s="55">
        <f t="shared" si="507"/>
        <v>1</v>
      </c>
      <c r="D8122" s="3" t="str">
        <f t="shared" si="508"/>
        <v>SÁBADO</v>
      </c>
      <c r="E8122" s="427"/>
      <c r="F8122" s="31">
        <f>IFERROR(VLOOKUP(E8122,BD!$L$2:$Q$244,2,0),0)</f>
        <v>0</v>
      </c>
      <c r="G8122" s="425"/>
      <c r="H8122" s="31">
        <f>+IFERROR(VLOOKUP(E8122,BD!$L$2:$Q$244,6,0),0)</f>
        <v>0</v>
      </c>
      <c r="I8122" s="626">
        <f>IFERROR(G8122*VLOOKUP($E8122,BD!$L$2:$Q$244,5,0),0)</f>
        <v>0</v>
      </c>
      <c r="J8122" s="3">
        <f t="shared" si="509"/>
        <v>1900</v>
      </c>
    </row>
    <row r="8123" spans="1:10" s="9" customFormat="1" x14ac:dyDescent="0.25">
      <c r="A8123" s="447"/>
      <c r="B8123" s="55" t="str">
        <f t="shared" si="506"/>
        <v>ENERO</v>
      </c>
      <c r="C8123" s="55">
        <f t="shared" si="507"/>
        <v>1</v>
      </c>
      <c r="D8123" s="3" t="str">
        <f t="shared" si="508"/>
        <v>SÁBADO</v>
      </c>
      <c r="E8123" s="427"/>
      <c r="F8123" s="31">
        <f>IFERROR(VLOOKUP(E8123,BD!$L$2:$Q$244,2,0),0)</f>
        <v>0</v>
      </c>
      <c r="G8123" s="424"/>
      <c r="H8123" s="31">
        <f>+IFERROR(VLOOKUP(E8123,BD!$L$2:$Q$244,6,0),0)</f>
        <v>0</v>
      </c>
      <c r="I8123" s="626">
        <f>IFERROR(G8123*VLOOKUP($E8123,BD!$L$2:$Q$244,5,0),0)</f>
        <v>0</v>
      </c>
      <c r="J8123" s="3">
        <f t="shared" si="509"/>
        <v>1900</v>
      </c>
    </row>
    <row r="8124" spans="1:10" s="9" customFormat="1" x14ac:dyDescent="0.25">
      <c r="A8124" s="447"/>
      <c r="B8124" s="55" t="str">
        <f t="shared" si="506"/>
        <v>ENERO</v>
      </c>
      <c r="C8124" s="55">
        <f t="shared" si="507"/>
        <v>1</v>
      </c>
      <c r="D8124" s="3" t="str">
        <f t="shared" si="508"/>
        <v>SÁBADO</v>
      </c>
      <c r="E8124" s="427"/>
      <c r="F8124" s="31">
        <f>IFERROR(VLOOKUP(E8124,BD!$L$2:$Q$244,2,0),0)</f>
        <v>0</v>
      </c>
      <c r="G8124" s="424"/>
      <c r="H8124" s="31">
        <f>+IFERROR(VLOOKUP(E8124,BD!$L$2:$Q$244,6,0),0)</f>
        <v>0</v>
      </c>
      <c r="I8124" s="626">
        <f>IFERROR(G8124*VLOOKUP($E8124,BD!$L$2:$Q$244,5,0),0)</f>
        <v>0</v>
      </c>
      <c r="J8124" s="3">
        <f t="shared" si="509"/>
        <v>1900</v>
      </c>
    </row>
    <row r="8125" spans="1:10" s="9" customFormat="1" x14ac:dyDescent="0.25">
      <c r="A8125" s="447"/>
      <c r="B8125" s="55" t="str">
        <f t="shared" si="506"/>
        <v>ENERO</v>
      </c>
      <c r="C8125" s="55">
        <f t="shared" si="507"/>
        <v>1</v>
      </c>
      <c r="D8125" s="3" t="str">
        <f t="shared" si="508"/>
        <v>SÁBADO</v>
      </c>
      <c r="E8125" s="427"/>
      <c r="F8125" s="31">
        <f>IFERROR(VLOOKUP(E8125,BD!$L$2:$Q$244,2,0),0)</f>
        <v>0</v>
      </c>
      <c r="G8125" s="424"/>
      <c r="H8125" s="31">
        <f>+IFERROR(VLOOKUP(E8125,BD!$L$2:$Q$244,6,0),0)</f>
        <v>0</v>
      </c>
      <c r="I8125" s="626">
        <f>IFERROR(G8125*VLOOKUP($E8125,BD!$L$2:$Q$244,5,0),0)</f>
        <v>0</v>
      </c>
      <c r="J8125" s="3">
        <f t="shared" si="509"/>
        <v>1900</v>
      </c>
    </row>
    <row r="8126" spans="1:10" s="9" customFormat="1" x14ac:dyDescent="0.25">
      <c r="A8126" s="447"/>
      <c r="B8126" s="55" t="str">
        <f t="shared" si="506"/>
        <v>ENERO</v>
      </c>
      <c r="C8126" s="55">
        <f t="shared" si="507"/>
        <v>1</v>
      </c>
      <c r="D8126" s="3" t="str">
        <f t="shared" si="508"/>
        <v>SÁBADO</v>
      </c>
      <c r="E8126" s="427"/>
      <c r="F8126" s="31">
        <f>IFERROR(VLOOKUP(E8126,BD!$L$2:$Q$244,2,0),0)</f>
        <v>0</v>
      </c>
      <c r="G8126" s="424"/>
      <c r="H8126" s="31">
        <f>+IFERROR(VLOOKUP(E8126,BD!$L$2:$Q$244,6,0),0)</f>
        <v>0</v>
      </c>
      <c r="I8126" s="626">
        <f>IFERROR(G8126*VLOOKUP($E8126,BD!$L$2:$Q$244,5,0),0)</f>
        <v>0</v>
      </c>
      <c r="J8126" s="3">
        <f t="shared" si="509"/>
        <v>1900</v>
      </c>
    </row>
    <row r="8127" spans="1:10" s="9" customFormat="1" x14ac:dyDescent="0.25">
      <c r="A8127" s="447"/>
      <c r="B8127" s="55" t="str">
        <f t="shared" si="506"/>
        <v>ENERO</v>
      </c>
      <c r="C8127" s="55">
        <f t="shared" si="507"/>
        <v>1</v>
      </c>
      <c r="D8127" s="3" t="str">
        <f t="shared" si="508"/>
        <v>SÁBADO</v>
      </c>
      <c r="E8127" s="427"/>
      <c r="F8127" s="31">
        <f>IFERROR(VLOOKUP(E8127,BD!$L$2:$Q$244,2,0),0)</f>
        <v>0</v>
      </c>
      <c r="G8127" s="424"/>
      <c r="H8127" s="31">
        <f>+IFERROR(VLOOKUP(E8127,BD!$L$2:$Q$244,6,0),0)</f>
        <v>0</v>
      </c>
      <c r="I8127" s="626">
        <f>IFERROR(G8127*VLOOKUP($E8127,BD!$L$2:$Q$244,5,0),0)</f>
        <v>0</v>
      </c>
      <c r="J8127" s="3">
        <f t="shared" si="509"/>
        <v>1900</v>
      </c>
    </row>
    <row r="8128" spans="1:10" s="9" customFormat="1" x14ac:dyDescent="0.25">
      <c r="A8128" s="447"/>
      <c r="B8128" s="55" t="str">
        <f t="shared" si="506"/>
        <v>ENERO</v>
      </c>
      <c r="C8128" s="55">
        <f t="shared" si="507"/>
        <v>1</v>
      </c>
      <c r="D8128" s="3" t="str">
        <f t="shared" si="508"/>
        <v>SÁBADO</v>
      </c>
      <c r="E8128" s="427"/>
      <c r="F8128" s="31">
        <f>IFERROR(VLOOKUP(E8128,BD!$L$2:$Q$244,2,0),0)</f>
        <v>0</v>
      </c>
      <c r="G8128" s="424"/>
      <c r="H8128" s="31">
        <f>+IFERROR(VLOOKUP(E8128,BD!$L$2:$Q$244,6,0),0)</f>
        <v>0</v>
      </c>
      <c r="I8128" s="626">
        <f>IFERROR(G8128*VLOOKUP($E8128,BD!$L$2:$Q$244,5,0),0)</f>
        <v>0</v>
      </c>
      <c r="J8128" s="3">
        <f t="shared" si="509"/>
        <v>1900</v>
      </c>
    </row>
    <row r="8129" spans="1:10" s="9" customFormat="1" x14ac:dyDescent="0.25">
      <c r="A8129" s="447"/>
      <c r="B8129" s="55" t="str">
        <f t="shared" si="506"/>
        <v>ENERO</v>
      </c>
      <c r="C8129" s="55">
        <f t="shared" si="507"/>
        <v>1</v>
      </c>
      <c r="D8129" s="3" t="str">
        <f t="shared" si="508"/>
        <v>SÁBADO</v>
      </c>
      <c r="E8129" s="427"/>
      <c r="F8129" s="31">
        <f>IFERROR(VLOOKUP(E8129,BD!$L$2:$Q$244,2,0),0)</f>
        <v>0</v>
      </c>
      <c r="G8129" s="424"/>
      <c r="H8129" s="31">
        <f>+IFERROR(VLOOKUP(E8129,BD!$L$2:$Q$244,6,0),0)</f>
        <v>0</v>
      </c>
      <c r="I8129" s="626">
        <f>IFERROR(G8129*VLOOKUP($E8129,BD!$L$2:$Q$244,5,0),0)</f>
        <v>0</v>
      </c>
      <c r="J8129" s="3">
        <f t="shared" si="509"/>
        <v>1900</v>
      </c>
    </row>
    <row r="8130" spans="1:10" s="9" customFormat="1" x14ac:dyDescent="0.25">
      <c r="A8130" s="447"/>
      <c r="B8130" s="55" t="str">
        <f t="shared" si="506"/>
        <v>ENERO</v>
      </c>
      <c r="C8130" s="55">
        <f t="shared" si="507"/>
        <v>1</v>
      </c>
      <c r="D8130" s="3" t="str">
        <f t="shared" si="508"/>
        <v>SÁBADO</v>
      </c>
      <c r="E8130" s="427"/>
      <c r="F8130" s="31">
        <f>IFERROR(VLOOKUP(E8130,BD!$L$2:$Q$244,2,0),0)</f>
        <v>0</v>
      </c>
      <c r="G8130" s="424"/>
      <c r="H8130" s="31">
        <f>+IFERROR(VLOOKUP(E8130,BD!$L$2:$Q$244,6,0),0)</f>
        <v>0</v>
      </c>
      <c r="I8130" s="626">
        <f>IFERROR(G8130*VLOOKUP($E8130,BD!$L$2:$Q$244,5,0),0)</f>
        <v>0</v>
      </c>
      <c r="J8130" s="3">
        <f t="shared" si="509"/>
        <v>1900</v>
      </c>
    </row>
    <row r="8131" spans="1:10" s="9" customFormat="1" x14ac:dyDescent="0.25">
      <c r="A8131" s="447"/>
      <c r="B8131" s="55" t="str">
        <f t="shared" si="506"/>
        <v>ENERO</v>
      </c>
      <c r="C8131" s="55">
        <f t="shared" si="507"/>
        <v>1</v>
      </c>
      <c r="D8131" s="3" t="str">
        <f t="shared" si="508"/>
        <v>SÁBADO</v>
      </c>
      <c r="E8131" s="427"/>
      <c r="F8131" s="31">
        <f>IFERROR(VLOOKUP(E8131,BD!$L$2:$Q$244,2,0),0)</f>
        <v>0</v>
      </c>
      <c r="G8131" s="424"/>
      <c r="H8131" s="31">
        <f>+IFERROR(VLOOKUP(E8131,BD!$L$2:$Q$244,6,0),0)</f>
        <v>0</v>
      </c>
      <c r="I8131" s="626">
        <f>IFERROR(G8131*VLOOKUP($E8131,BD!$L$2:$Q$244,5,0),0)</f>
        <v>0</v>
      </c>
      <c r="J8131" s="3">
        <f t="shared" si="509"/>
        <v>1900</v>
      </c>
    </row>
    <row r="8132" spans="1:10" s="9" customFormat="1" x14ac:dyDescent="0.25">
      <c r="A8132" s="447"/>
      <c r="B8132" s="55" t="str">
        <f t="shared" si="506"/>
        <v>ENERO</v>
      </c>
      <c r="C8132" s="55">
        <f t="shared" si="507"/>
        <v>1</v>
      </c>
      <c r="D8132" s="3" t="str">
        <f t="shared" si="508"/>
        <v>SÁBADO</v>
      </c>
      <c r="E8132" s="427"/>
      <c r="F8132" s="31">
        <f>IFERROR(VLOOKUP(E8132,BD!$L$2:$Q$244,2,0),0)</f>
        <v>0</v>
      </c>
      <c r="G8132" s="424"/>
      <c r="H8132" s="31">
        <f>+IFERROR(VLOOKUP(E8132,BD!$L$2:$Q$244,6,0),0)</f>
        <v>0</v>
      </c>
      <c r="I8132" s="626">
        <f>IFERROR(G8132*VLOOKUP($E8132,BD!$L$2:$Q$244,5,0),0)</f>
        <v>0</v>
      </c>
      <c r="J8132" s="3">
        <f t="shared" si="509"/>
        <v>1900</v>
      </c>
    </row>
    <row r="8133" spans="1:10" s="9" customFormat="1" x14ac:dyDescent="0.25">
      <c r="A8133" s="447"/>
      <c r="B8133" s="55" t="str">
        <f t="shared" si="506"/>
        <v>ENERO</v>
      </c>
      <c r="C8133" s="55">
        <f t="shared" si="507"/>
        <v>1</v>
      </c>
      <c r="D8133" s="3" t="str">
        <f t="shared" si="508"/>
        <v>SÁBADO</v>
      </c>
      <c r="E8133" s="427"/>
      <c r="F8133" s="31">
        <f>IFERROR(VLOOKUP(E8133,BD!$L$2:$Q$244,2,0),0)</f>
        <v>0</v>
      </c>
      <c r="G8133" s="424"/>
      <c r="H8133" s="31">
        <f>+IFERROR(VLOOKUP(E8133,BD!$L$2:$Q$244,6,0),0)</f>
        <v>0</v>
      </c>
      <c r="I8133" s="626">
        <f>IFERROR(G8133*VLOOKUP($E8133,BD!$L$2:$Q$244,5,0),0)</f>
        <v>0</v>
      </c>
      <c r="J8133" s="3">
        <f t="shared" si="509"/>
        <v>1900</v>
      </c>
    </row>
    <row r="8134" spans="1:10" s="9" customFormat="1" x14ac:dyDescent="0.25">
      <c r="A8134" s="447"/>
      <c r="B8134" s="55" t="str">
        <f t="shared" si="506"/>
        <v>ENERO</v>
      </c>
      <c r="C8134" s="55">
        <f t="shared" si="507"/>
        <v>1</v>
      </c>
      <c r="D8134" s="3" t="str">
        <f t="shared" si="508"/>
        <v>SÁBADO</v>
      </c>
      <c r="E8134" s="427"/>
      <c r="F8134" s="31">
        <f>IFERROR(VLOOKUP(E8134,BD!$L$2:$Q$244,2,0),0)</f>
        <v>0</v>
      </c>
      <c r="G8134" s="424"/>
      <c r="H8134" s="31">
        <f>+IFERROR(VLOOKUP(E8134,BD!$L$2:$Q$244,6,0),0)</f>
        <v>0</v>
      </c>
      <c r="I8134" s="626">
        <f>IFERROR(G8134*VLOOKUP($E8134,BD!$L$2:$Q$244,5,0),0)</f>
        <v>0</v>
      </c>
      <c r="J8134" s="3">
        <f t="shared" si="509"/>
        <v>1900</v>
      </c>
    </row>
    <row r="8135" spans="1:10" s="9" customFormat="1" x14ac:dyDescent="0.25">
      <c r="A8135" s="447"/>
      <c r="B8135" s="55" t="str">
        <f t="shared" si="506"/>
        <v>ENERO</v>
      </c>
      <c r="C8135" s="55">
        <f t="shared" si="507"/>
        <v>1</v>
      </c>
      <c r="D8135" s="3" t="str">
        <f t="shared" si="508"/>
        <v>SÁBADO</v>
      </c>
      <c r="E8135" s="427"/>
      <c r="F8135" s="31">
        <f>IFERROR(VLOOKUP(E8135,BD!$L$2:$Q$244,2,0),0)</f>
        <v>0</v>
      </c>
      <c r="G8135" s="424"/>
      <c r="H8135" s="31">
        <f>+IFERROR(VLOOKUP(E8135,BD!$L$2:$Q$244,6,0),0)</f>
        <v>0</v>
      </c>
      <c r="I8135" s="626">
        <f>IFERROR(G8135*VLOOKUP($E8135,BD!$L$2:$Q$244,5,0),0)</f>
        <v>0</v>
      </c>
      <c r="J8135" s="3">
        <f t="shared" si="509"/>
        <v>1900</v>
      </c>
    </row>
    <row r="8136" spans="1:10" s="9" customFormat="1" x14ac:dyDescent="0.25">
      <c r="A8136" s="447"/>
      <c r="B8136" s="55" t="str">
        <f t="shared" si="506"/>
        <v>ENERO</v>
      </c>
      <c r="C8136" s="55">
        <f t="shared" si="507"/>
        <v>1</v>
      </c>
      <c r="D8136" s="3" t="str">
        <f t="shared" si="508"/>
        <v>SÁBADO</v>
      </c>
      <c r="E8136" s="427"/>
      <c r="F8136" s="31">
        <f>IFERROR(VLOOKUP(E8136,BD!$L$2:$Q$244,2,0),0)</f>
        <v>0</v>
      </c>
      <c r="G8136" s="424"/>
      <c r="H8136" s="31">
        <f>+IFERROR(VLOOKUP(E8136,BD!$L$2:$Q$244,6,0),0)</f>
        <v>0</v>
      </c>
      <c r="I8136" s="626">
        <f>IFERROR(G8136*VLOOKUP($E8136,BD!$L$2:$Q$244,5,0),0)</f>
        <v>0</v>
      </c>
      <c r="J8136" s="3">
        <f t="shared" si="509"/>
        <v>1900</v>
      </c>
    </row>
    <row r="8137" spans="1:10" s="9" customFormat="1" x14ac:dyDescent="0.25">
      <c r="A8137" s="447"/>
      <c r="B8137" s="55" t="str">
        <f t="shared" si="506"/>
        <v>ENERO</v>
      </c>
      <c r="C8137" s="55">
        <f t="shared" si="507"/>
        <v>1</v>
      </c>
      <c r="D8137" s="3" t="str">
        <f t="shared" si="508"/>
        <v>SÁBADO</v>
      </c>
      <c r="E8137" s="427"/>
      <c r="F8137" s="31">
        <f>IFERROR(VLOOKUP(E8137,BD!$L$2:$Q$244,2,0),0)</f>
        <v>0</v>
      </c>
      <c r="G8137" s="424"/>
      <c r="H8137" s="31">
        <f>+IFERROR(VLOOKUP(E8137,BD!$L$2:$Q$244,6,0),0)</f>
        <v>0</v>
      </c>
      <c r="I8137" s="626">
        <f>IFERROR(G8137*VLOOKUP($E8137,BD!$L$2:$Q$244,5,0),0)</f>
        <v>0</v>
      </c>
      <c r="J8137" s="3">
        <f t="shared" si="509"/>
        <v>1900</v>
      </c>
    </row>
    <row r="8138" spans="1:10" s="9" customFormat="1" x14ac:dyDescent="0.25">
      <c r="A8138" s="447"/>
      <c r="B8138" s="55" t="str">
        <f t="shared" si="506"/>
        <v>ENERO</v>
      </c>
      <c r="C8138" s="55">
        <f t="shared" si="507"/>
        <v>1</v>
      </c>
      <c r="D8138" s="3" t="str">
        <f t="shared" si="508"/>
        <v>SÁBADO</v>
      </c>
      <c r="E8138" s="427"/>
      <c r="F8138" s="31">
        <f>IFERROR(VLOOKUP(E8138,BD!$L$2:$Q$244,2,0),0)</f>
        <v>0</v>
      </c>
      <c r="G8138" s="424"/>
      <c r="H8138" s="31">
        <f>+IFERROR(VLOOKUP(E8138,BD!$L$2:$Q$244,6,0),0)</f>
        <v>0</v>
      </c>
      <c r="I8138" s="626">
        <f>IFERROR(G8138*VLOOKUP($E8138,BD!$L$2:$Q$244,5,0),0)</f>
        <v>0</v>
      </c>
      <c r="J8138" s="3">
        <f t="shared" si="509"/>
        <v>1900</v>
      </c>
    </row>
    <row r="8139" spans="1:10" s="9" customFormat="1" x14ac:dyDescent="0.25">
      <c r="A8139" s="447"/>
      <c r="B8139" s="55" t="str">
        <f t="shared" si="506"/>
        <v>ENERO</v>
      </c>
      <c r="C8139" s="55">
        <f t="shared" si="507"/>
        <v>1</v>
      </c>
      <c r="D8139" s="3" t="str">
        <f t="shared" si="508"/>
        <v>SÁBADO</v>
      </c>
      <c r="E8139" s="427"/>
      <c r="F8139" s="31">
        <f>IFERROR(VLOOKUP(E8139,BD!$L$2:$Q$244,2,0),0)</f>
        <v>0</v>
      </c>
      <c r="G8139" s="424"/>
      <c r="H8139" s="31">
        <f>+IFERROR(VLOOKUP(E8139,BD!$L$2:$Q$244,6,0),0)</f>
        <v>0</v>
      </c>
      <c r="I8139" s="626">
        <f>IFERROR(G8139*VLOOKUP($E8139,BD!$L$2:$Q$244,5,0),0)</f>
        <v>0</v>
      </c>
      <c r="J8139" s="3">
        <f t="shared" si="509"/>
        <v>1900</v>
      </c>
    </row>
    <row r="8140" spans="1:10" s="9" customFormat="1" x14ac:dyDescent="0.25">
      <c r="A8140" s="447"/>
      <c r="B8140" s="55" t="str">
        <f t="shared" si="506"/>
        <v>ENERO</v>
      </c>
      <c r="C8140" s="55">
        <f t="shared" si="507"/>
        <v>1</v>
      </c>
      <c r="D8140" s="3" t="str">
        <f t="shared" si="508"/>
        <v>SÁBADO</v>
      </c>
      <c r="E8140" s="427"/>
      <c r="F8140" s="31">
        <f>IFERROR(VLOOKUP(E8140,BD!$L$2:$Q$244,2,0),0)</f>
        <v>0</v>
      </c>
      <c r="G8140" s="424"/>
      <c r="H8140" s="31">
        <f>+IFERROR(VLOOKUP(E8140,BD!$L$2:$Q$244,6,0),0)</f>
        <v>0</v>
      </c>
      <c r="I8140" s="626">
        <f>IFERROR(G8140*VLOOKUP($E8140,BD!$L$2:$Q$244,5,0),0)</f>
        <v>0</v>
      </c>
      <c r="J8140" s="3">
        <f t="shared" si="509"/>
        <v>1900</v>
      </c>
    </row>
    <row r="8141" spans="1:10" s="9" customFormat="1" x14ac:dyDescent="0.25">
      <c r="A8141" s="447"/>
      <c r="B8141" s="55" t="str">
        <f t="shared" si="506"/>
        <v>ENERO</v>
      </c>
      <c r="C8141" s="55">
        <f t="shared" si="507"/>
        <v>1</v>
      </c>
      <c r="D8141" s="3" t="str">
        <f t="shared" si="508"/>
        <v>SÁBADO</v>
      </c>
      <c r="E8141" s="427"/>
      <c r="F8141" s="31">
        <f>IFERROR(VLOOKUP(E8141,BD!$L$2:$Q$244,2,0),0)</f>
        <v>0</v>
      </c>
      <c r="G8141" s="424"/>
      <c r="H8141" s="31">
        <f>+IFERROR(VLOOKUP(E8141,BD!$L$2:$Q$244,6,0),0)</f>
        <v>0</v>
      </c>
      <c r="I8141" s="626">
        <f>IFERROR(G8141*VLOOKUP($E8141,BD!$L$2:$Q$244,5,0),0)</f>
        <v>0</v>
      </c>
      <c r="J8141" s="3">
        <f t="shared" si="509"/>
        <v>1900</v>
      </c>
    </row>
    <row r="8142" spans="1:10" s="9" customFormat="1" x14ac:dyDescent="0.25">
      <c r="A8142" s="447"/>
      <c r="B8142" s="55" t="str">
        <f t="shared" si="506"/>
        <v>ENERO</v>
      </c>
      <c r="C8142" s="55">
        <f t="shared" si="507"/>
        <v>1</v>
      </c>
      <c r="D8142" s="3" t="str">
        <f t="shared" si="508"/>
        <v>SÁBADO</v>
      </c>
      <c r="E8142" s="427"/>
      <c r="F8142" s="31">
        <f>IFERROR(VLOOKUP(E8142,BD!$L$2:$Q$244,2,0),0)</f>
        <v>0</v>
      </c>
      <c r="G8142" s="424"/>
      <c r="H8142" s="31">
        <f>+IFERROR(VLOOKUP(E8142,BD!$L$2:$Q$244,6,0),0)</f>
        <v>0</v>
      </c>
      <c r="I8142" s="626">
        <f>IFERROR(G8142*VLOOKUP($E8142,BD!$L$2:$Q$244,5,0),0)</f>
        <v>0</v>
      </c>
      <c r="J8142" s="3">
        <f t="shared" si="509"/>
        <v>1900</v>
      </c>
    </row>
    <row r="8143" spans="1:10" s="9" customFormat="1" x14ac:dyDescent="0.25">
      <c r="A8143" s="447"/>
      <c r="B8143" s="55" t="str">
        <f t="shared" si="506"/>
        <v>ENERO</v>
      </c>
      <c r="C8143" s="55">
        <f t="shared" si="507"/>
        <v>1</v>
      </c>
      <c r="D8143" s="3" t="str">
        <f t="shared" si="508"/>
        <v>SÁBADO</v>
      </c>
      <c r="E8143" s="427"/>
      <c r="F8143" s="31">
        <f>IFERROR(VLOOKUP(E8143,BD!$L$2:$Q$244,2,0),0)</f>
        <v>0</v>
      </c>
      <c r="G8143" s="424"/>
      <c r="H8143" s="31">
        <f>+IFERROR(VLOOKUP(E8143,BD!$L$2:$Q$244,6,0),0)</f>
        <v>0</v>
      </c>
      <c r="I8143" s="626">
        <f>IFERROR(G8143*VLOOKUP($E8143,BD!$L$2:$Q$244,5,0),0)</f>
        <v>0</v>
      </c>
      <c r="J8143" s="3">
        <f t="shared" si="509"/>
        <v>1900</v>
      </c>
    </row>
    <row r="8144" spans="1:10" s="9" customFormat="1" x14ac:dyDescent="0.25">
      <c r="A8144" s="447"/>
      <c r="B8144" s="55" t="str">
        <f t="shared" si="506"/>
        <v>ENERO</v>
      </c>
      <c r="C8144" s="55">
        <f t="shared" si="507"/>
        <v>1</v>
      </c>
      <c r="D8144" s="3" t="str">
        <f t="shared" si="508"/>
        <v>SÁBADO</v>
      </c>
      <c r="E8144" s="427"/>
      <c r="F8144" s="31">
        <f>IFERROR(VLOOKUP(E8144,BD!$L$2:$Q$244,2,0),0)</f>
        <v>0</v>
      </c>
      <c r="G8144" s="424"/>
      <c r="H8144" s="31">
        <f>+IFERROR(VLOOKUP(E8144,BD!$L$2:$Q$244,6,0),0)</f>
        <v>0</v>
      </c>
      <c r="I8144" s="626">
        <f>IFERROR(G8144*VLOOKUP($E8144,BD!$L$2:$Q$244,5,0),0)</f>
        <v>0</v>
      </c>
      <c r="J8144" s="3">
        <f t="shared" si="509"/>
        <v>1900</v>
      </c>
    </row>
    <row r="8145" spans="1:10" s="9" customFormat="1" x14ac:dyDescent="0.25">
      <c r="A8145" s="447"/>
      <c r="B8145" s="55" t="str">
        <f t="shared" si="506"/>
        <v>ENERO</v>
      </c>
      <c r="C8145" s="55">
        <f t="shared" si="507"/>
        <v>1</v>
      </c>
      <c r="D8145" s="3" t="str">
        <f t="shared" si="508"/>
        <v>SÁBADO</v>
      </c>
      <c r="E8145" s="427"/>
      <c r="F8145" s="31">
        <f>IFERROR(VLOOKUP(E8145,BD!$L$2:$Q$244,2,0),0)</f>
        <v>0</v>
      </c>
      <c r="G8145" s="424"/>
      <c r="H8145" s="31">
        <f>+IFERROR(VLOOKUP(E8145,BD!$L$2:$Q$244,6,0),0)</f>
        <v>0</v>
      </c>
      <c r="I8145" s="626">
        <f>IFERROR(G8145*VLOOKUP($E8145,BD!$L$2:$Q$244,5,0),0)</f>
        <v>0</v>
      </c>
      <c r="J8145" s="3">
        <f t="shared" si="509"/>
        <v>1900</v>
      </c>
    </row>
    <row r="8146" spans="1:10" s="9" customFormat="1" x14ac:dyDescent="0.25">
      <c r="A8146" s="447"/>
      <c r="B8146" s="55" t="str">
        <f t="shared" si="506"/>
        <v>ENERO</v>
      </c>
      <c r="C8146" s="55">
        <f t="shared" si="507"/>
        <v>1</v>
      </c>
      <c r="D8146" s="3" t="str">
        <f t="shared" si="508"/>
        <v>SÁBADO</v>
      </c>
      <c r="E8146" s="427"/>
      <c r="F8146" s="31">
        <f>IFERROR(VLOOKUP(E8146,BD!$L$2:$Q$244,2,0),0)</f>
        <v>0</v>
      </c>
      <c r="G8146" s="424"/>
      <c r="H8146" s="31">
        <f>+IFERROR(VLOOKUP(E8146,BD!$L$2:$Q$244,6,0),0)</f>
        <v>0</v>
      </c>
      <c r="I8146" s="626">
        <f>IFERROR(G8146*VLOOKUP($E8146,BD!$L$2:$Q$244,5,0),0)</f>
        <v>0</v>
      </c>
      <c r="J8146" s="3">
        <f t="shared" si="509"/>
        <v>1900</v>
      </c>
    </row>
    <row r="8147" spans="1:10" s="9" customFormat="1" x14ac:dyDescent="0.25">
      <c r="A8147" s="447"/>
      <c r="B8147" s="55" t="str">
        <f t="shared" si="506"/>
        <v>ENERO</v>
      </c>
      <c r="C8147" s="55">
        <f t="shared" si="507"/>
        <v>1</v>
      </c>
      <c r="D8147" s="3" t="str">
        <f t="shared" si="508"/>
        <v>SÁBADO</v>
      </c>
      <c r="E8147" s="427"/>
      <c r="F8147" s="31">
        <f>IFERROR(VLOOKUP(E8147,BD!$L$2:$Q$244,2,0),0)</f>
        <v>0</v>
      </c>
      <c r="G8147" s="424"/>
      <c r="H8147" s="31">
        <f>+IFERROR(VLOOKUP(E8147,BD!$L$2:$Q$244,6,0),0)</f>
        <v>0</v>
      </c>
      <c r="I8147" s="626">
        <f>IFERROR(G8147*VLOOKUP($E8147,BD!$L$2:$Q$244,5,0),0)</f>
        <v>0</v>
      </c>
      <c r="J8147" s="3">
        <f t="shared" si="509"/>
        <v>1900</v>
      </c>
    </row>
    <row r="8148" spans="1:10" s="9" customFormat="1" x14ac:dyDescent="0.25">
      <c r="A8148" s="447"/>
      <c r="B8148" s="55" t="str">
        <f t="shared" si="506"/>
        <v>ENERO</v>
      </c>
      <c r="C8148" s="55">
        <f t="shared" si="507"/>
        <v>1</v>
      </c>
      <c r="D8148" s="3" t="str">
        <f t="shared" si="508"/>
        <v>SÁBADO</v>
      </c>
      <c r="E8148" s="427"/>
      <c r="F8148" s="31">
        <f>IFERROR(VLOOKUP(E8148,BD!$L$2:$Q$244,2,0),0)</f>
        <v>0</v>
      </c>
      <c r="G8148" s="424"/>
      <c r="H8148" s="31">
        <f>+IFERROR(VLOOKUP(E8148,BD!$L$2:$Q$244,6,0),0)</f>
        <v>0</v>
      </c>
      <c r="I8148" s="626">
        <f>IFERROR(G8148*VLOOKUP($E8148,BD!$L$2:$Q$244,5,0),0)</f>
        <v>0</v>
      </c>
      <c r="J8148" s="3">
        <f t="shared" si="509"/>
        <v>1900</v>
      </c>
    </row>
    <row r="8149" spans="1:10" s="9" customFormat="1" x14ac:dyDescent="0.25">
      <c r="A8149" s="447"/>
      <c r="B8149" s="55" t="str">
        <f t="shared" si="506"/>
        <v>ENERO</v>
      </c>
      <c r="C8149" s="55">
        <f t="shared" si="507"/>
        <v>1</v>
      </c>
      <c r="D8149" s="3" t="str">
        <f t="shared" si="508"/>
        <v>SÁBADO</v>
      </c>
      <c r="E8149" s="427"/>
      <c r="F8149" s="31">
        <f>IFERROR(VLOOKUP(E8149,BD!$L$2:$Q$244,2,0),0)</f>
        <v>0</v>
      </c>
      <c r="G8149" s="424"/>
      <c r="H8149" s="31">
        <f>+IFERROR(VLOOKUP(E8149,BD!$L$2:$Q$244,6,0),0)</f>
        <v>0</v>
      </c>
      <c r="I8149" s="626">
        <f>IFERROR(G8149*VLOOKUP($E8149,BD!$L$2:$Q$244,5,0),0)</f>
        <v>0</v>
      </c>
      <c r="J8149" s="3">
        <f t="shared" si="509"/>
        <v>1900</v>
      </c>
    </row>
    <row r="8150" spans="1:10" s="9" customFormat="1" x14ac:dyDescent="0.25">
      <c r="A8150" s="447"/>
      <c r="B8150" s="55" t="str">
        <f t="shared" si="506"/>
        <v>ENERO</v>
      </c>
      <c r="C8150" s="55">
        <f t="shared" si="507"/>
        <v>1</v>
      </c>
      <c r="D8150" s="3" t="str">
        <f t="shared" si="508"/>
        <v>SÁBADO</v>
      </c>
      <c r="E8150" s="427"/>
      <c r="F8150" s="31">
        <f>IFERROR(VLOOKUP(E8150,BD!$L$2:$Q$244,2,0),0)</f>
        <v>0</v>
      </c>
      <c r="G8150" s="424"/>
      <c r="H8150" s="31">
        <f>+IFERROR(VLOOKUP(E8150,BD!$L$2:$Q$244,6,0),0)</f>
        <v>0</v>
      </c>
      <c r="I8150" s="626">
        <f>IFERROR(G8150*VLOOKUP($E8150,BD!$L$2:$Q$244,5,0),0)</f>
        <v>0</v>
      </c>
      <c r="J8150" s="3">
        <f t="shared" si="509"/>
        <v>1900</v>
      </c>
    </row>
    <row r="8151" spans="1:10" s="9" customFormat="1" x14ac:dyDescent="0.25">
      <c r="A8151" s="447"/>
      <c r="B8151" s="55" t="str">
        <f t="shared" si="506"/>
        <v>ENERO</v>
      </c>
      <c r="C8151" s="55">
        <f t="shared" si="507"/>
        <v>1</v>
      </c>
      <c r="D8151" s="3" t="str">
        <f t="shared" si="508"/>
        <v>SÁBADO</v>
      </c>
      <c r="E8151" s="427"/>
      <c r="F8151" s="31">
        <f>IFERROR(VLOOKUP(E8151,BD!$L$2:$Q$244,2,0),0)</f>
        <v>0</v>
      </c>
      <c r="G8151" s="424"/>
      <c r="H8151" s="31">
        <f>+IFERROR(VLOOKUP(E8151,BD!$L$2:$Q$244,6,0),0)</f>
        <v>0</v>
      </c>
      <c r="I8151" s="626">
        <f>IFERROR(G8151*VLOOKUP($E8151,BD!$L$2:$Q$244,5,0),0)</f>
        <v>0</v>
      </c>
      <c r="J8151" s="3">
        <f t="shared" si="509"/>
        <v>1900</v>
      </c>
    </row>
    <row r="8152" spans="1:10" s="9" customFormat="1" x14ac:dyDescent="0.25">
      <c r="A8152" s="447"/>
      <c r="B8152" s="55" t="str">
        <f t="shared" si="506"/>
        <v>ENERO</v>
      </c>
      <c r="C8152" s="55">
        <f t="shared" si="507"/>
        <v>1</v>
      </c>
      <c r="D8152" s="3" t="str">
        <f t="shared" si="508"/>
        <v>SÁBADO</v>
      </c>
      <c r="E8152" s="427"/>
      <c r="F8152" s="31">
        <f>IFERROR(VLOOKUP(E8152,BD!$L$2:$Q$244,2,0),0)</f>
        <v>0</v>
      </c>
      <c r="G8152" s="424"/>
      <c r="H8152" s="31">
        <f>+IFERROR(VLOOKUP(E8152,BD!$L$2:$Q$244,6,0),0)</f>
        <v>0</v>
      </c>
      <c r="I8152" s="626">
        <f>IFERROR(G8152*VLOOKUP($E8152,BD!$L$2:$Q$244,5,0),0)</f>
        <v>0</v>
      </c>
      <c r="J8152" s="3">
        <f t="shared" si="509"/>
        <v>1900</v>
      </c>
    </row>
    <row r="8153" spans="1:10" s="9" customFormat="1" x14ac:dyDescent="0.25">
      <c r="A8153" s="447"/>
      <c r="B8153" s="55" t="str">
        <f t="shared" si="506"/>
        <v>ENERO</v>
      </c>
      <c r="C8153" s="55">
        <f t="shared" si="507"/>
        <v>1</v>
      </c>
      <c r="D8153" s="3" t="str">
        <f t="shared" si="508"/>
        <v>SÁBADO</v>
      </c>
      <c r="E8153" s="427"/>
      <c r="F8153" s="31">
        <f>IFERROR(VLOOKUP(E8153,BD!$L$2:$Q$244,2,0),0)</f>
        <v>0</v>
      </c>
      <c r="G8153" s="424"/>
      <c r="H8153" s="31">
        <f>+IFERROR(VLOOKUP(E8153,BD!$L$2:$Q$244,6,0),0)</f>
        <v>0</v>
      </c>
      <c r="I8153" s="626">
        <f>IFERROR(G8153*VLOOKUP($E8153,BD!$L$2:$Q$244,5,0),0)</f>
        <v>0</v>
      </c>
      <c r="J8153" s="3">
        <f t="shared" si="509"/>
        <v>1900</v>
      </c>
    </row>
    <row r="8154" spans="1:10" s="9" customFormat="1" x14ac:dyDescent="0.25">
      <c r="A8154" s="447"/>
      <c r="B8154" s="55" t="str">
        <f t="shared" si="506"/>
        <v>ENERO</v>
      </c>
      <c r="C8154" s="55">
        <f t="shared" si="507"/>
        <v>1</v>
      </c>
      <c r="D8154" s="3" t="str">
        <f t="shared" si="508"/>
        <v>SÁBADO</v>
      </c>
      <c r="E8154" s="427"/>
      <c r="F8154" s="31">
        <f>IFERROR(VLOOKUP(E8154,BD!$L$2:$Q$244,2,0),0)</f>
        <v>0</v>
      </c>
      <c r="G8154" s="424"/>
      <c r="H8154" s="31">
        <f>+IFERROR(VLOOKUP(E8154,BD!$L$2:$Q$244,6,0),0)</f>
        <v>0</v>
      </c>
      <c r="I8154" s="626">
        <f>IFERROR(G8154*VLOOKUP($E8154,BD!$L$2:$Q$244,5,0),0)</f>
        <v>0</v>
      </c>
      <c r="J8154" s="3">
        <f t="shared" si="509"/>
        <v>1900</v>
      </c>
    </row>
    <row r="8155" spans="1:10" s="9" customFormat="1" x14ac:dyDescent="0.25">
      <c r="A8155" s="447"/>
      <c r="B8155" s="55" t="str">
        <f t="shared" si="506"/>
        <v>ENERO</v>
      </c>
      <c r="C8155" s="55">
        <f t="shared" si="507"/>
        <v>1</v>
      </c>
      <c r="D8155" s="3" t="str">
        <f t="shared" si="508"/>
        <v>SÁBADO</v>
      </c>
      <c r="E8155" s="427"/>
      <c r="F8155" s="31">
        <f>IFERROR(VLOOKUP(E8155,BD!$L$2:$Q$244,2,0),0)</f>
        <v>0</v>
      </c>
      <c r="G8155" s="424"/>
      <c r="H8155" s="31">
        <f>+IFERROR(VLOOKUP(E8155,BD!$L$2:$Q$244,6,0),0)</f>
        <v>0</v>
      </c>
      <c r="I8155" s="626">
        <f>IFERROR(G8155*VLOOKUP($E8155,BD!$L$2:$Q$244,5,0),0)</f>
        <v>0</v>
      </c>
      <c r="J8155" s="3">
        <f t="shared" si="509"/>
        <v>1900</v>
      </c>
    </row>
    <row r="8156" spans="1:10" s="9" customFormat="1" x14ac:dyDescent="0.25">
      <c r="A8156" s="447"/>
      <c r="B8156" s="55" t="str">
        <f t="shared" si="506"/>
        <v>ENERO</v>
      </c>
      <c r="C8156" s="55">
        <f t="shared" si="507"/>
        <v>1</v>
      </c>
      <c r="D8156" s="3" t="str">
        <f t="shared" si="508"/>
        <v>SÁBADO</v>
      </c>
      <c r="E8156" s="427"/>
      <c r="F8156" s="31">
        <f>IFERROR(VLOOKUP(E8156,BD!$L$2:$Q$244,2,0),0)</f>
        <v>0</v>
      </c>
      <c r="G8156" s="424"/>
      <c r="H8156" s="31">
        <f>+IFERROR(VLOOKUP(E8156,BD!$L$2:$Q$244,6,0),0)</f>
        <v>0</v>
      </c>
      <c r="I8156" s="626">
        <f>IFERROR(G8156*VLOOKUP($E8156,BD!$L$2:$Q$244,5,0),0)</f>
        <v>0</v>
      </c>
      <c r="J8156" s="3">
        <f t="shared" si="509"/>
        <v>1900</v>
      </c>
    </row>
    <row r="8157" spans="1:10" s="9" customFormat="1" x14ac:dyDescent="0.25">
      <c r="A8157" s="447"/>
      <c r="B8157" s="55" t="str">
        <f t="shared" si="506"/>
        <v>ENERO</v>
      </c>
      <c r="C8157" s="55">
        <f t="shared" si="507"/>
        <v>1</v>
      </c>
      <c r="D8157" s="3" t="str">
        <f t="shared" si="508"/>
        <v>SÁBADO</v>
      </c>
      <c r="E8157" s="427"/>
      <c r="F8157" s="31">
        <f>IFERROR(VLOOKUP(E8157,BD!$L$2:$Q$244,2,0),0)</f>
        <v>0</v>
      </c>
      <c r="G8157" s="424"/>
      <c r="H8157" s="31">
        <f>+IFERROR(VLOOKUP(E8157,BD!$L$2:$Q$244,6,0),0)</f>
        <v>0</v>
      </c>
      <c r="I8157" s="626">
        <f>IFERROR(G8157*VLOOKUP($E8157,BD!$L$2:$Q$244,5,0),0)</f>
        <v>0</v>
      </c>
      <c r="J8157" s="3">
        <f t="shared" si="509"/>
        <v>1900</v>
      </c>
    </row>
    <row r="8158" spans="1:10" s="9" customFormat="1" x14ac:dyDescent="0.25">
      <c r="A8158" s="447"/>
      <c r="B8158" s="55" t="str">
        <f t="shared" si="506"/>
        <v>ENERO</v>
      </c>
      <c r="C8158" s="55">
        <f t="shared" si="507"/>
        <v>1</v>
      </c>
      <c r="D8158" s="3" t="str">
        <f t="shared" si="508"/>
        <v>SÁBADO</v>
      </c>
      <c r="E8158" s="427"/>
      <c r="F8158" s="31">
        <f>IFERROR(VLOOKUP(E8158,BD!$L$2:$Q$244,2,0),0)</f>
        <v>0</v>
      </c>
      <c r="G8158" s="424"/>
      <c r="H8158" s="31">
        <f>+IFERROR(VLOOKUP(E8158,BD!$L$2:$Q$244,6,0),0)</f>
        <v>0</v>
      </c>
      <c r="I8158" s="626">
        <f>IFERROR(G8158*VLOOKUP($E8158,BD!$L$2:$Q$244,5,0),0)</f>
        <v>0</v>
      </c>
      <c r="J8158" s="3">
        <f t="shared" si="509"/>
        <v>1900</v>
      </c>
    </row>
    <row r="8159" spans="1:10" s="9" customFormat="1" x14ac:dyDescent="0.25">
      <c r="A8159" s="447"/>
      <c r="B8159" s="55" t="str">
        <f t="shared" si="506"/>
        <v>ENERO</v>
      </c>
      <c r="C8159" s="55">
        <f t="shared" si="507"/>
        <v>1</v>
      </c>
      <c r="D8159" s="3" t="str">
        <f t="shared" si="508"/>
        <v>SÁBADO</v>
      </c>
      <c r="E8159" s="427"/>
      <c r="F8159" s="31">
        <f>IFERROR(VLOOKUP(E8159,BD!$L$2:$Q$244,2,0),0)</f>
        <v>0</v>
      </c>
      <c r="G8159" s="424"/>
      <c r="H8159" s="31">
        <f>+IFERROR(VLOOKUP(E8159,BD!$L$2:$Q$244,6,0),0)</f>
        <v>0</v>
      </c>
      <c r="I8159" s="626">
        <f>IFERROR(G8159*VLOOKUP($E8159,BD!$L$2:$Q$244,5,0),0)</f>
        <v>0</v>
      </c>
      <c r="J8159" s="3">
        <f t="shared" si="509"/>
        <v>1900</v>
      </c>
    </row>
    <row r="8160" spans="1:10" s="9" customFormat="1" x14ac:dyDescent="0.25">
      <c r="A8160" s="447"/>
      <c r="B8160" s="55" t="str">
        <f t="shared" si="506"/>
        <v>ENERO</v>
      </c>
      <c r="C8160" s="55">
        <f t="shared" si="507"/>
        <v>1</v>
      </c>
      <c r="D8160" s="3" t="str">
        <f t="shared" si="508"/>
        <v>SÁBADO</v>
      </c>
      <c r="E8160" s="427"/>
      <c r="F8160" s="31">
        <f>IFERROR(VLOOKUP(E8160,BD!$L$2:$Q$244,2,0),0)</f>
        <v>0</v>
      </c>
      <c r="G8160" s="424"/>
      <c r="H8160" s="31">
        <f>+IFERROR(VLOOKUP(E8160,BD!$L$2:$Q$244,6,0),0)</f>
        <v>0</v>
      </c>
      <c r="I8160" s="626">
        <f>IFERROR(G8160*VLOOKUP($E8160,BD!$L$2:$Q$244,5,0),0)</f>
        <v>0</v>
      </c>
      <c r="J8160" s="3">
        <f t="shared" si="509"/>
        <v>1900</v>
      </c>
    </row>
    <row r="8161" spans="1:10" s="9" customFormat="1" x14ac:dyDescent="0.25">
      <c r="A8161" s="447"/>
      <c r="B8161" s="55" t="str">
        <f t="shared" si="506"/>
        <v>ENERO</v>
      </c>
      <c r="C8161" s="55">
        <f t="shared" si="507"/>
        <v>1</v>
      </c>
      <c r="D8161" s="3" t="str">
        <f t="shared" si="508"/>
        <v>SÁBADO</v>
      </c>
      <c r="E8161" s="427"/>
      <c r="F8161" s="31">
        <f>IFERROR(VLOOKUP(E8161,BD!$L$2:$Q$244,2,0),0)</f>
        <v>0</v>
      </c>
      <c r="G8161" s="424"/>
      <c r="H8161" s="31">
        <f>+IFERROR(VLOOKUP(E8161,BD!$L$2:$Q$244,6,0),0)</f>
        <v>0</v>
      </c>
      <c r="I8161" s="626">
        <f>IFERROR(G8161*VLOOKUP($E8161,BD!$L$2:$Q$244,5,0),0)</f>
        <v>0</v>
      </c>
      <c r="J8161" s="3">
        <f t="shared" si="509"/>
        <v>1900</v>
      </c>
    </row>
    <row r="8162" spans="1:10" s="9" customFormat="1" x14ac:dyDescent="0.25">
      <c r="A8162" s="447"/>
      <c r="B8162" s="55" t="str">
        <f t="shared" si="506"/>
        <v>ENERO</v>
      </c>
      <c r="C8162" s="55">
        <f t="shared" si="507"/>
        <v>1</v>
      </c>
      <c r="D8162" s="3" t="str">
        <f t="shared" si="508"/>
        <v>SÁBADO</v>
      </c>
      <c r="E8162" s="427"/>
      <c r="F8162" s="31">
        <f>IFERROR(VLOOKUP(E8162,BD!$L$2:$Q$244,2,0),0)</f>
        <v>0</v>
      </c>
      <c r="G8162" s="424"/>
      <c r="H8162" s="31">
        <f>+IFERROR(VLOOKUP(E8162,BD!$L$2:$Q$244,6,0),0)</f>
        <v>0</v>
      </c>
      <c r="I8162" s="626">
        <f>IFERROR(G8162*VLOOKUP($E8162,BD!$L$2:$Q$244,5,0),0)</f>
        <v>0</v>
      </c>
      <c r="J8162" s="3">
        <f t="shared" si="509"/>
        <v>1900</v>
      </c>
    </row>
    <row r="8163" spans="1:10" s="9" customFormat="1" x14ac:dyDescent="0.25">
      <c r="A8163" s="447"/>
      <c r="B8163" s="55" t="str">
        <f t="shared" si="506"/>
        <v>ENERO</v>
      </c>
      <c r="C8163" s="55">
        <f t="shared" si="507"/>
        <v>1</v>
      </c>
      <c r="D8163" s="3" t="str">
        <f t="shared" si="508"/>
        <v>SÁBADO</v>
      </c>
      <c r="E8163" s="427"/>
      <c r="F8163" s="31">
        <f>IFERROR(VLOOKUP(E8163,BD!$L$2:$Q$244,2,0),0)</f>
        <v>0</v>
      </c>
      <c r="G8163" s="424"/>
      <c r="H8163" s="31">
        <f>+IFERROR(VLOOKUP(E8163,BD!$L$2:$Q$244,6,0),0)</f>
        <v>0</v>
      </c>
      <c r="I8163" s="626">
        <f>IFERROR(G8163*VLOOKUP($E8163,BD!$L$2:$Q$244,5,0),0)</f>
        <v>0</v>
      </c>
      <c r="J8163" s="3">
        <f t="shared" si="509"/>
        <v>1900</v>
      </c>
    </row>
    <row r="8164" spans="1:10" s="9" customFormat="1" x14ac:dyDescent="0.25">
      <c r="A8164" s="447"/>
      <c r="B8164" s="55" t="str">
        <f t="shared" si="506"/>
        <v>ENERO</v>
      </c>
      <c r="C8164" s="55">
        <f t="shared" si="507"/>
        <v>1</v>
      </c>
      <c r="D8164" s="3" t="str">
        <f t="shared" si="508"/>
        <v>SÁBADO</v>
      </c>
      <c r="E8164" s="427"/>
      <c r="F8164" s="31">
        <f>IFERROR(VLOOKUP(E8164,BD!$L$2:$Q$244,2,0),0)</f>
        <v>0</v>
      </c>
      <c r="G8164" s="424"/>
      <c r="H8164" s="31">
        <f>+IFERROR(VLOOKUP(E8164,BD!$L$2:$Q$244,6,0),0)</f>
        <v>0</v>
      </c>
      <c r="I8164" s="626">
        <f>IFERROR(G8164*VLOOKUP($E8164,BD!$L$2:$Q$244,5,0),0)</f>
        <v>0</v>
      </c>
      <c r="J8164" s="3">
        <f t="shared" si="509"/>
        <v>1900</v>
      </c>
    </row>
    <row r="8165" spans="1:10" s="9" customFormat="1" x14ac:dyDescent="0.25">
      <c r="A8165" s="447"/>
      <c r="B8165" s="55" t="str">
        <f t="shared" si="506"/>
        <v>ENERO</v>
      </c>
      <c r="C8165" s="55">
        <f t="shared" si="507"/>
        <v>1</v>
      </c>
      <c r="D8165" s="3" t="str">
        <f t="shared" si="508"/>
        <v>SÁBADO</v>
      </c>
      <c r="E8165" s="427"/>
      <c r="F8165" s="31">
        <f>IFERROR(VLOOKUP(E8165,BD!$L$2:$Q$244,2,0),0)</f>
        <v>0</v>
      </c>
      <c r="G8165" s="424"/>
      <c r="H8165" s="31">
        <f>+IFERROR(VLOOKUP(E8165,BD!$L$2:$Q$244,6,0),0)</f>
        <v>0</v>
      </c>
      <c r="I8165" s="626">
        <f>IFERROR(G8165*VLOOKUP($E8165,BD!$L$2:$Q$244,5,0),0)</f>
        <v>0</v>
      </c>
      <c r="J8165" s="3">
        <f t="shared" si="509"/>
        <v>1900</v>
      </c>
    </row>
    <row r="8166" spans="1:10" s="9" customFormat="1" x14ac:dyDescent="0.25">
      <c r="A8166" s="447"/>
      <c r="B8166" s="55" t="str">
        <f t="shared" si="506"/>
        <v>ENERO</v>
      </c>
      <c r="C8166" s="55">
        <f t="shared" si="507"/>
        <v>1</v>
      </c>
      <c r="D8166" s="3" t="str">
        <f t="shared" si="508"/>
        <v>SÁBADO</v>
      </c>
      <c r="E8166" s="427"/>
      <c r="F8166" s="31">
        <f>IFERROR(VLOOKUP(E8166,BD!$L$2:$Q$244,2,0),0)</f>
        <v>0</v>
      </c>
      <c r="G8166" s="424"/>
      <c r="H8166" s="31">
        <f>+IFERROR(VLOOKUP(E8166,BD!$L$2:$Q$244,6,0),0)</f>
        <v>0</v>
      </c>
      <c r="I8166" s="626">
        <f>IFERROR(G8166*VLOOKUP($E8166,BD!$L$2:$Q$244,5,0),0)</f>
        <v>0</v>
      </c>
      <c r="J8166" s="3">
        <f t="shared" si="509"/>
        <v>1900</v>
      </c>
    </row>
    <row r="8167" spans="1:10" s="9" customFormat="1" x14ac:dyDescent="0.25">
      <c r="A8167" s="447"/>
      <c r="B8167" s="55" t="str">
        <f t="shared" si="506"/>
        <v>ENERO</v>
      </c>
      <c r="C8167" s="55">
        <f t="shared" si="507"/>
        <v>1</v>
      </c>
      <c r="D8167" s="3" t="str">
        <f t="shared" si="508"/>
        <v>SÁBADO</v>
      </c>
      <c r="E8167" s="427"/>
      <c r="F8167" s="31">
        <f>IFERROR(VLOOKUP(E8167,BD!$L$2:$Q$244,2,0),0)</f>
        <v>0</v>
      </c>
      <c r="G8167" s="424"/>
      <c r="H8167" s="31">
        <f>+IFERROR(VLOOKUP(E8167,BD!$L$2:$Q$244,6,0),0)</f>
        <v>0</v>
      </c>
      <c r="I8167" s="626">
        <f>IFERROR(G8167*VLOOKUP($E8167,BD!$L$2:$Q$244,5,0),0)</f>
        <v>0</v>
      </c>
      <c r="J8167" s="3">
        <f t="shared" si="509"/>
        <v>1900</v>
      </c>
    </row>
    <row r="8168" spans="1:10" s="9" customFormat="1" x14ac:dyDescent="0.25">
      <c r="A8168" s="447"/>
      <c r="B8168" s="55" t="str">
        <f t="shared" si="506"/>
        <v>ENERO</v>
      </c>
      <c r="C8168" s="55">
        <f t="shared" si="507"/>
        <v>1</v>
      </c>
      <c r="D8168" s="3" t="str">
        <f t="shared" si="508"/>
        <v>SÁBADO</v>
      </c>
      <c r="E8168" s="427"/>
      <c r="F8168" s="31">
        <f>IFERROR(VLOOKUP(E8168,BD!$L$2:$Q$244,2,0),0)</f>
        <v>0</v>
      </c>
      <c r="G8168" s="424"/>
      <c r="H8168" s="31">
        <f>+IFERROR(VLOOKUP(E8168,BD!$L$2:$Q$244,6,0),0)</f>
        <v>0</v>
      </c>
      <c r="I8168" s="626">
        <f>IFERROR(G8168*VLOOKUP($E8168,BD!$L$2:$Q$244,5,0),0)</f>
        <v>0</v>
      </c>
      <c r="J8168" s="3">
        <f t="shared" si="509"/>
        <v>1900</v>
      </c>
    </row>
    <row r="8169" spans="1:10" s="9" customFormat="1" x14ac:dyDescent="0.25">
      <c r="A8169" s="447"/>
      <c r="B8169" s="55" t="str">
        <f t="shared" si="506"/>
        <v>ENERO</v>
      </c>
      <c r="C8169" s="55">
        <f t="shared" si="507"/>
        <v>1</v>
      </c>
      <c r="D8169" s="3" t="str">
        <f t="shared" si="508"/>
        <v>SÁBADO</v>
      </c>
      <c r="E8169" s="427"/>
      <c r="F8169" s="31">
        <f>IFERROR(VLOOKUP(E8169,BD!$L$2:$Q$244,2,0),0)</f>
        <v>0</v>
      </c>
      <c r="G8169" s="424"/>
      <c r="H8169" s="31">
        <f>+IFERROR(VLOOKUP(E8169,BD!$L$2:$Q$244,6,0),0)</f>
        <v>0</v>
      </c>
      <c r="I8169" s="626">
        <f>IFERROR(G8169*VLOOKUP($E8169,BD!$L$2:$Q$244,5,0),0)</f>
        <v>0</v>
      </c>
      <c r="J8169" s="3">
        <f t="shared" si="509"/>
        <v>1900</v>
      </c>
    </row>
    <row r="8170" spans="1:10" s="9" customFormat="1" x14ac:dyDescent="0.25">
      <c r="A8170" s="447"/>
      <c r="B8170" s="55" t="str">
        <f t="shared" si="506"/>
        <v>ENERO</v>
      </c>
      <c r="C8170" s="55">
        <f t="shared" si="507"/>
        <v>1</v>
      </c>
      <c r="D8170" s="3" t="str">
        <f t="shared" si="508"/>
        <v>SÁBADO</v>
      </c>
      <c r="E8170" s="427"/>
      <c r="F8170" s="31">
        <f>IFERROR(VLOOKUP(E8170,BD!$L$2:$Q$244,2,0),0)</f>
        <v>0</v>
      </c>
      <c r="G8170" s="424"/>
      <c r="H8170" s="31">
        <f>+IFERROR(VLOOKUP(E8170,BD!$L$2:$Q$244,6,0),0)</f>
        <v>0</v>
      </c>
      <c r="I8170" s="626">
        <f>IFERROR(G8170*VLOOKUP($E8170,BD!$L$2:$Q$244,5,0),0)</f>
        <v>0</v>
      </c>
      <c r="J8170" s="3">
        <f t="shared" si="509"/>
        <v>1900</v>
      </c>
    </row>
    <row r="8171" spans="1:10" s="9" customFormat="1" x14ac:dyDescent="0.25">
      <c r="A8171" s="447"/>
      <c r="B8171" s="55" t="str">
        <f t="shared" si="506"/>
        <v>ENERO</v>
      </c>
      <c r="C8171" s="55">
        <f t="shared" si="507"/>
        <v>1</v>
      </c>
      <c r="D8171" s="3" t="str">
        <f t="shared" si="508"/>
        <v>SÁBADO</v>
      </c>
      <c r="E8171" s="427"/>
      <c r="F8171" s="31">
        <f>IFERROR(VLOOKUP(E8171,BD!$L$2:$Q$244,2,0),0)</f>
        <v>0</v>
      </c>
      <c r="G8171" s="424"/>
      <c r="H8171" s="31">
        <f>+IFERROR(VLOOKUP(E8171,BD!$L$2:$Q$244,6,0),0)</f>
        <v>0</v>
      </c>
      <c r="I8171" s="626">
        <f>IFERROR(G8171*VLOOKUP($E8171,BD!$L$2:$Q$244,5,0),0)</f>
        <v>0</v>
      </c>
      <c r="J8171" s="3">
        <f t="shared" si="509"/>
        <v>1900</v>
      </c>
    </row>
    <row r="8172" spans="1:10" s="9" customFormat="1" x14ac:dyDescent="0.25">
      <c r="A8172" s="447"/>
      <c r="B8172" s="55" t="str">
        <f t="shared" si="506"/>
        <v>ENERO</v>
      </c>
      <c r="C8172" s="55">
        <f t="shared" si="507"/>
        <v>1</v>
      </c>
      <c r="D8172" s="3" t="str">
        <f t="shared" si="508"/>
        <v>SÁBADO</v>
      </c>
      <c r="E8172" s="427"/>
      <c r="F8172" s="31">
        <f>IFERROR(VLOOKUP(E8172,BD!$L$2:$Q$244,2,0),0)</f>
        <v>0</v>
      </c>
      <c r="G8172" s="424"/>
      <c r="H8172" s="31">
        <f>+IFERROR(VLOOKUP(E8172,BD!$L$2:$Q$244,6,0),0)</f>
        <v>0</v>
      </c>
      <c r="I8172" s="626">
        <f>IFERROR(G8172*VLOOKUP($E8172,BD!$L$2:$Q$244,5,0),0)</f>
        <v>0</v>
      </c>
      <c r="J8172" s="3">
        <f t="shared" si="509"/>
        <v>1900</v>
      </c>
    </row>
    <row r="8173" spans="1:10" s="9" customFormat="1" x14ac:dyDescent="0.25">
      <c r="A8173" s="447"/>
      <c r="B8173" s="55" t="str">
        <f t="shared" si="506"/>
        <v>ENERO</v>
      </c>
      <c r="C8173" s="55">
        <f t="shared" si="507"/>
        <v>1</v>
      </c>
      <c r="D8173" s="3" t="str">
        <f t="shared" si="508"/>
        <v>SÁBADO</v>
      </c>
      <c r="E8173" s="427"/>
      <c r="F8173" s="31">
        <f>IFERROR(VLOOKUP(E8173,BD!$L$2:$Q$244,2,0),0)</f>
        <v>0</v>
      </c>
      <c r="G8173" s="424"/>
      <c r="H8173" s="31">
        <f>+IFERROR(VLOOKUP(E8173,BD!$L$2:$Q$244,6,0),0)</f>
        <v>0</v>
      </c>
      <c r="I8173" s="626">
        <f>IFERROR(G8173*VLOOKUP($E8173,BD!$L$2:$Q$244,5,0),0)</f>
        <v>0</v>
      </c>
      <c r="J8173" s="3">
        <f t="shared" si="509"/>
        <v>1900</v>
      </c>
    </row>
    <row r="8174" spans="1:10" s="9" customFormat="1" x14ac:dyDescent="0.25">
      <c r="A8174" s="447"/>
      <c r="B8174" s="55" t="str">
        <f t="shared" si="506"/>
        <v>ENERO</v>
      </c>
      <c r="C8174" s="55">
        <f t="shared" si="507"/>
        <v>1</v>
      </c>
      <c r="D8174" s="3" t="str">
        <f t="shared" si="508"/>
        <v>SÁBADO</v>
      </c>
      <c r="E8174" s="427"/>
      <c r="F8174" s="31">
        <f>IFERROR(VLOOKUP(E8174,BD!$L$2:$Q$244,2,0),0)</f>
        <v>0</v>
      </c>
      <c r="G8174" s="424"/>
      <c r="H8174" s="31">
        <f>+IFERROR(VLOOKUP(E8174,BD!$L$2:$Q$244,6,0),0)</f>
        <v>0</v>
      </c>
      <c r="I8174" s="626">
        <f>IFERROR(G8174*VLOOKUP($E8174,BD!$L$2:$Q$244,5,0),0)</f>
        <v>0</v>
      </c>
      <c r="J8174" s="3">
        <f t="shared" si="509"/>
        <v>1900</v>
      </c>
    </row>
    <row r="8175" spans="1:10" s="9" customFormat="1" x14ac:dyDescent="0.25">
      <c r="A8175" s="447"/>
      <c r="B8175" s="55" t="str">
        <f t="shared" si="506"/>
        <v>ENERO</v>
      </c>
      <c r="C8175" s="55">
        <f t="shared" si="507"/>
        <v>1</v>
      </c>
      <c r="D8175" s="3" t="str">
        <f t="shared" si="508"/>
        <v>SÁBADO</v>
      </c>
      <c r="E8175" s="427"/>
      <c r="F8175" s="31">
        <f>IFERROR(VLOOKUP(E8175,BD!$L$2:$Q$244,2,0),0)</f>
        <v>0</v>
      </c>
      <c r="G8175" s="424"/>
      <c r="H8175" s="31">
        <f>+IFERROR(VLOOKUP(E8175,BD!$L$2:$Q$244,6,0),0)</f>
        <v>0</v>
      </c>
      <c r="I8175" s="626">
        <f>IFERROR(G8175*VLOOKUP($E8175,BD!$L$2:$Q$244,5,0),0)</f>
        <v>0</v>
      </c>
      <c r="J8175" s="3">
        <f t="shared" si="509"/>
        <v>1900</v>
      </c>
    </row>
    <row r="8176" spans="1:10" s="9" customFormat="1" x14ac:dyDescent="0.25">
      <c r="A8176" s="447"/>
      <c r="B8176" s="55" t="str">
        <f t="shared" si="506"/>
        <v>ENERO</v>
      </c>
      <c r="C8176" s="55">
        <f t="shared" si="507"/>
        <v>1</v>
      </c>
      <c r="D8176" s="3" t="str">
        <f t="shared" si="508"/>
        <v>SÁBADO</v>
      </c>
      <c r="E8176" s="427"/>
      <c r="F8176" s="31">
        <f>IFERROR(VLOOKUP(E8176,BD!$L$2:$Q$244,2,0),0)</f>
        <v>0</v>
      </c>
      <c r="G8176" s="424"/>
      <c r="H8176" s="31">
        <f>+IFERROR(VLOOKUP(E8176,BD!$L$2:$Q$244,6,0),0)</f>
        <v>0</v>
      </c>
      <c r="I8176" s="626">
        <f>IFERROR(G8176*VLOOKUP($E8176,BD!$L$2:$Q$244,5,0),0)</f>
        <v>0</v>
      </c>
      <c r="J8176" s="3">
        <f t="shared" si="509"/>
        <v>1900</v>
      </c>
    </row>
    <row r="8177" spans="1:10" s="9" customFormat="1" x14ac:dyDescent="0.25">
      <c r="A8177" s="447"/>
      <c r="B8177" s="55" t="str">
        <f t="shared" si="506"/>
        <v>ENERO</v>
      </c>
      <c r="C8177" s="55">
        <f t="shared" si="507"/>
        <v>1</v>
      </c>
      <c r="D8177" s="3" t="str">
        <f t="shared" si="508"/>
        <v>SÁBADO</v>
      </c>
      <c r="E8177" s="427"/>
      <c r="F8177" s="31">
        <f>IFERROR(VLOOKUP(E8177,BD!$L$2:$Q$244,2,0),0)</f>
        <v>0</v>
      </c>
      <c r="G8177" s="424"/>
      <c r="H8177" s="31">
        <f>+IFERROR(VLOOKUP(E8177,BD!$L$2:$Q$244,6,0),0)</f>
        <v>0</v>
      </c>
      <c r="I8177" s="626">
        <f>IFERROR(G8177*VLOOKUP($E8177,BD!$L$2:$Q$244,5,0),0)</f>
        <v>0</v>
      </c>
      <c r="J8177" s="3">
        <f t="shared" si="509"/>
        <v>1900</v>
      </c>
    </row>
    <row r="8178" spans="1:10" s="9" customFormat="1" x14ac:dyDescent="0.25">
      <c r="A8178" s="447"/>
      <c r="B8178" s="55" t="str">
        <f t="shared" si="506"/>
        <v>ENERO</v>
      </c>
      <c r="C8178" s="55">
        <f t="shared" si="507"/>
        <v>1</v>
      </c>
      <c r="D8178" s="3" t="str">
        <f t="shared" si="508"/>
        <v>SÁBADO</v>
      </c>
      <c r="E8178" s="427"/>
      <c r="F8178" s="31">
        <f>IFERROR(VLOOKUP(E8178,BD!$L$2:$Q$244,2,0),0)</f>
        <v>0</v>
      </c>
      <c r="G8178" s="424"/>
      <c r="H8178" s="31">
        <f>+IFERROR(VLOOKUP(E8178,BD!$L$2:$Q$244,6,0),0)</f>
        <v>0</v>
      </c>
      <c r="I8178" s="626">
        <f>IFERROR(G8178*VLOOKUP($E8178,BD!$L$2:$Q$244,5,0),0)</f>
        <v>0</v>
      </c>
      <c r="J8178" s="3">
        <f t="shared" si="509"/>
        <v>1900</v>
      </c>
    </row>
    <row r="8179" spans="1:10" s="9" customFormat="1" x14ac:dyDescent="0.25">
      <c r="A8179" s="447"/>
      <c r="B8179" s="55" t="str">
        <f t="shared" si="506"/>
        <v>ENERO</v>
      </c>
      <c r="C8179" s="55">
        <f t="shared" si="507"/>
        <v>1</v>
      </c>
      <c r="D8179" s="3" t="str">
        <f t="shared" si="508"/>
        <v>SÁBADO</v>
      </c>
      <c r="E8179" s="427"/>
      <c r="F8179" s="31">
        <f>IFERROR(VLOOKUP(E8179,BD!$L$2:$Q$244,2,0),0)</f>
        <v>0</v>
      </c>
      <c r="G8179" s="424"/>
      <c r="H8179" s="31">
        <f>+IFERROR(VLOOKUP(E8179,BD!$L$2:$Q$244,6,0),0)</f>
        <v>0</v>
      </c>
      <c r="I8179" s="626">
        <f>IFERROR(G8179*VLOOKUP($E8179,BD!$L$2:$Q$244,5,0),0)</f>
        <v>0</v>
      </c>
      <c r="J8179" s="3">
        <f t="shared" si="509"/>
        <v>1900</v>
      </c>
    </row>
    <row r="8180" spans="1:10" s="9" customFormat="1" x14ac:dyDescent="0.25">
      <c r="A8180" s="447"/>
      <c r="B8180" s="55" t="str">
        <f t="shared" si="506"/>
        <v>ENERO</v>
      </c>
      <c r="C8180" s="55">
        <f t="shared" si="507"/>
        <v>1</v>
      </c>
      <c r="D8180" s="3" t="str">
        <f t="shared" si="508"/>
        <v>SÁBADO</v>
      </c>
      <c r="E8180" s="427"/>
      <c r="F8180" s="31">
        <f>IFERROR(VLOOKUP(E8180,BD!$L$2:$Q$244,2,0),0)</f>
        <v>0</v>
      </c>
      <c r="G8180" s="424"/>
      <c r="H8180" s="31">
        <f>+IFERROR(VLOOKUP(E8180,BD!$L$2:$Q$244,6,0),0)</f>
        <v>0</v>
      </c>
      <c r="I8180" s="626">
        <f>IFERROR(G8180*VLOOKUP($E8180,BD!$L$2:$Q$244,5,0),0)</f>
        <v>0</v>
      </c>
      <c r="J8180" s="3">
        <f t="shared" si="509"/>
        <v>1900</v>
      </c>
    </row>
    <row r="8181" spans="1:10" s="9" customFormat="1" x14ac:dyDescent="0.25">
      <c r="A8181" s="447"/>
      <c r="B8181" s="55" t="str">
        <f t="shared" si="506"/>
        <v>ENERO</v>
      </c>
      <c r="C8181" s="55">
        <f t="shared" si="507"/>
        <v>1</v>
      </c>
      <c r="D8181" s="3" t="str">
        <f t="shared" si="508"/>
        <v>SÁBADO</v>
      </c>
      <c r="E8181" s="427"/>
      <c r="F8181" s="31">
        <f>IFERROR(VLOOKUP(E8181,BD!$L$2:$Q$244,2,0),0)</f>
        <v>0</v>
      </c>
      <c r="G8181" s="424"/>
      <c r="H8181" s="31">
        <f>+IFERROR(VLOOKUP(E8181,BD!$L$2:$Q$244,6,0),0)</f>
        <v>0</v>
      </c>
      <c r="I8181" s="626">
        <f>IFERROR(G8181*VLOOKUP($E8181,BD!$L$2:$Q$244,5,0),0)</f>
        <v>0</v>
      </c>
      <c r="J8181" s="3">
        <f t="shared" si="509"/>
        <v>1900</v>
      </c>
    </row>
    <row r="8182" spans="1:10" s="9" customFormat="1" x14ac:dyDescent="0.25">
      <c r="A8182" s="447"/>
      <c r="B8182" s="55" t="str">
        <f t="shared" si="506"/>
        <v>ENERO</v>
      </c>
      <c r="C8182" s="55">
        <f t="shared" si="507"/>
        <v>1</v>
      </c>
      <c r="D8182" s="3" t="str">
        <f t="shared" si="508"/>
        <v>SÁBADO</v>
      </c>
      <c r="E8182" s="427"/>
      <c r="F8182" s="31">
        <f>IFERROR(VLOOKUP(E8182,BD!$L$2:$Q$244,2,0),0)</f>
        <v>0</v>
      </c>
      <c r="G8182" s="424"/>
      <c r="H8182" s="31">
        <f>+IFERROR(VLOOKUP(E8182,BD!$L$2:$Q$244,6,0),0)</f>
        <v>0</v>
      </c>
      <c r="I8182" s="626">
        <f>IFERROR(G8182*VLOOKUP($E8182,BD!$L$2:$Q$244,5,0),0)</f>
        <v>0</v>
      </c>
      <c r="J8182" s="3">
        <f t="shared" si="509"/>
        <v>1900</v>
      </c>
    </row>
    <row r="8183" spans="1:10" s="9" customFormat="1" x14ac:dyDescent="0.25">
      <c r="A8183" s="447"/>
      <c r="B8183" s="55" t="str">
        <f t="shared" si="506"/>
        <v>ENERO</v>
      </c>
      <c r="C8183" s="55">
        <f t="shared" si="507"/>
        <v>1</v>
      </c>
      <c r="D8183" s="3" t="str">
        <f t="shared" si="508"/>
        <v>SÁBADO</v>
      </c>
      <c r="E8183" s="427"/>
      <c r="F8183" s="31">
        <f>IFERROR(VLOOKUP(E8183,BD!$L$2:$Q$244,2,0),0)</f>
        <v>0</v>
      </c>
      <c r="G8183" s="424"/>
      <c r="H8183" s="31">
        <f>+IFERROR(VLOOKUP(E8183,BD!$L$2:$Q$244,6,0),0)</f>
        <v>0</v>
      </c>
      <c r="I8183" s="626">
        <f>IFERROR(G8183*VLOOKUP($E8183,BD!$L$2:$Q$244,5,0),0)</f>
        <v>0</v>
      </c>
      <c r="J8183" s="3">
        <f t="shared" si="509"/>
        <v>1900</v>
      </c>
    </row>
    <row r="8184" spans="1:10" s="9" customFormat="1" x14ac:dyDescent="0.25">
      <c r="A8184" s="447"/>
      <c r="B8184" s="55" t="str">
        <f t="shared" si="506"/>
        <v>ENERO</v>
      </c>
      <c r="C8184" s="55">
        <f t="shared" si="507"/>
        <v>1</v>
      </c>
      <c r="D8184" s="3" t="str">
        <f t="shared" si="508"/>
        <v>SÁBADO</v>
      </c>
      <c r="E8184" s="427"/>
      <c r="F8184" s="31">
        <f>IFERROR(VLOOKUP(E8184,BD!$L$2:$Q$244,2,0),0)</f>
        <v>0</v>
      </c>
      <c r="G8184" s="424"/>
      <c r="H8184" s="31">
        <f>+IFERROR(VLOOKUP(E8184,BD!$L$2:$Q$244,6,0),0)</f>
        <v>0</v>
      </c>
      <c r="I8184" s="626">
        <f>IFERROR(G8184*VLOOKUP($E8184,BD!$L$2:$Q$244,5,0),0)</f>
        <v>0</v>
      </c>
      <c r="J8184" s="3">
        <f t="shared" si="509"/>
        <v>1900</v>
      </c>
    </row>
    <row r="8185" spans="1:10" s="9" customFormat="1" x14ac:dyDescent="0.25">
      <c r="A8185" s="447"/>
      <c r="B8185" s="55" t="str">
        <f t="shared" si="506"/>
        <v>ENERO</v>
      </c>
      <c r="C8185" s="55">
        <f t="shared" si="507"/>
        <v>1</v>
      </c>
      <c r="D8185" s="3" t="str">
        <f t="shared" si="508"/>
        <v>SÁBADO</v>
      </c>
      <c r="E8185" s="427"/>
      <c r="F8185" s="31">
        <f>IFERROR(VLOOKUP(E8185,BD!$L$2:$Q$244,2,0),0)</f>
        <v>0</v>
      </c>
      <c r="G8185" s="424"/>
      <c r="H8185" s="31">
        <f>+IFERROR(VLOOKUP(E8185,BD!$L$2:$Q$244,6,0),0)</f>
        <v>0</v>
      </c>
      <c r="I8185" s="626">
        <f>IFERROR(G8185*VLOOKUP($E8185,BD!$L$2:$Q$244,5,0),0)</f>
        <v>0</v>
      </c>
      <c r="J8185" s="3">
        <f t="shared" si="509"/>
        <v>1900</v>
      </c>
    </row>
    <row r="8186" spans="1:10" s="9" customFormat="1" x14ac:dyDescent="0.25">
      <c r="A8186" s="447"/>
      <c r="B8186" s="55" t="str">
        <f t="shared" si="506"/>
        <v>ENERO</v>
      </c>
      <c r="C8186" s="55">
        <f t="shared" si="507"/>
        <v>1</v>
      </c>
      <c r="D8186" s="3" t="str">
        <f t="shared" si="508"/>
        <v>SÁBADO</v>
      </c>
      <c r="E8186" s="427"/>
      <c r="F8186" s="31">
        <f>IFERROR(VLOOKUP(E8186,BD!$L$2:$Q$244,2,0),0)</f>
        <v>0</v>
      </c>
      <c r="G8186" s="424"/>
      <c r="H8186" s="31">
        <f>+IFERROR(VLOOKUP(E8186,BD!$L$2:$Q$244,6,0),0)</f>
        <v>0</v>
      </c>
      <c r="I8186" s="626">
        <f>IFERROR(G8186*VLOOKUP($E8186,BD!$L$2:$Q$244,5,0),0)</f>
        <v>0</v>
      </c>
      <c r="J8186" s="3">
        <f t="shared" si="509"/>
        <v>1900</v>
      </c>
    </row>
    <row r="8187" spans="1:10" s="9" customFormat="1" x14ac:dyDescent="0.25">
      <c r="A8187" s="447"/>
      <c r="B8187" s="55" t="str">
        <f t="shared" si="506"/>
        <v>ENERO</v>
      </c>
      <c r="C8187" s="55">
        <f t="shared" si="507"/>
        <v>1</v>
      </c>
      <c r="D8187" s="3" t="str">
        <f t="shared" si="508"/>
        <v>SÁBADO</v>
      </c>
      <c r="E8187" s="427"/>
      <c r="F8187" s="31">
        <f>IFERROR(VLOOKUP(E8187,BD!$L$2:$Q$244,2,0),0)</f>
        <v>0</v>
      </c>
      <c r="G8187" s="424"/>
      <c r="H8187" s="31">
        <f>+IFERROR(VLOOKUP(E8187,BD!$L$2:$Q$244,6,0),0)</f>
        <v>0</v>
      </c>
      <c r="I8187" s="626">
        <f>IFERROR(G8187*VLOOKUP($E8187,BD!$L$2:$Q$244,5,0),0)</f>
        <v>0</v>
      </c>
      <c r="J8187" s="3">
        <f t="shared" si="509"/>
        <v>1900</v>
      </c>
    </row>
    <row r="8188" spans="1:10" s="9" customFormat="1" x14ac:dyDescent="0.25">
      <c r="A8188" s="447"/>
      <c r="B8188" s="55" t="str">
        <f t="shared" ref="B8188:B8251" si="510">UPPER(TEXT(A8188,"MMMM"))</f>
        <v>ENERO</v>
      </c>
      <c r="C8188" s="55">
        <f t="shared" ref="C8188:C8251" si="511">WEEKNUM(A8188,16)</f>
        <v>1</v>
      </c>
      <c r="D8188" s="3" t="str">
        <f t="shared" ref="D8188:D8251" si="512">UPPER(TEXT(A8188,"DDDD"))</f>
        <v>SÁBADO</v>
      </c>
      <c r="E8188" s="427"/>
      <c r="F8188" s="31">
        <f>IFERROR(VLOOKUP(E8188,BD!$L$2:$Q$244,2,0),0)</f>
        <v>0</v>
      </c>
      <c r="G8188" s="425"/>
      <c r="H8188" s="31">
        <f>+IFERROR(VLOOKUP(E8188,BD!$L$2:$Q$244,6,0),0)</f>
        <v>0</v>
      </c>
      <c r="I8188" s="626">
        <f>IFERROR(G8188*VLOOKUP($E8188,BD!$L$2:$Q$244,5,0),0)</f>
        <v>0</v>
      </c>
      <c r="J8188" s="3">
        <f t="shared" ref="J8188:J8251" si="513">+YEAR(A8188)</f>
        <v>1900</v>
      </c>
    </row>
    <row r="8189" spans="1:10" s="9" customFormat="1" x14ac:dyDescent="0.25">
      <c r="A8189" s="447"/>
      <c r="B8189" s="55" t="str">
        <f t="shared" si="510"/>
        <v>ENERO</v>
      </c>
      <c r="C8189" s="55">
        <f t="shared" si="511"/>
        <v>1</v>
      </c>
      <c r="D8189" s="3" t="str">
        <f t="shared" si="512"/>
        <v>SÁBADO</v>
      </c>
      <c r="E8189" s="427"/>
      <c r="F8189" s="31">
        <f>IFERROR(VLOOKUP(E8189,BD!$L$2:$Q$244,2,0),0)</f>
        <v>0</v>
      </c>
      <c r="G8189" s="424"/>
      <c r="H8189" s="31">
        <f>+IFERROR(VLOOKUP(E8189,BD!$L$2:$Q$244,6,0),0)</f>
        <v>0</v>
      </c>
      <c r="I8189" s="626">
        <f>IFERROR(G8189*VLOOKUP($E8189,BD!$L$2:$Q$244,5,0),0)</f>
        <v>0</v>
      </c>
      <c r="J8189" s="3">
        <f t="shared" si="513"/>
        <v>1900</v>
      </c>
    </row>
    <row r="8190" spans="1:10" s="9" customFormat="1" x14ac:dyDescent="0.25">
      <c r="A8190" s="447"/>
      <c r="B8190" s="55" t="str">
        <f t="shared" si="510"/>
        <v>ENERO</v>
      </c>
      <c r="C8190" s="55">
        <f t="shared" si="511"/>
        <v>1</v>
      </c>
      <c r="D8190" s="3" t="str">
        <f t="shared" si="512"/>
        <v>SÁBADO</v>
      </c>
      <c r="E8190" s="427"/>
      <c r="F8190" s="31">
        <f>IFERROR(VLOOKUP(E8190,BD!$L$2:$Q$244,2,0),0)</f>
        <v>0</v>
      </c>
      <c r="G8190" s="424"/>
      <c r="H8190" s="31">
        <f>+IFERROR(VLOOKUP(E8190,BD!$L$2:$Q$244,6,0),0)</f>
        <v>0</v>
      </c>
      <c r="I8190" s="626">
        <f>IFERROR(G8190*VLOOKUP($E8190,BD!$L$2:$Q$244,5,0),0)</f>
        <v>0</v>
      </c>
      <c r="J8190" s="3">
        <f t="shared" si="513"/>
        <v>1900</v>
      </c>
    </row>
    <row r="8191" spans="1:10" s="9" customFormat="1" x14ac:dyDescent="0.25">
      <c r="A8191" s="447"/>
      <c r="B8191" s="55" t="str">
        <f t="shared" si="510"/>
        <v>ENERO</v>
      </c>
      <c r="C8191" s="55">
        <f t="shared" si="511"/>
        <v>1</v>
      </c>
      <c r="D8191" s="3" t="str">
        <f t="shared" si="512"/>
        <v>SÁBADO</v>
      </c>
      <c r="E8191" s="427"/>
      <c r="F8191" s="31">
        <f>IFERROR(VLOOKUP(E8191,BD!$L$2:$Q$244,2,0),0)</f>
        <v>0</v>
      </c>
      <c r="G8191" s="424"/>
      <c r="H8191" s="31">
        <f>+IFERROR(VLOOKUP(E8191,BD!$L$2:$Q$244,6,0),0)</f>
        <v>0</v>
      </c>
      <c r="I8191" s="626">
        <f>IFERROR(G8191*VLOOKUP($E8191,BD!$L$2:$Q$244,5,0),0)</f>
        <v>0</v>
      </c>
      <c r="J8191" s="3">
        <f t="shared" si="513"/>
        <v>1900</v>
      </c>
    </row>
    <row r="8192" spans="1:10" s="9" customFormat="1" x14ac:dyDescent="0.25">
      <c r="A8192" s="447"/>
      <c r="B8192" s="55" t="str">
        <f t="shared" si="510"/>
        <v>ENERO</v>
      </c>
      <c r="C8192" s="55">
        <f t="shared" si="511"/>
        <v>1</v>
      </c>
      <c r="D8192" s="3" t="str">
        <f t="shared" si="512"/>
        <v>SÁBADO</v>
      </c>
      <c r="E8192" s="427"/>
      <c r="F8192" s="31">
        <f>IFERROR(VLOOKUP(E8192,BD!$L$2:$Q$244,2,0),0)</f>
        <v>0</v>
      </c>
      <c r="G8192" s="424"/>
      <c r="H8192" s="31">
        <f>+IFERROR(VLOOKUP(E8192,BD!$L$2:$Q$244,6,0),0)</f>
        <v>0</v>
      </c>
      <c r="I8192" s="626">
        <f>IFERROR(G8192*VLOOKUP($E8192,BD!$L$2:$Q$244,5,0),0)</f>
        <v>0</v>
      </c>
      <c r="J8192" s="3">
        <f t="shared" si="513"/>
        <v>1900</v>
      </c>
    </row>
    <row r="8193" spans="1:10" s="9" customFormat="1" x14ac:dyDescent="0.25">
      <c r="A8193" s="447"/>
      <c r="B8193" s="55" t="str">
        <f t="shared" si="510"/>
        <v>ENERO</v>
      </c>
      <c r="C8193" s="55">
        <f t="shared" si="511"/>
        <v>1</v>
      </c>
      <c r="D8193" s="3" t="str">
        <f t="shared" si="512"/>
        <v>SÁBADO</v>
      </c>
      <c r="E8193" s="427"/>
      <c r="F8193" s="31">
        <f>IFERROR(VLOOKUP(E8193,BD!$L$2:$Q$244,2,0),0)</f>
        <v>0</v>
      </c>
      <c r="G8193" s="424"/>
      <c r="H8193" s="31">
        <f>+IFERROR(VLOOKUP(E8193,BD!$L$2:$Q$244,6,0),0)</f>
        <v>0</v>
      </c>
      <c r="I8193" s="626">
        <f>IFERROR(G8193*VLOOKUP($E8193,BD!$L$2:$Q$244,5,0),0)</f>
        <v>0</v>
      </c>
      <c r="J8193" s="3">
        <f t="shared" si="513"/>
        <v>1900</v>
      </c>
    </row>
    <row r="8194" spans="1:10" s="9" customFormat="1" x14ac:dyDescent="0.25">
      <c r="A8194" s="447"/>
      <c r="B8194" s="55" t="str">
        <f t="shared" si="510"/>
        <v>ENERO</v>
      </c>
      <c r="C8194" s="55">
        <f t="shared" si="511"/>
        <v>1</v>
      </c>
      <c r="D8194" s="3" t="str">
        <f t="shared" si="512"/>
        <v>SÁBADO</v>
      </c>
      <c r="E8194" s="427"/>
      <c r="F8194" s="31">
        <f>IFERROR(VLOOKUP(E8194,BD!$L$2:$Q$244,2,0),0)</f>
        <v>0</v>
      </c>
      <c r="G8194" s="424"/>
      <c r="H8194" s="31">
        <f>+IFERROR(VLOOKUP(E8194,BD!$L$2:$Q$244,6,0),0)</f>
        <v>0</v>
      </c>
      <c r="I8194" s="626">
        <f>IFERROR(G8194*VLOOKUP($E8194,BD!$L$2:$Q$244,5,0),0)</f>
        <v>0</v>
      </c>
      <c r="J8194" s="3">
        <f t="shared" si="513"/>
        <v>1900</v>
      </c>
    </row>
    <row r="8195" spans="1:10" s="9" customFormat="1" x14ac:dyDescent="0.25">
      <c r="A8195" s="447"/>
      <c r="B8195" s="55" t="str">
        <f t="shared" si="510"/>
        <v>ENERO</v>
      </c>
      <c r="C8195" s="55">
        <f t="shared" si="511"/>
        <v>1</v>
      </c>
      <c r="D8195" s="3" t="str">
        <f t="shared" si="512"/>
        <v>SÁBADO</v>
      </c>
      <c r="E8195" s="427"/>
      <c r="F8195" s="31">
        <f>IFERROR(VLOOKUP(E8195,BD!$L$2:$Q$244,2,0),0)</f>
        <v>0</v>
      </c>
      <c r="G8195" s="424"/>
      <c r="H8195" s="31">
        <f>+IFERROR(VLOOKUP(E8195,BD!$L$2:$Q$244,6,0),0)</f>
        <v>0</v>
      </c>
      <c r="I8195" s="626">
        <f>IFERROR(G8195*VLOOKUP($E8195,BD!$L$2:$Q$244,5,0),0)</f>
        <v>0</v>
      </c>
      <c r="J8195" s="3">
        <f t="shared" si="513"/>
        <v>1900</v>
      </c>
    </row>
    <row r="8196" spans="1:10" s="9" customFormat="1" x14ac:dyDescent="0.25">
      <c r="A8196" s="447"/>
      <c r="B8196" s="55" t="str">
        <f t="shared" si="510"/>
        <v>ENERO</v>
      </c>
      <c r="C8196" s="55">
        <f t="shared" si="511"/>
        <v>1</v>
      </c>
      <c r="D8196" s="3" t="str">
        <f t="shared" si="512"/>
        <v>SÁBADO</v>
      </c>
      <c r="E8196" s="427"/>
      <c r="F8196" s="31">
        <f>IFERROR(VLOOKUP(E8196,BD!$L$2:$Q$244,2,0),0)</f>
        <v>0</v>
      </c>
      <c r="G8196" s="424"/>
      <c r="H8196" s="31">
        <f>+IFERROR(VLOOKUP(E8196,BD!$L$2:$Q$244,6,0),0)</f>
        <v>0</v>
      </c>
      <c r="I8196" s="626">
        <f>IFERROR(G8196*VLOOKUP($E8196,BD!$L$2:$Q$244,5,0),0)</f>
        <v>0</v>
      </c>
      <c r="J8196" s="3">
        <f t="shared" si="513"/>
        <v>1900</v>
      </c>
    </row>
    <row r="8197" spans="1:10" s="9" customFormat="1" x14ac:dyDescent="0.25">
      <c r="A8197" s="447"/>
      <c r="B8197" s="55" t="str">
        <f t="shared" si="510"/>
        <v>ENERO</v>
      </c>
      <c r="C8197" s="55">
        <f t="shared" si="511"/>
        <v>1</v>
      </c>
      <c r="D8197" s="3" t="str">
        <f t="shared" si="512"/>
        <v>SÁBADO</v>
      </c>
      <c r="E8197" s="427"/>
      <c r="F8197" s="31">
        <f>IFERROR(VLOOKUP(E8197,BD!$L$2:$Q$244,2,0),0)</f>
        <v>0</v>
      </c>
      <c r="G8197" s="424"/>
      <c r="H8197" s="31">
        <f>+IFERROR(VLOOKUP(E8197,BD!$L$2:$Q$244,6,0),0)</f>
        <v>0</v>
      </c>
      <c r="I8197" s="626">
        <f>IFERROR(G8197*VLOOKUP($E8197,BD!$L$2:$Q$244,5,0),0)</f>
        <v>0</v>
      </c>
      <c r="J8197" s="3">
        <f t="shared" si="513"/>
        <v>1900</v>
      </c>
    </row>
    <row r="8198" spans="1:10" s="9" customFormat="1" x14ac:dyDescent="0.25">
      <c r="A8198" s="447"/>
      <c r="B8198" s="55" t="str">
        <f t="shared" si="510"/>
        <v>ENERO</v>
      </c>
      <c r="C8198" s="55">
        <f t="shared" si="511"/>
        <v>1</v>
      </c>
      <c r="D8198" s="3" t="str">
        <f t="shared" si="512"/>
        <v>SÁBADO</v>
      </c>
      <c r="E8198" s="427"/>
      <c r="F8198" s="31">
        <f>IFERROR(VLOOKUP(E8198,BD!$L$2:$Q$244,2,0),0)</f>
        <v>0</v>
      </c>
      <c r="G8198" s="424"/>
      <c r="H8198" s="31">
        <f>+IFERROR(VLOOKUP(E8198,BD!$L$2:$Q$244,6,0),0)</f>
        <v>0</v>
      </c>
      <c r="I8198" s="626">
        <f>IFERROR(G8198*VLOOKUP($E8198,BD!$L$2:$Q$244,5,0),0)</f>
        <v>0</v>
      </c>
      <c r="J8198" s="3">
        <f t="shared" si="513"/>
        <v>1900</v>
      </c>
    </row>
    <row r="8199" spans="1:10" s="9" customFormat="1" x14ac:dyDescent="0.25">
      <c r="A8199" s="447"/>
      <c r="B8199" s="55" t="str">
        <f t="shared" si="510"/>
        <v>ENERO</v>
      </c>
      <c r="C8199" s="55">
        <f t="shared" si="511"/>
        <v>1</v>
      </c>
      <c r="D8199" s="3" t="str">
        <f t="shared" si="512"/>
        <v>SÁBADO</v>
      </c>
      <c r="E8199" s="427"/>
      <c r="F8199" s="31">
        <f>IFERROR(VLOOKUP(E8199,BD!$L$2:$Q$244,2,0),0)</f>
        <v>0</v>
      </c>
      <c r="G8199" s="424"/>
      <c r="H8199" s="31">
        <f>+IFERROR(VLOOKUP(E8199,BD!$L$2:$Q$244,6,0),0)</f>
        <v>0</v>
      </c>
      <c r="I8199" s="626">
        <f>IFERROR(G8199*VLOOKUP($E8199,BD!$L$2:$Q$244,5,0),0)</f>
        <v>0</v>
      </c>
      <c r="J8199" s="3">
        <f t="shared" si="513"/>
        <v>1900</v>
      </c>
    </row>
    <row r="8200" spans="1:10" s="9" customFormat="1" x14ac:dyDescent="0.25">
      <c r="A8200" s="447"/>
      <c r="B8200" s="55" t="str">
        <f t="shared" si="510"/>
        <v>ENERO</v>
      </c>
      <c r="C8200" s="55">
        <f t="shared" si="511"/>
        <v>1</v>
      </c>
      <c r="D8200" s="3" t="str">
        <f t="shared" si="512"/>
        <v>SÁBADO</v>
      </c>
      <c r="E8200" s="427"/>
      <c r="F8200" s="31">
        <f>IFERROR(VLOOKUP(E8200,BD!$L$2:$Q$244,2,0),0)</f>
        <v>0</v>
      </c>
      <c r="G8200" s="424"/>
      <c r="H8200" s="31">
        <f>+IFERROR(VLOOKUP(E8200,BD!$L$2:$Q$244,6,0),0)</f>
        <v>0</v>
      </c>
      <c r="I8200" s="626">
        <f>IFERROR(G8200*VLOOKUP($E8200,BD!$L$2:$Q$244,5,0),0)</f>
        <v>0</v>
      </c>
      <c r="J8200" s="3">
        <f t="shared" si="513"/>
        <v>1900</v>
      </c>
    </row>
    <row r="8201" spans="1:10" s="9" customFormat="1" x14ac:dyDescent="0.25">
      <c r="A8201" s="447"/>
      <c r="B8201" s="55" t="str">
        <f t="shared" si="510"/>
        <v>ENERO</v>
      </c>
      <c r="C8201" s="55">
        <f t="shared" si="511"/>
        <v>1</v>
      </c>
      <c r="D8201" s="3" t="str">
        <f t="shared" si="512"/>
        <v>SÁBADO</v>
      </c>
      <c r="E8201" s="427"/>
      <c r="F8201" s="31">
        <f>IFERROR(VLOOKUP(E8201,BD!$L$2:$Q$244,2,0),0)</f>
        <v>0</v>
      </c>
      <c r="G8201" s="424"/>
      <c r="H8201" s="31">
        <f>+IFERROR(VLOOKUP(E8201,BD!$L$2:$Q$244,6,0),0)</f>
        <v>0</v>
      </c>
      <c r="I8201" s="626">
        <f>IFERROR(G8201*VLOOKUP($E8201,BD!$L$2:$Q$244,5,0),0)</f>
        <v>0</v>
      </c>
      <c r="J8201" s="3">
        <f t="shared" si="513"/>
        <v>1900</v>
      </c>
    </row>
    <row r="8202" spans="1:10" s="9" customFormat="1" x14ac:dyDescent="0.25">
      <c r="A8202" s="447"/>
      <c r="B8202" s="55" t="str">
        <f t="shared" si="510"/>
        <v>ENERO</v>
      </c>
      <c r="C8202" s="55">
        <f t="shared" si="511"/>
        <v>1</v>
      </c>
      <c r="D8202" s="3" t="str">
        <f t="shared" si="512"/>
        <v>SÁBADO</v>
      </c>
      <c r="E8202" s="427"/>
      <c r="F8202" s="31">
        <f>IFERROR(VLOOKUP(E8202,BD!$L$2:$Q$244,2,0),0)</f>
        <v>0</v>
      </c>
      <c r="G8202" s="424"/>
      <c r="H8202" s="31">
        <f>+IFERROR(VLOOKUP(E8202,BD!$L$2:$Q$244,6,0),0)</f>
        <v>0</v>
      </c>
      <c r="I8202" s="626">
        <f>IFERROR(G8202*VLOOKUP($E8202,BD!$L$2:$Q$244,5,0),0)</f>
        <v>0</v>
      </c>
      <c r="J8202" s="3">
        <f t="shared" si="513"/>
        <v>1900</v>
      </c>
    </row>
    <row r="8203" spans="1:10" s="9" customFormat="1" x14ac:dyDescent="0.25">
      <c r="A8203" s="447"/>
      <c r="B8203" s="55" t="str">
        <f t="shared" si="510"/>
        <v>ENERO</v>
      </c>
      <c r="C8203" s="55">
        <f t="shared" si="511"/>
        <v>1</v>
      </c>
      <c r="D8203" s="3" t="str">
        <f t="shared" si="512"/>
        <v>SÁBADO</v>
      </c>
      <c r="E8203" s="427"/>
      <c r="F8203" s="31">
        <f>IFERROR(VLOOKUP(E8203,BD!$L$2:$Q$244,2,0),0)</f>
        <v>0</v>
      </c>
      <c r="G8203" s="424"/>
      <c r="H8203" s="31">
        <f>+IFERROR(VLOOKUP(E8203,BD!$L$2:$Q$244,6,0),0)</f>
        <v>0</v>
      </c>
      <c r="I8203" s="626">
        <f>IFERROR(G8203*VLOOKUP($E8203,BD!$L$2:$Q$244,5,0),0)</f>
        <v>0</v>
      </c>
      <c r="J8203" s="3">
        <f t="shared" si="513"/>
        <v>1900</v>
      </c>
    </row>
    <row r="8204" spans="1:10" s="9" customFormat="1" x14ac:dyDescent="0.25">
      <c r="A8204" s="447"/>
      <c r="B8204" s="55" t="str">
        <f t="shared" si="510"/>
        <v>ENERO</v>
      </c>
      <c r="C8204" s="55">
        <f t="shared" si="511"/>
        <v>1</v>
      </c>
      <c r="D8204" s="3" t="str">
        <f t="shared" si="512"/>
        <v>SÁBADO</v>
      </c>
      <c r="E8204" s="427"/>
      <c r="F8204" s="31">
        <f>IFERROR(VLOOKUP(E8204,BD!$L$2:$Q$244,2,0),0)</f>
        <v>0</v>
      </c>
      <c r="G8204" s="424"/>
      <c r="H8204" s="31">
        <f>+IFERROR(VLOOKUP(E8204,BD!$L$2:$Q$244,6,0),0)</f>
        <v>0</v>
      </c>
      <c r="I8204" s="626">
        <f>IFERROR(G8204*VLOOKUP($E8204,BD!$L$2:$Q$244,5,0),0)</f>
        <v>0</v>
      </c>
      <c r="J8204" s="3">
        <f t="shared" si="513"/>
        <v>1900</v>
      </c>
    </row>
    <row r="8205" spans="1:10" s="9" customFormat="1" x14ac:dyDescent="0.25">
      <c r="A8205" s="447"/>
      <c r="B8205" s="55" t="str">
        <f t="shared" si="510"/>
        <v>ENERO</v>
      </c>
      <c r="C8205" s="55">
        <f t="shared" si="511"/>
        <v>1</v>
      </c>
      <c r="D8205" s="3" t="str">
        <f t="shared" si="512"/>
        <v>SÁBADO</v>
      </c>
      <c r="E8205" s="427"/>
      <c r="F8205" s="31">
        <f>IFERROR(VLOOKUP(E8205,BD!$L$2:$Q$244,2,0),0)</f>
        <v>0</v>
      </c>
      <c r="G8205" s="424"/>
      <c r="H8205" s="31">
        <f>+IFERROR(VLOOKUP(E8205,BD!$L$2:$Q$244,6,0),0)</f>
        <v>0</v>
      </c>
      <c r="I8205" s="626">
        <f>IFERROR(G8205*VLOOKUP($E8205,BD!$L$2:$Q$244,5,0),0)</f>
        <v>0</v>
      </c>
      <c r="J8205" s="3">
        <f t="shared" si="513"/>
        <v>1900</v>
      </c>
    </row>
    <row r="8206" spans="1:10" s="9" customFormat="1" x14ac:dyDescent="0.25">
      <c r="A8206" s="447"/>
      <c r="B8206" s="55" t="str">
        <f t="shared" si="510"/>
        <v>ENERO</v>
      </c>
      <c r="C8206" s="55">
        <f t="shared" si="511"/>
        <v>1</v>
      </c>
      <c r="D8206" s="3" t="str">
        <f t="shared" si="512"/>
        <v>SÁBADO</v>
      </c>
      <c r="E8206" s="427"/>
      <c r="F8206" s="31">
        <f>IFERROR(VLOOKUP(E8206,BD!$L$2:$Q$244,2,0),0)</f>
        <v>0</v>
      </c>
      <c r="G8206" s="424"/>
      <c r="H8206" s="31">
        <f>+IFERROR(VLOOKUP(E8206,BD!$L$2:$Q$244,6,0),0)</f>
        <v>0</v>
      </c>
      <c r="I8206" s="626">
        <f>IFERROR(G8206*VLOOKUP($E8206,BD!$L$2:$Q$244,5,0),0)</f>
        <v>0</v>
      </c>
      <c r="J8206" s="3">
        <f t="shared" si="513"/>
        <v>1900</v>
      </c>
    </row>
    <row r="8207" spans="1:10" s="9" customFormat="1" x14ac:dyDescent="0.25">
      <c r="A8207" s="447"/>
      <c r="B8207" s="55" t="str">
        <f t="shared" si="510"/>
        <v>ENERO</v>
      </c>
      <c r="C8207" s="55">
        <f t="shared" si="511"/>
        <v>1</v>
      </c>
      <c r="D8207" s="3" t="str">
        <f t="shared" si="512"/>
        <v>SÁBADO</v>
      </c>
      <c r="E8207" s="427"/>
      <c r="F8207" s="31">
        <f>IFERROR(VLOOKUP(E8207,BD!$L$2:$Q$244,2,0),0)</f>
        <v>0</v>
      </c>
      <c r="G8207" s="424"/>
      <c r="H8207" s="31">
        <f>+IFERROR(VLOOKUP(E8207,BD!$L$2:$Q$244,6,0),0)</f>
        <v>0</v>
      </c>
      <c r="I8207" s="626">
        <f>IFERROR(G8207*VLOOKUP($E8207,BD!$L$2:$Q$244,5,0),0)</f>
        <v>0</v>
      </c>
      <c r="J8207" s="3">
        <f t="shared" si="513"/>
        <v>1900</v>
      </c>
    </row>
    <row r="8208" spans="1:10" s="9" customFormat="1" x14ac:dyDescent="0.25">
      <c r="A8208" s="447"/>
      <c r="B8208" s="55" t="str">
        <f t="shared" si="510"/>
        <v>ENERO</v>
      </c>
      <c r="C8208" s="55">
        <f t="shared" si="511"/>
        <v>1</v>
      </c>
      <c r="D8208" s="3" t="str">
        <f t="shared" si="512"/>
        <v>SÁBADO</v>
      </c>
      <c r="E8208" s="427"/>
      <c r="F8208" s="31">
        <f>IFERROR(VLOOKUP(E8208,BD!$L$2:$Q$244,2,0),0)</f>
        <v>0</v>
      </c>
      <c r="G8208" s="424"/>
      <c r="H8208" s="31">
        <f>+IFERROR(VLOOKUP(E8208,BD!$L$2:$Q$244,6,0),0)</f>
        <v>0</v>
      </c>
      <c r="I8208" s="626">
        <f>IFERROR(G8208*VLOOKUP($E8208,BD!$L$2:$Q$244,5,0),0)</f>
        <v>0</v>
      </c>
      <c r="J8208" s="3">
        <f t="shared" si="513"/>
        <v>1900</v>
      </c>
    </row>
    <row r="8209" spans="1:10" s="9" customFormat="1" x14ac:dyDescent="0.25">
      <c r="A8209" s="447"/>
      <c r="B8209" s="55" t="str">
        <f t="shared" si="510"/>
        <v>ENERO</v>
      </c>
      <c r="C8209" s="55">
        <f t="shared" si="511"/>
        <v>1</v>
      </c>
      <c r="D8209" s="3" t="str">
        <f t="shared" si="512"/>
        <v>SÁBADO</v>
      </c>
      <c r="E8209" s="427"/>
      <c r="F8209" s="31">
        <f>IFERROR(VLOOKUP(E8209,BD!$L$2:$Q$244,2,0),0)</f>
        <v>0</v>
      </c>
      <c r="G8209" s="424"/>
      <c r="H8209" s="31">
        <f>+IFERROR(VLOOKUP(E8209,BD!$L$2:$Q$244,6,0),0)</f>
        <v>0</v>
      </c>
      <c r="I8209" s="626">
        <f>IFERROR(G8209*VLOOKUP($E8209,BD!$L$2:$Q$244,5,0),0)</f>
        <v>0</v>
      </c>
      <c r="J8209" s="3">
        <f t="shared" si="513"/>
        <v>1900</v>
      </c>
    </row>
    <row r="8210" spans="1:10" s="9" customFormat="1" x14ac:dyDescent="0.25">
      <c r="A8210" s="447"/>
      <c r="B8210" s="55" t="str">
        <f t="shared" si="510"/>
        <v>ENERO</v>
      </c>
      <c r="C8210" s="55">
        <f t="shared" si="511"/>
        <v>1</v>
      </c>
      <c r="D8210" s="3" t="str">
        <f t="shared" si="512"/>
        <v>SÁBADO</v>
      </c>
      <c r="E8210" s="427"/>
      <c r="F8210" s="31">
        <f>IFERROR(VLOOKUP(E8210,BD!$L$2:$Q$244,2,0),0)</f>
        <v>0</v>
      </c>
      <c r="G8210" s="424"/>
      <c r="H8210" s="31">
        <f>+IFERROR(VLOOKUP(E8210,BD!$L$2:$Q$244,6,0),0)</f>
        <v>0</v>
      </c>
      <c r="I8210" s="626">
        <f>IFERROR(G8210*VLOOKUP($E8210,BD!$L$2:$Q$244,5,0),0)</f>
        <v>0</v>
      </c>
      <c r="J8210" s="3">
        <f t="shared" si="513"/>
        <v>1900</v>
      </c>
    </row>
    <row r="8211" spans="1:10" s="9" customFormat="1" x14ac:dyDescent="0.25">
      <c r="A8211" s="447"/>
      <c r="B8211" s="55" t="str">
        <f t="shared" si="510"/>
        <v>ENERO</v>
      </c>
      <c r="C8211" s="55">
        <f t="shared" si="511"/>
        <v>1</v>
      </c>
      <c r="D8211" s="3" t="str">
        <f t="shared" si="512"/>
        <v>SÁBADO</v>
      </c>
      <c r="E8211" s="427"/>
      <c r="F8211" s="31">
        <f>IFERROR(VLOOKUP(E8211,BD!$L$2:$Q$244,2,0),0)</f>
        <v>0</v>
      </c>
      <c r="G8211" s="424"/>
      <c r="H8211" s="31">
        <f>+IFERROR(VLOOKUP(E8211,BD!$L$2:$Q$244,6,0),0)</f>
        <v>0</v>
      </c>
      <c r="I8211" s="626">
        <f>IFERROR(G8211*VLOOKUP($E8211,BD!$L$2:$Q$244,5,0),0)</f>
        <v>0</v>
      </c>
      <c r="J8211" s="3">
        <f t="shared" si="513"/>
        <v>1900</v>
      </c>
    </row>
    <row r="8212" spans="1:10" s="9" customFormat="1" x14ac:dyDescent="0.25">
      <c r="A8212" s="447"/>
      <c r="B8212" s="55" t="str">
        <f t="shared" si="510"/>
        <v>ENERO</v>
      </c>
      <c r="C8212" s="55">
        <f t="shared" si="511"/>
        <v>1</v>
      </c>
      <c r="D8212" s="3" t="str">
        <f t="shared" si="512"/>
        <v>SÁBADO</v>
      </c>
      <c r="E8212" s="427"/>
      <c r="F8212" s="31">
        <f>IFERROR(VLOOKUP(E8212,BD!$L$2:$Q$244,2,0),0)</f>
        <v>0</v>
      </c>
      <c r="G8212" s="424"/>
      <c r="H8212" s="31">
        <f>+IFERROR(VLOOKUP(E8212,BD!$L$2:$Q$244,6,0),0)</f>
        <v>0</v>
      </c>
      <c r="I8212" s="626">
        <f>IFERROR(G8212*VLOOKUP($E8212,BD!$L$2:$Q$244,5,0),0)</f>
        <v>0</v>
      </c>
      <c r="J8212" s="3">
        <f t="shared" si="513"/>
        <v>1900</v>
      </c>
    </row>
    <row r="8213" spans="1:10" s="9" customFormat="1" x14ac:dyDescent="0.25">
      <c r="A8213" s="447"/>
      <c r="B8213" s="55" t="str">
        <f t="shared" si="510"/>
        <v>ENERO</v>
      </c>
      <c r="C8213" s="55">
        <f t="shared" si="511"/>
        <v>1</v>
      </c>
      <c r="D8213" s="3" t="str">
        <f t="shared" si="512"/>
        <v>SÁBADO</v>
      </c>
      <c r="E8213" s="427"/>
      <c r="F8213" s="31">
        <f>IFERROR(VLOOKUP(E8213,BD!$L$2:$Q$244,2,0),0)</f>
        <v>0</v>
      </c>
      <c r="G8213" s="424"/>
      <c r="H8213" s="31">
        <f>+IFERROR(VLOOKUP(E8213,BD!$L$2:$Q$244,6,0),0)</f>
        <v>0</v>
      </c>
      <c r="I8213" s="626">
        <f>IFERROR(G8213*VLOOKUP($E8213,BD!$L$2:$Q$244,5,0),0)</f>
        <v>0</v>
      </c>
      <c r="J8213" s="3">
        <f t="shared" si="513"/>
        <v>1900</v>
      </c>
    </row>
    <row r="8214" spans="1:10" s="9" customFormat="1" x14ac:dyDescent="0.25">
      <c r="A8214" s="447"/>
      <c r="B8214" s="55" t="str">
        <f t="shared" si="510"/>
        <v>ENERO</v>
      </c>
      <c r="C8214" s="55">
        <f t="shared" si="511"/>
        <v>1</v>
      </c>
      <c r="D8214" s="3" t="str">
        <f t="shared" si="512"/>
        <v>SÁBADO</v>
      </c>
      <c r="E8214" s="427"/>
      <c r="F8214" s="31">
        <f>IFERROR(VLOOKUP(E8214,BD!$L$2:$Q$244,2,0),0)</f>
        <v>0</v>
      </c>
      <c r="G8214" s="424"/>
      <c r="H8214" s="31">
        <f>+IFERROR(VLOOKUP(E8214,BD!$L$2:$Q$244,6,0),0)</f>
        <v>0</v>
      </c>
      <c r="I8214" s="626">
        <f>IFERROR(G8214*VLOOKUP($E8214,BD!$L$2:$Q$244,5,0),0)</f>
        <v>0</v>
      </c>
      <c r="J8214" s="3">
        <f t="shared" si="513"/>
        <v>1900</v>
      </c>
    </row>
    <row r="8215" spans="1:10" s="9" customFormat="1" x14ac:dyDescent="0.25">
      <c r="A8215" s="447"/>
      <c r="B8215" s="55" t="str">
        <f t="shared" si="510"/>
        <v>ENERO</v>
      </c>
      <c r="C8215" s="55">
        <f t="shared" si="511"/>
        <v>1</v>
      </c>
      <c r="D8215" s="3" t="str">
        <f t="shared" si="512"/>
        <v>SÁBADO</v>
      </c>
      <c r="E8215" s="427"/>
      <c r="F8215" s="31">
        <f>IFERROR(VLOOKUP(E8215,BD!$L$2:$Q$244,2,0),0)</f>
        <v>0</v>
      </c>
      <c r="G8215" s="424"/>
      <c r="H8215" s="31">
        <f>+IFERROR(VLOOKUP(E8215,BD!$L$2:$Q$244,6,0),0)</f>
        <v>0</v>
      </c>
      <c r="I8215" s="626">
        <f>IFERROR(G8215*VLOOKUP($E8215,BD!$L$2:$Q$244,5,0),0)</f>
        <v>0</v>
      </c>
      <c r="J8215" s="3">
        <f t="shared" si="513"/>
        <v>1900</v>
      </c>
    </row>
    <row r="8216" spans="1:10" s="9" customFormat="1" x14ac:dyDescent="0.25">
      <c r="A8216" s="447"/>
      <c r="B8216" s="55" t="str">
        <f t="shared" si="510"/>
        <v>ENERO</v>
      </c>
      <c r="C8216" s="55">
        <f t="shared" si="511"/>
        <v>1</v>
      </c>
      <c r="D8216" s="3" t="str">
        <f t="shared" si="512"/>
        <v>SÁBADO</v>
      </c>
      <c r="E8216" s="427"/>
      <c r="F8216" s="31">
        <f>IFERROR(VLOOKUP(E8216,BD!$L$2:$Q$244,2,0),0)</f>
        <v>0</v>
      </c>
      <c r="G8216" s="424"/>
      <c r="H8216" s="31">
        <f>+IFERROR(VLOOKUP(E8216,BD!$L$2:$Q$244,6,0),0)</f>
        <v>0</v>
      </c>
      <c r="I8216" s="626">
        <f>IFERROR(G8216*VLOOKUP($E8216,BD!$L$2:$Q$244,5,0),0)</f>
        <v>0</v>
      </c>
      <c r="J8216" s="3">
        <f t="shared" si="513"/>
        <v>1900</v>
      </c>
    </row>
    <row r="8217" spans="1:10" s="9" customFormat="1" x14ac:dyDescent="0.25">
      <c r="A8217" s="447"/>
      <c r="B8217" s="55" t="str">
        <f t="shared" si="510"/>
        <v>ENERO</v>
      </c>
      <c r="C8217" s="55">
        <f t="shared" si="511"/>
        <v>1</v>
      </c>
      <c r="D8217" s="3" t="str">
        <f t="shared" si="512"/>
        <v>SÁBADO</v>
      </c>
      <c r="E8217" s="427"/>
      <c r="F8217" s="31">
        <f>IFERROR(VLOOKUP(E8217,BD!$L$2:$Q$244,2,0),0)</f>
        <v>0</v>
      </c>
      <c r="G8217" s="424"/>
      <c r="H8217" s="31">
        <f>+IFERROR(VLOOKUP(E8217,BD!$L$2:$Q$244,6,0),0)</f>
        <v>0</v>
      </c>
      <c r="I8217" s="626">
        <f>IFERROR(G8217*VLOOKUP($E8217,BD!$L$2:$Q$244,5,0),0)</f>
        <v>0</v>
      </c>
      <c r="J8217" s="3">
        <f t="shared" si="513"/>
        <v>1900</v>
      </c>
    </row>
    <row r="8218" spans="1:10" s="9" customFormat="1" x14ac:dyDescent="0.25">
      <c r="A8218" s="447"/>
      <c r="B8218" s="55" t="str">
        <f t="shared" si="510"/>
        <v>ENERO</v>
      </c>
      <c r="C8218" s="55">
        <f t="shared" si="511"/>
        <v>1</v>
      </c>
      <c r="D8218" s="3" t="str">
        <f t="shared" si="512"/>
        <v>SÁBADO</v>
      </c>
      <c r="E8218" s="427"/>
      <c r="F8218" s="31">
        <f>IFERROR(VLOOKUP(E8218,BD!$L$2:$Q$244,2,0),0)</f>
        <v>0</v>
      </c>
      <c r="G8218" s="424"/>
      <c r="H8218" s="31">
        <f>+IFERROR(VLOOKUP(E8218,BD!$L$2:$Q$244,6,0),0)</f>
        <v>0</v>
      </c>
      <c r="I8218" s="626">
        <f>IFERROR(G8218*VLOOKUP($E8218,BD!$L$2:$Q$244,5,0),0)</f>
        <v>0</v>
      </c>
      <c r="J8218" s="3">
        <f t="shared" si="513"/>
        <v>1900</v>
      </c>
    </row>
    <row r="8219" spans="1:10" s="9" customFormat="1" x14ac:dyDescent="0.25">
      <c r="A8219" s="447"/>
      <c r="B8219" s="55" t="str">
        <f t="shared" si="510"/>
        <v>ENERO</v>
      </c>
      <c r="C8219" s="55">
        <f t="shared" si="511"/>
        <v>1</v>
      </c>
      <c r="D8219" s="3" t="str">
        <f t="shared" si="512"/>
        <v>SÁBADO</v>
      </c>
      <c r="E8219" s="427"/>
      <c r="F8219" s="31">
        <f>IFERROR(VLOOKUP(E8219,BD!$L$2:$Q$244,2,0),0)</f>
        <v>0</v>
      </c>
      <c r="G8219" s="424"/>
      <c r="H8219" s="31">
        <f>+IFERROR(VLOOKUP(E8219,BD!$L$2:$Q$244,6,0),0)</f>
        <v>0</v>
      </c>
      <c r="I8219" s="626">
        <f>IFERROR(G8219*VLOOKUP($E8219,BD!$L$2:$Q$244,5,0),0)</f>
        <v>0</v>
      </c>
      <c r="J8219" s="3">
        <f t="shared" si="513"/>
        <v>1900</v>
      </c>
    </row>
    <row r="8220" spans="1:10" s="9" customFormat="1" x14ac:dyDescent="0.25">
      <c r="A8220" s="447"/>
      <c r="B8220" s="55" t="str">
        <f t="shared" si="510"/>
        <v>ENERO</v>
      </c>
      <c r="C8220" s="55">
        <f t="shared" si="511"/>
        <v>1</v>
      </c>
      <c r="D8220" s="3" t="str">
        <f t="shared" si="512"/>
        <v>SÁBADO</v>
      </c>
      <c r="E8220" s="427"/>
      <c r="F8220" s="31">
        <f>IFERROR(VLOOKUP(E8220,BD!$L$2:$Q$244,2,0),0)</f>
        <v>0</v>
      </c>
      <c r="G8220" s="424"/>
      <c r="H8220" s="31">
        <f>+IFERROR(VLOOKUP(E8220,BD!$L$2:$Q$244,6,0),0)</f>
        <v>0</v>
      </c>
      <c r="I8220" s="626">
        <f>IFERROR(G8220*VLOOKUP($E8220,BD!$L$2:$Q$244,5,0),0)</f>
        <v>0</v>
      </c>
      <c r="J8220" s="3">
        <f t="shared" si="513"/>
        <v>1900</v>
      </c>
    </row>
    <row r="8221" spans="1:10" s="9" customFormat="1" x14ac:dyDescent="0.25">
      <c r="A8221" s="447"/>
      <c r="B8221" s="55" t="str">
        <f t="shared" si="510"/>
        <v>ENERO</v>
      </c>
      <c r="C8221" s="55">
        <f t="shared" si="511"/>
        <v>1</v>
      </c>
      <c r="D8221" s="3" t="str">
        <f t="shared" si="512"/>
        <v>SÁBADO</v>
      </c>
      <c r="E8221" s="427"/>
      <c r="F8221" s="31">
        <f>IFERROR(VLOOKUP(E8221,BD!$L$2:$Q$244,2,0),0)</f>
        <v>0</v>
      </c>
      <c r="G8221" s="424"/>
      <c r="H8221" s="31">
        <f>+IFERROR(VLOOKUP(E8221,BD!$L$2:$Q$244,6,0),0)</f>
        <v>0</v>
      </c>
      <c r="I8221" s="626">
        <f>IFERROR(G8221*VLOOKUP($E8221,BD!$L$2:$Q$244,5,0),0)</f>
        <v>0</v>
      </c>
      <c r="J8221" s="3">
        <f t="shared" si="513"/>
        <v>1900</v>
      </c>
    </row>
    <row r="8222" spans="1:10" s="9" customFormat="1" x14ac:dyDescent="0.25">
      <c r="A8222" s="447"/>
      <c r="B8222" s="55" t="str">
        <f t="shared" si="510"/>
        <v>ENERO</v>
      </c>
      <c r="C8222" s="55">
        <f t="shared" si="511"/>
        <v>1</v>
      </c>
      <c r="D8222" s="3" t="str">
        <f t="shared" si="512"/>
        <v>SÁBADO</v>
      </c>
      <c r="E8222" s="427"/>
      <c r="F8222" s="31">
        <f>IFERROR(VLOOKUP(E8222,BD!$L$2:$Q$244,2,0),0)</f>
        <v>0</v>
      </c>
      <c r="G8222" s="424"/>
      <c r="H8222" s="31">
        <f>+IFERROR(VLOOKUP(E8222,BD!$L$2:$Q$244,6,0),0)</f>
        <v>0</v>
      </c>
      <c r="I8222" s="626">
        <f>IFERROR(G8222*VLOOKUP($E8222,BD!$L$2:$Q$244,5,0),0)</f>
        <v>0</v>
      </c>
      <c r="J8222" s="3">
        <f t="shared" si="513"/>
        <v>1900</v>
      </c>
    </row>
    <row r="8223" spans="1:10" s="9" customFormat="1" x14ac:dyDescent="0.25">
      <c r="A8223" s="447"/>
      <c r="B8223" s="55" t="str">
        <f t="shared" si="510"/>
        <v>ENERO</v>
      </c>
      <c r="C8223" s="55">
        <f t="shared" si="511"/>
        <v>1</v>
      </c>
      <c r="D8223" s="3" t="str">
        <f t="shared" si="512"/>
        <v>SÁBADO</v>
      </c>
      <c r="E8223" s="427"/>
      <c r="F8223" s="31">
        <f>IFERROR(VLOOKUP(E8223,BD!$L$2:$Q$244,2,0),0)</f>
        <v>0</v>
      </c>
      <c r="G8223" s="424"/>
      <c r="H8223" s="31">
        <f>+IFERROR(VLOOKUP(E8223,BD!$L$2:$Q$244,6,0),0)</f>
        <v>0</v>
      </c>
      <c r="I8223" s="626">
        <f>IFERROR(G8223*VLOOKUP($E8223,BD!$L$2:$Q$244,5,0),0)</f>
        <v>0</v>
      </c>
      <c r="J8223" s="3">
        <f t="shared" si="513"/>
        <v>1900</v>
      </c>
    </row>
    <row r="8224" spans="1:10" s="9" customFormat="1" x14ac:dyDescent="0.25">
      <c r="A8224" s="447"/>
      <c r="B8224" s="55" t="str">
        <f t="shared" si="510"/>
        <v>ENERO</v>
      </c>
      <c r="C8224" s="55">
        <f t="shared" si="511"/>
        <v>1</v>
      </c>
      <c r="D8224" s="3" t="str">
        <f t="shared" si="512"/>
        <v>SÁBADO</v>
      </c>
      <c r="E8224" s="427"/>
      <c r="F8224" s="31">
        <f>IFERROR(VLOOKUP(E8224,BD!$L$2:$Q$244,2,0),0)</f>
        <v>0</v>
      </c>
      <c r="G8224" s="424"/>
      <c r="H8224" s="31">
        <f>+IFERROR(VLOOKUP(E8224,BD!$L$2:$Q$244,6,0),0)</f>
        <v>0</v>
      </c>
      <c r="I8224" s="626">
        <f>IFERROR(G8224*VLOOKUP($E8224,BD!$L$2:$Q$244,5,0),0)</f>
        <v>0</v>
      </c>
      <c r="J8224" s="3">
        <f t="shared" si="513"/>
        <v>1900</v>
      </c>
    </row>
    <row r="8225" spans="1:10" s="9" customFormat="1" x14ac:dyDescent="0.25">
      <c r="A8225" s="447"/>
      <c r="B8225" s="55" t="str">
        <f t="shared" si="510"/>
        <v>ENERO</v>
      </c>
      <c r="C8225" s="55">
        <f t="shared" si="511"/>
        <v>1</v>
      </c>
      <c r="D8225" s="3" t="str">
        <f t="shared" si="512"/>
        <v>SÁBADO</v>
      </c>
      <c r="E8225" s="427"/>
      <c r="F8225" s="31">
        <f>IFERROR(VLOOKUP(E8225,BD!$L$2:$Q$244,2,0),0)</f>
        <v>0</v>
      </c>
      <c r="G8225" s="424"/>
      <c r="H8225" s="31">
        <f>+IFERROR(VLOOKUP(E8225,BD!$L$2:$Q$244,6,0),0)</f>
        <v>0</v>
      </c>
      <c r="I8225" s="626">
        <f>IFERROR(G8225*VLOOKUP($E8225,BD!$L$2:$Q$244,5,0),0)</f>
        <v>0</v>
      </c>
      <c r="J8225" s="3">
        <f t="shared" si="513"/>
        <v>1900</v>
      </c>
    </row>
    <row r="8226" spans="1:10" s="9" customFormat="1" x14ac:dyDescent="0.25">
      <c r="A8226" s="447"/>
      <c r="B8226" s="55" t="str">
        <f t="shared" si="510"/>
        <v>ENERO</v>
      </c>
      <c r="C8226" s="55">
        <f t="shared" si="511"/>
        <v>1</v>
      </c>
      <c r="D8226" s="3" t="str">
        <f t="shared" si="512"/>
        <v>SÁBADO</v>
      </c>
      <c r="E8226" s="427"/>
      <c r="F8226" s="31">
        <f>IFERROR(VLOOKUP(E8226,BD!$L$2:$Q$244,2,0),0)</f>
        <v>0</v>
      </c>
      <c r="G8226" s="424"/>
      <c r="H8226" s="31">
        <f>+IFERROR(VLOOKUP(E8226,BD!$L$2:$Q$244,6,0),0)</f>
        <v>0</v>
      </c>
      <c r="I8226" s="626">
        <f>IFERROR(G8226*VLOOKUP($E8226,BD!$L$2:$Q$244,5,0),0)</f>
        <v>0</v>
      </c>
      <c r="J8226" s="3">
        <f t="shared" si="513"/>
        <v>1900</v>
      </c>
    </row>
    <row r="8227" spans="1:10" s="9" customFormat="1" x14ac:dyDescent="0.25">
      <c r="A8227" s="447"/>
      <c r="B8227" s="55" t="str">
        <f t="shared" si="510"/>
        <v>ENERO</v>
      </c>
      <c r="C8227" s="55">
        <f t="shared" si="511"/>
        <v>1</v>
      </c>
      <c r="D8227" s="3" t="str">
        <f t="shared" si="512"/>
        <v>SÁBADO</v>
      </c>
      <c r="E8227" s="427"/>
      <c r="F8227" s="31">
        <f>IFERROR(VLOOKUP(E8227,BD!$L$2:$Q$244,2,0),0)</f>
        <v>0</v>
      </c>
      <c r="G8227" s="424"/>
      <c r="H8227" s="31">
        <f>+IFERROR(VLOOKUP(E8227,BD!$L$2:$Q$244,6,0),0)</f>
        <v>0</v>
      </c>
      <c r="I8227" s="626">
        <f>IFERROR(G8227*VLOOKUP($E8227,BD!$L$2:$Q$244,5,0),0)</f>
        <v>0</v>
      </c>
      <c r="J8227" s="3">
        <f t="shared" si="513"/>
        <v>1900</v>
      </c>
    </row>
    <row r="8228" spans="1:10" s="9" customFormat="1" x14ac:dyDescent="0.25">
      <c r="A8228" s="447"/>
      <c r="B8228" s="55" t="str">
        <f t="shared" si="510"/>
        <v>ENERO</v>
      </c>
      <c r="C8228" s="55">
        <f t="shared" si="511"/>
        <v>1</v>
      </c>
      <c r="D8228" s="3" t="str">
        <f t="shared" si="512"/>
        <v>SÁBADO</v>
      </c>
      <c r="E8228" s="427"/>
      <c r="F8228" s="31">
        <f>IFERROR(VLOOKUP(E8228,BD!$L$2:$Q$244,2,0),0)</f>
        <v>0</v>
      </c>
      <c r="G8228" s="424"/>
      <c r="H8228" s="31">
        <f>+IFERROR(VLOOKUP(E8228,BD!$L$2:$Q$244,6,0),0)</f>
        <v>0</v>
      </c>
      <c r="I8228" s="626">
        <f>IFERROR(G8228*VLOOKUP($E8228,BD!$L$2:$Q$244,5,0),0)</f>
        <v>0</v>
      </c>
      <c r="J8228" s="3">
        <f t="shared" si="513"/>
        <v>1900</v>
      </c>
    </row>
    <row r="8229" spans="1:10" s="9" customFormat="1" x14ac:dyDescent="0.25">
      <c r="A8229" s="447"/>
      <c r="B8229" s="55" t="str">
        <f t="shared" si="510"/>
        <v>ENERO</v>
      </c>
      <c r="C8229" s="55">
        <f t="shared" si="511"/>
        <v>1</v>
      </c>
      <c r="D8229" s="3" t="str">
        <f t="shared" si="512"/>
        <v>SÁBADO</v>
      </c>
      <c r="E8229" s="427"/>
      <c r="F8229" s="31">
        <f>IFERROR(VLOOKUP(E8229,BD!$L$2:$Q$244,2,0),0)</f>
        <v>0</v>
      </c>
      <c r="G8229" s="424"/>
      <c r="H8229" s="31">
        <f>+IFERROR(VLOOKUP(E8229,BD!$L$2:$Q$244,6,0),0)</f>
        <v>0</v>
      </c>
      <c r="I8229" s="626">
        <f>IFERROR(G8229*VLOOKUP($E8229,BD!$L$2:$Q$244,5,0),0)</f>
        <v>0</v>
      </c>
      <c r="J8229" s="3">
        <f t="shared" si="513"/>
        <v>1900</v>
      </c>
    </row>
    <row r="8230" spans="1:10" s="9" customFormat="1" x14ac:dyDescent="0.25">
      <c r="A8230" s="447"/>
      <c r="B8230" s="55" t="str">
        <f t="shared" si="510"/>
        <v>ENERO</v>
      </c>
      <c r="C8230" s="55">
        <f t="shared" si="511"/>
        <v>1</v>
      </c>
      <c r="D8230" s="3" t="str">
        <f t="shared" si="512"/>
        <v>SÁBADO</v>
      </c>
      <c r="E8230" s="427"/>
      <c r="F8230" s="31">
        <f>IFERROR(VLOOKUP(E8230,BD!$L$2:$Q$244,2,0),0)</f>
        <v>0</v>
      </c>
      <c r="G8230" s="424"/>
      <c r="H8230" s="31">
        <f>+IFERROR(VLOOKUP(E8230,BD!$L$2:$Q$244,6,0),0)</f>
        <v>0</v>
      </c>
      <c r="I8230" s="626">
        <f>IFERROR(G8230*VLOOKUP($E8230,BD!$L$2:$Q$244,5,0),0)</f>
        <v>0</v>
      </c>
      <c r="J8230" s="3">
        <f t="shared" si="513"/>
        <v>1900</v>
      </c>
    </row>
    <row r="8231" spans="1:10" s="9" customFormat="1" x14ac:dyDescent="0.25">
      <c r="A8231" s="447"/>
      <c r="B8231" s="55" t="str">
        <f t="shared" si="510"/>
        <v>ENERO</v>
      </c>
      <c r="C8231" s="55">
        <f t="shared" si="511"/>
        <v>1</v>
      </c>
      <c r="D8231" s="3" t="str">
        <f t="shared" si="512"/>
        <v>SÁBADO</v>
      </c>
      <c r="E8231" s="427"/>
      <c r="F8231" s="31">
        <f>IFERROR(VLOOKUP(E8231,BD!$L$2:$Q$244,2,0),0)</f>
        <v>0</v>
      </c>
      <c r="G8231" s="424"/>
      <c r="H8231" s="31">
        <f>+IFERROR(VLOOKUP(E8231,BD!$L$2:$Q$244,6,0),0)</f>
        <v>0</v>
      </c>
      <c r="I8231" s="626">
        <f>IFERROR(G8231*VLOOKUP($E8231,BD!$L$2:$Q$244,5,0),0)</f>
        <v>0</v>
      </c>
      <c r="J8231" s="3">
        <f t="shared" si="513"/>
        <v>1900</v>
      </c>
    </row>
    <row r="8232" spans="1:10" s="9" customFormat="1" x14ac:dyDescent="0.25">
      <c r="A8232" s="447"/>
      <c r="B8232" s="55" t="str">
        <f t="shared" si="510"/>
        <v>ENERO</v>
      </c>
      <c r="C8232" s="55">
        <f t="shared" si="511"/>
        <v>1</v>
      </c>
      <c r="D8232" s="3" t="str">
        <f t="shared" si="512"/>
        <v>SÁBADO</v>
      </c>
      <c r="E8232" s="427"/>
      <c r="F8232" s="31">
        <f>IFERROR(VLOOKUP(E8232,BD!$L$2:$Q$244,2,0),0)</f>
        <v>0</v>
      </c>
      <c r="G8232" s="424"/>
      <c r="H8232" s="31">
        <f>+IFERROR(VLOOKUP(E8232,BD!$L$2:$Q$244,6,0),0)</f>
        <v>0</v>
      </c>
      <c r="I8232" s="626">
        <f>IFERROR(G8232*VLOOKUP($E8232,BD!$L$2:$Q$244,5,0),0)</f>
        <v>0</v>
      </c>
      <c r="J8232" s="3">
        <f t="shared" si="513"/>
        <v>1900</v>
      </c>
    </row>
    <row r="8233" spans="1:10" s="9" customFormat="1" x14ac:dyDescent="0.25">
      <c r="A8233" s="447"/>
      <c r="B8233" s="55" t="str">
        <f t="shared" si="510"/>
        <v>ENERO</v>
      </c>
      <c r="C8233" s="55">
        <f t="shared" si="511"/>
        <v>1</v>
      </c>
      <c r="D8233" s="3" t="str">
        <f t="shared" si="512"/>
        <v>SÁBADO</v>
      </c>
      <c r="E8233" s="427"/>
      <c r="F8233" s="31">
        <f>IFERROR(VLOOKUP(E8233,BD!$L$2:$Q$244,2,0),0)</f>
        <v>0</v>
      </c>
      <c r="G8233" s="424"/>
      <c r="H8233" s="31">
        <f>+IFERROR(VLOOKUP(E8233,BD!$L$2:$Q$244,6,0),0)</f>
        <v>0</v>
      </c>
      <c r="I8233" s="626">
        <f>IFERROR(G8233*VLOOKUP($E8233,BD!$L$2:$Q$244,5,0),0)</f>
        <v>0</v>
      </c>
      <c r="J8233" s="3">
        <f t="shared" si="513"/>
        <v>1900</v>
      </c>
    </row>
    <row r="8234" spans="1:10" s="9" customFormat="1" x14ac:dyDescent="0.25">
      <c r="A8234" s="447"/>
      <c r="B8234" s="55" t="str">
        <f t="shared" si="510"/>
        <v>ENERO</v>
      </c>
      <c r="C8234" s="55">
        <f t="shared" si="511"/>
        <v>1</v>
      </c>
      <c r="D8234" s="3" t="str">
        <f t="shared" si="512"/>
        <v>SÁBADO</v>
      </c>
      <c r="E8234" s="427"/>
      <c r="F8234" s="31">
        <f>IFERROR(VLOOKUP(E8234,BD!$L$2:$Q$244,2,0),0)</f>
        <v>0</v>
      </c>
      <c r="G8234" s="424"/>
      <c r="H8234" s="31">
        <f>+IFERROR(VLOOKUP(E8234,BD!$L$2:$Q$244,6,0),0)</f>
        <v>0</v>
      </c>
      <c r="I8234" s="626">
        <f>IFERROR(G8234*VLOOKUP($E8234,BD!$L$2:$Q$244,5,0),0)</f>
        <v>0</v>
      </c>
      <c r="J8234" s="3">
        <f t="shared" si="513"/>
        <v>1900</v>
      </c>
    </row>
    <row r="8235" spans="1:10" s="9" customFormat="1" x14ac:dyDescent="0.25">
      <c r="A8235" s="447"/>
      <c r="B8235" s="55" t="str">
        <f t="shared" si="510"/>
        <v>ENERO</v>
      </c>
      <c r="C8235" s="55">
        <f t="shared" si="511"/>
        <v>1</v>
      </c>
      <c r="D8235" s="3" t="str">
        <f t="shared" si="512"/>
        <v>SÁBADO</v>
      </c>
      <c r="E8235" s="427"/>
      <c r="F8235" s="31">
        <f>IFERROR(VLOOKUP(E8235,BD!$L$2:$Q$244,2,0),0)</f>
        <v>0</v>
      </c>
      <c r="G8235" s="424"/>
      <c r="H8235" s="31">
        <f>+IFERROR(VLOOKUP(E8235,BD!$L$2:$Q$244,6,0),0)</f>
        <v>0</v>
      </c>
      <c r="I8235" s="626">
        <f>IFERROR(G8235*VLOOKUP($E8235,BD!$L$2:$Q$244,5,0),0)</f>
        <v>0</v>
      </c>
      <c r="J8235" s="3">
        <f t="shared" si="513"/>
        <v>1900</v>
      </c>
    </row>
    <row r="8236" spans="1:10" s="9" customFormat="1" x14ac:dyDescent="0.25">
      <c r="A8236" s="447"/>
      <c r="B8236" s="55" t="str">
        <f t="shared" si="510"/>
        <v>ENERO</v>
      </c>
      <c r="C8236" s="55">
        <f t="shared" si="511"/>
        <v>1</v>
      </c>
      <c r="D8236" s="3" t="str">
        <f t="shared" si="512"/>
        <v>SÁBADO</v>
      </c>
      <c r="E8236" s="427"/>
      <c r="F8236" s="31">
        <f>IFERROR(VLOOKUP(E8236,BD!$L$2:$Q$244,2,0),0)</f>
        <v>0</v>
      </c>
      <c r="G8236" s="424"/>
      <c r="H8236" s="31">
        <f>+IFERROR(VLOOKUP(E8236,BD!$L$2:$Q$244,6,0),0)</f>
        <v>0</v>
      </c>
      <c r="I8236" s="626">
        <f>IFERROR(G8236*VLOOKUP($E8236,BD!$L$2:$Q$244,5,0),0)</f>
        <v>0</v>
      </c>
      <c r="J8236" s="3">
        <f t="shared" si="513"/>
        <v>1900</v>
      </c>
    </row>
    <row r="8237" spans="1:10" s="9" customFormat="1" x14ac:dyDescent="0.25">
      <c r="A8237" s="447"/>
      <c r="B8237" s="55" t="str">
        <f t="shared" si="510"/>
        <v>ENERO</v>
      </c>
      <c r="C8237" s="55">
        <f t="shared" si="511"/>
        <v>1</v>
      </c>
      <c r="D8237" s="3" t="str">
        <f t="shared" si="512"/>
        <v>SÁBADO</v>
      </c>
      <c r="E8237" s="427"/>
      <c r="F8237" s="31">
        <f>IFERROR(VLOOKUP(E8237,BD!$L$2:$Q$244,2,0),0)</f>
        <v>0</v>
      </c>
      <c r="G8237" s="424"/>
      <c r="H8237" s="31">
        <f>+IFERROR(VLOOKUP(E8237,BD!$L$2:$Q$244,6,0),0)</f>
        <v>0</v>
      </c>
      <c r="I8237" s="626">
        <f>IFERROR(G8237*VLOOKUP($E8237,BD!$L$2:$Q$244,5,0),0)</f>
        <v>0</v>
      </c>
      <c r="J8237" s="3">
        <f t="shared" si="513"/>
        <v>1900</v>
      </c>
    </row>
    <row r="8238" spans="1:10" s="9" customFormat="1" x14ac:dyDescent="0.25">
      <c r="A8238" s="447"/>
      <c r="B8238" s="55" t="str">
        <f t="shared" si="510"/>
        <v>ENERO</v>
      </c>
      <c r="C8238" s="55">
        <f t="shared" si="511"/>
        <v>1</v>
      </c>
      <c r="D8238" s="3" t="str">
        <f t="shared" si="512"/>
        <v>SÁBADO</v>
      </c>
      <c r="E8238" s="427"/>
      <c r="F8238" s="31">
        <f>IFERROR(VLOOKUP(E8238,BD!$L$2:$Q$244,2,0),0)</f>
        <v>0</v>
      </c>
      <c r="G8238" s="424"/>
      <c r="H8238" s="31">
        <f>+IFERROR(VLOOKUP(E8238,BD!$L$2:$Q$244,6,0),0)</f>
        <v>0</v>
      </c>
      <c r="I8238" s="626">
        <f>IFERROR(G8238*VLOOKUP($E8238,BD!$L$2:$Q$244,5,0),0)</f>
        <v>0</v>
      </c>
      <c r="J8238" s="3">
        <f t="shared" si="513"/>
        <v>1900</v>
      </c>
    </row>
    <row r="8239" spans="1:10" s="9" customFormat="1" x14ac:dyDescent="0.25">
      <c r="A8239" s="447"/>
      <c r="B8239" s="55" t="str">
        <f t="shared" si="510"/>
        <v>ENERO</v>
      </c>
      <c r="C8239" s="55">
        <f t="shared" si="511"/>
        <v>1</v>
      </c>
      <c r="D8239" s="3" t="str">
        <f t="shared" si="512"/>
        <v>SÁBADO</v>
      </c>
      <c r="E8239" s="427"/>
      <c r="F8239" s="31">
        <f>IFERROR(VLOOKUP(E8239,BD!$L$2:$Q$244,2,0),0)</f>
        <v>0</v>
      </c>
      <c r="G8239" s="424"/>
      <c r="H8239" s="31">
        <f>+IFERROR(VLOOKUP(E8239,BD!$L$2:$Q$244,6,0),0)</f>
        <v>0</v>
      </c>
      <c r="I8239" s="626">
        <f>IFERROR(G8239*VLOOKUP($E8239,BD!$L$2:$Q$244,5,0),0)</f>
        <v>0</v>
      </c>
      <c r="J8239" s="3">
        <f t="shared" si="513"/>
        <v>1900</v>
      </c>
    </row>
    <row r="8240" spans="1:10" s="9" customFormat="1" x14ac:dyDescent="0.25">
      <c r="A8240" s="447"/>
      <c r="B8240" s="55" t="str">
        <f t="shared" si="510"/>
        <v>ENERO</v>
      </c>
      <c r="C8240" s="55">
        <f t="shared" si="511"/>
        <v>1</v>
      </c>
      <c r="D8240" s="3" t="str">
        <f t="shared" si="512"/>
        <v>SÁBADO</v>
      </c>
      <c r="E8240" s="427"/>
      <c r="F8240" s="31">
        <f>IFERROR(VLOOKUP(E8240,BD!$L$2:$Q$244,2,0),0)</f>
        <v>0</v>
      </c>
      <c r="G8240" s="424"/>
      <c r="H8240" s="31">
        <f>+IFERROR(VLOOKUP(E8240,BD!$L$2:$Q$244,6,0),0)</f>
        <v>0</v>
      </c>
      <c r="I8240" s="626">
        <f>IFERROR(G8240*VLOOKUP($E8240,BD!$L$2:$Q$244,5,0),0)</f>
        <v>0</v>
      </c>
      <c r="J8240" s="3">
        <f t="shared" si="513"/>
        <v>1900</v>
      </c>
    </row>
    <row r="8241" spans="1:10" s="9" customFormat="1" x14ac:dyDescent="0.25">
      <c r="A8241" s="447"/>
      <c r="B8241" s="55" t="str">
        <f t="shared" si="510"/>
        <v>ENERO</v>
      </c>
      <c r="C8241" s="55">
        <f t="shared" si="511"/>
        <v>1</v>
      </c>
      <c r="D8241" s="3" t="str">
        <f t="shared" si="512"/>
        <v>SÁBADO</v>
      </c>
      <c r="E8241" s="427"/>
      <c r="F8241" s="31">
        <f>IFERROR(VLOOKUP(E8241,BD!$L$2:$Q$244,2,0),0)</f>
        <v>0</v>
      </c>
      <c r="G8241" s="424"/>
      <c r="H8241" s="31">
        <f>+IFERROR(VLOOKUP(E8241,BD!$L$2:$Q$244,6,0),0)</f>
        <v>0</v>
      </c>
      <c r="I8241" s="626">
        <f>IFERROR(G8241*VLOOKUP($E8241,BD!$L$2:$Q$244,5,0),0)</f>
        <v>0</v>
      </c>
      <c r="J8241" s="3">
        <f t="shared" si="513"/>
        <v>1900</v>
      </c>
    </row>
    <row r="8242" spans="1:10" s="9" customFormat="1" x14ac:dyDescent="0.25">
      <c r="A8242" s="447"/>
      <c r="B8242" s="55" t="str">
        <f t="shared" si="510"/>
        <v>ENERO</v>
      </c>
      <c r="C8242" s="55">
        <f t="shared" si="511"/>
        <v>1</v>
      </c>
      <c r="D8242" s="3" t="str">
        <f t="shared" si="512"/>
        <v>SÁBADO</v>
      </c>
      <c r="E8242" s="427"/>
      <c r="F8242" s="31">
        <f>IFERROR(VLOOKUP(E8242,BD!$L$2:$Q$244,2,0),0)</f>
        <v>0</v>
      </c>
      <c r="G8242" s="424"/>
      <c r="H8242" s="31">
        <f>+IFERROR(VLOOKUP(E8242,BD!$L$2:$Q$244,6,0),0)</f>
        <v>0</v>
      </c>
      <c r="I8242" s="626">
        <f>IFERROR(G8242*VLOOKUP($E8242,BD!$L$2:$Q$244,5,0),0)</f>
        <v>0</v>
      </c>
      <c r="J8242" s="3">
        <f t="shared" si="513"/>
        <v>1900</v>
      </c>
    </row>
    <row r="8243" spans="1:10" s="9" customFormat="1" x14ac:dyDescent="0.25">
      <c r="A8243" s="447"/>
      <c r="B8243" s="55" t="str">
        <f t="shared" si="510"/>
        <v>ENERO</v>
      </c>
      <c r="C8243" s="55">
        <f t="shared" si="511"/>
        <v>1</v>
      </c>
      <c r="D8243" s="3" t="str">
        <f t="shared" si="512"/>
        <v>SÁBADO</v>
      </c>
      <c r="E8243" s="427"/>
      <c r="F8243" s="31">
        <f>IFERROR(VLOOKUP(E8243,BD!$L$2:$Q$244,2,0),0)</f>
        <v>0</v>
      </c>
      <c r="G8243" s="424"/>
      <c r="H8243" s="31">
        <f>+IFERROR(VLOOKUP(E8243,BD!$L$2:$Q$244,6,0),0)</f>
        <v>0</v>
      </c>
      <c r="I8243" s="626">
        <f>IFERROR(G8243*VLOOKUP($E8243,BD!$L$2:$Q$244,5,0),0)</f>
        <v>0</v>
      </c>
      <c r="J8243" s="3">
        <f t="shared" si="513"/>
        <v>1900</v>
      </c>
    </row>
    <row r="8244" spans="1:10" s="9" customFormat="1" x14ac:dyDescent="0.25">
      <c r="A8244" s="447"/>
      <c r="B8244" s="55" t="str">
        <f t="shared" si="510"/>
        <v>ENERO</v>
      </c>
      <c r="C8244" s="55">
        <f t="shared" si="511"/>
        <v>1</v>
      </c>
      <c r="D8244" s="3" t="str">
        <f t="shared" si="512"/>
        <v>SÁBADO</v>
      </c>
      <c r="E8244" s="427"/>
      <c r="F8244" s="31">
        <f>IFERROR(VLOOKUP(E8244,BD!$L$2:$Q$244,2,0),0)</f>
        <v>0</v>
      </c>
      <c r="G8244" s="424"/>
      <c r="H8244" s="31">
        <f>+IFERROR(VLOOKUP(E8244,BD!$L$2:$Q$244,6,0),0)</f>
        <v>0</v>
      </c>
      <c r="I8244" s="626">
        <f>IFERROR(G8244*VLOOKUP($E8244,BD!$L$2:$Q$244,5,0),0)</f>
        <v>0</v>
      </c>
      <c r="J8244" s="3">
        <f t="shared" si="513"/>
        <v>1900</v>
      </c>
    </row>
    <row r="8245" spans="1:10" s="9" customFormat="1" x14ac:dyDescent="0.25">
      <c r="A8245" s="447"/>
      <c r="B8245" s="55" t="str">
        <f t="shared" si="510"/>
        <v>ENERO</v>
      </c>
      <c r="C8245" s="55">
        <f t="shared" si="511"/>
        <v>1</v>
      </c>
      <c r="D8245" s="3" t="str">
        <f t="shared" si="512"/>
        <v>SÁBADO</v>
      </c>
      <c r="E8245" s="427"/>
      <c r="F8245" s="31">
        <f>IFERROR(VLOOKUP(E8245,BD!$L$2:$Q$244,2,0),0)</f>
        <v>0</v>
      </c>
      <c r="G8245" s="424"/>
      <c r="H8245" s="31">
        <f>+IFERROR(VLOOKUP(E8245,BD!$L$2:$Q$244,6,0),0)</f>
        <v>0</v>
      </c>
      <c r="I8245" s="626">
        <f>IFERROR(G8245*VLOOKUP($E8245,BD!$L$2:$Q$244,5,0),0)</f>
        <v>0</v>
      </c>
      <c r="J8245" s="3">
        <f t="shared" si="513"/>
        <v>1900</v>
      </c>
    </row>
    <row r="8246" spans="1:10" s="9" customFormat="1" x14ac:dyDescent="0.25">
      <c r="A8246" s="447"/>
      <c r="B8246" s="55" t="str">
        <f t="shared" si="510"/>
        <v>ENERO</v>
      </c>
      <c r="C8246" s="55">
        <f t="shared" si="511"/>
        <v>1</v>
      </c>
      <c r="D8246" s="3" t="str">
        <f t="shared" si="512"/>
        <v>SÁBADO</v>
      </c>
      <c r="E8246" s="427"/>
      <c r="F8246" s="31">
        <f>IFERROR(VLOOKUP(E8246,BD!$L$2:$Q$244,2,0),0)</f>
        <v>0</v>
      </c>
      <c r="G8246" s="424"/>
      <c r="H8246" s="31">
        <f>+IFERROR(VLOOKUP(E8246,BD!$L$2:$Q$244,6,0),0)</f>
        <v>0</v>
      </c>
      <c r="I8246" s="626">
        <f>IFERROR(G8246*VLOOKUP($E8246,BD!$L$2:$Q$244,5,0),0)</f>
        <v>0</v>
      </c>
      <c r="J8246" s="3">
        <f t="shared" si="513"/>
        <v>1900</v>
      </c>
    </row>
    <row r="8247" spans="1:10" s="9" customFormat="1" x14ac:dyDescent="0.25">
      <c r="A8247" s="447"/>
      <c r="B8247" s="55" t="str">
        <f t="shared" si="510"/>
        <v>ENERO</v>
      </c>
      <c r="C8247" s="55">
        <f t="shared" si="511"/>
        <v>1</v>
      </c>
      <c r="D8247" s="3" t="str">
        <f t="shared" si="512"/>
        <v>SÁBADO</v>
      </c>
      <c r="E8247" s="427"/>
      <c r="F8247" s="31">
        <f>IFERROR(VLOOKUP(E8247,BD!$L$2:$Q$244,2,0),0)</f>
        <v>0</v>
      </c>
      <c r="G8247" s="424"/>
      <c r="H8247" s="31">
        <f>+IFERROR(VLOOKUP(E8247,BD!$L$2:$Q$244,6,0),0)</f>
        <v>0</v>
      </c>
      <c r="I8247" s="626">
        <f>IFERROR(G8247*VLOOKUP($E8247,BD!$L$2:$Q$244,5,0),0)</f>
        <v>0</v>
      </c>
      <c r="J8247" s="3">
        <f t="shared" si="513"/>
        <v>1900</v>
      </c>
    </row>
    <row r="8248" spans="1:10" s="9" customFormat="1" x14ac:dyDescent="0.25">
      <c r="A8248" s="447"/>
      <c r="B8248" s="55" t="str">
        <f t="shared" si="510"/>
        <v>ENERO</v>
      </c>
      <c r="C8248" s="55">
        <f t="shared" si="511"/>
        <v>1</v>
      </c>
      <c r="D8248" s="3" t="str">
        <f t="shared" si="512"/>
        <v>SÁBADO</v>
      </c>
      <c r="E8248" s="427"/>
      <c r="F8248" s="31">
        <f>IFERROR(VLOOKUP(E8248,BD!$L$2:$Q$244,2,0),0)</f>
        <v>0</v>
      </c>
      <c r="G8248" s="424"/>
      <c r="H8248" s="31">
        <f>+IFERROR(VLOOKUP(E8248,BD!$L$2:$Q$244,6,0),0)</f>
        <v>0</v>
      </c>
      <c r="I8248" s="626">
        <f>IFERROR(G8248*VLOOKUP($E8248,BD!$L$2:$Q$244,5,0),0)</f>
        <v>0</v>
      </c>
      <c r="J8248" s="3">
        <f t="shared" si="513"/>
        <v>1900</v>
      </c>
    </row>
    <row r="8249" spans="1:10" s="9" customFormat="1" x14ac:dyDescent="0.25">
      <c r="A8249" s="447"/>
      <c r="B8249" s="55" t="str">
        <f t="shared" si="510"/>
        <v>ENERO</v>
      </c>
      <c r="C8249" s="55">
        <f t="shared" si="511"/>
        <v>1</v>
      </c>
      <c r="D8249" s="3" t="str">
        <f t="shared" si="512"/>
        <v>SÁBADO</v>
      </c>
      <c r="E8249" s="427"/>
      <c r="F8249" s="31">
        <f>IFERROR(VLOOKUP(E8249,BD!$L$2:$Q$244,2,0),0)</f>
        <v>0</v>
      </c>
      <c r="G8249" s="424"/>
      <c r="H8249" s="31">
        <f>+IFERROR(VLOOKUP(E8249,BD!$L$2:$Q$244,6,0),0)</f>
        <v>0</v>
      </c>
      <c r="I8249" s="626">
        <f>IFERROR(G8249*VLOOKUP($E8249,BD!$L$2:$Q$244,5,0),0)</f>
        <v>0</v>
      </c>
      <c r="J8249" s="3">
        <f t="shared" si="513"/>
        <v>1900</v>
      </c>
    </row>
    <row r="8250" spans="1:10" s="9" customFormat="1" x14ac:dyDescent="0.25">
      <c r="A8250" s="447"/>
      <c r="B8250" s="55" t="str">
        <f t="shared" si="510"/>
        <v>ENERO</v>
      </c>
      <c r="C8250" s="55">
        <f t="shared" si="511"/>
        <v>1</v>
      </c>
      <c r="D8250" s="3" t="str">
        <f t="shared" si="512"/>
        <v>SÁBADO</v>
      </c>
      <c r="E8250" s="427"/>
      <c r="F8250" s="31">
        <f>IFERROR(VLOOKUP(E8250,BD!$L$2:$Q$244,2,0),0)</f>
        <v>0</v>
      </c>
      <c r="G8250" s="424"/>
      <c r="H8250" s="31">
        <f>+IFERROR(VLOOKUP(E8250,BD!$L$2:$Q$244,6,0),0)</f>
        <v>0</v>
      </c>
      <c r="I8250" s="626">
        <f>IFERROR(G8250*VLOOKUP($E8250,BD!$L$2:$Q$244,5,0),0)</f>
        <v>0</v>
      </c>
      <c r="J8250" s="3">
        <f t="shared" si="513"/>
        <v>1900</v>
      </c>
    </row>
    <row r="8251" spans="1:10" s="9" customFormat="1" x14ac:dyDescent="0.25">
      <c r="A8251" s="447"/>
      <c r="B8251" s="55" t="str">
        <f t="shared" si="510"/>
        <v>ENERO</v>
      </c>
      <c r="C8251" s="55">
        <f t="shared" si="511"/>
        <v>1</v>
      </c>
      <c r="D8251" s="3" t="str">
        <f t="shared" si="512"/>
        <v>SÁBADO</v>
      </c>
      <c r="E8251" s="427"/>
      <c r="F8251" s="31">
        <f>IFERROR(VLOOKUP(E8251,BD!$L$2:$Q$244,2,0),0)</f>
        <v>0</v>
      </c>
      <c r="G8251" s="424"/>
      <c r="H8251" s="31">
        <f>+IFERROR(VLOOKUP(E8251,BD!$L$2:$Q$244,6,0),0)</f>
        <v>0</v>
      </c>
      <c r="I8251" s="626">
        <f>IFERROR(G8251*VLOOKUP($E8251,BD!$L$2:$Q$244,5,0),0)</f>
        <v>0</v>
      </c>
      <c r="J8251" s="3">
        <f t="shared" si="513"/>
        <v>1900</v>
      </c>
    </row>
    <row r="8252" spans="1:10" s="9" customFormat="1" x14ac:dyDescent="0.25">
      <c r="A8252" s="447"/>
      <c r="B8252" s="55" t="str">
        <f t="shared" ref="B8252:B8315" si="514">UPPER(TEXT(A8252,"MMMM"))</f>
        <v>ENERO</v>
      </c>
      <c r="C8252" s="55">
        <f t="shared" ref="C8252:C8315" si="515">WEEKNUM(A8252,16)</f>
        <v>1</v>
      </c>
      <c r="D8252" s="3" t="str">
        <f t="shared" ref="D8252:D8315" si="516">UPPER(TEXT(A8252,"DDDD"))</f>
        <v>SÁBADO</v>
      </c>
      <c r="E8252" s="427"/>
      <c r="F8252" s="31">
        <f>IFERROR(VLOOKUP(E8252,BD!$L$2:$Q$244,2,0),0)</f>
        <v>0</v>
      </c>
      <c r="G8252" s="424"/>
      <c r="H8252" s="31">
        <f>+IFERROR(VLOOKUP(E8252,BD!$L$2:$Q$244,6,0),0)</f>
        <v>0</v>
      </c>
      <c r="I8252" s="626">
        <f>IFERROR(G8252*VLOOKUP($E8252,BD!$L$2:$Q$244,5,0),0)</f>
        <v>0</v>
      </c>
      <c r="J8252" s="3">
        <f t="shared" ref="J8252:J8315" si="517">+YEAR(A8252)</f>
        <v>1900</v>
      </c>
    </row>
    <row r="8253" spans="1:10" s="9" customFormat="1" x14ac:dyDescent="0.25">
      <c r="A8253" s="447"/>
      <c r="B8253" s="55" t="str">
        <f t="shared" si="514"/>
        <v>ENERO</v>
      </c>
      <c r="C8253" s="55">
        <f t="shared" si="515"/>
        <v>1</v>
      </c>
      <c r="D8253" s="3" t="str">
        <f t="shared" si="516"/>
        <v>SÁBADO</v>
      </c>
      <c r="E8253" s="427"/>
      <c r="F8253" s="31">
        <f>IFERROR(VLOOKUP(E8253,BD!$L$2:$Q$244,2,0),0)</f>
        <v>0</v>
      </c>
      <c r="G8253" s="424"/>
      <c r="H8253" s="31">
        <f>+IFERROR(VLOOKUP(E8253,BD!$L$2:$Q$244,6,0),0)</f>
        <v>0</v>
      </c>
      <c r="I8253" s="626">
        <f>IFERROR(G8253*VLOOKUP($E8253,BD!$L$2:$Q$244,5,0),0)</f>
        <v>0</v>
      </c>
      <c r="J8253" s="3">
        <f t="shared" si="517"/>
        <v>1900</v>
      </c>
    </row>
    <row r="8254" spans="1:10" s="9" customFormat="1" x14ac:dyDescent="0.25">
      <c r="A8254" s="447"/>
      <c r="B8254" s="55" t="str">
        <f t="shared" si="514"/>
        <v>ENERO</v>
      </c>
      <c r="C8254" s="55">
        <f t="shared" si="515"/>
        <v>1</v>
      </c>
      <c r="D8254" s="3" t="str">
        <f t="shared" si="516"/>
        <v>SÁBADO</v>
      </c>
      <c r="E8254" s="427"/>
      <c r="F8254" s="31">
        <f>IFERROR(VLOOKUP(E8254,BD!$L$2:$Q$244,2,0),0)</f>
        <v>0</v>
      </c>
      <c r="G8254" s="424"/>
      <c r="H8254" s="31">
        <f>+IFERROR(VLOOKUP(E8254,BD!$L$2:$Q$244,6,0),0)</f>
        <v>0</v>
      </c>
      <c r="I8254" s="626">
        <f>IFERROR(G8254*VLOOKUP($E8254,BD!$L$2:$Q$244,5,0),0)</f>
        <v>0</v>
      </c>
      <c r="J8254" s="3">
        <f t="shared" si="517"/>
        <v>1900</v>
      </c>
    </row>
    <row r="8255" spans="1:10" s="9" customFormat="1" x14ac:dyDescent="0.25">
      <c r="A8255" s="447"/>
      <c r="B8255" s="55" t="str">
        <f t="shared" si="514"/>
        <v>ENERO</v>
      </c>
      <c r="C8255" s="55">
        <f t="shared" si="515"/>
        <v>1</v>
      </c>
      <c r="D8255" s="3" t="str">
        <f t="shared" si="516"/>
        <v>SÁBADO</v>
      </c>
      <c r="E8255" s="427"/>
      <c r="F8255" s="31">
        <f>IFERROR(VLOOKUP(E8255,BD!$L$2:$Q$244,2,0),0)</f>
        <v>0</v>
      </c>
      <c r="G8255" s="424"/>
      <c r="H8255" s="31">
        <f>+IFERROR(VLOOKUP(E8255,BD!$L$2:$Q$244,6,0),0)</f>
        <v>0</v>
      </c>
      <c r="I8255" s="626">
        <f>IFERROR(G8255*VLOOKUP($E8255,BD!$L$2:$Q$244,5,0),0)</f>
        <v>0</v>
      </c>
      <c r="J8255" s="3">
        <f t="shared" si="517"/>
        <v>1900</v>
      </c>
    </row>
    <row r="8256" spans="1:10" s="9" customFormat="1" x14ac:dyDescent="0.25">
      <c r="A8256" s="447"/>
      <c r="B8256" s="55" t="str">
        <f t="shared" si="514"/>
        <v>ENERO</v>
      </c>
      <c r="C8256" s="55">
        <f t="shared" si="515"/>
        <v>1</v>
      </c>
      <c r="D8256" s="3" t="str">
        <f t="shared" si="516"/>
        <v>SÁBADO</v>
      </c>
      <c r="E8256" s="427"/>
      <c r="F8256" s="31">
        <f>IFERROR(VLOOKUP(E8256,BD!$L$2:$Q$244,2,0),0)</f>
        <v>0</v>
      </c>
      <c r="G8256" s="424"/>
      <c r="H8256" s="31">
        <f>+IFERROR(VLOOKUP(E8256,BD!$L$2:$Q$244,6,0),0)</f>
        <v>0</v>
      </c>
      <c r="I8256" s="626">
        <f>IFERROR(G8256*VLOOKUP($E8256,BD!$L$2:$Q$244,5,0),0)</f>
        <v>0</v>
      </c>
      <c r="J8256" s="3">
        <f t="shared" si="517"/>
        <v>1900</v>
      </c>
    </row>
    <row r="8257" spans="1:10" s="9" customFormat="1" x14ac:dyDescent="0.25">
      <c r="A8257" s="447"/>
      <c r="B8257" s="55" t="str">
        <f t="shared" si="514"/>
        <v>ENERO</v>
      </c>
      <c r="C8257" s="55">
        <f t="shared" si="515"/>
        <v>1</v>
      </c>
      <c r="D8257" s="3" t="str">
        <f t="shared" si="516"/>
        <v>SÁBADO</v>
      </c>
      <c r="E8257" s="427"/>
      <c r="F8257" s="31">
        <f>IFERROR(VLOOKUP(E8257,BD!$L$2:$Q$244,2,0),0)</f>
        <v>0</v>
      </c>
      <c r="G8257" s="424"/>
      <c r="H8257" s="31">
        <f>+IFERROR(VLOOKUP(E8257,BD!$L$2:$Q$244,6,0),0)</f>
        <v>0</v>
      </c>
      <c r="I8257" s="626">
        <f>IFERROR(G8257*VLOOKUP($E8257,BD!$L$2:$Q$244,5,0),0)</f>
        <v>0</v>
      </c>
      <c r="J8257" s="3">
        <f t="shared" si="517"/>
        <v>1900</v>
      </c>
    </row>
    <row r="8258" spans="1:10" s="9" customFormat="1" x14ac:dyDescent="0.25">
      <c r="A8258" s="447"/>
      <c r="B8258" s="55" t="str">
        <f t="shared" si="514"/>
        <v>ENERO</v>
      </c>
      <c r="C8258" s="55">
        <f t="shared" si="515"/>
        <v>1</v>
      </c>
      <c r="D8258" s="3" t="str">
        <f t="shared" si="516"/>
        <v>SÁBADO</v>
      </c>
      <c r="E8258" s="427"/>
      <c r="F8258" s="31">
        <f>IFERROR(VLOOKUP(E8258,BD!$L$2:$Q$244,2,0),0)</f>
        <v>0</v>
      </c>
      <c r="G8258" s="424"/>
      <c r="H8258" s="31">
        <f>+IFERROR(VLOOKUP(E8258,BD!$L$2:$Q$244,6,0),0)</f>
        <v>0</v>
      </c>
      <c r="I8258" s="626">
        <f>IFERROR(G8258*VLOOKUP($E8258,BD!$L$2:$Q$244,5,0),0)</f>
        <v>0</v>
      </c>
      <c r="J8258" s="3">
        <f t="shared" si="517"/>
        <v>1900</v>
      </c>
    </row>
    <row r="8259" spans="1:10" s="9" customFormat="1" x14ac:dyDescent="0.25">
      <c r="A8259" s="447"/>
      <c r="B8259" s="55" t="str">
        <f t="shared" si="514"/>
        <v>ENERO</v>
      </c>
      <c r="C8259" s="55">
        <f t="shared" si="515"/>
        <v>1</v>
      </c>
      <c r="D8259" s="3" t="str">
        <f t="shared" si="516"/>
        <v>SÁBADO</v>
      </c>
      <c r="E8259" s="427"/>
      <c r="F8259" s="31">
        <f>IFERROR(VLOOKUP(E8259,BD!$L$2:$Q$244,2,0),0)</f>
        <v>0</v>
      </c>
      <c r="G8259" s="424"/>
      <c r="H8259" s="31">
        <f>+IFERROR(VLOOKUP(E8259,BD!$L$2:$Q$244,6,0),0)</f>
        <v>0</v>
      </c>
      <c r="I8259" s="626">
        <f>IFERROR(G8259*VLOOKUP($E8259,BD!$L$2:$Q$244,5,0),0)</f>
        <v>0</v>
      </c>
      <c r="J8259" s="3">
        <f t="shared" si="517"/>
        <v>1900</v>
      </c>
    </row>
    <row r="8260" spans="1:10" s="9" customFormat="1" x14ac:dyDescent="0.25">
      <c r="A8260" s="447"/>
      <c r="B8260" s="55" t="str">
        <f t="shared" si="514"/>
        <v>ENERO</v>
      </c>
      <c r="C8260" s="55">
        <f t="shared" si="515"/>
        <v>1</v>
      </c>
      <c r="D8260" s="3" t="str">
        <f t="shared" si="516"/>
        <v>SÁBADO</v>
      </c>
      <c r="E8260" s="427"/>
      <c r="F8260" s="31">
        <f>IFERROR(VLOOKUP(E8260,BD!$L$2:$Q$244,2,0),0)</f>
        <v>0</v>
      </c>
      <c r="G8260" s="424"/>
      <c r="H8260" s="31">
        <f>+IFERROR(VLOOKUP(E8260,BD!$L$2:$Q$244,6,0),0)</f>
        <v>0</v>
      </c>
      <c r="I8260" s="626">
        <f>IFERROR(G8260*VLOOKUP($E8260,BD!$L$2:$Q$244,5,0),0)</f>
        <v>0</v>
      </c>
      <c r="J8260" s="3">
        <f t="shared" si="517"/>
        <v>1900</v>
      </c>
    </row>
    <row r="8261" spans="1:10" s="9" customFormat="1" x14ac:dyDescent="0.25">
      <c r="A8261" s="447"/>
      <c r="B8261" s="55" t="str">
        <f t="shared" si="514"/>
        <v>ENERO</v>
      </c>
      <c r="C8261" s="55">
        <f t="shared" si="515"/>
        <v>1</v>
      </c>
      <c r="D8261" s="3" t="str">
        <f t="shared" si="516"/>
        <v>SÁBADO</v>
      </c>
      <c r="E8261" s="427"/>
      <c r="F8261" s="31">
        <f>IFERROR(VLOOKUP(E8261,BD!$L$2:$Q$244,2,0),0)</f>
        <v>0</v>
      </c>
      <c r="G8261" s="424"/>
      <c r="H8261" s="31">
        <f>+IFERROR(VLOOKUP(E8261,BD!$L$2:$Q$244,6,0),0)</f>
        <v>0</v>
      </c>
      <c r="I8261" s="626">
        <f>IFERROR(G8261*VLOOKUP($E8261,BD!$L$2:$Q$244,5,0),0)</f>
        <v>0</v>
      </c>
      <c r="J8261" s="3">
        <f t="shared" si="517"/>
        <v>1900</v>
      </c>
    </row>
    <row r="8262" spans="1:10" s="9" customFormat="1" x14ac:dyDescent="0.25">
      <c r="A8262" s="447"/>
      <c r="B8262" s="55" t="str">
        <f t="shared" si="514"/>
        <v>ENERO</v>
      </c>
      <c r="C8262" s="55">
        <f t="shared" si="515"/>
        <v>1</v>
      </c>
      <c r="D8262" s="3" t="str">
        <f t="shared" si="516"/>
        <v>SÁBADO</v>
      </c>
      <c r="E8262" s="427"/>
      <c r="F8262" s="31">
        <f>IFERROR(VLOOKUP(E8262,BD!$L$2:$Q$244,2,0),0)</f>
        <v>0</v>
      </c>
      <c r="G8262" s="424"/>
      <c r="H8262" s="31">
        <f>+IFERROR(VLOOKUP(E8262,BD!$L$2:$Q$244,6,0),0)</f>
        <v>0</v>
      </c>
      <c r="I8262" s="626">
        <f>IFERROR(G8262*VLOOKUP($E8262,BD!$L$2:$Q$244,5,0),0)</f>
        <v>0</v>
      </c>
      <c r="J8262" s="3">
        <f t="shared" si="517"/>
        <v>1900</v>
      </c>
    </row>
    <row r="8263" spans="1:10" s="9" customFormat="1" x14ac:dyDescent="0.25">
      <c r="A8263" s="447"/>
      <c r="B8263" s="55" t="str">
        <f t="shared" si="514"/>
        <v>ENERO</v>
      </c>
      <c r="C8263" s="55">
        <f t="shared" si="515"/>
        <v>1</v>
      </c>
      <c r="D8263" s="3" t="str">
        <f t="shared" si="516"/>
        <v>SÁBADO</v>
      </c>
      <c r="E8263" s="427"/>
      <c r="F8263" s="31">
        <f>IFERROR(VLOOKUP(E8263,BD!$L$2:$Q$244,2,0),0)</f>
        <v>0</v>
      </c>
      <c r="G8263" s="424"/>
      <c r="H8263" s="31">
        <f>+IFERROR(VLOOKUP(E8263,BD!$L$2:$Q$244,6,0),0)</f>
        <v>0</v>
      </c>
      <c r="I8263" s="626">
        <f>IFERROR(G8263*VLOOKUP($E8263,BD!$L$2:$Q$244,5,0),0)</f>
        <v>0</v>
      </c>
      <c r="J8263" s="3">
        <f t="shared" si="517"/>
        <v>1900</v>
      </c>
    </row>
    <row r="8264" spans="1:10" s="9" customFormat="1" x14ac:dyDescent="0.25">
      <c r="A8264" s="447"/>
      <c r="B8264" s="55" t="str">
        <f t="shared" si="514"/>
        <v>ENERO</v>
      </c>
      <c r="C8264" s="55">
        <f t="shared" si="515"/>
        <v>1</v>
      </c>
      <c r="D8264" s="3" t="str">
        <f t="shared" si="516"/>
        <v>SÁBADO</v>
      </c>
      <c r="E8264" s="427"/>
      <c r="F8264" s="31">
        <f>IFERROR(VLOOKUP(E8264,BD!$L$2:$Q$244,2,0),0)</f>
        <v>0</v>
      </c>
      <c r="G8264" s="424"/>
      <c r="H8264" s="31">
        <f>+IFERROR(VLOOKUP(E8264,BD!$L$2:$Q$244,6,0),0)</f>
        <v>0</v>
      </c>
      <c r="I8264" s="626">
        <f>IFERROR(G8264*VLOOKUP($E8264,BD!$L$2:$Q$244,5,0),0)</f>
        <v>0</v>
      </c>
      <c r="J8264" s="3">
        <f t="shared" si="517"/>
        <v>1900</v>
      </c>
    </row>
    <row r="8265" spans="1:10" s="9" customFormat="1" x14ac:dyDescent="0.25">
      <c r="A8265" s="447"/>
      <c r="B8265" s="55" t="str">
        <f t="shared" si="514"/>
        <v>ENERO</v>
      </c>
      <c r="C8265" s="55">
        <f t="shared" si="515"/>
        <v>1</v>
      </c>
      <c r="D8265" s="3" t="str">
        <f t="shared" si="516"/>
        <v>SÁBADO</v>
      </c>
      <c r="E8265" s="427"/>
      <c r="F8265" s="31">
        <f>IFERROR(VLOOKUP(E8265,BD!$L$2:$Q$244,2,0),0)</f>
        <v>0</v>
      </c>
      <c r="G8265" s="424"/>
      <c r="H8265" s="31">
        <f>+IFERROR(VLOOKUP(E8265,BD!$L$2:$Q$244,6,0),0)</f>
        <v>0</v>
      </c>
      <c r="I8265" s="626">
        <f>IFERROR(G8265*VLOOKUP($E8265,BD!$L$2:$Q$244,5,0),0)</f>
        <v>0</v>
      </c>
      <c r="J8265" s="3">
        <f t="shared" si="517"/>
        <v>1900</v>
      </c>
    </row>
    <row r="8266" spans="1:10" s="9" customFormat="1" x14ac:dyDescent="0.25">
      <c r="A8266" s="447"/>
      <c r="B8266" s="55" t="str">
        <f t="shared" si="514"/>
        <v>ENERO</v>
      </c>
      <c r="C8266" s="55">
        <f t="shared" si="515"/>
        <v>1</v>
      </c>
      <c r="D8266" s="3" t="str">
        <f t="shared" si="516"/>
        <v>SÁBADO</v>
      </c>
      <c r="E8266" s="427"/>
      <c r="F8266" s="31">
        <f>IFERROR(VLOOKUP(E8266,BD!$L$2:$Q$244,2,0),0)</f>
        <v>0</v>
      </c>
      <c r="G8266" s="424"/>
      <c r="H8266" s="31">
        <f>+IFERROR(VLOOKUP(E8266,BD!$L$2:$Q$244,6,0),0)</f>
        <v>0</v>
      </c>
      <c r="I8266" s="626">
        <f>IFERROR(G8266*VLOOKUP($E8266,BD!$L$2:$Q$244,5,0),0)</f>
        <v>0</v>
      </c>
      <c r="J8266" s="3">
        <f t="shared" si="517"/>
        <v>1900</v>
      </c>
    </row>
    <row r="8267" spans="1:10" s="9" customFormat="1" x14ac:dyDescent="0.25">
      <c r="A8267" s="447"/>
      <c r="B8267" s="55" t="str">
        <f t="shared" si="514"/>
        <v>ENERO</v>
      </c>
      <c r="C8267" s="55">
        <f t="shared" si="515"/>
        <v>1</v>
      </c>
      <c r="D8267" s="3" t="str">
        <f t="shared" si="516"/>
        <v>SÁBADO</v>
      </c>
      <c r="E8267" s="427"/>
      <c r="F8267" s="31">
        <f>IFERROR(VLOOKUP(E8267,BD!$L$2:$Q$244,2,0),0)</f>
        <v>0</v>
      </c>
      <c r="G8267" s="424"/>
      <c r="H8267" s="31">
        <f>+IFERROR(VLOOKUP(E8267,BD!$L$2:$Q$244,6,0),0)</f>
        <v>0</v>
      </c>
      <c r="I8267" s="626">
        <f>IFERROR(G8267*VLOOKUP($E8267,BD!$L$2:$Q$244,5,0),0)</f>
        <v>0</v>
      </c>
      <c r="J8267" s="3">
        <f t="shared" si="517"/>
        <v>1900</v>
      </c>
    </row>
    <row r="8268" spans="1:10" s="9" customFormat="1" x14ac:dyDescent="0.25">
      <c r="A8268" s="447"/>
      <c r="B8268" s="55" t="str">
        <f t="shared" si="514"/>
        <v>ENERO</v>
      </c>
      <c r="C8268" s="55">
        <f t="shared" si="515"/>
        <v>1</v>
      </c>
      <c r="D8268" s="3" t="str">
        <f t="shared" si="516"/>
        <v>SÁBADO</v>
      </c>
      <c r="E8268" s="427"/>
      <c r="F8268" s="31">
        <f>IFERROR(VLOOKUP(E8268,BD!$L$2:$Q$244,2,0),0)</f>
        <v>0</v>
      </c>
      <c r="G8268" s="424"/>
      <c r="H8268" s="31">
        <f>+IFERROR(VLOOKUP(E8268,BD!$L$2:$Q$244,6,0),0)</f>
        <v>0</v>
      </c>
      <c r="I8268" s="626">
        <f>IFERROR(G8268*VLOOKUP($E8268,BD!$L$2:$Q$244,5,0),0)</f>
        <v>0</v>
      </c>
      <c r="J8268" s="3">
        <f t="shared" si="517"/>
        <v>1900</v>
      </c>
    </row>
    <row r="8269" spans="1:10" s="9" customFormat="1" x14ac:dyDescent="0.25">
      <c r="A8269" s="447"/>
      <c r="B8269" s="55" t="str">
        <f t="shared" si="514"/>
        <v>ENERO</v>
      </c>
      <c r="C8269" s="55">
        <f t="shared" si="515"/>
        <v>1</v>
      </c>
      <c r="D8269" s="3" t="str">
        <f t="shared" si="516"/>
        <v>SÁBADO</v>
      </c>
      <c r="E8269" s="427"/>
      <c r="F8269" s="31">
        <f>IFERROR(VLOOKUP(E8269,BD!$L$2:$Q$244,2,0),0)</f>
        <v>0</v>
      </c>
      <c r="G8269" s="424"/>
      <c r="H8269" s="31">
        <f>+IFERROR(VLOOKUP(E8269,BD!$L$2:$Q$244,6,0),0)</f>
        <v>0</v>
      </c>
      <c r="I8269" s="626">
        <f>IFERROR(G8269*VLOOKUP($E8269,BD!$L$2:$Q$244,5,0),0)</f>
        <v>0</v>
      </c>
      <c r="J8269" s="3">
        <f t="shared" si="517"/>
        <v>1900</v>
      </c>
    </row>
    <row r="8270" spans="1:10" s="9" customFormat="1" x14ac:dyDescent="0.25">
      <c r="A8270" s="447"/>
      <c r="B8270" s="55" t="str">
        <f t="shared" si="514"/>
        <v>ENERO</v>
      </c>
      <c r="C8270" s="55">
        <f t="shared" si="515"/>
        <v>1</v>
      </c>
      <c r="D8270" s="3" t="str">
        <f t="shared" si="516"/>
        <v>SÁBADO</v>
      </c>
      <c r="E8270" s="427"/>
      <c r="F8270" s="31">
        <f>IFERROR(VLOOKUP(E8270,BD!$L$2:$Q$244,2,0),0)</f>
        <v>0</v>
      </c>
      <c r="G8270" s="424"/>
      <c r="H8270" s="31">
        <f>+IFERROR(VLOOKUP(E8270,BD!$L$2:$Q$244,6,0),0)</f>
        <v>0</v>
      </c>
      <c r="I8270" s="626">
        <f>IFERROR(G8270*VLOOKUP($E8270,BD!$L$2:$Q$244,5,0),0)</f>
        <v>0</v>
      </c>
      <c r="J8270" s="3">
        <f t="shared" si="517"/>
        <v>1900</v>
      </c>
    </row>
    <row r="8271" spans="1:10" s="9" customFormat="1" x14ac:dyDescent="0.25">
      <c r="A8271" s="447"/>
      <c r="B8271" s="55" t="str">
        <f t="shared" si="514"/>
        <v>ENERO</v>
      </c>
      <c r="C8271" s="55">
        <f t="shared" si="515"/>
        <v>1</v>
      </c>
      <c r="D8271" s="3" t="str">
        <f t="shared" si="516"/>
        <v>SÁBADO</v>
      </c>
      <c r="E8271" s="427"/>
      <c r="F8271" s="31">
        <f>IFERROR(VLOOKUP(E8271,BD!$L$2:$Q$244,2,0),0)</f>
        <v>0</v>
      </c>
      <c r="G8271" s="424"/>
      <c r="H8271" s="31">
        <f>+IFERROR(VLOOKUP(E8271,BD!$L$2:$Q$244,6,0),0)</f>
        <v>0</v>
      </c>
      <c r="I8271" s="626">
        <f>IFERROR(G8271*VLOOKUP($E8271,BD!$L$2:$Q$244,5,0),0)</f>
        <v>0</v>
      </c>
      <c r="J8271" s="3">
        <f t="shared" si="517"/>
        <v>1900</v>
      </c>
    </row>
    <row r="8272" spans="1:10" s="9" customFormat="1" x14ac:dyDescent="0.25">
      <c r="A8272" s="447"/>
      <c r="B8272" s="55" t="str">
        <f t="shared" si="514"/>
        <v>ENERO</v>
      </c>
      <c r="C8272" s="55">
        <f t="shared" si="515"/>
        <v>1</v>
      </c>
      <c r="D8272" s="3" t="str">
        <f t="shared" si="516"/>
        <v>SÁBADO</v>
      </c>
      <c r="E8272" s="427"/>
      <c r="F8272" s="31">
        <f>IFERROR(VLOOKUP(E8272,BD!$L$2:$Q$244,2,0),0)</f>
        <v>0</v>
      </c>
      <c r="G8272" s="424"/>
      <c r="H8272" s="31">
        <f>+IFERROR(VLOOKUP(E8272,BD!$L$2:$Q$244,6,0),0)</f>
        <v>0</v>
      </c>
      <c r="I8272" s="626">
        <f>IFERROR(G8272*VLOOKUP($E8272,BD!$L$2:$Q$244,5,0),0)</f>
        <v>0</v>
      </c>
      <c r="J8272" s="3">
        <f t="shared" si="517"/>
        <v>1900</v>
      </c>
    </row>
    <row r="8273" spans="1:10" s="9" customFormat="1" x14ac:dyDescent="0.25">
      <c r="A8273" s="447"/>
      <c r="B8273" s="55" t="str">
        <f t="shared" si="514"/>
        <v>ENERO</v>
      </c>
      <c r="C8273" s="55">
        <f t="shared" si="515"/>
        <v>1</v>
      </c>
      <c r="D8273" s="3" t="str">
        <f t="shared" si="516"/>
        <v>SÁBADO</v>
      </c>
      <c r="E8273" s="427"/>
      <c r="F8273" s="31">
        <f>IFERROR(VLOOKUP(E8273,BD!$L$2:$Q$244,2,0),0)</f>
        <v>0</v>
      </c>
      <c r="G8273" s="424"/>
      <c r="H8273" s="31">
        <f>+IFERROR(VLOOKUP(E8273,BD!$L$2:$Q$244,6,0),0)</f>
        <v>0</v>
      </c>
      <c r="I8273" s="626">
        <f>IFERROR(G8273*VLOOKUP($E8273,BD!$L$2:$Q$244,5,0),0)</f>
        <v>0</v>
      </c>
      <c r="J8273" s="3">
        <f t="shared" si="517"/>
        <v>1900</v>
      </c>
    </row>
    <row r="8274" spans="1:10" s="9" customFormat="1" x14ac:dyDescent="0.25">
      <c r="A8274" s="447"/>
      <c r="B8274" s="55" t="str">
        <f t="shared" si="514"/>
        <v>ENERO</v>
      </c>
      <c r="C8274" s="55">
        <f t="shared" si="515"/>
        <v>1</v>
      </c>
      <c r="D8274" s="3" t="str">
        <f t="shared" si="516"/>
        <v>SÁBADO</v>
      </c>
      <c r="E8274" s="427"/>
      <c r="F8274" s="31">
        <f>IFERROR(VLOOKUP(E8274,BD!$L$2:$Q$244,2,0),0)</f>
        <v>0</v>
      </c>
      <c r="G8274" s="424"/>
      <c r="H8274" s="31">
        <f>+IFERROR(VLOOKUP(E8274,BD!$L$2:$Q$244,6,0),0)</f>
        <v>0</v>
      </c>
      <c r="I8274" s="626">
        <f>IFERROR(G8274*VLOOKUP($E8274,BD!$L$2:$Q$244,5,0),0)</f>
        <v>0</v>
      </c>
      <c r="J8274" s="3">
        <f t="shared" si="517"/>
        <v>1900</v>
      </c>
    </row>
    <row r="8275" spans="1:10" s="9" customFormat="1" x14ac:dyDescent="0.25">
      <c r="A8275" s="447"/>
      <c r="B8275" s="55" t="str">
        <f t="shared" si="514"/>
        <v>ENERO</v>
      </c>
      <c r="C8275" s="55">
        <f t="shared" si="515"/>
        <v>1</v>
      </c>
      <c r="D8275" s="3" t="str">
        <f t="shared" si="516"/>
        <v>SÁBADO</v>
      </c>
      <c r="E8275" s="427"/>
      <c r="F8275" s="31">
        <f>IFERROR(VLOOKUP(E8275,BD!$L$2:$Q$244,2,0),0)</f>
        <v>0</v>
      </c>
      <c r="G8275" s="424"/>
      <c r="H8275" s="31">
        <f>+IFERROR(VLOOKUP(E8275,BD!$L$2:$Q$244,6,0),0)</f>
        <v>0</v>
      </c>
      <c r="I8275" s="626">
        <f>IFERROR(G8275*VLOOKUP($E8275,BD!$L$2:$Q$244,5,0),0)</f>
        <v>0</v>
      </c>
      <c r="J8275" s="3">
        <f t="shared" si="517"/>
        <v>1900</v>
      </c>
    </row>
    <row r="8276" spans="1:10" s="9" customFormat="1" x14ac:dyDescent="0.25">
      <c r="A8276" s="447"/>
      <c r="B8276" s="55" t="str">
        <f t="shared" si="514"/>
        <v>ENERO</v>
      </c>
      <c r="C8276" s="55">
        <f t="shared" si="515"/>
        <v>1</v>
      </c>
      <c r="D8276" s="3" t="str">
        <f t="shared" si="516"/>
        <v>SÁBADO</v>
      </c>
      <c r="E8276" s="427"/>
      <c r="F8276" s="31">
        <f>IFERROR(VLOOKUP(E8276,BD!$L$2:$Q$244,2,0),0)</f>
        <v>0</v>
      </c>
      <c r="G8276" s="424"/>
      <c r="H8276" s="31">
        <f>+IFERROR(VLOOKUP(E8276,BD!$L$2:$Q$244,6,0),0)</f>
        <v>0</v>
      </c>
      <c r="I8276" s="626">
        <f>IFERROR(G8276*VLOOKUP($E8276,BD!$L$2:$Q$244,5,0),0)</f>
        <v>0</v>
      </c>
      <c r="J8276" s="3">
        <f t="shared" si="517"/>
        <v>1900</v>
      </c>
    </row>
    <row r="8277" spans="1:10" s="9" customFormat="1" x14ac:dyDescent="0.25">
      <c r="A8277" s="447"/>
      <c r="B8277" s="55" t="str">
        <f t="shared" si="514"/>
        <v>ENERO</v>
      </c>
      <c r="C8277" s="55">
        <f t="shared" si="515"/>
        <v>1</v>
      </c>
      <c r="D8277" s="3" t="str">
        <f t="shared" si="516"/>
        <v>SÁBADO</v>
      </c>
      <c r="E8277" s="427"/>
      <c r="F8277" s="31">
        <f>IFERROR(VLOOKUP(E8277,BD!$L$2:$Q$244,2,0),0)</f>
        <v>0</v>
      </c>
      <c r="G8277" s="424"/>
      <c r="H8277" s="31">
        <f>+IFERROR(VLOOKUP(E8277,BD!$L$2:$Q$244,6,0),0)</f>
        <v>0</v>
      </c>
      <c r="I8277" s="626">
        <f>IFERROR(G8277*VLOOKUP($E8277,BD!$L$2:$Q$244,5,0),0)</f>
        <v>0</v>
      </c>
      <c r="J8277" s="3">
        <f t="shared" si="517"/>
        <v>1900</v>
      </c>
    </row>
    <row r="8278" spans="1:10" s="9" customFormat="1" x14ac:dyDescent="0.25">
      <c r="A8278" s="447"/>
      <c r="B8278" s="55" t="str">
        <f t="shared" si="514"/>
        <v>ENERO</v>
      </c>
      <c r="C8278" s="55">
        <f t="shared" si="515"/>
        <v>1</v>
      </c>
      <c r="D8278" s="3" t="str">
        <f t="shared" si="516"/>
        <v>SÁBADO</v>
      </c>
      <c r="E8278" s="427"/>
      <c r="F8278" s="31">
        <f>IFERROR(VLOOKUP(E8278,BD!$L$2:$Q$244,2,0),0)</f>
        <v>0</v>
      </c>
      <c r="G8278" s="424"/>
      <c r="H8278" s="31">
        <f>+IFERROR(VLOOKUP(E8278,BD!$L$2:$Q$244,6,0),0)</f>
        <v>0</v>
      </c>
      <c r="I8278" s="626">
        <f>IFERROR(G8278*VLOOKUP($E8278,BD!$L$2:$Q$244,5,0),0)</f>
        <v>0</v>
      </c>
      <c r="J8278" s="3">
        <f t="shared" si="517"/>
        <v>1900</v>
      </c>
    </row>
    <row r="8279" spans="1:10" s="9" customFormat="1" x14ac:dyDescent="0.25">
      <c r="A8279" s="447"/>
      <c r="B8279" s="55" t="str">
        <f t="shared" si="514"/>
        <v>ENERO</v>
      </c>
      <c r="C8279" s="55">
        <f t="shared" si="515"/>
        <v>1</v>
      </c>
      <c r="D8279" s="3" t="str">
        <f t="shared" si="516"/>
        <v>SÁBADO</v>
      </c>
      <c r="E8279" s="427"/>
      <c r="F8279" s="31">
        <f>IFERROR(VLOOKUP(E8279,BD!$L$2:$Q$244,2,0),0)</f>
        <v>0</v>
      </c>
      <c r="G8279" s="424"/>
      <c r="H8279" s="31">
        <f>+IFERROR(VLOOKUP(E8279,BD!$L$2:$Q$244,6,0),0)</f>
        <v>0</v>
      </c>
      <c r="I8279" s="626">
        <f>IFERROR(G8279*VLOOKUP($E8279,BD!$L$2:$Q$244,5,0),0)</f>
        <v>0</v>
      </c>
      <c r="J8279" s="3">
        <f t="shared" si="517"/>
        <v>1900</v>
      </c>
    </row>
    <row r="8280" spans="1:10" s="9" customFormat="1" x14ac:dyDescent="0.25">
      <c r="A8280" s="447"/>
      <c r="B8280" s="55" t="str">
        <f t="shared" si="514"/>
        <v>ENERO</v>
      </c>
      <c r="C8280" s="55">
        <f t="shared" si="515"/>
        <v>1</v>
      </c>
      <c r="D8280" s="3" t="str">
        <f t="shared" si="516"/>
        <v>SÁBADO</v>
      </c>
      <c r="E8280" s="427"/>
      <c r="F8280" s="31">
        <f>IFERROR(VLOOKUP(E8280,BD!$L$2:$Q$244,2,0),0)</f>
        <v>0</v>
      </c>
      <c r="G8280" s="424"/>
      <c r="H8280" s="31">
        <f>+IFERROR(VLOOKUP(E8280,BD!$L$2:$Q$244,6,0),0)</f>
        <v>0</v>
      </c>
      <c r="I8280" s="626">
        <f>IFERROR(G8280*VLOOKUP($E8280,BD!$L$2:$Q$244,5,0),0)</f>
        <v>0</v>
      </c>
      <c r="J8280" s="3">
        <f t="shared" si="517"/>
        <v>1900</v>
      </c>
    </row>
    <row r="8281" spans="1:10" s="9" customFormat="1" x14ac:dyDescent="0.25">
      <c r="A8281" s="447"/>
      <c r="B8281" s="55" t="str">
        <f t="shared" si="514"/>
        <v>ENERO</v>
      </c>
      <c r="C8281" s="55">
        <f t="shared" si="515"/>
        <v>1</v>
      </c>
      <c r="D8281" s="3" t="str">
        <f t="shared" si="516"/>
        <v>SÁBADO</v>
      </c>
      <c r="E8281" s="427"/>
      <c r="F8281" s="31">
        <f>IFERROR(VLOOKUP(E8281,BD!$L$2:$Q$244,2,0),0)</f>
        <v>0</v>
      </c>
      <c r="G8281" s="424"/>
      <c r="H8281" s="31">
        <f>+IFERROR(VLOOKUP(E8281,BD!$L$2:$Q$244,6,0),0)</f>
        <v>0</v>
      </c>
      <c r="I8281" s="626">
        <f>IFERROR(G8281*VLOOKUP($E8281,BD!$L$2:$Q$244,5,0),0)</f>
        <v>0</v>
      </c>
      <c r="J8281" s="3">
        <f t="shared" si="517"/>
        <v>1900</v>
      </c>
    </row>
    <row r="8282" spans="1:10" s="9" customFormat="1" x14ac:dyDescent="0.25">
      <c r="A8282" s="447"/>
      <c r="B8282" s="55" t="str">
        <f t="shared" si="514"/>
        <v>ENERO</v>
      </c>
      <c r="C8282" s="55">
        <f t="shared" si="515"/>
        <v>1</v>
      </c>
      <c r="D8282" s="3" t="str">
        <f t="shared" si="516"/>
        <v>SÁBADO</v>
      </c>
      <c r="E8282" s="427"/>
      <c r="F8282" s="31">
        <f>IFERROR(VLOOKUP(E8282,BD!$L$2:$Q$244,2,0),0)</f>
        <v>0</v>
      </c>
      <c r="G8282" s="424"/>
      <c r="H8282" s="31">
        <f>+IFERROR(VLOOKUP(E8282,BD!$L$2:$Q$244,6,0),0)</f>
        <v>0</v>
      </c>
      <c r="I8282" s="626">
        <f>IFERROR(G8282*VLOOKUP($E8282,BD!$L$2:$Q$244,5,0),0)</f>
        <v>0</v>
      </c>
      <c r="J8282" s="3">
        <f t="shared" si="517"/>
        <v>1900</v>
      </c>
    </row>
    <row r="8283" spans="1:10" s="9" customFormat="1" x14ac:dyDescent="0.25">
      <c r="A8283" s="447"/>
      <c r="B8283" s="55" t="str">
        <f t="shared" si="514"/>
        <v>ENERO</v>
      </c>
      <c r="C8283" s="55">
        <f t="shared" si="515"/>
        <v>1</v>
      </c>
      <c r="D8283" s="3" t="str">
        <f t="shared" si="516"/>
        <v>SÁBADO</v>
      </c>
      <c r="E8283" s="427"/>
      <c r="F8283" s="31">
        <f>IFERROR(VLOOKUP(E8283,BD!$L$2:$Q$244,2,0),0)</f>
        <v>0</v>
      </c>
      <c r="G8283" s="424"/>
      <c r="H8283" s="31">
        <f>+IFERROR(VLOOKUP(E8283,BD!$L$2:$Q$244,6,0),0)</f>
        <v>0</v>
      </c>
      <c r="I8283" s="626">
        <f>IFERROR(G8283*VLOOKUP($E8283,BD!$L$2:$Q$244,5,0),0)</f>
        <v>0</v>
      </c>
      <c r="J8283" s="3">
        <f t="shared" si="517"/>
        <v>1900</v>
      </c>
    </row>
    <row r="8284" spans="1:10" s="9" customFormat="1" x14ac:dyDescent="0.25">
      <c r="A8284" s="447"/>
      <c r="B8284" s="55" t="str">
        <f t="shared" si="514"/>
        <v>ENERO</v>
      </c>
      <c r="C8284" s="55">
        <f t="shared" si="515"/>
        <v>1</v>
      </c>
      <c r="D8284" s="3" t="str">
        <f t="shared" si="516"/>
        <v>SÁBADO</v>
      </c>
      <c r="E8284" s="427"/>
      <c r="F8284" s="31">
        <f>IFERROR(VLOOKUP(E8284,BD!$L$2:$Q$244,2,0),0)</f>
        <v>0</v>
      </c>
      <c r="G8284" s="424"/>
      <c r="H8284" s="31">
        <f>+IFERROR(VLOOKUP(E8284,BD!$L$2:$Q$244,6,0),0)</f>
        <v>0</v>
      </c>
      <c r="I8284" s="626">
        <f>IFERROR(G8284*VLOOKUP($E8284,BD!$L$2:$Q$244,5,0),0)</f>
        <v>0</v>
      </c>
      <c r="J8284" s="3">
        <f t="shared" si="517"/>
        <v>1900</v>
      </c>
    </row>
    <row r="8285" spans="1:10" s="9" customFormat="1" x14ac:dyDescent="0.25">
      <c r="A8285" s="447"/>
      <c r="B8285" s="55" t="str">
        <f t="shared" si="514"/>
        <v>ENERO</v>
      </c>
      <c r="C8285" s="55">
        <f t="shared" si="515"/>
        <v>1</v>
      </c>
      <c r="D8285" s="3" t="str">
        <f t="shared" si="516"/>
        <v>SÁBADO</v>
      </c>
      <c r="E8285" s="427"/>
      <c r="F8285" s="31">
        <f>IFERROR(VLOOKUP(E8285,BD!$L$2:$Q$244,2,0),0)</f>
        <v>0</v>
      </c>
      <c r="G8285" s="424"/>
      <c r="H8285" s="31">
        <f>+IFERROR(VLOOKUP(E8285,BD!$L$2:$Q$244,6,0),0)</f>
        <v>0</v>
      </c>
      <c r="I8285" s="626">
        <f>IFERROR(G8285*VLOOKUP($E8285,BD!$L$2:$Q$244,5,0),0)</f>
        <v>0</v>
      </c>
      <c r="J8285" s="3">
        <f t="shared" si="517"/>
        <v>1900</v>
      </c>
    </row>
    <row r="8286" spans="1:10" s="9" customFormat="1" x14ac:dyDescent="0.25">
      <c r="A8286" s="447"/>
      <c r="B8286" s="55" t="str">
        <f t="shared" si="514"/>
        <v>ENERO</v>
      </c>
      <c r="C8286" s="55">
        <f t="shared" si="515"/>
        <v>1</v>
      </c>
      <c r="D8286" s="3" t="str">
        <f t="shared" si="516"/>
        <v>SÁBADO</v>
      </c>
      <c r="E8286" s="427"/>
      <c r="F8286" s="31">
        <f>IFERROR(VLOOKUP(E8286,BD!$L$2:$Q$244,2,0),0)</f>
        <v>0</v>
      </c>
      <c r="G8286" s="424"/>
      <c r="H8286" s="31">
        <f>+IFERROR(VLOOKUP(E8286,BD!$L$2:$Q$244,6,0),0)</f>
        <v>0</v>
      </c>
      <c r="I8286" s="626">
        <f>IFERROR(G8286*VLOOKUP($E8286,BD!$L$2:$Q$244,5,0),0)</f>
        <v>0</v>
      </c>
      <c r="J8286" s="3">
        <f t="shared" si="517"/>
        <v>1900</v>
      </c>
    </row>
    <row r="8287" spans="1:10" s="9" customFormat="1" x14ac:dyDescent="0.25">
      <c r="A8287" s="447"/>
      <c r="B8287" s="55" t="str">
        <f t="shared" si="514"/>
        <v>ENERO</v>
      </c>
      <c r="C8287" s="55">
        <f t="shared" si="515"/>
        <v>1</v>
      </c>
      <c r="D8287" s="3" t="str">
        <f t="shared" si="516"/>
        <v>SÁBADO</v>
      </c>
      <c r="E8287" s="427"/>
      <c r="F8287" s="31">
        <f>IFERROR(VLOOKUP(E8287,BD!$L$2:$Q$244,2,0),0)</f>
        <v>0</v>
      </c>
      <c r="G8287" s="424"/>
      <c r="H8287" s="31">
        <f>+IFERROR(VLOOKUP(E8287,BD!$L$2:$Q$244,6,0),0)</f>
        <v>0</v>
      </c>
      <c r="I8287" s="626">
        <f>IFERROR(G8287*VLOOKUP($E8287,BD!$L$2:$Q$244,5,0),0)</f>
        <v>0</v>
      </c>
      <c r="J8287" s="3">
        <f t="shared" si="517"/>
        <v>1900</v>
      </c>
    </row>
    <row r="8288" spans="1:10" s="9" customFormat="1" x14ac:dyDescent="0.25">
      <c r="A8288" s="447"/>
      <c r="B8288" s="55" t="str">
        <f t="shared" si="514"/>
        <v>ENERO</v>
      </c>
      <c r="C8288" s="55">
        <f t="shared" si="515"/>
        <v>1</v>
      </c>
      <c r="D8288" s="3" t="str">
        <f t="shared" si="516"/>
        <v>SÁBADO</v>
      </c>
      <c r="E8288" s="427"/>
      <c r="F8288" s="31">
        <f>IFERROR(VLOOKUP(E8288,BD!$L$2:$Q$244,2,0),0)</f>
        <v>0</v>
      </c>
      <c r="G8288" s="424"/>
      <c r="H8288" s="31">
        <f>+IFERROR(VLOOKUP(E8288,BD!$L$2:$Q$244,6,0),0)</f>
        <v>0</v>
      </c>
      <c r="I8288" s="626">
        <f>IFERROR(G8288*VLOOKUP($E8288,BD!$L$2:$Q$244,5,0),0)</f>
        <v>0</v>
      </c>
      <c r="J8288" s="3">
        <f t="shared" si="517"/>
        <v>1900</v>
      </c>
    </row>
    <row r="8289" spans="1:10" s="9" customFormat="1" x14ac:dyDescent="0.25">
      <c r="A8289" s="447"/>
      <c r="B8289" s="55" t="str">
        <f t="shared" si="514"/>
        <v>ENERO</v>
      </c>
      <c r="C8289" s="55">
        <f t="shared" si="515"/>
        <v>1</v>
      </c>
      <c r="D8289" s="3" t="str">
        <f t="shared" si="516"/>
        <v>SÁBADO</v>
      </c>
      <c r="E8289" s="427"/>
      <c r="F8289" s="31">
        <f>IFERROR(VLOOKUP(E8289,BD!$L$2:$Q$244,2,0),0)</f>
        <v>0</v>
      </c>
      <c r="G8289" s="424"/>
      <c r="H8289" s="31">
        <f>+IFERROR(VLOOKUP(E8289,BD!$L$2:$Q$244,6,0),0)</f>
        <v>0</v>
      </c>
      <c r="I8289" s="626">
        <f>IFERROR(G8289*VLOOKUP($E8289,BD!$L$2:$Q$244,5,0),0)</f>
        <v>0</v>
      </c>
      <c r="J8289" s="3">
        <f t="shared" si="517"/>
        <v>1900</v>
      </c>
    </row>
    <row r="8290" spans="1:10" s="9" customFormat="1" x14ac:dyDescent="0.25">
      <c r="A8290" s="447"/>
      <c r="B8290" s="55" t="str">
        <f t="shared" si="514"/>
        <v>ENERO</v>
      </c>
      <c r="C8290" s="55">
        <f t="shared" si="515"/>
        <v>1</v>
      </c>
      <c r="D8290" s="3" t="str">
        <f t="shared" si="516"/>
        <v>SÁBADO</v>
      </c>
      <c r="E8290" s="427"/>
      <c r="F8290" s="31">
        <f>IFERROR(VLOOKUP(E8290,BD!$L$2:$Q$244,2,0),0)</f>
        <v>0</v>
      </c>
      <c r="G8290" s="424"/>
      <c r="H8290" s="31">
        <f>+IFERROR(VLOOKUP(E8290,BD!$L$2:$Q$244,6,0),0)</f>
        <v>0</v>
      </c>
      <c r="I8290" s="626">
        <f>IFERROR(G8290*VLOOKUP($E8290,BD!$L$2:$Q$244,5,0),0)</f>
        <v>0</v>
      </c>
      <c r="J8290" s="3">
        <f t="shared" si="517"/>
        <v>1900</v>
      </c>
    </row>
    <row r="8291" spans="1:10" s="9" customFormat="1" x14ac:dyDescent="0.25">
      <c r="A8291" s="447"/>
      <c r="B8291" s="55" t="str">
        <f t="shared" si="514"/>
        <v>ENERO</v>
      </c>
      <c r="C8291" s="55">
        <f t="shared" si="515"/>
        <v>1</v>
      </c>
      <c r="D8291" s="3" t="str">
        <f t="shared" si="516"/>
        <v>SÁBADO</v>
      </c>
      <c r="E8291" s="427"/>
      <c r="F8291" s="31">
        <f>IFERROR(VLOOKUP(E8291,BD!$L$2:$Q$244,2,0),0)</f>
        <v>0</v>
      </c>
      <c r="G8291" s="424"/>
      <c r="H8291" s="31">
        <f>+IFERROR(VLOOKUP(E8291,BD!$L$2:$Q$244,6,0),0)</f>
        <v>0</v>
      </c>
      <c r="I8291" s="626">
        <f>IFERROR(G8291*VLOOKUP($E8291,BD!$L$2:$Q$244,5,0),0)</f>
        <v>0</v>
      </c>
      <c r="J8291" s="3">
        <f t="shared" si="517"/>
        <v>1900</v>
      </c>
    </row>
    <row r="8292" spans="1:10" s="9" customFormat="1" x14ac:dyDescent="0.25">
      <c r="A8292" s="447"/>
      <c r="B8292" s="55" t="str">
        <f t="shared" si="514"/>
        <v>ENERO</v>
      </c>
      <c r="C8292" s="55">
        <f t="shared" si="515"/>
        <v>1</v>
      </c>
      <c r="D8292" s="3" t="str">
        <f t="shared" si="516"/>
        <v>SÁBADO</v>
      </c>
      <c r="E8292" s="427"/>
      <c r="F8292" s="31">
        <f>IFERROR(VLOOKUP(E8292,BD!$L$2:$Q$244,2,0),0)</f>
        <v>0</v>
      </c>
      <c r="G8292" s="424"/>
      <c r="H8292" s="31">
        <f>+IFERROR(VLOOKUP(E8292,BD!$L$2:$Q$244,6,0),0)</f>
        <v>0</v>
      </c>
      <c r="I8292" s="626">
        <f>IFERROR(G8292*VLOOKUP($E8292,BD!$L$2:$Q$244,5,0),0)</f>
        <v>0</v>
      </c>
      <c r="J8292" s="3">
        <f t="shared" si="517"/>
        <v>1900</v>
      </c>
    </row>
    <row r="8293" spans="1:10" s="9" customFormat="1" x14ac:dyDescent="0.25">
      <c r="A8293" s="447"/>
      <c r="B8293" s="55" t="str">
        <f t="shared" si="514"/>
        <v>ENERO</v>
      </c>
      <c r="C8293" s="55">
        <f t="shared" si="515"/>
        <v>1</v>
      </c>
      <c r="D8293" s="3" t="str">
        <f t="shared" si="516"/>
        <v>SÁBADO</v>
      </c>
      <c r="E8293" s="427"/>
      <c r="F8293" s="31">
        <f>IFERROR(VLOOKUP(E8293,BD!$L$2:$Q$244,2,0),0)</f>
        <v>0</v>
      </c>
      <c r="G8293" s="424"/>
      <c r="H8293" s="31">
        <f>+IFERROR(VLOOKUP(E8293,BD!$L$2:$Q$244,6,0),0)</f>
        <v>0</v>
      </c>
      <c r="I8293" s="626">
        <f>IFERROR(G8293*VLOOKUP($E8293,BD!$L$2:$Q$244,5,0),0)</f>
        <v>0</v>
      </c>
      <c r="J8293" s="3">
        <f t="shared" si="517"/>
        <v>1900</v>
      </c>
    </row>
    <row r="8294" spans="1:10" s="9" customFormat="1" x14ac:dyDescent="0.25">
      <c r="A8294" s="447"/>
      <c r="B8294" s="55" t="str">
        <f t="shared" si="514"/>
        <v>ENERO</v>
      </c>
      <c r="C8294" s="55">
        <f t="shared" si="515"/>
        <v>1</v>
      </c>
      <c r="D8294" s="3" t="str">
        <f t="shared" si="516"/>
        <v>SÁBADO</v>
      </c>
      <c r="E8294" s="427"/>
      <c r="F8294" s="31">
        <f>IFERROR(VLOOKUP(E8294,BD!$L$2:$Q$244,2,0),0)</f>
        <v>0</v>
      </c>
      <c r="G8294" s="424"/>
      <c r="H8294" s="31">
        <f>+IFERROR(VLOOKUP(E8294,BD!$L$2:$Q$244,6,0),0)</f>
        <v>0</v>
      </c>
      <c r="I8294" s="626">
        <f>IFERROR(G8294*VLOOKUP($E8294,BD!$L$2:$Q$244,5,0),0)</f>
        <v>0</v>
      </c>
      <c r="J8294" s="3">
        <f t="shared" si="517"/>
        <v>1900</v>
      </c>
    </row>
    <row r="8295" spans="1:10" s="9" customFormat="1" x14ac:dyDescent="0.25">
      <c r="A8295" s="447"/>
      <c r="B8295" s="55" t="str">
        <f t="shared" si="514"/>
        <v>ENERO</v>
      </c>
      <c r="C8295" s="55">
        <f t="shared" si="515"/>
        <v>1</v>
      </c>
      <c r="D8295" s="3" t="str">
        <f t="shared" si="516"/>
        <v>SÁBADO</v>
      </c>
      <c r="E8295" s="427"/>
      <c r="F8295" s="31">
        <f>IFERROR(VLOOKUP(E8295,BD!$L$2:$Q$244,2,0),0)</f>
        <v>0</v>
      </c>
      <c r="G8295" s="424"/>
      <c r="H8295" s="31">
        <f>+IFERROR(VLOOKUP(E8295,BD!$L$2:$Q$244,6,0),0)</f>
        <v>0</v>
      </c>
      <c r="I8295" s="626">
        <f>IFERROR(G8295*VLOOKUP($E8295,BD!$L$2:$Q$244,5,0),0)</f>
        <v>0</v>
      </c>
      <c r="J8295" s="3">
        <f t="shared" si="517"/>
        <v>1900</v>
      </c>
    </row>
    <row r="8296" spans="1:10" s="9" customFormat="1" x14ac:dyDescent="0.25">
      <c r="A8296" s="447"/>
      <c r="B8296" s="55" t="str">
        <f t="shared" si="514"/>
        <v>ENERO</v>
      </c>
      <c r="C8296" s="55">
        <f t="shared" si="515"/>
        <v>1</v>
      </c>
      <c r="D8296" s="3" t="str">
        <f t="shared" si="516"/>
        <v>SÁBADO</v>
      </c>
      <c r="E8296" s="427"/>
      <c r="F8296" s="31">
        <f>IFERROR(VLOOKUP(E8296,BD!$L$2:$Q$244,2,0),0)</f>
        <v>0</v>
      </c>
      <c r="G8296" s="424"/>
      <c r="H8296" s="31">
        <f>+IFERROR(VLOOKUP(E8296,BD!$L$2:$Q$244,6,0),0)</f>
        <v>0</v>
      </c>
      <c r="I8296" s="626">
        <f>IFERROR(G8296*VLOOKUP($E8296,BD!$L$2:$Q$244,5,0),0)</f>
        <v>0</v>
      </c>
      <c r="J8296" s="3">
        <f t="shared" si="517"/>
        <v>1900</v>
      </c>
    </row>
    <row r="8297" spans="1:10" s="9" customFormat="1" x14ac:dyDescent="0.25">
      <c r="A8297" s="447"/>
      <c r="B8297" s="55" t="str">
        <f t="shared" si="514"/>
        <v>ENERO</v>
      </c>
      <c r="C8297" s="55">
        <f t="shared" si="515"/>
        <v>1</v>
      </c>
      <c r="D8297" s="3" t="str">
        <f t="shared" si="516"/>
        <v>SÁBADO</v>
      </c>
      <c r="E8297" s="427"/>
      <c r="F8297" s="31">
        <f>IFERROR(VLOOKUP(E8297,BD!$L$2:$Q$244,2,0),0)</f>
        <v>0</v>
      </c>
      <c r="G8297" s="424"/>
      <c r="H8297" s="31">
        <f>+IFERROR(VLOOKUP(E8297,BD!$L$2:$Q$244,6,0),0)</f>
        <v>0</v>
      </c>
      <c r="I8297" s="626">
        <f>IFERROR(G8297*VLOOKUP($E8297,BD!$L$2:$Q$244,5,0),0)</f>
        <v>0</v>
      </c>
      <c r="J8297" s="3">
        <f t="shared" si="517"/>
        <v>1900</v>
      </c>
    </row>
    <row r="8298" spans="1:10" s="9" customFormat="1" x14ac:dyDescent="0.25">
      <c r="A8298" s="447"/>
      <c r="B8298" s="55" t="str">
        <f t="shared" si="514"/>
        <v>ENERO</v>
      </c>
      <c r="C8298" s="55">
        <f t="shared" si="515"/>
        <v>1</v>
      </c>
      <c r="D8298" s="3" t="str">
        <f t="shared" si="516"/>
        <v>SÁBADO</v>
      </c>
      <c r="E8298" s="427"/>
      <c r="F8298" s="31">
        <f>IFERROR(VLOOKUP(E8298,BD!$L$2:$Q$244,2,0),0)</f>
        <v>0</v>
      </c>
      <c r="G8298" s="424"/>
      <c r="H8298" s="31">
        <f>+IFERROR(VLOOKUP(E8298,BD!$L$2:$Q$244,6,0),0)</f>
        <v>0</v>
      </c>
      <c r="I8298" s="626">
        <f>IFERROR(G8298*VLOOKUP($E8298,BD!$L$2:$Q$244,5,0),0)</f>
        <v>0</v>
      </c>
      <c r="J8298" s="3">
        <f t="shared" si="517"/>
        <v>1900</v>
      </c>
    </row>
    <row r="8299" spans="1:10" s="9" customFormat="1" x14ac:dyDescent="0.25">
      <c r="A8299" s="447"/>
      <c r="B8299" s="55" t="str">
        <f t="shared" si="514"/>
        <v>ENERO</v>
      </c>
      <c r="C8299" s="55">
        <f t="shared" si="515"/>
        <v>1</v>
      </c>
      <c r="D8299" s="3" t="str">
        <f t="shared" si="516"/>
        <v>SÁBADO</v>
      </c>
      <c r="E8299" s="427"/>
      <c r="F8299" s="31">
        <f>IFERROR(VLOOKUP(E8299,BD!$L$2:$Q$244,2,0),0)</f>
        <v>0</v>
      </c>
      <c r="G8299" s="424"/>
      <c r="H8299" s="31">
        <f>+IFERROR(VLOOKUP(E8299,BD!$L$2:$Q$244,6,0),0)</f>
        <v>0</v>
      </c>
      <c r="I8299" s="626">
        <f>IFERROR(G8299*VLOOKUP($E8299,BD!$L$2:$Q$244,5,0),0)</f>
        <v>0</v>
      </c>
      <c r="J8299" s="3">
        <f t="shared" si="517"/>
        <v>1900</v>
      </c>
    </row>
    <row r="8300" spans="1:10" s="9" customFormat="1" x14ac:dyDescent="0.25">
      <c r="A8300" s="447"/>
      <c r="B8300" s="55" t="str">
        <f t="shared" si="514"/>
        <v>ENERO</v>
      </c>
      <c r="C8300" s="55">
        <f t="shared" si="515"/>
        <v>1</v>
      </c>
      <c r="D8300" s="3" t="str">
        <f t="shared" si="516"/>
        <v>SÁBADO</v>
      </c>
      <c r="E8300" s="427"/>
      <c r="F8300" s="31">
        <f>IFERROR(VLOOKUP(E8300,BD!$L$2:$Q$244,2,0),0)</f>
        <v>0</v>
      </c>
      <c r="G8300" s="424"/>
      <c r="H8300" s="31">
        <f>+IFERROR(VLOOKUP(E8300,BD!$L$2:$Q$244,6,0),0)</f>
        <v>0</v>
      </c>
      <c r="I8300" s="626">
        <f>IFERROR(G8300*VLOOKUP($E8300,BD!$L$2:$Q$244,5,0),0)</f>
        <v>0</v>
      </c>
      <c r="J8300" s="3">
        <f t="shared" si="517"/>
        <v>1900</v>
      </c>
    </row>
    <row r="8301" spans="1:10" s="9" customFormat="1" x14ac:dyDescent="0.25">
      <c r="A8301" s="447"/>
      <c r="B8301" s="55" t="str">
        <f t="shared" si="514"/>
        <v>ENERO</v>
      </c>
      <c r="C8301" s="55">
        <f t="shared" si="515"/>
        <v>1</v>
      </c>
      <c r="D8301" s="3" t="str">
        <f t="shared" si="516"/>
        <v>SÁBADO</v>
      </c>
      <c r="E8301" s="427"/>
      <c r="F8301" s="31">
        <f>IFERROR(VLOOKUP(E8301,BD!$L$2:$Q$244,2,0),0)</f>
        <v>0</v>
      </c>
      <c r="G8301" s="424"/>
      <c r="H8301" s="31">
        <f>+IFERROR(VLOOKUP(E8301,BD!$L$2:$Q$244,6,0),0)</f>
        <v>0</v>
      </c>
      <c r="I8301" s="626">
        <f>IFERROR(G8301*VLOOKUP($E8301,BD!$L$2:$Q$244,5,0),0)</f>
        <v>0</v>
      </c>
      <c r="J8301" s="3">
        <f t="shared" si="517"/>
        <v>1900</v>
      </c>
    </row>
    <row r="8302" spans="1:10" s="9" customFormat="1" x14ac:dyDescent="0.25">
      <c r="A8302" s="447"/>
      <c r="B8302" s="55" t="str">
        <f t="shared" si="514"/>
        <v>ENERO</v>
      </c>
      <c r="C8302" s="55">
        <f t="shared" si="515"/>
        <v>1</v>
      </c>
      <c r="D8302" s="3" t="str">
        <f t="shared" si="516"/>
        <v>SÁBADO</v>
      </c>
      <c r="E8302" s="427"/>
      <c r="F8302" s="31">
        <f>IFERROR(VLOOKUP(E8302,BD!$L$2:$Q$244,2,0),0)</f>
        <v>0</v>
      </c>
      <c r="G8302" s="424"/>
      <c r="H8302" s="31">
        <f>+IFERROR(VLOOKUP(E8302,BD!$L$2:$Q$244,6,0),0)</f>
        <v>0</v>
      </c>
      <c r="I8302" s="626">
        <f>IFERROR(G8302*VLOOKUP($E8302,BD!$L$2:$Q$244,5,0),0)</f>
        <v>0</v>
      </c>
      <c r="J8302" s="3">
        <f t="shared" si="517"/>
        <v>1900</v>
      </c>
    </row>
    <row r="8303" spans="1:10" s="9" customFormat="1" x14ac:dyDescent="0.25">
      <c r="A8303" s="447"/>
      <c r="B8303" s="55" t="str">
        <f t="shared" si="514"/>
        <v>ENERO</v>
      </c>
      <c r="C8303" s="55">
        <f t="shared" si="515"/>
        <v>1</v>
      </c>
      <c r="D8303" s="3" t="str">
        <f t="shared" si="516"/>
        <v>SÁBADO</v>
      </c>
      <c r="E8303" s="427"/>
      <c r="F8303" s="31">
        <f>IFERROR(VLOOKUP(E8303,BD!$L$2:$Q$244,2,0),0)</f>
        <v>0</v>
      </c>
      <c r="G8303" s="424"/>
      <c r="H8303" s="31">
        <f>+IFERROR(VLOOKUP(E8303,BD!$L$2:$Q$244,6,0),0)</f>
        <v>0</v>
      </c>
      <c r="I8303" s="626">
        <f>IFERROR(G8303*VLOOKUP($E8303,BD!$L$2:$Q$244,5,0),0)</f>
        <v>0</v>
      </c>
      <c r="J8303" s="3">
        <f t="shared" si="517"/>
        <v>1900</v>
      </c>
    </row>
    <row r="8304" spans="1:10" s="9" customFormat="1" x14ac:dyDescent="0.25">
      <c r="A8304" s="447"/>
      <c r="B8304" s="55" t="str">
        <f t="shared" si="514"/>
        <v>ENERO</v>
      </c>
      <c r="C8304" s="55">
        <f t="shared" si="515"/>
        <v>1</v>
      </c>
      <c r="D8304" s="3" t="str">
        <f t="shared" si="516"/>
        <v>SÁBADO</v>
      </c>
      <c r="E8304" s="427"/>
      <c r="F8304" s="31">
        <f>IFERROR(VLOOKUP(E8304,BD!$L$2:$Q$244,2,0),0)</f>
        <v>0</v>
      </c>
      <c r="G8304" s="424"/>
      <c r="H8304" s="31">
        <f>+IFERROR(VLOOKUP(E8304,BD!$L$2:$Q$244,6,0),0)</f>
        <v>0</v>
      </c>
      <c r="I8304" s="626">
        <f>IFERROR(G8304*VLOOKUP($E8304,BD!$L$2:$Q$244,5,0),0)</f>
        <v>0</v>
      </c>
      <c r="J8304" s="3">
        <f t="shared" si="517"/>
        <v>1900</v>
      </c>
    </row>
    <row r="8305" spans="1:10" s="9" customFormat="1" x14ac:dyDescent="0.25">
      <c r="A8305" s="447"/>
      <c r="B8305" s="55" t="str">
        <f t="shared" si="514"/>
        <v>ENERO</v>
      </c>
      <c r="C8305" s="55">
        <f t="shared" si="515"/>
        <v>1</v>
      </c>
      <c r="D8305" s="3" t="str">
        <f t="shared" si="516"/>
        <v>SÁBADO</v>
      </c>
      <c r="E8305" s="427"/>
      <c r="F8305" s="31">
        <f>IFERROR(VLOOKUP(E8305,BD!$L$2:$Q$244,2,0),0)</f>
        <v>0</v>
      </c>
      <c r="G8305" s="424"/>
      <c r="H8305" s="31">
        <f>+IFERROR(VLOOKUP(E8305,BD!$L$2:$Q$244,6,0),0)</f>
        <v>0</v>
      </c>
      <c r="I8305" s="626">
        <f>IFERROR(G8305*VLOOKUP($E8305,BD!$L$2:$Q$244,5,0),0)</f>
        <v>0</v>
      </c>
      <c r="J8305" s="3">
        <f t="shared" si="517"/>
        <v>1900</v>
      </c>
    </row>
    <row r="8306" spans="1:10" s="9" customFormat="1" x14ac:dyDescent="0.25">
      <c r="A8306" s="447"/>
      <c r="B8306" s="55" t="str">
        <f t="shared" si="514"/>
        <v>ENERO</v>
      </c>
      <c r="C8306" s="55">
        <f t="shared" si="515"/>
        <v>1</v>
      </c>
      <c r="D8306" s="3" t="str">
        <f t="shared" si="516"/>
        <v>SÁBADO</v>
      </c>
      <c r="E8306" s="427"/>
      <c r="F8306" s="31">
        <f>IFERROR(VLOOKUP(E8306,BD!$L$2:$Q$244,2,0),0)</f>
        <v>0</v>
      </c>
      <c r="G8306" s="424"/>
      <c r="H8306" s="31">
        <f>+IFERROR(VLOOKUP(E8306,BD!$L$2:$Q$244,6,0),0)</f>
        <v>0</v>
      </c>
      <c r="I8306" s="626">
        <f>IFERROR(G8306*VLOOKUP($E8306,BD!$L$2:$Q$244,5,0),0)</f>
        <v>0</v>
      </c>
      <c r="J8306" s="3">
        <f t="shared" si="517"/>
        <v>1900</v>
      </c>
    </row>
    <row r="8307" spans="1:10" s="9" customFormat="1" x14ac:dyDescent="0.25">
      <c r="A8307" s="447"/>
      <c r="B8307" s="55" t="str">
        <f t="shared" si="514"/>
        <v>ENERO</v>
      </c>
      <c r="C8307" s="55">
        <f t="shared" si="515"/>
        <v>1</v>
      </c>
      <c r="D8307" s="3" t="str">
        <f t="shared" si="516"/>
        <v>SÁBADO</v>
      </c>
      <c r="E8307" s="427"/>
      <c r="F8307" s="31">
        <f>IFERROR(VLOOKUP(E8307,BD!$L$2:$Q$244,2,0),0)</f>
        <v>0</v>
      </c>
      <c r="G8307" s="424"/>
      <c r="H8307" s="31">
        <f>+IFERROR(VLOOKUP(E8307,BD!$L$2:$Q$244,6,0),0)</f>
        <v>0</v>
      </c>
      <c r="I8307" s="626">
        <f>IFERROR(G8307*VLOOKUP($E8307,BD!$L$2:$Q$244,5,0),0)</f>
        <v>0</v>
      </c>
      <c r="J8307" s="3">
        <f t="shared" si="517"/>
        <v>1900</v>
      </c>
    </row>
    <row r="8308" spans="1:10" s="9" customFormat="1" x14ac:dyDescent="0.25">
      <c r="A8308" s="447"/>
      <c r="B8308" s="55" t="str">
        <f t="shared" si="514"/>
        <v>ENERO</v>
      </c>
      <c r="C8308" s="55">
        <f t="shared" si="515"/>
        <v>1</v>
      </c>
      <c r="D8308" s="3" t="str">
        <f t="shared" si="516"/>
        <v>SÁBADO</v>
      </c>
      <c r="E8308" s="427"/>
      <c r="F8308" s="31">
        <f>IFERROR(VLOOKUP(E8308,BD!$L$2:$Q$244,2,0),0)</f>
        <v>0</v>
      </c>
      <c r="G8308" s="424"/>
      <c r="H8308" s="31">
        <f>+IFERROR(VLOOKUP(E8308,BD!$L$2:$Q$244,6,0),0)</f>
        <v>0</v>
      </c>
      <c r="I8308" s="626">
        <f>IFERROR(G8308*VLOOKUP($E8308,BD!$L$2:$Q$244,5,0),0)</f>
        <v>0</v>
      </c>
      <c r="J8308" s="3">
        <f t="shared" si="517"/>
        <v>1900</v>
      </c>
    </row>
    <row r="8309" spans="1:10" s="9" customFormat="1" x14ac:dyDescent="0.25">
      <c r="A8309" s="447"/>
      <c r="B8309" s="55" t="str">
        <f t="shared" si="514"/>
        <v>ENERO</v>
      </c>
      <c r="C8309" s="55">
        <f t="shared" si="515"/>
        <v>1</v>
      </c>
      <c r="D8309" s="3" t="str">
        <f t="shared" si="516"/>
        <v>SÁBADO</v>
      </c>
      <c r="E8309" s="427"/>
      <c r="F8309" s="31">
        <f>IFERROR(VLOOKUP(E8309,BD!$L$2:$Q$244,2,0),0)</f>
        <v>0</v>
      </c>
      <c r="G8309" s="424"/>
      <c r="H8309" s="31">
        <f>+IFERROR(VLOOKUP(E8309,BD!$L$2:$Q$244,6,0),0)</f>
        <v>0</v>
      </c>
      <c r="I8309" s="626">
        <f>IFERROR(G8309*VLOOKUP($E8309,BD!$L$2:$Q$244,5,0),0)</f>
        <v>0</v>
      </c>
      <c r="J8309" s="3">
        <f t="shared" si="517"/>
        <v>1900</v>
      </c>
    </row>
    <row r="8310" spans="1:10" s="9" customFormat="1" x14ac:dyDescent="0.25">
      <c r="A8310" s="447"/>
      <c r="B8310" s="55" t="str">
        <f t="shared" si="514"/>
        <v>ENERO</v>
      </c>
      <c r="C8310" s="55">
        <f t="shared" si="515"/>
        <v>1</v>
      </c>
      <c r="D8310" s="3" t="str">
        <f t="shared" si="516"/>
        <v>SÁBADO</v>
      </c>
      <c r="E8310" s="427"/>
      <c r="F8310" s="31">
        <f>IFERROR(VLOOKUP(E8310,BD!$L$2:$Q$244,2,0),0)</f>
        <v>0</v>
      </c>
      <c r="G8310" s="424"/>
      <c r="H8310" s="31">
        <f>+IFERROR(VLOOKUP(E8310,BD!$L$2:$Q$244,6,0),0)</f>
        <v>0</v>
      </c>
      <c r="I8310" s="626">
        <f>IFERROR(G8310*VLOOKUP($E8310,BD!$L$2:$Q$244,5,0),0)</f>
        <v>0</v>
      </c>
      <c r="J8310" s="3">
        <f t="shared" si="517"/>
        <v>1900</v>
      </c>
    </row>
    <row r="8311" spans="1:10" s="9" customFormat="1" x14ac:dyDescent="0.25">
      <c r="A8311" s="447"/>
      <c r="B8311" s="55" t="str">
        <f t="shared" si="514"/>
        <v>ENERO</v>
      </c>
      <c r="C8311" s="55">
        <f t="shared" si="515"/>
        <v>1</v>
      </c>
      <c r="D8311" s="3" t="str">
        <f t="shared" si="516"/>
        <v>SÁBADO</v>
      </c>
      <c r="E8311" s="427"/>
      <c r="F8311" s="31">
        <f>IFERROR(VLOOKUP(E8311,BD!$L$2:$Q$244,2,0),0)</f>
        <v>0</v>
      </c>
      <c r="G8311" s="424"/>
      <c r="H8311" s="31">
        <f>+IFERROR(VLOOKUP(E8311,BD!$L$2:$Q$244,6,0),0)</f>
        <v>0</v>
      </c>
      <c r="I8311" s="626">
        <f>IFERROR(G8311*VLOOKUP($E8311,BD!$L$2:$Q$244,5,0),0)</f>
        <v>0</v>
      </c>
      <c r="J8311" s="3">
        <f t="shared" si="517"/>
        <v>1900</v>
      </c>
    </row>
    <row r="8312" spans="1:10" s="9" customFormat="1" x14ac:dyDescent="0.25">
      <c r="A8312" s="447"/>
      <c r="B8312" s="55" t="str">
        <f t="shared" si="514"/>
        <v>ENERO</v>
      </c>
      <c r="C8312" s="55">
        <f t="shared" si="515"/>
        <v>1</v>
      </c>
      <c r="D8312" s="3" t="str">
        <f t="shared" si="516"/>
        <v>SÁBADO</v>
      </c>
      <c r="E8312" s="427"/>
      <c r="F8312" s="31">
        <f>IFERROR(VLOOKUP(E8312,BD!$L$2:$Q$244,2,0),0)</f>
        <v>0</v>
      </c>
      <c r="G8312" s="424"/>
      <c r="H8312" s="31">
        <f>+IFERROR(VLOOKUP(E8312,BD!$L$2:$Q$244,6,0),0)</f>
        <v>0</v>
      </c>
      <c r="I8312" s="626">
        <f>IFERROR(G8312*VLOOKUP($E8312,BD!$L$2:$Q$244,5,0),0)</f>
        <v>0</v>
      </c>
      <c r="J8312" s="3">
        <f t="shared" si="517"/>
        <v>1900</v>
      </c>
    </row>
    <row r="8313" spans="1:10" s="9" customFormat="1" x14ac:dyDescent="0.25">
      <c r="A8313" s="447"/>
      <c r="B8313" s="55" t="str">
        <f t="shared" si="514"/>
        <v>ENERO</v>
      </c>
      <c r="C8313" s="55">
        <f t="shared" si="515"/>
        <v>1</v>
      </c>
      <c r="D8313" s="3" t="str">
        <f t="shared" si="516"/>
        <v>SÁBADO</v>
      </c>
      <c r="E8313" s="427"/>
      <c r="F8313" s="31">
        <f>IFERROR(VLOOKUP(E8313,BD!$L$2:$Q$244,2,0),0)</f>
        <v>0</v>
      </c>
      <c r="G8313" s="424"/>
      <c r="H8313" s="31">
        <f>+IFERROR(VLOOKUP(E8313,BD!$L$2:$Q$244,6,0),0)</f>
        <v>0</v>
      </c>
      <c r="I8313" s="626">
        <f>IFERROR(G8313*VLOOKUP($E8313,BD!$L$2:$Q$244,5,0),0)</f>
        <v>0</v>
      </c>
      <c r="J8313" s="3">
        <f t="shared" si="517"/>
        <v>1900</v>
      </c>
    </row>
    <row r="8314" spans="1:10" s="9" customFormat="1" x14ac:dyDescent="0.25">
      <c r="A8314" s="447"/>
      <c r="B8314" s="55" t="str">
        <f t="shared" si="514"/>
        <v>ENERO</v>
      </c>
      <c r="C8314" s="55">
        <f t="shared" si="515"/>
        <v>1</v>
      </c>
      <c r="D8314" s="3" t="str">
        <f t="shared" si="516"/>
        <v>SÁBADO</v>
      </c>
      <c r="E8314" s="427"/>
      <c r="F8314" s="31">
        <f>IFERROR(VLOOKUP(E8314,BD!$L$2:$Q$244,2,0),0)</f>
        <v>0</v>
      </c>
      <c r="G8314" s="424"/>
      <c r="H8314" s="31">
        <f>+IFERROR(VLOOKUP(E8314,BD!$L$2:$Q$244,6,0),0)</f>
        <v>0</v>
      </c>
      <c r="I8314" s="626">
        <f>IFERROR(G8314*VLOOKUP($E8314,BD!$L$2:$Q$244,5,0),0)</f>
        <v>0</v>
      </c>
      <c r="J8314" s="3">
        <f t="shared" si="517"/>
        <v>1900</v>
      </c>
    </row>
    <row r="8315" spans="1:10" s="9" customFormat="1" x14ac:dyDescent="0.25">
      <c r="A8315" s="447"/>
      <c r="B8315" s="55" t="str">
        <f t="shared" si="514"/>
        <v>ENERO</v>
      </c>
      <c r="C8315" s="55">
        <f t="shared" si="515"/>
        <v>1</v>
      </c>
      <c r="D8315" s="3" t="str">
        <f t="shared" si="516"/>
        <v>SÁBADO</v>
      </c>
      <c r="E8315" s="427"/>
      <c r="F8315" s="31">
        <f>IFERROR(VLOOKUP(E8315,BD!$L$2:$Q$244,2,0),0)</f>
        <v>0</v>
      </c>
      <c r="G8315" s="424"/>
      <c r="H8315" s="31">
        <f>+IFERROR(VLOOKUP(E8315,BD!$L$2:$Q$244,6,0),0)</f>
        <v>0</v>
      </c>
      <c r="I8315" s="626">
        <f>IFERROR(G8315*VLOOKUP($E8315,BD!$L$2:$Q$244,5,0),0)</f>
        <v>0</v>
      </c>
      <c r="J8315" s="3">
        <f t="shared" si="517"/>
        <v>1900</v>
      </c>
    </row>
    <row r="8316" spans="1:10" s="9" customFormat="1" x14ac:dyDescent="0.25">
      <c r="A8316" s="447"/>
      <c r="B8316" s="55" t="str">
        <f t="shared" ref="B8316:B8379" si="518">UPPER(TEXT(A8316,"MMMM"))</f>
        <v>ENERO</v>
      </c>
      <c r="C8316" s="55">
        <f t="shared" ref="C8316:C8379" si="519">WEEKNUM(A8316,16)</f>
        <v>1</v>
      </c>
      <c r="D8316" s="3" t="str">
        <f t="shared" ref="D8316:D8379" si="520">UPPER(TEXT(A8316,"DDDD"))</f>
        <v>SÁBADO</v>
      </c>
      <c r="E8316" s="427"/>
      <c r="F8316" s="31">
        <f>IFERROR(VLOOKUP(E8316,BD!$L$2:$Q$244,2,0),0)</f>
        <v>0</v>
      </c>
      <c r="G8316" s="424"/>
      <c r="H8316" s="31">
        <f>+IFERROR(VLOOKUP(E8316,BD!$L$2:$Q$244,6,0),0)</f>
        <v>0</v>
      </c>
      <c r="I8316" s="626">
        <f>IFERROR(G8316*VLOOKUP($E8316,BD!$L$2:$Q$244,5,0),0)</f>
        <v>0</v>
      </c>
      <c r="J8316" s="3">
        <f t="shared" ref="J8316:J8379" si="521">+YEAR(A8316)</f>
        <v>1900</v>
      </c>
    </row>
    <row r="8317" spans="1:10" s="9" customFormat="1" x14ac:dyDescent="0.25">
      <c r="A8317" s="447"/>
      <c r="B8317" s="55" t="str">
        <f t="shared" si="518"/>
        <v>ENERO</v>
      </c>
      <c r="C8317" s="55">
        <f t="shared" si="519"/>
        <v>1</v>
      </c>
      <c r="D8317" s="3" t="str">
        <f t="shared" si="520"/>
        <v>SÁBADO</v>
      </c>
      <c r="E8317" s="427"/>
      <c r="F8317" s="31">
        <f>IFERROR(VLOOKUP(E8317,BD!$L$2:$Q$244,2,0),0)</f>
        <v>0</v>
      </c>
      <c r="G8317" s="424"/>
      <c r="H8317" s="31">
        <f>+IFERROR(VLOOKUP(E8317,BD!$L$2:$Q$244,6,0),0)</f>
        <v>0</v>
      </c>
      <c r="I8317" s="626">
        <f>IFERROR(G8317*VLOOKUP($E8317,BD!$L$2:$Q$244,5,0),0)</f>
        <v>0</v>
      </c>
      <c r="J8317" s="3">
        <f t="shared" si="521"/>
        <v>1900</v>
      </c>
    </row>
    <row r="8318" spans="1:10" s="9" customFormat="1" x14ac:dyDescent="0.25">
      <c r="A8318" s="447"/>
      <c r="B8318" s="55" t="str">
        <f t="shared" si="518"/>
        <v>ENERO</v>
      </c>
      <c r="C8318" s="55">
        <f t="shared" si="519"/>
        <v>1</v>
      </c>
      <c r="D8318" s="3" t="str">
        <f t="shared" si="520"/>
        <v>SÁBADO</v>
      </c>
      <c r="E8318" s="427"/>
      <c r="F8318" s="31">
        <f>IFERROR(VLOOKUP(E8318,BD!$L$2:$Q$244,2,0),0)</f>
        <v>0</v>
      </c>
      <c r="G8318" s="424"/>
      <c r="H8318" s="31">
        <f>+IFERROR(VLOOKUP(E8318,BD!$L$2:$Q$244,6,0),0)</f>
        <v>0</v>
      </c>
      <c r="I8318" s="626">
        <f>IFERROR(G8318*VLOOKUP($E8318,BD!$L$2:$Q$244,5,0),0)</f>
        <v>0</v>
      </c>
      <c r="J8318" s="3">
        <f t="shared" si="521"/>
        <v>1900</v>
      </c>
    </row>
    <row r="8319" spans="1:10" s="9" customFormat="1" x14ac:dyDescent="0.25">
      <c r="A8319" s="447"/>
      <c r="B8319" s="55" t="str">
        <f t="shared" si="518"/>
        <v>ENERO</v>
      </c>
      <c r="C8319" s="55">
        <f t="shared" si="519"/>
        <v>1</v>
      </c>
      <c r="D8319" s="3" t="str">
        <f t="shared" si="520"/>
        <v>SÁBADO</v>
      </c>
      <c r="E8319" s="427"/>
      <c r="F8319" s="31">
        <f>IFERROR(VLOOKUP(E8319,BD!$L$2:$Q$244,2,0),0)</f>
        <v>0</v>
      </c>
      <c r="G8319" s="424"/>
      <c r="H8319" s="31">
        <f>+IFERROR(VLOOKUP(E8319,BD!$L$2:$Q$244,6,0),0)</f>
        <v>0</v>
      </c>
      <c r="I8319" s="626">
        <f>IFERROR(G8319*VLOOKUP($E8319,BD!$L$2:$Q$244,5,0),0)</f>
        <v>0</v>
      </c>
      <c r="J8319" s="3">
        <f t="shared" si="521"/>
        <v>1900</v>
      </c>
    </row>
    <row r="8320" spans="1:10" s="9" customFormat="1" x14ac:dyDescent="0.25">
      <c r="A8320" s="447"/>
      <c r="B8320" s="55" t="str">
        <f t="shared" si="518"/>
        <v>ENERO</v>
      </c>
      <c r="C8320" s="55">
        <f t="shared" si="519"/>
        <v>1</v>
      </c>
      <c r="D8320" s="3" t="str">
        <f t="shared" si="520"/>
        <v>SÁBADO</v>
      </c>
      <c r="E8320" s="427"/>
      <c r="F8320" s="31">
        <f>IFERROR(VLOOKUP(E8320,BD!$L$2:$Q$244,2,0),0)</f>
        <v>0</v>
      </c>
      <c r="G8320" s="424"/>
      <c r="H8320" s="31">
        <f>+IFERROR(VLOOKUP(E8320,BD!$L$2:$Q$244,6,0),0)</f>
        <v>0</v>
      </c>
      <c r="I8320" s="626">
        <f>IFERROR(G8320*VLOOKUP($E8320,BD!$L$2:$Q$244,5,0),0)</f>
        <v>0</v>
      </c>
      <c r="J8320" s="3">
        <f t="shared" si="521"/>
        <v>1900</v>
      </c>
    </row>
    <row r="8321" spans="1:10" s="9" customFormat="1" x14ac:dyDescent="0.25">
      <c r="A8321" s="447"/>
      <c r="B8321" s="55" t="str">
        <f t="shared" si="518"/>
        <v>ENERO</v>
      </c>
      <c r="C8321" s="55">
        <f t="shared" si="519"/>
        <v>1</v>
      </c>
      <c r="D8321" s="3" t="str">
        <f t="shared" si="520"/>
        <v>SÁBADO</v>
      </c>
      <c r="E8321" s="427"/>
      <c r="F8321" s="31">
        <f>IFERROR(VLOOKUP(E8321,BD!$L$2:$Q$244,2,0),0)</f>
        <v>0</v>
      </c>
      <c r="G8321" s="424"/>
      <c r="H8321" s="31">
        <f>+IFERROR(VLOOKUP(E8321,BD!$L$2:$Q$244,6,0),0)</f>
        <v>0</v>
      </c>
      <c r="I8321" s="626">
        <f>IFERROR(G8321*VLOOKUP($E8321,BD!$L$2:$Q$244,5,0),0)</f>
        <v>0</v>
      </c>
      <c r="J8321" s="3">
        <f t="shared" si="521"/>
        <v>1900</v>
      </c>
    </row>
    <row r="8322" spans="1:10" s="9" customFormat="1" x14ac:dyDescent="0.25">
      <c r="A8322" s="447"/>
      <c r="B8322" s="55" t="str">
        <f t="shared" si="518"/>
        <v>ENERO</v>
      </c>
      <c r="C8322" s="55">
        <f t="shared" si="519"/>
        <v>1</v>
      </c>
      <c r="D8322" s="3" t="str">
        <f t="shared" si="520"/>
        <v>SÁBADO</v>
      </c>
      <c r="E8322" s="427"/>
      <c r="F8322" s="31">
        <f>IFERROR(VLOOKUP(E8322,BD!$L$2:$Q$244,2,0),0)</f>
        <v>0</v>
      </c>
      <c r="G8322" s="424"/>
      <c r="H8322" s="31">
        <f>+IFERROR(VLOOKUP(E8322,BD!$L$2:$Q$244,6,0),0)</f>
        <v>0</v>
      </c>
      <c r="I8322" s="626">
        <f>IFERROR(G8322*VLOOKUP($E8322,BD!$L$2:$Q$244,5,0),0)</f>
        <v>0</v>
      </c>
      <c r="J8322" s="3">
        <f t="shared" si="521"/>
        <v>1900</v>
      </c>
    </row>
    <row r="8323" spans="1:10" s="9" customFormat="1" x14ac:dyDescent="0.25">
      <c r="A8323" s="447"/>
      <c r="B8323" s="55" t="str">
        <f t="shared" si="518"/>
        <v>ENERO</v>
      </c>
      <c r="C8323" s="55">
        <f t="shared" si="519"/>
        <v>1</v>
      </c>
      <c r="D8323" s="3" t="str">
        <f t="shared" si="520"/>
        <v>SÁBADO</v>
      </c>
      <c r="E8323" s="427"/>
      <c r="F8323" s="31">
        <f>IFERROR(VLOOKUP(E8323,BD!$L$2:$Q$244,2,0),0)</f>
        <v>0</v>
      </c>
      <c r="G8323" s="424"/>
      <c r="H8323" s="31">
        <f>+IFERROR(VLOOKUP(E8323,BD!$L$2:$Q$244,6,0),0)</f>
        <v>0</v>
      </c>
      <c r="I8323" s="626">
        <f>IFERROR(G8323*VLOOKUP($E8323,BD!$L$2:$Q$244,5,0),0)</f>
        <v>0</v>
      </c>
      <c r="J8323" s="3">
        <f t="shared" si="521"/>
        <v>1900</v>
      </c>
    </row>
    <row r="8324" spans="1:10" s="9" customFormat="1" x14ac:dyDescent="0.25">
      <c r="A8324" s="447"/>
      <c r="B8324" s="55" t="str">
        <f t="shared" si="518"/>
        <v>ENERO</v>
      </c>
      <c r="C8324" s="55">
        <f t="shared" si="519"/>
        <v>1</v>
      </c>
      <c r="D8324" s="3" t="str">
        <f t="shared" si="520"/>
        <v>SÁBADO</v>
      </c>
      <c r="E8324" s="427"/>
      <c r="F8324" s="31">
        <f>IFERROR(VLOOKUP(E8324,BD!$L$2:$Q$244,2,0),0)</f>
        <v>0</v>
      </c>
      <c r="G8324" s="424"/>
      <c r="H8324" s="31">
        <f>+IFERROR(VLOOKUP(E8324,BD!$L$2:$Q$244,6,0),0)</f>
        <v>0</v>
      </c>
      <c r="I8324" s="626">
        <f>IFERROR(G8324*VLOOKUP($E8324,BD!$L$2:$Q$244,5,0),0)</f>
        <v>0</v>
      </c>
      <c r="J8324" s="3">
        <f t="shared" si="521"/>
        <v>1900</v>
      </c>
    </row>
    <row r="8325" spans="1:10" s="9" customFormat="1" x14ac:dyDescent="0.25">
      <c r="A8325" s="447"/>
      <c r="B8325" s="55" t="str">
        <f t="shared" si="518"/>
        <v>ENERO</v>
      </c>
      <c r="C8325" s="55">
        <f t="shared" si="519"/>
        <v>1</v>
      </c>
      <c r="D8325" s="3" t="str">
        <f t="shared" si="520"/>
        <v>SÁBADO</v>
      </c>
      <c r="E8325" s="427"/>
      <c r="F8325" s="31">
        <f>IFERROR(VLOOKUP(E8325,BD!$L$2:$Q$244,2,0),0)</f>
        <v>0</v>
      </c>
      <c r="G8325" s="424"/>
      <c r="H8325" s="31">
        <f>+IFERROR(VLOOKUP(E8325,BD!$L$2:$Q$244,6,0),0)</f>
        <v>0</v>
      </c>
      <c r="I8325" s="626">
        <f>IFERROR(G8325*VLOOKUP($E8325,BD!$L$2:$Q$244,5,0),0)</f>
        <v>0</v>
      </c>
      <c r="J8325" s="3">
        <f t="shared" si="521"/>
        <v>1900</v>
      </c>
    </row>
    <row r="8326" spans="1:10" s="9" customFormat="1" x14ac:dyDescent="0.25">
      <c r="A8326" s="447"/>
      <c r="B8326" s="55" t="str">
        <f t="shared" si="518"/>
        <v>ENERO</v>
      </c>
      <c r="C8326" s="55">
        <f t="shared" si="519"/>
        <v>1</v>
      </c>
      <c r="D8326" s="3" t="str">
        <f t="shared" si="520"/>
        <v>SÁBADO</v>
      </c>
      <c r="E8326" s="427"/>
      <c r="F8326" s="31">
        <f>IFERROR(VLOOKUP(E8326,BD!$L$2:$Q$244,2,0),0)</f>
        <v>0</v>
      </c>
      <c r="G8326" s="424"/>
      <c r="H8326" s="31">
        <f>+IFERROR(VLOOKUP(E8326,BD!$L$2:$Q$244,6,0),0)</f>
        <v>0</v>
      </c>
      <c r="I8326" s="626">
        <f>IFERROR(G8326*VLOOKUP($E8326,BD!$L$2:$Q$244,5,0),0)</f>
        <v>0</v>
      </c>
      <c r="J8326" s="3">
        <f t="shared" si="521"/>
        <v>1900</v>
      </c>
    </row>
    <row r="8327" spans="1:10" s="9" customFormat="1" x14ac:dyDescent="0.25">
      <c r="A8327" s="447"/>
      <c r="B8327" s="55" t="str">
        <f t="shared" si="518"/>
        <v>ENERO</v>
      </c>
      <c r="C8327" s="55">
        <f t="shared" si="519"/>
        <v>1</v>
      </c>
      <c r="D8327" s="3" t="str">
        <f t="shared" si="520"/>
        <v>SÁBADO</v>
      </c>
      <c r="E8327" s="427"/>
      <c r="F8327" s="31">
        <f>IFERROR(VLOOKUP(E8327,BD!$L$2:$Q$244,2,0),0)</f>
        <v>0</v>
      </c>
      <c r="G8327" s="424"/>
      <c r="H8327" s="31">
        <f>+IFERROR(VLOOKUP(E8327,BD!$L$2:$Q$244,6,0),0)</f>
        <v>0</v>
      </c>
      <c r="I8327" s="626">
        <f>IFERROR(G8327*VLOOKUP($E8327,BD!$L$2:$Q$244,5,0),0)</f>
        <v>0</v>
      </c>
      <c r="J8327" s="3">
        <f t="shared" si="521"/>
        <v>1900</v>
      </c>
    </row>
    <row r="8328" spans="1:10" s="9" customFormat="1" x14ac:dyDescent="0.25">
      <c r="A8328" s="447"/>
      <c r="B8328" s="55" t="str">
        <f t="shared" si="518"/>
        <v>ENERO</v>
      </c>
      <c r="C8328" s="55">
        <f t="shared" si="519"/>
        <v>1</v>
      </c>
      <c r="D8328" s="3" t="str">
        <f t="shared" si="520"/>
        <v>SÁBADO</v>
      </c>
      <c r="E8328" s="427"/>
      <c r="F8328" s="31">
        <f>IFERROR(VLOOKUP(E8328,BD!$L$2:$Q$244,2,0),0)</f>
        <v>0</v>
      </c>
      <c r="G8328" s="424"/>
      <c r="H8328" s="31">
        <f>+IFERROR(VLOOKUP(E8328,BD!$L$2:$Q$244,6,0),0)</f>
        <v>0</v>
      </c>
      <c r="I8328" s="626">
        <f>IFERROR(G8328*VLOOKUP($E8328,BD!$L$2:$Q$244,5,0),0)</f>
        <v>0</v>
      </c>
      <c r="J8328" s="3">
        <f t="shared" si="521"/>
        <v>1900</v>
      </c>
    </row>
    <row r="8329" spans="1:10" s="9" customFormat="1" x14ac:dyDescent="0.25">
      <c r="A8329" s="447"/>
      <c r="B8329" s="55" t="str">
        <f t="shared" si="518"/>
        <v>ENERO</v>
      </c>
      <c r="C8329" s="55">
        <f t="shared" si="519"/>
        <v>1</v>
      </c>
      <c r="D8329" s="3" t="str">
        <f t="shared" si="520"/>
        <v>SÁBADO</v>
      </c>
      <c r="E8329" s="427"/>
      <c r="F8329" s="31">
        <f>IFERROR(VLOOKUP(E8329,BD!$L$2:$Q$244,2,0),0)</f>
        <v>0</v>
      </c>
      <c r="G8329" s="424"/>
      <c r="H8329" s="31">
        <f>+IFERROR(VLOOKUP(E8329,BD!$L$2:$Q$244,6,0),0)</f>
        <v>0</v>
      </c>
      <c r="I8329" s="626">
        <f>IFERROR(G8329*VLOOKUP($E8329,BD!$L$2:$Q$244,5,0),0)</f>
        <v>0</v>
      </c>
      <c r="J8329" s="3">
        <f t="shared" si="521"/>
        <v>1900</v>
      </c>
    </row>
    <row r="8330" spans="1:10" s="9" customFormat="1" x14ac:dyDescent="0.25">
      <c r="A8330" s="447"/>
      <c r="B8330" s="55" t="str">
        <f t="shared" si="518"/>
        <v>ENERO</v>
      </c>
      <c r="C8330" s="55">
        <f t="shared" si="519"/>
        <v>1</v>
      </c>
      <c r="D8330" s="3" t="str">
        <f t="shared" si="520"/>
        <v>SÁBADO</v>
      </c>
      <c r="E8330" s="427"/>
      <c r="F8330" s="31">
        <f>IFERROR(VLOOKUP(E8330,BD!$L$2:$Q$244,2,0),0)</f>
        <v>0</v>
      </c>
      <c r="G8330" s="424"/>
      <c r="H8330" s="31">
        <f>+IFERROR(VLOOKUP(E8330,BD!$L$2:$Q$244,6,0),0)</f>
        <v>0</v>
      </c>
      <c r="I8330" s="626">
        <f>IFERROR(G8330*VLOOKUP($E8330,BD!$L$2:$Q$244,5,0),0)</f>
        <v>0</v>
      </c>
      <c r="J8330" s="3">
        <f t="shared" si="521"/>
        <v>1900</v>
      </c>
    </row>
    <row r="8331" spans="1:10" s="9" customFormat="1" x14ac:dyDescent="0.25">
      <c r="A8331" s="447"/>
      <c r="B8331" s="55" t="str">
        <f t="shared" si="518"/>
        <v>ENERO</v>
      </c>
      <c r="C8331" s="55">
        <f t="shared" si="519"/>
        <v>1</v>
      </c>
      <c r="D8331" s="3" t="str">
        <f t="shared" si="520"/>
        <v>SÁBADO</v>
      </c>
      <c r="E8331" s="427"/>
      <c r="F8331" s="31">
        <f>IFERROR(VLOOKUP(E8331,BD!$L$2:$Q$244,2,0),0)</f>
        <v>0</v>
      </c>
      <c r="G8331" s="424"/>
      <c r="H8331" s="31">
        <f>+IFERROR(VLOOKUP(E8331,BD!$L$2:$Q$244,6,0),0)</f>
        <v>0</v>
      </c>
      <c r="I8331" s="626">
        <f>IFERROR(G8331*VLOOKUP($E8331,BD!$L$2:$Q$244,5,0),0)</f>
        <v>0</v>
      </c>
      <c r="J8331" s="3">
        <f t="shared" si="521"/>
        <v>1900</v>
      </c>
    </row>
    <row r="8332" spans="1:10" s="9" customFormat="1" x14ac:dyDescent="0.25">
      <c r="A8332" s="447"/>
      <c r="B8332" s="55" t="str">
        <f t="shared" si="518"/>
        <v>ENERO</v>
      </c>
      <c r="C8332" s="55">
        <f t="shared" si="519"/>
        <v>1</v>
      </c>
      <c r="D8332" s="3" t="str">
        <f t="shared" si="520"/>
        <v>SÁBADO</v>
      </c>
      <c r="E8332" s="427"/>
      <c r="F8332" s="31">
        <f>IFERROR(VLOOKUP(E8332,BD!$L$2:$Q$244,2,0),0)</f>
        <v>0</v>
      </c>
      <c r="G8332" s="424"/>
      <c r="H8332" s="31">
        <f>+IFERROR(VLOOKUP(E8332,BD!$L$2:$Q$244,6,0),0)</f>
        <v>0</v>
      </c>
      <c r="I8332" s="626">
        <f>IFERROR(G8332*VLOOKUP($E8332,BD!$L$2:$Q$244,5,0),0)</f>
        <v>0</v>
      </c>
      <c r="J8332" s="3">
        <f t="shared" si="521"/>
        <v>1900</v>
      </c>
    </row>
    <row r="8333" spans="1:10" s="9" customFormat="1" x14ac:dyDescent="0.25">
      <c r="A8333" s="447"/>
      <c r="B8333" s="55" t="str">
        <f t="shared" si="518"/>
        <v>ENERO</v>
      </c>
      <c r="C8333" s="55">
        <f t="shared" si="519"/>
        <v>1</v>
      </c>
      <c r="D8333" s="3" t="str">
        <f t="shared" si="520"/>
        <v>SÁBADO</v>
      </c>
      <c r="E8333" s="427"/>
      <c r="F8333" s="31">
        <f>IFERROR(VLOOKUP(E8333,BD!$L$2:$Q$244,2,0),0)</f>
        <v>0</v>
      </c>
      <c r="G8333" s="424"/>
      <c r="H8333" s="31">
        <f>+IFERROR(VLOOKUP(E8333,BD!$L$2:$Q$244,6,0),0)</f>
        <v>0</v>
      </c>
      <c r="I8333" s="626">
        <f>IFERROR(G8333*VLOOKUP($E8333,BD!$L$2:$Q$244,5,0),0)</f>
        <v>0</v>
      </c>
      <c r="J8333" s="3">
        <f t="shared" si="521"/>
        <v>1900</v>
      </c>
    </row>
    <row r="8334" spans="1:10" s="9" customFormat="1" x14ac:dyDescent="0.25">
      <c r="A8334" s="447"/>
      <c r="B8334" s="55" t="str">
        <f t="shared" si="518"/>
        <v>ENERO</v>
      </c>
      <c r="C8334" s="55">
        <f t="shared" si="519"/>
        <v>1</v>
      </c>
      <c r="D8334" s="3" t="str">
        <f t="shared" si="520"/>
        <v>SÁBADO</v>
      </c>
      <c r="E8334" s="427"/>
      <c r="F8334" s="31">
        <f>IFERROR(VLOOKUP(E8334,BD!$L$2:$Q$244,2,0),0)</f>
        <v>0</v>
      </c>
      <c r="G8334" s="424"/>
      <c r="H8334" s="31">
        <f>+IFERROR(VLOOKUP(E8334,BD!$L$2:$Q$244,6,0),0)</f>
        <v>0</v>
      </c>
      <c r="I8334" s="626">
        <f>IFERROR(G8334*VLOOKUP($E8334,BD!$L$2:$Q$244,5,0),0)</f>
        <v>0</v>
      </c>
      <c r="J8334" s="3">
        <f t="shared" si="521"/>
        <v>1900</v>
      </c>
    </row>
    <row r="8335" spans="1:10" s="9" customFormat="1" x14ac:dyDescent="0.25">
      <c r="A8335" s="447"/>
      <c r="B8335" s="55" t="str">
        <f t="shared" si="518"/>
        <v>ENERO</v>
      </c>
      <c r="C8335" s="55">
        <f t="shared" si="519"/>
        <v>1</v>
      </c>
      <c r="D8335" s="3" t="str">
        <f t="shared" si="520"/>
        <v>SÁBADO</v>
      </c>
      <c r="E8335" s="427"/>
      <c r="F8335" s="31">
        <f>IFERROR(VLOOKUP(E8335,BD!$L$2:$Q$244,2,0),0)</f>
        <v>0</v>
      </c>
      <c r="G8335" s="424"/>
      <c r="H8335" s="31">
        <f>+IFERROR(VLOOKUP(E8335,BD!$L$2:$Q$244,6,0),0)</f>
        <v>0</v>
      </c>
      <c r="I8335" s="626">
        <f>IFERROR(G8335*VLOOKUP($E8335,BD!$L$2:$Q$244,5,0),0)</f>
        <v>0</v>
      </c>
      <c r="J8335" s="3">
        <f t="shared" si="521"/>
        <v>1900</v>
      </c>
    </row>
    <row r="8336" spans="1:10" s="9" customFormat="1" x14ac:dyDescent="0.25">
      <c r="A8336" s="447"/>
      <c r="B8336" s="55" t="str">
        <f t="shared" si="518"/>
        <v>ENERO</v>
      </c>
      <c r="C8336" s="55">
        <f t="shared" si="519"/>
        <v>1</v>
      </c>
      <c r="D8336" s="3" t="str">
        <f t="shared" si="520"/>
        <v>SÁBADO</v>
      </c>
      <c r="E8336" s="427"/>
      <c r="F8336" s="31">
        <f>IFERROR(VLOOKUP(E8336,BD!$L$2:$Q$244,2,0),0)</f>
        <v>0</v>
      </c>
      <c r="G8336" s="424"/>
      <c r="H8336" s="31">
        <f>+IFERROR(VLOOKUP(E8336,BD!$L$2:$Q$244,6,0),0)</f>
        <v>0</v>
      </c>
      <c r="I8336" s="626">
        <f>IFERROR(G8336*VLOOKUP($E8336,BD!$L$2:$Q$244,5,0),0)</f>
        <v>0</v>
      </c>
      <c r="J8336" s="3">
        <f t="shared" si="521"/>
        <v>1900</v>
      </c>
    </row>
    <row r="8337" spans="1:10" s="9" customFormat="1" x14ac:dyDescent="0.25">
      <c r="A8337" s="447"/>
      <c r="B8337" s="55" t="str">
        <f t="shared" si="518"/>
        <v>ENERO</v>
      </c>
      <c r="C8337" s="55">
        <f t="shared" si="519"/>
        <v>1</v>
      </c>
      <c r="D8337" s="3" t="str">
        <f t="shared" si="520"/>
        <v>SÁBADO</v>
      </c>
      <c r="E8337" s="427"/>
      <c r="F8337" s="31">
        <f>IFERROR(VLOOKUP(E8337,BD!$L$2:$Q$244,2,0),0)</f>
        <v>0</v>
      </c>
      <c r="G8337" s="424"/>
      <c r="H8337" s="31">
        <f>+IFERROR(VLOOKUP(E8337,BD!$L$2:$Q$244,6,0),0)</f>
        <v>0</v>
      </c>
      <c r="I8337" s="626">
        <f>IFERROR(G8337*VLOOKUP($E8337,BD!$L$2:$Q$244,5,0),0)</f>
        <v>0</v>
      </c>
      <c r="J8337" s="3">
        <f t="shared" si="521"/>
        <v>1900</v>
      </c>
    </row>
    <row r="8338" spans="1:10" s="9" customFormat="1" x14ac:dyDescent="0.25">
      <c r="A8338" s="447"/>
      <c r="B8338" s="55" t="str">
        <f t="shared" si="518"/>
        <v>ENERO</v>
      </c>
      <c r="C8338" s="55">
        <f t="shared" si="519"/>
        <v>1</v>
      </c>
      <c r="D8338" s="3" t="str">
        <f t="shared" si="520"/>
        <v>SÁBADO</v>
      </c>
      <c r="E8338" s="427"/>
      <c r="F8338" s="31">
        <f>IFERROR(VLOOKUP(E8338,BD!$L$2:$Q$244,2,0),0)</f>
        <v>0</v>
      </c>
      <c r="G8338" s="424"/>
      <c r="H8338" s="31">
        <f>+IFERROR(VLOOKUP(E8338,BD!$L$2:$Q$244,6,0),0)</f>
        <v>0</v>
      </c>
      <c r="I8338" s="626">
        <f>IFERROR(G8338*VLOOKUP($E8338,BD!$L$2:$Q$244,5,0),0)</f>
        <v>0</v>
      </c>
      <c r="J8338" s="3">
        <f t="shared" si="521"/>
        <v>1900</v>
      </c>
    </row>
    <row r="8339" spans="1:10" s="9" customFormat="1" x14ac:dyDescent="0.25">
      <c r="A8339" s="447"/>
      <c r="B8339" s="55" t="str">
        <f t="shared" si="518"/>
        <v>ENERO</v>
      </c>
      <c r="C8339" s="55">
        <f t="shared" si="519"/>
        <v>1</v>
      </c>
      <c r="D8339" s="3" t="str">
        <f t="shared" si="520"/>
        <v>SÁBADO</v>
      </c>
      <c r="E8339" s="427"/>
      <c r="F8339" s="31">
        <f>IFERROR(VLOOKUP(E8339,BD!$L$2:$Q$244,2,0),0)</f>
        <v>0</v>
      </c>
      <c r="G8339" s="424"/>
      <c r="H8339" s="31">
        <f>+IFERROR(VLOOKUP(E8339,BD!$L$2:$Q$244,6,0),0)</f>
        <v>0</v>
      </c>
      <c r="I8339" s="626">
        <f>IFERROR(G8339*VLOOKUP($E8339,BD!$L$2:$Q$244,5,0),0)</f>
        <v>0</v>
      </c>
      <c r="J8339" s="3">
        <f t="shared" si="521"/>
        <v>1900</v>
      </c>
    </row>
    <row r="8340" spans="1:10" s="9" customFormat="1" x14ac:dyDescent="0.25">
      <c r="A8340" s="447"/>
      <c r="B8340" s="55" t="str">
        <f t="shared" si="518"/>
        <v>ENERO</v>
      </c>
      <c r="C8340" s="55">
        <f t="shared" si="519"/>
        <v>1</v>
      </c>
      <c r="D8340" s="3" t="str">
        <f t="shared" si="520"/>
        <v>SÁBADO</v>
      </c>
      <c r="E8340" s="427"/>
      <c r="F8340" s="31">
        <f>IFERROR(VLOOKUP(E8340,BD!$L$2:$Q$244,2,0),0)</f>
        <v>0</v>
      </c>
      <c r="G8340" s="424"/>
      <c r="H8340" s="31">
        <f>+IFERROR(VLOOKUP(E8340,BD!$L$2:$Q$244,6,0),0)</f>
        <v>0</v>
      </c>
      <c r="I8340" s="626">
        <f>IFERROR(G8340*VLOOKUP($E8340,BD!$L$2:$Q$244,5,0),0)</f>
        <v>0</v>
      </c>
      <c r="J8340" s="3">
        <f t="shared" si="521"/>
        <v>1900</v>
      </c>
    </row>
    <row r="8341" spans="1:10" s="9" customFormat="1" x14ac:dyDescent="0.25">
      <c r="A8341" s="447"/>
      <c r="B8341" s="55" t="str">
        <f t="shared" si="518"/>
        <v>ENERO</v>
      </c>
      <c r="C8341" s="55">
        <f t="shared" si="519"/>
        <v>1</v>
      </c>
      <c r="D8341" s="3" t="str">
        <f t="shared" si="520"/>
        <v>SÁBADO</v>
      </c>
      <c r="E8341" s="427"/>
      <c r="F8341" s="31">
        <f>IFERROR(VLOOKUP(E8341,BD!$L$2:$Q$244,2,0),0)</f>
        <v>0</v>
      </c>
      <c r="G8341" s="424"/>
      <c r="H8341" s="31">
        <f>+IFERROR(VLOOKUP(E8341,BD!$L$2:$Q$244,6,0),0)</f>
        <v>0</v>
      </c>
      <c r="I8341" s="626">
        <f>IFERROR(G8341*VLOOKUP($E8341,BD!$L$2:$Q$244,5,0),0)</f>
        <v>0</v>
      </c>
      <c r="J8341" s="3">
        <f t="shared" si="521"/>
        <v>1900</v>
      </c>
    </row>
    <row r="8342" spans="1:10" s="9" customFormat="1" x14ac:dyDescent="0.25">
      <c r="A8342" s="447"/>
      <c r="B8342" s="55" t="str">
        <f t="shared" si="518"/>
        <v>ENERO</v>
      </c>
      <c r="C8342" s="55">
        <f t="shared" si="519"/>
        <v>1</v>
      </c>
      <c r="D8342" s="3" t="str">
        <f t="shared" si="520"/>
        <v>SÁBADO</v>
      </c>
      <c r="E8342" s="427"/>
      <c r="F8342" s="31">
        <f>IFERROR(VLOOKUP(E8342,BD!$L$2:$Q$244,2,0),0)</f>
        <v>0</v>
      </c>
      <c r="G8342" s="424"/>
      <c r="H8342" s="31">
        <f>+IFERROR(VLOOKUP(E8342,BD!$L$2:$Q$244,6,0),0)</f>
        <v>0</v>
      </c>
      <c r="I8342" s="626">
        <f>IFERROR(G8342*VLOOKUP($E8342,BD!$L$2:$Q$244,5,0),0)</f>
        <v>0</v>
      </c>
      <c r="J8342" s="3">
        <f t="shared" si="521"/>
        <v>1900</v>
      </c>
    </row>
    <row r="8343" spans="1:10" s="9" customFormat="1" x14ac:dyDescent="0.25">
      <c r="A8343" s="447"/>
      <c r="B8343" s="55" t="str">
        <f t="shared" si="518"/>
        <v>ENERO</v>
      </c>
      <c r="C8343" s="55">
        <f t="shared" si="519"/>
        <v>1</v>
      </c>
      <c r="D8343" s="3" t="str">
        <f t="shared" si="520"/>
        <v>SÁBADO</v>
      </c>
      <c r="E8343" s="427"/>
      <c r="F8343" s="31">
        <f>IFERROR(VLOOKUP(E8343,BD!$L$2:$Q$244,2,0),0)</f>
        <v>0</v>
      </c>
      <c r="G8343" s="424"/>
      <c r="H8343" s="31">
        <f>+IFERROR(VLOOKUP(E8343,BD!$L$2:$Q$244,6,0),0)</f>
        <v>0</v>
      </c>
      <c r="I8343" s="626">
        <f>IFERROR(G8343*VLOOKUP($E8343,BD!$L$2:$Q$244,5,0),0)</f>
        <v>0</v>
      </c>
      <c r="J8343" s="3">
        <f t="shared" si="521"/>
        <v>1900</v>
      </c>
    </row>
    <row r="8344" spans="1:10" s="9" customFormat="1" x14ac:dyDescent="0.25">
      <c r="A8344" s="447"/>
      <c r="B8344" s="55" t="str">
        <f t="shared" si="518"/>
        <v>ENERO</v>
      </c>
      <c r="C8344" s="55">
        <f t="shared" si="519"/>
        <v>1</v>
      </c>
      <c r="D8344" s="3" t="str">
        <f t="shared" si="520"/>
        <v>SÁBADO</v>
      </c>
      <c r="E8344" s="427"/>
      <c r="F8344" s="31">
        <f>IFERROR(VLOOKUP(E8344,BD!$L$2:$Q$244,2,0),0)</f>
        <v>0</v>
      </c>
      <c r="G8344" s="424"/>
      <c r="H8344" s="31">
        <f>+IFERROR(VLOOKUP(E8344,BD!$L$2:$Q$244,6,0),0)</f>
        <v>0</v>
      </c>
      <c r="I8344" s="626">
        <f>IFERROR(G8344*VLOOKUP($E8344,BD!$L$2:$Q$244,5,0),0)</f>
        <v>0</v>
      </c>
      <c r="J8344" s="3">
        <f t="shared" si="521"/>
        <v>1900</v>
      </c>
    </row>
    <row r="8345" spans="1:10" s="9" customFormat="1" x14ac:dyDescent="0.25">
      <c r="A8345" s="447"/>
      <c r="B8345" s="55" t="str">
        <f t="shared" si="518"/>
        <v>ENERO</v>
      </c>
      <c r="C8345" s="55">
        <f t="shared" si="519"/>
        <v>1</v>
      </c>
      <c r="D8345" s="3" t="str">
        <f t="shared" si="520"/>
        <v>SÁBADO</v>
      </c>
      <c r="E8345" s="427"/>
      <c r="F8345" s="31">
        <f>IFERROR(VLOOKUP(E8345,BD!$L$2:$Q$244,2,0),0)</f>
        <v>0</v>
      </c>
      <c r="G8345" s="424"/>
      <c r="H8345" s="31">
        <f>+IFERROR(VLOOKUP(E8345,BD!$L$2:$Q$244,6,0),0)</f>
        <v>0</v>
      </c>
      <c r="I8345" s="626">
        <f>IFERROR(G8345*VLOOKUP($E8345,BD!$L$2:$Q$244,5,0),0)</f>
        <v>0</v>
      </c>
      <c r="J8345" s="3">
        <f t="shared" si="521"/>
        <v>1900</v>
      </c>
    </row>
    <row r="8346" spans="1:10" s="9" customFormat="1" x14ac:dyDescent="0.25">
      <c r="A8346" s="447"/>
      <c r="B8346" s="55" t="str">
        <f t="shared" si="518"/>
        <v>ENERO</v>
      </c>
      <c r="C8346" s="55">
        <f t="shared" si="519"/>
        <v>1</v>
      </c>
      <c r="D8346" s="3" t="str">
        <f t="shared" si="520"/>
        <v>SÁBADO</v>
      </c>
      <c r="E8346" s="427"/>
      <c r="F8346" s="31">
        <f>IFERROR(VLOOKUP(E8346,BD!$L$2:$Q$244,2,0),0)</f>
        <v>0</v>
      </c>
      <c r="G8346" s="424"/>
      <c r="H8346" s="31">
        <f>+IFERROR(VLOOKUP(E8346,BD!$L$2:$Q$244,6,0),0)</f>
        <v>0</v>
      </c>
      <c r="I8346" s="626">
        <f>IFERROR(G8346*VLOOKUP($E8346,BD!$L$2:$Q$244,5,0),0)</f>
        <v>0</v>
      </c>
      <c r="J8346" s="3">
        <f t="shared" si="521"/>
        <v>1900</v>
      </c>
    </row>
    <row r="8347" spans="1:10" s="9" customFormat="1" x14ac:dyDescent="0.25">
      <c r="A8347" s="447"/>
      <c r="B8347" s="55" t="str">
        <f t="shared" si="518"/>
        <v>ENERO</v>
      </c>
      <c r="C8347" s="55">
        <f t="shared" si="519"/>
        <v>1</v>
      </c>
      <c r="D8347" s="3" t="str">
        <f t="shared" si="520"/>
        <v>SÁBADO</v>
      </c>
      <c r="E8347" s="427"/>
      <c r="F8347" s="31">
        <f>IFERROR(VLOOKUP(E8347,BD!$L$2:$Q$244,2,0),0)</f>
        <v>0</v>
      </c>
      <c r="G8347" s="424"/>
      <c r="H8347" s="31">
        <f>+IFERROR(VLOOKUP(E8347,BD!$L$2:$Q$244,6,0),0)</f>
        <v>0</v>
      </c>
      <c r="I8347" s="626">
        <f>IFERROR(G8347*VLOOKUP($E8347,BD!$L$2:$Q$244,5,0),0)</f>
        <v>0</v>
      </c>
      <c r="J8347" s="3">
        <f t="shared" si="521"/>
        <v>1900</v>
      </c>
    </row>
    <row r="8348" spans="1:10" s="9" customFormat="1" x14ac:dyDescent="0.25">
      <c r="A8348" s="447"/>
      <c r="B8348" s="55" t="str">
        <f t="shared" si="518"/>
        <v>ENERO</v>
      </c>
      <c r="C8348" s="55">
        <f t="shared" si="519"/>
        <v>1</v>
      </c>
      <c r="D8348" s="3" t="str">
        <f t="shared" si="520"/>
        <v>SÁBADO</v>
      </c>
      <c r="E8348" s="427"/>
      <c r="F8348" s="31">
        <f>IFERROR(VLOOKUP(E8348,BD!$L$2:$Q$244,2,0),0)</f>
        <v>0</v>
      </c>
      <c r="G8348" s="424"/>
      <c r="H8348" s="31">
        <f>+IFERROR(VLOOKUP(E8348,BD!$L$2:$Q$244,6,0),0)</f>
        <v>0</v>
      </c>
      <c r="I8348" s="626">
        <f>IFERROR(G8348*VLOOKUP($E8348,BD!$L$2:$Q$244,5,0),0)</f>
        <v>0</v>
      </c>
      <c r="J8348" s="3">
        <f t="shared" si="521"/>
        <v>1900</v>
      </c>
    </row>
    <row r="8349" spans="1:10" s="9" customFormat="1" x14ac:dyDescent="0.25">
      <c r="A8349" s="447"/>
      <c r="B8349" s="55" t="str">
        <f t="shared" si="518"/>
        <v>ENERO</v>
      </c>
      <c r="C8349" s="55">
        <f t="shared" si="519"/>
        <v>1</v>
      </c>
      <c r="D8349" s="3" t="str">
        <f t="shared" si="520"/>
        <v>SÁBADO</v>
      </c>
      <c r="E8349" s="427"/>
      <c r="F8349" s="31">
        <f>IFERROR(VLOOKUP(E8349,BD!$L$2:$Q$244,2,0),0)</f>
        <v>0</v>
      </c>
      <c r="G8349" s="424"/>
      <c r="H8349" s="31">
        <f>+IFERROR(VLOOKUP(E8349,BD!$L$2:$Q$244,6,0),0)</f>
        <v>0</v>
      </c>
      <c r="I8349" s="626">
        <f>IFERROR(G8349*VLOOKUP($E8349,BD!$L$2:$Q$244,5,0),0)</f>
        <v>0</v>
      </c>
      <c r="J8349" s="3">
        <f t="shared" si="521"/>
        <v>1900</v>
      </c>
    </row>
    <row r="8350" spans="1:10" s="9" customFormat="1" x14ac:dyDescent="0.25">
      <c r="A8350" s="447"/>
      <c r="B8350" s="55" t="str">
        <f t="shared" si="518"/>
        <v>ENERO</v>
      </c>
      <c r="C8350" s="55">
        <f t="shared" si="519"/>
        <v>1</v>
      </c>
      <c r="D8350" s="3" t="str">
        <f t="shared" si="520"/>
        <v>SÁBADO</v>
      </c>
      <c r="E8350" s="427"/>
      <c r="F8350" s="31">
        <f>IFERROR(VLOOKUP(E8350,BD!$L$2:$Q$244,2,0),0)</f>
        <v>0</v>
      </c>
      <c r="G8350" s="424"/>
      <c r="H8350" s="31">
        <f>+IFERROR(VLOOKUP(E8350,BD!$L$2:$Q$244,6,0),0)</f>
        <v>0</v>
      </c>
      <c r="I8350" s="626">
        <f>IFERROR(G8350*VLOOKUP($E8350,BD!$L$2:$Q$244,5,0),0)</f>
        <v>0</v>
      </c>
      <c r="J8350" s="3">
        <f t="shared" si="521"/>
        <v>1900</v>
      </c>
    </row>
    <row r="8351" spans="1:10" s="9" customFormat="1" x14ac:dyDescent="0.25">
      <c r="A8351" s="447"/>
      <c r="B8351" s="55" t="str">
        <f t="shared" si="518"/>
        <v>ENERO</v>
      </c>
      <c r="C8351" s="55">
        <f t="shared" si="519"/>
        <v>1</v>
      </c>
      <c r="D8351" s="3" t="str">
        <f t="shared" si="520"/>
        <v>SÁBADO</v>
      </c>
      <c r="E8351" s="427"/>
      <c r="F8351" s="31">
        <f>IFERROR(VLOOKUP(E8351,BD!$L$2:$Q$244,2,0),0)</f>
        <v>0</v>
      </c>
      <c r="G8351" s="424"/>
      <c r="H8351" s="31">
        <f>+IFERROR(VLOOKUP(E8351,BD!$L$2:$Q$244,6,0),0)</f>
        <v>0</v>
      </c>
      <c r="I8351" s="626">
        <f>IFERROR(G8351*VLOOKUP($E8351,BD!$L$2:$Q$244,5,0),0)</f>
        <v>0</v>
      </c>
      <c r="J8351" s="3">
        <f t="shared" si="521"/>
        <v>1900</v>
      </c>
    </row>
    <row r="8352" spans="1:10" s="9" customFormat="1" x14ac:dyDescent="0.25">
      <c r="A8352" s="447"/>
      <c r="B8352" s="55" t="str">
        <f t="shared" si="518"/>
        <v>ENERO</v>
      </c>
      <c r="C8352" s="55">
        <f t="shared" si="519"/>
        <v>1</v>
      </c>
      <c r="D8352" s="3" t="str">
        <f t="shared" si="520"/>
        <v>SÁBADO</v>
      </c>
      <c r="E8352" s="427"/>
      <c r="F8352" s="31">
        <f>IFERROR(VLOOKUP(E8352,BD!$L$2:$Q$244,2,0),0)</f>
        <v>0</v>
      </c>
      <c r="G8352" s="424"/>
      <c r="H8352" s="31">
        <f>+IFERROR(VLOOKUP(E8352,BD!$L$2:$Q$244,6,0),0)</f>
        <v>0</v>
      </c>
      <c r="I8352" s="626">
        <f>IFERROR(G8352*VLOOKUP($E8352,BD!$L$2:$Q$244,5,0),0)</f>
        <v>0</v>
      </c>
      <c r="J8352" s="3">
        <f t="shared" si="521"/>
        <v>1900</v>
      </c>
    </row>
    <row r="8353" spans="1:10" s="9" customFormat="1" x14ac:dyDescent="0.25">
      <c r="A8353" s="447"/>
      <c r="B8353" s="55" t="str">
        <f t="shared" si="518"/>
        <v>ENERO</v>
      </c>
      <c r="C8353" s="55">
        <f t="shared" si="519"/>
        <v>1</v>
      </c>
      <c r="D8353" s="3" t="str">
        <f t="shared" si="520"/>
        <v>SÁBADO</v>
      </c>
      <c r="E8353" s="427"/>
      <c r="F8353" s="31">
        <f>IFERROR(VLOOKUP(E8353,BD!$L$2:$Q$244,2,0),0)</f>
        <v>0</v>
      </c>
      <c r="G8353" s="424"/>
      <c r="H8353" s="31">
        <f>+IFERROR(VLOOKUP(E8353,BD!$L$2:$Q$244,6,0),0)</f>
        <v>0</v>
      </c>
      <c r="I8353" s="626">
        <f>IFERROR(G8353*VLOOKUP($E8353,BD!$L$2:$Q$244,5,0),0)</f>
        <v>0</v>
      </c>
      <c r="J8353" s="3">
        <f t="shared" si="521"/>
        <v>1900</v>
      </c>
    </row>
    <row r="8354" spans="1:10" s="9" customFormat="1" x14ac:dyDescent="0.25">
      <c r="A8354" s="447"/>
      <c r="B8354" s="55" t="str">
        <f t="shared" si="518"/>
        <v>ENERO</v>
      </c>
      <c r="C8354" s="55">
        <f t="shared" si="519"/>
        <v>1</v>
      </c>
      <c r="D8354" s="3" t="str">
        <f t="shared" si="520"/>
        <v>SÁBADO</v>
      </c>
      <c r="E8354" s="427"/>
      <c r="F8354" s="31">
        <f>IFERROR(VLOOKUP(E8354,BD!$L$2:$Q$244,2,0),0)</f>
        <v>0</v>
      </c>
      <c r="G8354" s="424"/>
      <c r="H8354" s="31">
        <f>+IFERROR(VLOOKUP(E8354,BD!$L$2:$Q$244,6,0),0)</f>
        <v>0</v>
      </c>
      <c r="I8354" s="626">
        <f>IFERROR(G8354*VLOOKUP($E8354,BD!$L$2:$Q$244,5,0),0)</f>
        <v>0</v>
      </c>
      <c r="J8354" s="3">
        <f t="shared" si="521"/>
        <v>1900</v>
      </c>
    </row>
    <row r="8355" spans="1:10" s="9" customFormat="1" x14ac:dyDescent="0.25">
      <c r="A8355" s="447"/>
      <c r="B8355" s="55" t="str">
        <f t="shared" si="518"/>
        <v>ENERO</v>
      </c>
      <c r="C8355" s="55">
        <f t="shared" si="519"/>
        <v>1</v>
      </c>
      <c r="D8355" s="3" t="str">
        <f t="shared" si="520"/>
        <v>SÁBADO</v>
      </c>
      <c r="E8355" s="427"/>
      <c r="F8355" s="31">
        <f>IFERROR(VLOOKUP(E8355,BD!$L$2:$Q$244,2,0),0)</f>
        <v>0</v>
      </c>
      <c r="G8355" s="424"/>
      <c r="H8355" s="31">
        <f>+IFERROR(VLOOKUP(E8355,BD!$L$2:$Q$244,6,0),0)</f>
        <v>0</v>
      </c>
      <c r="I8355" s="626">
        <f>IFERROR(G8355*VLOOKUP($E8355,BD!$L$2:$Q$244,5,0),0)</f>
        <v>0</v>
      </c>
      <c r="J8355" s="3">
        <f t="shared" si="521"/>
        <v>1900</v>
      </c>
    </row>
    <row r="8356" spans="1:10" s="9" customFormat="1" x14ac:dyDescent="0.25">
      <c r="A8356" s="447"/>
      <c r="B8356" s="55" t="str">
        <f t="shared" si="518"/>
        <v>ENERO</v>
      </c>
      <c r="C8356" s="55">
        <f t="shared" si="519"/>
        <v>1</v>
      </c>
      <c r="D8356" s="3" t="str">
        <f t="shared" si="520"/>
        <v>SÁBADO</v>
      </c>
      <c r="E8356" s="427"/>
      <c r="F8356" s="31">
        <f>IFERROR(VLOOKUP(E8356,BD!$L$2:$Q$244,2,0),0)</f>
        <v>0</v>
      </c>
      <c r="G8356" s="424"/>
      <c r="H8356" s="31">
        <f>+IFERROR(VLOOKUP(E8356,BD!$L$2:$Q$244,6,0),0)</f>
        <v>0</v>
      </c>
      <c r="I8356" s="626">
        <f>IFERROR(G8356*VLOOKUP($E8356,BD!$L$2:$Q$244,5,0),0)</f>
        <v>0</v>
      </c>
      <c r="J8356" s="3">
        <f t="shared" si="521"/>
        <v>1900</v>
      </c>
    </row>
    <row r="8357" spans="1:10" s="9" customFormat="1" x14ac:dyDescent="0.25">
      <c r="A8357" s="447"/>
      <c r="B8357" s="55" t="str">
        <f t="shared" si="518"/>
        <v>ENERO</v>
      </c>
      <c r="C8357" s="55">
        <f t="shared" si="519"/>
        <v>1</v>
      </c>
      <c r="D8357" s="3" t="str">
        <f t="shared" si="520"/>
        <v>SÁBADO</v>
      </c>
      <c r="E8357" s="427"/>
      <c r="F8357" s="31">
        <f>IFERROR(VLOOKUP(E8357,BD!$L$2:$Q$244,2,0),0)</f>
        <v>0</v>
      </c>
      <c r="G8357" s="424"/>
      <c r="H8357" s="31">
        <f>+IFERROR(VLOOKUP(E8357,BD!$L$2:$Q$244,6,0),0)</f>
        <v>0</v>
      </c>
      <c r="I8357" s="626">
        <f>IFERROR(G8357*VLOOKUP($E8357,BD!$L$2:$Q$244,5,0),0)</f>
        <v>0</v>
      </c>
      <c r="J8357" s="3">
        <f t="shared" si="521"/>
        <v>1900</v>
      </c>
    </row>
    <row r="8358" spans="1:10" s="9" customFormat="1" x14ac:dyDescent="0.25">
      <c r="A8358" s="447"/>
      <c r="B8358" s="55" t="str">
        <f t="shared" si="518"/>
        <v>ENERO</v>
      </c>
      <c r="C8358" s="55">
        <f t="shared" si="519"/>
        <v>1</v>
      </c>
      <c r="D8358" s="3" t="str">
        <f t="shared" si="520"/>
        <v>SÁBADO</v>
      </c>
      <c r="E8358" s="427"/>
      <c r="F8358" s="31">
        <f>IFERROR(VLOOKUP(E8358,BD!$L$2:$Q$244,2,0),0)</f>
        <v>0</v>
      </c>
      <c r="G8358" s="424"/>
      <c r="H8358" s="31">
        <f>+IFERROR(VLOOKUP(E8358,BD!$L$2:$Q$244,6,0),0)</f>
        <v>0</v>
      </c>
      <c r="I8358" s="626">
        <f>IFERROR(G8358*VLOOKUP($E8358,BD!$L$2:$Q$244,5,0),0)</f>
        <v>0</v>
      </c>
      <c r="J8358" s="3">
        <f t="shared" si="521"/>
        <v>1900</v>
      </c>
    </row>
    <row r="8359" spans="1:10" s="9" customFormat="1" x14ac:dyDescent="0.25">
      <c r="A8359" s="447"/>
      <c r="B8359" s="55" t="str">
        <f t="shared" si="518"/>
        <v>ENERO</v>
      </c>
      <c r="C8359" s="55">
        <f t="shared" si="519"/>
        <v>1</v>
      </c>
      <c r="D8359" s="3" t="str">
        <f t="shared" si="520"/>
        <v>SÁBADO</v>
      </c>
      <c r="E8359" s="427"/>
      <c r="F8359" s="31">
        <f>IFERROR(VLOOKUP(E8359,BD!$L$2:$Q$244,2,0),0)</f>
        <v>0</v>
      </c>
      <c r="G8359" s="424"/>
      <c r="H8359" s="31">
        <f>+IFERROR(VLOOKUP(E8359,BD!$L$2:$Q$244,6,0),0)</f>
        <v>0</v>
      </c>
      <c r="I8359" s="626">
        <f>IFERROR(G8359*VLOOKUP($E8359,BD!$L$2:$Q$244,5,0),0)</f>
        <v>0</v>
      </c>
      <c r="J8359" s="3">
        <f t="shared" si="521"/>
        <v>1900</v>
      </c>
    </row>
    <row r="8360" spans="1:10" s="9" customFormat="1" x14ac:dyDescent="0.25">
      <c r="A8360" s="447"/>
      <c r="B8360" s="55" t="str">
        <f t="shared" si="518"/>
        <v>ENERO</v>
      </c>
      <c r="C8360" s="55">
        <f t="shared" si="519"/>
        <v>1</v>
      </c>
      <c r="D8360" s="3" t="str">
        <f t="shared" si="520"/>
        <v>SÁBADO</v>
      </c>
      <c r="E8360" s="427"/>
      <c r="F8360" s="31">
        <f>IFERROR(VLOOKUP(E8360,BD!$L$2:$Q$244,2,0),0)</f>
        <v>0</v>
      </c>
      <c r="G8360" s="424"/>
      <c r="H8360" s="31">
        <f>+IFERROR(VLOOKUP(E8360,BD!$L$2:$Q$244,6,0),0)</f>
        <v>0</v>
      </c>
      <c r="I8360" s="626">
        <f>IFERROR(G8360*VLOOKUP($E8360,BD!$L$2:$Q$244,5,0),0)</f>
        <v>0</v>
      </c>
      <c r="J8360" s="3">
        <f t="shared" si="521"/>
        <v>1900</v>
      </c>
    </row>
    <row r="8361" spans="1:10" s="9" customFormat="1" x14ac:dyDescent="0.25">
      <c r="A8361" s="447"/>
      <c r="B8361" s="55" t="str">
        <f t="shared" si="518"/>
        <v>ENERO</v>
      </c>
      <c r="C8361" s="55">
        <f t="shared" si="519"/>
        <v>1</v>
      </c>
      <c r="D8361" s="3" t="str">
        <f t="shared" si="520"/>
        <v>SÁBADO</v>
      </c>
      <c r="E8361" s="427"/>
      <c r="F8361" s="31">
        <f>IFERROR(VLOOKUP(E8361,BD!$L$2:$Q$244,2,0),0)</f>
        <v>0</v>
      </c>
      <c r="G8361" s="424"/>
      <c r="H8361" s="31">
        <f>+IFERROR(VLOOKUP(E8361,BD!$L$2:$Q$244,6,0),0)</f>
        <v>0</v>
      </c>
      <c r="I8361" s="626">
        <f>IFERROR(G8361*VLOOKUP($E8361,BD!$L$2:$Q$244,5,0),0)</f>
        <v>0</v>
      </c>
      <c r="J8361" s="3">
        <f t="shared" si="521"/>
        <v>1900</v>
      </c>
    </row>
    <row r="8362" spans="1:10" s="9" customFormat="1" x14ac:dyDescent="0.25">
      <c r="A8362" s="447"/>
      <c r="B8362" s="55" t="str">
        <f t="shared" si="518"/>
        <v>ENERO</v>
      </c>
      <c r="C8362" s="55">
        <f t="shared" si="519"/>
        <v>1</v>
      </c>
      <c r="D8362" s="3" t="str">
        <f t="shared" si="520"/>
        <v>SÁBADO</v>
      </c>
      <c r="E8362" s="427"/>
      <c r="F8362" s="31">
        <f>IFERROR(VLOOKUP(E8362,BD!$L$2:$Q$244,2,0),0)</f>
        <v>0</v>
      </c>
      <c r="G8362" s="424"/>
      <c r="H8362" s="31">
        <f>+IFERROR(VLOOKUP(E8362,BD!$L$2:$Q$244,6,0),0)</f>
        <v>0</v>
      </c>
      <c r="I8362" s="626">
        <f>IFERROR(G8362*VLOOKUP($E8362,BD!$L$2:$Q$244,5,0),0)</f>
        <v>0</v>
      </c>
      <c r="J8362" s="3">
        <f t="shared" si="521"/>
        <v>1900</v>
      </c>
    </row>
    <row r="8363" spans="1:10" s="9" customFormat="1" x14ac:dyDescent="0.25">
      <c r="A8363" s="447"/>
      <c r="B8363" s="55" t="str">
        <f t="shared" si="518"/>
        <v>ENERO</v>
      </c>
      <c r="C8363" s="55">
        <f t="shared" si="519"/>
        <v>1</v>
      </c>
      <c r="D8363" s="3" t="str">
        <f t="shared" si="520"/>
        <v>SÁBADO</v>
      </c>
      <c r="E8363" s="427"/>
      <c r="F8363" s="31">
        <f>IFERROR(VLOOKUP(E8363,BD!$L$2:$Q$244,2,0),0)</f>
        <v>0</v>
      </c>
      <c r="G8363" s="424"/>
      <c r="H8363" s="31">
        <f>+IFERROR(VLOOKUP(E8363,BD!$L$2:$Q$244,6,0),0)</f>
        <v>0</v>
      </c>
      <c r="I8363" s="626">
        <f>IFERROR(G8363*VLOOKUP($E8363,BD!$L$2:$Q$244,5,0),0)</f>
        <v>0</v>
      </c>
      <c r="J8363" s="3">
        <f t="shared" si="521"/>
        <v>1900</v>
      </c>
    </row>
    <row r="8364" spans="1:10" s="9" customFormat="1" x14ac:dyDescent="0.25">
      <c r="A8364" s="447"/>
      <c r="B8364" s="55" t="str">
        <f t="shared" si="518"/>
        <v>ENERO</v>
      </c>
      <c r="C8364" s="55">
        <f t="shared" si="519"/>
        <v>1</v>
      </c>
      <c r="D8364" s="3" t="str">
        <f t="shared" si="520"/>
        <v>SÁBADO</v>
      </c>
      <c r="E8364" s="427"/>
      <c r="F8364" s="31">
        <f>IFERROR(VLOOKUP(E8364,BD!$L$2:$Q$244,2,0),0)</f>
        <v>0</v>
      </c>
      <c r="G8364" s="424"/>
      <c r="H8364" s="31">
        <f>+IFERROR(VLOOKUP(E8364,BD!$L$2:$Q$244,6,0),0)</f>
        <v>0</v>
      </c>
      <c r="I8364" s="626">
        <f>IFERROR(G8364*VLOOKUP($E8364,BD!$L$2:$Q$244,5,0),0)</f>
        <v>0</v>
      </c>
      <c r="J8364" s="3">
        <f t="shared" si="521"/>
        <v>1900</v>
      </c>
    </row>
    <row r="8365" spans="1:10" s="9" customFormat="1" x14ac:dyDescent="0.25">
      <c r="A8365" s="447"/>
      <c r="B8365" s="55" t="str">
        <f t="shared" si="518"/>
        <v>ENERO</v>
      </c>
      <c r="C8365" s="55">
        <f t="shared" si="519"/>
        <v>1</v>
      </c>
      <c r="D8365" s="3" t="str">
        <f t="shared" si="520"/>
        <v>SÁBADO</v>
      </c>
      <c r="E8365" s="427"/>
      <c r="F8365" s="31">
        <f>IFERROR(VLOOKUP(E8365,BD!$L$2:$Q$244,2,0),0)</f>
        <v>0</v>
      </c>
      <c r="G8365" s="424"/>
      <c r="H8365" s="31">
        <f>+IFERROR(VLOOKUP(E8365,BD!$L$2:$Q$244,6,0),0)</f>
        <v>0</v>
      </c>
      <c r="I8365" s="626">
        <f>IFERROR(G8365*VLOOKUP($E8365,BD!$L$2:$Q$244,5,0),0)</f>
        <v>0</v>
      </c>
      <c r="J8365" s="3">
        <f t="shared" si="521"/>
        <v>1900</v>
      </c>
    </row>
    <row r="8366" spans="1:10" s="9" customFormat="1" x14ac:dyDescent="0.25">
      <c r="A8366" s="447"/>
      <c r="B8366" s="55" t="str">
        <f t="shared" si="518"/>
        <v>ENERO</v>
      </c>
      <c r="C8366" s="55">
        <f t="shared" si="519"/>
        <v>1</v>
      </c>
      <c r="D8366" s="3" t="str">
        <f t="shared" si="520"/>
        <v>SÁBADO</v>
      </c>
      <c r="E8366" s="427"/>
      <c r="F8366" s="31">
        <f>IFERROR(VLOOKUP(E8366,BD!$L$2:$Q$244,2,0),0)</f>
        <v>0</v>
      </c>
      <c r="G8366" s="424"/>
      <c r="H8366" s="31">
        <f>+IFERROR(VLOOKUP(E8366,BD!$L$2:$Q$244,6,0),0)</f>
        <v>0</v>
      </c>
      <c r="I8366" s="626">
        <f>IFERROR(G8366*VLOOKUP($E8366,BD!$L$2:$Q$244,5,0),0)</f>
        <v>0</v>
      </c>
      <c r="J8366" s="3">
        <f t="shared" si="521"/>
        <v>1900</v>
      </c>
    </row>
    <row r="8367" spans="1:10" s="9" customFormat="1" x14ac:dyDescent="0.25">
      <c r="A8367" s="447"/>
      <c r="B8367" s="55" t="str">
        <f t="shared" si="518"/>
        <v>ENERO</v>
      </c>
      <c r="C8367" s="55">
        <f t="shared" si="519"/>
        <v>1</v>
      </c>
      <c r="D8367" s="3" t="str">
        <f t="shared" si="520"/>
        <v>SÁBADO</v>
      </c>
      <c r="E8367" s="427"/>
      <c r="F8367" s="31">
        <f>IFERROR(VLOOKUP(E8367,BD!$L$2:$Q$244,2,0),0)</f>
        <v>0</v>
      </c>
      <c r="G8367" s="424"/>
      <c r="H8367" s="31">
        <f>+IFERROR(VLOOKUP(E8367,BD!$L$2:$Q$244,6,0),0)</f>
        <v>0</v>
      </c>
      <c r="I8367" s="626">
        <f>IFERROR(G8367*VLOOKUP($E8367,BD!$L$2:$Q$244,5,0),0)</f>
        <v>0</v>
      </c>
      <c r="J8367" s="3">
        <f t="shared" si="521"/>
        <v>1900</v>
      </c>
    </row>
    <row r="8368" spans="1:10" s="9" customFormat="1" x14ac:dyDescent="0.25">
      <c r="A8368" s="447"/>
      <c r="B8368" s="55" t="str">
        <f t="shared" si="518"/>
        <v>ENERO</v>
      </c>
      <c r="C8368" s="55">
        <f t="shared" si="519"/>
        <v>1</v>
      </c>
      <c r="D8368" s="3" t="str">
        <f t="shared" si="520"/>
        <v>SÁBADO</v>
      </c>
      <c r="E8368" s="427"/>
      <c r="F8368" s="31">
        <f>IFERROR(VLOOKUP(E8368,BD!$L$2:$Q$244,2,0),0)</f>
        <v>0</v>
      </c>
      <c r="G8368" s="424"/>
      <c r="H8368" s="31">
        <f>+IFERROR(VLOOKUP(E8368,BD!$L$2:$Q$244,6,0),0)</f>
        <v>0</v>
      </c>
      <c r="I8368" s="626">
        <f>IFERROR(G8368*VLOOKUP($E8368,BD!$L$2:$Q$244,5,0),0)</f>
        <v>0</v>
      </c>
      <c r="J8368" s="3">
        <f t="shared" si="521"/>
        <v>1900</v>
      </c>
    </row>
    <row r="8369" spans="1:10" s="9" customFormat="1" x14ac:dyDescent="0.25">
      <c r="A8369" s="447"/>
      <c r="B8369" s="55" t="str">
        <f t="shared" si="518"/>
        <v>ENERO</v>
      </c>
      <c r="C8369" s="55">
        <f t="shared" si="519"/>
        <v>1</v>
      </c>
      <c r="D8369" s="3" t="str">
        <f t="shared" si="520"/>
        <v>SÁBADO</v>
      </c>
      <c r="E8369" s="427"/>
      <c r="F8369" s="31">
        <f>IFERROR(VLOOKUP(E8369,BD!$L$2:$Q$244,2,0),0)</f>
        <v>0</v>
      </c>
      <c r="G8369" s="424"/>
      <c r="H8369" s="31">
        <f>+IFERROR(VLOOKUP(E8369,BD!$L$2:$Q$244,6,0),0)</f>
        <v>0</v>
      </c>
      <c r="I8369" s="626">
        <f>IFERROR(G8369*VLOOKUP($E8369,BD!$L$2:$Q$244,5,0),0)</f>
        <v>0</v>
      </c>
      <c r="J8369" s="3">
        <f t="shared" si="521"/>
        <v>1900</v>
      </c>
    </row>
    <row r="8370" spans="1:10" s="9" customFormat="1" x14ac:dyDescent="0.25">
      <c r="A8370" s="447"/>
      <c r="B8370" s="55" t="str">
        <f t="shared" si="518"/>
        <v>ENERO</v>
      </c>
      <c r="C8370" s="55">
        <f t="shared" si="519"/>
        <v>1</v>
      </c>
      <c r="D8370" s="3" t="str">
        <f t="shared" si="520"/>
        <v>SÁBADO</v>
      </c>
      <c r="E8370" s="427"/>
      <c r="F8370" s="31">
        <f>IFERROR(VLOOKUP(E8370,BD!$L$2:$Q$244,2,0),0)</f>
        <v>0</v>
      </c>
      <c r="G8370" s="424"/>
      <c r="H8370" s="31">
        <f>+IFERROR(VLOOKUP(E8370,BD!$L$2:$Q$244,6,0),0)</f>
        <v>0</v>
      </c>
      <c r="I8370" s="626">
        <f>IFERROR(G8370*VLOOKUP($E8370,BD!$L$2:$Q$244,5,0),0)</f>
        <v>0</v>
      </c>
      <c r="J8370" s="3">
        <f t="shared" si="521"/>
        <v>1900</v>
      </c>
    </row>
    <row r="8371" spans="1:10" s="9" customFormat="1" x14ac:dyDescent="0.25">
      <c r="A8371" s="447"/>
      <c r="B8371" s="55" t="str">
        <f t="shared" si="518"/>
        <v>ENERO</v>
      </c>
      <c r="C8371" s="55">
        <f t="shared" si="519"/>
        <v>1</v>
      </c>
      <c r="D8371" s="3" t="str">
        <f t="shared" si="520"/>
        <v>SÁBADO</v>
      </c>
      <c r="E8371" s="427"/>
      <c r="F8371" s="31">
        <f>IFERROR(VLOOKUP(E8371,BD!$L$2:$Q$244,2,0),0)</f>
        <v>0</v>
      </c>
      <c r="G8371" s="424"/>
      <c r="H8371" s="31">
        <f>+IFERROR(VLOOKUP(E8371,BD!$L$2:$Q$244,6,0),0)</f>
        <v>0</v>
      </c>
      <c r="I8371" s="626">
        <f>IFERROR(G8371*VLOOKUP($E8371,BD!$L$2:$Q$244,5,0),0)</f>
        <v>0</v>
      </c>
      <c r="J8371" s="3">
        <f t="shared" si="521"/>
        <v>1900</v>
      </c>
    </row>
    <row r="8372" spans="1:10" s="9" customFormat="1" x14ac:dyDescent="0.25">
      <c r="A8372" s="447"/>
      <c r="B8372" s="55" t="str">
        <f t="shared" si="518"/>
        <v>ENERO</v>
      </c>
      <c r="C8372" s="55">
        <f t="shared" si="519"/>
        <v>1</v>
      </c>
      <c r="D8372" s="3" t="str">
        <f t="shared" si="520"/>
        <v>SÁBADO</v>
      </c>
      <c r="E8372" s="427"/>
      <c r="F8372" s="31">
        <f>IFERROR(VLOOKUP(E8372,BD!$L$2:$Q$244,2,0),0)</f>
        <v>0</v>
      </c>
      <c r="G8372" s="424"/>
      <c r="H8372" s="31">
        <f>+IFERROR(VLOOKUP(E8372,BD!$L$2:$Q$244,6,0),0)</f>
        <v>0</v>
      </c>
      <c r="I8372" s="626">
        <f>IFERROR(G8372*VLOOKUP($E8372,BD!$L$2:$Q$244,5,0),0)</f>
        <v>0</v>
      </c>
      <c r="J8372" s="3">
        <f t="shared" si="521"/>
        <v>1900</v>
      </c>
    </row>
    <row r="8373" spans="1:10" s="9" customFormat="1" x14ac:dyDescent="0.25">
      <c r="A8373" s="447"/>
      <c r="B8373" s="55" t="str">
        <f t="shared" si="518"/>
        <v>ENERO</v>
      </c>
      <c r="C8373" s="55">
        <f t="shared" si="519"/>
        <v>1</v>
      </c>
      <c r="D8373" s="3" t="str">
        <f t="shared" si="520"/>
        <v>SÁBADO</v>
      </c>
      <c r="E8373" s="427"/>
      <c r="F8373" s="31">
        <f>IFERROR(VLOOKUP(E8373,BD!$L$2:$Q$244,2,0),0)</f>
        <v>0</v>
      </c>
      <c r="G8373" s="424"/>
      <c r="H8373" s="31">
        <f>+IFERROR(VLOOKUP(E8373,BD!$L$2:$Q$244,6,0),0)</f>
        <v>0</v>
      </c>
      <c r="I8373" s="626">
        <f>IFERROR(G8373*VLOOKUP($E8373,BD!$L$2:$Q$244,5,0),0)</f>
        <v>0</v>
      </c>
      <c r="J8373" s="3">
        <f t="shared" si="521"/>
        <v>1900</v>
      </c>
    </row>
    <row r="8374" spans="1:10" s="9" customFormat="1" x14ac:dyDescent="0.25">
      <c r="A8374" s="447"/>
      <c r="B8374" s="55" t="str">
        <f t="shared" si="518"/>
        <v>ENERO</v>
      </c>
      <c r="C8374" s="55">
        <f t="shared" si="519"/>
        <v>1</v>
      </c>
      <c r="D8374" s="3" t="str">
        <f t="shared" si="520"/>
        <v>SÁBADO</v>
      </c>
      <c r="E8374" s="427"/>
      <c r="F8374" s="31">
        <f>IFERROR(VLOOKUP(E8374,BD!$L$2:$Q$244,2,0),0)</f>
        <v>0</v>
      </c>
      <c r="G8374" s="424"/>
      <c r="H8374" s="31">
        <f>+IFERROR(VLOOKUP(E8374,BD!$L$2:$Q$244,6,0),0)</f>
        <v>0</v>
      </c>
      <c r="I8374" s="626">
        <f>IFERROR(G8374*VLOOKUP($E8374,BD!$L$2:$Q$244,5,0),0)</f>
        <v>0</v>
      </c>
      <c r="J8374" s="3">
        <f t="shared" si="521"/>
        <v>1900</v>
      </c>
    </row>
    <row r="8375" spans="1:10" s="9" customFormat="1" x14ac:dyDescent="0.25">
      <c r="A8375" s="447"/>
      <c r="B8375" s="55" t="str">
        <f t="shared" si="518"/>
        <v>ENERO</v>
      </c>
      <c r="C8375" s="55">
        <f t="shared" si="519"/>
        <v>1</v>
      </c>
      <c r="D8375" s="3" t="str">
        <f t="shared" si="520"/>
        <v>SÁBADO</v>
      </c>
      <c r="E8375" s="427"/>
      <c r="F8375" s="31">
        <f>IFERROR(VLOOKUP(E8375,BD!$L$2:$Q$244,2,0),0)</f>
        <v>0</v>
      </c>
      <c r="G8375" s="424"/>
      <c r="H8375" s="31">
        <f>+IFERROR(VLOOKUP(E8375,BD!$L$2:$Q$244,6,0),0)</f>
        <v>0</v>
      </c>
      <c r="I8375" s="626">
        <f>IFERROR(G8375*VLOOKUP($E8375,BD!$L$2:$Q$244,5,0),0)</f>
        <v>0</v>
      </c>
      <c r="J8375" s="3">
        <f t="shared" si="521"/>
        <v>1900</v>
      </c>
    </row>
    <row r="8376" spans="1:10" s="9" customFormat="1" x14ac:dyDescent="0.25">
      <c r="A8376" s="447"/>
      <c r="B8376" s="55" t="str">
        <f t="shared" si="518"/>
        <v>ENERO</v>
      </c>
      <c r="C8376" s="55">
        <f t="shared" si="519"/>
        <v>1</v>
      </c>
      <c r="D8376" s="3" t="str">
        <f t="shared" si="520"/>
        <v>SÁBADO</v>
      </c>
      <c r="E8376" s="427"/>
      <c r="F8376" s="31">
        <f>IFERROR(VLOOKUP(E8376,BD!$L$2:$Q$244,2,0),0)</f>
        <v>0</v>
      </c>
      <c r="G8376" s="424"/>
      <c r="H8376" s="31">
        <f>+IFERROR(VLOOKUP(E8376,BD!$L$2:$Q$244,6,0),0)</f>
        <v>0</v>
      </c>
      <c r="I8376" s="626">
        <f>IFERROR(G8376*VLOOKUP($E8376,BD!$L$2:$Q$244,5,0),0)</f>
        <v>0</v>
      </c>
      <c r="J8376" s="3">
        <f t="shared" si="521"/>
        <v>1900</v>
      </c>
    </row>
    <row r="8377" spans="1:10" s="9" customFormat="1" x14ac:dyDescent="0.25">
      <c r="A8377" s="447"/>
      <c r="B8377" s="55" t="str">
        <f t="shared" si="518"/>
        <v>ENERO</v>
      </c>
      <c r="C8377" s="55">
        <f t="shared" si="519"/>
        <v>1</v>
      </c>
      <c r="D8377" s="3" t="str">
        <f t="shared" si="520"/>
        <v>SÁBADO</v>
      </c>
      <c r="E8377" s="427"/>
      <c r="F8377" s="31">
        <f>IFERROR(VLOOKUP(E8377,BD!$L$2:$Q$244,2,0),0)</f>
        <v>0</v>
      </c>
      <c r="G8377" s="424"/>
      <c r="H8377" s="31">
        <f>+IFERROR(VLOOKUP(E8377,BD!$L$2:$Q$244,6,0),0)</f>
        <v>0</v>
      </c>
      <c r="I8377" s="626">
        <f>IFERROR(G8377*VLOOKUP($E8377,BD!$L$2:$Q$244,5,0),0)</f>
        <v>0</v>
      </c>
      <c r="J8377" s="3">
        <f t="shared" si="521"/>
        <v>1900</v>
      </c>
    </row>
    <row r="8378" spans="1:10" s="9" customFormat="1" x14ac:dyDescent="0.25">
      <c r="A8378" s="447"/>
      <c r="B8378" s="55" t="str">
        <f t="shared" si="518"/>
        <v>ENERO</v>
      </c>
      <c r="C8378" s="55">
        <f t="shared" si="519"/>
        <v>1</v>
      </c>
      <c r="D8378" s="3" t="str">
        <f t="shared" si="520"/>
        <v>SÁBADO</v>
      </c>
      <c r="E8378" s="427"/>
      <c r="F8378" s="31">
        <f>IFERROR(VLOOKUP(E8378,BD!$L$2:$Q$244,2,0),0)</f>
        <v>0</v>
      </c>
      <c r="G8378" s="424"/>
      <c r="H8378" s="31">
        <f>+IFERROR(VLOOKUP(E8378,BD!$L$2:$Q$244,6,0),0)</f>
        <v>0</v>
      </c>
      <c r="I8378" s="626">
        <f>IFERROR(G8378*VLOOKUP($E8378,BD!$L$2:$Q$244,5,0),0)</f>
        <v>0</v>
      </c>
      <c r="J8378" s="3">
        <f t="shared" si="521"/>
        <v>1900</v>
      </c>
    </row>
    <row r="8379" spans="1:10" s="9" customFormat="1" x14ac:dyDescent="0.25">
      <c r="A8379" s="447"/>
      <c r="B8379" s="55" t="str">
        <f t="shared" si="518"/>
        <v>ENERO</v>
      </c>
      <c r="C8379" s="55">
        <f t="shared" si="519"/>
        <v>1</v>
      </c>
      <c r="D8379" s="3" t="str">
        <f t="shared" si="520"/>
        <v>SÁBADO</v>
      </c>
      <c r="E8379" s="427"/>
      <c r="F8379" s="31">
        <f>IFERROR(VLOOKUP(E8379,BD!$L$2:$Q$244,2,0),0)</f>
        <v>0</v>
      </c>
      <c r="G8379" s="424"/>
      <c r="H8379" s="31">
        <f>+IFERROR(VLOOKUP(E8379,BD!$L$2:$Q$244,6,0),0)</f>
        <v>0</v>
      </c>
      <c r="I8379" s="626">
        <f>IFERROR(G8379*VLOOKUP($E8379,BD!$L$2:$Q$244,5,0),0)</f>
        <v>0</v>
      </c>
      <c r="J8379" s="3">
        <f t="shared" si="521"/>
        <v>1900</v>
      </c>
    </row>
    <row r="8380" spans="1:10" s="9" customFormat="1" x14ac:dyDescent="0.25">
      <c r="A8380" s="447"/>
      <c r="B8380" s="55" t="str">
        <f t="shared" ref="B8380:B8443" si="522">UPPER(TEXT(A8380,"MMMM"))</f>
        <v>ENERO</v>
      </c>
      <c r="C8380" s="55">
        <f t="shared" ref="C8380:C8443" si="523">WEEKNUM(A8380,16)</f>
        <v>1</v>
      </c>
      <c r="D8380" s="3" t="str">
        <f t="shared" ref="D8380:D8443" si="524">UPPER(TEXT(A8380,"DDDD"))</f>
        <v>SÁBADO</v>
      </c>
      <c r="E8380" s="427"/>
      <c r="F8380" s="31">
        <f>IFERROR(VLOOKUP(E8380,BD!$L$2:$Q$244,2,0),0)</f>
        <v>0</v>
      </c>
      <c r="G8380" s="424"/>
      <c r="H8380" s="31">
        <f>+IFERROR(VLOOKUP(E8380,BD!$L$2:$Q$244,6,0),0)</f>
        <v>0</v>
      </c>
      <c r="I8380" s="626">
        <f>IFERROR(G8380*VLOOKUP($E8380,BD!$L$2:$Q$244,5,0),0)</f>
        <v>0</v>
      </c>
      <c r="J8380" s="3">
        <f t="shared" ref="J8380:J8443" si="525">+YEAR(A8380)</f>
        <v>1900</v>
      </c>
    </row>
    <row r="8381" spans="1:10" s="9" customFormat="1" x14ac:dyDescent="0.25">
      <c r="A8381" s="447"/>
      <c r="B8381" s="55" t="str">
        <f t="shared" si="522"/>
        <v>ENERO</v>
      </c>
      <c r="C8381" s="55">
        <f t="shared" si="523"/>
        <v>1</v>
      </c>
      <c r="D8381" s="3" t="str">
        <f t="shared" si="524"/>
        <v>SÁBADO</v>
      </c>
      <c r="E8381" s="427"/>
      <c r="F8381" s="31">
        <f>IFERROR(VLOOKUP(E8381,BD!$L$2:$Q$244,2,0),0)</f>
        <v>0</v>
      </c>
      <c r="G8381" s="424"/>
      <c r="H8381" s="31">
        <f>+IFERROR(VLOOKUP(E8381,BD!$L$2:$Q$244,6,0),0)</f>
        <v>0</v>
      </c>
      <c r="I8381" s="626">
        <f>IFERROR(G8381*VLOOKUP($E8381,BD!$L$2:$Q$244,5,0),0)</f>
        <v>0</v>
      </c>
      <c r="J8381" s="3">
        <f t="shared" si="525"/>
        <v>1900</v>
      </c>
    </row>
    <row r="8382" spans="1:10" s="9" customFormat="1" x14ac:dyDescent="0.25">
      <c r="A8382" s="447"/>
      <c r="B8382" s="55" t="str">
        <f t="shared" si="522"/>
        <v>ENERO</v>
      </c>
      <c r="C8382" s="55">
        <f t="shared" si="523"/>
        <v>1</v>
      </c>
      <c r="D8382" s="3" t="str">
        <f t="shared" si="524"/>
        <v>SÁBADO</v>
      </c>
      <c r="E8382" s="427"/>
      <c r="F8382" s="31">
        <f>IFERROR(VLOOKUP(E8382,BD!$L$2:$Q$244,2,0),0)</f>
        <v>0</v>
      </c>
      <c r="G8382" s="424"/>
      <c r="H8382" s="31">
        <f>+IFERROR(VLOOKUP(E8382,BD!$L$2:$Q$244,6,0),0)</f>
        <v>0</v>
      </c>
      <c r="I8382" s="626">
        <f>IFERROR(G8382*VLOOKUP($E8382,BD!$L$2:$Q$244,5,0),0)</f>
        <v>0</v>
      </c>
      <c r="J8382" s="3">
        <f t="shared" si="525"/>
        <v>1900</v>
      </c>
    </row>
    <row r="8383" spans="1:10" s="9" customFormat="1" x14ac:dyDescent="0.25">
      <c r="A8383" s="447"/>
      <c r="B8383" s="55" t="str">
        <f t="shared" si="522"/>
        <v>ENERO</v>
      </c>
      <c r="C8383" s="55">
        <f t="shared" si="523"/>
        <v>1</v>
      </c>
      <c r="D8383" s="3" t="str">
        <f t="shared" si="524"/>
        <v>SÁBADO</v>
      </c>
      <c r="E8383" s="427"/>
      <c r="F8383" s="31">
        <f>IFERROR(VLOOKUP(E8383,BD!$L$2:$Q$244,2,0),0)</f>
        <v>0</v>
      </c>
      <c r="G8383" s="424"/>
      <c r="H8383" s="31">
        <f>+IFERROR(VLOOKUP(E8383,BD!$L$2:$Q$244,6,0),0)</f>
        <v>0</v>
      </c>
      <c r="I8383" s="626">
        <f>IFERROR(G8383*VLOOKUP($E8383,BD!$L$2:$Q$244,5,0),0)</f>
        <v>0</v>
      </c>
      <c r="J8383" s="3">
        <f t="shared" si="525"/>
        <v>1900</v>
      </c>
    </row>
    <row r="8384" spans="1:10" s="9" customFormat="1" x14ac:dyDescent="0.25">
      <c r="A8384" s="447"/>
      <c r="B8384" s="55" t="str">
        <f t="shared" si="522"/>
        <v>ENERO</v>
      </c>
      <c r="C8384" s="55">
        <f t="shared" si="523"/>
        <v>1</v>
      </c>
      <c r="D8384" s="3" t="str">
        <f t="shared" si="524"/>
        <v>SÁBADO</v>
      </c>
      <c r="E8384" s="427"/>
      <c r="F8384" s="31">
        <f>IFERROR(VLOOKUP(E8384,BD!$L$2:$Q$244,2,0),0)</f>
        <v>0</v>
      </c>
      <c r="G8384" s="424"/>
      <c r="H8384" s="31">
        <f>+IFERROR(VLOOKUP(E8384,BD!$L$2:$Q$244,6,0),0)</f>
        <v>0</v>
      </c>
      <c r="I8384" s="626">
        <f>IFERROR(G8384*VLOOKUP($E8384,BD!$L$2:$Q$244,5,0),0)</f>
        <v>0</v>
      </c>
      <c r="J8384" s="3">
        <f t="shared" si="525"/>
        <v>1900</v>
      </c>
    </row>
    <row r="8385" spans="1:10" s="9" customFormat="1" x14ac:dyDescent="0.25">
      <c r="A8385" s="447"/>
      <c r="B8385" s="55" t="str">
        <f t="shared" si="522"/>
        <v>ENERO</v>
      </c>
      <c r="C8385" s="55">
        <f t="shared" si="523"/>
        <v>1</v>
      </c>
      <c r="D8385" s="3" t="str">
        <f t="shared" si="524"/>
        <v>SÁBADO</v>
      </c>
      <c r="E8385" s="427"/>
      <c r="F8385" s="31">
        <f>IFERROR(VLOOKUP(E8385,BD!$L$2:$Q$244,2,0),0)</f>
        <v>0</v>
      </c>
      <c r="G8385" s="424"/>
      <c r="H8385" s="31">
        <f>+IFERROR(VLOOKUP(E8385,BD!$L$2:$Q$244,6,0),0)</f>
        <v>0</v>
      </c>
      <c r="I8385" s="626">
        <f>IFERROR(G8385*VLOOKUP($E8385,BD!$L$2:$Q$244,5,0),0)</f>
        <v>0</v>
      </c>
      <c r="J8385" s="3">
        <f t="shared" si="525"/>
        <v>1900</v>
      </c>
    </row>
    <row r="8386" spans="1:10" s="9" customFormat="1" x14ac:dyDescent="0.25">
      <c r="A8386" s="447"/>
      <c r="B8386" s="55" t="str">
        <f t="shared" si="522"/>
        <v>ENERO</v>
      </c>
      <c r="C8386" s="55">
        <f t="shared" si="523"/>
        <v>1</v>
      </c>
      <c r="D8386" s="3" t="str">
        <f t="shared" si="524"/>
        <v>SÁBADO</v>
      </c>
      <c r="E8386" s="427"/>
      <c r="F8386" s="31">
        <f>IFERROR(VLOOKUP(E8386,BD!$L$2:$Q$244,2,0),0)</f>
        <v>0</v>
      </c>
      <c r="G8386" s="424"/>
      <c r="H8386" s="31">
        <f>+IFERROR(VLOOKUP(E8386,BD!$L$2:$Q$244,6,0),0)</f>
        <v>0</v>
      </c>
      <c r="I8386" s="626">
        <f>IFERROR(G8386*VLOOKUP($E8386,BD!$L$2:$Q$244,5,0),0)</f>
        <v>0</v>
      </c>
      <c r="J8386" s="3">
        <f t="shared" si="525"/>
        <v>1900</v>
      </c>
    </row>
    <row r="8387" spans="1:10" s="9" customFormat="1" x14ac:dyDescent="0.25">
      <c r="A8387" s="447"/>
      <c r="B8387" s="55" t="str">
        <f t="shared" si="522"/>
        <v>ENERO</v>
      </c>
      <c r="C8387" s="55">
        <f t="shared" si="523"/>
        <v>1</v>
      </c>
      <c r="D8387" s="3" t="str">
        <f t="shared" si="524"/>
        <v>SÁBADO</v>
      </c>
      <c r="E8387" s="427"/>
      <c r="F8387" s="31">
        <f>IFERROR(VLOOKUP(E8387,BD!$L$2:$Q$244,2,0),0)</f>
        <v>0</v>
      </c>
      <c r="G8387" s="424"/>
      <c r="H8387" s="31">
        <f>+IFERROR(VLOOKUP(E8387,BD!$L$2:$Q$244,6,0),0)</f>
        <v>0</v>
      </c>
      <c r="I8387" s="626">
        <f>IFERROR(G8387*VLOOKUP($E8387,BD!$L$2:$Q$244,5,0),0)</f>
        <v>0</v>
      </c>
      <c r="J8387" s="3">
        <f t="shared" si="525"/>
        <v>1900</v>
      </c>
    </row>
    <row r="8388" spans="1:10" s="9" customFormat="1" x14ac:dyDescent="0.25">
      <c r="A8388" s="447"/>
      <c r="B8388" s="55" t="str">
        <f t="shared" si="522"/>
        <v>ENERO</v>
      </c>
      <c r="C8388" s="55">
        <f t="shared" si="523"/>
        <v>1</v>
      </c>
      <c r="D8388" s="3" t="str">
        <f t="shared" si="524"/>
        <v>SÁBADO</v>
      </c>
      <c r="E8388" s="427"/>
      <c r="F8388" s="31">
        <f>IFERROR(VLOOKUP(E8388,BD!$L$2:$Q$244,2,0),0)</f>
        <v>0</v>
      </c>
      <c r="G8388" s="424"/>
      <c r="H8388" s="31">
        <f>+IFERROR(VLOOKUP(E8388,BD!$L$2:$Q$244,6,0),0)</f>
        <v>0</v>
      </c>
      <c r="I8388" s="626">
        <f>IFERROR(G8388*VLOOKUP($E8388,BD!$L$2:$Q$244,5,0),0)</f>
        <v>0</v>
      </c>
      <c r="J8388" s="3">
        <f t="shared" si="525"/>
        <v>1900</v>
      </c>
    </row>
    <row r="8389" spans="1:10" s="9" customFormat="1" x14ac:dyDescent="0.25">
      <c r="A8389" s="447"/>
      <c r="B8389" s="55" t="str">
        <f t="shared" si="522"/>
        <v>ENERO</v>
      </c>
      <c r="C8389" s="55">
        <f t="shared" si="523"/>
        <v>1</v>
      </c>
      <c r="D8389" s="3" t="str">
        <f t="shared" si="524"/>
        <v>SÁBADO</v>
      </c>
      <c r="E8389" s="427"/>
      <c r="F8389" s="31">
        <f>IFERROR(VLOOKUP(E8389,BD!$L$2:$Q$244,2,0),0)</f>
        <v>0</v>
      </c>
      <c r="G8389" s="424"/>
      <c r="H8389" s="31">
        <f>+IFERROR(VLOOKUP(E8389,BD!$L$2:$Q$244,6,0),0)</f>
        <v>0</v>
      </c>
      <c r="I8389" s="626">
        <f>IFERROR(G8389*VLOOKUP($E8389,BD!$L$2:$Q$244,5,0),0)</f>
        <v>0</v>
      </c>
      <c r="J8389" s="3">
        <f t="shared" si="525"/>
        <v>1900</v>
      </c>
    </row>
    <row r="8390" spans="1:10" s="9" customFormat="1" x14ac:dyDescent="0.25">
      <c r="A8390" s="447"/>
      <c r="B8390" s="55" t="str">
        <f t="shared" si="522"/>
        <v>ENERO</v>
      </c>
      <c r="C8390" s="55">
        <f t="shared" si="523"/>
        <v>1</v>
      </c>
      <c r="D8390" s="3" t="str">
        <f t="shared" si="524"/>
        <v>SÁBADO</v>
      </c>
      <c r="E8390" s="427"/>
      <c r="F8390" s="31">
        <f>IFERROR(VLOOKUP(E8390,BD!$L$2:$Q$244,2,0),0)</f>
        <v>0</v>
      </c>
      <c r="G8390" s="424"/>
      <c r="H8390" s="31">
        <f>+IFERROR(VLOOKUP(E8390,BD!$L$2:$Q$244,6,0),0)</f>
        <v>0</v>
      </c>
      <c r="I8390" s="626">
        <f>IFERROR(G8390*VLOOKUP($E8390,BD!$L$2:$Q$244,5,0),0)</f>
        <v>0</v>
      </c>
      <c r="J8390" s="3">
        <f t="shared" si="525"/>
        <v>1900</v>
      </c>
    </row>
    <row r="8391" spans="1:10" s="9" customFormat="1" x14ac:dyDescent="0.25">
      <c r="A8391" s="447"/>
      <c r="B8391" s="55" t="str">
        <f t="shared" si="522"/>
        <v>ENERO</v>
      </c>
      <c r="C8391" s="55">
        <f t="shared" si="523"/>
        <v>1</v>
      </c>
      <c r="D8391" s="3" t="str">
        <f t="shared" si="524"/>
        <v>SÁBADO</v>
      </c>
      <c r="E8391" s="427"/>
      <c r="F8391" s="31">
        <f>IFERROR(VLOOKUP(E8391,BD!$L$2:$Q$244,2,0),0)</f>
        <v>0</v>
      </c>
      <c r="G8391" s="424"/>
      <c r="H8391" s="31">
        <f>+IFERROR(VLOOKUP(E8391,BD!$L$2:$Q$244,6,0),0)</f>
        <v>0</v>
      </c>
      <c r="I8391" s="626">
        <f>IFERROR(G8391*VLOOKUP($E8391,BD!$L$2:$Q$244,5,0),0)</f>
        <v>0</v>
      </c>
      <c r="J8391" s="3">
        <f t="shared" si="525"/>
        <v>1900</v>
      </c>
    </row>
    <row r="8392" spans="1:10" s="9" customFormat="1" x14ac:dyDescent="0.25">
      <c r="A8392" s="447"/>
      <c r="B8392" s="55" t="str">
        <f t="shared" si="522"/>
        <v>ENERO</v>
      </c>
      <c r="C8392" s="55">
        <f t="shared" si="523"/>
        <v>1</v>
      </c>
      <c r="D8392" s="3" t="str">
        <f t="shared" si="524"/>
        <v>SÁBADO</v>
      </c>
      <c r="E8392" s="427"/>
      <c r="F8392" s="31">
        <f>IFERROR(VLOOKUP(E8392,BD!$L$2:$Q$244,2,0),0)</f>
        <v>0</v>
      </c>
      <c r="G8392" s="424"/>
      <c r="H8392" s="31">
        <f>+IFERROR(VLOOKUP(E8392,BD!$L$2:$Q$244,6,0),0)</f>
        <v>0</v>
      </c>
      <c r="I8392" s="626">
        <f>IFERROR(G8392*VLOOKUP($E8392,BD!$L$2:$Q$244,5,0),0)</f>
        <v>0</v>
      </c>
      <c r="J8392" s="3">
        <f t="shared" si="525"/>
        <v>1900</v>
      </c>
    </row>
    <row r="8393" spans="1:10" s="9" customFormat="1" x14ac:dyDescent="0.25">
      <c r="A8393" s="447"/>
      <c r="B8393" s="55" t="str">
        <f t="shared" si="522"/>
        <v>ENERO</v>
      </c>
      <c r="C8393" s="55">
        <f t="shared" si="523"/>
        <v>1</v>
      </c>
      <c r="D8393" s="3" t="str">
        <f t="shared" si="524"/>
        <v>SÁBADO</v>
      </c>
      <c r="E8393" s="427"/>
      <c r="F8393" s="31">
        <f>IFERROR(VLOOKUP(E8393,BD!$L$2:$Q$244,2,0),0)</f>
        <v>0</v>
      </c>
      <c r="G8393" s="424"/>
      <c r="H8393" s="31">
        <f>+IFERROR(VLOOKUP(E8393,BD!$L$2:$Q$244,6,0),0)</f>
        <v>0</v>
      </c>
      <c r="I8393" s="626">
        <f>IFERROR(G8393*VLOOKUP($E8393,BD!$L$2:$Q$244,5,0),0)</f>
        <v>0</v>
      </c>
      <c r="J8393" s="3">
        <f t="shared" si="525"/>
        <v>1900</v>
      </c>
    </row>
    <row r="8394" spans="1:10" s="9" customFormat="1" x14ac:dyDescent="0.25">
      <c r="A8394" s="447"/>
      <c r="B8394" s="55" t="str">
        <f t="shared" si="522"/>
        <v>ENERO</v>
      </c>
      <c r="C8394" s="55">
        <f t="shared" si="523"/>
        <v>1</v>
      </c>
      <c r="D8394" s="3" t="str">
        <f t="shared" si="524"/>
        <v>SÁBADO</v>
      </c>
      <c r="E8394" s="427"/>
      <c r="F8394" s="31">
        <f>IFERROR(VLOOKUP(E8394,BD!$L$2:$Q$244,2,0),0)</f>
        <v>0</v>
      </c>
      <c r="G8394" s="424"/>
      <c r="H8394" s="31">
        <f>+IFERROR(VLOOKUP(E8394,BD!$L$2:$Q$244,6,0),0)</f>
        <v>0</v>
      </c>
      <c r="I8394" s="626">
        <f>IFERROR(G8394*VLOOKUP($E8394,BD!$L$2:$Q$244,5,0),0)</f>
        <v>0</v>
      </c>
      <c r="J8394" s="3">
        <f t="shared" si="525"/>
        <v>1900</v>
      </c>
    </row>
    <row r="8395" spans="1:10" s="9" customFormat="1" x14ac:dyDescent="0.25">
      <c r="A8395" s="447"/>
      <c r="B8395" s="55" t="str">
        <f t="shared" si="522"/>
        <v>ENERO</v>
      </c>
      <c r="C8395" s="55">
        <f t="shared" si="523"/>
        <v>1</v>
      </c>
      <c r="D8395" s="3" t="str">
        <f t="shared" si="524"/>
        <v>SÁBADO</v>
      </c>
      <c r="E8395" s="427"/>
      <c r="F8395" s="31">
        <f>IFERROR(VLOOKUP(E8395,BD!$L$2:$Q$244,2,0),0)</f>
        <v>0</v>
      </c>
      <c r="G8395" s="424"/>
      <c r="H8395" s="31">
        <f>+IFERROR(VLOOKUP(E8395,BD!$L$2:$Q$244,6,0),0)</f>
        <v>0</v>
      </c>
      <c r="I8395" s="626">
        <f>IFERROR(G8395*VLOOKUP($E8395,BD!$L$2:$Q$244,5,0),0)</f>
        <v>0</v>
      </c>
      <c r="J8395" s="3">
        <f t="shared" si="525"/>
        <v>1900</v>
      </c>
    </row>
    <row r="8396" spans="1:10" s="9" customFormat="1" x14ac:dyDescent="0.25">
      <c r="A8396" s="447"/>
      <c r="B8396" s="55" t="str">
        <f t="shared" si="522"/>
        <v>ENERO</v>
      </c>
      <c r="C8396" s="55">
        <f t="shared" si="523"/>
        <v>1</v>
      </c>
      <c r="D8396" s="3" t="str">
        <f t="shared" si="524"/>
        <v>SÁBADO</v>
      </c>
      <c r="E8396" s="427"/>
      <c r="F8396" s="31">
        <f>IFERROR(VLOOKUP(E8396,BD!$L$2:$Q$244,2,0),0)</f>
        <v>0</v>
      </c>
      <c r="G8396" s="424"/>
      <c r="H8396" s="31">
        <f>+IFERROR(VLOOKUP(E8396,BD!$L$2:$Q$244,6,0),0)</f>
        <v>0</v>
      </c>
      <c r="I8396" s="626">
        <f>IFERROR(G8396*VLOOKUP($E8396,BD!$L$2:$Q$244,5,0),0)</f>
        <v>0</v>
      </c>
      <c r="J8396" s="3">
        <f t="shared" si="525"/>
        <v>1900</v>
      </c>
    </row>
    <row r="8397" spans="1:10" s="9" customFormat="1" x14ac:dyDescent="0.25">
      <c r="A8397" s="447"/>
      <c r="B8397" s="55" t="str">
        <f t="shared" si="522"/>
        <v>ENERO</v>
      </c>
      <c r="C8397" s="55">
        <f t="shared" si="523"/>
        <v>1</v>
      </c>
      <c r="D8397" s="3" t="str">
        <f t="shared" si="524"/>
        <v>SÁBADO</v>
      </c>
      <c r="E8397" s="427"/>
      <c r="F8397" s="31">
        <f>IFERROR(VLOOKUP(E8397,BD!$L$2:$Q$244,2,0),0)</f>
        <v>0</v>
      </c>
      <c r="G8397" s="424"/>
      <c r="H8397" s="31">
        <f>+IFERROR(VLOOKUP(E8397,BD!$L$2:$Q$244,6,0),0)</f>
        <v>0</v>
      </c>
      <c r="I8397" s="626">
        <f>IFERROR(G8397*VLOOKUP($E8397,BD!$L$2:$Q$244,5,0),0)</f>
        <v>0</v>
      </c>
      <c r="J8397" s="3">
        <f t="shared" si="525"/>
        <v>1900</v>
      </c>
    </row>
    <row r="8398" spans="1:10" s="9" customFormat="1" x14ac:dyDescent="0.25">
      <c r="A8398" s="447"/>
      <c r="B8398" s="55" t="str">
        <f t="shared" si="522"/>
        <v>ENERO</v>
      </c>
      <c r="C8398" s="55">
        <f t="shared" si="523"/>
        <v>1</v>
      </c>
      <c r="D8398" s="3" t="str">
        <f t="shared" si="524"/>
        <v>SÁBADO</v>
      </c>
      <c r="E8398" s="427"/>
      <c r="F8398" s="31">
        <f>IFERROR(VLOOKUP(E8398,BD!$L$2:$Q$244,2,0),0)</f>
        <v>0</v>
      </c>
      <c r="G8398" s="424"/>
      <c r="H8398" s="31">
        <f>+IFERROR(VLOOKUP(E8398,BD!$L$2:$Q$244,6,0),0)</f>
        <v>0</v>
      </c>
      <c r="I8398" s="626">
        <f>IFERROR(G8398*VLOOKUP($E8398,BD!$L$2:$Q$244,5,0),0)</f>
        <v>0</v>
      </c>
      <c r="J8398" s="3">
        <f t="shared" si="525"/>
        <v>1900</v>
      </c>
    </row>
    <row r="8399" spans="1:10" s="9" customFormat="1" x14ac:dyDescent="0.25">
      <c r="A8399" s="447"/>
      <c r="B8399" s="55" t="str">
        <f t="shared" si="522"/>
        <v>ENERO</v>
      </c>
      <c r="C8399" s="55">
        <f t="shared" si="523"/>
        <v>1</v>
      </c>
      <c r="D8399" s="3" t="str">
        <f t="shared" si="524"/>
        <v>SÁBADO</v>
      </c>
      <c r="E8399" s="427"/>
      <c r="F8399" s="31">
        <f>IFERROR(VLOOKUP(E8399,BD!$L$2:$Q$244,2,0),0)</f>
        <v>0</v>
      </c>
      <c r="G8399" s="424"/>
      <c r="H8399" s="31">
        <f>+IFERROR(VLOOKUP(E8399,BD!$L$2:$Q$244,6,0),0)</f>
        <v>0</v>
      </c>
      <c r="I8399" s="626">
        <f>IFERROR(G8399*VLOOKUP($E8399,BD!$L$2:$Q$244,5,0),0)</f>
        <v>0</v>
      </c>
      <c r="J8399" s="3">
        <f t="shared" si="525"/>
        <v>1900</v>
      </c>
    </row>
    <row r="8400" spans="1:10" s="9" customFormat="1" x14ac:dyDescent="0.25">
      <c r="A8400" s="447"/>
      <c r="B8400" s="55" t="str">
        <f t="shared" si="522"/>
        <v>ENERO</v>
      </c>
      <c r="C8400" s="55">
        <f t="shared" si="523"/>
        <v>1</v>
      </c>
      <c r="D8400" s="3" t="str">
        <f t="shared" si="524"/>
        <v>SÁBADO</v>
      </c>
      <c r="E8400" s="427"/>
      <c r="F8400" s="31">
        <f>IFERROR(VLOOKUP(E8400,BD!$L$2:$Q$244,2,0),0)</f>
        <v>0</v>
      </c>
      <c r="G8400" s="424"/>
      <c r="H8400" s="31">
        <f>+IFERROR(VLOOKUP(E8400,BD!$L$2:$Q$244,6,0),0)</f>
        <v>0</v>
      </c>
      <c r="I8400" s="626">
        <f>IFERROR(G8400*VLOOKUP($E8400,BD!$L$2:$Q$244,5,0),0)</f>
        <v>0</v>
      </c>
      <c r="J8400" s="3">
        <f t="shared" si="525"/>
        <v>1900</v>
      </c>
    </row>
    <row r="8401" spans="1:10" s="9" customFormat="1" x14ac:dyDescent="0.25">
      <c r="A8401" s="447"/>
      <c r="B8401" s="55" t="str">
        <f t="shared" si="522"/>
        <v>ENERO</v>
      </c>
      <c r="C8401" s="55">
        <f t="shared" si="523"/>
        <v>1</v>
      </c>
      <c r="D8401" s="3" t="str">
        <f t="shared" si="524"/>
        <v>SÁBADO</v>
      </c>
      <c r="E8401" s="427"/>
      <c r="F8401" s="31">
        <f>IFERROR(VLOOKUP(E8401,BD!$L$2:$Q$244,2,0),0)</f>
        <v>0</v>
      </c>
      <c r="G8401" s="424"/>
      <c r="H8401" s="31">
        <f>+IFERROR(VLOOKUP(E8401,BD!$L$2:$Q$244,6,0),0)</f>
        <v>0</v>
      </c>
      <c r="I8401" s="626">
        <f>IFERROR(G8401*VLOOKUP($E8401,BD!$L$2:$Q$244,5,0),0)</f>
        <v>0</v>
      </c>
      <c r="J8401" s="3">
        <f t="shared" si="525"/>
        <v>1900</v>
      </c>
    </row>
    <row r="8402" spans="1:10" s="9" customFormat="1" x14ac:dyDescent="0.25">
      <c r="A8402" s="447"/>
      <c r="B8402" s="55" t="str">
        <f t="shared" si="522"/>
        <v>ENERO</v>
      </c>
      <c r="C8402" s="55">
        <f t="shared" si="523"/>
        <v>1</v>
      </c>
      <c r="D8402" s="3" t="str">
        <f t="shared" si="524"/>
        <v>SÁBADO</v>
      </c>
      <c r="E8402" s="427"/>
      <c r="F8402" s="31">
        <f>IFERROR(VLOOKUP(E8402,BD!$L$2:$Q$244,2,0),0)</f>
        <v>0</v>
      </c>
      <c r="G8402" s="424"/>
      <c r="H8402" s="31">
        <f>+IFERROR(VLOOKUP(E8402,BD!$L$2:$Q$244,6,0),0)</f>
        <v>0</v>
      </c>
      <c r="I8402" s="626">
        <f>IFERROR(G8402*VLOOKUP($E8402,BD!$L$2:$Q$244,5,0),0)</f>
        <v>0</v>
      </c>
      <c r="J8402" s="3">
        <f t="shared" si="525"/>
        <v>1900</v>
      </c>
    </row>
    <row r="8403" spans="1:10" s="9" customFormat="1" x14ac:dyDescent="0.25">
      <c r="A8403" s="447"/>
      <c r="B8403" s="55" t="str">
        <f t="shared" si="522"/>
        <v>ENERO</v>
      </c>
      <c r="C8403" s="55">
        <f t="shared" si="523"/>
        <v>1</v>
      </c>
      <c r="D8403" s="3" t="str">
        <f t="shared" si="524"/>
        <v>SÁBADO</v>
      </c>
      <c r="E8403" s="427"/>
      <c r="F8403" s="31">
        <f>IFERROR(VLOOKUP(E8403,BD!$L$2:$Q$244,2,0),0)</f>
        <v>0</v>
      </c>
      <c r="G8403" s="424"/>
      <c r="H8403" s="31">
        <f>+IFERROR(VLOOKUP(E8403,BD!$L$2:$Q$244,6,0),0)</f>
        <v>0</v>
      </c>
      <c r="I8403" s="626">
        <f>IFERROR(G8403*VLOOKUP($E8403,BD!$L$2:$Q$244,5,0),0)</f>
        <v>0</v>
      </c>
      <c r="J8403" s="3">
        <f t="shared" si="525"/>
        <v>1900</v>
      </c>
    </row>
    <row r="8404" spans="1:10" s="9" customFormat="1" x14ac:dyDescent="0.25">
      <c r="A8404" s="447"/>
      <c r="B8404" s="55" t="str">
        <f t="shared" si="522"/>
        <v>ENERO</v>
      </c>
      <c r="C8404" s="55">
        <f t="shared" si="523"/>
        <v>1</v>
      </c>
      <c r="D8404" s="3" t="str">
        <f t="shared" si="524"/>
        <v>SÁBADO</v>
      </c>
      <c r="E8404" s="427"/>
      <c r="F8404" s="31">
        <f>IFERROR(VLOOKUP(E8404,BD!$L$2:$Q$244,2,0),0)</f>
        <v>0</v>
      </c>
      <c r="G8404" s="424"/>
      <c r="H8404" s="31">
        <f>+IFERROR(VLOOKUP(E8404,BD!$L$2:$Q$244,6,0),0)</f>
        <v>0</v>
      </c>
      <c r="I8404" s="626">
        <f>IFERROR(G8404*VLOOKUP($E8404,BD!$L$2:$Q$244,5,0),0)</f>
        <v>0</v>
      </c>
      <c r="J8404" s="3">
        <f t="shared" si="525"/>
        <v>1900</v>
      </c>
    </row>
    <row r="8405" spans="1:10" s="9" customFormat="1" x14ac:dyDescent="0.25">
      <c r="A8405" s="447"/>
      <c r="B8405" s="55" t="str">
        <f t="shared" si="522"/>
        <v>ENERO</v>
      </c>
      <c r="C8405" s="55">
        <f t="shared" si="523"/>
        <v>1</v>
      </c>
      <c r="D8405" s="3" t="str">
        <f t="shared" si="524"/>
        <v>SÁBADO</v>
      </c>
      <c r="E8405" s="427"/>
      <c r="F8405" s="31">
        <f>IFERROR(VLOOKUP(E8405,BD!$L$2:$Q$244,2,0),0)</f>
        <v>0</v>
      </c>
      <c r="G8405" s="424"/>
      <c r="H8405" s="31">
        <f>+IFERROR(VLOOKUP(E8405,BD!$L$2:$Q$244,6,0),0)</f>
        <v>0</v>
      </c>
      <c r="I8405" s="626">
        <f>IFERROR(G8405*VLOOKUP($E8405,BD!$L$2:$Q$244,5,0),0)</f>
        <v>0</v>
      </c>
      <c r="J8405" s="3">
        <f t="shared" si="525"/>
        <v>1900</v>
      </c>
    </row>
    <row r="8406" spans="1:10" s="9" customFormat="1" x14ac:dyDescent="0.25">
      <c r="A8406" s="447"/>
      <c r="B8406" s="55" t="str">
        <f t="shared" si="522"/>
        <v>ENERO</v>
      </c>
      <c r="C8406" s="55">
        <f t="shared" si="523"/>
        <v>1</v>
      </c>
      <c r="D8406" s="3" t="str">
        <f t="shared" si="524"/>
        <v>SÁBADO</v>
      </c>
      <c r="E8406" s="427"/>
      <c r="F8406" s="31">
        <f>IFERROR(VLOOKUP(E8406,BD!$L$2:$Q$244,2,0),0)</f>
        <v>0</v>
      </c>
      <c r="G8406" s="424"/>
      <c r="H8406" s="31">
        <f>+IFERROR(VLOOKUP(E8406,BD!$L$2:$Q$244,6,0),0)</f>
        <v>0</v>
      </c>
      <c r="I8406" s="626">
        <f>IFERROR(G8406*VLOOKUP($E8406,BD!$L$2:$Q$244,5,0),0)</f>
        <v>0</v>
      </c>
      <c r="J8406" s="3">
        <f t="shared" si="525"/>
        <v>1900</v>
      </c>
    </row>
    <row r="8407" spans="1:10" s="9" customFormat="1" x14ac:dyDescent="0.25">
      <c r="A8407" s="447"/>
      <c r="B8407" s="55" t="str">
        <f t="shared" si="522"/>
        <v>ENERO</v>
      </c>
      <c r="C8407" s="55">
        <f t="shared" si="523"/>
        <v>1</v>
      </c>
      <c r="D8407" s="3" t="str">
        <f t="shared" si="524"/>
        <v>SÁBADO</v>
      </c>
      <c r="E8407" s="427"/>
      <c r="F8407" s="31">
        <f>IFERROR(VLOOKUP(E8407,BD!$L$2:$Q$244,2,0),0)</f>
        <v>0</v>
      </c>
      <c r="G8407" s="424"/>
      <c r="H8407" s="31">
        <f>+IFERROR(VLOOKUP(E8407,BD!$L$2:$Q$244,6,0),0)</f>
        <v>0</v>
      </c>
      <c r="I8407" s="626">
        <f>IFERROR(G8407*VLOOKUP($E8407,BD!$L$2:$Q$244,5,0),0)</f>
        <v>0</v>
      </c>
      <c r="J8407" s="3">
        <f t="shared" si="525"/>
        <v>1900</v>
      </c>
    </row>
    <row r="8408" spans="1:10" s="9" customFormat="1" x14ac:dyDescent="0.25">
      <c r="A8408" s="447"/>
      <c r="B8408" s="55" t="str">
        <f t="shared" si="522"/>
        <v>ENERO</v>
      </c>
      <c r="C8408" s="55">
        <f t="shared" si="523"/>
        <v>1</v>
      </c>
      <c r="D8408" s="3" t="str">
        <f t="shared" si="524"/>
        <v>SÁBADO</v>
      </c>
      <c r="E8408" s="427"/>
      <c r="F8408" s="31">
        <f>IFERROR(VLOOKUP(E8408,BD!$L$2:$Q$244,2,0),0)</f>
        <v>0</v>
      </c>
      <c r="G8408" s="424"/>
      <c r="H8408" s="31">
        <f>+IFERROR(VLOOKUP(E8408,BD!$L$2:$Q$244,6,0),0)</f>
        <v>0</v>
      </c>
      <c r="I8408" s="626">
        <f>IFERROR(G8408*VLOOKUP($E8408,BD!$L$2:$Q$244,5,0),0)</f>
        <v>0</v>
      </c>
      <c r="J8408" s="3">
        <f t="shared" si="525"/>
        <v>1900</v>
      </c>
    </row>
    <row r="8409" spans="1:10" s="9" customFormat="1" x14ac:dyDescent="0.25">
      <c r="A8409" s="447"/>
      <c r="B8409" s="55" t="str">
        <f t="shared" si="522"/>
        <v>ENERO</v>
      </c>
      <c r="C8409" s="55">
        <f t="shared" si="523"/>
        <v>1</v>
      </c>
      <c r="D8409" s="3" t="str">
        <f t="shared" si="524"/>
        <v>SÁBADO</v>
      </c>
      <c r="E8409" s="427"/>
      <c r="F8409" s="31">
        <f>IFERROR(VLOOKUP(E8409,BD!$L$2:$Q$244,2,0),0)</f>
        <v>0</v>
      </c>
      <c r="G8409" s="424"/>
      <c r="H8409" s="31">
        <f>+IFERROR(VLOOKUP(E8409,BD!$L$2:$Q$244,6,0),0)</f>
        <v>0</v>
      </c>
      <c r="I8409" s="626">
        <f>IFERROR(G8409*VLOOKUP($E8409,BD!$L$2:$Q$244,5,0),0)</f>
        <v>0</v>
      </c>
      <c r="J8409" s="3">
        <f t="shared" si="525"/>
        <v>1900</v>
      </c>
    </row>
    <row r="8410" spans="1:10" s="9" customFormat="1" x14ac:dyDescent="0.25">
      <c r="A8410" s="447"/>
      <c r="B8410" s="55" t="str">
        <f t="shared" si="522"/>
        <v>ENERO</v>
      </c>
      <c r="C8410" s="55">
        <f t="shared" si="523"/>
        <v>1</v>
      </c>
      <c r="D8410" s="3" t="str">
        <f t="shared" si="524"/>
        <v>SÁBADO</v>
      </c>
      <c r="E8410" s="427"/>
      <c r="F8410" s="31">
        <f>IFERROR(VLOOKUP(E8410,BD!$L$2:$Q$244,2,0),0)</f>
        <v>0</v>
      </c>
      <c r="G8410" s="424"/>
      <c r="H8410" s="31">
        <f>+IFERROR(VLOOKUP(E8410,BD!$L$2:$Q$244,6,0),0)</f>
        <v>0</v>
      </c>
      <c r="I8410" s="626">
        <f>IFERROR(G8410*VLOOKUP($E8410,BD!$L$2:$Q$244,5,0),0)</f>
        <v>0</v>
      </c>
      <c r="J8410" s="3">
        <f t="shared" si="525"/>
        <v>1900</v>
      </c>
    </row>
    <row r="8411" spans="1:10" s="9" customFormat="1" x14ac:dyDescent="0.25">
      <c r="A8411" s="447"/>
      <c r="B8411" s="55" t="str">
        <f t="shared" si="522"/>
        <v>ENERO</v>
      </c>
      <c r="C8411" s="55">
        <f t="shared" si="523"/>
        <v>1</v>
      </c>
      <c r="D8411" s="3" t="str">
        <f t="shared" si="524"/>
        <v>SÁBADO</v>
      </c>
      <c r="E8411" s="427"/>
      <c r="F8411" s="31">
        <f>IFERROR(VLOOKUP(E8411,BD!$L$2:$Q$244,2,0),0)</f>
        <v>0</v>
      </c>
      <c r="G8411" s="424"/>
      <c r="H8411" s="31">
        <f>+IFERROR(VLOOKUP(E8411,BD!$L$2:$Q$244,6,0),0)</f>
        <v>0</v>
      </c>
      <c r="I8411" s="626">
        <f>IFERROR(G8411*VLOOKUP($E8411,BD!$L$2:$Q$244,5,0),0)</f>
        <v>0</v>
      </c>
      <c r="J8411" s="3">
        <f t="shared" si="525"/>
        <v>1900</v>
      </c>
    </row>
    <row r="8412" spans="1:10" s="9" customFormat="1" x14ac:dyDescent="0.25">
      <c r="A8412" s="447"/>
      <c r="B8412" s="55" t="str">
        <f t="shared" si="522"/>
        <v>ENERO</v>
      </c>
      <c r="C8412" s="55">
        <f t="shared" si="523"/>
        <v>1</v>
      </c>
      <c r="D8412" s="3" t="str">
        <f t="shared" si="524"/>
        <v>SÁBADO</v>
      </c>
      <c r="E8412" s="427"/>
      <c r="F8412" s="31">
        <f>IFERROR(VLOOKUP(E8412,BD!$L$2:$Q$244,2,0),0)</f>
        <v>0</v>
      </c>
      <c r="G8412" s="424"/>
      <c r="H8412" s="31">
        <f>+IFERROR(VLOOKUP(E8412,BD!$L$2:$Q$244,6,0),0)</f>
        <v>0</v>
      </c>
      <c r="I8412" s="626">
        <f>IFERROR(G8412*VLOOKUP($E8412,BD!$L$2:$Q$244,5,0),0)</f>
        <v>0</v>
      </c>
      <c r="J8412" s="3">
        <f t="shared" si="525"/>
        <v>1900</v>
      </c>
    </row>
    <row r="8413" spans="1:10" s="9" customFormat="1" x14ac:dyDescent="0.25">
      <c r="A8413" s="447"/>
      <c r="B8413" s="55" t="str">
        <f t="shared" si="522"/>
        <v>ENERO</v>
      </c>
      <c r="C8413" s="55">
        <f t="shared" si="523"/>
        <v>1</v>
      </c>
      <c r="D8413" s="3" t="str">
        <f t="shared" si="524"/>
        <v>SÁBADO</v>
      </c>
      <c r="E8413" s="427"/>
      <c r="F8413" s="31">
        <f>IFERROR(VLOOKUP(E8413,BD!$L$2:$Q$244,2,0),0)</f>
        <v>0</v>
      </c>
      <c r="G8413" s="424"/>
      <c r="H8413" s="31">
        <f>+IFERROR(VLOOKUP(E8413,BD!$L$2:$Q$244,6,0),0)</f>
        <v>0</v>
      </c>
      <c r="I8413" s="626">
        <f>IFERROR(G8413*VLOOKUP($E8413,BD!$L$2:$Q$244,5,0),0)</f>
        <v>0</v>
      </c>
      <c r="J8413" s="3">
        <f t="shared" si="525"/>
        <v>1900</v>
      </c>
    </row>
    <row r="8414" spans="1:10" s="9" customFormat="1" x14ac:dyDescent="0.25">
      <c r="A8414" s="447"/>
      <c r="B8414" s="55" t="str">
        <f t="shared" si="522"/>
        <v>ENERO</v>
      </c>
      <c r="C8414" s="55">
        <f t="shared" si="523"/>
        <v>1</v>
      </c>
      <c r="D8414" s="3" t="str">
        <f t="shared" si="524"/>
        <v>SÁBADO</v>
      </c>
      <c r="E8414" s="427"/>
      <c r="F8414" s="31">
        <f>IFERROR(VLOOKUP(E8414,BD!$L$2:$Q$244,2,0),0)</f>
        <v>0</v>
      </c>
      <c r="G8414" s="424"/>
      <c r="H8414" s="31">
        <f>+IFERROR(VLOOKUP(E8414,BD!$L$2:$Q$244,6,0),0)</f>
        <v>0</v>
      </c>
      <c r="I8414" s="626">
        <f>IFERROR(G8414*VLOOKUP($E8414,BD!$L$2:$Q$244,5,0),0)</f>
        <v>0</v>
      </c>
      <c r="J8414" s="3">
        <f t="shared" si="525"/>
        <v>1900</v>
      </c>
    </row>
    <row r="8415" spans="1:10" s="9" customFormat="1" x14ac:dyDescent="0.25">
      <c r="A8415" s="447"/>
      <c r="B8415" s="55" t="str">
        <f t="shared" si="522"/>
        <v>ENERO</v>
      </c>
      <c r="C8415" s="55">
        <f t="shared" si="523"/>
        <v>1</v>
      </c>
      <c r="D8415" s="3" t="str">
        <f t="shared" si="524"/>
        <v>SÁBADO</v>
      </c>
      <c r="E8415" s="427"/>
      <c r="F8415" s="31">
        <f>IFERROR(VLOOKUP(E8415,BD!$L$2:$Q$244,2,0),0)</f>
        <v>0</v>
      </c>
      <c r="G8415" s="424"/>
      <c r="H8415" s="31">
        <f>+IFERROR(VLOOKUP(E8415,BD!$L$2:$Q$244,6,0),0)</f>
        <v>0</v>
      </c>
      <c r="I8415" s="626">
        <f>IFERROR(G8415*VLOOKUP($E8415,BD!$L$2:$Q$244,5,0),0)</f>
        <v>0</v>
      </c>
      <c r="J8415" s="3">
        <f t="shared" si="525"/>
        <v>1900</v>
      </c>
    </row>
    <row r="8416" spans="1:10" s="9" customFormat="1" x14ac:dyDescent="0.25">
      <c r="A8416" s="447"/>
      <c r="B8416" s="55" t="str">
        <f t="shared" si="522"/>
        <v>ENERO</v>
      </c>
      <c r="C8416" s="55">
        <f t="shared" si="523"/>
        <v>1</v>
      </c>
      <c r="D8416" s="3" t="str">
        <f t="shared" si="524"/>
        <v>SÁBADO</v>
      </c>
      <c r="E8416" s="427"/>
      <c r="F8416" s="31">
        <f>IFERROR(VLOOKUP(E8416,BD!$L$2:$Q$244,2,0),0)</f>
        <v>0</v>
      </c>
      <c r="G8416" s="424"/>
      <c r="H8416" s="31">
        <f>+IFERROR(VLOOKUP(E8416,BD!$L$2:$Q$244,6,0),0)</f>
        <v>0</v>
      </c>
      <c r="I8416" s="626">
        <f>IFERROR(G8416*VLOOKUP($E8416,BD!$L$2:$Q$244,5,0),0)</f>
        <v>0</v>
      </c>
      <c r="J8416" s="3">
        <f t="shared" si="525"/>
        <v>1900</v>
      </c>
    </row>
    <row r="8417" spans="1:10" s="9" customFormat="1" x14ac:dyDescent="0.25">
      <c r="A8417" s="447"/>
      <c r="B8417" s="55" t="str">
        <f t="shared" si="522"/>
        <v>ENERO</v>
      </c>
      <c r="C8417" s="55">
        <f t="shared" si="523"/>
        <v>1</v>
      </c>
      <c r="D8417" s="3" t="str">
        <f t="shared" si="524"/>
        <v>SÁBADO</v>
      </c>
      <c r="E8417" s="427"/>
      <c r="F8417" s="31">
        <f>IFERROR(VLOOKUP(E8417,BD!$L$2:$Q$244,2,0),0)</f>
        <v>0</v>
      </c>
      <c r="G8417" s="424"/>
      <c r="H8417" s="31">
        <f>+IFERROR(VLOOKUP(E8417,BD!$L$2:$Q$244,6,0),0)</f>
        <v>0</v>
      </c>
      <c r="I8417" s="626">
        <f>IFERROR(G8417*VLOOKUP($E8417,BD!$L$2:$Q$244,5,0),0)</f>
        <v>0</v>
      </c>
      <c r="J8417" s="3">
        <f t="shared" si="525"/>
        <v>1900</v>
      </c>
    </row>
    <row r="8418" spans="1:10" s="9" customFormat="1" x14ac:dyDescent="0.25">
      <c r="A8418" s="447"/>
      <c r="B8418" s="55" t="str">
        <f t="shared" si="522"/>
        <v>ENERO</v>
      </c>
      <c r="C8418" s="55">
        <f t="shared" si="523"/>
        <v>1</v>
      </c>
      <c r="D8418" s="3" t="str">
        <f t="shared" si="524"/>
        <v>SÁBADO</v>
      </c>
      <c r="E8418" s="427"/>
      <c r="F8418" s="31">
        <f>IFERROR(VLOOKUP(E8418,BD!$L$2:$Q$244,2,0),0)</f>
        <v>0</v>
      </c>
      <c r="G8418" s="424"/>
      <c r="H8418" s="31">
        <f>+IFERROR(VLOOKUP(E8418,BD!$L$2:$Q$244,6,0),0)</f>
        <v>0</v>
      </c>
      <c r="I8418" s="626">
        <f>IFERROR(G8418*VLOOKUP($E8418,BD!$L$2:$Q$244,5,0),0)</f>
        <v>0</v>
      </c>
      <c r="J8418" s="3">
        <f t="shared" si="525"/>
        <v>1900</v>
      </c>
    </row>
    <row r="8419" spans="1:10" s="9" customFormat="1" x14ac:dyDescent="0.25">
      <c r="A8419" s="447"/>
      <c r="B8419" s="55" t="str">
        <f t="shared" si="522"/>
        <v>ENERO</v>
      </c>
      <c r="C8419" s="55">
        <f t="shared" si="523"/>
        <v>1</v>
      </c>
      <c r="D8419" s="3" t="str">
        <f t="shared" si="524"/>
        <v>SÁBADO</v>
      </c>
      <c r="E8419" s="427"/>
      <c r="F8419" s="31">
        <f>IFERROR(VLOOKUP(E8419,BD!$L$2:$Q$244,2,0),0)</f>
        <v>0</v>
      </c>
      <c r="G8419" s="424"/>
      <c r="H8419" s="31">
        <f>+IFERROR(VLOOKUP(E8419,BD!$L$2:$Q$244,6,0),0)</f>
        <v>0</v>
      </c>
      <c r="I8419" s="626">
        <f>IFERROR(G8419*VLOOKUP($E8419,BD!$L$2:$Q$244,5,0),0)</f>
        <v>0</v>
      </c>
      <c r="J8419" s="3">
        <f t="shared" si="525"/>
        <v>1900</v>
      </c>
    </row>
    <row r="8420" spans="1:10" s="9" customFormat="1" x14ac:dyDescent="0.25">
      <c r="A8420" s="447"/>
      <c r="B8420" s="55" t="str">
        <f t="shared" si="522"/>
        <v>ENERO</v>
      </c>
      <c r="C8420" s="55">
        <f t="shared" si="523"/>
        <v>1</v>
      </c>
      <c r="D8420" s="3" t="str">
        <f t="shared" si="524"/>
        <v>SÁBADO</v>
      </c>
      <c r="E8420" s="427"/>
      <c r="F8420" s="31">
        <f>IFERROR(VLOOKUP(E8420,BD!$L$2:$Q$244,2,0),0)</f>
        <v>0</v>
      </c>
      <c r="G8420" s="424"/>
      <c r="H8420" s="31">
        <f>+IFERROR(VLOOKUP(E8420,BD!$L$2:$Q$244,6,0),0)</f>
        <v>0</v>
      </c>
      <c r="I8420" s="626">
        <f>IFERROR(G8420*VLOOKUP($E8420,BD!$L$2:$Q$244,5,0),0)</f>
        <v>0</v>
      </c>
      <c r="J8420" s="3">
        <f t="shared" si="525"/>
        <v>1900</v>
      </c>
    </row>
    <row r="8421" spans="1:10" s="9" customFormat="1" x14ac:dyDescent="0.25">
      <c r="A8421" s="447"/>
      <c r="B8421" s="55" t="str">
        <f t="shared" si="522"/>
        <v>ENERO</v>
      </c>
      <c r="C8421" s="55">
        <f t="shared" si="523"/>
        <v>1</v>
      </c>
      <c r="D8421" s="3" t="str">
        <f t="shared" si="524"/>
        <v>SÁBADO</v>
      </c>
      <c r="E8421" s="427"/>
      <c r="F8421" s="31">
        <f>IFERROR(VLOOKUP(E8421,BD!$L$2:$Q$244,2,0),0)</f>
        <v>0</v>
      </c>
      <c r="G8421" s="424"/>
      <c r="H8421" s="31">
        <f>+IFERROR(VLOOKUP(E8421,BD!$L$2:$Q$244,6,0),0)</f>
        <v>0</v>
      </c>
      <c r="I8421" s="626">
        <f>IFERROR(G8421*VLOOKUP($E8421,BD!$L$2:$Q$244,5,0),0)</f>
        <v>0</v>
      </c>
      <c r="J8421" s="3">
        <f t="shared" si="525"/>
        <v>1900</v>
      </c>
    </row>
    <row r="8422" spans="1:10" s="9" customFormat="1" x14ac:dyDescent="0.25">
      <c r="A8422" s="447"/>
      <c r="B8422" s="55" t="str">
        <f t="shared" si="522"/>
        <v>ENERO</v>
      </c>
      <c r="C8422" s="55">
        <f t="shared" si="523"/>
        <v>1</v>
      </c>
      <c r="D8422" s="3" t="str">
        <f t="shared" si="524"/>
        <v>SÁBADO</v>
      </c>
      <c r="E8422" s="427"/>
      <c r="F8422" s="31">
        <f>IFERROR(VLOOKUP(E8422,BD!$L$2:$Q$244,2,0),0)</f>
        <v>0</v>
      </c>
      <c r="G8422" s="424"/>
      <c r="H8422" s="31">
        <f>+IFERROR(VLOOKUP(E8422,BD!$L$2:$Q$244,6,0),0)</f>
        <v>0</v>
      </c>
      <c r="I8422" s="626">
        <f>IFERROR(G8422*VLOOKUP($E8422,BD!$L$2:$Q$244,5,0),0)</f>
        <v>0</v>
      </c>
      <c r="J8422" s="3">
        <f t="shared" si="525"/>
        <v>1900</v>
      </c>
    </row>
    <row r="8423" spans="1:10" s="9" customFormat="1" x14ac:dyDescent="0.25">
      <c r="A8423" s="447"/>
      <c r="B8423" s="55" t="str">
        <f t="shared" si="522"/>
        <v>ENERO</v>
      </c>
      <c r="C8423" s="55">
        <f t="shared" si="523"/>
        <v>1</v>
      </c>
      <c r="D8423" s="3" t="str">
        <f t="shared" si="524"/>
        <v>SÁBADO</v>
      </c>
      <c r="E8423" s="427"/>
      <c r="F8423" s="31">
        <f>IFERROR(VLOOKUP(E8423,BD!$L$2:$Q$244,2,0),0)</f>
        <v>0</v>
      </c>
      <c r="G8423" s="424"/>
      <c r="H8423" s="31">
        <f>+IFERROR(VLOOKUP(E8423,BD!$L$2:$Q$244,6,0),0)</f>
        <v>0</v>
      </c>
      <c r="I8423" s="626">
        <f>IFERROR(G8423*VLOOKUP($E8423,BD!$L$2:$Q$244,5,0),0)</f>
        <v>0</v>
      </c>
      <c r="J8423" s="3">
        <f t="shared" si="525"/>
        <v>1900</v>
      </c>
    </row>
    <row r="8424" spans="1:10" s="9" customFormat="1" x14ac:dyDescent="0.25">
      <c r="A8424" s="447"/>
      <c r="B8424" s="55" t="str">
        <f t="shared" si="522"/>
        <v>ENERO</v>
      </c>
      <c r="C8424" s="55">
        <f t="shared" si="523"/>
        <v>1</v>
      </c>
      <c r="D8424" s="3" t="str">
        <f t="shared" si="524"/>
        <v>SÁBADO</v>
      </c>
      <c r="E8424" s="427"/>
      <c r="F8424" s="31">
        <f>IFERROR(VLOOKUP(E8424,BD!$L$2:$Q$244,2,0),0)</f>
        <v>0</v>
      </c>
      <c r="G8424" s="424"/>
      <c r="H8424" s="31">
        <f>+IFERROR(VLOOKUP(E8424,BD!$L$2:$Q$244,6,0),0)</f>
        <v>0</v>
      </c>
      <c r="I8424" s="626">
        <f>IFERROR(G8424*VLOOKUP($E8424,BD!$L$2:$Q$244,5,0),0)</f>
        <v>0</v>
      </c>
      <c r="J8424" s="3">
        <f t="shared" si="525"/>
        <v>1900</v>
      </c>
    </row>
    <row r="8425" spans="1:10" s="9" customFormat="1" x14ac:dyDescent="0.25">
      <c r="A8425" s="447"/>
      <c r="B8425" s="55" t="str">
        <f t="shared" si="522"/>
        <v>ENERO</v>
      </c>
      <c r="C8425" s="55">
        <f t="shared" si="523"/>
        <v>1</v>
      </c>
      <c r="D8425" s="3" t="str">
        <f t="shared" si="524"/>
        <v>SÁBADO</v>
      </c>
      <c r="E8425" s="427"/>
      <c r="F8425" s="31">
        <f>IFERROR(VLOOKUP(E8425,BD!$L$2:$Q$244,2,0),0)</f>
        <v>0</v>
      </c>
      <c r="G8425" s="424"/>
      <c r="H8425" s="31">
        <f>+IFERROR(VLOOKUP(E8425,BD!$L$2:$Q$244,6,0),0)</f>
        <v>0</v>
      </c>
      <c r="I8425" s="626">
        <f>IFERROR(G8425*VLOOKUP($E8425,BD!$L$2:$Q$244,5,0),0)</f>
        <v>0</v>
      </c>
      <c r="J8425" s="3">
        <f t="shared" si="525"/>
        <v>1900</v>
      </c>
    </row>
    <row r="8426" spans="1:10" s="9" customFormat="1" x14ac:dyDescent="0.25">
      <c r="A8426" s="447"/>
      <c r="B8426" s="55" t="str">
        <f t="shared" si="522"/>
        <v>ENERO</v>
      </c>
      <c r="C8426" s="55">
        <f t="shared" si="523"/>
        <v>1</v>
      </c>
      <c r="D8426" s="3" t="str">
        <f t="shared" si="524"/>
        <v>SÁBADO</v>
      </c>
      <c r="E8426" s="427"/>
      <c r="F8426" s="31">
        <f>IFERROR(VLOOKUP(E8426,BD!$L$2:$Q$244,2,0),0)</f>
        <v>0</v>
      </c>
      <c r="G8426" s="424"/>
      <c r="H8426" s="31">
        <f>+IFERROR(VLOOKUP(E8426,BD!$L$2:$Q$244,6,0),0)</f>
        <v>0</v>
      </c>
      <c r="I8426" s="626">
        <f>IFERROR(G8426*VLOOKUP($E8426,BD!$L$2:$Q$244,5,0),0)</f>
        <v>0</v>
      </c>
      <c r="J8426" s="3">
        <f t="shared" si="525"/>
        <v>1900</v>
      </c>
    </row>
    <row r="8427" spans="1:10" s="9" customFormat="1" x14ac:dyDescent="0.25">
      <c r="A8427" s="447"/>
      <c r="B8427" s="55" t="str">
        <f t="shared" si="522"/>
        <v>ENERO</v>
      </c>
      <c r="C8427" s="55">
        <f t="shared" si="523"/>
        <v>1</v>
      </c>
      <c r="D8427" s="3" t="str">
        <f t="shared" si="524"/>
        <v>SÁBADO</v>
      </c>
      <c r="E8427" s="427"/>
      <c r="F8427" s="31">
        <f>IFERROR(VLOOKUP(E8427,BD!$L$2:$Q$244,2,0),0)</f>
        <v>0</v>
      </c>
      <c r="G8427" s="424"/>
      <c r="H8427" s="31">
        <f>+IFERROR(VLOOKUP(E8427,BD!$L$2:$Q$244,6,0),0)</f>
        <v>0</v>
      </c>
      <c r="I8427" s="626">
        <f>IFERROR(G8427*VLOOKUP($E8427,BD!$L$2:$Q$244,5,0),0)</f>
        <v>0</v>
      </c>
      <c r="J8427" s="3">
        <f t="shared" si="525"/>
        <v>1900</v>
      </c>
    </row>
    <row r="8428" spans="1:10" s="9" customFormat="1" x14ac:dyDescent="0.25">
      <c r="A8428" s="447"/>
      <c r="B8428" s="55" t="str">
        <f t="shared" si="522"/>
        <v>ENERO</v>
      </c>
      <c r="C8428" s="55">
        <f t="shared" si="523"/>
        <v>1</v>
      </c>
      <c r="D8428" s="3" t="str">
        <f t="shared" si="524"/>
        <v>SÁBADO</v>
      </c>
      <c r="E8428" s="427"/>
      <c r="F8428" s="31">
        <f>IFERROR(VLOOKUP(E8428,BD!$L$2:$Q$244,2,0),0)</f>
        <v>0</v>
      </c>
      <c r="G8428" s="424"/>
      <c r="H8428" s="31">
        <f>+IFERROR(VLOOKUP(E8428,BD!$L$2:$Q$244,6,0),0)</f>
        <v>0</v>
      </c>
      <c r="I8428" s="626">
        <f>IFERROR(G8428*VLOOKUP($E8428,BD!$L$2:$Q$244,5,0),0)</f>
        <v>0</v>
      </c>
      <c r="J8428" s="3">
        <f t="shared" si="525"/>
        <v>1900</v>
      </c>
    </row>
    <row r="8429" spans="1:10" s="9" customFormat="1" x14ac:dyDescent="0.25">
      <c r="A8429" s="447"/>
      <c r="B8429" s="55" t="str">
        <f t="shared" si="522"/>
        <v>ENERO</v>
      </c>
      <c r="C8429" s="55">
        <f t="shared" si="523"/>
        <v>1</v>
      </c>
      <c r="D8429" s="3" t="str">
        <f t="shared" si="524"/>
        <v>SÁBADO</v>
      </c>
      <c r="E8429" s="427"/>
      <c r="F8429" s="31">
        <f>IFERROR(VLOOKUP(E8429,BD!$L$2:$Q$244,2,0),0)</f>
        <v>0</v>
      </c>
      <c r="G8429" s="424"/>
      <c r="H8429" s="31">
        <f>+IFERROR(VLOOKUP(E8429,BD!$L$2:$Q$244,6,0),0)</f>
        <v>0</v>
      </c>
      <c r="I8429" s="626">
        <f>IFERROR(G8429*VLOOKUP($E8429,BD!$L$2:$Q$244,5,0),0)</f>
        <v>0</v>
      </c>
      <c r="J8429" s="3">
        <f t="shared" si="525"/>
        <v>1900</v>
      </c>
    </row>
    <row r="8430" spans="1:10" s="9" customFormat="1" x14ac:dyDescent="0.25">
      <c r="A8430" s="447"/>
      <c r="B8430" s="55" t="str">
        <f t="shared" si="522"/>
        <v>ENERO</v>
      </c>
      <c r="C8430" s="55">
        <f t="shared" si="523"/>
        <v>1</v>
      </c>
      <c r="D8430" s="3" t="str">
        <f t="shared" si="524"/>
        <v>SÁBADO</v>
      </c>
      <c r="E8430" s="427"/>
      <c r="F8430" s="31">
        <f>IFERROR(VLOOKUP(E8430,BD!$L$2:$Q$244,2,0),0)</f>
        <v>0</v>
      </c>
      <c r="G8430" s="424"/>
      <c r="H8430" s="31">
        <f>+IFERROR(VLOOKUP(E8430,BD!$L$2:$Q$244,6,0),0)</f>
        <v>0</v>
      </c>
      <c r="I8430" s="626">
        <f>IFERROR(G8430*VLOOKUP($E8430,BD!$L$2:$Q$244,5,0),0)</f>
        <v>0</v>
      </c>
      <c r="J8430" s="3">
        <f t="shared" si="525"/>
        <v>1900</v>
      </c>
    </row>
    <row r="8431" spans="1:10" s="9" customFormat="1" x14ac:dyDescent="0.25">
      <c r="A8431" s="447"/>
      <c r="B8431" s="55" t="str">
        <f t="shared" si="522"/>
        <v>ENERO</v>
      </c>
      <c r="C8431" s="55">
        <f t="shared" si="523"/>
        <v>1</v>
      </c>
      <c r="D8431" s="3" t="str">
        <f t="shared" si="524"/>
        <v>SÁBADO</v>
      </c>
      <c r="E8431" s="427"/>
      <c r="F8431" s="31">
        <f>IFERROR(VLOOKUP(E8431,BD!$L$2:$Q$244,2,0),0)</f>
        <v>0</v>
      </c>
      <c r="G8431" s="424"/>
      <c r="H8431" s="31">
        <f>+IFERROR(VLOOKUP(E8431,BD!$L$2:$Q$244,6,0),0)</f>
        <v>0</v>
      </c>
      <c r="I8431" s="626">
        <f>IFERROR(G8431*VLOOKUP($E8431,BD!$L$2:$Q$244,5,0),0)</f>
        <v>0</v>
      </c>
      <c r="J8431" s="3">
        <f t="shared" si="525"/>
        <v>1900</v>
      </c>
    </row>
    <row r="8432" spans="1:10" s="9" customFormat="1" x14ac:dyDescent="0.25">
      <c r="A8432" s="447"/>
      <c r="B8432" s="55" t="str">
        <f t="shared" si="522"/>
        <v>ENERO</v>
      </c>
      <c r="C8432" s="55">
        <f t="shared" si="523"/>
        <v>1</v>
      </c>
      <c r="D8432" s="3" t="str">
        <f t="shared" si="524"/>
        <v>SÁBADO</v>
      </c>
      <c r="E8432" s="427"/>
      <c r="F8432" s="31">
        <f>IFERROR(VLOOKUP(E8432,BD!$L$2:$Q$244,2,0),0)</f>
        <v>0</v>
      </c>
      <c r="G8432" s="424"/>
      <c r="H8432" s="31">
        <f>+IFERROR(VLOOKUP(E8432,BD!$L$2:$Q$244,6,0),0)</f>
        <v>0</v>
      </c>
      <c r="I8432" s="626">
        <f>IFERROR(G8432*VLOOKUP($E8432,BD!$L$2:$Q$244,5,0),0)</f>
        <v>0</v>
      </c>
      <c r="J8432" s="3">
        <f t="shared" si="525"/>
        <v>1900</v>
      </c>
    </row>
    <row r="8433" spans="1:10" s="9" customFormat="1" x14ac:dyDescent="0.25">
      <c r="A8433" s="447"/>
      <c r="B8433" s="55" t="str">
        <f t="shared" si="522"/>
        <v>ENERO</v>
      </c>
      <c r="C8433" s="55">
        <f t="shared" si="523"/>
        <v>1</v>
      </c>
      <c r="D8433" s="3" t="str">
        <f t="shared" si="524"/>
        <v>SÁBADO</v>
      </c>
      <c r="E8433" s="427"/>
      <c r="F8433" s="31">
        <f>IFERROR(VLOOKUP(E8433,BD!$L$2:$Q$244,2,0),0)</f>
        <v>0</v>
      </c>
      <c r="G8433" s="424"/>
      <c r="H8433" s="31">
        <f>+IFERROR(VLOOKUP(E8433,BD!$L$2:$Q$244,6,0),0)</f>
        <v>0</v>
      </c>
      <c r="I8433" s="626">
        <f>IFERROR(G8433*VLOOKUP($E8433,BD!$L$2:$Q$244,5,0),0)</f>
        <v>0</v>
      </c>
      <c r="J8433" s="3">
        <f t="shared" si="525"/>
        <v>1900</v>
      </c>
    </row>
    <row r="8434" spans="1:10" s="9" customFormat="1" x14ac:dyDescent="0.25">
      <c r="A8434" s="447"/>
      <c r="B8434" s="55" t="str">
        <f t="shared" si="522"/>
        <v>ENERO</v>
      </c>
      <c r="C8434" s="55">
        <f t="shared" si="523"/>
        <v>1</v>
      </c>
      <c r="D8434" s="3" t="str">
        <f t="shared" si="524"/>
        <v>SÁBADO</v>
      </c>
      <c r="E8434" s="427"/>
      <c r="F8434" s="31">
        <f>IFERROR(VLOOKUP(E8434,BD!$L$2:$Q$244,2,0),0)</f>
        <v>0</v>
      </c>
      <c r="G8434" s="424"/>
      <c r="H8434" s="31">
        <f>+IFERROR(VLOOKUP(E8434,BD!$L$2:$Q$244,6,0),0)</f>
        <v>0</v>
      </c>
      <c r="I8434" s="626">
        <f>IFERROR(G8434*VLOOKUP($E8434,BD!$L$2:$Q$244,5,0),0)</f>
        <v>0</v>
      </c>
      <c r="J8434" s="3">
        <f t="shared" si="525"/>
        <v>1900</v>
      </c>
    </row>
    <row r="8435" spans="1:10" s="9" customFormat="1" x14ac:dyDescent="0.25">
      <c r="A8435" s="447"/>
      <c r="B8435" s="55" t="str">
        <f t="shared" si="522"/>
        <v>ENERO</v>
      </c>
      <c r="C8435" s="55">
        <f t="shared" si="523"/>
        <v>1</v>
      </c>
      <c r="D8435" s="3" t="str">
        <f t="shared" si="524"/>
        <v>SÁBADO</v>
      </c>
      <c r="E8435" s="427"/>
      <c r="F8435" s="31">
        <f>IFERROR(VLOOKUP(E8435,BD!$L$2:$Q$244,2,0),0)</f>
        <v>0</v>
      </c>
      <c r="G8435" s="424"/>
      <c r="H8435" s="31">
        <f>+IFERROR(VLOOKUP(E8435,BD!$L$2:$Q$244,6,0),0)</f>
        <v>0</v>
      </c>
      <c r="I8435" s="626">
        <f>IFERROR(G8435*VLOOKUP($E8435,BD!$L$2:$Q$244,5,0),0)</f>
        <v>0</v>
      </c>
      <c r="J8435" s="3">
        <f t="shared" si="525"/>
        <v>1900</v>
      </c>
    </row>
    <row r="8436" spans="1:10" s="9" customFormat="1" x14ac:dyDescent="0.25">
      <c r="A8436" s="447"/>
      <c r="B8436" s="55" t="str">
        <f t="shared" si="522"/>
        <v>ENERO</v>
      </c>
      <c r="C8436" s="55">
        <f t="shared" si="523"/>
        <v>1</v>
      </c>
      <c r="D8436" s="3" t="str">
        <f t="shared" si="524"/>
        <v>SÁBADO</v>
      </c>
      <c r="E8436" s="427"/>
      <c r="F8436" s="31">
        <f>IFERROR(VLOOKUP(E8436,BD!$L$2:$Q$244,2,0),0)</f>
        <v>0</v>
      </c>
      <c r="G8436" s="424"/>
      <c r="H8436" s="31">
        <f>+IFERROR(VLOOKUP(E8436,BD!$L$2:$Q$244,6,0),0)</f>
        <v>0</v>
      </c>
      <c r="I8436" s="626">
        <f>IFERROR(G8436*VLOOKUP($E8436,BD!$L$2:$Q$244,5,0),0)</f>
        <v>0</v>
      </c>
      <c r="J8436" s="3">
        <f t="shared" si="525"/>
        <v>1900</v>
      </c>
    </row>
    <row r="8437" spans="1:10" s="9" customFormat="1" x14ac:dyDescent="0.25">
      <c r="A8437" s="447"/>
      <c r="B8437" s="55" t="str">
        <f t="shared" si="522"/>
        <v>ENERO</v>
      </c>
      <c r="C8437" s="55">
        <f t="shared" si="523"/>
        <v>1</v>
      </c>
      <c r="D8437" s="3" t="str">
        <f t="shared" si="524"/>
        <v>SÁBADO</v>
      </c>
      <c r="E8437" s="427"/>
      <c r="F8437" s="31">
        <f>IFERROR(VLOOKUP(E8437,BD!$L$2:$Q$244,2,0),0)</f>
        <v>0</v>
      </c>
      <c r="G8437" s="424"/>
      <c r="H8437" s="31">
        <f>+IFERROR(VLOOKUP(E8437,BD!$L$2:$Q$244,6,0),0)</f>
        <v>0</v>
      </c>
      <c r="I8437" s="626">
        <f>IFERROR(G8437*VLOOKUP($E8437,BD!$L$2:$Q$244,5,0),0)</f>
        <v>0</v>
      </c>
      <c r="J8437" s="3">
        <f t="shared" si="525"/>
        <v>1900</v>
      </c>
    </row>
    <row r="8438" spans="1:10" s="9" customFormat="1" x14ac:dyDescent="0.25">
      <c r="A8438" s="447"/>
      <c r="B8438" s="55" t="str">
        <f t="shared" si="522"/>
        <v>ENERO</v>
      </c>
      <c r="C8438" s="55">
        <f t="shared" si="523"/>
        <v>1</v>
      </c>
      <c r="D8438" s="3" t="str">
        <f t="shared" si="524"/>
        <v>SÁBADO</v>
      </c>
      <c r="E8438" s="427"/>
      <c r="F8438" s="31">
        <f>IFERROR(VLOOKUP(E8438,BD!$L$2:$Q$244,2,0),0)</f>
        <v>0</v>
      </c>
      <c r="G8438" s="424"/>
      <c r="H8438" s="31">
        <f>+IFERROR(VLOOKUP(E8438,BD!$L$2:$Q$244,6,0),0)</f>
        <v>0</v>
      </c>
      <c r="I8438" s="626">
        <f>IFERROR(G8438*VLOOKUP($E8438,BD!$L$2:$Q$244,5,0),0)</f>
        <v>0</v>
      </c>
      <c r="J8438" s="3">
        <f t="shared" si="525"/>
        <v>1900</v>
      </c>
    </row>
    <row r="8439" spans="1:10" s="9" customFormat="1" x14ac:dyDescent="0.25">
      <c r="A8439" s="447"/>
      <c r="B8439" s="55" t="str">
        <f t="shared" si="522"/>
        <v>ENERO</v>
      </c>
      <c r="C8439" s="55">
        <f t="shared" si="523"/>
        <v>1</v>
      </c>
      <c r="D8439" s="3" t="str">
        <f t="shared" si="524"/>
        <v>SÁBADO</v>
      </c>
      <c r="E8439" s="427"/>
      <c r="F8439" s="31">
        <f>IFERROR(VLOOKUP(E8439,BD!$L$2:$Q$244,2,0),0)</f>
        <v>0</v>
      </c>
      <c r="G8439" s="424"/>
      <c r="H8439" s="31">
        <f>+IFERROR(VLOOKUP(E8439,BD!$L$2:$Q$244,6,0),0)</f>
        <v>0</v>
      </c>
      <c r="I8439" s="626">
        <f>IFERROR(G8439*VLOOKUP($E8439,BD!$L$2:$Q$244,5,0),0)</f>
        <v>0</v>
      </c>
      <c r="J8439" s="3">
        <f t="shared" si="525"/>
        <v>1900</v>
      </c>
    </row>
    <row r="8440" spans="1:10" s="9" customFormat="1" x14ac:dyDescent="0.25">
      <c r="A8440" s="447"/>
      <c r="B8440" s="55" t="str">
        <f t="shared" si="522"/>
        <v>ENERO</v>
      </c>
      <c r="C8440" s="55">
        <f t="shared" si="523"/>
        <v>1</v>
      </c>
      <c r="D8440" s="3" t="str">
        <f t="shared" si="524"/>
        <v>SÁBADO</v>
      </c>
      <c r="E8440" s="427"/>
      <c r="F8440" s="31">
        <f>IFERROR(VLOOKUP(E8440,BD!$L$2:$Q$244,2,0),0)</f>
        <v>0</v>
      </c>
      <c r="G8440" s="424"/>
      <c r="H8440" s="31">
        <f>+IFERROR(VLOOKUP(E8440,BD!$L$2:$Q$244,6,0),0)</f>
        <v>0</v>
      </c>
      <c r="I8440" s="626">
        <f>IFERROR(G8440*VLOOKUP($E8440,BD!$L$2:$Q$244,5,0),0)</f>
        <v>0</v>
      </c>
      <c r="J8440" s="3">
        <f t="shared" si="525"/>
        <v>1900</v>
      </c>
    </row>
    <row r="8441" spans="1:10" s="9" customFormat="1" x14ac:dyDescent="0.25">
      <c r="A8441" s="447"/>
      <c r="B8441" s="55" t="str">
        <f t="shared" si="522"/>
        <v>ENERO</v>
      </c>
      <c r="C8441" s="55">
        <f t="shared" si="523"/>
        <v>1</v>
      </c>
      <c r="D8441" s="3" t="str">
        <f t="shared" si="524"/>
        <v>SÁBADO</v>
      </c>
      <c r="E8441" s="427"/>
      <c r="F8441" s="31">
        <f>IFERROR(VLOOKUP(E8441,BD!$L$2:$Q$244,2,0),0)</f>
        <v>0</v>
      </c>
      <c r="G8441" s="424"/>
      <c r="H8441" s="31">
        <f>+IFERROR(VLOOKUP(E8441,BD!$L$2:$Q$244,6,0),0)</f>
        <v>0</v>
      </c>
      <c r="I8441" s="626">
        <f>IFERROR(G8441*VLOOKUP($E8441,BD!$L$2:$Q$244,5,0),0)</f>
        <v>0</v>
      </c>
      <c r="J8441" s="3">
        <f t="shared" si="525"/>
        <v>1900</v>
      </c>
    </row>
    <row r="8442" spans="1:10" s="9" customFormat="1" x14ac:dyDescent="0.25">
      <c r="A8442" s="447"/>
      <c r="B8442" s="55" t="str">
        <f t="shared" si="522"/>
        <v>ENERO</v>
      </c>
      <c r="C8442" s="55">
        <f t="shared" si="523"/>
        <v>1</v>
      </c>
      <c r="D8442" s="3" t="str">
        <f t="shared" si="524"/>
        <v>SÁBADO</v>
      </c>
      <c r="E8442" s="427"/>
      <c r="F8442" s="31">
        <f>IFERROR(VLOOKUP(E8442,BD!$L$2:$Q$244,2,0),0)</f>
        <v>0</v>
      </c>
      <c r="G8442" s="424"/>
      <c r="H8442" s="31">
        <f>+IFERROR(VLOOKUP(E8442,BD!$L$2:$Q$244,6,0),0)</f>
        <v>0</v>
      </c>
      <c r="I8442" s="626">
        <f>IFERROR(G8442*VLOOKUP($E8442,BD!$L$2:$Q$244,5,0),0)</f>
        <v>0</v>
      </c>
      <c r="J8442" s="3">
        <f t="shared" si="525"/>
        <v>1900</v>
      </c>
    </row>
    <row r="8443" spans="1:10" s="9" customFormat="1" x14ac:dyDescent="0.25">
      <c r="A8443" s="447"/>
      <c r="B8443" s="55" t="str">
        <f t="shared" si="522"/>
        <v>ENERO</v>
      </c>
      <c r="C8443" s="55">
        <f t="shared" si="523"/>
        <v>1</v>
      </c>
      <c r="D8443" s="3" t="str">
        <f t="shared" si="524"/>
        <v>SÁBADO</v>
      </c>
      <c r="E8443" s="427"/>
      <c r="F8443" s="31">
        <f>IFERROR(VLOOKUP(E8443,BD!$L$2:$Q$244,2,0),0)</f>
        <v>0</v>
      </c>
      <c r="G8443" s="424"/>
      <c r="H8443" s="31">
        <f>+IFERROR(VLOOKUP(E8443,BD!$L$2:$Q$244,6,0),0)</f>
        <v>0</v>
      </c>
      <c r="I8443" s="626">
        <f>IFERROR(G8443*VLOOKUP($E8443,BD!$L$2:$Q$244,5,0),0)</f>
        <v>0</v>
      </c>
      <c r="J8443" s="3">
        <f t="shared" si="525"/>
        <v>1900</v>
      </c>
    </row>
    <row r="8444" spans="1:10" s="9" customFormat="1" x14ac:dyDescent="0.25">
      <c r="A8444" s="447"/>
      <c r="B8444" s="55" t="str">
        <f t="shared" ref="B8444:B8507" si="526">UPPER(TEXT(A8444,"MMMM"))</f>
        <v>ENERO</v>
      </c>
      <c r="C8444" s="55">
        <f t="shared" ref="C8444:C8507" si="527">WEEKNUM(A8444,16)</f>
        <v>1</v>
      </c>
      <c r="D8444" s="3" t="str">
        <f t="shared" ref="D8444:D8507" si="528">UPPER(TEXT(A8444,"DDDD"))</f>
        <v>SÁBADO</v>
      </c>
      <c r="E8444" s="427"/>
      <c r="F8444" s="31">
        <f>IFERROR(VLOOKUP(E8444,BD!$L$2:$Q$244,2,0),0)</f>
        <v>0</v>
      </c>
      <c r="G8444" s="424"/>
      <c r="H8444" s="31">
        <f>+IFERROR(VLOOKUP(E8444,BD!$L$2:$Q$244,6,0),0)</f>
        <v>0</v>
      </c>
      <c r="I8444" s="626">
        <f>IFERROR(G8444*VLOOKUP($E8444,BD!$L$2:$Q$244,5,0),0)</f>
        <v>0</v>
      </c>
      <c r="J8444" s="3">
        <f t="shared" ref="J8444:J8507" si="529">+YEAR(A8444)</f>
        <v>1900</v>
      </c>
    </row>
    <row r="8445" spans="1:10" s="9" customFormat="1" x14ac:dyDescent="0.25">
      <c r="A8445" s="447"/>
      <c r="B8445" s="55" t="str">
        <f t="shared" si="526"/>
        <v>ENERO</v>
      </c>
      <c r="C8445" s="55">
        <f t="shared" si="527"/>
        <v>1</v>
      </c>
      <c r="D8445" s="3" t="str">
        <f t="shared" si="528"/>
        <v>SÁBADO</v>
      </c>
      <c r="E8445" s="427"/>
      <c r="F8445" s="31">
        <f>IFERROR(VLOOKUP(E8445,BD!$L$2:$Q$244,2,0),0)</f>
        <v>0</v>
      </c>
      <c r="G8445" s="424"/>
      <c r="H8445" s="31">
        <f>+IFERROR(VLOOKUP(E8445,BD!$L$2:$Q$244,6,0),0)</f>
        <v>0</v>
      </c>
      <c r="I8445" s="626">
        <f>IFERROR(G8445*VLOOKUP($E8445,BD!$L$2:$Q$244,5,0),0)</f>
        <v>0</v>
      </c>
      <c r="J8445" s="3">
        <f t="shared" si="529"/>
        <v>1900</v>
      </c>
    </row>
    <row r="8446" spans="1:10" s="9" customFormat="1" x14ac:dyDescent="0.25">
      <c r="A8446" s="447"/>
      <c r="B8446" s="55" t="str">
        <f t="shared" si="526"/>
        <v>ENERO</v>
      </c>
      <c r="C8446" s="55">
        <f t="shared" si="527"/>
        <v>1</v>
      </c>
      <c r="D8446" s="3" t="str">
        <f t="shared" si="528"/>
        <v>SÁBADO</v>
      </c>
      <c r="E8446" s="427"/>
      <c r="F8446" s="31">
        <f>IFERROR(VLOOKUP(E8446,BD!$L$2:$Q$244,2,0),0)</f>
        <v>0</v>
      </c>
      <c r="G8446" s="424"/>
      <c r="H8446" s="31">
        <f>+IFERROR(VLOOKUP(E8446,BD!$L$2:$Q$244,6,0),0)</f>
        <v>0</v>
      </c>
      <c r="I8446" s="626">
        <f>IFERROR(G8446*VLOOKUP($E8446,BD!$L$2:$Q$244,5,0),0)</f>
        <v>0</v>
      </c>
      <c r="J8446" s="3">
        <f t="shared" si="529"/>
        <v>1900</v>
      </c>
    </row>
    <row r="8447" spans="1:10" s="9" customFormat="1" x14ac:dyDescent="0.25">
      <c r="A8447" s="447"/>
      <c r="B8447" s="55" t="str">
        <f t="shared" si="526"/>
        <v>ENERO</v>
      </c>
      <c r="C8447" s="55">
        <f t="shared" si="527"/>
        <v>1</v>
      </c>
      <c r="D8447" s="3" t="str">
        <f t="shared" si="528"/>
        <v>SÁBADO</v>
      </c>
      <c r="E8447" s="427"/>
      <c r="F8447" s="31">
        <f>IFERROR(VLOOKUP(E8447,BD!$L$2:$Q$244,2,0),0)</f>
        <v>0</v>
      </c>
      <c r="G8447" s="424"/>
      <c r="H8447" s="31">
        <f>+IFERROR(VLOOKUP(E8447,BD!$L$2:$Q$244,6,0),0)</f>
        <v>0</v>
      </c>
      <c r="I8447" s="626">
        <f>IFERROR(G8447*VLOOKUP($E8447,BD!$L$2:$Q$244,5,0),0)</f>
        <v>0</v>
      </c>
      <c r="J8447" s="3">
        <f t="shared" si="529"/>
        <v>1900</v>
      </c>
    </row>
    <row r="8448" spans="1:10" s="9" customFormat="1" x14ac:dyDescent="0.25">
      <c r="A8448" s="447"/>
      <c r="B8448" s="55" t="str">
        <f t="shared" si="526"/>
        <v>ENERO</v>
      </c>
      <c r="C8448" s="55">
        <f t="shared" si="527"/>
        <v>1</v>
      </c>
      <c r="D8448" s="3" t="str">
        <f t="shared" si="528"/>
        <v>SÁBADO</v>
      </c>
      <c r="E8448" s="427"/>
      <c r="F8448" s="31">
        <f>IFERROR(VLOOKUP(E8448,BD!$L$2:$Q$244,2,0),0)</f>
        <v>0</v>
      </c>
      <c r="G8448" s="424"/>
      <c r="H8448" s="31">
        <f>+IFERROR(VLOOKUP(E8448,BD!$L$2:$Q$244,6,0),0)</f>
        <v>0</v>
      </c>
      <c r="I8448" s="626">
        <f>IFERROR(G8448*VLOOKUP($E8448,BD!$L$2:$Q$244,5,0),0)</f>
        <v>0</v>
      </c>
      <c r="J8448" s="3">
        <f t="shared" si="529"/>
        <v>1900</v>
      </c>
    </row>
    <row r="8449" spans="1:10" s="9" customFormat="1" x14ac:dyDescent="0.25">
      <c r="A8449" s="447"/>
      <c r="B8449" s="55" t="str">
        <f t="shared" si="526"/>
        <v>ENERO</v>
      </c>
      <c r="C8449" s="55">
        <f t="shared" si="527"/>
        <v>1</v>
      </c>
      <c r="D8449" s="3" t="str">
        <f t="shared" si="528"/>
        <v>SÁBADO</v>
      </c>
      <c r="E8449" s="427"/>
      <c r="F8449" s="31">
        <f>IFERROR(VLOOKUP(E8449,BD!$L$2:$Q$244,2,0),0)</f>
        <v>0</v>
      </c>
      <c r="G8449" s="424"/>
      <c r="H8449" s="31">
        <f>+IFERROR(VLOOKUP(E8449,BD!$L$2:$Q$244,6,0),0)</f>
        <v>0</v>
      </c>
      <c r="I8449" s="626">
        <f>IFERROR(G8449*VLOOKUP($E8449,BD!$L$2:$Q$244,5,0),0)</f>
        <v>0</v>
      </c>
      <c r="J8449" s="3">
        <f t="shared" si="529"/>
        <v>1900</v>
      </c>
    </row>
    <row r="8450" spans="1:10" s="9" customFormat="1" x14ac:dyDescent="0.25">
      <c r="A8450" s="447"/>
      <c r="B8450" s="55" t="str">
        <f t="shared" si="526"/>
        <v>ENERO</v>
      </c>
      <c r="C8450" s="55">
        <f t="shared" si="527"/>
        <v>1</v>
      </c>
      <c r="D8450" s="3" t="str">
        <f t="shared" si="528"/>
        <v>SÁBADO</v>
      </c>
      <c r="E8450" s="427"/>
      <c r="F8450" s="31">
        <f>IFERROR(VLOOKUP(E8450,BD!$L$2:$Q$244,2,0),0)</f>
        <v>0</v>
      </c>
      <c r="G8450" s="424"/>
      <c r="H8450" s="31">
        <f>+IFERROR(VLOOKUP(E8450,BD!$L$2:$Q$244,6,0),0)</f>
        <v>0</v>
      </c>
      <c r="I8450" s="626">
        <f>IFERROR(G8450*VLOOKUP($E8450,BD!$L$2:$Q$244,5,0),0)</f>
        <v>0</v>
      </c>
      <c r="J8450" s="3">
        <f t="shared" si="529"/>
        <v>1900</v>
      </c>
    </row>
    <row r="8451" spans="1:10" s="9" customFormat="1" x14ac:dyDescent="0.25">
      <c r="A8451" s="447"/>
      <c r="B8451" s="55" t="str">
        <f t="shared" si="526"/>
        <v>ENERO</v>
      </c>
      <c r="C8451" s="55">
        <f t="shared" si="527"/>
        <v>1</v>
      </c>
      <c r="D8451" s="3" t="str">
        <f t="shared" si="528"/>
        <v>SÁBADO</v>
      </c>
      <c r="E8451" s="427"/>
      <c r="F8451" s="31">
        <f>IFERROR(VLOOKUP(E8451,BD!$L$2:$Q$244,2,0),0)</f>
        <v>0</v>
      </c>
      <c r="G8451" s="424"/>
      <c r="H8451" s="31">
        <f>+IFERROR(VLOOKUP(E8451,BD!$L$2:$Q$244,6,0),0)</f>
        <v>0</v>
      </c>
      <c r="I8451" s="626">
        <f>IFERROR(G8451*VLOOKUP($E8451,BD!$L$2:$Q$244,5,0),0)</f>
        <v>0</v>
      </c>
      <c r="J8451" s="3">
        <f t="shared" si="529"/>
        <v>1900</v>
      </c>
    </row>
    <row r="8452" spans="1:10" s="9" customFormat="1" x14ac:dyDescent="0.25">
      <c r="A8452" s="447"/>
      <c r="B8452" s="55" t="str">
        <f t="shared" si="526"/>
        <v>ENERO</v>
      </c>
      <c r="C8452" s="55">
        <f t="shared" si="527"/>
        <v>1</v>
      </c>
      <c r="D8452" s="3" t="str">
        <f t="shared" si="528"/>
        <v>SÁBADO</v>
      </c>
      <c r="E8452" s="427"/>
      <c r="F8452" s="31">
        <f>IFERROR(VLOOKUP(E8452,BD!$L$2:$Q$244,2,0),0)</f>
        <v>0</v>
      </c>
      <c r="G8452" s="424"/>
      <c r="H8452" s="31">
        <f>+IFERROR(VLOOKUP(E8452,BD!$L$2:$Q$244,6,0),0)</f>
        <v>0</v>
      </c>
      <c r="I8452" s="626">
        <f>IFERROR(G8452*VLOOKUP($E8452,BD!$L$2:$Q$244,5,0),0)</f>
        <v>0</v>
      </c>
      <c r="J8452" s="3">
        <f t="shared" si="529"/>
        <v>1900</v>
      </c>
    </row>
    <row r="8453" spans="1:10" s="9" customFormat="1" x14ac:dyDescent="0.25">
      <c r="A8453" s="447"/>
      <c r="B8453" s="55" t="str">
        <f t="shared" si="526"/>
        <v>ENERO</v>
      </c>
      <c r="C8453" s="55">
        <f t="shared" si="527"/>
        <v>1</v>
      </c>
      <c r="D8453" s="3" t="str">
        <f t="shared" si="528"/>
        <v>SÁBADO</v>
      </c>
      <c r="E8453" s="427"/>
      <c r="F8453" s="31">
        <f>IFERROR(VLOOKUP(E8453,BD!$L$2:$Q$244,2,0),0)</f>
        <v>0</v>
      </c>
      <c r="G8453" s="424"/>
      <c r="H8453" s="31">
        <f>+IFERROR(VLOOKUP(E8453,BD!$L$2:$Q$244,6,0),0)</f>
        <v>0</v>
      </c>
      <c r="I8453" s="626">
        <f>IFERROR(G8453*VLOOKUP($E8453,BD!$L$2:$Q$244,5,0),0)</f>
        <v>0</v>
      </c>
      <c r="J8453" s="3">
        <f t="shared" si="529"/>
        <v>1900</v>
      </c>
    </row>
    <row r="8454" spans="1:10" s="9" customFormat="1" x14ac:dyDescent="0.25">
      <c r="A8454" s="447"/>
      <c r="B8454" s="55" t="str">
        <f t="shared" si="526"/>
        <v>ENERO</v>
      </c>
      <c r="C8454" s="55">
        <f t="shared" si="527"/>
        <v>1</v>
      </c>
      <c r="D8454" s="3" t="str">
        <f t="shared" si="528"/>
        <v>SÁBADO</v>
      </c>
      <c r="E8454" s="427"/>
      <c r="F8454" s="31">
        <f>IFERROR(VLOOKUP(E8454,BD!$L$2:$Q$244,2,0),0)</f>
        <v>0</v>
      </c>
      <c r="G8454" s="424"/>
      <c r="H8454" s="31">
        <f>+IFERROR(VLOOKUP(E8454,BD!$L$2:$Q$244,6,0),0)</f>
        <v>0</v>
      </c>
      <c r="I8454" s="626">
        <f>IFERROR(G8454*VLOOKUP($E8454,BD!$L$2:$Q$244,5,0),0)</f>
        <v>0</v>
      </c>
      <c r="J8454" s="3">
        <f t="shared" si="529"/>
        <v>1900</v>
      </c>
    </row>
    <row r="8455" spans="1:10" s="9" customFormat="1" x14ac:dyDescent="0.25">
      <c r="A8455" s="447"/>
      <c r="B8455" s="55" t="str">
        <f t="shared" si="526"/>
        <v>ENERO</v>
      </c>
      <c r="C8455" s="55">
        <f t="shared" si="527"/>
        <v>1</v>
      </c>
      <c r="D8455" s="3" t="str">
        <f t="shared" si="528"/>
        <v>SÁBADO</v>
      </c>
      <c r="E8455" s="427"/>
      <c r="F8455" s="31">
        <f>IFERROR(VLOOKUP(E8455,BD!$L$2:$Q$244,2,0),0)</f>
        <v>0</v>
      </c>
      <c r="G8455" s="424"/>
      <c r="H8455" s="31">
        <f>+IFERROR(VLOOKUP(E8455,BD!$L$2:$Q$244,6,0),0)</f>
        <v>0</v>
      </c>
      <c r="I8455" s="626">
        <f>IFERROR(G8455*VLOOKUP($E8455,BD!$L$2:$Q$244,5,0),0)</f>
        <v>0</v>
      </c>
      <c r="J8455" s="3">
        <f t="shared" si="529"/>
        <v>1900</v>
      </c>
    </row>
    <row r="8456" spans="1:10" s="9" customFormat="1" x14ac:dyDescent="0.25">
      <c r="A8456" s="447"/>
      <c r="B8456" s="55" t="str">
        <f t="shared" si="526"/>
        <v>ENERO</v>
      </c>
      <c r="C8456" s="55">
        <f t="shared" si="527"/>
        <v>1</v>
      </c>
      <c r="D8456" s="3" t="str">
        <f t="shared" si="528"/>
        <v>SÁBADO</v>
      </c>
      <c r="E8456" s="427"/>
      <c r="F8456" s="31">
        <f>IFERROR(VLOOKUP(E8456,BD!$L$2:$Q$244,2,0),0)</f>
        <v>0</v>
      </c>
      <c r="G8456" s="424"/>
      <c r="H8456" s="31">
        <f>+IFERROR(VLOOKUP(E8456,BD!$L$2:$Q$244,6,0),0)</f>
        <v>0</v>
      </c>
      <c r="I8456" s="626">
        <f>IFERROR(G8456*VLOOKUP($E8456,BD!$L$2:$Q$244,5,0),0)</f>
        <v>0</v>
      </c>
      <c r="J8456" s="3">
        <f t="shared" si="529"/>
        <v>1900</v>
      </c>
    </row>
    <row r="8457" spans="1:10" s="9" customFormat="1" x14ac:dyDescent="0.25">
      <c r="A8457" s="447"/>
      <c r="B8457" s="55" t="str">
        <f t="shared" si="526"/>
        <v>ENERO</v>
      </c>
      <c r="C8457" s="55">
        <f t="shared" si="527"/>
        <v>1</v>
      </c>
      <c r="D8457" s="3" t="str">
        <f t="shared" si="528"/>
        <v>SÁBADO</v>
      </c>
      <c r="E8457" s="427"/>
      <c r="F8457" s="31">
        <f>IFERROR(VLOOKUP(E8457,BD!$L$2:$Q$244,2,0),0)</f>
        <v>0</v>
      </c>
      <c r="G8457" s="425"/>
      <c r="H8457" s="31">
        <f>+IFERROR(VLOOKUP(E8457,BD!$L$2:$Q$244,6,0),0)</f>
        <v>0</v>
      </c>
      <c r="I8457" s="626">
        <f>IFERROR(G8457*VLOOKUP($E8457,BD!$L$2:$Q$244,5,0),0)</f>
        <v>0</v>
      </c>
      <c r="J8457" s="3">
        <f t="shared" si="529"/>
        <v>1900</v>
      </c>
    </row>
    <row r="8458" spans="1:10" s="9" customFormat="1" x14ac:dyDescent="0.25">
      <c r="A8458" s="447"/>
      <c r="B8458" s="55" t="str">
        <f t="shared" si="526"/>
        <v>ENERO</v>
      </c>
      <c r="C8458" s="55">
        <f t="shared" si="527"/>
        <v>1</v>
      </c>
      <c r="D8458" s="3" t="str">
        <f t="shared" si="528"/>
        <v>SÁBADO</v>
      </c>
      <c r="E8458" s="427"/>
      <c r="F8458" s="31">
        <f>IFERROR(VLOOKUP(E8458,BD!$L$2:$Q$244,2,0),0)</f>
        <v>0</v>
      </c>
      <c r="G8458" s="424"/>
      <c r="H8458" s="31">
        <f>+IFERROR(VLOOKUP(E8458,BD!$L$2:$Q$244,6,0),0)</f>
        <v>0</v>
      </c>
      <c r="I8458" s="626">
        <f>IFERROR(G8458*VLOOKUP($E8458,BD!$L$2:$Q$244,5,0),0)</f>
        <v>0</v>
      </c>
      <c r="J8458" s="3">
        <f t="shared" si="529"/>
        <v>1900</v>
      </c>
    </row>
    <row r="8459" spans="1:10" s="9" customFormat="1" x14ac:dyDescent="0.25">
      <c r="A8459" s="447"/>
      <c r="B8459" s="55" t="str">
        <f t="shared" si="526"/>
        <v>ENERO</v>
      </c>
      <c r="C8459" s="55">
        <f t="shared" si="527"/>
        <v>1</v>
      </c>
      <c r="D8459" s="3" t="str">
        <f t="shared" si="528"/>
        <v>SÁBADO</v>
      </c>
      <c r="E8459" s="427"/>
      <c r="F8459" s="31">
        <f>IFERROR(VLOOKUP(E8459,BD!$L$2:$Q$244,2,0),0)</f>
        <v>0</v>
      </c>
      <c r="G8459" s="424"/>
      <c r="H8459" s="31">
        <f>+IFERROR(VLOOKUP(E8459,BD!$L$2:$Q$244,6,0),0)</f>
        <v>0</v>
      </c>
      <c r="I8459" s="626">
        <f>IFERROR(G8459*VLOOKUP($E8459,BD!$L$2:$Q$244,5,0),0)</f>
        <v>0</v>
      </c>
      <c r="J8459" s="3">
        <f t="shared" si="529"/>
        <v>1900</v>
      </c>
    </row>
    <row r="8460" spans="1:10" s="9" customFormat="1" x14ac:dyDescent="0.25">
      <c r="A8460" s="447"/>
      <c r="B8460" s="55" t="str">
        <f t="shared" si="526"/>
        <v>ENERO</v>
      </c>
      <c r="C8460" s="55">
        <f t="shared" si="527"/>
        <v>1</v>
      </c>
      <c r="D8460" s="3" t="str">
        <f t="shared" si="528"/>
        <v>SÁBADO</v>
      </c>
      <c r="E8460" s="427"/>
      <c r="F8460" s="31">
        <f>IFERROR(VLOOKUP(E8460,BD!$L$2:$Q$244,2,0),0)</f>
        <v>0</v>
      </c>
      <c r="G8460" s="424"/>
      <c r="H8460" s="31">
        <f>+IFERROR(VLOOKUP(E8460,BD!$L$2:$Q$244,6,0),0)</f>
        <v>0</v>
      </c>
      <c r="I8460" s="626">
        <f>IFERROR(G8460*VLOOKUP($E8460,BD!$L$2:$Q$244,5,0),0)</f>
        <v>0</v>
      </c>
      <c r="J8460" s="3">
        <f t="shared" si="529"/>
        <v>1900</v>
      </c>
    </row>
    <row r="8461" spans="1:10" s="9" customFormat="1" x14ac:dyDescent="0.25">
      <c r="A8461" s="447"/>
      <c r="B8461" s="55" t="str">
        <f t="shared" si="526"/>
        <v>ENERO</v>
      </c>
      <c r="C8461" s="55">
        <f t="shared" si="527"/>
        <v>1</v>
      </c>
      <c r="D8461" s="3" t="str">
        <f t="shared" si="528"/>
        <v>SÁBADO</v>
      </c>
      <c r="E8461" s="427"/>
      <c r="F8461" s="31">
        <f>IFERROR(VLOOKUP(E8461,BD!$L$2:$Q$244,2,0),0)</f>
        <v>0</v>
      </c>
      <c r="G8461" s="424"/>
      <c r="H8461" s="31">
        <f>+IFERROR(VLOOKUP(E8461,BD!$L$2:$Q$244,6,0),0)</f>
        <v>0</v>
      </c>
      <c r="I8461" s="626">
        <f>IFERROR(G8461*VLOOKUP($E8461,BD!$L$2:$Q$244,5,0),0)</f>
        <v>0</v>
      </c>
      <c r="J8461" s="3">
        <f t="shared" si="529"/>
        <v>1900</v>
      </c>
    </row>
    <row r="8462" spans="1:10" s="9" customFormat="1" x14ac:dyDescent="0.25">
      <c r="A8462" s="447"/>
      <c r="B8462" s="55" t="str">
        <f t="shared" si="526"/>
        <v>ENERO</v>
      </c>
      <c r="C8462" s="55">
        <f t="shared" si="527"/>
        <v>1</v>
      </c>
      <c r="D8462" s="3" t="str">
        <f t="shared" si="528"/>
        <v>SÁBADO</v>
      </c>
      <c r="E8462" s="427"/>
      <c r="F8462" s="31">
        <f>IFERROR(VLOOKUP(E8462,BD!$L$2:$Q$244,2,0),0)</f>
        <v>0</v>
      </c>
      <c r="G8462" s="424"/>
      <c r="H8462" s="31">
        <f>+IFERROR(VLOOKUP(E8462,BD!$L$2:$Q$244,6,0),0)</f>
        <v>0</v>
      </c>
      <c r="I8462" s="626">
        <f>IFERROR(G8462*VLOOKUP($E8462,BD!$L$2:$Q$244,5,0),0)</f>
        <v>0</v>
      </c>
      <c r="J8462" s="3">
        <f t="shared" si="529"/>
        <v>1900</v>
      </c>
    </row>
    <row r="8463" spans="1:10" s="9" customFormat="1" x14ac:dyDescent="0.25">
      <c r="A8463" s="447"/>
      <c r="B8463" s="55" t="str">
        <f t="shared" si="526"/>
        <v>ENERO</v>
      </c>
      <c r="C8463" s="55">
        <f t="shared" si="527"/>
        <v>1</v>
      </c>
      <c r="D8463" s="3" t="str">
        <f t="shared" si="528"/>
        <v>SÁBADO</v>
      </c>
      <c r="E8463" s="427"/>
      <c r="F8463" s="31">
        <f>IFERROR(VLOOKUP(E8463,BD!$L$2:$Q$244,2,0),0)</f>
        <v>0</v>
      </c>
      <c r="G8463" s="424"/>
      <c r="H8463" s="31">
        <f>+IFERROR(VLOOKUP(E8463,BD!$L$2:$Q$244,6,0),0)</f>
        <v>0</v>
      </c>
      <c r="I8463" s="626">
        <f>IFERROR(G8463*VLOOKUP($E8463,BD!$L$2:$Q$244,5,0),0)</f>
        <v>0</v>
      </c>
      <c r="J8463" s="3">
        <f t="shared" si="529"/>
        <v>1900</v>
      </c>
    </row>
    <row r="8464" spans="1:10" s="9" customFormat="1" x14ac:dyDescent="0.25">
      <c r="A8464" s="447"/>
      <c r="B8464" s="55" t="str">
        <f t="shared" si="526"/>
        <v>ENERO</v>
      </c>
      <c r="C8464" s="55">
        <f t="shared" si="527"/>
        <v>1</v>
      </c>
      <c r="D8464" s="3" t="str">
        <f t="shared" si="528"/>
        <v>SÁBADO</v>
      </c>
      <c r="E8464" s="427"/>
      <c r="F8464" s="31">
        <f>IFERROR(VLOOKUP(E8464,BD!$L$2:$Q$244,2,0),0)</f>
        <v>0</v>
      </c>
      <c r="G8464" s="424"/>
      <c r="H8464" s="31">
        <f>+IFERROR(VLOOKUP(E8464,BD!$L$2:$Q$244,6,0),0)</f>
        <v>0</v>
      </c>
      <c r="I8464" s="626">
        <f>IFERROR(G8464*VLOOKUP($E8464,BD!$L$2:$Q$244,5,0),0)</f>
        <v>0</v>
      </c>
      <c r="J8464" s="3">
        <f t="shared" si="529"/>
        <v>1900</v>
      </c>
    </row>
    <row r="8465" spans="1:10" s="9" customFormat="1" x14ac:dyDescent="0.25">
      <c r="A8465" s="447"/>
      <c r="B8465" s="55" t="str">
        <f t="shared" si="526"/>
        <v>ENERO</v>
      </c>
      <c r="C8465" s="55">
        <f t="shared" si="527"/>
        <v>1</v>
      </c>
      <c r="D8465" s="3" t="str">
        <f t="shared" si="528"/>
        <v>SÁBADO</v>
      </c>
      <c r="E8465" s="427"/>
      <c r="F8465" s="31">
        <f>IFERROR(VLOOKUP(E8465,BD!$L$2:$Q$244,2,0),0)</f>
        <v>0</v>
      </c>
      <c r="G8465" s="424"/>
      <c r="H8465" s="31">
        <f>+IFERROR(VLOOKUP(E8465,BD!$L$2:$Q$244,6,0),0)</f>
        <v>0</v>
      </c>
      <c r="I8465" s="626">
        <f>IFERROR(G8465*VLOOKUP($E8465,BD!$L$2:$Q$244,5,0),0)</f>
        <v>0</v>
      </c>
      <c r="J8465" s="3">
        <f t="shared" si="529"/>
        <v>1900</v>
      </c>
    </row>
    <row r="8466" spans="1:10" s="9" customFormat="1" x14ac:dyDescent="0.25">
      <c r="A8466" s="447"/>
      <c r="B8466" s="55" t="str">
        <f t="shared" si="526"/>
        <v>ENERO</v>
      </c>
      <c r="C8466" s="55">
        <f t="shared" si="527"/>
        <v>1</v>
      </c>
      <c r="D8466" s="3" t="str">
        <f t="shared" si="528"/>
        <v>SÁBADO</v>
      </c>
      <c r="E8466" s="427"/>
      <c r="F8466" s="31">
        <f>IFERROR(VLOOKUP(E8466,BD!$L$2:$Q$244,2,0),0)</f>
        <v>0</v>
      </c>
      <c r="G8466" s="424"/>
      <c r="H8466" s="31">
        <f>+IFERROR(VLOOKUP(E8466,BD!$L$2:$Q$244,6,0),0)</f>
        <v>0</v>
      </c>
      <c r="I8466" s="626">
        <f>IFERROR(G8466*VLOOKUP($E8466,BD!$L$2:$Q$244,5,0),0)</f>
        <v>0</v>
      </c>
      <c r="J8466" s="3">
        <f t="shared" si="529"/>
        <v>1900</v>
      </c>
    </row>
    <row r="8467" spans="1:10" s="9" customFormat="1" x14ac:dyDescent="0.25">
      <c r="A8467" s="447"/>
      <c r="B8467" s="55" t="str">
        <f t="shared" si="526"/>
        <v>ENERO</v>
      </c>
      <c r="C8467" s="55">
        <f t="shared" si="527"/>
        <v>1</v>
      </c>
      <c r="D8467" s="3" t="str">
        <f t="shared" si="528"/>
        <v>SÁBADO</v>
      </c>
      <c r="E8467" s="427"/>
      <c r="F8467" s="31">
        <f>IFERROR(VLOOKUP(E8467,BD!$L$2:$Q$244,2,0),0)</f>
        <v>0</v>
      </c>
      <c r="G8467" s="424"/>
      <c r="H8467" s="31">
        <f>+IFERROR(VLOOKUP(E8467,BD!$L$2:$Q$244,6,0),0)</f>
        <v>0</v>
      </c>
      <c r="I8467" s="626">
        <f>IFERROR(G8467*VLOOKUP($E8467,BD!$L$2:$Q$244,5,0),0)</f>
        <v>0</v>
      </c>
      <c r="J8467" s="3">
        <f t="shared" si="529"/>
        <v>1900</v>
      </c>
    </row>
    <row r="8468" spans="1:10" s="9" customFormat="1" x14ac:dyDescent="0.25">
      <c r="A8468" s="447"/>
      <c r="B8468" s="55" t="str">
        <f t="shared" si="526"/>
        <v>ENERO</v>
      </c>
      <c r="C8468" s="55">
        <f t="shared" si="527"/>
        <v>1</v>
      </c>
      <c r="D8468" s="3" t="str">
        <f t="shared" si="528"/>
        <v>SÁBADO</v>
      </c>
      <c r="E8468" s="427"/>
      <c r="F8468" s="31">
        <f>IFERROR(VLOOKUP(E8468,BD!$L$2:$Q$244,2,0),0)</f>
        <v>0</v>
      </c>
      <c r="G8468" s="424"/>
      <c r="H8468" s="31">
        <f>+IFERROR(VLOOKUP(E8468,BD!$L$2:$Q$244,6,0),0)</f>
        <v>0</v>
      </c>
      <c r="I8468" s="626">
        <f>IFERROR(G8468*VLOOKUP($E8468,BD!$L$2:$Q$244,5,0),0)</f>
        <v>0</v>
      </c>
      <c r="J8468" s="3">
        <f t="shared" si="529"/>
        <v>1900</v>
      </c>
    </row>
    <row r="8469" spans="1:10" s="9" customFormat="1" x14ac:dyDescent="0.25">
      <c r="A8469" s="447"/>
      <c r="B8469" s="55" t="str">
        <f t="shared" si="526"/>
        <v>ENERO</v>
      </c>
      <c r="C8469" s="55">
        <f t="shared" si="527"/>
        <v>1</v>
      </c>
      <c r="D8469" s="3" t="str">
        <f t="shared" si="528"/>
        <v>SÁBADO</v>
      </c>
      <c r="E8469" s="427"/>
      <c r="F8469" s="31">
        <f>IFERROR(VLOOKUP(E8469,BD!$L$2:$Q$244,2,0),0)</f>
        <v>0</v>
      </c>
      <c r="G8469" s="424"/>
      <c r="H8469" s="31">
        <f>+IFERROR(VLOOKUP(E8469,BD!$L$2:$Q$244,6,0),0)</f>
        <v>0</v>
      </c>
      <c r="I8469" s="626">
        <f>IFERROR(G8469*VLOOKUP($E8469,BD!$L$2:$Q$244,5,0),0)</f>
        <v>0</v>
      </c>
      <c r="J8469" s="3">
        <f t="shared" si="529"/>
        <v>1900</v>
      </c>
    </row>
    <row r="8470" spans="1:10" s="9" customFormat="1" x14ac:dyDescent="0.25">
      <c r="A8470" s="447"/>
      <c r="B8470" s="55" t="str">
        <f t="shared" si="526"/>
        <v>ENERO</v>
      </c>
      <c r="C8470" s="55">
        <f t="shared" si="527"/>
        <v>1</v>
      </c>
      <c r="D8470" s="3" t="str">
        <f t="shared" si="528"/>
        <v>SÁBADO</v>
      </c>
      <c r="E8470" s="427"/>
      <c r="F8470" s="31">
        <f>IFERROR(VLOOKUP(E8470,BD!$L$2:$Q$244,2,0),0)</f>
        <v>0</v>
      </c>
      <c r="G8470" s="424"/>
      <c r="H8470" s="31">
        <f>+IFERROR(VLOOKUP(E8470,BD!$L$2:$Q$244,6,0),0)</f>
        <v>0</v>
      </c>
      <c r="I8470" s="626">
        <f>IFERROR(G8470*VLOOKUP($E8470,BD!$L$2:$Q$244,5,0),0)</f>
        <v>0</v>
      </c>
      <c r="J8470" s="3">
        <f t="shared" si="529"/>
        <v>1900</v>
      </c>
    </row>
    <row r="8471" spans="1:10" s="9" customFormat="1" x14ac:dyDescent="0.25">
      <c r="A8471" s="447"/>
      <c r="B8471" s="55" t="str">
        <f t="shared" si="526"/>
        <v>ENERO</v>
      </c>
      <c r="C8471" s="55">
        <f t="shared" si="527"/>
        <v>1</v>
      </c>
      <c r="D8471" s="3" t="str">
        <f t="shared" si="528"/>
        <v>SÁBADO</v>
      </c>
      <c r="E8471" s="427"/>
      <c r="F8471" s="31">
        <f>IFERROR(VLOOKUP(E8471,BD!$L$2:$Q$244,2,0),0)</f>
        <v>0</v>
      </c>
      <c r="G8471" s="424"/>
      <c r="H8471" s="31">
        <f>+IFERROR(VLOOKUP(E8471,BD!$L$2:$Q$244,6,0),0)</f>
        <v>0</v>
      </c>
      <c r="I8471" s="626">
        <f>IFERROR(G8471*VLOOKUP($E8471,BD!$L$2:$Q$244,5,0),0)</f>
        <v>0</v>
      </c>
      <c r="J8471" s="3">
        <f t="shared" si="529"/>
        <v>1900</v>
      </c>
    </row>
    <row r="8472" spans="1:10" s="9" customFormat="1" x14ac:dyDescent="0.25">
      <c r="A8472" s="447"/>
      <c r="B8472" s="55" t="str">
        <f t="shared" si="526"/>
        <v>ENERO</v>
      </c>
      <c r="C8472" s="55">
        <f t="shared" si="527"/>
        <v>1</v>
      </c>
      <c r="D8472" s="3" t="str">
        <f t="shared" si="528"/>
        <v>SÁBADO</v>
      </c>
      <c r="E8472" s="427"/>
      <c r="F8472" s="31">
        <f>IFERROR(VLOOKUP(E8472,BD!$L$2:$Q$244,2,0),0)</f>
        <v>0</v>
      </c>
      <c r="G8472" s="424"/>
      <c r="H8472" s="31">
        <f>+IFERROR(VLOOKUP(E8472,BD!$L$2:$Q$244,6,0),0)</f>
        <v>0</v>
      </c>
      <c r="I8472" s="626">
        <f>IFERROR(G8472*VLOOKUP($E8472,BD!$L$2:$Q$244,5,0),0)</f>
        <v>0</v>
      </c>
      <c r="J8472" s="3">
        <f t="shared" si="529"/>
        <v>1900</v>
      </c>
    </row>
    <row r="8473" spans="1:10" s="9" customFormat="1" x14ac:dyDescent="0.25">
      <c r="A8473" s="447"/>
      <c r="B8473" s="55" t="str">
        <f t="shared" si="526"/>
        <v>ENERO</v>
      </c>
      <c r="C8473" s="55">
        <f t="shared" si="527"/>
        <v>1</v>
      </c>
      <c r="D8473" s="3" t="str">
        <f t="shared" si="528"/>
        <v>SÁBADO</v>
      </c>
      <c r="E8473" s="427"/>
      <c r="F8473" s="31">
        <f>IFERROR(VLOOKUP(E8473,BD!$L$2:$Q$244,2,0),0)</f>
        <v>0</v>
      </c>
      <c r="G8473" s="424"/>
      <c r="H8473" s="31">
        <f>+IFERROR(VLOOKUP(E8473,BD!$L$2:$Q$244,6,0),0)</f>
        <v>0</v>
      </c>
      <c r="I8473" s="626">
        <f>IFERROR(G8473*VLOOKUP($E8473,BD!$L$2:$Q$244,5,0),0)</f>
        <v>0</v>
      </c>
      <c r="J8473" s="3">
        <f t="shared" si="529"/>
        <v>1900</v>
      </c>
    </row>
    <row r="8474" spans="1:10" s="9" customFormat="1" x14ac:dyDescent="0.25">
      <c r="A8474" s="447"/>
      <c r="B8474" s="55" t="str">
        <f t="shared" si="526"/>
        <v>ENERO</v>
      </c>
      <c r="C8474" s="55">
        <f t="shared" si="527"/>
        <v>1</v>
      </c>
      <c r="D8474" s="3" t="str">
        <f t="shared" si="528"/>
        <v>SÁBADO</v>
      </c>
      <c r="E8474" s="427"/>
      <c r="F8474" s="31">
        <f>IFERROR(VLOOKUP(E8474,BD!$L$2:$Q$244,2,0),0)</f>
        <v>0</v>
      </c>
      <c r="G8474" s="424"/>
      <c r="H8474" s="31">
        <f>+IFERROR(VLOOKUP(E8474,BD!$L$2:$Q$244,6,0),0)</f>
        <v>0</v>
      </c>
      <c r="I8474" s="626">
        <f>IFERROR(G8474*VLOOKUP($E8474,BD!$L$2:$Q$244,5,0),0)</f>
        <v>0</v>
      </c>
      <c r="J8474" s="3">
        <f t="shared" si="529"/>
        <v>1900</v>
      </c>
    </row>
    <row r="8475" spans="1:10" s="9" customFormat="1" x14ac:dyDescent="0.25">
      <c r="A8475" s="447"/>
      <c r="B8475" s="55" t="str">
        <f t="shared" si="526"/>
        <v>ENERO</v>
      </c>
      <c r="C8475" s="55">
        <f t="shared" si="527"/>
        <v>1</v>
      </c>
      <c r="D8475" s="3" t="str">
        <f t="shared" si="528"/>
        <v>SÁBADO</v>
      </c>
      <c r="E8475" s="427"/>
      <c r="F8475" s="31">
        <f>IFERROR(VLOOKUP(E8475,BD!$L$2:$Q$244,2,0),0)</f>
        <v>0</v>
      </c>
      <c r="G8475" s="424"/>
      <c r="H8475" s="31">
        <f>+IFERROR(VLOOKUP(E8475,BD!$L$2:$Q$244,6,0),0)</f>
        <v>0</v>
      </c>
      <c r="I8475" s="626">
        <f>IFERROR(G8475*VLOOKUP($E8475,BD!$L$2:$Q$244,5,0),0)</f>
        <v>0</v>
      </c>
      <c r="J8475" s="3">
        <f t="shared" si="529"/>
        <v>1900</v>
      </c>
    </row>
    <row r="8476" spans="1:10" s="9" customFormat="1" x14ac:dyDescent="0.25">
      <c r="A8476" s="447"/>
      <c r="B8476" s="55" t="str">
        <f t="shared" si="526"/>
        <v>ENERO</v>
      </c>
      <c r="C8476" s="55">
        <f t="shared" si="527"/>
        <v>1</v>
      </c>
      <c r="D8476" s="3" t="str">
        <f t="shared" si="528"/>
        <v>SÁBADO</v>
      </c>
      <c r="E8476" s="427"/>
      <c r="F8476" s="31">
        <f>IFERROR(VLOOKUP(E8476,BD!$L$2:$Q$244,2,0),0)</f>
        <v>0</v>
      </c>
      <c r="G8476" s="424"/>
      <c r="H8476" s="31">
        <f>+IFERROR(VLOOKUP(E8476,BD!$L$2:$Q$244,6,0),0)</f>
        <v>0</v>
      </c>
      <c r="I8476" s="626">
        <f>IFERROR(G8476*VLOOKUP($E8476,BD!$L$2:$Q$244,5,0),0)</f>
        <v>0</v>
      </c>
      <c r="J8476" s="3">
        <f t="shared" si="529"/>
        <v>1900</v>
      </c>
    </row>
    <row r="8477" spans="1:10" s="9" customFormat="1" x14ac:dyDescent="0.25">
      <c r="A8477" s="447"/>
      <c r="B8477" s="55" t="str">
        <f t="shared" si="526"/>
        <v>ENERO</v>
      </c>
      <c r="C8477" s="55">
        <f t="shared" si="527"/>
        <v>1</v>
      </c>
      <c r="D8477" s="3" t="str">
        <f t="shared" si="528"/>
        <v>SÁBADO</v>
      </c>
      <c r="E8477" s="427"/>
      <c r="F8477" s="31">
        <f>IFERROR(VLOOKUP(E8477,BD!$L$2:$Q$244,2,0),0)</f>
        <v>0</v>
      </c>
      <c r="G8477" s="424"/>
      <c r="H8477" s="31">
        <f>+IFERROR(VLOOKUP(E8477,BD!$L$2:$Q$244,6,0),0)</f>
        <v>0</v>
      </c>
      <c r="I8477" s="626">
        <f>IFERROR(G8477*VLOOKUP($E8477,BD!$L$2:$Q$244,5,0),0)</f>
        <v>0</v>
      </c>
      <c r="J8477" s="3">
        <f t="shared" si="529"/>
        <v>1900</v>
      </c>
    </row>
    <row r="8478" spans="1:10" s="9" customFormat="1" x14ac:dyDescent="0.25">
      <c r="A8478" s="447"/>
      <c r="B8478" s="55" t="str">
        <f t="shared" si="526"/>
        <v>ENERO</v>
      </c>
      <c r="C8478" s="55">
        <f t="shared" si="527"/>
        <v>1</v>
      </c>
      <c r="D8478" s="3" t="str">
        <f t="shared" si="528"/>
        <v>SÁBADO</v>
      </c>
      <c r="E8478" s="427"/>
      <c r="F8478" s="31">
        <f>IFERROR(VLOOKUP(E8478,BD!$L$2:$Q$244,2,0),0)</f>
        <v>0</v>
      </c>
      <c r="G8478" s="424"/>
      <c r="H8478" s="31">
        <f>+IFERROR(VLOOKUP(E8478,BD!$L$2:$Q$244,6,0),0)</f>
        <v>0</v>
      </c>
      <c r="I8478" s="626">
        <f>IFERROR(G8478*VLOOKUP($E8478,BD!$L$2:$Q$244,5,0),0)</f>
        <v>0</v>
      </c>
      <c r="J8478" s="3">
        <f t="shared" si="529"/>
        <v>1900</v>
      </c>
    </row>
    <row r="8479" spans="1:10" s="9" customFormat="1" x14ac:dyDescent="0.25">
      <c r="A8479" s="447"/>
      <c r="B8479" s="55" t="str">
        <f t="shared" si="526"/>
        <v>ENERO</v>
      </c>
      <c r="C8479" s="55">
        <f t="shared" si="527"/>
        <v>1</v>
      </c>
      <c r="D8479" s="3" t="str">
        <f t="shared" si="528"/>
        <v>SÁBADO</v>
      </c>
      <c r="E8479" s="427"/>
      <c r="F8479" s="31">
        <f>IFERROR(VLOOKUP(E8479,BD!$L$2:$Q$244,2,0),0)</f>
        <v>0</v>
      </c>
      <c r="G8479" s="424"/>
      <c r="H8479" s="31">
        <f>+IFERROR(VLOOKUP(E8479,BD!$L$2:$Q$244,6,0),0)</f>
        <v>0</v>
      </c>
      <c r="I8479" s="626">
        <f>IFERROR(G8479*VLOOKUP($E8479,BD!$L$2:$Q$244,5,0),0)</f>
        <v>0</v>
      </c>
      <c r="J8479" s="3">
        <f t="shared" si="529"/>
        <v>1900</v>
      </c>
    </row>
    <row r="8480" spans="1:10" s="9" customFormat="1" x14ac:dyDescent="0.25">
      <c r="A8480" s="447"/>
      <c r="B8480" s="55" t="str">
        <f t="shared" si="526"/>
        <v>ENERO</v>
      </c>
      <c r="C8480" s="55">
        <f t="shared" si="527"/>
        <v>1</v>
      </c>
      <c r="D8480" s="3" t="str">
        <f t="shared" si="528"/>
        <v>SÁBADO</v>
      </c>
      <c r="E8480" s="427"/>
      <c r="F8480" s="31">
        <f>IFERROR(VLOOKUP(E8480,BD!$L$2:$Q$244,2,0),0)</f>
        <v>0</v>
      </c>
      <c r="G8480" s="424"/>
      <c r="H8480" s="31">
        <f>+IFERROR(VLOOKUP(E8480,BD!$L$2:$Q$244,6,0),0)</f>
        <v>0</v>
      </c>
      <c r="I8480" s="626">
        <f>IFERROR(G8480*VLOOKUP($E8480,BD!$L$2:$Q$244,5,0),0)</f>
        <v>0</v>
      </c>
      <c r="J8480" s="3">
        <f t="shared" si="529"/>
        <v>1900</v>
      </c>
    </row>
    <row r="8481" spans="1:10" s="9" customFormat="1" x14ac:dyDescent="0.25">
      <c r="A8481" s="447"/>
      <c r="B8481" s="55" t="str">
        <f t="shared" si="526"/>
        <v>ENERO</v>
      </c>
      <c r="C8481" s="55">
        <f t="shared" si="527"/>
        <v>1</v>
      </c>
      <c r="D8481" s="3" t="str">
        <f t="shared" si="528"/>
        <v>SÁBADO</v>
      </c>
      <c r="E8481" s="427"/>
      <c r="F8481" s="31">
        <f>IFERROR(VLOOKUP(E8481,BD!$L$2:$Q$244,2,0),0)</f>
        <v>0</v>
      </c>
      <c r="G8481" s="424"/>
      <c r="H8481" s="31">
        <f>+IFERROR(VLOOKUP(E8481,BD!$L$2:$Q$244,6,0),0)</f>
        <v>0</v>
      </c>
      <c r="I8481" s="626">
        <f>IFERROR(G8481*VLOOKUP($E8481,BD!$L$2:$Q$244,5,0),0)</f>
        <v>0</v>
      </c>
      <c r="J8481" s="3">
        <f t="shared" si="529"/>
        <v>1900</v>
      </c>
    </row>
    <row r="8482" spans="1:10" s="9" customFormat="1" x14ac:dyDescent="0.25">
      <c r="A8482" s="447"/>
      <c r="B8482" s="55" t="str">
        <f t="shared" si="526"/>
        <v>ENERO</v>
      </c>
      <c r="C8482" s="55">
        <f t="shared" si="527"/>
        <v>1</v>
      </c>
      <c r="D8482" s="3" t="str">
        <f t="shared" si="528"/>
        <v>SÁBADO</v>
      </c>
      <c r="E8482" s="427"/>
      <c r="F8482" s="31">
        <f>IFERROR(VLOOKUP(E8482,BD!$L$2:$Q$244,2,0),0)</f>
        <v>0</v>
      </c>
      <c r="G8482" s="424"/>
      <c r="H8482" s="31">
        <f>+IFERROR(VLOOKUP(E8482,BD!$L$2:$Q$244,6,0),0)</f>
        <v>0</v>
      </c>
      <c r="I8482" s="626">
        <f>IFERROR(G8482*VLOOKUP($E8482,BD!$L$2:$Q$244,5,0),0)</f>
        <v>0</v>
      </c>
      <c r="J8482" s="3">
        <f t="shared" si="529"/>
        <v>1900</v>
      </c>
    </row>
    <row r="8483" spans="1:10" s="9" customFormat="1" x14ac:dyDescent="0.25">
      <c r="A8483" s="447"/>
      <c r="B8483" s="55" t="str">
        <f t="shared" si="526"/>
        <v>ENERO</v>
      </c>
      <c r="C8483" s="55">
        <f t="shared" si="527"/>
        <v>1</v>
      </c>
      <c r="D8483" s="3" t="str">
        <f t="shared" si="528"/>
        <v>SÁBADO</v>
      </c>
      <c r="E8483" s="427"/>
      <c r="F8483" s="31">
        <f>IFERROR(VLOOKUP(E8483,BD!$L$2:$Q$244,2,0),0)</f>
        <v>0</v>
      </c>
      <c r="G8483" s="424"/>
      <c r="H8483" s="31">
        <f>+IFERROR(VLOOKUP(E8483,BD!$L$2:$Q$244,6,0),0)</f>
        <v>0</v>
      </c>
      <c r="I8483" s="626">
        <f>IFERROR(G8483*VLOOKUP($E8483,BD!$L$2:$Q$244,5,0),0)</f>
        <v>0</v>
      </c>
      <c r="J8483" s="3">
        <f t="shared" si="529"/>
        <v>1900</v>
      </c>
    </row>
    <row r="8484" spans="1:10" s="9" customFormat="1" x14ac:dyDescent="0.25">
      <c r="A8484" s="447"/>
      <c r="B8484" s="55" t="str">
        <f t="shared" si="526"/>
        <v>ENERO</v>
      </c>
      <c r="C8484" s="55">
        <f t="shared" si="527"/>
        <v>1</v>
      </c>
      <c r="D8484" s="3" t="str">
        <f t="shared" si="528"/>
        <v>SÁBADO</v>
      </c>
      <c r="E8484" s="427"/>
      <c r="F8484" s="31">
        <f>IFERROR(VLOOKUP(E8484,BD!$L$2:$Q$244,2,0),0)</f>
        <v>0</v>
      </c>
      <c r="G8484" s="424"/>
      <c r="H8484" s="31">
        <f>+IFERROR(VLOOKUP(E8484,BD!$L$2:$Q$244,6,0),0)</f>
        <v>0</v>
      </c>
      <c r="I8484" s="626">
        <f>IFERROR(G8484*VLOOKUP($E8484,BD!$L$2:$Q$244,5,0),0)</f>
        <v>0</v>
      </c>
      <c r="J8484" s="3">
        <f t="shared" si="529"/>
        <v>1900</v>
      </c>
    </row>
    <row r="8485" spans="1:10" s="9" customFormat="1" x14ac:dyDescent="0.25">
      <c r="A8485" s="447"/>
      <c r="B8485" s="55" t="str">
        <f t="shared" si="526"/>
        <v>ENERO</v>
      </c>
      <c r="C8485" s="55">
        <f t="shared" si="527"/>
        <v>1</v>
      </c>
      <c r="D8485" s="3" t="str">
        <f t="shared" si="528"/>
        <v>SÁBADO</v>
      </c>
      <c r="E8485" s="427"/>
      <c r="F8485" s="31">
        <f>IFERROR(VLOOKUP(E8485,BD!$L$2:$Q$244,2,0),0)</f>
        <v>0</v>
      </c>
      <c r="G8485" s="424"/>
      <c r="H8485" s="31">
        <f>+IFERROR(VLOOKUP(E8485,BD!$L$2:$Q$244,6,0),0)</f>
        <v>0</v>
      </c>
      <c r="I8485" s="626">
        <f>IFERROR(G8485*VLOOKUP($E8485,BD!$L$2:$Q$244,5,0),0)</f>
        <v>0</v>
      </c>
      <c r="J8485" s="3">
        <f t="shared" si="529"/>
        <v>1900</v>
      </c>
    </row>
    <row r="8486" spans="1:10" s="9" customFormat="1" x14ac:dyDescent="0.25">
      <c r="A8486" s="447"/>
      <c r="B8486" s="55" t="str">
        <f t="shared" si="526"/>
        <v>ENERO</v>
      </c>
      <c r="C8486" s="55">
        <f t="shared" si="527"/>
        <v>1</v>
      </c>
      <c r="D8486" s="3" t="str">
        <f t="shared" si="528"/>
        <v>SÁBADO</v>
      </c>
      <c r="E8486" s="427"/>
      <c r="F8486" s="31">
        <f>IFERROR(VLOOKUP(E8486,BD!$L$2:$Q$244,2,0),0)</f>
        <v>0</v>
      </c>
      <c r="G8486" s="424"/>
      <c r="H8486" s="31">
        <f>+IFERROR(VLOOKUP(E8486,BD!$L$2:$Q$244,6,0),0)</f>
        <v>0</v>
      </c>
      <c r="I8486" s="626">
        <f>IFERROR(G8486*VLOOKUP($E8486,BD!$L$2:$Q$244,5,0),0)</f>
        <v>0</v>
      </c>
      <c r="J8486" s="3">
        <f t="shared" si="529"/>
        <v>1900</v>
      </c>
    </row>
    <row r="8487" spans="1:10" s="9" customFormat="1" x14ac:dyDescent="0.25">
      <c r="A8487" s="447"/>
      <c r="B8487" s="55" t="str">
        <f t="shared" si="526"/>
        <v>ENERO</v>
      </c>
      <c r="C8487" s="55">
        <f t="shared" si="527"/>
        <v>1</v>
      </c>
      <c r="D8487" s="3" t="str">
        <f t="shared" si="528"/>
        <v>SÁBADO</v>
      </c>
      <c r="E8487" s="427"/>
      <c r="F8487" s="31">
        <f>IFERROR(VLOOKUP(E8487,BD!$L$2:$Q$244,2,0),0)</f>
        <v>0</v>
      </c>
      <c r="G8487" s="424"/>
      <c r="H8487" s="31">
        <f>+IFERROR(VLOOKUP(E8487,BD!$L$2:$Q$244,6,0),0)</f>
        <v>0</v>
      </c>
      <c r="I8487" s="626">
        <f>IFERROR(G8487*VLOOKUP($E8487,BD!$L$2:$Q$244,5,0),0)</f>
        <v>0</v>
      </c>
      <c r="J8487" s="3">
        <f t="shared" si="529"/>
        <v>1900</v>
      </c>
    </row>
    <row r="8488" spans="1:10" s="9" customFormat="1" x14ac:dyDescent="0.25">
      <c r="A8488" s="447"/>
      <c r="B8488" s="55" t="str">
        <f t="shared" si="526"/>
        <v>ENERO</v>
      </c>
      <c r="C8488" s="55">
        <f t="shared" si="527"/>
        <v>1</v>
      </c>
      <c r="D8488" s="3" t="str">
        <f t="shared" si="528"/>
        <v>SÁBADO</v>
      </c>
      <c r="E8488" s="427"/>
      <c r="F8488" s="31">
        <f>IFERROR(VLOOKUP(E8488,BD!$L$2:$Q$244,2,0),0)</f>
        <v>0</v>
      </c>
      <c r="G8488" s="424"/>
      <c r="H8488" s="31">
        <f>+IFERROR(VLOOKUP(E8488,BD!$L$2:$Q$244,6,0),0)</f>
        <v>0</v>
      </c>
      <c r="I8488" s="626">
        <f>IFERROR(G8488*VLOOKUP($E8488,BD!$L$2:$Q$244,5,0),0)</f>
        <v>0</v>
      </c>
      <c r="J8488" s="3">
        <f t="shared" si="529"/>
        <v>1900</v>
      </c>
    </row>
    <row r="8489" spans="1:10" s="9" customFormat="1" x14ac:dyDescent="0.25">
      <c r="A8489" s="447"/>
      <c r="B8489" s="55" t="str">
        <f t="shared" si="526"/>
        <v>ENERO</v>
      </c>
      <c r="C8489" s="55">
        <f t="shared" si="527"/>
        <v>1</v>
      </c>
      <c r="D8489" s="3" t="str">
        <f t="shared" si="528"/>
        <v>SÁBADO</v>
      </c>
      <c r="E8489" s="427"/>
      <c r="F8489" s="31">
        <f>IFERROR(VLOOKUP(E8489,BD!$L$2:$Q$244,2,0),0)</f>
        <v>0</v>
      </c>
      <c r="G8489" s="424"/>
      <c r="H8489" s="31">
        <f>+IFERROR(VLOOKUP(E8489,BD!$L$2:$Q$244,6,0),0)</f>
        <v>0</v>
      </c>
      <c r="I8489" s="626">
        <f>IFERROR(G8489*VLOOKUP($E8489,BD!$L$2:$Q$244,5,0),0)</f>
        <v>0</v>
      </c>
      <c r="J8489" s="3">
        <f t="shared" si="529"/>
        <v>1900</v>
      </c>
    </row>
    <row r="8490" spans="1:10" s="9" customFormat="1" x14ac:dyDescent="0.25">
      <c r="A8490" s="447"/>
      <c r="B8490" s="55" t="str">
        <f t="shared" si="526"/>
        <v>ENERO</v>
      </c>
      <c r="C8490" s="55">
        <f t="shared" si="527"/>
        <v>1</v>
      </c>
      <c r="D8490" s="3" t="str">
        <f t="shared" si="528"/>
        <v>SÁBADO</v>
      </c>
      <c r="E8490" s="427"/>
      <c r="F8490" s="31">
        <f>IFERROR(VLOOKUP(E8490,BD!$L$2:$Q$244,2,0),0)</f>
        <v>0</v>
      </c>
      <c r="G8490" s="424"/>
      <c r="H8490" s="31">
        <f>+IFERROR(VLOOKUP(E8490,BD!$L$2:$Q$244,6,0),0)</f>
        <v>0</v>
      </c>
      <c r="I8490" s="626">
        <f>IFERROR(G8490*VLOOKUP($E8490,BD!$L$2:$Q$244,5,0),0)</f>
        <v>0</v>
      </c>
      <c r="J8490" s="3">
        <f t="shared" si="529"/>
        <v>1900</v>
      </c>
    </row>
    <row r="8491" spans="1:10" s="9" customFormat="1" x14ac:dyDescent="0.25">
      <c r="A8491" s="447"/>
      <c r="B8491" s="55" t="str">
        <f t="shared" si="526"/>
        <v>ENERO</v>
      </c>
      <c r="C8491" s="55">
        <f t="shared" si="527"/>
        <v>1</v>
      </c>
      <c r="D8491" s="3" t="str">
        <f t="shared" si="528"/>
        <v>SÁBADO</v>
      </c>
      <c r="E8491" s="427"/>
      <c r="F8491" s="31">
        <f>IFERROR(VLOOKUP(E8491,BD!$L$2:$Q$244,2,0),0)</f>
        <v>0</v>
      </c>
      <c r="G8491" s="424"/>
      <c r="H8491" s="31">
        <f>+IFERROR(VLOOKUP(E8491,BD!$L$2:$Q$244,6,0),0)</f>
        <v>0</v>
      </c>
      <c r="I8491" s="626">
        <f>IFERROR(G8491*VLOOKUP($E8491,BD!$L$2:$Q$244,5,0),0)</f>
        <v>0</v>
      </c>
      <c r="J8491" s="3">
        <f t="shared" si="529"/>
        <v>1900</v>
      </c>
    </row>
    <row r="8492" spans="1:10" s="9" customFormat="1" x14ac:dyDescent="0.25">
      <c r="A8492" s="447"/>
      <c r="B8492" s="55" t="str">
        <f t="shared" si="526"/>
        <v>ENERO</v>
      </c>
      <c r="C8492" s="55">
        <f t="shared" si="527"/>
        <v>1</v>
      </c>
      <c r="D8492" s="3" t="str">
        <f t="shared" si="528"/>
        <v>SÁBADO</v>
      </c>
      <c r="E8492" s="427"/>
      <c r="F8492" s="31">
        <f>IFERROR(VLOOKUP(E8492,BD!$L$2:$Q$244,2,0),0)</f>
        <v>0</v>
      </c>
      <c r="G8492" s="424"/>
      <c r="H8492" s="31">
        <f>+IFERROR(VLOOKUP(E8492,BD!$L$2:$Q$244,6,0),0)</f>
        <v>0</v>
      </c>
      <c r="I8492" s="626">
        <f>IFERROR(G8492*VLOOKUP($E8492,BD!$L$2:$Q$244,5,0),0)</f>
        <v>0</v>
      </c>
      <c r="J8492" s="3">
        <f t="shared" si="529"/>
        <v>1900</v>
      </c>
    </row>
    <row r="8493" spans="1:10" s="9" customFormat="1" x14ac:dyDescent="0.25">
      <c r="A8493" s="447"/>
      <c r="B8493" s="55" t="str">
        <f t="shared" si="526"/>
        <v>ENERO</v>
      </c>
      <c r="C8493" s="55">
        <f t="shared" si="527"/>
        <v>1</v>
      </c>
      <c r="D8493" s="3" t="str">
        <f t="shared" si="528"/>
        <v>SÁBADO</v>
      </c>
      <c r="E8493" s="427"/>
      <c r="F8493" s="31">
        <f>IFERROR(VLOOKUP(E8493,BD!$L$2:$Q$244,2,0),0)</f>
        <v>0</v>
      </c>
      <c r="G8493" s="424"/>
      <c r="H8493" s="31">
        <f>+IFERROR(VLOOKUP(E8493,BD!$L$2:$Q$244,6,0),0)</f>
        <v>0</v>
      </c>
      <c r="I8493" s="626">
        <f>IFERROR(G8493*VLOOKUP($E8493,BD!$L$2:$Q$244,5,0),0)</f>
        <v>0</v>
      </c>
      <c r="J8493" s="3">
        <f t="shared" si="529"/>
        <v>1900</v>
      </c>
    </row>
    <row r="8494" spans="1:10" s="9" customFormat="1" x14ac:dyDescent="0.25">
      <c r="A8494" s="447"/>
      <c r="B8494" s="55" t="str">
        <f t="shared" si="526"/>
        <v>ENERO</v>
      </c>
      <c r="C8494" s="55">
        <f t="shared" si="527"/>
        <v>1</v>
      </c>
      <c r="D8494" s="3" t="str">
        <f t="shared" si="528"/>
        <v>SÁBADO</v>
      </c>
      <c r="E8494" s="427"/>
      <c r="F8494" s="31">
        <f>IFERROR(VLOOKUP(E8494,BD!$L$2:$Q$244,2,0),0)</f>
        <v>0</v>
      </c>
      <c r="G8494" s="424"/>
      <c r="H8494" s="31">
        <f>+IFERROR(VLOOKUP(E8494,BD!$L$2:$Q$244,6,0),0)</f>
        <v>0</v>
      </c>
      <c r="I8494" s="626">
        <f>IFERROR(G8494*VLOOKUP($E8494,BD!$L$2:$Q$244,5,0),0)</f>
        <v>0</v>
      </c>
      <c r="J8494" s="3">
        <f t="shared" si="529"/>
        <v>1900</v>
      </c>
    </row>
    <row r="8495" spans="1:10" s="9" customFormat="1" x14ac:dyDescent="0.25">
      <c r="A8495" s="447"/>
      <c r="B8495" s="55" t="str">
        <f t="shared" si="526"/>
        <v>ENERO</v>
      </c>
      <c r="C8495" s="55">
        <f t="shared" si="527"/>
        <v>1</v>
      </c>
      <c r="D8495" s="3" t="str">
        <f t="shared" si="528"/>
        <v>SÁBADO</v>
      </c>
      <c r="E8495" s="427"/>
      <c r="F8495" s="31">
        <f>IFERROR(VLOOKUP(E8495,BD!$L$2:$Q$244,2,0),0)</f>
        <v>0</v>
      </c>
      <c r="G8495" s="424"/>
      <c r="H8495" s="31">
        <f>+IFERROR(VLOOKUP(E8495,BD!$L$2:$Q$244,6,0),0)</f>
        <v>0</v>
      </c>
      <c r="I8495" s="626">
        <f>IFERROR(G8495*VLOOKUP($E8495,BD!$L$2:$Q$244,5,0),0)</f>
        <v>0</v>
      </c>
      <c r="J8495" s="3">
        <f t="shared" si="529"/>
        <v>1900</v>
      </c>
    </row>
    <row r="8496" spans="1:10" s="9" customFormat="1" x14ac:dyDescent="0.25">
      <c r="A8496" s="447"/>
      <c r="B8496" s="55" t="str">
        <f t="shared" si="526"/>
        <v>ENERO</v>
      </c>
      <c r="C8496" s="55">
        <f t="shared" si="527"/>
        <v>1</v>
      </c>
      <c r="D8496" s="3" t="str">
        <f t="shared" si="528"/>
        <v>SÁBADO</v>
      </c>
      <c r="E8496" s="427"/>
      <c r="F8496" s="31">
        <f>IFERROR(VLOOKUP(E8496,BD!$L$2:$Q$244,2,0),0)</f>
        <v>0</v>
      </c>
      <c r="G8496" s="424"/>
      <c r="H8496" s="31">
        <f>+IFERROR(VLOOKUP(E8496,BD!$L$2:$Q$244,6,0),0)</f>
        <v>0</v>
      </c>
      <c r="I8496" s="626">
        <f>IFERROR(G8496*VLOOKUP($E8496,BD!$L$2:$Q$244,5,0),0)</f>
        <v>0</v>
      </c>
      <c r="J8496" s="3">
        <f t="shared" si="529"/>
        <v>1900</v>
      </c>
    </row>
    <row r="8497" spans="1:10" s="9" customFormat="1" x14ac:dyDescent="0.25">
      <c r="A8497" s="447"/>
      <c r="B8497" s="55" t="str">
        <f t="shared" si="526"/>
        <v>ENERO</v>
      </c>
      <c r="C8497" s="55">
        <f t="shared" si="527"/>
        <v>1</v>
      </c>
      <c r="D8497" s="3" t="str">
        <f t="shared" si="528"/>
        <v>SÁBADO</v>
      </c>
      <c r="E8497" s="427"/>
      <c r="F8497" s="31">
        <f>IFERROR(VLOOKUP(E8497,BD!$L$2:$Q$244,2,0),0)</f>
        <v>0</v>
      </c>
      <c r="G8497" s="424"/>
      <c r="H8497" s="31">
        <f>+IFERROR(VLOOKUP(E8497,BD!$L$2:$Q$244,6,0),0)</f>
        <v>0</v>
      </c>
      <c r="I8497" s="626">
        <f>IFERROR(G8497*VLOOKUP($E8497,BD!$L$2:$Q$244,5,0),0)</f>
        <v>0</v>
      </c>
      <c r="J8497" s="3">
        <f t="shared" si="529"/>
        <v>1900</v>
      </c>
    </row>
    <row r="8498" spans="1:10" s="9" customFormat="1" x14ac:dyDescent="0.25">
      <c r="A8498" s="447"/>
      <c r="B8498" s="55" t="str">
        <f t="shared" si="526"/>
        <v>ENERO</v>
      </c>
      <c r="C8498" s="55">
        <f t="shared" si="527"/>
        <v>1</v>
      </c>
      <c r="D8498" s="3" t="str">
        <f t="shared" si="528"/>
        <v>SÁBADO</v>
      </c>
      <c r="E8498" s="427"/>
      <c r="F8498" s="31">
        <f>IFERROR(VLOOKUP(E8498,BD!$L$2:$Q$244,2,0),0)</f>
        <v>0</v>
      </c>
      <c r="G8498" s="424"/>
      <c r="H8498" s="31">
        <f>+IFERROR(VLOOKUP(E8498,BD!$L$2:$Q$244,6,0),0)</f>
        <v>0</v>
      </c>
      <c r="I8498" s="626">
        <f>IFERROR(G8498*VLOOKUP($E8498,BD!$L$2:$Q$244,5,0),0)</f>
        <v>0</v>
      </c>
      <c r="J8498" s="3">
        <f t="shared" si="529"/>
        <v>1900</v>
      </c>
    </row>
    <row r="8499" spans="1:10" s="9" customFormat="1" x14ac:dyDescent="0.25">
      <c r="A8499" s="447"/>
      <c r="B8499" s="55" t="str">
        <f t="shared" si="526"/>
        <v>ENERO</v>
      </c>
      <c r="C8499" s="55">
        <f t="shared" si="527"/>
        <v>1</v>
      </c>
      <c r="D8499" s="3" t="str">
        <f t="shared" si="528"/>
        <v>SÁBADO</v>
      </c>
      <c r="E8499" s="427"/>
      <c r="F8499" s="31">
        <f>IFERROR(VLOOKUP(E8499,BD!$L$2:$Q$244,2,0),0)</f>
        <v>0</v>
      </c>
      <c r="G8499" s="424"/>
      <c r="H8499" s="31">
        <f>+IFERROR(VLOOKUP(E8499,BD!$L$2:$Q$244,6,0),0)</f>
        <v>0</v>
      </c>
      <c r="I8499" s="626">
        <f>IFERROR(G8499*VLOOKUP($E8499,BD!$L$2:$Q$244,5,0),0)</f>
        <v>0</v>
      </c>
      <c r="J8499" s="3">
        <f t="shared" si="529"/>
        <v>1900</v>
      </c>
    </row>
    <row r="8500" spans="1:10" s="9" customFormat="1" x14ac:dyDescent="0.25">
      <c r="A8500" s="447"/>
      <c r="B8500" s="55" t="str">
        <f t="shared" si="526"/>
        <v>ENERO</v>
      </c>
      <c r="C8500" s="55">
        <f t="shared" si="527"/>
        <v>1</v>
      </c>
      <c r="D8500" s="3" t="str">
        <f t="shared" si="528"/>
        <v>SÁBADO</v>
      </c>
      <c r="E8500" s="427"/>
      <c r="F8500" s="31">
        <f>IFERROR(VLOOKUP(E8500,BD!$L$2:$Q$244,2,0),0)</f>
        <v>0</v>
      </c>
      <c r="G8500" s="424"/>
      <c r="H8500" s="31">
        <f>+IFERROR(VLOOKUP(E8500,BD!$L$2:$Q$244,6,0),0)</f>
        <v>0</v>
      </c>
      <c r="I8500" s="626">
        <f>IFERROR(G8500*VLOOKUP($E8500,BD!$L$2:$Q$244,5,0),0)</f>
        <v>0</v>
      </c>
      <c r="J8500" s="3">
        <f t="shared" si="529"/>
        <v>1900</v>
      </c>
    </row>
    <row r="8501" spans="1:10" s="9" customFormat="1" x14ac:dyDescent="0.25">
      <c r="A8501" s="447"/>
      <c r="B8501" s="55" t="str">
        <f t="shared" si="526"/>
        <v>ENERO</v>
      </c>
      <c r="C8501" s="55">
        <f t="shared" si="527"/>
        <v>1</v>
      </c>
      <c r="D8501" s="3" t="str">
        <f t="shared" si="528"/>
        <v>SÁBADO</v>
      </c>
      <c r="E8501" s="427"/>
      <c r="F8501" s="31">
        <f>IFERROR(VLOOKUP(E8501,BD!$L$2:$Q$244,2,0),0)</f>
        <v>0</v>
      </c>
      <c r="G8501" s="424"/>
      <c r="H8501" s="31">
        <f>+IFERROR(VLOOKUP(E8501,BD!$L$2:$Q$244,6,0),0)</f>
        <v>0</v>
      </c>
      <c r="I8501" s="626">
        <f>IFERROR(G8501*VLOOKUP($E8501,BD!$L$2:$Q$244,5,0),0)</f>
        <v>0</v>
      </c>
      <c r="J8501" s="3">
        <f t="shared" si="529"/>
        <v>1900</v>
      </c>
    </row>
    <row r="8502" spans="1:10" s="9" customFormat="1" x14ac:dyDescent="0.25">
      <c r="A8502" s="447"/>
      <c r="B8502" s="55" t="str">
        <f t="shared" si="526"/>
        <v>ENERO</v>
      </c>
      <c r="C8502" s="55">
        <f t="shared" si="527"/>
        <v>1</v>
      </c>
      <c r="D8502" s="3" t="str">
        <f t="shared" si="528"/>
        <v>SÁBADO</v>
      </c>
      <c r="E8502" s="427"/>
      <c r="F8502" s="31">
        <f>IFERROR(VLOOKUP(E8502,BD!$L$2:$Q$244,2,0),0)</f>
        <v>0</v>
      </c>
      <c r="G8502" s="424"/>
      <c r="H8502" s="31">
        <f>+IFERROR(VLOOKUP(E8502,BD!$L$2:$Q$244,6,0),0)</f>
        <v>0</v>
      </c>
      <c r="I8502" s="626">
        <f>IFERROR(G8502*VLOOKUP($E8502,BD!$L$2:$Q$244,5,0),0)</f>
        <v>0</v>
      </c>
      <c r="J8502" s="3">
        <f t="shared" si="529"/>
        <v>1900</v>
      </c>
    </row>
    <row r="8503" spans="1:10" s="9" customFormat="1" x14ac:dyDescent="0.25">
      <c r="A8503" s="447"/>
      <c r="B8503" s="55" t="str">
        <f t="shared" si="526"/>
        <v>ENERO</v>
      </c>
      <c r="C8503" s="55">
        <f t="shared" si="527"/>
        <v>1</v>
      </c>
      <c r="D8503" s="3" t="str">
        <f t="shared" si="528"/>
        <v>SÁBADO</v>
      </c>
      <c r="E8503" s="427"/>
      <c r="F8503" s="31">
        <f>IFERROR(VLOOKUP(E8503,BD!$L$2:$Q$244,2,0),0)</f>
        <v>0</v>
      </c>
      <c r="G8503" s="424"/>
      <c r="H8503" s="31">
        <f>+IFERROR(VLOOKUP(E8503,BD!$L$2:$Q$244,6,0),0)</f>
        <v>0</v>
      </c>
      <c r="I8503" s="626">
        <f>IFERROR(G8503*VLOOKUP($E8503,BD!$L$2:$Q$244,5,0),0)</f>
        <v>0</v>
      </c>
      <c r="J8503" s="3">
        <f t="shared" si="529"/>
        <v>1900</v>
      </c>
    </row>
    <row r="8504" spans="1:10" s="9" customFormat="1" x14ac:dyDescent="0.25">
      <c r="A8504" s="447"/>
      <c r="B8504" s="55" t="str">
        <f t="shared" si="526"/>
        <v>ENERO</v>
      </c>
      <c r="C8504" s="55">
        <f t="shared" si="527"/>
        <v>1</v>
      </c>
      <c r="D8504" s="3" t="str">
        <f t="shared" si="528"/>
        <v>SÁBADO</v>
      </c>
      <c r="E8504" s="427"/>
      <c r="F8504" s="31">
        <f>IFERROR(VLOOKUP(E8504,BD!$L$2:$Q$244,2,0),0)</f>
        <v>0</v>
      </c>
      <c r="G8504" s="424"/>
      <c r="H8504" s="31">
        <f>+IFERROR(VLOOKUP(E8504,BD!$L$2:$Q$244,6,0),0)</f>
        <v>0</v>
      </c>
      <c r="I8504" s="626">
        <f>IFERROR(G8504*VLOOKUP($E8504,BD!$L$2:$Q$244,5,0),0)</f>
        <v>0</v>
      </c>
      <c r="J8504" s="3">
        <f t="shared" si="529"/>
        <v>1900</v>
      </c>
    </row>
    <row r="8505" spans="1:10" s="9" customFormat="1" x14ac:dyDescent="0.25">
      <c r="A8505" s="447"/>
      <c r="B8505" s="55" t="str">
        <f t="shared" si="526"/>
        <v>ENERO</v>
      </c>
      <c r="C8505" s="55">
        <f t="shared" si="527"/>
        <v>1</v>
      </c>
      <c r="D8505" s="3" t="str">
        <f t="shared" si="528"/>
        <v>SÁBADO</v>
      </c>
      <c r="E8505" s="427"/>
      <c r="F8505" s="31">
        <f>IFERROR(VLOOKUP(E8505,BD!$L$2:$Q$244,2,0),0)</f>
        <v>0</v>
      </c>
      <c r="G8505" s="424"/>
      <c r="H8505" s="31">
        <f>+IFERROR(VLOOKUP(E8505,BD!$L$2:$Q$244,6,0),0)</f>
        <v>0</v>
      </c>
      <c r="I8505" s="626">
        <f>IFERROR(G8505*VLOOKUP($E8505,BD!$L$2:$Q$244,5,0),0)</f>
        <v>0</v>
      </c>
      <c r="J8505" s="3">
        <f t="shared" si="529"/>
        <v>1900</v>
      </c>
    </row>
    <row r="8506" spans="1:10" s="9" customFormat="1" x14ac:dyDescent="0.25">
      <c r="A8506" s="447"/>
      <c r="B8506" s="55" t="str">
        <f t="shared" si="526"/>
        <v>ENERO</v>
      </c>
      <c r="C8506" s="55">
        <f t="shared" si="527"/>
        <v>1</v>
      </c>
      <c r="D8506" s="3" t="str">
        <f t="shared" si="528"/>
        <v>SÁBADO</v>
      </c>
      <c r="E8506" s="427"/>
      <c r="F8506" s="31">
        <f>IFERROR(VLOOKUP(E8506,BD!$L$2:$Q$244,2,0),0)</f>
        <v>0</v>
      </c>
      <c r="G8506" s="424"/>
      <c r="H8506" s="31">
        <f>+IFERROR(VLOOKUP(E8506,BD!$L$2:$Q$244,6,0),0)</f>
        <v>0</v>
      </c>
      <c r="I8506" s="626">
        <f>IFERROR(G8506*VLOOKUP($E8506,BD!$L$2:$Q$244,5,0),0)</f>
        <v>0</v>
      </c>
      <c r="J8506" s="3">
        <f t="shared" si="529"/>
        <v>1900</v>
      </c>
    </row>
    <row r="8507" spans="1:10" s="9" customFormat="1" x14ac:dyDescent="0.25">
      <c r="A8507" s="447"/>
      <c r="B8507" s="55" t="str">
        <f t="shared" si="526"/>
        <v>ENERO</v>
      </c>
      <c r="C8507" s="55">
        <f t="shared" si="527"/>
        <v>1</v>
      </c>
      <c r="D8507" s="3" t="str">
        <f t="shared" si="528"/>
        <v>SÁBADO</v>
      </c>
      <c r="E8507" s="427"/>
      <c r="F8507" s="31">
        <f>IFERROR(VLOOKUP(E8507,BD!$L$2:$Q$244,2,0),0)</f>
        <v>0</v>
      </c>
      <c r="G8507" s="424"/>
      <c r="H8507" s="31">
        <f>+IFERROR(VLOOKUP(E8507,BD!$L$2:$Q$244,6,0),0)</f>
        <v>0</v>
      </c>
      <c r="I8507" s="626">
        <f>IFERROR(G8507*VLOOKUP($E8507,BD!$L$2:$Q$244,5,0),0)</f>
        <v>0</v>
      </c>
      <c r="J8507" s="3">
        <f t="shared" si="529"/>
        <v>1900</v>
      </c>
    </row>
    <row r="8508" spans="1:10" s="9" customFormat="1" x14ac:dyDescent="0.25">
      <c r="A8508" s="447"/>
      <c r="B8508" s="55" t="str">
        <f t="shared" ref="B8508:B8571" si="530">UPPER(TEXT(A8508,"MMMM"))</f>
        <v>ENERO</v>
      </c>
      <c r="C8508" s="55">
        <f t="shared" ref="C8508:C8571" si="531">WEEKNUM(A8508,16)</f>
        <v>1</v>
      </c>
      <c r="D8508" s="3" t="str">
        <f t="shared" ref="D8508:D8571" si="532">UPPER(TEXT(A8508,"DDDD"))</f>
        <v>SÁBADO</v>
      </c>
      <c r="E8508" s="427"/>
      <c r="F8508" s="31">
        <f>IFERROR(VLOOKUP(E8508,BD!$L$2:$Q$244,2,0),0)</f>
        <v>0</v>
      </c>
      <c r="G8508" s="424"/>
      <c r="H8508" s="31">
        <f>+IFERROR(VLOOKUP(E8508,BD!$L$2:$Q$244,6,0),0)</f>
        <v>0</v>
      </c>
      <c r="I8508" s="626">
        <f>IFERROR(G8508*VLOOKUP($E8508,BD!$L$2:$Q$244,5,0),0)</f>
        <v>0</v>
      </c>
      <c r="J8508" s="3">
        <f t="shared" ref="J8508:J8571" si="533">+YEAR(A8508)</f>
        <v>1900</v>
      </c>
    </row>
    <row r="8509" spans="1:10" s="9" customFormat="1" x14ac:dyDescent="0.25">
      <c r="A8509" s="447"/>
      <c r="B8509" s="55" t="str">
        <f t="shared" si="530"/>
        <v>ENERO</v>
      </c>
      <c r="C8509" s="55">
        <f t="shared" si="531"/>
        <v>1</v>
      </c>
      <c r="D8509" s="3" t="str">
        <f t="shared" si="532"/>
        <v>SÁBADO</v>
      </c>
      <c r="E8509" s="427"/>
      <c r="F8509" s="31">
        <f>IFERROR(VLOOKUP(E8509,BD!$L$2:$Q$244,2,0),0)</f>
        <v>0</v>
      </c>
      <c r="G8509" s="424"/>
      <c r="H8509" s="31">
        <f>+IFERROR(VLOOKUP(E8509,BD!$L$2:$Q$244,6,0),0)</f>
        <v>0</v>
      </c>
      <c r="I8509" s="626">
        <f>IFERROR(G8509*VLOOKUP($E8509,BD!$L$2:$Q$244,5,0),0)</f>
        <v>0</v>
      </c>
      <c r="J8509" s="3">
        <f t="shared" si="533"/>
        <v>1900</v>
      </c>
    </row>
    <row r="8510" spans="1:10" s="9" customFormat="1" x14ac:dyDescent="0.25">
      <c r="A8510" s="447"/>
      <c r="B8510" s="55" t="str">
        <f t="shared" si="530"/>
        <v>ENERO</v>
      </c>
      <c r="C8510" s="55">
        <f t="shared" si="531"/>
        <v>1</v>
      </c>
      <c r="D8510" s="3" t="str">
        <f t="shared" si="532"/>
        <v>SÁBADO</v>
      </c>
      <c r="E8510" s="427"/>
      <c r="F8510" s="31">
        <f>IFERROR(VLOOKUP(E8510,BD!$L$2:$Q$244,2,0),0)</f>
        <v>0</v>
      </c>
      <c r="G8510" s="424"/>
      <c r="H8510" s="31">
        <f>+IFERROR(VLOOKUP(E8510,BD!$L$2:$Q$244,6,0),0)</f>
        <v>0</v>
      </c>
      <c r="I8510" s="626">
        <f>IFERROR(G8510*VLOOKUP($E8510,BD!$L$2:$Q$244,5,0),0)</f>
        <v>0</v>
      </c>
      <c r="J8510" s="3">
        <f t="shared" si="533"/>
        <v>1900</v>
      </c>
    </row>
    <row r="8511" spans="1:10" s="9" customFormat="1" x14ac:dyDescent="0.25">
      <c r="A8511" s="447"/>
      <c r="B8511" s="55" t="str">
        <f t="shared" si="530"/>
        <v>ENERO</v>
      </c>
      <c r="C8511" s="55">
        <f t="shared" si="531"/>
        <v>1</v>
      </c>
      <c r="D8511" s="3" t="str">
        <f t="shared" si="532"/>
        <v>SÁBADO</v>
      </c>
      <c r="E8511" s="427"/>
      <c r="F8511" s="31">
        <f>IFERROR(VLOOKUP(E8511,BD!$L$2:$Q$244,2,0),0)</f>
        <v>0</v>
      </c>
      <c r="G8511" s="424"/>
      <c r="H8511" s="31">
        <f>+IFERROR(VLOOKUP(E8511,BD!$L$2:$Q$244,6,0),0)</f>
        <v>0</v>
      </c>
      <c r="I8511" s="626">
        <f>IFERROR(G8511*VLOOKUP($E8511,BD!$L$2:$Q$244,5,0),0)</f>
        <v>0</v>
      </c>
      <c r="J8511" s="3">
        <f t="shared" si="533"/>
        <v>1900</v>
      </c>
    </row>
    <row r="8512" spans="1:10" s="9" customFormat="1" x14ac:dyDescent="0.25">
      <c r="A8512" s="447"/>
      <c r="B8512" s="55" t="str">
        <f t="shared" si="530"/>
        <v>ENERO</v>
      </c>
      <c r="C8512" s="55">
        <f t="shared" si="531"/>
        <v>1</v>
      </c>
      <c r="D8512" s="3" t="str">
        <f t="shared" si="532"/>
        <v>SÁBADO</v>
      </c>
      <c r="E8512" s="427"/>
      <c r="F8512" s="31">
        <f>IFERROR(VLOOKUP(E8512,BD!$L$2:$Q$244,2,0),0)</f>
        <v>0</v>
      </c>
      <c r="G8512" s="424"/>
      <c r="H8512" s="31">
        <f>+IFERROR(VLOOKUP(E8512,BD!$L$2:$Q$244,6,0),0)</f>
        <v>0</v>
      </c>
      <c r="I8512" s="626">
        <f>IFERROR(G8512*VLOOKUP($E8512,BD!$L$2:$Q$244,5,0),0)</f>
        <v>0</v>
      </c>
      <c r="J8512" s="3">
        <f t="shared" si="533"/>
        <v>1900</v>
      </c>
    </row>
    <row r="8513" spans="1:10" s="9" customFormat="1" x14ac:dyDescent="0.25">
      <c r="A8513" s="447"/>
      <c r="B8513" s="55" t="str">
        <f t="shared" si="530"/>
        <v>ENERO</v>
      </c>
      <c r="C8513" s="55">
        <f t="shared" si="531"/>
        <v>1</v>
      </c>
      <c r="D8513" s="3" t="str">
        <f t="shared" si="532"/>
        <v>SÁBADO</v>
      </c>
      <c r="E8513" s="427"/>
      <c r="F8513" s="31">
        <f>IFERROR(VLOOKUP(E8513,BD!$L$2:$Q$244,2,0),0)</f>
        <v>0</v>
      </c>
      <c r="G8513" s="424"/>
      <c r="H8513" s="31">
        <f>+IFERROR(VLOOKUP(E8513,BD!$L$2:$Q$244,6,0),0)</f>
        <v>0</v>
      </c>
      <c r="I8513" s="626">
        <f>IFERROR(G8513*VLOOKUP($E8513,BD!$L$2:$Q$244,5,0),0)</f>
        <v>0</v>
      </c>
      <c r="J8513" s="3">
        <f t="shared" si="533"/>
        <v>1900</v>
      </c>
    </row>
    <row r="8514" spans="1:10" s="9" customFormat="1" x14ac:dyDescent="0.25">
      <c r="A8514" s="447"/>
      <c r="B8514" s="55" t="str">
        <f t="shared" si="530"/>
        <v>ENERO</v>
      </c>
      <c r="C8514" s="55">
        <f t="shared" si="531"/>
        <v>1</v>
      </c>
      <c r="D8514" s="3" t="str">
        <f t="shared" si="532"/>
        <v>SÁBADO</v>
      </c>
      <c r="E8514" s="427"/>
      <c r="F8514" s="31">
        <f>IFERROR(VLOOKUP(E8514,BD!$L$2:$Q$244,2,0),0)</f>
        <v>0</v>
      </c>
      <c r="G8514" s="424"/>
      <c r="H8514" s="31">
        <f>+IFERROR(VLOOKUP(E8514,BD!$L$2:$Q$244,6,0),0)</f>
        <v>0</v>
      </c>
      <c r="I8514" s="626">
        <f>IFERROR(G8514*VLOOKUP($E8514,BD!$L$2:$Q$244,5,0),0)</f>
        <v>0</v>
      </c>
      <c r="J8514" s="3">
        <f t="shared" si="533"/>
        <v>1900</v>
      </c>
    </row>
    <row r="8515" spans="1:10" s="9" customFormat="1" x14ac:dyDescent="0.25">
      <c r="A8515" s="447"/>
      <c r="B8515" s="55" t="str">
        <f t="shared" si="530"/>
        <v>ENERO</v>
      </c>
      <c r="C8515" s="55">
        <f t="shared" si="531"/>
        <v>1</v>
      </c>
      <c r="D8515" s="3" t="str">
        <f t="shared" si="532"/>
        <v>SÁBADO</v>
      </c>
      <c r="E8515" s="427"/>
      <c r="F8515" s="31">
        <f>IFERROR(VLOOKUP(E8515,BD!$L$2:$Q$244,2,0),0)</f>
        <v>0</v>
      </c>
      <c r="G8515" s="424"/>
      <c r="H8515" s="31">
        <f>+IFERROR(VLOOKUP(E8515,BD!$L$2:$Q$244,6,0),0)</f>
        <v>0</v>
      </c>
      <c r="I8515" s="626">
        <f>IFERROR(G8515*VLOOKUP($E8515,BD!$L$2:$Q$244,5,0),0)</f>
        <v>0</v>
      </c>
      <c r="J8515" s="3">
        <f t="shared" si="533"/>
        <v>1900</v>
      </c>
    </row>
    <row r="8516" spans="1:10" s="9" customFormat="1" x14ac:dyDescent="0.25">
      <c r="A8516" s="447"/>
      <c r="B8516" s="55" t="str">
        <f t="shared" si="530"/>
        <v>ENERO</v>
      </c>
      <c r="C8516" s="55">
        <f t="shared" si="531"/>
        <v>1</v>
      </c>
      <c r="D8516" s="3" t="str">
        <f t="shared" si="532"/>
        <v>SÁBADO</v>
      </c>
      <c r="E8516" s="427"/>
      <c r="F8516" s="31">
        <f>IFERROR(VLOOKUP(E8516,BD!$L$2:$Q$244,2,0),0)</f>
        <v>0</v>
      </c>
      <c r="G8516" s="424"/>
      <c r="H8516" s="31">
        <f>+IFERROR(VLOOKUP(E8516,BD!$L$2:$Q$244,6,0),0)</f>
        <v>0</v>
      </c>
      <c r="I8516" s="626">
        <f>IFERROR(G8516*VLOOKUP($E8516,BD!$L$2:$Q$244,5,0),0)</f>
        <v>0</v>
      </c>
      <c r="J8516" s="3">
        <f t="shared" si="533"/>
        <v>1900</v>
      </c>
    </row>
    <row r="8517" spans="1:10" s="9" customFormat="1" x14ac:dyDescent="0.25">
      <c r="A8517" s="447"/>
      <c r="B8517" s="55" t="str">
        <f t="shared" si="530"/>
        <v>ENERO</v>
      </c>
      <c r="C8517" s="55">
        <f t="shared" si="531"/>
        <v>1</v>
      </c>
      <c r="D8517" s="3" t="str">
        <f t="shared" si="532"/>
        <v>SÁBADO</v>
      </c>
      <c r="E8517" s="427"/>
      <c r="F8517" s="31">
        <f>IFERROR(VLOOKUP(E8517,BD!$L$2:$Q$244,2,0),0)</f>
        <v>0</v>
      </c>
      <c r="G8517" s="424"/>
      <c r="H8517" s="31">
        <f>+IFERROR(VLOOKUP(E8517,BD!$L$2:$Q$244,6,0),0)</f>
        <v>0</v>
      </c>
      <c r="I8517" s="626">
        <f>IFERROR(G8517*VLOOKUP($E8517,BD!$L$2:$Q$244,5,0),0)</f>
        <v>0</v>
      </c>
      <c r="J8517" s="3">
        <f t="shared" si="533"/>
        <v>1900</v>
      </c>
    </row>
    <row r="8518" spans="1:10" s="9" customFormat="1" x14ac:dyDescent="0.25">
      <c r="A8518" s="447"/>
      <c r="B8518" s="55" t="str">
        <f t="shared" si="530"/>
        <v>ENERO</v>
      </c>
      <c r="C8518" s="55">
        <f t="shared" si="531"/>
        <v>1</v>
      </c>
      <c r="D8518" s="3" t="str">
        <f t="shared" si="532"/>
        <v>SÁBADO</v>
      </c>
      <c r="E8518" s="427"/>
      <c r="F8518" s="31">
        <f>IFERROR(VLOOKUP(E8518,BD!$L$2:$Q$244,2,0),0)</f>
        <v>0</v>
      </c>
      <c r="G8518" s="424"/>
      <c r="H8518" s="31">
        <f>+IFERROR(VLOOKUP(E8518,BD!$L$2:$Q$244,6,0),0)</f>
        <v>0</v>
      </c>
      <c r="I8518" s="626">
        <f>IFERROR(G8518*VLOOKUP($E8518,BD!$L$2:$Q$244,5,0),0)</f>
        <v>0</v>
      </c>
      <c r="J8518" s="3">
        <f t="shared" si="533"/>
        <v>1900</v>
      </c>
    </row>
    <row r="8519" spans="1:10" s="9" customFormat="1" x14ac:dyDescent="0.25">
      <c r="A8519" s="447"/>
      <c r="B8519" s="55" t="str">
        <f t="shared" si="530"/>
        <v>ENERO</v>
      </c>
      <c r="C8519" s="55">
        <f t="shared" si="531"/>
        <v>1</v>
      </c>
      <c r="D8519" s="3" t="str">
        <f t="shared" si="532"/>
        <v>SÁBADO</v>
      </c>
      <c r="E8519" s="427"/>
      <c r="F8519" s="31">
        <f>IFERROR(VLOOKUP(E8519,BD!$L$2:$Q$244,2,0),0)</f>
        <v>0</v>
      </c>
      <c r="G8519" s="424"/>
      <c r="H8519" s="31">
        <f>+IFERROR(VLOOKUP(E8519,BD!$L$2:$Q$244,6,0),0)</f>
        <v>0</v>
      </c>
      <c r="I8519" s="626">
        <f>IFERROR(G8519*VLOOKUP($E8519,BD!$L$2:$Q$244,5,0),0)</f>
        <v>0</v>
      </c>
      <c r="J8519" s="3">
        <f t="shared" si="533"/>
        <v>1900</v>
      </c>
    </row>
    <row r="8520" spans="1:10" s="9" customFormat="1" x14ac:dyDescent="0.25">
      <c r="A8520" s="447"/>
      <c r="B8520" s="55" t="str">
        <f t="shared" si="530"/>
        <v>ENERO</v>
      </c>
      <c r="C8520" s="55">
        <f t="shared" si="531"/>
        <v>1</v>
      </c>
      <c r="D8520" s="3" t="str">
        <f t="shared" si="532"/>
        <v>SÁBADO</v>
      </c>
      <c r="E8520" s="427"/>
      <c r="F8520" s="31">
        <f>IFERROR(VLOOKUP(E8520,BD!$L$2:$Q$244,2,0),0)</f>
        <v>0</v>
      </c>
      <c r="G8520" s="424"/>
      <c r="H8520" s="31">
        <f>+IFERROR(VLOOKUP(E8520,BD!$L$2:$Q$244,6,0),0)</f>
        <v>0</v>
      </c>
      <c r="I8520" s="626">
        <f>IFERROR(G8520*VLOOKUP($E8520,BD!$L$2:$Q$244,5,0),0)</f>
        <v>0</v>
      </c>
      <c r="J8520" s="3">
        <f t="shared" si="533"/>
        <v>1900</v>
      </c>
    </row>
    <row r="8521" spans="1:10" s="9" customFormat="1" x14ac:dyDescent="0.25">
      <c r="A8521" s="447"/>
      <c r="B8521" s="55" t="str">
        <f t="shared" si="530"/>
        <v>ENERO</v>
      </c>
      <c r="C8521" s="55">
        <f t="shared" si="531"/>
        <v>1</v>
      </c>
      <c r="D8521" s="3" t="str">
        <f t="shared" si="532"/>
        <v>SÁBADO</v>
      </c>
      <c r="E8521" s="427"/>
      <c r="F8521" s="31">
        <f>IFERROR(VLOOKUP(E8521,BD!$L$2:$Q$244,2,0),0)</f>
        <v>0</v>
      </c>
      <c r="G8521" s="424"/>
      <c r="H8521" s="31">
        <f>+IFERROR(VLOOKUP(E8521,BD!$L$2:$Q$244,6,0),0)</f>
        <v>0</v>
      </c>
      <c r="I8521" s="626">
        <f>IFERROR(G8521*VLOOKUP($E8521,BD!$L$2:$Q$244,5,0),0)</f>
        <v>0</v>
      </c>
      <c r="J8521" s="3">
        <f t="shared" si="533"/>
        <v>1900</v>
      </c>
    </row>
    <row r="8522" spans="1:10" s="9" customFormat="1" x14ac:dyDescent="0.25">
      <c r="A8522" s="447"/>
      <c r="B8522" s="55" t="str">
        <f t="shared" si="530"/>
        <v>ENERO</v>
      </c>
      <c r="C8522" s="55">
        <f t="shared" si="531"/>
        <v>1</v>
      </c>
      <c r="D8522" s="3" t="str">
        <f t="shared" si="532"/>
        <v>SÁBADO</v>
      </c>
      <c r="E8522" s="427"/>
      <c r="F8522" s="31">
        <f>IFERROR(VLOOKUP(E8522,BD!$L$2:$Q$244,2,0),0)</f>
        <v>0</v>
      </c>
      <c r="G8522" s="424"/>
      <c r="H8522" s="31">
        <f>+IFERROR(VLOOKUP(E8522,BD!$L$2:$Q$244,6,0),0)</f>
        <v>0</v>
      </c>
      <c r="I8522" s="626">
        <f>IFERROR(G8522*VLOOKUP($E8522,BD!$L$2:$Q$244,5,0),0)</f>
        <v>0</v>
      </c>
      <c r="J8522" s="3">
        <f t="shared" si="533"/>
        <v>1900</v>
      </c>
    </row>
    <row r="8523" spans="1:10" s="9" customFormat="1" x14ac:dyDescent="0.25">
      <c r="A8523" s="447"/>
      <c r="B8523" s="55" t="str">
        <f t="shared" si="530"/>
        <v>ENERO</v>
      </c>
      <c r="C8523" s="55">
        <f t="shared" si="531"/>
        <v>1</v>
      </c>
      <c r="D8523" s="3" t="str">
        <f t="shared" si="532"/>
        <v>SÁBADO</v>
      </c>
      <c r="E8523" s="427"/>
      <c r="F8523" s="31">
        <f>IFERROR(VLOOKUP(E8523,BD!$L$2:$Q$244,2,0),0)</f>
        <v>0</v>
      </c>
      <c r="G8523" s="424"/>
      <c r="H8523" s="31">
        <f>+IFERROR(VLOOKUP(E8523,BD!$L$2:$Q$244,6,0),0)</f>
        <v>0</v>
      </c>
      <c r="I8523" s="626">
        <f>IFERROR(G8523*VLOOKUP($E8523,BD!$L$2:$Q$244,5,0),0)</f>
        <v>0</v>
      </c>
      <c r="J8523" s="3">
        <f t="shared" si="533"/>
        <v>1900</v>
      </c>
    </row>
    <row r="8524" spans="1:10" s="9" customFormat="1" x14ac:dyDescent="0.25">
      <c r="A8524" s="447"/>
      <c r="B8524" s="55" t="str">
        <f t="shared" si="530"/>
        <v>ENERO</v>
      </c>
      <c r="C8524" s="55">
        <f t="shared" si="531"/>
        <v>1</v>
      </c>
      <c r="D8524" s="3" t="str">
        <f t="shared" si="532"/>
        <v>SÁBADO</v>
      </c>
      <c r="E8524" s="427"/>
      <c r="F8524" s="31">
        <f>IFERROR(VLOOKUP(E8524,BD!$L$2:$Q$244,2,0),0)</f>
        <v>0</v>
      </c>
      <c r="G8524" s="424"/>
      <c r="H8524" s="31">
        <f>+IFERROR(VLOOKUP(E8524,BD!$L$2:$Q$244,6,0),0)</f>
        <v>0</v>
      </c>
      <c r="I8524" s="626">
        <f>IFERROR(G8524*VLOOKUP($E8524,BD!$L$2:$Q$244,5,0),0)</f>
        <v>0</v>
      </c>
      <c r="J8524" s="3">
        <f t="shared" si="533"/>
        <v>1900</v>
      </c>
    </row>
    <row r="8525" spans="1:10" s="9" customFormat="1" x14ac:dyDescent="0.25">
      <c r="A8525" s="447"/>
      <c r="B8525" s="55" t="str">
        <f t="shared" si="530"/>
        <v>ENERO</v>
      </c>
      <c r="C8525" s="55">
        <f t="shared" si="531"/>
        <v>1</v>
      </c>
      <c r="D8525" s="3" t="str">
        <f t="shared" si="532"/>
        <v>SÁBADO</v>
      </c>
      <c r="E8525" s="427"/>
      <c r="F8525" s="31">
        <f>IFERROR(VLOOKUP(E8525,BD!$L$2:$Q$244,2,0),0)</f>
        <v>0</v>
      </c>
      <c r="G8525" s="424"/>
      <c r="H8525" s="31">
        <f>+IFERROR(VLOOKUP(E8525,BD!$L$2:$Q$244,6,0),0)</f>
        <v>0</v>
      </c>
      <c r="I8525" s="626">
        <f>IFERROR(G8525*VLOOKUP($E8525,BD!$L$2:$Q$244,5,0),0)</f>
        <v>0</v>
      </c>
      <c r="J8525" s="3">
        <f t="shared" si="533"/>
        <v>1900</v>
      </c>
    </row>
    <row r="8526" spans="1:10" s="9" customFormat="1" x14ac:dyDescent="0.25">
      <c r="A8526" s="447"/>
      <c r="B8526" s="55" t="str">
        <f t="shared" si="530"/>
        <v>ENERO</v>
      </c>
      <c r="C8526" s="55">
        <f t="shared" si="531"/>
        <v>1</v>
      </c>
      <c r="D8526" s="3" t="str">
        <f t="shared" si="532"/>
        <v>SÁBADO</v>
      </c>
      <c r="E8526" s="427"/>
      <c r="F8526" s="31">
        <f>IFERROR(VLOOKUP(E8526,BD!$L$2:$Q$244,2,0),0)</f>
        <v>0</v>
      </c>
      <c r="G8526" s="424"/>
      <c r="H8526" s="31">
        <f>+IFERROR(VLOOKUP(E8526,BD!$L$2:$Q$244,6,0),0)</f>
        <v>0</v>
      </c>
      <c r="I8526" s="626">
        <f>IFERROR(G8526*VLOOKUP($E8526,BD!$L$2:$Q$244,5,0),0)</f>
        <v>0</v>
      </c>
      <c r="J8526" s="3">
        <f t="shared" si="533"/>
        <v>1900</v>
      </c>
    </row>
    <row r="8527" spans="1:10" s="9" customFormat="1" x14ac:dyDescent="0.25">
      <c r="A8527" s="447"/>
      <c r="B8527" s="55" t="str">
        <f t="shared" si="530"/>
        <v>ENERO</v>
      </c>
      <c r="C8527" s="55">
        <f t="shared" si="531"/>
        <v>1</v>
      </c>
      <c r="D8527" s="3" t="str">
        <f t="shared" si="532"/>
        <v>SÁBADO</v>
      </c>
      <c r="E8527" s="427"/>
      <c r="F8527" s="31">
        <f>IFERROR(VLOOKUP(E8527,BD!$L$2:$Q$244,2,0),0)</f>
        <v>0</v>
      </c>
      <c r="G8527" s="424"/>
      <c r="H8527" s="31">
        <f>+IFERROR(VLOOKUP(E8527,BD!$L$2:$Q$244,6,0),0)</f>
        <v>0</v>
      </c>
      <c r="I8527" s="626">
        <f>IFERROR(G8527*VLOOKUP($E8527,BD!$L$2:$Q$244,5,0),0)</f>
        <v>0</v>
      </c>
      <c r="J8527" s="3">
        <f t="shared" si="533"/>
        <v>1900</v>
      </c>
    </row>
    <row r="8528" spans="1:10" s="9" customFormat="1" x14ac:dyDescent="0.25">
      <c r="A8528" s="447"/>
      <c r="B8528" s="55" t="str">
        <f t="shared" si="530"/>
        <v>ENERO</v>
      </c>
      <c r="C8528" s="55">
        <f t="shared" si="531"/>
        <v>1</v>
      </c>
      <c r="D8528" s="3" t="str">
        <f t="shared" si="532"/>
        <v>SÁBADO</v>
      </c>
      <c r="E8528" s="427"/>
      <c r="F8528" s="31">
        <f>IFERROR(VLOOKUP(E8528,BD!$L$2:$Q$244,2,0),0)</f>
        <v>0</v>
      </c>
      <c r="G8528" s="424"/>
      <c r="H8528" s="31">
        <f>+IFERROR(VLOOKUP(E8528,BD!$L$2:$Q$244,6,0),0)</f>
        <v>0</v>
      </c>
      <c r="I8528" s="626">
        <f>IFERROR(G8528*VLOOKUP($E8528,BD!$L$2:$Q$244,5,0),0)</f>
        <v>0</v>
      </c>
      <c r="J8528" s="3">
        <f t="shared" si="533"/>
        <v>1900</v>
      </c>
    </row>
    <row r="8529" spans="1:10" s="9" customFormat="1" x14ac:dyDescent="0.25">
      <c r="A8529" s="447"/>
      <c r="B8529" s="55" t="str">
        <f t="shared" si="530"/>
        <v>ENERO</v>
      </c>
      <c r="C8529" s="55">
        <f t="shared" si="531"/>
        <v>1</v>
      </c>
      <c r="D8529" s="3" t="str">
        <f t="shared" si="532"/>
        <v>SÁBADO</v>
      </c>
      <c r="E8529" s="427"/>
      <c r="F8529" s="31">
        <f>IFERROR(VLOOKUP(E8529,BD!$L$2:$Q$244,2,0),0)</f>
        <v>0</v>
      </c>
      <c r="G8529" s="424"/>
      <c r="H8529" s="31">
        <f>+IFERROR(VLOOKUP(E8529,BD!$L$2:$Q$244,6,0),0)</f>
        <v>0</v>
      </c>
      <c r="I8529" s="626">
        <f>IFERROR(G8529*VLOOKUP($E8529,BD!$L$2:$Q$244,5,0),0)</f>
        <v>0</v>
      </c>
      <c r="J8529" s="3">
        <f t="shared" si="533"/>
        <v>1900</v>
      </c>
    </row>
    <row r="8530" spans="1:10" s="9" customFormat="1" x14ac:dyDescent="0.25">
      <c r="A8530" s="447"/>
      <c r="B8530" s="55" t="str">
        <f t="shared" si="530"/>
        <v>ENERO</v>
      </c>
      <c r="C8530" s="55">
        <f t="shared" si="531"/>
        <v>1</v>
      </c>
      <c r="D8530" s="3" t="str">
        <f t="shared" si="532"/>
        <v>SÁBADO</v>
      </c>
      <c r="E8530" s="427"/>
      <c r="F8530" s="31">
        <f>IFERROR(VLOOKUP(E8530,BD!$L$2:$Q$244,2,0),0)</f>
        <v>0</v>
      </c>
      <c r="G8530" s="424"/>
      <c r="H8530" s="31">
        <f>+IFERROR(VLOOKUP(E8530,BD!$L$2:$Q$244,6,0),0)</f>
        <v>0</v>
      </c>
      <c r="I8530" s="626">
        <f>IFERROR(G8530*VLOOKUP($E8530,BD!$L$2:$Q$244,5,0),0)</f>
        <v>0</v>
      </c>
      <c r="J8530" s="3">
        <f t="shared" si="533"/>
        <v>1900</v>
      </c>
    </row>
    <row r="8531" spans="1:10" s="9" customFormat="1" x14ac:dyDescent="0.25">
      <c r="A8531" s="447"/>
      <c r="B8531" s="55" t="str">
        <f t="shared" si="530"/>
        <v>ENERO</v>
      </c>
      <c r="C8531" s="55">
        <f t="shared" si="531"/>
        <v>1</v>
      </c>
      <c r="D8531" s="3" t="str">
        <f t="shared" si="532"/>
        <v>SÁBADO</v>
      </c>
      <c r="E8531" s="427"/>
      <c r="F8531" s="31">
        <f>IFERROR(VLOOKUP(E8531,BD!$L$2:$Q$244,2,0),0)</f>
        <v>0</v>
      </c>
      <c r="G8531" s="424"/>
      <c r="H8531" s="31">
        <f>+IFERROR(VLOOKUP(E8531,BD!$L$2:$Q$244,6,0),0)</f>
        <v>0</v>
      </c>
      <c r="I8531" s="626">
        <f>IFERROR(G8531*VLOOKUP($E8531,BD!$L$2:$Q$244,5,0),0)</f>
        <v>0</v>
      </c>
      <c r="J8531" s="3">
        <f t="shared" si="533"/>
        <v>1900</v>
      </c>
    </row>
    <row r="8532" spans="1:10" s="9" customFormat="1" x14ac:dyDescent="0.25">
      <c r="A8532" s="447"/>
      <c r="B8532" s="55" t="str">
        <f t="shared" si="530"/>
        <v>ENERO</v>
      </c>
      <c r="C8532" s="55">
        <f t="shared" si="531"/>
        <v>1</v>
      </c>
      <c r="D8532" s="3" t="str">
        <f t="shared" si="532"/>
        <v>SÁBADO</v>
      </c>
      <c r="E8532" s="427"/>
      <c r="F8532" s="31">
        <f>IFERROR(VLOOKUP(E8532,BD!$L$2:$Q$244,2,0),0)</f>
        <v>0</v>
      </c>
      <c r="G8532" s="424"/>
      <c r="H8532" s="31">
        <f>+IFERROR(VLOOKUP(E8532,BD!$L$2:$Q$244,6,0),0)</f>
        <v>0</v>
      </c>
      <c r="I8532" s="626">
        <f>IFERROR(G8532*VLOOKUP($E8532,BD!$L$2:$Q$244,5,0),0)</f>
        <v>0</v>
      </c>
      <c r="J8532" s="3">
        <f t="shared" si="533"/>
        <v>1900</v>
      </c>
    </row>
    <row r="8533" spans="1:10" s="9" customFormat="1" x14ac:dyDescent="0.25">
      <c r="A8533" s="447"/>
      <c r="B8533" s="55" t="str">
        <f t="shared" si="530"/>
        <v>ENERO</v>
      </c>
      <c r="C8533" s="55">
        <f t="shared" si="531"/>
        <v>1</v>
      </c>
      <c r="D8533" s="3" t="str">
        <f t="shared" si="532"/>
        <v>SÁBADO</v>
      </c>
      <c r="E8533" s="427"/>
      <c r="F8533" s="31">
        <f>IFERROR(VLOOKUP(E8533,BD!$L$2:$Q$244,2,0),0)</f>
        <v>0</v>
      </c>
      <c r="G8533" s="424"/>
      <c r="H8533" s="31">
        <f>+IFERROR(VLOOKUP(E8533,BD!$L$2:$Q$244,6,0),0)</f>
        <v>0</v>
      </c>
      <c r="I8533" s="626">
        <f>IFERROR(G8533*VLOOKUP($E8533,BD!$L$2:$Q$244,5,0),0)</f>
        <v>0</v>
      </c>
      <c r="J8533" s="3">
        <f t="shared" si="533"/>
        <v>1900</v>
      </c>
    </row>
    <row r="8534" spans="1:10" s="9" customFormat="1" x14ac:dyDescent="0.25">
      <c r="A8534" s="447"/>
      <c r="B8534" s="55" t="str">
        <f t="shared" si="530"/>
        <v>ENERO</v>
      </c>
      <c r="C8534" s="55">
        <f t="shared" si="531"/>
        <v>1</v>
      </c>
      <c r="D8534" s="3" t="str">
        <f t="shared" si="532"/>
        <v>SÁBADO</v>
      </c>
      <c r="E8534" s="427"/>
      <c r="F8534" s="31">
        <f>IFERROR(VLOOKUP(E8534,BD!$L$2:$Q$244,2,0),0)</f>
        <v>0</v>
      </c>
      <c r="G8534" s="424"/>
      <c r="H8534" s="31">
        <f>+IFERROR(VLOOKUP(E8534,BD!$L$2:$Q$244,6,0),0)</f>
        <v>0</v>
      </c>
      <c r="I8534" s="626">
        <f>IFERROR(G8534*VLOOKUP($E8534,BD!$L$2:$Q$244,5,0),0)</f>
        <v>0</v>
      </c>
      <c r="J8534" s="3">
        <f t="shared" si="533"/>
        <v>1900</v>
      </c>
    </row>
    <row r="8535" spans="1:10" s="9" customFormat="1" x14ac:dyDescent="0.25">
      <c r="A8535" s="447"/>
      <c r="B8535" s="55" t="str">
        <f t="shared" si="530"/>
        <v>ENERO</v>
      </c>
      <c r="C8535" s="55">
        <f t="shared" si="531"/>
        <v>1</v>
      </c>
      <c r="D8535" s="3" t="str">
        <f t="shared" si="532"/>
        <v>SÁBADO</v>
      </c>
      <c r="E8535" s="427"/>
      <c r="F8535" s="31">
        <f>IFERROR(VLOOKUP(E8535,BD!$L$2:$Q$244,2,0),0)</f>
        <v>0</v>
      </c>
      <c r="G8535" s="424"/>
      <c r="H8535" s="31">
        <f>+IFERROR(VLOOKUP(E8535,BD!$L$2:$Q$244,6,0),0)</f>
        <v>0</v>
      </c>
      <c r="I8535" s="626">
        <f>IFERROR(G8535*VLOOKUP($E8535,BD!$L$2:$Q$244,5,0),0)</f>
        <v>0</v>
      </c>
      <c r="J8535" s="3">
        <f t="shared" si="533"/>
        <v>1900</v>
      </c>
    </row>
    <row r="8536" spans="1:10" s="9" customFormat="1" x14ac:dyDescent="0.25">
      <c r="A8536" s="447"/>
      <c r="B8536" s="55" t="str">
        <f t="shared" si="530"/>
        <v>ENERO</v>
      </c>
      <c r="C8536" s="55">
        <f t="shared" si="531"/>
        <v>1</v>
      </c>
      <c r="D8536" s="3" t="str">
        <f t="shared" si="532"/>
        <v>SÁBADO</v>
      </c>
      <c r="E8536" s="427"/>
      <c r="F8536" s="31">
        <f>IFERROR(VLOOKUP(E8536,BD!$L$2:$Q$244,2,0),0)</f>
        <v>0</v>
      </c>
      <c r="G8536" s="424"/>
      <c r="H8536" s="31">
        <f>+IFERROR(VLOOKUP(E8536,BD!$L$2:$Q$244,6,0),0)</f>
        <v>0</v>
      </c>
      <c r="I8536" s="626">
        <f>IFERROR(G8536*VLOOKUP($E8536,BD!$L$2:$Q$244,5,0),0)</f>
        <v>0</v>
      </c>
      <c r="J8536" s="3">
        <f t="shared" si="533"/>
        <v>1900</v>
      </c>
    </row>
    <row r="8537" spans="1:10" s="9" customFormat="1" x14ac:dyDescent="0.25">
      <c r="A8537" s="447"/>
      <c r="B8537" s="55" t="str">
        <f t="shared" si="530"/>
        <v>ENERO</v>
      </c>
      <c r="C8537" s="55">
        <f t="shared" si="531"/>
        <v>1</v>
      </c>
      <c r="D8537" s="3" t="str">
        <f t="shared" si="532"/>
        <v>SÁBADO</v>
      </c>
      <c r="E8537" s="427"/>
      <c r="F8537" s="31">
        <f>IFERROR(VLOOKUP(E8537,BD!$L$2:$Q$244,2,0),0)</f>
        <v>0</v>
      </c>
      <c r="G8537" s="424"/>
      <c r="H8537" s="31">
        <f>+IFERROR(VLOOKUP(E8537,BD!$L$2:$Q$244,6,0),0)</f>
        <v>0</v>
      </c>
      <c r="I8537" s="626">
        <f>IFERROR(G8537*VLOOKUP($E8537,BD!$L$2:$Q$244,5,0),0)</f>
        <v>0</v>
      </c>
      <c r="J8537" s="3">
        <f t="shared" si="533"/>
        <v>1900</v>
      </c>
    </row>
    <row r="8538" spans="1:10" s="9" customFormat="1" x14ac:dyDescent="0.25">
      <c r="A8538" s="447"/>
      <c r="B8538" s="55" t="str">
        <f t="shared" si="530"/>
        <v>ENERO</v>
      </c>
      <c r="C8538" s="55">
        <f t="shared" si="531"/>
        <v>1</v>
      </c>
      <c r="D8538" s="3" t="str">
        <f t="shared" si="532"/>
        <v>SÁBADO</v>
      </c>
      <c r="E8538" s="427"/>
      <c r="F8538" s="31">
        <f>IFERROR(VLOOKUP(E8538,BD!$L$2:$Q$244,2,0),0)</f>
        <v>0</v>
      </c>
      <c r="G8538" s="424"/>
      <c r="H8538" s="31">
        <f>+IFERROR(VLOOKUP(E8538,BD!$L$2:$Q$244,6,0),0)</f>
        <v>0</v>
      </c>
      <c r="I8538" s="626">
        <f>IFERROR(G8538*VLOOKUP($E8538,BD!$L$2:$Q$244,5,0),0)</f>
        <v>0</v>
      </c>
      <c r="J8538" s="3">
        <f t="shared" si="533"/>
        <v>1900</v>
      </c>
    </row>
    <row r="8539" spans="1:10" s="9" customFormat="1" x14ac:dyDescent="0.25">
      <c r="A8539" s="447"/>
      <c r="B8539" s="55" t="str">
        <f t="shared" si="530"/>
        <v>ENERO</v>
      </c>
      <c r="C8539" s="55">
        <f t="shared" si="531"/>
        <v>1</v>
      </c>
      <c r="D8539" s="3" t="str">
        <f t="shared" si="532"/>
        <v>SÁBADO</v>
      </c>
      <c r="E8539" s="427"/>
      <c r="F8539" s="31">
        <f>IFERROR(VLOOKUP(E8539,BD!$L$2:$Q$244,2,0),0)</f>
        <v>0</v>
      </c>
      <c r="G8539" s="424"/>
      <c r="H8539" s="31">
        <f>+IFERROR(VLOOKUP(E8539,BD!$L$2:$Q$244,6,0),0)</f>
        <v>0</v>
      </c>
      <c r="I8539" s="626">
        <f>IFERROR(G8539*VLOOKUP($E8539,BD!$L$2:$Q$244,5,0),0)</f>
        <v>0</v>
      </c>
      <c r="J8539" s="3">
        <f t="shared" si="533"/>
        <v>1900</v>
      </c>
    </row>
    <row r="8540" spans="1:10" s="9" customFormat="1" x14ac:dyDescent="0.25">
      <c r="A8540" s="447"/>
      <c r="B8540" s="55" t="str">
        <f t="shared" si="530"/>
        <v>ENERO</v>
      </c>
      <c r="C8540" s="55">
        <f t="shared" si="531"/>
        <v>1</v>
      </c>
      <c r="D8540" s="3" t="str">
        <f t="shared" si="532"/>
        <v>SÁBADO</v>
      </c>
      <c r="E8540" s="427"/>
      <c r="F8540" s="31">
        <f>IFERROR(VLOOKUP(E8540,BD!$L$2:$Q$244,2,0),0)</f>
        <v>0</v>
      </c>
      <c r="G8540" s="424"/>
      <c r="H8540" s="31">
        <f>+IFERROR(VLOOKUP(E8540,BD!$L$2:$Q$244,6,0),0)</f>
        <v>0</v>
      </c>
      <c r="I8540" s="626">
        <f>IFERROR(G8540*VLOOKUP($E8540,BD!$L$2:$Q$244,5,0),0)</f>
        <v>0</v>
      </c>
      <c r="J8540" s="3">
        <f t="shared" si="533"/>
        <v>1900</v>
      </c>
    </row>
    <row r="8541" spans="1:10" s="9" customFormat="1" x14ac:dyDescent="0.25">
      <c r="A8541" s="447"/>
      <c r="B8541" s="55" t="str">
        <f t="shared" si="530"/>
        <v>ENERO</v>
      </c>
      <c r="C8541" s="55">
        <f t="shared" si="531"/>
        <v>1</v>
      </c>
      <c r="D8541" s="3" t="str">
        <f t="shared" si="532"/>
        <v>SÁBADO</v>
      </c>
      <c r="E8541" s="427"/>
      <c r="F8541" s="31">
        <f>IFERROR(VLOOKUP(E8541,BD!$L$2:$Q$244,2,0),0)</f>
        <v>0</v>
      </c>
      <c r="G8541" s="424"/>
      <c r="H8541" s="31">
        <f>+IFERROR(VLOOKUP(E8541,BD!$L$2:$Q$244,6,0),0)</f>
        <v>0</v>
      </c>
      <c r="I8541" s="626">
        <f>IFERROR(G8541*VLOOKUP($E8541,BD!$L$2:$Q$244,5,0),0)</f>
        <v>0</v>
      </c>
      <c r="J8541" s="3">
        <f t="shared" si="533"/>
        <v>1900</v>
      </c>
    </row>
    <row r="8542" spans="1:10" s="9" customFormat="1" x14ac:dyDescent="0.25">
      <c r="A8542" s="447"/>
      <c r="B8542" s="55" t="str">
        <f t="shared" si="530"/>
        <v>ENERO</v>
      </c>
      <c r="C8542" s="55">
        <f t="shared" si="531"/>
        <v>1</v>
      </c>
      <c r="D8542" s="3" t="str">
        <f t="shared" si="532"/>
        <v>SÁBADO</v>
      </c>
      <c r="E8542" s="427"/>
      <c r="F8542" s="31">
        <f>IFERROR(VLOOKUP(E8542,BD!$L$2:$Q$244,2,0),0)</f>
        <v>0</v>
      </c>
      <c r="G8542" s="424"/>
      <c r="H8542" s="31">
        <f>+IFERROR(VLOOKUP(E8542,BD!$L$2:$Q$244,6,0),0)</f>
        <v>0</v>
      </c>
      <c r="I8542" s="626">
        <f>IFERROR(G8542*VLOOKUP($E8542,BD!$L$2:$Q$244,5,0),0)</f>
        <v>0</v>
      </c>
      <c r="J8542" s="3">
        <f t="shared" si="533"/>
        <v>1900</v>
      </c>
    </row>
    <row r="8543" spans="1:10" s="9" customFormat="1" x14ac:dyDescent="0.25">
      <c r="A8543" s="447"/>
      <c r="B8543" s="55" t="str">
        <f t="shared" si="530"/>
        <v>ENERO</v>
      </c>
      <c r="C8543" s="55">
        <f t="shared" si="531"/>
        <v>1</v>
      </c>
      <c r="D8543" s="3" t="str">
        <f t="shared" si="532"/>
        <v>SÁBADO</v>
      </c>
      <c r="E8543" s="427"/>
      <c r="F8543" s="31">
        <f>IFERROR(VLOOKUP(E8543,BD!$L$2:$Q$244,2,0),0)</f>
        <v>0</v>
      </c>
      <c r="G8543" s="424"/>
      <c r="H8543" s="31">
        <f>+IFERROR(VLOOKUP(E8543,BD!$L$2:$Q$244,6,0),0)</f>
        <v>0</v>
      </c>
      <c r="I8543" s="626">
        <f>IFERROR(G8543*VLOOKUP($E8543,BD!$L$2:$Q$244,5,0),0)</f>
        <v>0</v>
      </c>
      <c r="J8543" s="3">
        <f t="shared" si="533"/>
        <v>1900</v>
      </c>
    </row>
    <row r="8544" spans="1:10" s="9" customFormat="1" x14ac:dyDescent="0.25">
      <c r="A8544" s="447"/>
      <c r="B8544" s="55" t="str">
        <f t="shared" si="530"/>
        <v>ENERO</v>
      </c>
      <c r="C8544" s="55">
        <f t="shared" si="531"/>
        <v>1</v>
      </c>
      <c r="D8544" s="3" t="str">
        <f t="shared" si="532"/>
        <v>SÁBADO</v>
      </c>
      <c r="E8544" s="427"/>
      <c r="F8544" s="31">
        <f>IFERROR(VLOOKUP(E8544,BD!$L$2:$Q$244,2,0),0)</f>
        <v>0</v>
      </c>
      <c r="G8544" s="424"/>
      <c r="H8544" s="31">
        <f>+IFERROR(VLOOKUP(E8544,BD!$L$2:$Q$244,6,0),0)</f>
        <v>0</v>
      </c>
      <c r="I8544" s="626">
        <f>IFERROR(G8544*VLOOKUP($E8544,BD!$L$2:$Q$244,5,0),0)</f>
        <v>0</v>
      </c>
      <c r="J8544" s="3">
        <f t="shared" si="533"/>
        <v>1900</v>
      </c>
    </row>
    <row r="8545" spans="1:10" s="9" customFormat="1" x14ac:dyDescent="0.25">
      <c r="A8545" s="447"/>
      <c r="B8545" s="55" t="str">
        <f t="shared" si="530"/>
        <v>ENERO</v>
      </c>
      <c r="C8545" s="55">
        <f t="shared" si="531"/>
        <v>1</v>
      </c>
      <c r="D8545" s="3" t="str">
        <f t="shared" si="532"/>
        <v>SÁBADO</v>
      </c>
      <c r="E8545" s="427"/>
      <c r="F8545" s="31">
        <f>IFERROR(VLOOKUP(E8545,BD!$L$2:$Q$244,2,0),0)</f>
        <v>0</v>
      </c>
      <c r="G8545" s="424"/>
      <c r="H8545" s="31">
        <f>+IFERROR(VLOOKUP(E8545,BD!$L$2:$Q$244,6,0),0)</f>
        <v>0</v>
      </c>
      <c r="I8545" s="626">
        <f>IFERROR(G8545*VLOOKUP($E8545,BD!$L$2:$Q$244,5,0),0)</f>
        <v>0</v>
      </c>
      <c r="J8545" s="3">
        <f t="shared" si="533"/>
        <v>1900</v>
      </c>
    </row>
    <row r="8546" spans="1:10" s="9" customFormat="1" x14ac:dyDescent="0.25">
      <c r="A8546" s="447"/>
      <c r="B8546" s="55" t="str">
        <f t="shared" si="530"/>
        <v>ENERO</v>
      </c>
      <c r="C8546" s="55">
        <f t="shared" si="531"/>
        <v>1</v>
      </c>
      <c r="D8546" s="3" t="str">
        <f t="shared" si="532"/>
        <v>SÁBADO</v>
      </c>
      <c r="E8546" s="427"/>
      <c r="F8546" s="31">
        <f>IFERROR(VLOOKUP(E8546,BD!$L$2:$Q$244,2,0),0)</f>
        <v>0</v>
      </c>
      <c r="G8546" s="424"/>
      <c r="H8546" s="31">
        <f>+IFERROR(VLOOKUP(E8546,BD!$L$2:$Q$244,6,0),0)</f>
        <v>0</v>
      </c>
      <c r="I8546" s="626">
        <f>IFERROR(G8546*VLOOKUP($E8546,BD!$L$2:$Q$244,5,0),0)</f>
        <v>0</v>
      </c>
      <c r="J8546" s="3">
        <f t="shared" si="533"/>
        <v>1900</v>
      </c>
    </row>
    <row r="8547" spans="1:10" s="9" customFormat="1" x14ac:dyDescent="0.25">
      <c r="A8547" s="447"/>
      <c r="B8547" s="55" t="str">
        <f t="shared" si="530"/>
        <v>ENERO</v>
      </c>
      <c r="C8547" s="55">
        <f t="shared" si="531"/>
        <v>1</v>
      </c>
      <c r="D8547" s="3" t="str">
        <f t="shared" si="532"/>
        <v>SÁBADO</v>
      </c>
      <c r="E8547" s="427"/>
      <c r="F8547" s="31">
        <f>IFERROR(VLOOKUP(E8547,BD!$L$2:$Q$244,2,0),0)</f>
        <v>0</v>
      </c>
      <c r="G8547" s="424"/>
      <c r="H8547" s="31">
        <f>+IFERROR(VLOOKUP(E8547,BD!$L$2:$Q$244,6,0),0)</f>
        <v>0</v>
      </c>
      <c r="I8547" s="626">
        <f>IFERROR(G8547*VLOOKUP($E8547,BD!$L$2:$Q$244,5,0),0)</f>
        <v>0</v>
      </c>
      <c r="J8547" s="3">
        <f t="shared" si="533"/>
        <v>1900</v>
      </c>
    </row>
    <row r="8548" spans="1:10" s="9" customFormat="1" x14ac:dyDescent="0.25">
      <c r="A8548" s="447"/>
      <c r="B8548" s="55" t="str">
        <f t="shared" si="530"/>
        <v>ENERO</v>
      </c>
      <c r="C8548" s="55">
        <f t="shared" si="531"/>
        <v>1</v>
      </c>
      <c r="D8548" s="3" t="str">
        <f t="shared" si="532"/>
        <v>SÁBADO</v>
      </c>
      <c r="E8548" s="427"/>
      <c r="F8548" s="31">
        <f>IFERROR(VLOOKUP(E8548,BD!$L$2:$Q$244,2,0),0)</f>
        <v>0</v>
      </c>
      <c r="G8548" s="424"/>
      <c r="H8548" s="31">
        <f>+IFERROR(VLOOKUP(E8548,BD!$L$2:$Q$244,6,0),0)</f>
        <v>0</v>
      </c>
      <c r="I8548" s="626">
        <f>IFERROR(G8548*VLOOKUP($E8548,BD!$L$2:$Q$244,5,0),0)</f>
        <v>0</v>
      </c>
      <c r="J8548" s="3">
        <f t="shared" si="533"/>
        <v>1900</v>
      </c>
    </row>
    <row r="8549" spans="1:10" s="9" customFormat="1" x14ac:dyDescent="0.25">
      <c r="A8549" s="447"/>
      <c r="B8549" s="55" t="str">
        <f t="shared" si="530"/>
        <v>ENERO</v>
      </c>
      <c r="C8549" s="55">
        <f t="shared" si="531"/>
        <v>1</v>
      </c>
      <c r="D8549" s="3" t="str">
        <f t="shared" si="532"/>
        <v>SÁBADO</v>
      </c>
      <c r="E8549" s="427"/>
      <c r="F8549" s="31">
        <f>IFERROR(VLOOKUP(E8549,BD!$L$2:$Q$244,2,0),0)</f>
        <v>0</v>
      </c>
      <c r="G8549" s="424"/>
      <c r="H8549" s="31">
        <f>+IFERROR(VLOOKUP(E8549,BD!$L$2:$Q$244,6,0),0)</f>
        <v>0</v>
      </c>
      <c r="I8549" s="626">
        <f>IFERROR(G8549*VLOOKUP($E8549,BD!$L$2:$Q$244,5,0),0)</f>
        <v>0</v>
      </c>
      <c r="J8549" s="3">
        <f t="shared" si="533"/>
        <v>1900</v>
      </c>
    </row>
    <row r="8550" spans="1:10" s="9" customFormat="1" x14ac:dyDescent="0.25">
      <c r="A8550" s="447"/>
      <c r="B8550" s="55" t="str">
        <f t="shared" si="530"/>
        <v>ENERO</v>
      </c>
      <c r="C8550" s="55">
        <f t="shared" si="531"/>
        <v>1</v>
      </c>
      <c r="D8550" s="3" t="str">
        <f t="shared" si="532"/>
        <v>SÁBADO</v>
      </c>
      <c r="E8550" s="427"/>
      <c r="F8550" s="31">
        <f>IFERROR(VLOOKUP(E8550,BD!$L$2:$Q$244,2,0),0)</f>
        <v>0</v>
      </c>
      <c r="G8550" s="424"/>
      <c r="H8550" s="31">
        <f>+IFERROR(VLOOKUP(E8550,BD!$L$2:$Q$244,6,0),0)</f>
        <v>0</v>
      </c>
      <c r="I8550" s="626">
        <f>IFERROR(G8550*VLOOKUP($E8550,BD!$L$2:$Q$244,5,0),0)</f>
        <v>0</v>
      </c>
      <c r="J8550" s="3">
        <f t="shared" si="533"/>
        <v>1900</v>
      </c>
    </row>
    <row r="8551" spans="1:10" s="9" customFormat="1" x14ac:dyDescent="0.25">
      <c r="A8551" s="447"/>
      <c r="B8551" s="55" t="str">
        <f t="shared" si="530"/>
        <v>ENERO</v>
      </c>
      <c r="C8551" s="55">
        <f t="shared" si="531"/>
        <v>1</v>
      </c>
      <c r="D8551" s="3" t="str">
        <f t="shared" si="532"/>
        <v>SÁBADO</v>
      </c>
      <c r="E8551" s="427"/>
      <c r="F8551" s="31">
        <f>IFERROR(VLOOKUP(E8551,BD!$L$2:$Q$244,2,0),0)</f>
        <v>0</v>
      </c>
      <c r="G8551" s="424"/>
      <c r="H8551" s="31">
        <f>+IFERROR(VLOOKUP(E8551,BD!$L$2:$Q$244,6,0),0)</f>
        <v>0</v>
      </c>
      <c r="I8551" s="626">
        <f>IFERROR(G8551*VLOOKUP($E8551,BD!$L$2:$Q$244,5,0),0)</f>
        <v>0</v>
      </c>
      <c r="J8551" s="3">
        <f t="shared" si="533"/>
        <v>1900</v>
      </c>
    </row>
    <row r="8552" spans="1:10" s="9" customFormat="1" x14ac:dyDescent="0.25">
      <c r="A8552" s="447"/>
      <c r="B8552" s="55" t="str">
        <f t="shared" si="530"/>
        <v>ENERO</v>
      </c>
      <c r="C8552" s="55">
        <f t="shared" si="531"/>
        <v>1</v>
      </c>
      <c r="D8552" s="3" t="str">
        <f t="shared" si="532"/>
        <v>SÁBADO</v>
      </c>
      <c r="E8552" s="427"/>
      <c r="F8552" s="31">
        <f>IFERROR(VLOOKUP(E8552,BD!$L$2:$Q$244,2,0),0)</f>
        <v>0</v>
      </c>
      <c r="G8552" s="424"/>
      <c r="H8552" s="31">
        <f>+IFERROR(VLOOKUP(E8552,BD!$L$2:$Q$244,6,0),0)</f>
        <v>0</v>
      </c>
      <c r="I8552" s="626">
        <f>IFERROR(G8552*VLOOKUP($E8552,BD!$L$2:$Q$244,5,0),0)</f>
        <v>0</v>
      </c>
      <c r="J8552" s="3">
        <f t="shared" si="533"/>
        <v>1900</v>
      </c>
    </row>
    <row r="8553" spans="1:10" s="9" customFormat="1" x14ac:dyDescent="0.25">
      <c r="A8553" s="447"/>
      <c r="B8553" s="55" t="str">
        <f t="shared" si="530"/>
        <v>ENERO</v>
      </c>
      <c r="C8553" s="55">
        <f t="shared" si="531"/>
        <v>1</v>
      </c>
      <c r="D8553" s="3" t="str">
        <f t="shared" si="532"/>
        <v>SÁBADO</v>
      </c>
      <c r="E8553" s="427"/>
      <c r="F8553" s="31">
        <f>IFERROR(VLOOKUP(E8553,BD!$L$2:$Q$244,2,0),0)</f>
        <v>0</v>
      </c>
      <c r="G8553" s="424"/>
      <c r="H8553" s="31">
        <f>+IFERROR(VLOOKUP(E8553,BD!$L$2:$Q$244,6,0),0)</f>
        <v>0</v>
      </c>
      <c r="I8553" s="626">
        <f>IFERROR(G8553*VLOOKUP($E8553,BD!$L$2:$Q$244,5,0),0)</f>
        <v>0</v>
      </c>
      <c r="J8553" s="3">
        <f t="shared" si="533"/>
        <v>1900</v>
      </c>
    </row>
    <row r="8554" spans="1:10" s="9" customFormat="1" x14ac:dyDescent="0.25">
      <c r="A8554" s="447"/>
      <c r="B8554" s="55" t="str">
        <f t="shared" si="530"/>
        <v>ENERO</v>
      </c>
      <c r="C8554" s="55">
        <f t="shared" si="531"/>
        <v>1</v>
      </c>
      <c r="D8554" s="3" t="str">
        <f t="shared" si="532"/>
        <v>SÁBADO</v>
      </c>
      <c r="E8554" s="427"/>
      <c r="F8554" s="31">
        <f>IFERROR(VLOOKUP(E8554,BD!$L$2:$Q$244,2,0),0)</f>
        <v>0</v>
      </c>
      <c r="G8554" s="424"/>
      <c r="H8554" s="31">
        <f>+IFERROR(VLOOKUP(E8554,BD!$L$2:$Q$244,6,0),0)</f>
        <v>0</v>
      </c>
      <c r="I8554" s="626">
        <f>IFERROR(G8554*VLOOKUP($E8554,BD!$L$2:$Q$244,5,0),0)</f>
        <v>0</v>
      </c>
      <c r="J8554" s="3">
        <f t="shared" si="533"/>
        <v>1900</v>
      </c>
    </row>
    <row r="8555" spans="1:10" s="9" customFormat="1" x14ac:dyDescent="0.25">
      <c r="A8555" s="447"/>
      <c r="B8555" s="55" t="str">
        <f t="shared" si="530"/>
        <v>ENERO</v>
      </c>
      <c r="C8555" s="55">
        <f t="shared" si="531"/>
        <v>1</v>
      </c>
      <c r="D8555" s="3" t="str">
        <f t="shared" si="532"/>
        <v>SÁBADO</v>
      </c>
      <c r="E8555" s="427"/>
      <c r="F8555" s="31">
        <f>IFERROR(VLOOKUP(E8555,BD!$L$2:$Q$244,2,0),0)</f>
        <v>0</v>
      </c>
      <c r="G8555" s="424"/>
      <c r="H8555" s="31">
        <f>+IFERROR(VLOOKUP(E8555,BD!$L$2:$Q$244,6,0),0)</f>
        <v>0</v>
      </c>
      <c r="I8555" s="626">
        <f>IFERROR(G8555*VLOOKUP($E8555,BD!$L$2:$Q$244,5,0),0)</f>
        <v>0</v>
      </c>
      <c r="J8555" s="3">
        <f t="shared" si="533"/>
        <v>1900</v>
      </c>
    </row>
    <row r="8556" spans="1:10" s="9" customFormat="1" x14ac:dyDescent="0.25">
      <c r="A8556" s="447"/>
      <c r="B8556" s="55" t="str">
        <f t="shared" si="530"/>
        <v>ENERO</v>
      </c>
      <c r="C8556" s="55">
        <f t="shared" si="531"/>
        <v>1</v>
      </c>
      <c r="D8556" s="3" t="str">
        <f t="shared" si="532"/>
        <v>SÁBADO</v>
      </c>
      <c r="E8556" s="427"/>
      <c r="F8556" s="31">
        <f>IFERROR(VLOOKUP(E8556,BD!$L$2:$Q$244,2,0),0)</f>
        <v>0</v>
      </c>
      <c r="G8556" s="424"/>
      <c r="H8556" s="31">
        <f>+IFERROR(VLOOKUP(E8556,BD!$L$2:$Q$244,6,0),0)</f>
        <v>0</v>
      </c>
      <c r="I8556" s="626">
        <f>IFERROR(G8556*VLOOKUP($E8556,BD!$L$2:$Q$244,5,0),0)</f>
        <v>0</v>
      </c>
      <c r="J8556" s="3">
        <f t="shared" si="533"/>
        <v>1900</v>
      </c>
    </row>
    <row r="8557" spans="1:10" s="9" customFormat="1" x14ac:dyDescent="0.25">
      <c r="A8557" s="447"/>
      <c r="B8557" s="55" t="str">
        <f t="shared" si="530"/>
        <v>ENERO</v>
      </c>
      <c r="C8557" s="55">
        <f t="shared" si="531"/>
        <v>1</v>
      </c>
      <c r="D8557" s="3" t="str">
        <f t="shared" si="532"/>
        <v>SÁBADO</v>
      </c>
      <c r="E8557" s="427"/>
      <c r="F8557" s="31">
        <f>IFERROR(VLOOKUP(E8557,BD!$L$2:$Q$244,2,0),0)</f>
        <v>0</v>
      </c>
      <c r="G8557" s="424"/>
      <c r="H8557" s="31">
        <f>+IFERROR(VLOOKUP(E8557,BD!$L$2:$Q$244,6,0),0)</f>
        <v>0</v>
      </c>
      <c r="I8557" s="626">
        <f>IFERROR(G8557*VLOOKUP($E8557,BD!$L$2:$Q$244,5,0),0)</f>
        <v>0</v>
      </c>
      <c r="J8557" s="3">
        <f t="shared" si="533"/>
        <v>1900</v>
      </c>
    </row>
    <row r="8558" spans="1:10" s="9" customFormat="1" x14ac:dyDescent="0.25">
      <c r="A8558" s="447"/>
      <c r="B8558" s="55" t="str">
        <f t="shared" si="530"/>
        <v>ENERO</v>
      </c>
      <c r="C8558" s="55">
        <f t="shared" si="531"/>
        <v>1</v>
      </c>
      <c r="D8558" s="3" t="str">
        <f t="shared" si="532"/>
        <v>SÁBADO</v>
      </c>
      <c r="E8558" s="427"/>
      <c r="F8558" s="31">
        <f>IFERROR(VLOOKUP(E8558,BD!$L$2:$Q$244,2,0),0)</f>
        <v>0</v>
      </c>
      <c r="G8558" s="424"/>
      <c r="H8558" s="31">
        <f>+IFERROR(VLOOKUP(E8558,BD!$L$2:$Q$244,6,0),0)</f>
        <v>0</v>
      </c>
      <c r="I8558" s="626">
        <f>IFERROR(G8558*VLOOKUP($E8558,BD!$L$2:$Q$244,5,0),0)</f>
        <v>0</v>
      </c>
      <c r="J8558" s="3">
        <f t="shared" si="533"/>
        <v>1900</v>
      </c>
    </row>
    <row r="8559" spans="1:10" s="9" customFormat="1" x14ac:dyDescent="0.25">
      <c r="A8559" s="447"/>
      <c r="B8559" s="55" t="str">
        <f t="shared" si="530"/>
        <v>ENERO</v>
      </c>
      <c r="C8559" s="55">
        <f t="shared" si="531"/>
        <v>1</v>
      </c>
      <c r="D8559" s="3" t="str">
        <f t="shared" si="532"/>
        <v>SÁBADO</v>
      </c>
      <c r="E8559" s="427"/>
      <c r="F8559" s="31">
        <f>IFERROR(VLOOKUP(E8559,BD!$L$2:$Q$244,2,0),0)</f>
        <v>0</v>
      </c>
      <c r="G8559" s="424"/>
      <c r="H8559" s="31">
        <f>+IFERROR(VLOOKUP(E8559,BD!$L$2:$Q$244,6,0),0)</f>
        <v>0</v>
      </c>
      <c r="I8559" s="626">
        <f>IFERROR(G8559*VLOOKUP($E8559,BD!$L$2:$Q$244,5,0),0)</f>
        <v>0</v>
      </c>
      <c r="J8559" s="3">
        <f t="shared" si="533"/>
        <v>1900</v>
      </c>
    </row>
    <row r="8560" spans="1:10" s="9" customFormat="1" x14ac:dyDescent="0.25">
      <c r="A8560" s="447"/>
      <c r="B8560" s="55" t="str">
        <f t="shared" si="530"/>
        <v>ENERO</v>
      </c>
      <c r="C8560" s="55">
        <f t="shared" si="531"/>
        <v>1</v>
      </c>
      <c r="D8560" s="3" t="str">
        <f t="shared" si="532"/>
        <v>SÁBADO</v>
      </c>
      <c r="E8560" s="427"/>
      <c r="F8560" s="31">
        <f>IFERROR(VLOOKUP(E8560,BD!$L$2:$Q$244,2,0),0)</f>
        <v>0</v>
      </c>
      <c r="G8560" s="424"/>
      <c r="H8560" s="31">
        <f>+IFERROR(VLOOKUP(E8560,BD!$L$2:$Q$244,6,0),0)</f>
        <v>0</v>
      </c>
      <c r="I8560" s="626">
        <f>IFERROR(G8560*VLOOKUP($E8560,BD!$L$2:$Q$244,5,0),0)</f>
        <v>0</v>
      </c>
      <c r="J8560" s="3">
        <f t="shared" si="533"/>
        <v>1900</v>
      </c>
    </row>
    <row r="8561" spans="1:10" s="9" customFormat="1" x14ac:dyDescent="0.25">
      <c r="A8561" s="447"/>
      <c r="B8561" s="55" t="str">
        <f t="shared" si="530"/>
        <v>ENERO</v>
      </c>
      <c r="C8561" s="55">
        <f t="shared" si="531"/>
        <v>1</v>
      </c>
      <c r="D8561" s="3" t="str">
        <f t="shared" si="532"/>
        <v>SÁBADO</v>
      </c>
      <c r="E8561" s="427"/>
      <c r="F8561" s="31">
        <f>IFERROR(VLOOKUP(E8561,BD!$L$2:$Q$244,2,0),0)</f>
        <v>0</v>
      </c>
      <c r="G8561" s="424"/>
      <c r="H8561" s="31">
        <f>+IFERROR(VLOOKUP(E8561,BD!$L$2:$Q$244,6,0),0)</f>
        <v>0</v>
      </c>
      <c r="I8561" s="626">
        <f>IFERROR(G8561*VLOOKUP($E8561,BD!$L$2:$Q$244,5,0),0)</f>
        <v>0</v>
      </c>
      <c r="J8561" s="3">
        <f t="shared" si="533"/>
        <v>1900</v>
      </c>
    </row>
    <row r="8562" spans="1:10" s="9" customFormat="1" x14ac:dyDescent="0.25">
      <c r="A8562" s="447"/>
      <c r="B8562" s="55" t="str">
        <f t="shared" si="530"/>
        <v>ENERO</v>
      </c>
      <c r="C8562" s="55">
        <f t="shared" si="531"/>
        <v>1</v>
      </c>
      <c r="D8562" s="3" t="str">
        <f t="shared" si="532"/>
        <v>SÁBADO</v>
      </c>
      <c r="E8562" s="427"/>
      <c r="F8562" s="31">
        <f>IFERROR(VLOOKUP(E8562,BD!$L$2:$Q$244,2,0),0)</f>
        <v>0</v>
      </c>
      <c r="G8562" s="424"/>
      <c r="H8562" s="31">
        <f>+IFERROR(VLOOKUP(E8562,BD!$L$2:$Q$244,6,0),0)</f>
        <v>0</v>
      </c>
      <c r="I8562" s="626">
        <f>IFERROR(G8562*VLOOKUP($E8562,BD!$L$2:$Q$244,5,0),0)</f>
        <v>0</v>
      </c>
      <c r="J8562" s="3">
        <f t="shared" si="533"/>
        <v>1900</v>
      </c>
    </row>
    <row r="8563" spans="1:10" s="9" customFormat="1" x14ac:dyDescent="0.25">
      <c r="A8563" s="447"/>
      <c r="B8563" s="55" t="str">
        <f t="shared" si="530"/>
        <v>ENERO</v>
      </c>
      <c r="C8563" s="55">
        <f t="shared" si="531"/>
        <v>1</v>
      </c>
      <c r="D8563" s="3" t="str">
        <f t="shared" si="532"/>
        <v>SÁBADO</v>
      </c>
      <c r="E8563" s="427"/>
      <c r="F8563" s="31">
        <f>IFERROR(VLOOKUP(E8563,BD!$L$2:$Q$244,2,0),0)</f>
        <v>0</v>
      </c>
      <c r="G8563" s="424"/>
      <c r="H8563" s="31">
        <f>+IFERROR(VLOOKUP(E8563,BD!$L$2:$Q$244,6,0),0)</f>
        <v>0</v>
      </c>
      <c r="I8563" s="626">
        <f>IFERROR(G8563*VLOOKUP($E8563,BD!$L$2:$Q$244,5,0),0)</f>
        <v>0</v>
      </c>
      <c r="J8563" s="3">
        <f t="shared" si="533"/>
        <v>1900</v>
      </c>
    </row>
    <row r="8564" spans="1:10" s="9" customFormat="1" x14ac:dyDescent="0.25">
      <c r="A8564" s="447"/>
      <c r="B8564" s="55" t="str">
        <f t="shared" si="530"/>
        <v>ENERO</v>
      </c>
      <c r="C8564" s="55">
        <f t="shared" si="531"/>
        <v>1</v>
      </c>
      <c r="D8564" s="3" t="str">
        <f t="shared" si="532"/>
        <v>SÁBADO</v>
      </c>
      <c r="E8564" s="427"/>
      <c r="F8564" s="31">
        <f>IFERROR(VLOOKUP(E8564,BD!$L$2:$Q$244,2,0),0)</f>
        <v>0</v>
      </c>
      <c r="G8564" s="424"/>
      <c r="H8564" s="31">
        <f>+IFERROR(VLOOKUP(E8564,BD!$L$2:$Q$244,6,0),0)</f>
        <v>0</v>
      </c>
      <c r="I8564" s="626">
        <f>IFERROR(G8564*VLOOKUP($E8564,BD!$L$2:$Q$244,5,0),0)</f>
        <v>0</v>
      </c>
      <c r="J8564" s="3">
        <f t="shared" si="533"/>
        <v>1900</v>
      </c>
    </row>
    <row r="8565" spans="1:10" s="9" customFormat="1" x14ac:dyDescent="0.25">
      <c r="A8565" s="447"/>
      <c r="B8565" s="55" t="str">
        <f t="shared" si="530"/>
        <v>ENERO</v>
      </c>
      <c r="C8565" s="55">
        <f t="shared" si="531"/>
        <v>1</v>
      </c>
      <c r="D8565" s="3" t="str">
        <f t="shared" si="532"/>
        <v>SÁBADO</v>
      </c>
      <c r="E8565" s="427"/>
      <c r="F8565" s="31">
        <f>IFERROR(VLOOKUP(E8565,BD!$L$2:$Q$244,2,0),0)</f>
        <v>0</v>
      </c>
      <c r="G8565" s="424"/>
      <c r="H8565" s="31">
        <f>+IFERROR(VLOOKUP(E8565,BD!$L$2:$Q$244,6,0),0)</f>
        <v>0</v>
      </c>
      <c r="I8565" s="626">
        <f>IFERROR(G8565*VLOOKUP($E8565,BD!$L$2:$Q$244,5,0),0)</f>
        <v>0</v>
      </c>
      <c r="J8565" s="3">
        <f t="shared" si="533"/>
        <v>1900</v>
      </c>
    </row>
    <row r="8566" spans="1:10" s="9" customFormat="1" x14ac:dyDescent="0.25">
      <c r="A8566" s="447"/>
      <c r="B8566" s="55" t="str">
        <f t="shared" si="530"/>
        <v>ENERO</v>
      </c>
      <c r="C8566" s="55">
        <f t="shared" si="531"/>
        <v>1</v>
      </c>
      <c r="D8566" s="3" t="str">
        <f t="shared" si="532"/>
        <v>SÁBADO</v>
      </c>
      <c r="E8566" s="427"/>
      <c r="F8566" s="31">
        <f>IFERROR(VLOOKUP(E8566,BD!$L$2:$Q$244,2,0),0)</f>
        <v>0</v>
      </c>
      <c r="G8566" s="424"/>
      <c r="H8566" s="31">
        <f>+IFERROR(VLOOKUP(E8566,BD!$L$2:$Q$244,6,0),0)</f>
        <v>0</v>
      </c>
      <c r="I8566" s="626">
        <f>IFERROR(G8566*VLOOKUP($E8566,BD!$L$2:$Q$244,5,0),0)</f>
        <v>0</v>
      </c>
      <c r="J8566" s="3">
        <f t="shared" si="533"/>
        <v>1900</v>
      </c>
    </row>
    <row r="8567" spans="1:10" s="9" customFormat="1" x14ac:dyDescent="0.25">
      <c r="A8567" s="447"/>
      <c r="B8567" s="55" t="str">
        <f t="shared" si="530"/>
        <v>ENERO</v>
      </c>
      <c r="C8567" s="55">
        <f t="shared" si="531"/>
        <v>1</v>
      </c>
      <c r="D8567" s="3" t="str">
        <f t="shared" si="532"/>
        <v>SÁBADO</v>
      </c>
      <c r="E8567" s="427"/>
      <c r="F8567" s="31">
        <f>IFERROR(VLOOKUP(E8567,BD!$L$2:$Q$244,2,0),0)</f>
        <v>0</v>
      </c>
      <c r="G8567" s="424"/>
      <c r="H8567" s="31">
        <f>+IFERROR(VLOOKUP(E8567,BD!$L$2:$Q$244,6,0),0)</f>
        <v>0</v>
      </c>
      <c r="I8567" s="626">
        <f>IFERROR(G8567*VLOOKUP($E8567,BD!$L$2:$Q$244,5,0),0)</f>
        <v>0</v>
      </c>
      <c r="J8567" s="3">
        <f t="shared" si="533"/>
        <v>1900</v>
      </c>
    </row>
    <row r="8568" spans="1:10" s="9" customFormat="1" x14ac:dyDescent="0.25">
      <c r="A8568" s="447"/>
      <c r="B8568" s="55" t="str">
        <f t="shared" si="530"/>
        <v>ENERO</v>
      </c>
      <c r="C8568" s="55">
        <f t="shared" si="531"/>
        <v>1</v>
      </c>
      <c r="D8568" s="3" t="str">
        <f t="shared" si="532"/>
        <v>SÁBADO</v>
      </c>
      <c r="E8568" s="427"/>
      <c r="F8568" s="31">
        <f>IFERROR(VLOOKUP(E8568,BD!$L$2:$Q$244,2,0),0)</f>
        <v>0</v>
      </c>
      <c r="G8568" s="424"/>
      <c r="H8568" s="31">
        <f>+IFERROR(VLOOKUP(E8568,BD!$L$2:$Q$244,6,0),0)</f>
        <v>0</v>
      </c>
      <c r="I8568" s="626">
        <f>IFERROR(G8568*VLOOKUP($E8568,BD!$L$2:$Q$244,5,0),0)</f>
        <v>0</v>
      </c>
      <c r="J8568" s="3">
        <f t="shared" si="533"/>
        <v>1900</v>
      </c>
    </row>
    <row r="8569" spans="1:10" s="9" customFormat="1" x14ac:dyDescent="0.25">
      <c r="A8569" s="447"/>
      <c r="B8569" s="55" t="str">
        <f t="shared" si="530"/>
        <v>ENERO</v>
      </c>
      <c r="C8569" s="55">
        <f t="shared" si="531"/>
        <v>1</v>
      </c>
      <c r="D8569" s="3" t="str">
        <f t="shared" si="532"/>
        <v>SÁBADO</v>
      </c>
      <c r="E8569" s="427"/>
      <c r="F8569" s="31">
        <f>IFERROR(VLOOKUP(E8569,BD!$L$2:$Q$244,2,0),0)</f>
        <v>0</v>
      </c>
      <c r="G8569" s="424"/>
      <c r="H8569" s="31">
        <f>+IFERROR(VLOOKUP(E8569,BD!$L$2:$Q$244,6,0),0)</f>
        <v>0</v>
      </c>
      <c r="I8569" s="626">
        <f>IFERROR(G8569*VLOOKUP($E8569,BD!$L$2:$Q$244,5,0),0)</f>
        <v>0</v>
      </c>
      <c r="J8569" s="3">
        <f t="shared" si="533"/>
        <v>1900</v>
      </c>
    </row>
    <row r="8570" spans="1:10" s="9" customFormat="1" x14ac:dyDescent="0.25">
      <c r="A8570" s="447"/>
      <c r="B8570" s="55" t="str">
        <f t="shared" si="530"/>
        <v>ENERO</v>
      </c>
      <c r="C8570" s="55">
        <f t="shared" si="531"/>
        <v>1</v>
      </c>
      <c r="D8570" s="3" t="str">
        <f t="shared" si="532"/>
        <v>SÁBADO</v>
      </c>
      <c r="E8570" s="427"/>
      <c r="F8570" s="31">
        <f>IFERROR(VLOOKUP(E8570,BD!$L$2:$Q$244,2,0),0)</f>
        <v>0</v>
      </c>
      <c r="G8570" s="424"/>
      <c r="H8570" s="31">
        <f>+IFERROR(VLOOKUP(E8570,BD!$L$2:$Q$244,6,0),0)</f>
        <v>0</v>
      </c>
      <c r="I8570" s="626">
        <f>IFERROR(G8570*VLOOKUP($E8570,BD!$L$2:$Q$244,5,0),0)</f>
        <v>0</v>
      </c>
      <c r="J8570" s="3">
        <f t="shared" si="533"/>
        <v>1900</v>
      </c>
    </row>
    <row r="8571" spans="1:10" s="9" customFormat="1" x14ac:dyDescent="0.25">
      <c r="A8571" s="447"/>
      <c r="B8571" s="55" t="str">
        <f t="shared" si="530"/>
        <v>ENERO</v>
      </c>
      <c r="C8571" s="55">
        <f t="shared" si="531"/>
        <v>1</v>
      </c>
      <c r="D8571" s="3" t="str">
        <f t="shared" si="532"/>
        <v>SÁBADO</v>
      </c>
      <c r="E8571" s="427"/>
      <c r="F8571" s="31">
        <f>IFERROR(VLOOKUP(E8571,BD!$L$2:$Q$244,2,0),0)</f>
        <v>0</v>
      </c>
      <c r="G8571" s="424"/>
      <c r="H8571" s="31">
        <f>+IFERROR(VLOOKUP(E8571,BD!$L$2:$Q$244,6,0),0)</f>
        <v>0</v>
      </c>
      <c r="I8571" s="626">
        <f>IFERROR(G8571*VLOOKUP($E8571,BD!$L$2:$Q$244,5,0),0)</f>
        <v>0</v>
      </c>
      <c r="J8571" s="3">
        <f t="shared" si="533"/>
        <v>1900</v>
      </c>
    </row>
    <row r="8572" spans="1:10" s="9" customFormat="1" x14ac:dyDescent="0.25">
      <c r="A8572" s="447"/>
      <c r="B8572" s="55" t="str">
        <f t="shared" ref="B8572:B8635" si="534">UPPER(TEXT(A8572,"MMMM"))</f>
        <v>ENERO</v>
      </c>
      <c r="C8572" s="55">
        <f t="shared" ref="C8572:C8635" si="535">WEEKNUM(A8572,16)</f>
        <v>1</v>
      </c>
      <c r="D8572" s="3" t="str">
        <f t="shared" ref="D8572:D8635" si="536">UPPER(TEXT(A8572,"DDDD"))</f>
        <v>SÁBADO</v>
      </c>
      <c r="E8572" s="427"/>
      <c r="F8572" s="31">
        <f>IFERROR(VLOOKUP(E8572,BD!$L$2:$Q$244,2,0),0)</f>
        <v>0</v>
      </c>
      <c r="G8572" s="424"/>
      <c r="H8572" s="31">
        <f>+IFERROR(VLOOKUP(E8572,BD!$L$2:$Q$244,6,0),0)</f>
        <v>0</v>
      </c>
      <c r="I8572" s="626">
        <f>IFERROR(G8572*VLOOKUP($E8572,BD!$L$2:$Q$244,5,0),0)</f>
        <v>0</v>
      </c>
      <c r="J8572" s="3">
        <f t="shared" ref="J8572:J8635" si="537">+YEAR(A8572)</f>
        <v>1900</v>
      </c>
    </row>
    <row r="8573" spans="1:10" s="9" customFormat="1" x14ac:dyDescent="0.25">
      <c r="A8573" s="447"/>
      <c r="B8573" s="55" t="str">
        <f t="shared" si="534"/>
        <v>ENERO</v>
      </c>
      <c r="C8573" s="55">
        <f t="shared" si="535"/>
        <v>1</v>
      </c>
      <c r="D8573" s="3" t="str">
        <f t="shared" si="536"/>
        <v>SÁBADO</v>
      </c>
      <c r="E8573" s="427"/>
      <c r="F8573" s="31">
        <f>IFERROR(VLOOKUP(E8573,BD!$L$2:$Q$244,2,0),0)</f>
        <v>0</v>
      </c>
      <c r="G8573" s="424"/>
      <c r="H8573" s="31">
        <f>+IFERROR(VLOOKUP(E8573,BD!$L$2:$Q$244,6,0),0)</f>
        <v>0</v>
      </c>
      <c r="I8573" s="626">
        <f>IFERROR(G8573*VLOOKUP($E8573,BD!$L$2:$Q$244,5,0),0)</f>
        <v>0</v>
      </c>
      <c r="J8573" s="3">
        <f t="shared" si="537"/>
        <v>1900</v>
      </c>
    </row>
    <row r="8574" spans="1:10" s="9" customFormat="1" x14ac:dyDescent="0.25">
      <c r="A8574" s="447"/>
      <c r="B8574" s="55" t="str">
        <f t="shared" si="534"/>
        <v>ENERO</v>
      </c>
      <c r="C8574" s="55">
        <f t="shared" si="535"/>
        <v>1</v>
      </c>
      <c r="D8574" s="3" t="str">
        <f t="shared" si="536"/>
        <v>SÁBADO</v>
      </c>
      <c r="E8574" s="427"/>
      <c r="F8574" s="31">
        <f>IFERROR(VLOOKUP(E8574,BD!$L$2:$Q$244,2,0),0)</f>
        <v>0</v>
      </c>
      <c r="G8574" s="424"/>
      <c r="H8574" s="31">
        <f>+IFERROR(VLOOKUP(E8574,BD!$L$2:$Q$244,6,0),0)</f>
        <v>0</v>
      </c>
      <c r="I8574" s="626">
        <f>IFERROR(G8574*VLOOKUP($E8574,BD!$L$2:$Q$244,5,0),0)</f>
        <v>0</v>
      </c>
      <c r="J8574" s="3">
        <f t="shared" si="537"/>
        <v>1900</v>
      </c>
    </row>
    <row r="8575" spans="1:10" s="9" customFormat="1" x14ac:dyDescent="0.25">
      <c r="A8575" s="447"/>
      <c r="B8575" s="55" t="str">
        <f t="shared" si="534"/>
        <v>ENERO</v>
      </c>
      <c r="C8575" s="55">
        <f t="shared" si="535"/>
        <v>1</v>
      </c>
      <c r="D8575" s="3" t="str">
        <f t="shared" si="536"/>
        <v>SÁBADO</v>
      </c>
      <c r="E8575" s="427"/>
      <c r="F8575" s="31">
        <f>IFERROR(VLOOKUP(E8575,BD!$L$2:$Q$244,2,0),0)</f>
        <v>0</v>
      </c>
      <c r="G8575" s="424"/>
      <c r="H8575" s="31">
        <f>+IFERROR(VLOOKUP(E8575,BD!$L$2:$Q$244,6,0),0)</f>
        <v>0</v>
      </c>
      <c r="I8575" s="626">
        <f>IFERROR(G8575*VLOOKUP($E8575,BD!$L$2:$Q$244,5,0),0)</f>
        <v>0</v>
      </c>
      <c r="J8575" s="3">
        <f t="shared" si="537"/>
        <v>1900</v>
      </c>
    </row>
    <row r="8576" spans="1:10" s="9" customFormat="1" x14ac:dyDescent="0.25">
      <c r="A8576" s="447"/>
      <c r="B8576" s="55" t="str">
        <f t="shared" si="534"/>
        <v>ENERO</v>
      </c>
      <c r="C8576" s="55">
        <f t="shared" si="535"/>
        <v>1</v>
      </c>
      <c r="D8576" s="3" t="str">
        <f t="shared" si="536"/>
        <v>SÁBADO</v>
      </c>
      <c r="E8576" s="427"/>
      <c r="F8576" s="31">
        <f>IFERROR(VLOOKUP(E8576,BD!$L$2:$Q$244,2,0),0)</f>
        <v>0</v>
      </c>
      <c r="G8576" s="424"/>
      <c r="H8576" s="31">
        <f>+IFERROR(VLOOKUP(E8576,BD!$L$2:$Q$244,6,0),0)</f>
        <v>0</v>
      </c>
      <c r="I8576" s="626">
        <f>IFERROR(G8576*VLOOKUP($E8576,BD!$L$2:$Q$244,5,0),0)</f>
        <v>0</v>
      </c>
      <c r="J8576" s="3">
        <f t="shared" si="537"/>
        <v>1900</v>
      </c>
    </row>
    <row r="8577" spans="1:10" s="9" customFormat="1" x14ac:dyDescent="0.25">
      <c r="A8577" s="447"/>
      <c r="B8577" s="55" t="str">
        <f t="shared" si="534"/>
        <v>ENERO</v>
      </c>
      <c r="C8577" s="55">
        <f t="shared" si="535"/>
        <v>1</v>
      </c>
      <c r="D8577" s="3" t="str">
        <f t="shared" si="536"/>
        <v>SÁBADO</v>
      </c>
      <c r="E8577" s="427"/>
      <c r="F8577" s="31">
        <f>IFERROR(VLOOKUP(E8577,BD!$L$2:$Q$244,2,0),0)</f>
        <v>0</v>
      </c>
      <c r="G8577" s="424"/>
      <c r="H8577" s="31">
        <f>+IFERROR(VLOOKUP(E8577,BD!$L$2:$Q$244,6,0),0)</f>
        <v>0</v>
      </c>
      <c r="I8577" s="626">
        <f>IFERROR(G8577*VLOOKUP($E8577,BD!$L$2:$Q$244,5,0),0)</f>
        <v>0</v>
      </c>
      <c r="J8577" s="3">
        <f t="shared" si="537"/>
        <v>1900</v>
      </c>
    </row>
    <row r="8578" spans="1:10" s="9" customFormat="1" x14ac:dyDescent="0.25">
      <c r="A8578" s="447"/>
      <c r="B8578" s="55" t="str">
        <f t="shared" si="534"/>
        <v>ENERO</v>
      </c>
      <c r="C8578" s="55">
        <f t="shared" si="535"/>
        <v>1</v>
      </c>
      <c r="D8578" s="3" t="str">
        <f t="shared" si="536"/>
        <v>SÁBADO</v>
      </c>
      <c r="E8578" s="427"/>
      <c r="F8578" s="31">
        <f>IFERROR(VLOOKUP(E8578,BD!$L$2:$Q$244,2,0),0)</f>
        <v>0</v>
      </c>
      <c r="G8578" s="424"/>
      <c r="H8578" s="31">
        <f>+IFERROR(VLOOKUP(E8578,BD!$L$2:$Q$244,6,0),0)</f>
        <v>0</v>
      </c>
      <c r="I8578" s="626">
        <f>IFERROR(G8578*VLOOKUP($E8578,BD!$L$2:$Q$244,5,0),0)</f>
        <v>0</v>
      </c>
      <c r="J8578" s="3">
        <f t="shared" si="537"/>
        <v>1900</v>
      </c>
    </row>
    <row r="8579" spans="1:10" s="9" customFormat="1" x14ac:dyDescent="0.25">
      <c r="A8579" s="447"/>
      <c r="B8579" s="55" t="str">
        <f t="shared" si="534"/>
        <v>ENERO</v>
      </c>
      <c r="C8579" s="55">
        <f t="shared" si="535"/>
        <v>1</v>
      </c>
      <c r="D8579" s="3" t="str">
        <f t="shared" si="536"/>
        <v>SÁBADO</v>
      </c>
      <c r="E8579" s="427"/>
      <c r="F8579" s="31">
        <f>IFERROR(VLOOKUP(E8579,BD!$L$2:$Q$244,2,0),0)</f>
        <v>0</v>
      </c>
      <c r="G8579" s="424"/>
      <c r="H8579" s="31">
        <f>+IFERROR(VLOOKUP(E8579,BD!$L$2:$Q$244,6,0),0)</f>
        <v>0</v>
      </c>
      <c r="I8579" s="626">
        <f>IFERROR(G8579*VLOOKUP($E8579,BD!$L$2:$Q$244,5,0),0)</f>
        <v>0</v>
      </c>
      <c r="J8579" s="3">
        <f t="shared" si="537"/>
        <v>1900</v>
      </c>
    </row>
    <row r="8580" spans="1:10" s="9" customFormat="1" x14ac:dyDescent="0.25">
      <c r="A8580" s="447"/>
      <c r="B8580" s="55" t="str">
        <f t="shared" si="534"/>
        <v>ENERO</v>
      </c>
      <c r="C8580" s="55">
        <f t="shared" si="535"/>
        <v>1</v>
      </c>
      <c r="D8580" s="3" t="str">
        <f t="shared" si="536"/>
        <v>SÁBADO</v>
      </c>
      <c r="E8580" s="427"/>
      <c r="F8580" s="31">
        <f>IFERROR(VLOOKUP(E8580,BD!$L$2:$Q$244,2,0),0)</f>
        <v>0</v>
      </c>
      <c r="G8580" s="424"/>
      <c r="H8580" s="31">
        <f>+IFERROR(VLOOKUP(E8580,BD!$L$2:$Q$244,6,0),0)</f>
        <v>0</v>
      </c>
      <c r="I8580" s="626">
        <f>IFERROR(G8580*VLOOKUP($E8580,BD!$L$2:$Q$244,5,0),0)</f>
        <v>0</v>
      </c>
      <c r="J8580" s="3">
        <f t="shared" si="537"/>
        <v>1900</v>
      </c>
    </row>
    <row r="8581" spans="1:10" s="9" customFormat="1" x14ac:dyDescent="0.25">
      <c r="A8581" s="447"/>
      <c r="B8581" s="55" t="str">
        <f t="shared" si="534"/>
        <v>ENERO</v>
      </c>
      <c r="C8581" s="55">
        <f t="shared" si="535"/>
        <v>1</v>
      </c>
      <c r="D8581" s="3" t="str">
        <f t="shared" si="536"/>
        <v>SÁBADO</v>
      </c>
      <c r="E8581" s="427"/>
      <c r="F8581" s="31">
        <f>IFERROR(VLOOKUP(E8581,BD!$L$2:$Q$244,2,0),0)</f>
        <v>0</v>
      </c>
      <c r="G8581" s="424"/>
      <c r="H8581" s="31">
        <f>+IFERROR(VLOOKUP(E8581,BD!$L$2:$Q$244,6,0),0)</f>
        <v>0</v>
      </c>
      <c r="I8581" s="626">
        <f>IFERROR(G8581*VLOOKUP($E8581,BD!$L$2:$Q$244,5,0),0)</f>
        <v>0</v>
      </c>
      <c r="J8581" s="3">
        <f t="shared" si="537"/>
        <v>1900</v>
      </c>
    </row>
    <row r="8582" spans="1:10" s="9" customFormat="1" x14ac:dyDescent="0.25">
      <c r="A8582" s="447"/>
      <c r="B8582" s="55" t="str">
        <f t="shared" si="534"/>
        <v>ENERO</v>
      </c>
      <c r="C8582" s="55">
        <f t="shared" si="535"/>
        <v>1</v>
      </c>
      <c r="D8582" s="3" t="str">
        <f t="shared" si="536"/>
        <v>SÁBADO</v>
      </c>
      <c r="E8582" s="427"/>
      <c r="F8582" s="31">
        <f>IFERROR(VLOOKUP(E8582,BD!$L$2:$Q$244,2,0),0)</f>
        <v>0</v>
      </c>
      <c r="G8582" s="424"/>
      <c r="H8582" s="31">
        <f>+IFERROR(VLOOKUP(E8582,BD!$L$2:$Q$244,6,0),0)</f>
        <v>0</v>
      </c>
      <c r="I8582" s="626">
        <f>IFERROR(G8582*VLOOKUP($E8582,BD!$L$2:$Q$244,5,0),0)</f>
        <v>0</v>
      </c>
      <c r="J8582" s="3">
        <f t="shared" si="537"/>
        <v>1900</v>
      </c>
    </row>
    <row r="8583" spans="1:10" s="9" customFormat="1" x14ac:dyDescent="0.25">
      <c r="A8583" s="447"/>
      <c r="B8583" s="55" t="str">
        <f t="shared" si="534"/>
        <v>ENERO</v>
      </c>
      <c r="C8583" s="55">
        <f t="shared" si="535"/>
        <v>1</v>
      </c>
      <c r="D8583" s="3" t="str">
        <f t="shared" si="536"/>
        <v>SÁBADO</v>
      </c>
      <c r="E8583" s="427"/>
      <c r="F8583" s="31">
        <f>IFERROR(VLOOKUP(E8583,BD!$L$2:$Q$244,2,0),0)</f>
        <v>0</v>
      </c>
      <c r="G8583" s="424"/>
      <c r="H8583" s="31">
        <f>+IFERROR(VLOOKUP(E8583,BD!$L$2:$Q$244,6,0),0)</f>
        <v>0</v>
      </c>
      <c r="I8583" s="626">
        <f>IFERROR(G8583*VLOOKUP($E8583,BD!$L$2:$Q$244,5,0),0)</f>
        <v>0</v>
      </c>
      <c r="J8583" s="3">
        <f t="shared" si="537"/>
        <v>1900</v>
      </c>
    </row>
    <row r="8584" spans="1:10" s="9" customFormat="1" x14ac:dyDescent="0.25">
      <c r="A8584" s="447"/>
      <c r="B8584" s="55" t="str">
        <f t="shared" si="534"/>
        <v>ENERO</v>
      </c>
      <c r="C8584" s="55">
        <f t="shared" si="535"/>
        <v>1</v>
      </c>
      <c r="D8584" s="3" t="str">
        <f t="shared" si="536"/>
        <v>SÁBADO</v>
      </c>
      <c r="E8584" s="427"/>
      <c r="F8584" s="31">
        <f>IFERROR(VLOOKUP(E8584,BD!$L$2:$Q$244,2,0),0)</f>
        <v>0</v>
      </c>
      <c r="G8584" s="424"/>
      <c r="H8584" s="31">
        <f>+IFERROR(VLOOKUP(E8584,BD!$L$2:$Q$244,6,0),0)</f>
        <v>0</v>
      </c>
      <c r="I8584" s="626">
        <f>IFERROR(G8584*VLOOKUP($E8584,BD!$L$2:$Q$244,5,0),0)</f>
        <v>0</v>
      </c>
      <c r="J8584" s="3">
        <f t="shared" si="537"/>
        <v>1900</v>
      </c>
    </row>
    <row r="8585" spans="1:10" s="9" customFormat="1" x14ac:dyDescent="0.25">
      <c r="A8585" s="447"/>
      <c r="B8585" s="55" t="str">
        <f t="shared" si="534"/>
        <v>ENERO</v>
      </c>
      <c r="C8585" s="55">
        <f t="shared" si="535"/>
        <v>1</v>
      </c>
      <c r="D8585" s="3" t="str">
        <f t="shared" si="536"/>
        <v>SÁBADO</v>
      </c>
      <c r="E8585" s="427"/>
      <c r="F8585" s="31">
        <f>IFERROR(VLOOKUP(E8585,BD!$L$2:$Q$244,2,0),0)</f>
        <v>0</v>
      </c>
      <c r="G8585" s="424"/>
      <c r="H8585" s="31">
        <f>+IFERROR(VLOOKUP(E8585,BD!$L$2:$Q$244,6,0),0)</f>
        <v>0</v>
      </c>
      <c r="I8585" s="626">
        <f>IFERROR(G8585*VLOOKUP($E8585,BD!$L$2:$Q$244,5,0),0)</f>
        <v>0</v>
      </c>
      <c r="J8585" s="3">
        <f t="shared" si="537"/>
        <v>1900</v>
      </c>
    </row>
    <row r="8586" spans="1:10" s="9" customFormat="1" x14ac:dyDescent="0.25">
      <c r="A8586" s="447"/>
      <c r="B8586" s="55" t="str">
        <f t="shared" si="534"/>
        <v>ENERO</v>
      </c>
      <c r="C8586" s="55">
        <f t="shared" si="535"/>
        <v>1</v>
      </c>
      <c r="D8586" s="3" t="str">
        <f t="shared" si="536"/>
        <v>SÁBADO</v>
      </c>
      <c r="E8586" s="427"/>
      <c r="F8586" s="31">
        <f>IFERROR(VLOOKUP(E8586,BD!$L$2:$Q$244,2,0),0)</f>
        <v>0</v>
      </c>
      <c r="G8586" s="424"/>
      <c r="H8586" s="31">
        <f>+IFERROR(VLOOKUP(E8586,BD!$L$2:$Q$244,6,0),0)</f>
        <v>0</v>
      </c>
      <c r="I8586" s="626">
        <f>IFERROR(G8586*VLOOKUP($E8586,BD!$L$2:$Q$244,5,0),0)</f>
        <v>0</v>
      </c>
      <c r="J8586" s="3">
        <f t="shared" si="537"/>
        <v>1900</v>
      </c>
    </row>
    <row r="8587" spans="1:10" s="9" customFormat="1" x14ac:dyDescent="0.25">
      <c r="A8587" s="447"/>
      <c r="B8587" s="55" t="str">
        <f t="shared" si="534"/>
        <v>ENERO</v>
      </c>
      <c r="C8587" s="55">
        <f t="shared" si="535"/>
        <v>1</v>
      </c>
      <c r="D8587" s="3" t="str">
        <f t="shared" si="536"/>
        <v>SÁBADO</v>
      </c>
      <c r="E8587" s="427"/>
      <c r="F8587" s="31">
        <f>IFERROR(VLOOKUP(E8587,BD!$L$2:$Q$244,2,0),0)</f>
        <v>0</v>
      </c>
      <c r="G8587" s="424"/>
      <c r="H8587" s="31">
        <f>+IFERROR(VLOOKUP(E8587,BD!$L$2:$Q$244,6,0),0)</f>
        <v>0</v>
      </c>
      <c r="I8587" s="626">
        <f>IFERROR(G8587*VLOOKUP($E8587,BD!$L$2:$Q$244,5,0),0)</f>
        <v>0</v>
      </c>
      <c r="J8587" s="3">
        <f t="shared" si="537"/>
        <v>1900</v>
      </c>
    </row>
    <row r="8588" spans="1:10" s="9" customFormat="1" x14ac:dyDescent="0.25">
      <c r="A8588" s="447"/>
      <c r="B8588" s="55" t="str">
        <f t="shared" si="534"/>
        <v>ENERO</v>
      </c>
      <c r="C8588" s="55">
        <f t="shared" si="535"/>
        <v>1</v>
      </c>
      <c r="D8588" s="3" t="str">
        <f t="shared" si="536"/>
        <v>SÁBADO</v>
      </c>
      <c r="E8588" s="427"/>
      <c r="F8588" s="31">
        <f>IFERROR(VLOOKUP(E8588,BD!$L$2:$Q$244,2,0),0)</f>
        <v>0</v>
      </c>
      <c r="G8588" s="424"/>
      <c r="H8588" s="31">
        <f>+IFERROR(VLOOKUP(E8588,BD!$L$2:$Q$244,6,0),0)</f>
        <v>0</v>
      </c>
      <c r="I8588" s="626">
        <f>IFERROR(G8588*VLOOKUP($E8588,BD!$L$2:$Q$244,5,0),0)</f>
        <v>0</v>
      </c>
      <c r="J8588" s="3">
        <f t="shared" si="537"/>
        <v>1900</v>
      </c>
    </row>
    <row r="8589" spans="1:10" s="9" customFormat="1" x14ac:dyDescent="0.25">
      <c r="A8589" s="447"/>
      <c r="B8589" s="55" t="str">
        <f t="shared" si="534"/>
        <v>ENERO</v>
      </c>
      <c r="C8589" s="55">
        <f t="shared" si="535"/>
        <v>1</v>
      </c>
      <c r="D8589" s="3" t="str">
        <f t="shared" si="536"/>
        <v>SÁBADO</v>
      </c>
      <c r="E8589" s="427"/>
      <c r="F8589" s="31">
        <f>IFERROR(VLOOKUP(E8589,BD!$L$2:$Q$244,2,0),0)</f>
        <v>0</v>
      </c>
      <c r="G8589" s="424"/>
      <c r="H8589" s="31">
        <f>+IFERROR(VLOOKUP(E8589,BD!$L$2:$Q$244,6,0),0)</f>
        <v>0</v>
      </c>
      <c r="I8589" s="626">
        <f>IFERROR(G8589*VLOOKUP($E8589,BD!$L$2:$Q$244,5,0),0)</f>
        <v>0</v>
      </c>
      <c r="J8589" s="3">
        <f t="shared" si="537"/>
        <v>1900</v>
      </c>
    </row>
    <row r="8590" spans="1:10" s="9" customFormat="1" x14ac:dyDescent="0.25">
      <c r="A8590" s="447"/>
      <c r="B8590" s="55" t="str">
        <f t="shared" si="534"/>
        <v>ENERO</v>
      </c>
      <c r="C8590" s="55">
        <f t="shared" si="535"/>
        <v>1</v>
      </c>
      <c r="D8590" s="3" t="str">
        <f t="shared" si="536"/>
        <v>SÁBADO</v>
      </c>
      <c r="E8590" s="427"/>
      <c r="F8590" s="31">
        <f>IFERROR(VLOOKUP(E8590,BD!$L$2:$Q$244,2,0),0)</f>
        <v>0</v>
      </c>
      <c r="G8590" s="424"/>
      <c r="H8590" s="31">
        <f>+IFERROR(VLOOKUP(E8590,BD!$L$2:$Q$244,6,0),0)</f>
        <v>0</v>
      </c>
      <c r="I8590" s="626">
        <f>IFERROR(G8590*VLOOKUP($E8590,BD!$L$2:$Q$244,5,0),0)</f>
        <v>0</v>
      </c>
      <c r="J8590" s="3">
        <f t="shared" si="537"/>
        <v>1900</v>
      </c>
    </row>
    <row r="8591" spans="1:10" s="9" customFormat="1" x14ac:dyDescent="0.25">
      <c r="A8591" s="447"/>
      <c r="B8591" s="55" t="str">
        <f t="shared" si="534"/>
        <v>ENERO</v>
      </c>
      <c r="C8591" s="55">
        <f t="shared" si="535"/>
        <v>1</v>
      </c>
      <c r="D8591" s="3" t="str">
        <f t="shared" si="536"/>
        <v>SÁBADO</v>
      </c>
      <c r="E8591" s="427"/>
      <c r="F8591" s="31">
        <f>IFERROR(VLOOKUP(E8591,BD!$L$2:$Q$244,2,0),0)</f>
        <v>0</v>
      </c>
      <c r="G8591" s="424"/>
      <c r="H8591" s="31">
        <f>+IFERROR(VLOOKUP(E8591,BD!$L$2:$Q$244,6,0),0)</f>
        <v>0</v>
      </c>
      <c r="I8591" s="626">
        <f>IFERROR(G8591*VLOOKUP($E8591,BD!$L$2:$Q$244,5,0),0)</f>
        <v>0</v>
      </c>
      <c r="J8591" s="3">
        <f t="shared" si="537"/>
        <v>1900</v>
      </c>
    </row>
    <row r="8592" spans="1:10" s="9" customFormat="1" x14ac:dyDescent="0.25">
      <c r="A8592" s="447"/>
      <c r="B8592" s="55" t="str">
        <f t="shared" si="534"/>
        <v>ENERO</v>
      </c>
      <c r="C8592" s="55">
        <f t="shared" si="535"/>
        <v>1</v>
      </c>
      <c r="D8592" s="3" t="str">
        <f t="shared" si="536"/>
        <v>SÁBADO</v>
      </c>
      <c r="E8592" s="427"/>
      <c r="F8592" s="31">
        <f>IFERROR(VLOOKUP(E8592,BD!$L$2:$Q$244,2,0),0)</f>
        <v>0</v>
      </c>
      <c r="G8592" s="424"/>
      <c r="H8592" s="31">
        <f>+IFERROR(VLOOKUP(E8592,BD!$L$2:$Q$244,6,0),0)</f>
        <v>0</v>
      </c>
      <c r="I8592" s="626">
        <f>IFERROR(G8592*VLOOKUP($E8592,BD!$L$2:$Q$244,5,0),0)</f>
        <v>0</v>
      </c>
      <c r="J8592" s="3">
        <f t="shared" si="537"/>
        <v>1900</v>
      </c>
    </row>
    <row r="8593" spans="1:10" s="9" customFormat="1" x14ac:dyDescent="0.25">
      <c r="A8593" s="447"/>
      <c r="B8593" s="55" t="str">
        <f t="shared" si="534"/>
        <v>ENERO</v>
      </c>
      <c r="C8593" s="55">
        <f t="shared" si="535"/>
        <v>1</v>
      </c>
      <c r="D8593" s="3" t="str">
        <f t="shared" si="536"/>
        <v>SÁBADO</v>
      </c>
      <c r="E8593" s="427"/>
      <c r="F8593" s="31">
        <f>IFERROR(VLOOKUP(E8593,BD!$L$2:$Q$244,2,0),0)</f>
        <v>0</v>
      </c>
      <c r="G8593" s="424"/>
      <c r="H8593" s="31">
        <f>+IFERROR(VLOOKUP(E8593,BD!$L$2:$Q$244,6,0),0)</f>
        <v>0</v>
      </c>
      <c r="I8593" s="626">
        <f>IFERROR(G8593*VLOOKUP($E8593,BD!$L$2:$Q$244,5,0),0)</f>
        <v>0</v>
      </c>
      <c r="J8593" s="3">
        <f t="shared" si="537"/>
        <v>1900</v>
      </c>
    </row>
    <row r="8594" spans="1:10" s="9" customFormat="1" x14ac:dyDescent="0.25">
      <c r="A8594" s="447"/>
      <c r="B8594" s="55" t="str">
        <f t="shared" si="534"/>
        <v>ENERO</v>
      </c>
      <c r="C8594" s="55">
        <f t="shared" si="535"/>
        <v>1</v>
      </c>
      <c r="D8594" s="3" t="str">
        <f t="shared" si="536"/>
        <v>SÁBADO</v>
      </c>
      <c r="E8594" s="427"/>
      <c r="F8594" s="31">
        <f>IFERROR(VLOOKUP(E8594,BD!$L$2:$Q$244,2,0),0)</f>
        <v>0</v>
      </c>
      <c r="G8594" s="424"/>
      <c r="H8594" s="31">
        <f>+IFERROR(VLOOKUP(E8594,BD!$L$2:$Q$244,6,0),0)</f>
        <v>0</v>
      </c>
      <c r="I8594" s="626">
        <f>IFERROR(G8594*VLOOKUP($E8594,BD!$L$2:$Q$244,5,0),0)</f>
        <v>0</v>
      </c>
      <c r="J8594" s="3">
        <f t="shared" si="537"/>
        <v>1900</v>
      </c>
    </row>
    <row r="8595" spans="1:10" s="9" customFormat="1" x14ac:dyDescent="0.25">
      <c r="A8595" s="447"/>
      <c r="B8595" s="55" t="str">
        <f t="shared" si="534"/>
        <v>ENERO</v>
      </c>
      <c r="C8595" s="55">
        <f t="shared" si="535"/>
        <v>1</v>
      </c>
      <c r="D8595" s="3" t="str">
        <f t="shared" si="536"/>
        <v>SÁBADO</v>
      </c>
      <c r="E8595" s="427"/>
      <c r="F8595" s="31">
        <f>IFERROR(VLOOKUP(E8595,BD!$L$2:$Q$244,2,0),0)</f>
        <v>0</v>
      </c>
      <c r="G8595" s="424"/>
      <c r="H8595" s="31">
        <f>+IFERROR(VLOOKUP(E8595,BD!$L$2:$Q$244,6,0),0)</f>
        <v>0</v>
      </c>
      <c r="I8595" s="626">
        <f>IFERROR(G8595*VLOOKUP($E8595,BD!$L$2:$Q$244,5,0),0)</f>
        <v>0</v>
      </c>
      <c r="J8595" s="3">
        <f t="shared" si="537"/>
        <v>1900</v>
      </c>
    </row>
    <row r="8596" spans="1:10" s="9" customFormat="1" x14ac:dyDescent="0.25">
      <c r="A8596" s="447"/>
      <c r="B8596" s="55" t="str">
        <f t="shared" si="534"/>
        <v>ENERO</v>
      </c>
      <c r="C8596" s="55">
        <f t="shared" si="535"/>
        <v>1</v>
      </c>
      <c r="D8596" s="3" t="str">
        <f t="shared" si="536"/>
        <v>SÁBADO</v>
      </c>
      <c r="E8596" s="427"/>
      <c r="F8596" s="31">
        <f>IFERROR(VLOOKUP(E8596,BD!$L$2:$Q$244,2,0),0)</f>
        <v>0</v>
      </c>
      <c r="G8596" s="424"/>
      <c r="H8596" s="31">
        <f>+IFERROR(VLOOKUP(E8596,BD!$L$2:$Q$244,6,0),0)</f>
        <v>0</v>
      </c>
      <c r="I8596" s="626">
        <f>IFERROR(G8596*VLOOKUP($E8596,BD!$L$2:$Q$244,5,0),0)</f>
        <v>0</v>
      </c>
      <c r="J8596" s="3">
        <f t="shared" si="537"/>
        <v>1900</v>
      </c>
    </row>
    <row r="8597" spans="1:10" s="9" customFormat="1" x14ac:dyDescent="0.25">
      <c r="A8597" s="447"/>
      <c r="B8597" s="55" t="str">
        <f t="shared" si="534"/>
        <v>ENERO</v>
      </c>
      <c r="C8597" s="55">
        <f t="shared" si="535"/>
        <v>1</v>
      </c>
      <c r="D8597" s="3" t="str">
        <f t="shared" si="536"/>
        <v>SÁBADO</v>
      </c>
      <c r="E8597" s="427"/>
      <c r="F8597" s="31">
        <f>IFERROR(VLOOKUP(E8597,BD!$L$2:$Q$244,2,0),0)</f>
        <v>0</v>
      </c>
      <c r="G8597" s="424"/>
      <c r="H8597" s="31">
        <f>+IFERROR(VLOOKUP(E8597,BD!$L$2:$Q$244,6,0),0)</f>
        <v>0</v>
      </c>
      <c r="I8597" s="626">
        <f>IFERROR(G8597*VLOOKUP($E8597,BD!$L$2:$Q$244,5,0),0)</f>
        <v>0</v>
      </c>
      <c r="J8597" s="3">
        <f t="shared" si="537"/>
        <v>1900</v>
      </c>
    </row>
    <row r="8598" spans="1:10" s="9" customFormat="1" x14ac:dyDescent="0.25">
      <c r="A8598" s="447"/>
      <c r="B8598" s="55" t="str">
        <f t="shared" si="534"/>
        <v>ENERO</v>
      </c>
      <c r="C8598" s="55">
        <f t="shared" si="535"/>
        <v>1</v>
      </c>
      <c r="D8598" s="3" t="str">
        <f t="shared" si="536"/>
        <v>SÁBADO</v>
      </c>
      <c r="E8598" s="427"/>
      <c r="F8598" s="31">
        <f>IFERROR(VLOOKUP(E8598,BD!$L$2:$Q$244,2,0),0)</f>
        <v>0</v>
      </c>
      <c r="G8598" s="424"/>
      <c r="H8598" s="31">
        <f>+IFERROR(VLOOKUP(E8598,BD!$L$2:$Q$244,6,0),0)</f>
        <v>0</v>
      </c>
      <c r="I8598" s="626">
        <f>IFERROR(G8598*VLOOKUP($E8598,BD!$L$2:$Q$244,5,0),0)</f>
        <v>0</v>
      </c>
      <c r="J8598" s="3">
        <f t="shared" si="537"/>
        <v>1900</v>
      </c>
    </row>
    <row r="8599" spans="1:10" s="9" customFormat="1" x14ac:dyDescent="0.25">
      <c r="A8599" s="447"/>
      <c r="B8599" s="55" t="str">
        <f t="shared" si="534"/>
        <v>ENERO</v>
      </c>
      <c r="C8599" s="55">
        <f t="shared" si="535"/>
        <v>1</v>
      </c>
      <c r="D8599" s="3" t="str">
        <f t="shared" si="536"/>
        <v>SÁBADO</v>
      </c>
      <c r="E8599" s="427"/>
      <c r="F8599" s="31">
        <f>IFERROR(VLOOKUP(E8599,BD!$L$2:$Q$244,2,0),0)</f>
        <v>0</v>
      </c>
      <c r="G8599" s="424"/>
      <c r="H8599" s="31">
        <f>+IFERROR(VLOOKUP(E8599,BD!$L$2:$Q$244,6,0),0)</f>
        <v>0</v>
      </c>
      <c r="I8599" s="626">
        <f>IFERROR(G8599*VLOOKUP($E8599,BD!$L$2:$Q$244,5,0),0)</f>
        <v>0</v>
      </c>
      <c r="J8599" s="3">
        <f t="shared" si="537"/>
        <v>1900</v>
      </c>
    </row>
    <row r="8600" spans="1:10" s="9" customFormat="1" x14ac:dyDescent="0.25">
      <c r="A8600" s="447"/>
      <c r="B8600" s="55" t="str">
        <f t="shared" si="534"/>
        <v>ENERO</v>
      </c>
      <c r="C8600" s="55">
        <f t="shared" si="535"/>
        <v>1</v>
      </c>
      <c r="D8600" s="3" t="str">
        <f t="shared" si="536"/>
        <v>SÁBADO</v>
      </c>
      <c r="E8600" s="427"/>
      <c r="F8600" s="31">
        <f>IFERROR(VLOOKUP(E8600,BD!$L$2:$Q$244,2,0),0)</f>
        <v>0</v>
      </c>
      <c r="G8600" s="424"/>
      <c r="H8600" s="31">
        <f>+IFERROR(VLOOKUP(E8600,BD!$L$2:$Q$244,6,0),0)</f>
        <v>0</v>
      </c>
      <c r="I8600" s="626">
        <f>IFERROR(G8600*VLOOKUP($E8600,BD!$L$2:$Q$244,5,0),0)</f>
        <v>0</v>
      </c>
      <c r="J8600" s="3">
        <f t="shared" si="537"/>
        <v>1900</v>
      </c>
    </row>
    <row r="8601" spans="1:10" s="9" customFormat="1" x14ac:dyDescent="0.25">
      <c r="A8601" s="447"/>
      <c r="B8601" s="55" t="str">
        <f t="shared" si="534"/>
        <v>ENERO</v>
      </c>
      <c r="C8601" s="55">
        <f t="shared" si="535"/>
        <v>1</v>
      </c>
      <c r="D8601" s="3" t="str">
        <f t="shared" si="536"/>
        <v>SÁBADO</v>
      </c>
      <c r="E8601" s="427"/>
      <c r="F8601" s="31">
        <f>IFERROR(VLOOKUP(E8601,BD!$L$2:$Q$244,2,0),0)</f>
        <v>0</v>
      </c>
      <c r="G8601" s="424"/>
      <c r="H8601" s="31">
        <f>+IFERROR(VLOOKUP(E8601,BD!$L$2:$Q$244,6,0),0)</f>
        <v>0</v>
      </c>
      <c r="I8601" s="626">
        <f>IFERROR(G8601*VLOOKUP($E8601,BD!$L$2:$Q$244,5,0),0)</f>
        <v>0</v>
      </c>
      <c r="J8601" s="3">
        <f t="shared" si="537"/>
        <v>1900</v>
      </c>
    </row>
    <row r="8602" spans="1:10" s="9" customFormat="1" x14ac:dyDescent="0.25">
      <c r="A8602" s="447"/>
      <c r="B8602" s="55" t="str">
        <f t="shared" si="534"/>
        <v>ENERO</v>
      </c>
      <c r="C8602" s="55">
        <f t="shared" si="535"/>
        <v>1</v>
      </c>
      <c r="D8602" s="3" t="str">
        <f t="shared" si="536"/>
        <v>SÁBADO</v>
      </c>
      <c r="E8602" s="427"/>
      <c r="F8602" s="31">
        <f>IFERROR(VLOOKUP(E8602,BD!$L$2:$Q$244,2,0),0)</f>
        <v>0</v>
      </c>
      <c r="G8602" s="424"/>
      <c r="H8602" s="31">
        <f>+IFERROR(VLOOKUP(E8602,BD!$L$2:$Q$244,6,0),0)</f>
        <v>0</v>
      </c>
      <c r="I8602" s="626">
        <f>IFERROR(G8602*VLOOKUP($E8602,BD!$L$2:$Q$244,5,0),0)</f>
        <v>0</v>
      </c>
      <c r="J8602" s="3">
        <f t="shared" si="537"/>
        <v>1900</v>
      </c>
    </row>
    <row r="8603" spans="1:10" s="9" customFormat="1" x14ac:dyDescent="0.25">
      <c r="A8603" s="447"/>
      <c r="B8603" s="55" t="str">
        <f t="shared" si="534"/>
        <v>ENERO</v>
      </c>
      <c r="C8603" s="55">
        <f t="shared" si="535"/>
        <v>1</v>
      </c>
      <c r="D8603" s="3" t="str">
        <f t="shared" si="536"/>
        <v>SÁBADO</v>
      </c>
      <c r="E8603" s="427"/>
      <c r="F8603" s="31">
        <f>IFERROR(VLOOKUP(E8603,BD!$L$2:$Q$244,2,0),0)</f>
        <v>0</v>
      </c>
      <c r="G8603" s="424"/>
      <c r="H8603" s="31">
        <f>+IFERROR(VLOOKUP(E8603,BD!$L$2:$Q$244,6,0),0)</f>
        <v>0</v>
      </c>
      <c r="I8603" s="626">
        <f>IFERROR(G8603*VLOOKUP($E8603,BD!$L$2:$Q$244,5,0),0)</f>
        <v>0</v>
      </c>
      <c r="J8603" s="3">
        <f t="shared" si="537"/>
        <v>1900</v>
      </c>
    </row>
    <row r="8604" spans="1:10" s="9" customFormat="1" x14ac:dyDescent="0.25">
      <c r="A8604" s="447"/>
      <c r="B8604" s="55" t="str">
        <f t="shared" si="534"/>
        <v>ENERO</v>
      </c>
      <c r="C8604" s="55">
        <f t="shared" si="535"/>
        <v>1</v>
      </c>
      <c r="D8604" s="3" t="str">
        <f t="shared" si="536"/>
        <v>SÁBADO</v>
      </c>
      <c r="E8604" s="427"/>
      <c r="F8604" s="31">
        <f>IFERROR(VLOOKUP(E8604,BD!$L$2:$Q$244,2,0),0)</f>
        <v>0</v>
      </c>
      <c r="G8604" s="424"/>
      <c r="H8604" s="31">
        <f>+IFERROR(VLOOKUP(E8604,BD!$L$2:$Q$244,6,0),0)</f>
        <v>0</v>
      </c>
      <c r="I8604" s="626">
        <f>IFERROR(G8604*VLOOKUP($E8604,BD!$L$2:$Q$244,5,0),0)</f>
        <v>0</v>
      </c>
      <c r="J8604" s="3">
        <f t="shared" si="537"/>
        <v>1900</v>
      </c>
    </row>
    <row r="8605" spans="1:10" s="9" customFormat="1" x14ac:dyDescent="0.25">
      <c r="A8605" s="447"/>
      <c r="B8605" s="55" t="str">
        <f t="shared" si="534"/>
        <v>ENERO</v>
      </c>
      <c r="C8605" s="55">
        <f t="shared" si="535"/>
        <v>1</v>
      </c>
      <c r="D8605" s="3" t="str">
        <f t="shared" si="536"/>
        <v>SÁBADO</v>
      </c>
      <c r="E8605" s="427"/>
      <c r="F8605" s="31">
        <f>IFERROR(VLOOKUP(E8605,BD!$L$2:$Q$244,2,0),0)</f>
        <v>0</v>
      </c>
      <c r="G8605" s="424"/>
      <c r="H8605" s="31">
        <f>+IFERROR(VLOOKUP(E8605,BD!$L$2:$Q$244,6,0),0)</f>
        <v>0</v>
      </c>
      <c r="I8605" s="626">
        <f>IFERROR(G8605*VLOOKUP($E8605,BD!$L$2:$Q$244,5,0),0)</f>
        <v>0</v>
      </c>
      <c r="J8605" s="3">
        <f t="shared" si="537"/>
        <v>1900</v>
      </c>
    </row>
    <row r="8606" spans="1:10" s="9" customFormat="1" x14ac:dyDescent="0.25">
      <c r="A8606" s="447"/>
      <c r="B8606" s="55" t="str">
        <f t="shared" si="534"/>
        <v>ENERO</v>
      </c>
      <c r="C8606" s="55">
        <f t="shared" si="535"/>
        <v>1</v>
      </c>
      <c r="D8606" s="3" t="str">
        <f t="shared" si="536"/>
        <v>SÁBADO</v>
      </c>
      <c r="E8606" s="427"/>
      <c r="F8606" s="31">
        <f>IFERROR(VLOOKUP(E8606,BD!$L$2:$Q$244,2,0),0)</f>
        <v>0</v>
      </c>
      <c r="G8606" s="424"/>
      <c r="H8606" s="31">
        <f>+IFERROR(VLOOKUP(E8606,BD!$L$2:$Q$244,6,0),0)</f>
        <v>0</v>
      </c>
      <c r="I8606" s="626">
        <f>IFERROR(G8606*VLOOKUP($E8606,BD!$L$2:$Q$244,5,0),0)</f>
        <v>0</v>
      </c>
      <c r="J8606" s="3">
        <f t="shared" si="537"/>
        <v>1900</v>
      </c>
    </row>
    <row r="8607" spans="1:10" s="9" customFormat="1" x14ac:dyDescent="0.25">
      <c r="A8607" s="447"/>
      <c r="B8607" s="55" t="str">
        <f t="shared" si="534"/>
        <v>ENERO</v>
      </c>
      <c r="C8607" s="55">
        <f t="shared" si="535"/>
        <v>1</v>
      </c>
      <c r="D8607" s="3" t="str">
        <f t="shared" si="536"/>
        <v>SÁBADO</v>
      </c>
      <c r="E8607" s="427"/>
      <c r="F8607" s="31">
        <f>IFERROR(VLOOKUP(E8607,BD!$L$2:$Q$244,2,0),0)</f>
        <v>0</v>
      </c>
      <c r="G8607" s="424"/>
      <c r="H8607" s="31">
        <f>+IFERROR(VLOOKUP(E8607,BD!$L$2:$Q$244,6,0),0)</f>
        <v>0</v>
      </c>
      <c r="I8607" s="626">
        <f>IFERROR(G8607*VLOOKUP($E8607,BD!$L$2:$Q$244,5,0),0)</f>
        <v>0</v>
      </c>
      <c r="J8607" s="3">
        <f t="shared" si="537"/>
        <v>1900</v>
      </c>
    </row>
    <row r="8608" spans="1:10" s="9" customFormat="1" x14ac:dyDescent="0.25">
      <c r="A8608" s="447"/>
      <c r="B8608" s="55" t="str">
        <f t="shared" si="534"/>
        <v>ENERO</v>
      </c>
      <c r="C8608" s="55">
        <f t="shared" si="535"/>
        <v>1</v>
      </c>
      <c r="D8608" s="3" t="str">
        <f t="shared" si="536"/>
        <v>SÁBADO</v>
      </c>
      <c r="E8608" s="427"/>
      <c r="F8608" s="31">
        <f>IFERROR(VLOOKUP(E8608,BD!$L$2:$Q$244,2,0),0)</f>
        <v>0</v>
      </c>
      <c r="G8608" s="424"/>
      <c r="H8608" s="31">
        <f>+IFERROR(VLOOKUP(E8608,BD!$L$2:$Q$244,6,0),0)</f>
        <v>0</v>
      </c>
      <c r="I8608" s="626">
        <f>IFERROR(G8608*VLOOKUP($E8608,BD!$L$2:$Q$244,5,0),0)</f>
        <v>0</v>
      </c>
      <c r="J8608" s="3">
        <f t="shared" si="537"/>
        <v>1900</v>
      </c>
    </row>
    <row r="8609" spans="1:10" s="9" customFormat="1" x14ac:dyDescent="0.25">
      <c r="A8609" s="447"/>
      <c r="B8609" s="55" t="str">
        <f t="shared" si="534"/>
        <v>ENERO</v>
      </c>
      <c r="C8609" s="55">
        <f t="shared" si="535"/>
        <v>1</v>
      </c>
      <c r="D8609" s="3" t="str">
        <f t="shared" si="536"/>
        <v>SÁBADO</v>
      </c>
      <c r="E8609" s="427"/>
      <c r="F8609" s="31">
        <f>IFERROR(VLOOKUP(E8609,BD!$L$2:$Q$244,2,0),0)</f>
        <v>0</v>
      </c>
      <c r="G8609" s="424"/>
      <c r="H8609" s="31">
        <f>+IFERROR(VLOOKUP(E8609,BD!$L$2:$Q$244,6,0),0)</f>
        <v>0</v>
      </c>
      <c r="I8609" s="626">
        <f>IFERROR(G8609*VLOOKUP($E8609,BD!$L$2:$Q$244,5,0),0)</f>
        <v>0</v>
      </c>
      <c r="J8609" s="3">
        <f t="shared" si="537"/>
        <v>1900</v>
      </c>
    </row>
    <row r="8610" spans="1:10" s="9" customFormat="1" x14ac:dyDescent="0.25">
      <c r="A8610" s="447"/>
      <c r="B8610" s="55" t="str">
        <f t="shared" si="534"/>
        <v>ENERO</v>
      </c>
      <c r="C8610" s="55">
        <f t="shared" si="535"/>
        <v>1</v>
      </c>
      <c r="D8610" s="3" t="str">
        <f t="shared" si="536"/>
        <v>SÁBADO</v>
      </c>
      <c r="E8610" s="427"/>
      <c r="F8610" s="31">
        <f>IFERROR(VLOOKUP(E8610,BD!$L$2:$Q$244,2,0),0)</f>
        <v>0</v>
      </c>
      <c r="G8610" s="424"/>
      <c r="H8610" s="31">
        <f>+IFERROR(VLOOKUP(E8610,BD!$L$2:$Q$244,6,0),0)</f>
        <v>0</v>
      </c>
      <c r="I8610" s="626">
        <f>IFERROR(G8610*VLOOKUP($E8610,BD!$L$2:$Q$244,5,0),0)</f>
        <v>0</v>
      </c>
      <c r="J8610" s="3">
        <f t="shared" si="537"/>
        <v>1900</v>
      </c>
    </row>
    <row r="8611" spans="1:10" s="9" customFormat="1" x14ac:dyDescent="0.25">
      <c r="A8611" s="447"/>
      <c r="B8611" s="55" t="str">
        <f t="shared" si="534"/>
        <v>ENERO</v>
      </c>
      <c r="C8611" s="55">
        <f t="shared" si="535"/>
        <v>1</v>
      </c>
      <c r="D8611" s="3" t="str">
        <f t="shared" si="536"/>
        <v>SÁBADO</v>
      </c>
      <c r="E8611" s="427"/>
      <c r="F8611" s="31">
        <f>IFERROR(VLOOKUP(E8611,BD!$L$2:$Q$244,2,0),0)</f>
        <v>0</v>
      </c>
      <c r="G8611" s="424"/>
      <c r="H8611" s="31">
        <f>+IFERROR(VLOOKUP(E8611,BD!$L$2:$Q$244,6,0),0)</f>
        <v>0</v>
      </c>
      <c r="I8611" s="626">
        <f>IFERROR(G8611*VLOOKUP($E8611,BD!$L$2:$Q$244,5,0),0)</f>
        <v>0</v>
      </c>
      <c r="J8611" s="3">
        <f t="shared" si="537"/>
        <v>1900</v>
      </c>
    </row>
    <row r="8612" spans="1:10" s="9" customFormat="1" x14ac:dyDescent="0.25">
      <c r="A8612" s="447"/>
      <c r="B8612" s="55" t="str">
        <f t="shared" si="534"/>
        <v>ENERO</v>
      </c>
      <c r="C8612" s="55">
        <f t="shared" si="535"/>
        <v>1</v>
      </c>
      <c r="D8612" s="3" t="str">
        <f t="shared" si="536"/>
        <v>SÁBADO</v>
      </c>
      <c r="E8612" s="427"/>
      <c r="F8612" s="31">
        <f>IFERROR(VLOOKUP(E8612,BD!$L$2:$Q$244,2,0),0)</f>
        <v>0</v>
      </c>
      <c r="G8612" s="424"/>
      <c r="H8612" s="31">
        <f>+IFERROR(VLOOKUP(E8612,BD!$L$2:$Q$244,6,0),0)</f>
        <v>0</v>
      </c>
      <c r="I8612" s="626">
        <f>IFERROR(G8612*VLOOKUP($E8612,BD!$L$2:$Q$244,5,0),0)</f>
        <v>0</v>
      </c>
      <c r="J8612" s="3">
        <f t="shared" si="537"/>
        <v>1900</v>
      </c>
    </row>
    <row r="8613" spans="1:10" s="9" customFormat="1" x14ac:dyDescent="0.25">
      <c r="A8613" s="447"/>
      <c r="B8613" s="55" t="str">
        <f t="shared" si="534"/>
        <v>ENERO</v>
      </c>
      <c r="C8613" s="55">
        <f t="shared" si="535"/>
        <v>1</v>
      </c>
      <c r="D8613" s="3" t="str">
        <f t="shared" si="536"/>
        <v>SÁBADO</v>
      </c>
      <c r="E8613" s="427"/>
      <c r="F8613" s="31">
        <f>IFERROR(VLOOKUP(E8613,BD!$L$2:$Q$244,2,0),0)</f>
        <v>0</v>
      </c>
      <c r="G8613" s="424"/>
      <c r="H8613" s="31">
        <f>+IFERROR(VLOOKUP(E8613,BD!$L$2:$Q$244,6,0),0)</f>
        <v>0</v>
      </c>
      <c r="I8613" s="626">
        <f>IFERROR(G8613*VLOOKUP($E8613,BD!$L$2:$Q$244,5,0),0)</f>
        <v>0</v>
      </c>
      <c r="J8613" s="3">
        <f t="shared" si="537"/>
        <v>1900</v>
      </c>
    </row>
    <row r="8614" spans="1:10" s="9" customFormat="1" x14ac:dyDescent="0.25">
      <c r="A8614" s="447"/>
      <c r="B8614" s="55" t="str">
        <f t="shared" si="534"/>
        <v>ENERO</v>
      </c>
      <c r="C8614" s="55">
        <f t="shared" si="535"/>
        <v>1</v>
      </c>
      <c r="D8614" s="3" t="str">
        <f t="shared" si="536"/>
        <v>SÁBADO</v>
      </c>
      <c r="E8614" s="427"/>
      <c r="F8614" s="31">
        <f>IFERROR(VLOOKUP(E8614,BD!$L$2:$Q$244,2,0),0)</f>
        <v>0</v>
      </c>
      <c r="G8614" s="424"/>
      <c r="H8614" s="31">
        <f>+IFERROR(VLOOKUP(E8614,BD!$L$2:$Q$244,6,0),0)</f>
        <v>0</v>
      </c>
      <c r="I8614" s="626">
        <f>IFERROR(G8614*VLOOKUP($E8614,BD!$L$2:$Q$244,5,0),0)</f>
        <v>0</v>
      </c>
      <c r="J8614" s="3">
        <f t="shared" si="537"/>
        <v>1900</v>
      </c>
    </row>
    <row r="8615" spans="1:10" s="9" customFormat="1" x14ac:dyDescent="0.25">
      <c r="A8615" s="447"/>
      <c r="B8615" s="55" t="str">
        <f t="shared" si="534"/>
        <v>ENERO</v>
      </c>
      <c r="C8615" s="55">
        <f t="shared" si="535"/>
        <v>1</v>
      </c>
      <c r="D8615" s="3" t="str">
        <f t="shared" si="536"/>
        <v>SÁBADO</v>
      </c>
      <c r="E8615" s="427"/>
      <c r="F8615" s="31">
        <f>IFERROR(VLOOKUP(E8615,BD!$L$2:$Q$244,2,0),0)</f>
        <v>0</v>
      </c>
      <c r="G8615" s="424"/>
      <c r="H8615" s="31">
        <f>+IFERROR(VLOOKUP(E8615,BD!$L$2:$Q$244,6,0),0)</f>
        <v>0</v>
      </c>
      <c r="I8615" s="626">
        <f>IFERROR(G8615*VLOOKUP($E8615,BD!$L$2:$Q$244,5,0),0)</f>
        <v>0</v>
      </c>
      <c r="J8615" s="3">
        <f t="shared" si="537"/>
        <v>1900</v>
      </c>
    </row>
    <row r="8616" spans="1:10" s="9" customFormat="1" x14ac:dyDescent="0.25">
      <c r="A8616" s="447"/>
      <c r="B8616" s="55" t="str">
        <f t="shared" si="534"/>
        <v>ENERO</v>
      </c>
      <c r="C8616" s="55">
        <f t="shared" si="535"/>
        <v>1</v>
      </c>
      <c r="D8616" s="3" t="str">
        <f t="shared" si="536"/>
        <v>SÁBADO</v>
      </c>
      <c r="E8616" s="427"/>
      <c r="F8616" s="31">
        <f>IFERROR(VLOOKUP(E8616,BD!$L$2:$Q$244,2,0),0)</f>
        <v>0</v>
      </c>
      <c r="G8616" s="424"/>
      <c r="H8616" s="31">
        <f>+IFERROR(VLOOKUP(E8616,BD!$L$2:$Q$244,6,0),0)</f>
        <v>0</v>
      </c>
      <c r="I8616" s="626">
        <f>IFERROR(G8616*VLOOKUP($E8616,BD!$L$2:$Q$244,5,0),0)</f>
        <v>0</v>
      </c>
      <c r="J8616" s="3">
        <f t="shared" si="537"/>
        <v>1900</v>
      </c>
    </row>
    <row r="8617" spans="1:10" s="9" customFormat="1" x14ac:dyDescent="0.25">
      <c r="A8617" s="447"/>
      <c r="B8617" s="55" t="str">
        <f t="shared" si="534"/>
        <v>ENERO</v>
      </c>
      <c r="C8617" s="55">
        <f t="shared" si="535"/>
        <v>1</v>
      </c>
      <c r="D8617" s="3" t="str">
        <f t="shared" si="536"/>
        <v>SÁBADO</v>
      </c>
      <c r="E8617" s="427"/>
      <c r="F8617" s="31">
        <f>IFERROR(VLOOKUP(E8617,BD!$L$2:$Q$244,2,0),0)</f>
        <v>0</v>
      </c>
      <c r="G8617" s="424"/>
      <c r="H8617" s="31">
        <f>+IFERROR(VLOOKUP(E8617,BD!$L$2:$Q$244,6,0),0)</f>
        <v>0</v>
      </c>
      <c r="I8617" s="626">
        <f>IFERROR(G8617*VLOOKUP($E8617,BD!$L$2:$Q$244,5,0),0)</f>
        <v>0</v>
      </c>
      <c r="J8617" s="3">
        <f t="shared" si="537"/>
        <v>1900</v>
      </c>
    </row>
    <row r="8618" spans="1:10" s="9" customFormat="1" x14ac:dyDescent="0.25">
      <c r="A8618" s="447"/>
      <c r="B8618" s="55" t="str">
        <f t="shared" si="534"/>
        <v>ENERO</v>
      </c>
      <c r="C8618" s="55">
        <f t="shared" si="535"/>
        <v>1</v>
      </c>
      <c r="D8618" s="3" t="str">
        <f t="shared" si="536"/>
        <v>SÁBADO</v>
      </c>
      <c r="E8618" s="427"/>
      <c r="F8618" s="31">
        <f>IFERROR(VLOOKUP(E8618,BD!$L$2:$Q$244,2,0),0)</f>
        <v>0</v>
      </c>
      <c r="G8618" s="424"/>
      <c r="H8618" s="31">
        <f>+IFERROR(VLOOKUP(E8618,BD!$L$2:$Q$244,6,0),0)</f>
        <v>0</v>
      </c>
      <c r="I8618" s="626">
        <f>IFERROR(G8618*VLOOKUP($E8618,BD!$L$2:$Q$244,5,0),0)</f>
        <v>0</v>
      </c>
      <c r="J8618" s="3">
        <f t="shared" si="537"/>
        <v>1900</v>
      </c>
    </row>
    <row r="8619" spans="1:10" s="9" customFormat="1" x14ac:dyDescent="0.25">
      <c r="A8619" s="447"/>
      <c r="B8619" s="55" t="str">
        <f t="shared" si="534"/>
        <v>ENERO</v>
      </c>
      <c r="C8619" s="55">
        <f t="shared" si="535"/>
        <v>1</v>
      </c>
      <c r="D8619" s="3" t="str">
        <f t="shared" si="536"/>
        <v>SÁBADO</v>
      </c>
      <c r="E8619" s="427"/>
      <c r="F8619" s="31">
        <f>IFERROR(VLOOKUP(E8619,BD!$L$2:$Q$244,2,0),0)</f>
        <v>0</v>
      </c>
      <c r="G8619" s="424"/>
      <c r="H8619" s="31">
        <f>+IFERROR(VLOOKUP(E8619,BD!$L$2:$Q$244,6,0),0)</f>
        <v>0</v>
      </c>
      <c r="I8619" s="626">
        <f>IFERROR(G8619*VLOOKUP($E8619,BD!$L$2:$Q$244,5,0),0)</f>
        <v>0</v>
      </c>
      <c r="J8619" s="3">
        <f t="shared" si="537"/>
        <v>1900</v>
      </c>
    </row>
    <row r="8620" spans="1:10" s="9" customFormat="1" x14ac:dyDescent="0.25">
      <c r="A8620" s="447"/>
      <c r="B8620" s="55" t="str">
        <f t="shared" si="534"/>
        <v>ENERO</v>
      </c>
      <c r="C8620" s="55">
        <f t="shared" si="535"/>
        <v>1</v>
      </c>
      <c r="D8620" s="3" t="str">
        <f t="shared" si="536"/>
        <v>SÁBADO</v>
      </c>
      <c r="E8620" s="427"/>
      <c r="F8620" s="31">
        <f>IFERROR(VLOOKUP(E8620,BD!$L$2:$Q$244,2,0),0)</f>
        <v>0</v>
      </c>
      <c r="G8620" s="424"/>
      <c r="H8620" s="31">
        <f>+IFERROR(VLOOKUP(E8620,BD!$L$2:$Q$244,6,0),0)</f>
        <v>0</v>
      </c>
      <c r="I8620" s="626">
        <f>IFERROR(G8620*VLOOKUP($E8620,BD!$L$2:$Q$244,5,0),0)</f>
        <v>0</v>
      </c>
      <c r="J8620" s="3">
        <f t="shared" si="537"/>
        <v>1900</v>
      </c>
    </row>
    <row r="8621" spans="1:10" s="9" customFormat="1" x14ac:dyDescent="0.25">
      <c r="A8621" s="447"/>
      <c r="B8621" s="55" t="str">
        <f t="shared" si="534"/>
        <v>ENERO</v>
      </c>
      <c r="C8621" s="55">
        <f t="shared" si="535"/>
        <v>1</v>
      </c>
      <c r="D8621" s="3" t="str">
        <f t="shared" si="536"/>
        <v>SÁBADO</v>
      </c>
      <c r="E8621" s="427"/>
      <c r="F8621" s="31">
        <f>IFERROR(VLOOKUP(E8621,BD!$L$2:$Q$244,2,0),0)</f>
        <v>0</v>
      </c>
      <c r="G8621" s="424"/>
      <c r="H8621" s="31">
        <f>+IFERROR(VLOOKUP(E8621,BD!$L$2:$Q$244,6,0),0)</f>
        <v>0</v>
      </c>
      <c r="I8621" s="626">
        <f>IFERROR(G8621*VLOOKUP($E8621,BD!$L$2:$Q$244,5,0),0)</f>
        <v>0</v>
      </c>
      <c r="J8621" s="3">
        <f t="shared" si="537"/>
        <v>1900</v>
      </c>
    </row>
    <row r="8622" spans="1:10" s="9" customFormat="1" x14ac:dyDescent="0.25">
      <c r="A8622" s="447"/>
      <c r="B8622" s="55" t="str">
        <f t="shared" si="534"/>
        <v>ENERO</v>
      </c>
      <c r="C8622" s="55">
        <f t="shared" si="535"/>
        <v>1</v>
      </c>
      <c r="D8622" s="3" t="str">
        <f t="shared" si="536"/>
        <v>SÁBADO</v>
      </c>
      <c r="E8622" s="427"/>
      <c r="F8622" s="31">
        <f>IFERROR(VLOOKUP(E8622,BD!$L$2:$Q$244,2,0),0)</f>
        <v>0</v>
      </c>
      <c r="G8622" s="424"/>
      <c r="H8622" s="31">
        <f>+IFERROR(VLOOKUP(E8622,BD!$L$2:$Q$244,6,0),0)</f>
        <v>0</v>
      </c>
      <c r="I8622" s="626">
        <f>IFERROR(G8622*VLOOKUP($E8622,BD!$L$2:$Q$244,5,0),0)</f>
        <v>0</v>
      </c>
      <c r="J8622" s="3">
        <f t="shared" si="537"/>
        <v>1900</v>
      </c>
    </row>
    <row r="8623" spans="1:10" s="9" customFormat="1" x14ac:dyDescent="0.25">
      <c r="A8623" s="447"/>
      <c r="B8623" s="55" t="str">
        <f t="shared" si="534"/>
        <v>ENERO</v>
      </c>
      <c r="C8623" s="55">
        <f t="shared" si="535"/>
        <v>1</v>
      </c>
      <c r="D8623" s="3" t="str">
        <f t="shared" si="536"/>
        <v>SÁBADO</v>
      </c>
      <c r="E8623" s="427"/>
      <c r="F8623" s="31">
        <f>IFERROR(VLOOKUP(E8623,BD!$L$2:$Q$244,2,0),0)</f>
        <v>0</v>
      </c>
      <c r="G8623" s="424"/>
      <c r="H8623" s="31">
        <f>+IFERROR(VLOOKUP(E8623,BD!$L$2:$Q$244,6,0),0)</f>
        <v>0</v>
      </c>
      <c r="I8623" s="626">
        <f>IFERROR(G8623*VLOOKUP($E8623,BD!$L$2:$Q$244,5,0),0)</f>
        <v>0</v>
      </c>
      <c r="J8623" s="3">
        <f t="shared" si="537"/>
        <v>1900</v>
      </c>
    </row>
    <row r="8624" spans="1:10" s="9" customFormat="1" x14ac:dyDescent="0.25">
      <c r="A8624" s="447"/>
      <c r="B8624" s="55" t="str">
        <f t="shared" si="534"/>
        <v>ENERO</v>
      </c>
      <c r="C8624" s="55">
        <f t="shared" si="535"/>
        <v>1</v>
      </c>
      <c r="D8624" s="3" t="str">
        <f t="shared" si="536"/>
        <v>SÁBADO</v>
      </c>
      <c r="E8624" s="427"/>
      <c r="F8624" s="31">
        <f>IFERROR(VLOOKUP(E8624,BD!$L$2:$Q$244,2,0),0)</f>
        <v>0</v>
      </c>
      <c r="G8624" s="424"/>
      <c r="H8624" s="31">
        <f>+IFERROR(VLOOKUP(E8624,BD!$L$2:$Q$244,6,0),0)</f>
        <v>0</v>
      </c>
      <c r="I8624" s="626">
        <f>IFERROR(G8624*VLOOKUP($E8624,BD!$L$2:$Q$244,5,0),0)</f>
        <v>0</v>
      </c>
      <c r="J8624" s="3">
        <f t="shared" si="537"/>
        <v>1900</v>
      </c>
    </row>
    <row r="8625" spans="1:10" s="9" customFormat="1" x14ac:dyDescent="0.25">
      <c r="A8625" s="447"/>
      <c r="B8625" s="55" t="str">
        <f t="shared" si="534"/>
        <v>ENERO</v>
      </c>
      <c r="C8625" s="55">
        <f t="shared" si="535"/>
        <v>1</v>
      </c>
      <c r="D8625" s="3" t="str">
        <f t="shared" si="536"/>
        <v>SÁBADO</v>
      </c>
      <c r="E8625" s="427"/>
      <c r="F8625" s="31">
        <f>IFERROR(VLOOKUP(E8625,BD!$L$2:$Q$244,2,0),0)</f>
        <v>0</v>
      </c>
      <c r="G8625" s="424"/>
      <c r="H8625" s="31">
        <f>+IFERROR(VLOOKUP(E8625,BD!$L$2:$Q$244,6,0),0)</f>
        <v>0</v>
      </c>
      <c r="I8625" s="626">
        <f>IFERROR(G8625*VLOOKUP($E8625,BD!$L$2:$Q$244,5,0),0)</f>
        <v>0</v>
      </c>
      <c r="J8625" s="3">
        <f t="shared" si="537"/>
        <v>1900</v>
      </c>
    </row>
    <row r="8626" spans="1:10" s="9" customFormat="1" x14ac:dyDescent="0.25">
      <c r="A8626" s="447"/>
      <c r="B8626" s="55" t="str">
        <f t="shared" si="534"/>
        <v>ENERO</v>
      </c>
      <c r="C8626" s="55">
        <f t="shared" si="535"/>
        <v>1</v>
      </c>
      <c r="D8626" s="3" t="str">
        <f t="shared" si="536"/>
        <v>SÁBADO</v>
      </c>
      <c r="E8626" s="427"/>
      <c r="F8626" s="31">
        <f>IFERROR(VLOOKUP(E8626,BD!$L$2:$Q$244,2,0),0)</f>
        <v>0</v>
      </c>
      <c r="G8626" s="424"/>
      <c r="H8626" s="31">
        <f>+IFERROR(VLOOKUP(E8626,BD!$L$2:$Q$244,6,0),0)</f>
        <v>0</v>
      </c>
      <c r="I8626" s="626">
        <f>IFERROR(G8626*VLOOKUP($E8626,BD!$L$2:$Q$244,5,0),0)</f>
        <v>0</v>
      </c>
      <c r="J8626" s="3">
        <f t="shared" si="537"/>
        <v>1900</v>
      </c>
    </row>
    <row r="8627" spans="1:10" s="9" customFormat="1" x14ac:dyDescent="0.25">
      <c r="A8627" s="447"/>
      <c r="B8627" s="55" t="str">
        <f t="shared" si="534"/>
        <v>ENERO</v>
      </c>
      <c r="C8627" s="55">
        <f t="shared" si="535"/>
        <v>1</v>
      </c>
      <c r="D8627" s="3" t="str">
        <f t="shared" si="536"/>
        <v>SÁBADO</v>
      </c>
      <c r="E8627" s="427"/>
      <c r="F8627" s="31">
        <f>IFERROR(VLOOKUP(E8627,BD!$L$2:$Q$244,2,0),0)</f>
        <v>0</v>
      </c>
      <c r="G8627" s="424"/>
      <c r="H8627" s="31">
        <f>+IFERROR(VLOOKUP(E8627,BD!$L$2:$Q$244,6,0),0)</f>
        <v>0</v>
      </c>
      <c r="I8627" s="626">
        <f>IFERROR(G8627*VLOOKUP($E8627,BD!$L$2:$Q$244,5,0),0)</f>
        <v>0</v>
      </c>
      <c r="J8627" s="3">
        <f t="shared" si="537"/>
        <v>1900</v>
      </c>
    </row>
    <row r="8628" spans="1:10" s="9" customFormat="1" x14ac:dyDescent="0.25">
      <c r="A8628" s="447"/>
      <c r="B8628" s="55" t="str">
        <f t="shared" si="534"/>
        <v>ENERO</v>
      </c>
      <c r="C8628" s="55">
        <f t="shared" si="535"/>
        <v>1</v>
      </c>
      <c r="D8628" s="3" t="str">
        <f t="shared" si="536"/>
        <v>SÁBADO</v>
      </c>
      <c r="E8628" s="427"/>
      <c r="F8628" s="31">
        <f>IFERROR(VLOOKUP(E8628,BD!$L$2:$Q$244,2,0),0)</f>
        <v>0</v>
      </c>
      <c r="G8628" s="424"/>
      <c r="H8628" s="31">
        <f>+IFERROR(VLOOKUP(E8628,BD!$L$2:$Q$244,6,0),0)</f>
        <v>0</v>
      </c>
      <c r="I8628" s="626">
        <f>IFERROR(G8628*VLOOKUP($E8628,BD!$L$2:$Q$244,5,0),0)</f>
        <v>0</v>
      </c>
      <c r="J8628" s="3">
        <f t="shared" si="537"/>
        <v>1900</v>
      </c>
    </row>
    <row r="8629" spans="1:10" s="9" customFormat="1" x14ac:dyDescent="0.25">
      <c r="A8629" s="447"/>
      <c r="B8629" s="55" t="str">
        <f t="shared" si="534"/>
        <v>ENERO</v>
      </c>
      <c r="C8629" s="55">
        <f t="shared" si="535"/>
        <v>1</v>
      </c>
      <c r="D8629" s="3" t="str">
        <f t="shared" si="536"/>
        <v>SÁBADO</v>
      </c>
      <c r="E8629" s="427"/>
      <c r="F8629" s="31">
        <f>IFERROR(VLOOKUP(E8629,BD!$L$2:$Q$244,2,0),0)</f>
        <v>0</v>
      </c>
      <c r="G8629" s="424"/>
      <c r="H8629" s="31">
        <f>+IFERROR(VLOOKUP(E8629,BD!$L$2:$Q$244,6,0),0)</f>
        <v>0</v>
      </c>
      <c r="I8629" s="626">
        <f>IFERROR(G8629*VLOOKUP($E8629,BD!$L$2:$Q$244,5,0),0)</f>
        <v>0</v>
      </c>
      <c r="J8629" s="3">
        <f t="shared" si="537"/>
        <v>1900</v>
      </c>
    </row>
    <row r="8630" spans="1:10" s="9" customFormat="1" x14ac:dyDescent="0.25">
      <c r="A8630" s="447"/>
      <c r="B8630" s="55" t="str">
        <f t="shared" si="534"/>
        <v>ENERO</v>
      </c>
      <c r="C8630" s="55">
        <f t="shared" si="535"/>
        <v>1</v>
      </c>
      <c r="D8630" s="3" t="str">
        <f t="shared" si="536"/>
        <v>SÁBADO</v>
      </c>
      <c r="E8630" s="427"/>
      <c r="F8630" s="31">
        <f>IFERROR(VLOOKUP(E8630,BD!$L$2:$Q$244,2,0),0)</f>
        <v>0</v>
      </c>
      <c r="G8630" s="424"/>
      <c r="H8630" s="31">
        <f>+IFERROR(VLOOKUP(E8630,BD!$L$2:$Q$244,6,0),0)</f>
        <v>0</v>
      </c>
      <c r="I8630" s="626">
        <f>IFERROR(G8630*VLOOKUP($E8630,BD!$L$2:$Q$244,5,0),0)</f>
        <v>0</v>
      </c>
      <c r="J8630" s="3">
        <f t="shared" si="537"/>
        <v>1900</v>
      </c>
    </row>
    <row r="8631" spans="1:10" s="9" customFormat="1" x14ac:dyDescent="0.25">
      <c r="A8631" s="447"/>
      <c r="B8631" s="55" t="str">
        <f t="shared" si="534"/>
        <v>ENERO</v>
      </c>
      <c r="C8631" s="55">
        <f t="shared" si="535"/>
        <v>1</v>
      </c>
      <c r="D8631" s="3" t="str">
        <f t="shared" si="536"/>
        <v>SÁBADO</v>
      </c>
      <c r="E8631" s="427"/>
      <c r="F8631" s="31">
        <f>IFERROR(VLOOKUP(E8631,BD!$L$2:$Q$244,2,0),0)</f>
        <v>0</v>
      </c>
      <c r="G8631" s="424"/>
      <c r="H8631" s="31">
        <f>+IFERROR(VLOOKUP(E8631,BD!$L$2:$Q$244,6,0),0)</f>
        <v>0</v>
      </c>
      <c r="I8631" s="626">
        <f>IFERROR(G8631*VLOOKUP($E8631,BD!$L$2:$Q$244,5,0),0)</f>
        <v>0</v>
      </c>
      <c r="J8631" s="3">
        <f t="shared" si="537"/>
        <v>1900</v>
      </c>
    </row>
    <row r="8632" spans="1:10" s="9" customFormat="1" x14ac:dyDescent="0.25">
      <c r="A8632" s="447"/>
      <c r="B8632" s="55" t="str">
        <f t="shared" si="534"/>
        <v>ENERO</v>
      </c>
      <c r="C8632" s="55">
        <f t="shared" si="535"/>
        <v>1</v>
      </c>
      <c r="D8632" s="3" t="str">
        <f t="shared" si="536"/>
        <v>SÁBADO</v>
      </c>
      <c r="E8632" s="427"/>
      <c r="F8632" s="31">
        <f>IFERROR(VLOOKUP(E8632,BD!$L$2:$Q$244,2,0),0)</f>
        <v>0</v>
      </c>
      <c r="G8632" s="424"/>
      <c r="H8632" s="31">
        <f>+IFERROR(VLOOKUP(E8632,BD!$L$2:$Q$244,6,0),0)</f>
        <v>0</v>
      </c>
      <c r="I8632" s="626">
        <f>IFERROR(G8632*VLOOKUP($E8632,BD!$L$2:$Q$244,5,0),0)</f>
        <v>0</v>
      </c>
      <c r="J8632" s="3">
        <f t="shared" si="537"/>
        <v>1900</v>
      </c>
    </row>
    <row r="8633" spans="1:10" s="9" customFormat="1" x14ac:dyDescent="0.25">
      <c r="A8633" s="447"/>
      <c r="B8633" s="55" t="str">
        <f t="shared" si="534"/>
        <v>ENERO</v>
      </c>
      <c r="C8633" s="55">
        <f t="shared" si="535"/>
        <v>1</v>
      </c>
      <c r="D8633" s="3" t="str">
        <f t="shared" si="536"/>
        <v>SÁBADO</v>
      </c>
      <c r="E8633" s="427"/>
      <c r="F8633" s="31">
        <f>IFERROR(VLOOKUP(E8633,BD!$L$2:$Q$244,2,0),0)</f>
        <v>0</v>
      </c>
      <c r="G8633" s="424"/>
      <c r="H8633" s="31">
        <f>+IFERROR(VLOOKUP(E8633,BD!$L$2:$Q$244,6,0),0)</f>
        <v>0</v>
      </c>
      <c r="I8633" s="626">
        <f>IFERROR(G8633*VLOOKUP($E8633,BD!$L$2:$Q$244,5,0),0)</f>
        <v>0</v>
      </c>
      <c r="J8633" s="3">
        <f t="shared" si="537"/>
        <v>1900</v>
      </c>
    </row>
    <row r="8634" spans="1:10" s="9" customFormat="1" x14ac:dyDescent="0.25">
      <c r="A8634" s="447"/>
      <c r="B8634" s="55" t="str">
        <f t="shared" si="534"/>
        <v>ENERO</v>
      </c>
      <c r="C8634" s="55">
        <f t="shared" si="535"/>
        <v>1</v>
      </c>
      <c r="D8634" s="3" t="str">
        <f t="shared" si="536"/>
        <v>SÁBADO</v>
      </c>
      <c r="E8634" s="427"/>
      <c r="F8634" s="31">
        <f>IFERROR(VLOOKUP(E8634,BD!$L$2:$Q$244,2,0),0)</f>
        <v>0</v>
      </c>
      <c r="G8634" s="424"/>
      <c r="H8634" s="31">
        <f>+IFERROR(VLOOKUP(E8634,BD!$L$2:$Q$244,6,0),0)</f>
        <v>0</v>
      </c>
      <c r="I8634" s="626">
        <f>IFERROR(G8634*VLOOKUP($E8634,BD!$L$2:$Q$244,5,0),0)</f>
        <v>0</v>
      </c>
      <c r="J8634" s="3">
        <f t="shared" si="537"/>
        <v>1900</v>
      </c>
    </row>
    <row r="8635" spans="1:10" s="9" customFormat="1" x14ac:dyDescent="0.25">
      <c r="A8635" s="447"/>
      <c r="B8635" s="55" t="str">
        <f t="shared" si="534"/>
        <v>ENERO</v>
      </c>
      <c r="C8635" s="55">
        <f t="shared" si="535"/>
        <v>1</v>
      </c>
      <c r="D8635" s="3" t="str">
        <f t="shared" si="536"/>
        <v>SÁBADO</v>
      </c>
      <c r="E8635" s="427"/>
      <c r="F8635" s="31">
        <f>IFERROR(VLOOKUP(E8635,BD!$L$2:$Q$244,2,0),0)</f>
        <v>0</v>
      </c>
      <c r="G8635" s="424"/>
      <c r="H8635" s="31">
        <f>+IFERROR(VLOOKUP(E8635,BD!$L$2:$Q$244,6,0),0)</f>
        <v>0</v>
      </c>
      <c r="I8635" s="626">
        <f>IFERROR(G8635*VLOOKUP($E8635,BD!$L$2:$Q$244,5,0),0)</f>
        <v>0</v>
      </c>
      <c r="J8635" s="3">
        <f t="shared" si="537"/>
        <v>1900</v>
      </c>
    </row>
    <row r="8636" spans="1:10" s="9" customFormat="1" x14ac:dyDescent="0.25">
      <c r="A8636" s="447"/>
      <c r="B8636" s="55" t="str">
        <f t="shared" ref="B8636:B8699" si="538">UPPER(TEXT(A8636,"MMMM"))</f>
        <v>ENERO</v>
      </c>
      <c r="C8636" s="55">
        <f t="shared" ref="C8636:C8699" si="539">WEEKNUM(A8636,16)</f>
        <v>1</v>
      </c>
      <c r="D8636" s="3" t="str">
        <f t="shared" ref="D8636:D8699" si="540">UPPER(TEXT(A8636,"DDDD"))</f>
        <v>SÁBADO</v>
      </c>
      <c r="E8636" s="427"/>
      <c r="F8636" s="31">
        <f>IFERROR(VLOOKUP(E8636,BD!$L$2:$Q$244,2,0),0)</f>
        <v>0</v>
      </c>
      <c r="G8636" s="424"/>
      <c r="H8636" s="31">
        <f>+IFERROR(VLOOKUP(E8636,BD!$L$2:$Q$244,6,0),0)</f>
        <v>0</v>
      </c>
      <c r="I8636" s="626">
        <f>IFERROR(G8636*VLOOKUP($E8636,BD!$L$2:$Q$244,5,0),0)</f>
        <v>0</v>
      </c>
      <c r="J8636" s="3">
        <f t="shared" ref="J8636:J8699" si="541">+YEAR(A8636)</f>
        <v>1900</v>
      </c>
    </row>
    <row r="8637" spans="1:10" s="9" customFormat="1" x14ac:dyDescent="0.25">
      <c r="A8637" s="447"/>
      <c r="B8637" s="55" t="str">
        <f t="shared" si="538"/>
        <v>ENERO</v>
      </c>
      <c r="C8637" s="55">
        <f t="shared" si="539"/>
        <v>1</v>
      </c>
      <c r="D8637" s="3" t="str">
        <f t="shared" si="540"/>
        <v>SÁBADO</v>
      </c>
      <c r="E8637" s="427"/>
      <c r="F8637" s="31">
        <f>IFERROR(VLOOKUP(E8637,BD!$L$2:$Q$244,2,0),0)</f>
        <v>0</v>
      </c>
      <c r="G8637" s="424"/>
      <c r="H8637" s="31">
        <f>+IFERROR(VLOOKUP(E8637,BD!$L$2:$Q$244,6,0),0)</f>
        <v>0</v>
      </c>
      <c r="I8637" s="626">
        <f>IFERROR(G8637*VLOOKUP($E8637,BD!$L$2:$Q$244,5,0),0)</f>
        <v>0</v>
      </c>
      <c r="J8637" s="3">
        <f t="shared" si="541"/>
        <v>1900</v>
      </c>
    </row>
    <row r="8638" spans="1:10" s="9" customFormat="1" x14ac:dyDescent="0.25">
      <c r="A8638" s="447"/>
      <c r="B8638" s="55" t="str">
        <f t="shared" si="538"/>
        <v>ENERO</v>
      </c>
      <c r="C8638" s="55">
        <f t="shared" si="539"/>
        <v>1</v>
      </c>
      <c r="D8638" s="3" t="str">
        <f t="shared" si="540"/>
        <v>SÁBADO</v>
      </c>
      <c r="E8638" s="427"/>
      <c r="F8638" s="31">
        <f>IFERROR(VLOOKUP(E8638,BD!$L$2:$Q$244,2,0),0)</f>
        <v>0</v>
      </c>
      <c r="G8638" s="424"/>
      <c r="H8638" s="31">
        <f>+IFERROR(VLOOKUP(E8638,BD!$L$2:$Q$244,6,0),0)</f>
        <v>0</v>
      </c>
      <c r="I8638" s="626">
        <f>IFERROR(G8638*VLOOKUP($E8638,BD!$L$2:$Q$244,5,0),0)</f>
        <v>0</v>
      </c>
      <c r="J8638" s="3">
        <f t="shared" si="541"/>
        <v>1900</v>
      </c>
    </row>
    <row r="8639" spans="1:10" s="9" customFormat="1" x14ac:dyDescent="0.25">
      <c r="A8639" s="447"/>
      <c r="B8639" s="55" t="str">
        <f t="shared" si="538"/>
        <v>ENERO</v>
      </c>
      <c r="C8639" s="55">
        <f t="shared" si="539"/>
        <v>1</v>
      </c>
      <c r="D8639" s="3" t="str">
        <f t="shared" si="540"/>
        <v>SÁBADO</v>
      </c>
      <c r="E8639" s="427"/>
      <c r="F8639" s="31">
        <f>IFERROR(VLOOKUP(E8639,BD!$L$2:$Q$244,2,0),0)</f>
        <v>0</v>
      </c>
      <c r="G8639" s="424"/>
      <c r="H8639" s="31">
        <f>+IFERROR(VLOOKUP(E8639,BD!$L$2:$Q$244,6,0),0)</f>
        <v>0</v>
      </c>
      <c r="I8639" s="626">
        <f>IFERROR(G8639*VLOOKUP($E8639,BD!$L$2:$Q$244,5,0),0)</f>
        <v>0</v>
      </c>
      <c r="J8639" s="3">
        <f t="shared" si="541"/>
        <v>1900</v>
      </c>
    </row>
    <row r="8640" spans="1:10" s="9" customFormat="1" x14ac:dyDescent="0.25">
      <c r="A8640" s="447"/>
      <c r="B8640" s="55" t="str">
        <f t="shared" si="538"/>
        <v>ENERO</v>
      </c>
      <c r="C8640" s="55">
        <f t="shared" si="539"/>
        <v>1</v>
      </c>
      <c r="D8640" s="3" t="str">
        <f t="shared" si="540"/>
        <v>SÁBADO</v>
      </c>
      <c r="E8640" s="427"/>
      <c r="F8640" s="31">
        <f>IFERROR(VLOOKUP(E8640,BD!$L$2:$Q$244,2,0),0)</f>
        <v>0</v>
      </c>
      <c r="G8640" s="424"/>
      <c r="H8640" s="31">
        <f>+IFERROR(VLOOKUP(E8640,BD!$L$2:$Q$244,6,0),0)</f>
        <v>0</v>
      </c>
      <c r="I8640" s="626">
        <f>IFERROR(G8640*VLOOKUP($E8640,BD!$L$2:$Q$244,5,0),0)</f>
        <v>0</v>
      </c>
      <c r="J8640" s="3">
        <f t="shared" si="541"/>
        <v>1900</v>
      </c>
    </row>
    <row r="8641" spans="1:10" s="9" customFormat="1" x14ac:dyDescent="0.25">
      <c r="A8641" s="447"/>
      <c r="B8641" s="55" t="str">
        <f t="shared" si="538"/>
        <v>ENERO</v>
      </c>
      <c r="C8641" s="55">
        <f t="shared" si="539"/>
        <v>1</v>
      </c>
      <c r="D8641" s="3" t="str">
        <f t="shared" si="540"/>
        <v>SÁBADO</v>
      </c>
      <c r="E8641" s="427"/>
      <c r="F8641" s="31">
        <f>IFERROR(VLOOKUP(E8641,BD!$L$2:$Q$244,2,0),0)</f>
        <v>0</v>
      </c>
      <c r="G8641" s="424"/>
      <c r="H8641" s="31">
        <f>+IFERROR(VLOOKUP(E8641,BD!$L$2:$Q$244,6,0),0)</f>
        <v>0</v>
      </c>
      <c r="I8641" s="626">
        <f>IFERROR(G8641*VLOOKUP($E8641,BD!$L$2:$Q$244,5,0),0)</f>
        <v>0</v>
      </c>
      <c r="J8641" s="3">
        <f t="shared" si="541"/>
        <v>1900</v>
      </c>
    </row>
    <row r="8642" spans="1:10" s="9" customFormat="1" x14ac:dyDescent="0.25">
      <c r="A8642" s="447"/>
      <c r="B8642" s="55" t="str">
        <f t="shared" si="538"/>
        <v>ENERO</v>
      </c>
      <c r="C8642" s="55">
        <f t="shared" si="539"/>
        <v>1</v>
      </c>
      <c r="D8642" s="3" t="str">
        <f t="shared" si="540"/>
        <v>SÁBADO</v>
      </c>
      <c r="E8642" s="427"/>
      <c r="F8642" s="31">
        <f>IFERROR(VLOOKUP(E8642,BD!$L$2:$Q$244,2,0),0)</f>
        <v>0</v>
      </c>
      <c r="G8642" s="424"/>
      <c r="H8642" s="31">
        <f>+IFERROR(VLOOKUP(E8642,BD!$L$2:$Q$244,6,0),0)</f>
        <v>0</v>
      </c>
      <c r="I8642" s="626">
        <f>IFERROR(G8642*VLOOKUP($E8642,BD!$L$2:$Q$244,5,0),0)</f>
        <v>0</v>
      </c>
      <c r="J8642" s="3">
        <f t="shared" si="541"/>
        <v>1900</v>
      </c>
    </row>
    <row r="8643" spans="1:10" s="9" customFormat="1" x14ac:dyDescent="0.25">
      <c r="A8643" s="447"/>
      <c r="B8643" s="55" t="str">
        <f t="shared" si="538"/>
        <v>ENERO</v>
      </c>
      <c r="C8643" s="55">
        <f t="shared" si="539"/>
        <v>1</v>
      </c>
      <c r="D8643" s="3" t="str">
        <f t="shared" si="540"/>
        <v>SÁBADO</v>
      </c>
      <c r="E8643" s="427"/>
      <c r="F8643" s="31">
        <f>IFERROR(VLOOKUP(E8643,BD!$L$2:$Q$244,2,0),0)</f>
        <v>0</v>
      </c>
      <c r="G8643" s="424"/>
      <c r="H8643" s="31">
        <f>+IFERROR(VLOOKUP(E8643,BD!$L$2:$Q$244,6,0),0)</f>
        <v>0</v>
      </c>
      <c r="I8643" s="626">
        <f>IFERROR(G8643*VLOOKUP($E8643,BD!$L$2:$Q$244,5,0),0)</f>
        <v>0</v>
      </c>
      <c r="J8643" s="3">
        <f t="shared" si="541"/>
        <v>1900</v>
      </c>
    </row>
    <row r="8644" spans="1:10" s="9" customFormat="1" x14ac:dyDescent="0.25">
      <c r="A8644" s="447"/>
      <c r="B8644" s="55" t="str">
        <f t="shared" si="538"/>
        <v>ENERO</v>
      </c>
      <c r="C8644" s="55">
        <f t="shared" si="539"/>
        <v>1</v>
      </c>
      <c r="D8644" s="3" t="str">
        <f t="shared" si="540"/>
        <v>SÁBADO</v>
      </c>
      <c r="E8644" s="427"/>
      <c r="F8644" s="31">
        <f>IFERROR(VLOOKUP(E8644,BD!$L$2:$Q$244,2,0),0)</f>
        <v>0</v>
      </c>
      <c r="G8644" s="424"/>
      <c r="H8644" s="31">
        <f>+IFERROR(VLOOKUP(E8644,BD!$L$2:$Q$244,6,0),0)</f>
        <v>0</v>
      </c>
      <c r="I8644" s="626">
        <f>IFERROR(G8644*VLOOKUP($E8644,BD!$L$2:$Q$244,5,0),0)</f>
        <v>0</v>
      </c>
      <c r="J8644" s="3">
        <f t="shared" si="541"/>
        <v>1900</v>
      </c>
    </row>
    <row r="8645" spans="1:10" s="9" customFormat="1" x14ac:dyDescent="0.25">
      <c r="A8645" s="447"/>
      <c r="B8645" s="55" t="str">
        <f t="shared" si="538"/>
        <v>ENERO</v>
      </c>
      <c r="C8645" s="55">
        <f t="shared" si="539"/>
        <v>1</v>
      </c>
      <c r="D8645" s="3" t="str">
        <f t="shared" si="540"/>
        <v>SÁBADO</v>
      </c>
      <c r="E8645" s="427"/>
      <c r="F8645" s="31">
        <f>IFERROR(VLOOKUP(E8645,BD!$L$2:$Q$244,2,0),0)</f>
        <v>0</v>
      </c>
      <c r="G8645" s="424"/>
      <c r="H8645" s="31">
        <f>+IFERROR(VLOOKUP(E8645,BD!$L$2:$Q$244,6,0),0)</f>
        <v>0</v>
      </c>
      <c r="I8645" s="626">
        <f>IFERROR(G8645*VLOOKUP($E8645,BD!$L$2:$Q$244,5,0),0)</f>
        <v>0</v>
      </c>
      <c r="J8645" s="3">
        <f t="shared" si="541"/>
        <v>1900</v>
      </c>
    </row>
    <row r="8646" spans="1:10" s="9" customFormat="1" x14ac:dyDescent="0.25">
      <c r="A8646" s="447"/>
      <c r="B8646" s="55" t="str">
        <f t="shared" si="538"/>
        <v>ENERO</v>
      </c>
      <c r="C8646" s="55">
        <f t="shared" si="539"/>
        <v>1</v>
      </c>
      <c r="D8646" s="3" t="str">
        <f t="shared" si="540"/>
        <v>SÁBADO</v>
      </c>
      <c r="E8646" s="427"/>
      <c r="F8646" s="31">
        <f>IFERROR(VLOOKUP(E8646,BD!$L$2:$Q$244,2,0),0)</f>
        <v>0</v>
      </c>
      <c r="G8646" s="424"/>
      <c r="H8646" s="31">
        <f>+IFERROR(VLOOKUP(E8646,BD!$L$2:$Q$244,6,0),0)</f>
        <v>0</v>
      </c>
      <c r="I8646" s="626">
        <f>IFERROR(G8646*VLOOKUP($E8646,BD!$L$2:$Q$244,5,0),0)</f>
        <v>0</v>
      </c>
      <c r="J8646" s="3">
        <f t="shared" si="541"/>
        <v>1900</v>
      </c>
    </row>
    <row r="8647" spans="1:10" s="9" customFormat="1" x14ac:dyDescent="0.25">
      <c r="A8647" s="447"/>
      <c r="B8647" s="55" t="str">
        <f t="shared" si="538"/>
        <v>ENERO</v>
      </c>
      <c r="C8647" s="55">
        <f t="shared" si="539"/>
        <v>1</v>
      </c>
      <c r="D8647" s="3" t="str">
        <f t="shared" si="540"/>
        <v>SÁBADO</v>
      </c>
      <c r="E8647" s="427"/>
      <c r="F8647" s="31">
        <f>IFERROR(VLOOKUP(E8647,BD!$L$2:$Q$244,2,0),0)</f>
        <v>0</v>
      </c>
      <c r="G8647" s="424"/>
      <c r="H8647" s="31">
        <f>+IFERROR(VLOOKUP(E8647,BD!$L$2:$Q$244,6,0),0)</f>
        <v>0</v>
      </c>
      <c r="I8647" s="626">
        <f>IFERROR(G8647*VLOOKUP($E8647,BD!$L$2:$Q$244,5,0),0)</f>
        <v>0</v>
      </c>
      <c r="J8647" s="3">
        <f t="shared" si="541"/>
        <v>1900</v>
      </c>
    </row>
    <row r="8648" spans="1:10" s="9" customFormat="1" x14ac:dyDescent="0.25">
      <c r="A8648" s="447"/>
      <c r="B8648" s="55" t="str">
        <f t="shared" si="538"/>
        <v>ENERO</v>
      </c>
      <c r="C8648" s="55">
        <f t="shared" si="539"/>
        <v>1</v>
      </c>
      <c r="D8648" s="3" t="str">
        <f t="shared" si="540"/>
        <v>SÁBADO</v>
      </c>
      <c r="E8648" s="427"/>
      <c r="F8648" s="31">
        <f>IFERROR(VLOOKUP(E8648,BD!$L$2:$Q$244,2,0),0)</f>
        <v>0</v>
      </c>
      <c r="G8648" s="424"/>
      <c r="H8648" s="31">
        <f>+IFERROR(VLOOKUP(E8648,BD!$L$2:$Q$244,6,0),0)</f>
        <v>0</v>
      </c>
      <c r="I8648" s="626">
        <f>IFERROR(G8648*VLOOKUP($E8648,BD!$L$2:$Q$244,5,0),0)</f>
        <v>0</v>
      </c>
      <c r="J8648" s="3">
        <f t="shared" si="541"/>
        <v>1900</v>
      </c>
    </row>
    <row r="8649" spans="1:10" s="9" customFormat="1" x14ac:dyDescent="0.25">
      <c r="A8649" s="447"/>
      <c r="B8649" s="55" t="str">
        <f t="shared" si="538"/>
        <v>ENERO</v>
      </c>
      <c r="C8649" s="55">
        <f t="shared" si="539"/>
        <v>1</v>
      </c>
      <c r="D8649" s="3" t="str">
        <f t="shared" si="540"/>
        <v>SÁBADO</v>
      </c>
      <c r="E8649" s="427"/>
      <c r="F8649" s="31">
        <f>IFERROR(VLOOKUP(E8649,BD!$L$2:$Q$244,2,0),0)</f>
        <v>0</v>
      </c>
      <c r="G8649" s="424"/>
      <c r="H8649" s="31">
        <f>+IFERROR(VLOOKUP(E8649,BD!$L$2:$Q$244,6,0),0)</f>
        <v>0</v>
      </c>
      <c r="I8649" s="626">
        <f>IFERROR(G8649*VLOOKUP($E8649,BD!$L$2:$Q$244,5,0),0)</f>
        <v>0</v>
      </c>
      <c r="J8649" s="3">
        <f t="shared" si="541"/>
        <v>1900</v>
      </c>
    </row>
    <row r="8650" spans="1:10" s="9" customFormat="1" x14ac:dyDescent="0.25">
      <c r="A8650" s="447"/>
      <c r="B8650" s="55" t="str">
        <f t="shared" si="538"/>
        <v>ENERO</v>
      </c>
      <c r="C8650" s="55">
        <f t="shared" si="539"/>
        <v>1</v>
      </c>
      <c r="D8650" s="3" t="str">
        <f t="shared" si="540"/>
        <v>SÁBADO</v>
      </c>
      <c r="E8650" s="427"/>
      <c r="F8650" s="31">
        <f>IFERROR(VLOOKUP(E8650,BD!$L$2:$Q$244,2,0),0)</f>
        <v>0</v>
      </c>
      <c r="G8650" s="424"/>
      <c r="H8650" s="31">
        <f>+IFERROR(VLOOKUP(E8650,BD!$L$2:$Q$244,6,0),0)</f>
        <v>0</v>
      </c>
      <c r="I8650" s="626">
        <f>IFERROR(G8650*VLOOKUP($E8650,BD!$L$2:$Q$244,5,0),0)</f>
        <v>0</v>
      </c>
      <c r="J8650" s="3">
        <f t="shared" si="541"/>
        <v>1900</v>
      </c>
    </row>
    <row r="8651" spans="1:10" s="9" customFormat="1" x14ac:dyDescent="0.25">
      <c r="A8651" s="447"/>
      <c r="B8651" s="55" t="str">
        <f t="shared" si="538"/>
        <v>ENERO</v>
      </c>
      <c r="C8651" s="55">
        <f t="shared" si="539"/>
        <v>1</v>
      </c>
      <c r="D8651" s="3" t="str">
        <f t="shared" si="540"/>
        <v>SÁBADO</v>
      </c>
      <c r="E8651" s="427"/>
      <c r="F8651" s="31">
        <f>IFERROR(VLOOKUP(E8651,BD!$L$2:$Q$244,2,0),0)</f>
        <v>0</v>
      </c>
      <c r="G8651" s="424"/>
      <c r="H8651" s="31">
        <f>+IFERROR(VLOOKUP(E8651,BD!$L$2:$Q$244,6,0),0)</f>
        <v>0</v>
      </c>
      <c r="I8651" s="626">
        <f>IFERROR(G8651*VLOOKUP($E8651,BD!$L$2:$Q$244,5,0),0)</f>
        <v>0</v>
      </c>
      <c r="J8651" s="3">
        <f t="shared" si="541"/>
        <v>1900</v>
      </c>
    </row>
    <row r="8652" spans="1:10" s="9" customFormat="1" x14ac:dyDescent="0.25">
      <c r="A8652" s="447"/>
      <c r="B8652" s="55" t="str">
        <f t="shared" si="538"/>
        <v>ENERO</v>
      </c>
      <c r="C8652" s="55">
        <f t="shared" si="539"/>
        <v>1</v>
      </c>
      <c r="D8652" s="3" t="str">
        <f t="shared" si="540"/>
        <v>SÁBADO</v>
      </c>
      <c r="E8652" s="427"/>
      <c r="F8652" s="31">
        <f>IFERROR(VLOOKUP(E8652,BD!$L$2:$Q$244,2,0),0)</f>
        <v>0</v>
      </c>
      <c r="G8652" s="424"/>
      <c r="H8652" s="31">
        <f>+IFERROR(VLOOKUP(E8652,BD!$L$2:$Q$244,6,0),0)</f>
        <v>0</v>
      </c>
      <c r="I8652" s="626">
        <f>IFERROR(G8652*VLOOKUP($E8652,BD!$L$2:$Q$244,5,0),0)</f>
        <v>0</v>
      </c>
      <c r="J8652" s="3">
        <f t="shared" si="541"/>
        <v>1900</v>
      </c>
    </row>
    <row r="8653" spans="1:10" s="9" customFormat="1" x14ac:dyDescent="0.25">
      <c r="A8653" s="447"/>
      <c r="B8653" s="55" t="str">
        <f t="shared" si="538"/>
        <v>ENERO</v>
      </c>
      <c r="C8653" s="55">
        <f t="shared" si="539"/>
        <v>1</v>
      </c>
      <c r="D8653" s="3" t="str">
        <f t="shared" si="540"/>
        <v>SÁBADO</v>
      </c>
      <c r="E8653" s="427"/>
      <c r="F8653" s="31">
        <f>IFERROR(VLOOKUP(E8653,BD!$L$2:$Q$244,2,0),0)</f>
        <v>0</v>
      </c>
      <c r="G8653" s="424"/>
      <c r="H8653" s="31">
        <f>+IFERROR(VLOOKUP(E8653,BD!$L$2:$Q$244,6,0),0)</f>
        <v>0</v>
      </c>
      <c r="I8653" s="626">
        <f>IFERROR(G8653*VLOOKUP($E8653,BD!$L$2:$Q$244,5,0),0)</f>
        <v>0</v>
      </c>
      <c r="J8653" s="3">
        <f t="shared" si="541"/>
        <v>1900</v>
      </c>
    </row>
    <row r="8654" spans="1:10" s="9" customFormat="1" x14ac:dyDescent="0.25">
      <c r="A8654" s="447"/>
      <c r="B8654" s="55" t="str">
        <f t="shared" si="538"/>
        <v>ENERO</v>
      </c>
      <c r="C8654" s="55">
        <f t="shared" si="539"/>
        <v>1</v>
      </c>
      <c r="D8654" s="3" t="str">
        <f t="shared" si="540"/>
        <v>SÁBADO</v>
      </c>
      <c r="E8654" s="427"/>
      <c r="F8654" s="31">
        <f>IFERROR(VLOOKUP(E8654,BD!$L$2:$Q$244,2,0),0)</f>
        <v>0</v>
      </c>
      <c r="G8654" s="424"/>
      <c r="H8654" s="31">
        <f>+IFERROR(VLOOKUP(E8654,BD!$L$2:$Q$244,6,0),0)</f>
        <v>0</v>
      </c>
      <c r="I8654" s="626">
        <f>IFERROR(G8654*VLOOKUP($E8654,BD!$L$2:$Q$244,5,0),0)</f>
        <v>0</v>
      </c>
      <c r="J8654" s="3">
        <f t="shared" si="541"/>
        <v>1900</v>
      </c>
    </row>
    <row r="8655" spans="1:10" s="9" customFormat="1" x14ac:dyDescent="0.25">
      <c r="A8655" s="447"/>
      <c r="B8655" s="55" t="str">
        <f t="shared" si="538"/>
        <v>ENERO</v>
      </c>
      <c r="C8655" s="55">
        <f t="shared" si="539"/>
        <v>1</v>
      </c>
      <c r="D8655" s="3" t="str">
        <f t="shared" si="540"/>
        <v>SÁBADO</v>
      </c>
      <c r="E8655" s="427"/>
      <c r="F8655" s="31">
        <f>IFERROR(VLOOKUP(E8655,BD!$L$2:$Q$244,2,0),0)</f>
        <v>0</v>
      </c>
      <c r="G8655" s="424"/>
      <c r="H8655" s="31">
        <f>+IFERROR(VLOOKUP(E8655,BD!$L$2:$Q$244,6,0),0)</f>
        <v>0</v>
      </c>
      <c r="I8655" s="626">
        <f>IFERROR(G8655*VLOOKUP($E8655,BD!$L$2:$Q$244,5,0),0)</f>
        <v>0</v>
      </c>
      <c r="J8655" s="3">
        <f t="shared" si="541"/>
        <v>1900</v>
      </c>
    </row>
    <row r="8656" spans="1:10" s="9" customFormat="1" x14ac:dyDescent="0.25">
      <c r="A8656" s="447"/>
      <c r="B8656" s="55" t="str">
        <f t="shared" si="538"/>
        <v>ENERO</v>
      </c>
      <c r="C8656" s="55">
        <f t="shared" si="539"/>
        <v>1</v>
      </c>
      <c r="D8656" s="3" t="str">
        <f t="shared" si="540"/>
        <v>SÁBADO</v>
      </c>
      <c r="E8656" s="427"/>
      <c r="F8656" s="31">
        <f>IFERROR(VLOOKUP(E8656,BD!$L$2:$Q$244,2,0),0)</f>
        <v>0</v>
      </c>
      <c r="G8656" s="424"/>
      <c r="H8656" s="31">
        <f>+IFERROR(VLOOKUP(E8656,BD!$L$2:$Q$244,6,0),0)</f>
        <v>0</v>
      </c>
      <c r="I8656" s="626">
        <f>IFERROR(G8656*VLOOKUP($E8656,BD!$L$2:$Q$244,5,0),0)</f>
        <v>0</v>
      </c>
      <c r="J8656" s="3">
        <f t="shared" si="541"/>
        <v>1900</v>
      </c>
    </row>
    <row r="8657" spans="1:10" s="9" customFormat="1" x14ac:dyDescent="0.25">
      <c r="A8657" s="447"/>
      <c r="B8657" s="55" t="str">
        <f t="shared" si="538"/>
        <v>ENERO</v>
      </c>
      <c r="C8657" s="55">
        <f t="shared" si="539"/>
        <v>1</v>
      </c>
      <c r="D8657" s="3" t="str">
        <f t="shared" si="540"/>
        <v>SÁBADO</v>
      </c>
      <c r="E8657" s="427"/>
      <c r="F8657" s="31">
        <f>IFERROR(VLOOKUP(E8657,BD!$L$2:$Q$244,2,0),0)</f>
        <v>0</v>
      </c>
      <c r="G8657" s="424"/>
      <c r="H8657" s="31">
        <f>+IFERROR(VLOOKUP(E8657,BD!$L$2:$Q$244,6,0),0)</f>
        <v>0</v>
      </c>
      <c r="I8657" s="626">
        <f>IFERROR(G8657*VLOOKUP($E8657,BD!$L$2:$Q$244,5,0),0)</f>
        <v>0</v>
      </c>
      <c r="J8657" s="3">
        <f t="shared" si="541"/>
        <v>1900</v>
      </c>
    </row>
    <row r="8658" spans="1:10" s="9" customFormat="1" x14ac:dyDescent="0.25">
      <c r="A8658" s="447"/>
      <c r="B8658" s="55" t="str">
        <f t="shared" si="538"/>
        <v>ENERO</v>
      </c>
      <c r="C8658" s="55">
        <f t="shared" si="539"/>
        <v>1</v>
      </c>
      <c r="D8658" s="3" t="str">
        <f t="shared" si="540"/>
        <v>SÁBADO</v>
      </c>
      <c r="E8658" s="427"/>
      <c r="F8658" s="31">
        <f>IFERROR(VLOOKUP(E8658,BD!$L$2:$Q$244,2,0),0)</f>
        <v>0</v>
      </c>
      <c r="G8658" s="424"/>
      <c r="H8658" s="31">
        <f>+IFERROR(VLOOKUP(E8658,BD!$L$2:$Q$244,6,0),0)</f>
        <v>0</v>
      </c>
      <c r="I8658" s="626">
        <f>IFERROR(G8658*VLOOKUP($E8658,BD!$L$2:$Q$244,5,0),0)</f>
        <v>0</v>
      </c>
      <c r="J8658" s="3">
        <f t="shared" si="541"/>
        <v>1900</v>
      </c>
    </row>
    <row r="8659" spans="1:10" s="9" customFormat="1" x14ac:dyDescent="0.25">
      <c r="A8659" s="447"/>
      <c r="B8659" s="55" t="str">
        <f t="shared" si="538"/>
        <v>ENERO</v>
      </c>
      <c r="C8659" s="55">
        <f t="shared" si="539"/>
        <v>1</v>
      </c>
      <c r="D8659" s="3" t="str">
        <f t="shared" si="540"/>
        <v>SÁBADO</v>
      </c>
      <c r="E8659" s="427"/>
      <c r="F8659" s="31">
        <f>IFERROR(VLOOKUP(E8659,BD!$L$2:$Q$244,2,0),0)</f>
        <v>0</v>
      </c>
      <c r="G8659" s="424"/>
      <c r="H8659" s="31">
        <f>+IFERROR(VLOOKUP(E8659,BD!$L$2:$Q$244,6,0),0)</f>
        <v>0</v>
      </c>
      <c r="I8659" s="626">
        <f>IFERROR(G8659*VLOOKUP($E8659,BD!$L$2:$Q$244,5,0),0)</f>
        <v>0</v>
      </c>
      <c r="J8659" s="3">
        <f t="shared" si="541"/>
        <v>1900</v>
      </c>
    </row>
    <row r="8660" spans="1:10" s="9" customFormat="1" x14ac:dyDescent="0.25">
      <c r="A8660" s="447"/>
      <c r="B8660" s="55" t="str">
        <f t="shared" si="538"/>
        <v>ENERO</v>
      </c>
      <c r="C8660" s="55">
        <f t="shared" si="539"/>
        <v>1</v>
      </c>
      <c r="D8660" s="3" t="str">
        <f t="shared" si="540"/>
        <v>SÁBADO</v>
      </c>
      <c r="E8660" s="427"/>
      <c r="F8660" s="31">
        <f>IFERROR(VLOOKUP(E8660,BD!$L$2:$Q$244,2,0),0)</f>
        <v>0</v>
      </c>
      <c r="G8660" s="424"/>
      <c r="H8660" s="31">
        <f>+IFERROR(VLOOKUP(E8660,BD!$L$2:$Q$244,6,0),0)</f>
        <v>0</v>
      </c>
      <c r="I8660" s="626">
        <f>IFERROR(G8660*VLOOKUP($E8660,BD!$L$2:$Q$244,5,0),0)</f>
        <v>0</v>
      </c>
      <c r="J8660" s="3">
        <f t="shared" si="541"/>
        <v>1900</v>
      </c>
    </row>
    <row r="8661" spans="1:10" s="9" customFormat="1" x14ac:dyDescent="0.25">
      <c r="A8661" s="447"/>
      <c r="B8661" s="55" t="str">
        <f t="shared" si="538"/>
        <v>ENERO</v>
      </c>
      <c r="C8661" s="55">
        <f t="shared" si="539"/>
        <v>1</v>
      </c>
      <c r="D8661" s="3" t="str">
        <f t="shared" si="540"/>
        <v>SÁBADO</v>
      </c>
      <c r="E8661" s="427"/>
      <c r="F8661" s="31">
        <f>IFERROR(VLOOKUP(E8661,BD!$L$2:$Q$244,2,0),0)</f>
        <v>0</v>
      </c>
      <c r="G8661" s="424"/>
      <c r="H8661" s="31">
        <f>+IFERROR(VLOOKUP(E8661,BD!$L$2:$Q$244,6,0),0)</f>
        <v>0</v>
      </c>
      <c r="I8661" s="626">
        <f>IFERROR(G8661*VLOOKUP($E8661,BD!$L$2:$Q$244,5,0),0)</f>
        <v>0</v>
      </c>
      <c r="J8661" s="3">
        <f t="shared" si="541"/>
        <v>1900</v>
      </c>
    </row>
    <row r="8662" spans="1:10" s="9" customFormat="1" x14ac:dyDescent="0.25">
      <c r="A8662" s="447"/>
      <c r="B8662" s="55" t="str">
        <f t="shared" si="538"/>
        <v>ENERO</v>
      </c>
      <c r="C8662" s="55">
        <f t="shared" si="539"/>
        <v>1</v>
      </c>
      <c r="D8662" s="3" t="str">
        <f t="shared" si="540"/>
        <v>SÁBADO</v>
      </c>
      <c r="E8662" s="427"/>
      <c r="F8662" s="31">
        <f>IFERROR(VLOOKUP(E8662,BD!$L$2:$Q$244,2,0),0)</f>
        <v>0</v>
      </c>
      <c r="G8662" s="424"/>
      <c r="H8662" s="31">
        <f>+IFERROR(VLOOKUP(E8662,BD!$L$2:$Q$244,6,0),0)</f>
        <v>0</v>
      </c>
      <c r="I8662" s="626">
        <f>IFERROR(G8662*VLOOKUP($E8662,BD!$L$2:$Q$244,5,0),0)</f>
        <v>0</v>
      </c>
      <c r="J8662" s="3">
        <f t="shared" si="541"/>
        <v>1900</v>
      </c>
    </row>
    <row r="8663" spans="1:10" s="9" customFormat="1" x14ac:dyDescent="0.25">
      <c r="A8663" s="447"/>
      <c r="B8663" s="55" t="str">
        <f t="shared" si="538"/>
        <v>ENERO</v>
      </c>
      <c r="C8663" s="55">
        <f t="shared" si="539"/>
        <v>1</v>
      </c>
      <c r="D8663" s="3" t="str">
        <f t="shared" si="540"/>
        <v>SÁBADO</v>
      </c>
      <c r="E8663" s="427"/>
      <c r="F8663" s="31">
        <f>IFERROR(VLOOKUP(E8663,BD!$L$2:$Q$244,2,0),0)</f>
        <v>0</v>
      </c>
      <c r="G8663" s="424"/>
      <c r="H8663" s="31">
        <f>+IFERROR(VLOOKUP(E8663,BD!$L$2:$Q$244,6,0),0)</f>
        <v>0</v>
      </c>
      <c r="I8663" s="626">
        <f>IFERROR(G8663*VLOOKUP($E8663,BD!$L$2:$Q$244,5,0),0)</f>
        <v>0</v>
      </c>
      <c r="J8663" s="3">
        <f t="shared" si="541"/>
        <v>1900</v>
      </c>
    </row>
    <row r="8664" spans="1:10" s="9" customFormat="1" x14ac:dyDescent="0.25">
      <c r="A8664" s="447"/>
      <c r="B8664" s="55" t="str">
        <f t="shared" si="538"/>
        <v>ENERO</v>
      </c>
      <c r="C8664" s="55">
        <f t="shared" si="539"/>
        <v>1</v>
      </c>
      <c r="D8664" s="3" t="str">
        <f t="shared" si="540"/>
        <v>SÁBADO</v>
      </c>
      <c r="E8664" s="427"/>
      <c r="F8664" s="31">
        <f>IFERROR(VLOOKUP(E8664,BD!$L$2:$Q$244,2,0),0)</f>
        <v>0</v>
      </c>
      <c r="G8664" s="424"/>
      <c r="H8664" s="31">
        <f>+IFERROR(VLOOKUP(E8664,BD!$L$2:$Q$244,6,0),0)</f>
        <v>0</v>
      </c>
      <c r="I8664" s="626">
        <f>IFERROR(G8664*VLOOKUP($E8664,BD!$L$2:$Q$244,5,0),0)</f>
        <v>0</v>
      </c>
      <c r="J8664" s="3">
        <f t="shared" si="541"/>
        <v>1900</v>
      </c>
    </row>
    <row r="8665" spans="1:10" s="9" customFormat="1" x14ac:dyDescent="0.25">
      <c r="A8665" s="447"/>
      <c r="B8665" s="55" t="str">
        <f t="shared" si="538"/>
        <v>ENERO</v>
      </c>
      <c r="C8665" s="55">
        <f t="shared" si="539"/>
        <v>1</v>
      </c>
      <c r="D8665" s="3" t="str">
        <f t="shared" si="540"/>
        <v>SÁBADO</v>
      </c>
      <c r="E8665" s="427"/>
      <c r="F8665" s="31">
        <f>IFERROR(VLOOKUP(E8665,BD!$L$2:$Q$244,2,0),0)</f>
        <v>0</v>
      </c>
      <c r="G8665" s="424"/>
      <c r="H8665" s="31">
        <f>+IFERROR(VLOOKUP(E8665,BD!$L$2:$Q$244,6,0),0)</f>
        <v>0</v>
      </c>
      <c r="I8665" s="626">
        <f>IFERROR(G8665*VLOOKUP($E8665,BD!$L$2:$Q$244,5,0),0)</f>
        <v>0</v>
      </c>
      <c r="J8665" s="3">
        <f t="shared" si="541"/>
        <v>1900</v>
      </c>
    </row>
    <row r="8666" spans="1:10" s="9" customFormat="1" x14ac:dyDescent="0.25">
      <c r="A8666" s="447"/>
      <c r="B8666" s="55" t="str">
        <f t="shared" si="538"/>
        <v>ENERO</v>
      </c>
      <c r="C8666" s="55">
        <f t="shared" si="539"/>
        <v>1</v>
      </c>
      <c r="D8666" s="3" t="str">
        <f t="shared" si="540"/>
        <v>SÁBADO</v>
      </c>
      <c r="E8666" s="427"/>
      <c r="F8666" s="31">
        <f>IFERROR(VLOOKUP(E8666,BD!$L$2:$Q$244,2,0),0)</f>
        <v>0</v>
      </c>
      <c r="G8666" s="424"/>
      <c r="H8666" s="31">
        <f>+IFERROR(VLOOKUP(E8666,BD!$L$2:$Q$244,6,0),0)</f>
        <v>0</v>
      </c>
      <c r="I8666" s="626">
        <f>IFERROR(G8666*VLOOKUP($E8666,BD!$L$2:$Q$244,5,0),0)</f>
        <v>0</v>
      </c>
      <c r="J8666" s="3">
        <f t="shared" si="541"/>
        <v>1900</v>
      </c>
    </row>
    <row r="8667" spans="1:10" s="9" customFormat="1" x14ac:dyDescent="0.25">
      <c r="A8667" s="447"/>
      <c r="B8667" s="55" t="str">
        <f t="shared" si="538"/>
        <v>ENERO</v>
      </c>
      <c r="C8667" s="55">
        <f t="shared" si="539"/>
        <v>1</v>
      </c>
      <c r="D8667" s="3" t="str">
        <f t="shared" si="540"/>
        <v>SÁBADO</v>
      </c>
      <c r="E8667" s="427"/>
      <c r="F8667" s="31">
        <f>IFERROR(VLOOKUP(E8667,BD!$L$2:$Q$244,2,0),0)</f>
        <v>0</v>
      </c>
      <c r="G8667" s="424"/>
      <c r="H8667" s="31">
        <f>+IFERROR(VLOOKUP(E8667,BD!$L$2:$Q$244,6,0),0)</f>
        <v>0</v>
      </c>
      <c r="I8667" s="626">
        <f>IFERROR(G8667*VLOOKUP($E8667,BD!$L$2:$Q$244,5,0),0)</f>
        <v>0</v>
      </c>
      <c r="J8667" s="3">
        <f t="shared" si="541"/>
        <v>1900</v>
      </c>
    </row>
    <row r="8668" spans="1:10" s="9" customFormat="1" x14ac:dyDescent="0.25">
      <c r="A8668" s="447"/>
      <c r="B8668" s="55" t="str">
        <f t="shared" si="538"/>
        <v>ENERO</v>
      </c>
      <c r="C8668" s="55">
        <f t="shared" si="539"/>
        <v>1</v>
      </c>
      <c r="D8668" s="3" t="str">
        <f t="shared" si="540"/>
        <v>SÁBADO</v>
      </c>
      <c r="E8668" s="427"/>
      <c r="F8668" s="31">
        <f>IFERROR(VLOOKUP(E8668,BD!$L$2:$Q$244,2,0),0)</f>
        <v>0</v>
      </c>
      <c r="G8668" s="424"/>
      <c r="H8668" s="31">
        <f>+IFERROR(VLOOKUP(E8668,BD!$L$2:$Q$244,6,0),0)</f>
        <v>0</v>
      </c>
      <c r="I8668" s="626">
        <f>IFERROR(G8668*VLOOKUP($E8668,BD!$L$2:$Q$244,5,0),0)</f>
        <v>0</v>
      </c>
      <c r="J8668" s="3">
        <f t="shared" si="541"/>
        <v>1900</v>
      </c>
    </row>
    <row r="8669" spans="1:10" s="9" customFormat="1" x14ac:dyDescent="0.25">
      <c r="A8669" s="447"/>
      <c r="B8669" s="55" t="str">
        <f t="shared" si="538"/>
        <v>ENERO</v>
      </c>
      <c r="C8669" s="55">
        <f t="shared" si="539"/>
        <v>1</v>
      </c>
      <c r="D8669" s="3" t="str">
        <f t="shared" si="540"/>
        <v>SÁBADO</v>
      </c>
      <c r="E8669" s="427"/>
      <c r="F8669" s="31">
        <f>IFERROR(VLOOKUP(E8669,BD!$L$2:$Q$244,2,0),0)</f>
        <v>0</v>
      </c>
      <c r="G8669" s="424"/>
      <c r="H8669" s="31">
        <f>+IFERROR(VLOOKUP(E8669,BD!$L$2:$Q$244,6,0),0)</f>
        <v>0</v>
      </c>
      <c r="I8669" s="626">
        <f>IFERROR(G8669*VLOOKUP($E8669,BD!$L$2:$Q$244,5,0),0)</f>
        <v>0</v>
      </c>
      <c r="J8669" s="3">
        <f t="shared" si="541"/>
        <v>1900</v>
      </c>
    </row>
    <row r="8670" spans="1:10" s="9" customFormat="1" x14ac:dyDescent="0.25">
      <c r="A8670" s="447"/>
      <c r="B8670" s="55" t="str">
        <f t="shared" si="538"/>
        <v>ENERO</v>
      </c>
      <c r="C8670" s="55">
        <f t="shared" si="539"/>
        <v>1</v>
      </c>
      <c r="D8670" s="3" t="str">
        <f t="shared" si="540"/>
        <v>SÁBADO</v>
      </c>
      <c r="E8670" s="427"/>
      <c r="F8670" s="31">
        <f>IFERROR(VLOOKUP(E8670,BD!$L$2:$Q$244,2,0),0)</f>
        <v>0</v>
      </c>
      <c r="G8670" s="424"/>
      <c r="H8670" s="31">
        <f>+IFERROR(VLOOKUP(E8670,BD!$L$2:$Q$244,6,0),0)</f>
        <v>0</v>
      </c>
      <c r="I8670" s="626">
        <f>IFERROR(G8670*VLOOKUP($E8670,BD!$L$2:$Q$244,5,0),0)</f>
        <v>0</v>
      </c>
      <c r="J8670" s="3">
        <f t="shared" si="541"/>
        <v>1900</v>
      </c>
    </row>
    <row r="8671" spans="1:10" s="9" customFormat="1" x14ac:dyDescent="0.25">
      <c r="A8671" s="447"/>
      <c r="B8671" s="55" t="str">
        <f t="shared" si="538"/>
        <v>ENERO</v>
      </c>
      <c r="C8671" s="55">
        <f t="shared" si="539"/>
        <v>1</v>
      </c>
      <c r="D8671" s="3" t="str">
        <f t="shared" si="540"/>
        <v>SÁBADO</v>
      </c>
      <c r="E8671" s="427"/>
      <c r="F8671" s="31">
        <f>IFERROR(VLOOKUP(E8671,BD!$L$2:$Q$244,2,0),0)</f>
        <v>0</v>
      </c>
      <c r="G8671" s="424"/>
      <c r="H8671" s="31">
        <f>+IFERROR(VLOOKUP(E8671,BD!$L$2:$Q$244,6,0),0)</f>
        <v>0</v>
      </c>
      <c r="I8671" s="626">
        <f>IFERROR(G8671*VLOOKUP($E8671,BD!$L$2:$Q$244,5,0),0)</f>
        <v>0</v>
      </c>
      <c r="J8671" s="3">
        <f t="shared" si="541"/>
        <v>1900</v>
      </c>
    </row>
    <row r="8672" spans="1:10" s="9" customFormat="1" x14ac:dyDescent="0.25">
      <c r="A8672" s="447"/>
      <c r="B8672" s="55" t="str">
        <f t="shared" si="538"/>
        <v>ENERO</v>
      </c>
      <c r="C8672" s="55">
        <f t="shared" si="539"/>
        <v>1</v>
      </c>
      <c r="D8672" s="3" t="str">
        <f t="shared" si="540"/>
        <v>SÁBADO</v>
      </c>
      <c r="E8672" s="427"/>
      <c r="F8672" s="31">
        <f>IFERROR(VLOOKUP(E8672,BD!$L$2:$Q$244,2,0),0)</f>
        <v>0</v>
      </c>
      <c r="G8672" s="424"/>
      <c r="H8672" s="31">
        <f>+IFERROR(VLOOKUP(E8672,BD!$L$2:$Q$244,6,0),0)</f>
        <v>0</v>
      </c>
      <c r="I8672" s="626">
        <f>IFERROR(G8672*VLOOKUP($E8672,BD!$L$2:$Q$244,5,0),0)</f>
        <v>0</v>
      </c>
      <c r="J8672" s="3">
        <f t="shared" si="541"/>
        <v>1900</v>
      </c>
    </row>
    <row r="8673" spans="1:10" s="9" customFormat="1" x14ac:dyDescent="0.25">
      <c r="A8673" s="447"/>
      <c r="B8673" s="55" t="str">
        <f t="shared" si="538"/>
        <v>ENERO</v>
      </c>
      <c r="C8673" s="55">
        <f t="shared" si="539"/>
        <v>1</v>
      </c>
      <c r="D8673" s="3" t="str">
        <f t="shared" si="540"/>
        <v>SÁBADO</v>
      </c>
      <c r="E8673" s="427"/>
      <c r="F8673" s="31">
        <f>IFERROR(VLOOKUP(E8673,BD!$L$2:$Q$244,2,0),0)</f>
        <v>0</v>
      </c>
      <c r="G8673" s="424"/>
      <c r="H8673" s="31">
        <f>+IFERROR(VLOOKUP(E8673,BD!$L$2:$Q$244,6,0),0)</f>
        <v>0</v>
      </c>
      <c r="I8673" s="626">
        <f>IFERROR(G8673*VLOOKUP($E8673,BD!$L$2:$Q$244,5,0),0)</f>
        <v>0</v>
      </c>
      <c r="J8673" s="3">
        <f t="shared" si="541"/>
        <v>1900</v>
      </c>
    </row>
    <row r="8674" spans="1:10" s="9" customFormat="1" x14ac:dyDescent="0.25">
      <c r="A8674" s="447"/>
      <c r="B8674" s="55" t="str">
        <f t="shared" si="538"/>
        <v>ENERO</v>
      </c>
      <c r="C8674" s="55">
        <f t="shared" si="539"/>
        <v>1</v>
      </c>
      <c r="D8674" s="3" t="str">
        <f t="shared" si="540"/>
        <v>SÁBADO</v>
      </c>
      <c r="E8674" s="427"/>
      <c r="F8674" s="31">
        <f>IFERROR(VLOOKUP(E8674,BD!$L$2:$Q$244,2,0),0)</f>
        <v>0</v>
      </c>
      <c r="G8674" s="424"/>
      <c r="H8674" s="31">
        <f>+IFERROR(VLOOKUP(E8674,BD!$L$2:$Q$244,6,0),0)</f>
        <v>0</v>
      </c>
      <c r="I8674" s="626">
        <f>IFERROR(G8674*VLOOKUP($E8674,BD!$L$2:$Q$244,5,0),0)</f>
        <v>0</v>
      </c>
      <c r="J8674" s="3">
        <f t="shared" si="541"/>
        <v>1900</v>
      </c>
    </row>
    <row r="8675" spans="1:10" s="9" customFormat="1" x14ac:dyDescent="0.25">
      <c r="A8675" s="447"/>
      <c r="B8675" s="55" t="str">
        <f t="shared" si="538"/>
        <v>ENERO</v>
      </c>
      <c r="C8675" s="55">
        <f t="shared" si="539"/>
        <v>1</v>
      </c>
      <c r="D8675" s="3" t="str">
        <f t="shared" si="540"/>
        <v>SÁBADO</v>
      </c>
      <c r="E8675" s="427"/>
      <c r="F8675" s="31">
        <f>IFERROR(VLOOKUP(E8675,BD!$L$2:$Q$244,2,0),0)</f>
        <v>0</v>
      </c>
      <c r="G8675" s="424"/>
      <c r="H8675" s="31">
        <f>+IFERROR(VLOOKUP(E8675,BD!$L$2:$Q$244,6,0),0)</f>
        <v>0</v>
      </c>
      <c r="I8675" s="626">
        <f>IFERROR(G8675*VLOOKUP($E8675,BD!$L$2:$Q$244,5,0),0)</f>
        <v>0</v>
      </c>
      <c r="J8675" s="3">
        <f t="shared" si="541"/>
        <v>1900</v>
      </c>
    </row>
    <row r="8676" spans="1:10" s="9" customFormat="1" x14ac:dyDescent="0.25">
      <c r="A8676" s="447"/>
      <c r="B8676" s="55" t="str">
        <f t="shared" si="538"/>
        <v>ENERO</v>
      </c>
      <c r="C8676" s="55">
        <f t="shared" si="539"/>
        <v>1</v>
      </c>
      <c r="D8676" s="3" t="str">
        <f t="shared" si="540"/>
        <v>SÁBADO</v>
      </c>
      <c r="E8676" s="427"/>
      <c r="F8676" s="31">
        <f>IFERROR(VLOOKUP(E8676,BD!$L$2:$Q$244,2,0),0)</f>
        <v>0</v>
      </c>
      <c r="G8676" s="424"/>
      <c r="H8676" s="31">
        <f>+IFERROR(VLOOKUP(E8676,BD!$L$2:$Q$244,6,0),0)</f>
        <v>0</v>
      </c>
      <c r="I8676" s="626">
        <f>IFERROR(G8676*VLOOKUP($E8676,BD!$L$2:$Q$244,5,0),0)</f>
        <v>0</v>
      </c>
      <c r="J8676" s="3">
        <f t="shared" si="541"/>
        <v>1900</v>
      </c>
    </row>
    <row r="8677" spans="1:10" s="9" customFormat="1" x14ac:dyDescent="0.25">
      <c r="A8677" s="447"/>
      <c r="B8677" s="55" t="str">
        <f t="shared" si="538"/>
        <v>ENERO</v>
      </c>
      <c r="C8677" s="55">
        <f t="shared" si="539"/>
        <v>1</v>
      </c>
      <c r="D8677" s="3" t="str">
        <f t="shared" si="540"/>
        <v>SÁBADO</v>
      </c>
      <c r="E8677" s="427"/>
      <c r="F8677" s="31">
        <f>IFERROR(VLOOKUP(E8677,BD!$L$2:$Q$244,2,0),0)</f>
        <v>0</v>
      </c>
      <c r="G8677" s="424"/>
      <c r="H8677" s="31">
        <f>+IFERROR(VLOOKUP(E8677,BD!$L$2:$Q$244,6,0),0)</f>
        <v>0</v>
      </c>
      <c r="I8677" s="626">
        <f>IFERROR(G8677*VLOOKUP($E8677,BD!$L$2:$Q$244,5,0),0)</f>
        <v>0</v>
      </c>
      <c r="J8677" s="3">
        <f t="shared" si="541"/>
        <v>1900</v>
      </c>
    </row>
    <row r="8678" spans="1:10" s="9" customFormat="1" x14ac:dyDescent="0.25">
      <c r="A8678" s="447"/>
      <c r="B8678" s="55" t="str">
        <f t="shared" si="538"/>
        <v>ENERO</v>
      </c>
      <c r="C8678" s="55">
        <f t="shared" si="539"/>
        <v>1</v>
      </c>
      <c r="D8678" s="3" t="str">
        <f t="shared" si="540"/>
        <v>SÁBADO</v>
      </c>
      <c r="E8678" s="427"/>
      <c r="F8678" s="31">
        <f>IFERROR(VLOOKUP(E8678,BD!$L$2:$Q$244,2,0),0)</f>
        <v>0</v>
      </c>
      <c r="G8678" s="424"/>
      <c r="H8678" s="31">
        <f>+IFERROR(VLOOKUP(E8678,BD!$L$2:$Q$244,6,0),0)</f>
        <v>0</v>
      </c>
      <c r="I8678" s="626">
        <f>IFERROR(G8678*VLOOKUP($E8678,BD!$L$2:$Q$244,5,0),0)</f>
        <v>0</v>
      </c>
      <c r="J8678" s="3">
        <f t="shared" si="541"/>
        <v>1900</v>
      </c>
    </row>
    <row r="8679" spans="1:10" s="9" customFormat="1" x14ac:dyDescent="0.25">
      <c r="A8679" s="447"/>
      <c r="B8679" s="55" t="str">
        <f t="shared" si="538"/>
        <v>ENERO</v>
      </c>
      <c r="C8679" s="55">
        <f t="shared" si="539"/>
        <v>1</v>
      </c>
      <c r="D8679" s="3" t="str">
        <f t="shared" si="540"/>
        <v>SÁBADO</v>
      </c>
      <c r="E8679" s="427"/>
      <c r="F8679" s="31">
        <f>IFERROR(VLOOKUP(E8679,BD!$L$2:$Q$244,2,0),0)</f>
        <v>0</v>
      </c>
      <c r="G8679" s="424"/>
      <c r="H8679" s="31">
        <f>+IFERROR(VLOOKUP(E8679,BD!$L$2:$Q$244,6,0),0)</f>
        <v>0</v>
      </c>
      <c r="I8679" s="626">
        <f>IFERROR(G8679*VLOOKUP($E8679,BD!$L$2:$Q$244,5,0),0)</f>
        <v>0</v>
      </c>
      <c r="J8679" s="3">
        <f t="shared" si="541"/>
        <v>1900</v>
      </c>
    </row>
    <row r="8680" spans="1:10" s="9" customFormat="1" x14ac:dyDescent="0.25">
      <c r="A8680" s="447"/>
      <c r="B8680" s="55" t="str">
        <f t="shared" si="538"/>
        <v>ENERO</v>
      </c>
      <c r="C8680" s="55">
        <f t="shared" si="539"/>
        <v>1</v>
      </c>
      <c r="D8680" s="3" t="str">
        <f t="shared" si="540"/>
        <v>SÁBADO</v>
      </c>
      <c r="E8680" s="427"/>
      <c r="F8680" s="31">
        <f>IFERROR(VLOOKUP(E8680,BD!$L$2:$Q$244,2,0),0)</f>
        <v>0</v>
      </c>
      <c r="G8680" s="424"/>
      <c r="H8680" s="31">
        <f>+IFERROR(VLOOKUP(E8680,BD!$L$2:$Q$244,6,0),0)</f>
        <v>0</v>
      </c>
      <c r="I8680" s="626">
        <f>IFERROR(G8680*VLOOKUP($E8680,BD!$L$2:$Q$244,5,0),0)</f>
        <v>0</v>
      </c>
      <c r="J8680" s="3">
        <f t="shared" si="541"/>
        <v>1900</v>
      </c>
    </row>
    <row r="8681" spans="1:10" s="9" customFormat="1" x14ac:dyDescent="0.25">
      <c r="A8681" s="447"/>
      <c r="B8681" s="55" t="str">
        <f t="shared" si="538"/>
        <v>ENERO</v>
      </c>
      <c r="C8681" s="55">
        <f t="shared" si="539"/>
        <v>1</v>
      </c>
      <c r="D8681" s="3" t="str">
        <f t="shared" si="540"/>
        <v>SÁBADO</v>
      </c>
      <c r="E8681" s="427"/>
      <c r="F8681" s="31">
        <f>IFERROR(VLOOKUP(E8681,BD!$L$2:$Q$244,2,0),0)</f>
        <v>0</v>
      </c>
      <c r="G8681" s="424"/>
      <c r="H8681" s="31">
        <f>+IFERROR(VLOOKUP(E8681,BD!$L$2:$Q$244,6,0),0)</f>
        <v>0</v>
      </c>
      <c r="I8681" s="626">
        <f>IFERROR(G8681*VLOOKUP($E8681,BD!$L$2:$Q$244,5,0),0)</f>
        <v>0</v>
      </c>
      <c r="J8681" s="3">
        <f t="shared" si="541"/>
        <v>1900</v>
      </c>
    </row>
    <row r="8682" spans="1:10" s="9" customFormat="1" x14ac:dyDescent="0.25">
      <c r="A8682" s="447"/>
      <c r="B8682" s="55" t="str">
        <f t="shared" si="538"/>
        <v>ENERO</v>
      </c>
      <c r="C8682" s="55">
        <f t="shared" si="539"/>
        <v>1</v>
      </c>
      <c r="D8682" s="3" t="str">
        <f t="shared" si="540"/>
        <v>SÁBADO</v>
      </c>
      <c r="E8682" s="427"/>
      <c r="F8682" s="31">
        <f>IFERROR(VLOOKUP(E8682,BD!$L$2:$Q$244,2,0),0)</f>
        <v>0</v>
      </c>
      <c r="G8682" s="424"/>
      <c r="H8682" s="31">
        <f>+IFERROR(VLOOKUP(E8682,BD!$L$2:$Q$244,6,0),0)</f>
        <v>0</v>
      </c>
      <c r="I8682" s="626">
        <f>IFERROR(G8682*VLOOKUP($E8682,BD!$L$2:$Q$244,5,0),0)</f>
        <v>0</v>
      </c>
      <c r="J8682" s="3">
        <f t="shared" si="541"/>
        <v>1900</v>
      </c>
    </row>
    <row r="8683" spans="1:10" s="9" customFormat="1" x14ac:dyDescent="0.25">
      <c r="A8683" s="447"/>
      <c r="B8683" s="55" t="str">
        <f t="shared" si="538"/>
        <v>ENERO</v>
      </c>
      <c r="C8683" s="55">
        <f t="shared" si="539"/>
        <v>1</v>
      </c>
      <c r="D8683" s="3" t="str">
        <f t="shared" si="540"/>
        <v>SÁBADO</v>
      </c>
      <c r="E8683" s="427"/>
      <c r="F8683" s="31">
        <f>IFERROR(VLOOKUP(E8683,BD!$L$2:$Q$244,2,0),0)</f>
        <v>0</v>
      </c>
      <c r="G8683" s="424"/>
      <c r="H8683" s="31">
        <f>+IFERROR(VLOOKUP(E8683,BD!$L$2:$Q$244,6,0),0)</f>
        <v>0</v>
      </c>
      <c r="I8683" s="626">
        <f>IFERROR(G8683*VLOOKUP($E8683,BD!$L$2:$Q$244,5,0),0)</f>
        <v>0</v>
      </c>
      <c r="J8683" s="3">
        <f t="shared" si="541"/>
        <v>1900</v>
      </c>
    </row>
    <row r="8684" spans="1:10" s="9" customFormat="1" x14ac:dyDescent="0.25">
      <c r="A8684" s="447"/>
      <c r="B8684" s="55" t="str">
        <f t="shared" si="538"/>
        <v>ENERO</v>
      </c>
      <c r="C8684" s="55">
        <f t="shared" si="539"/>
        <v>1</v>
      </c>
      <c r="D8684" s="3" t="str">
        <f t="shared" si="540"/>
        <v>SÁBADO</v>
      </c>
      <c r="E8684" s="427"/>
      <c r="F8684" s="31">
        <f>IFERROR(VLOOKUP(E8684,BD!$L$2:$Q$244,2,0),0)</f>
        <v>0</v>
      </c>
      <c r="G8684" s="424"/>
      <c r="H8684" s="31">
        <f>+IFERROR(VLOOKUP(E8684,BD!$L$2:$Q$244,6,0),0)</f>
        <v>0</v>
      </c>
      <c r="I8684" s="626">
        <f>IFERROR(G8684*VLOOKUP($E8684,BD!$L$2:$Q$244,5,0),0)</f>
        <v>0</v>
      </c>
      <c r="J8684" s="3">
        <f t="shared" si="541"/>
        <v>1900</v>
      </c>
    </row>
    <row r="8685" spans="1:10" s="9" customFormat="1" x14ac:dyDescent="0.25">
      <c r="A8685" s="447"/>
      <c r="B8685" s="55" t="str">
        <f t="shared" si="538"/>
        <v>ENERO</v>
      </c>
      <c r="C8685" s="55">
        <f t="shared" si="539"/>
        <v>1</v>
      </c>
      <c r="D8685" s="3" t="str">
        <f t="shared" si="540"/>
        <v>SÁBADO</v>
      </c>
      <c r="E8685" s="427"/>
      <c r="F8685" s="31">
        <f>IFERROR(VLOOKUP(E8685,BD!$L$2:$Q$244,2,0),0)</f>
        <v>0</v>
      </c>
      <c r="G8685" s="424"/>
      <c r="H8685" s="31">
        <f>+IFERROR(VLOOKUP(E8685,BD!$L$2:$Q$244,6,0),0)</f>
        <v>0</v>
      </c>
      <c r="I8685" s="626">
        <f>IFERROR(G8685*VLOOKUP($E8685,BD!$L$2:$Q$244,5,0),0)</f>
        <v>0</v>
      </c>
      <c r="J8685" s="3">
        <f t="shared" si="541"/>
        <v>1900</v>
      </c>
    </row>
    <row r="8686" spans="1:10" s="9" customFormat="1" x14ac:dyDescent="0.25">
      <c r="A8686" s="447"/>
      <c r="B8686" s="55" t="str">
        <f t="shared" si="538"/>
        <v>ENERO</v>
      </c>
      <c r="C8686" s="55">
        <f t="shared" si="539"/>
        <v>1</v>
      </c>
      <c r="D8686" s="3" t="str">
        <f t="shared" si="540"/>
        <v>SÁBADO</v>
      </c>
      <c r="E8686" s="427"/>
      <c r="F8686" s="31">
        <f>IFERROR(VLOOKUP(E8686,BD!$L$2:$Q$244,2,0),0)</f>
        <v>0</v>
      </c>
      <c r="G8686" s="424"/>
      <c r="H8686" s="31">
        <f>+IFERROR(VLOOKUP(E8686,BD!$L$2:$Q$244,6,0),0)</f>
        <v>0</v>
      </c>
      <c r="I8686" s="626">
        <f>IFERROR(G8686*VLOOKUP($E8686,BD!$L$2:$Q$244,5,0),0)</f>
        <v>0</v>
      </c>
      <c r="J8686" s="3">
        <f t="shared" si="541"/>
        <v>1900</v>
      </c>
    </row>
    <row r="8687" spans="1:10" s="9" customFormat="1" x14ac:dyDescent="0.25">
      <c r="A8687" s="447"/>
      <c r="B8687" s="55" t="str">
        <f t="shared" si="538"/>
        <v>ENERO</v>
      </c>
      <c r="C8687" s="55">
        <f t="shared" si="539"/>
        <v>1</v>
      </c>
      <c r="D8687" s="3" t="str">
        <f t="shared" si="540"/>
        <v>SÁBADO</v>
      </c>
      <c r="E8687" s="427"/>
      <c r="F8687" s="31">
        <f>IFERROR(VLOOKUP(E8687,BD!$L$2:$Q$244,2,0),0)</f>
        <v>0</v>
      </c>
      <c r="G8687" s="424"/>
      <c r="H8687" s="31">
        <f>+IFERROR(VLOOKUP(E8687,BD!$L$2:$Q$244,6,0),0)</f>
        <v>0</v>
      </c>
      <c r="I8687" s="626">
        <f>IFERROR(G8687*VLOOKUP($E8687,BD!$L$2:$Q$244,5,0),0)</f>
        <v>0</v>
      </c>
      <c r="J8687" s="3">
        <f t="shared" si="541"/>
        <v>1900</v>
      </c>
    </row>
    <row r="8688" spans="1:10" s="9" customFormat="1" x14ac:dyDescent="0.25">
      <c r="A8688" s="447"/>
      <c r="B8688" s="55" t="str">
        <f t="shared" si="538"/>
        <v>ENERO</v>
      </c>
      <c r="C8688" s="55">
        <f t="shared" si="539"/>
        <v>1</v>
      </c>
      <c r="D8688" s="3" t="str">
        <f t="shared" si="540"/>
        <v>SÁBADO</v>
      </c>
      <c r="E8688" s="427"/>
      <c r="F8688" s="31">
        <f>IFERROR(VLOOKUP(E8688,BD!$L$2:$Q$244,2,0),0)</f>
        <v>0</v>
      </c>
      <c r="G8688" s="424"/>
      <c r="H8688" s="31">
        <f>+IFERROR(VLOOKUP(E8688,BD!$L$2:$Q$244,6,0),0)</f>
        <v>0</v>
      </c>
      <c r="I8688" s="626">
        <f>IFERROR(G8688*VLOOKUP($E8688,BD!$L$2:$Q$244,5,0),0)</f>
        <v>0</v>
      </c>
      <c r="J8688" s="3">
        <f t="shared" si="541"/>
        <v>1900</v>
      </c>
    </row>
    <row r="8689" spans="1:10" s="9" customFormat="1" x14ac:dyDescent="0.25">
      <c r="A8689" s="447"/>
      <c r="B8689" s="55" t="str">
        <f t="shared" si="538"/>
        <v>ENERO</v>
      </c>
      <c r="C8689" s="55">
        <f t="shared" si="539"/>
        <v>1</v>
      </c>
      <c r="D8689" s="3" t="str">
        <f t="shared" si="540"/>
        <v>SÁBADO</v>
      </c>
      <c r="E8689" s="427"/>
      <c r="F8689" s="31">
        <f>IFERROR(VLOOKUP(E8689,BD!$L$2:$Q$244,2,0),0)</f>
        <v>0</v>
      </c>
      <c r="G8689" s="424"/>
      <c r="H8689" s="31">
        <f>+IFERROR(VLOOKUP(E8689,BD!$L$2:$Q$244,6,0),0)</f>
        <v>0</v>
      </c>
      <c r="I8689" s="626">
        <f>IFERROR(G8689*VLOOKUP($E8689,BD!$L$2:$Q$244,5,0),0)</f>
        <v>0</v>
      </c>
      <c r="J8689" s="3">
        <f t="shared" si="541"/>
        <v>1900</v>
      </c>
    </row>
    <row r="8690" spans="1:10" s="9" customFormat="1" x14ac:dyDescent="0.25">
      <c r="A8690" s="447"/>
      <c r="B8690" s="55" t="str">
        <f t="shared" si="538"/>
        <v>ENERO</v>
      </c>
      <c r="C8690" s="55">
        <f t="shared" si="539"/>
        <v>1</v>
      </c>
      <c r="D8690" s="3" t="str">
        <f t="shared" si="540"/>
        <v>SÁBADO</v>
      </c>
      <c r="E8690" s="427"/>
      <c r="F8690" s="31">
        <f>IFERROR(VLOOKUP(E8690,BD!$L$2:$Q$244,2,0),0)</f>
        <v>0</v>
      </c>
      <c r="G8690" s="424"/>
      <c r="H8690" s="31">
        <f>+IFERROR(VLOOKUP(E8690,BD!$L$2:$Q$244,6,0),0)</f>
        <v>0</v>
      </c>
      <c r="I8690" s="626">
        <f>IFERROR(G8690*VLOOKUP($E8690,BD!$L$2:$Q$244,5,0),0)</f>
        <v>0</v>
      </c>
      <c r="J8690" s="3">
        <f t="shared" si="541"/>
        <v>1900</v>
      </c>
    </row>
    <row r="8691" spans="1:10" s="9" customFormat="1" x14ac:dyDescent="0.25">
      <c r="A8691" s="447"/>
      <c r="B8691" s="55" t="str">
        <f t="shared" si="538"/>
        <v>ENERO</v>
      </c>
      <c r="C8691" s="55">
        <f t="shared" si="539"/>
        <v>1</v>
      </c>
      <c r="D8691" s="3" t="str">
        <f t="shared" si="540"/>
        <v>SÁBADO</v>
      </c>
      <c r="E8691" s="427"/>
      <c r="F8691" s="31">
        <f>IFERROR(VLOOKUP(E8691,BD!$L$2:$Q$244,2,0),0)</f>
        <v>0</v>
      </c>
      <c r="G8691" s="424"/>
      <c r="H8691" s="31">
        <f>+IFERROR(VLOOKUP(E8691,BD!$L$2:$Q$244,6,0),0)</f>
        <v>0</v>
      </c>
      <c r="I8691" s="626">
        <f>IFERROR(G8691*VLOOKUP($E8691,BD!$L$2:$Q$244,5,0),0)</f>
        <v>0</v>
      </c>
      <c r="J8691" s="3">
        <f t="shared" si="541"/>
        <v>1900</v>
      </c>
    </row>
    <row r="8692" spans="1:10" s="9" customFormat="1" x14ac:dyDescent="0.25">
      <c r="A8692" s="447"/>
      <c r="B8692" s="55" t="str">
        <f t="shared" si="538"/>
        <v>ENERO</v>
      </c>
      <c r="C8692" s="55">
        <f t="shared" si="539"/>
        <v>1</v>
      </c>
      <c r="D8692" s="3" t="str">
        <f t="shared" si="540"/>
        <v>SÁBADO</v>
      </c>
      <c r="E8692" s="427"/>
      <c r="F8692" s="31">
        <f>IFERROR(VLOOKUP(E8692,BD!$L$2:$Q$244,2,0),0)</f>
        <v>0</v>
      </c>
      <c r="G8692" s="424"/>
      <c r="H8692" s="31">
        <f>+IFERROR(VLOOKUP(E8692,BD!$L$2:$Q$244,6,0),0)</f>
        <v>0</v>
      </c>
      <c r="I8692" s="626">
        <f>IFERROR(G8692*VLOOKUP($E8692,BD!$L$2:$Q$244,5,0),0)</f>
        <v>0</v>
      </c>
      <c r="J8692" s="3">
        <f t="shared" si="541"/>
        <v>1900</v>
      </c>
    </row>
    <row r="8693" spans="1:10" s="9" customFormat="1" x14ac:dyDescent="0.25">
      <c r="A8693" s="447"/>
      <c r="B8693" s="55" t="str">
        <f t="shared" si="538"/>
        <v>ENERO</v>
      </c>
      <c r="C8693" s="55">
        <f t="shared" si="539"/>
        <v>1</v>
      </c>
      <c r="D8693" s="3" t="str">
        <f t="shared" si="540"/>
        <v>SÁBADO</v>
      </c>
      <c r="E8693" s="427"/>
      <c r="F8693" s="31">
        <f>IFERROR(VLOOKUP(E8693,BD!$L$2:$Q$244,2,0),0)</f>
        <v>0</v>
      </c>
      <c r="G8693" s="424"/>
      <c r="H8693" s="31">
        <f>+IFERROR(VLOOKUP(E8693,BD!$L$2:$Q$244,6,0),0)</f>
        <v>0</v>
      </c>
      <c r="I8693" s="626">
        <f>IFERROR(G8693*VLOOKUP($E8693,BD!$L$2:$Q$244,5,0),0)</f>
        <v>0</v>
      </c>
      <c r="J8693" s="3">
        <f t="shared" si="541"/>
        <v>1900</v>
      </c>
    </row>
    <row r="8694" spans="1:10" s="9" customFormat="1" x14ac:dyDescent="0.25">
      <c r="A8694" s="447"/>
      <c r="B8694" s="55" t="str">
        <f t="shared" si="538"/>
        <v>ENERO</v>
      </c>
      <c r="C8694" s="55">
        <f t="shared" si="539"/>
        <v>1</v>
      </c>
      <c r="D8694" s="3" t="str">
        <f t="shared" si="540"/>
        <v>SÁBADO</v>
      </c>
      <c r="E8694" s="427"/>
      <c r="F8694" s="31">
        <f>IFERROR(VLOOKUP(E8694,BD!$L$2:$Q$244,2,0),0)</f>
        <v>0</v>
      </c>
      <c r="G8694" s="424"/>
      <c r="H8694" s="31">
        <f>+IFERROR(VLOOKUP(E8694,BD!$L$2:$Q$244,6,0),0)</f>
        <v>0</v>
      </c>
      <c r="I8694" s="626">
        <f>IFERROR(G8694*VLOOKUP($E8694,BD!$L$2:$Q$244,5,0),0)</f>
        <v>0</v>
      </c>
      <c r="J8694" s="3">
        <f t="shared" si="541"/>
        <v>1900</v>
      </c>
    </row>
    <row r="8695" spans="1:10" s="9" customFormat="1" x14ac:dyDescent="0.25">
      <c r="A8695" s="447"/>
      <c r="B8695" s="55" t="str">
        <f t="shared" si="538"/>
        <v>ENERO</v>
      </c>
      <c r="C8695" s="55">
        <f t="shared" si="539"/>
        <v>1</v>
      </c>
      <c r="D8695" s="3" t="str">
        <f t="shared" si="540"/>
        <v>SÁBADO</v>
      </c>
      <c r="E8695" s="427"/>
      <c r="F8695" s="31">
        <f>IFERROR(VLOOKUP(E8695,BD!$L$2:$Q$244,2,0),0)</f>
        <v>0</v>
      </c>
      <c r="G8695" s="424"/>
      <c r="H8695" s="31">
        <f>+IFERROR(VLOOKUP(E8695,BD!$L$2:$Q$244,6,0),0)</f>
        <v>0</v>
      </c>
      <c r="I8695" s="626">
        <f>IFERROR(G8695*VLOOKUP($E8695,BD!$L$2:$Q$244,5,0),0)</f>
        <v>0</v>
      </c>
      <c r="J8695" s="3">
        <f t="shared" si="541"/>
        <v>1900</v>
      </c>
    </row>
    <row r="8696" spans="1:10" s="9" customFormat="1" x14ac:dyDescent="0.25">
      <c r="A8696" s="447"/>
      <c r="B8696" s="55" t="str">
        <f t="shared" si="538"/>
        <v>ENERO</v>
      </c>
      <c r="C8696" s="55">
        <f t="shared" si="539"/>
        <v>1</v>
      </c>
      <c r="D8696" s="3" t="str">
        <f t="shared" si="540"/>
        <v>SÁBADO</v>
      </c>
      <c r="E8696" s="427"/>
      <c r="F8696" s="31">
        <f>IFERROR(VLOOKUP(E8696,BD!$L$2:$Q$244,2,0),0)</f>
        <v>0</v>
      </c>
      <c r="G8696" s="424"/>
      <c r="H8696" s="31">
        <f>+IFERROR(VLOOKUP(E8696,BD!$L$2:$Q$244,6,0),0)</f>
        <v>0</v>
      </c>
      <c r="I8696" s="626">
        <f>IFERROR(G8696*VLOOKUP($E8696,BD!$L$2:$Q$244,5,0),0)</f>
        <v>0</v>
      </c>
      <c r="J8696" s="3">
        <f t="shared" si="541"/>
        <v>1900</v>
      </c>
    </row>
    <row r="8697" spans="1:10" s="9" customFormat="1" x14ac:dyDescent="0.25">
      <c r="A8697" s="447"/>
      <c r="B8697" s="55" t="str">
        <f t="shared" si="538"/>
        <v>ENERO</v>
      </c>
      <c r="C8697" s="55">
        <f t="shared" si="539"/>
        <v>1</v>
      </c>
      <c r="D8697" s="3" t="str">
        <f t="shared" si="540"/>
        <v>SÁBADO</v>
      </c>
      <c r="E8697" s="427"/>
      <c r="F8697" s="31">
        <f>IFERROR(VLOOKUP(E8697,BD!$L$2:$Q$244,2,0),0)</f>
        <v>0</v>
      </c>
      <c r="G8697" s="424"/>
      <c r="H8697" s="31">
        <f>+IFERROR(VLOOKUP(E8697,BD!$L$2:$Q$244,6,0),0)</f>
        <v>0</v>
      </c>
      <c r="I8697" s="626">
        <f>IFERROR(G8697*VLOOKUP($E8697,BD!$L$2:$Q$244,5,0),0)</f>
        <v>0</v>
      </c>
      <c r="J8697" s="3">
        <f t="shared" si="541"/>
        <v>1900</v>
      </c>
    </row>
    <row r="8698" spans="1:10" s="9" customFormat="1" x14ac:dyDescent="0.25">
      <c r="A8698" s="447"/>
      <c r="B8698" s="55" t="str">
        <f t="shared" si="538"/>
        <v>ENERO</v>
      </c>
      <c r="C8698" s="55">
        <f t="shared" si="539"/>
        <v>1</v>
      </c>
      <c r="D8698" s="3" t="str">
        <f t="shared" si="540"/>
        <v>SÁBADO</v>
      </c>
      <c r="E8698" s="427"/>
      <c r="F8698" s="31">
        <f>IFERROR(VLOOKUP(E8698,BD!$L$2:$Q$244,2,0),0)</f>
        <v>0</v>
      </c>
      <c r="G8698" s="424"/>
      <c r="H8698" s="31">
        <f>+IFERROR(VLOOKUP(E8698,BD!$L$2:$Q$244,6,0),0)</f>
        <v>0</v>
      </c>
      <c r="I8698" s="626">
        <f>IFERROR(G8698*VLOOKUP($E8698,BD!$L$2:$Q$244,5,0),0)</f>
        <v>0</v>
      </c>
      <c r="J8698" s="3">
        <f t="shared" si="541"/>
        <v>1900</v>
      </c>
    </row>
    <row r="8699" spans="1:10" s="9" customFormat="1" x14ac:dyDescent="0.25">
      <c r="A8699" s="447"/>
      <c r="B8699" s="55" t="str">
        <f t="shared" si="538"/>
        <v>ENERO</v>
      </c>
      <c r="C8699" s="55">
        <f t="shared" si="539"/>
        <v>1</v>
      </c>
      <c r="D8699" s="3" t="str">
        <f t="shared" si="540"/>
        <v>SÁBADO</v>
      </c>
      <c r="E8699" s="427"/>
      <c r="F8699" s="31">
        <f>IFERROR(VLOOKUP(E8699,BD!$L$2:$Q$244,2,0),0)</f>
        <v>0</v>
      </c>
      <c r="G8699" s="424"/>
      <c r="H8699" s="31">
        <f>+IFERROR(VLOOKUP(E8699,BD!$L$2:$Q$244,6,0),0)</f>
        <v>0</v>
      </c>
      <c r="I8699" s="626">
        <f>IFERROR(G8699*VLOOKUP($E8699,BD!$L$2:$Q$244,5,0),0)</f>
        <v>0</v>
      </c>
      <c r="J8699" s="3">
        <f t="shared" si="541"/>
        <v>1900</v>
      </c>
    </row>
    <row r="8700" spans="1:10" s="9" customFormat="1" x14ac:dyDescent="0.25">
      <c r="A8700" s="447"/>
      <c r="B8700" s="55" t="str">
        <f t="shared" ref="B8700:B8763" si="542">UPPER(TEXT(A8700,"MMMM"))</f>
        <v>ENERO</v>
      </c>
      <c r="C8700" s="55">
        <f t="shared" ref="C8700:C8763" si="543">WEEKNUM(A8700,16)</f>
        <v>1</v>
      </c>
      <c r="D8700" s="3" t="str">
        <f t="shared" ref="D8700:D8763" si="544">UPPER(TEXT(A8700,"DDDD"))</f>
        <v>SÁBADO</v>
      </c>
      <c r="E8700" s="427"/>
      <c r="F8700" s="31">
        <f>IFERROR(VLOOKUP(E8700,BD!$L$2:$Q$244,2,0),0)</f>
        <v>0</v>
      </c>
      <c r="G8700" s="424"/>
      <c r="H8700" s="31">
        <f>+IFERROR(VLOOKUP(E8700,BD!$L$2:$Q$244,6,0),0)</f>
        <v>0</v>
      </c>
      <c r="I8700" s="626">
        <f>IFERROR(G8700*VLOOKUP($E8700,BD!$L$2:$Q$244,5,0),0)</f>
        <v>0</v>
      </c>
      <c r="J8700" s="3">
        <f t="shared" ref="J8700:J8763" si="545">+YEAR(A8700)</f>
        <v>1900</v>
      </c>
    </row>
    <row r="8701" spans="1:10" s="9" customFormat="1" x14ac:dyDescent="0.25">
      <c r="A8701" s="447"/>
      <c r="B8701" s="55" t="str">
        <f t="shared" si="542"/>
        <v>ENERO</v>
      </c>
      <c r="C8701" s="55">
        <f t="shared" si="543"/>
        <v>1</v>
      </c>
      <c r="D8701" s="3" t="str">
        <f t="shared" si="544"/>
        <v>SÁBADO</v>
      </c>
      <c r="E8701" s="427"/>
      <c r="F8701" s="31">
        <f>IFERROR(VLOOKUP(E8701,BD!$L$2:$Q$244,2,0),0)</f>
        <v>0</v>
      </c>
      <c r="G8701" s="424"/>
      <c r="H8701" s="31">
        <f>+IFERROR(VLOOKUP(E8701,BD!$L$2:$Q$244,6,0),0)</f>
        <v>0</v>
      </c>
      <c r="I8701" s="626">
        <f>IFERROR(G8701*VLOOKUP($E8701,BD!$L$2:$Q$244,5,0),0)</f>
        <v>0</v>
      </c>
      <c r="J8701" s="3">
        <f t="shared" si="545"/>
        <v>1900</v>
      </c>
    </row>
    <row r="8702" spans="1:10" s="9" customFormat="1" x14ac:dyDescent="0.25">
      <c r="A8702" s="447"/>
      <c r="B8702" s="55" t="str">
        <f t="shared" si="542"/>
        <v>ENERO</v>
      </c>
      <c r="C8702" s="55">
        <f t="shared" si="543"/>
        <v>1</v>
      </c>
      <c r="D8702" s="3" t="str">
        <f t="shared" si="544"/>
        <v>SÁBADO</v>
      </c>
      <c r="E8702" s="427"/>
      <c r="F8702" s="31">
        <f>IFERROR(VLOOKUP(E8702,BD!$L$2:$Q$244,2,0),0)</f>
        <v>0</v>
      </c>
      <c r="G8702" s="424"/>
      <c r="H8702" s="31">
        <f>+IFERROR(VLOOKUP(E8702,BD!$L$2:$Q$244,6,0),0)</f>
        <v>0</v>
      </c>
      <c r="I8702" s="626">
        <f>IFERROR(G8702*VLOOKUP($E8702,BD!$L$2:$Q$244,5,0),0)</f>
        <v>0</v>
      </c>
      <c r="J8702" s="3">
        <f t="shared" si="545"/>
        <v>1900</v>
      </c>
    </row>
    <row r="8703" spans="1:10" s="9" customFormat="1" x14ac:dyDescent="0.25">
      <c r="A8703" s="447"/>
      <c r="B8703" s="55" t="str">
        <f t="shared" si="542"/>
        <v>ENERO</v>
      </c>
      <c r="C8703" s="55">
        <f t="shared" si="543"/>
        <v>1</v>
      </c>
      <c r="D8703" s="3" t="str">
        <f t="shared" si="544"/>
        <v>SÁBADO</v>
      </c>
      <c r="E8703" s="427"/>
      <c r="F8703" s="31">
        <f>IFERROR(VLOOKUP(E8703,BD!$L$2:$Q$244,2,0),0)</f>
        <v>0</v>
      </c>
      <c r="G8703" s="424"/>
      <c r="H8703" s="31">
        <f>+IFERROR(VLOOKUP(E8703,BD!$L$2:$Q$244,6,0),0)</f>
        <v>0</v>
      </c>
      <c r="I8703" s="626">
        <f>IFERROR(G8703*VLOOKUP($E8703,BD!$L$2:$Q$244,5,0),0)</f>
        <v>0</v>
      </c>
      <c r="J8703" s="3">
        <f t="shared" si="545"/>
        <v>1900</v>
      </c>
    </row>
    <row r="8704" spans="1:10" s="9" customFormat="1" x14ac:dyDescent="0.25">
      <c r="A8704" s="447"/>
      <c r="B8704" s="55" t="str">
        <f t="shared" si="542"/>
        <v>ENERO</v>
      </c>
      <c r="C8704" s="55">
        <f t="shared" si="543"/>
        <v>1</v>
      </c>
      <c r="D8704" s="3" t="str">
        <f t="shared" si="544"/>
        <v>SÁBADO</v>
      </c>
      <c r="E8704" s="427"/>
      <c r="F8704" s="31">
        <f>IFERROR(VLOOKUP(E8704,BD!$L$2:$Q$244,2,0),0)</f>
        <v>0</v>
      </c>
      <c r="G8704" s="424"/>
      <c r="H8704" s="31">
        <f>+IFERROR(VLOOKUP(E8704,BD!$L$2:$Q$244,6,0),0)</f>
        <v>0</v>
      </c>
      <c r="I8704" s="626">
        <f>IFERROR(G8704*VLOOKUP($E8704,BD!$L$2:$Q$244,5,0),0)</f>
        <v>0</v>
      </c>
      <c r="J8704" s="3">
        <f t="shared" si="545"/>
        <v>1900</v>
      </c>
    </row>
    <row r="8705" spans="1:10" s="9" customFormat="1" x14ac:dyDescent="0.25">
      <c r="A8705" s="447"/>
      <c r="B8705" s="55" t="str">
        <f t="shared" si="542"/>
        <v>ENERO</v>
      </c>
      <c r="C8705" s="55">
        <f t="shared" si="543"/>
        <v>1</v>
      </c>
      <c r="D8705" s="3" t="str">
        <f t="shared" si="544"/>
        <v>SÁBADO</v>
      </c>
      <c r="E8705" s="427"/>
      <c r="F8705" s="31">
        <f>IFERROR(VLOOKUP(E8705,BD!$L$2:$Q$244,2,0),0)</f>
        <v>0</v>
      </c>
      <c r="G8705" s="424"/>
      <c r="H8705" s="31">
        <f>+IFERROR(VLOOKUP(E8705,BD!$L$2:$Q$244,6,0),0)</f>
        <v>0</v>
      </c>
      <c r="I8705" s="626">
        <f>IFERROR(G8705*VLOOKUP($E8705,BD!$L$2:$Q$244,5,0),0)</f>
        <v>0</v>
      </c>
      <c r="J8705" s="3">
        <f t="shared" si="545"/>
        <v>1900</v>
      </c>
    </row>
    <row r="8706" spans="1:10" s="9" customFormat="1" x14ac:dyDescent="0.25">
      <c r="A8706" s="447"/>
      <c r="B8706" s="55" t="str">
        <f t="shared" si="542"/>
        <v>ENERO</v>
      </c>
      <c r="C8706" s="55">
        <f t="shared" si="543"/>
        <v>1</v>
      </c>
      <c r="D8706" s="3" t="str">
        <f t="shared" si="544"/>
        <v>SÁBADO</v>
      </c>
      <c r="E8706" s="427"/>
      <c r="F8706" s="31">
        <f>IFERROR(VLOOKUP(E8706,BD!$L$2:$Q$244,2,0),0)</f>
        <v>0</v>
      </c>
      <c r="G8706" s="424"/>
      <c r="H8706" s="31">
        <f>+IFERROR(VLOOKUP(E8706,BD!$L$2:$Q$244,6,0),0)</f>
        <v>0</v>
      </c>
      <c r="I8706" s="626">
        <f>IFERROR(G8706*VLOOKUP($E8706,BD!$L$2:$Q$244,5,0),0)</f>
        <v>0</v>
      </c>
      <c r="J8706" s="3">
        <f t="shared" si="545"/>
        <v>1900</v>
      </c>
    </row>
    <row r="8707" spans="1:10" s="9" customFormat="1" x14ac:dyDescent="0.25">
      <c r="A8707" s="447"/>
      <c r="B8707" s="55" t="str">
        <f t="shared" si="542"/>
        <v>ENERO</v>
      </c>
      <c r="C8707" s="55">
        <f t="shared" si="543"/>
        <v>1</v>
      </c>
      <c r="D8707" s="3" t="str">
        <f t="shared" si="544"/>
        <v>SÁBADO</v>
      </c>
      <c r="E8707" s="427"/>
      <c r="F8707" s="31">
        <f>IFERROR(VLOOKUP(E8707,BD!$L$2:$Q$244,2,0),0)</f>
        <v>0</v>
      </c>
      <c r="G8707" s="424"/>
      <c r="H8707" s="31">
        <f>+IFERROR(VLOOKUP(E8707,BD!$L$2:$Q$244,6,0),0)</f>
        <v>0</v>
      </c>
      <c r="I8707" s="626">
        <f>IFERROR(G8707*VLOOKUP($E8707,BD!$L$2:$Q$244,5,0),0)</f>
        <v>0</v>
      </c>
      <c r="J8707" s="3">
        <f t="shared" si="545"/>
        <v>1900</v>
      </c>
    </row>
    <row r="8708" spans="1:10" s="9" customFormat="1" x14ac:dyDescent="0.25">
      <c r="A8708" s="447"/>
      <c r="B8708" s="55" t="str">
        <f t="shared" si="542"/>
        <v>ENERO</v>
      </c>
      <c r="C8708" s="55">
        <f t="shared" si="543"/>
        <v>1</v>
      </c>
      <c r="D8708" s="3" t="str">
        <f t="shared" si="544"/>
        <v>SÁBADO</v>
      </c>
      <c r="E8708" s="427"/>
      <c r="F8708" s="31">
        <f>IFERROR(VLOOKUP(E8708,BD!$L$2:$Q$244,2,0),0)</f>
        <v>0</v>
      </c>
      <c r="G8708" s="424"/>
      <c r="H8708" s="31">
        <f>+IFERROR(VLOOKUP(E8708,BD!$L$2:$Q$244,6,0),0)</f>
        <v>0</v>
      </c>
      <c r="I8708" s="626">
        <f>IFERROR(G8708*VLOOKUP($E8708,BD!$L$2:$Q$244,5,0),0)</f>
        <v>0</v>
      </c>
      <c r="J8708" s="3">
        <f t="shared" si="545"/>
        <v>1900</v>
      </c>
    </row>
    <row r="8709" spans="1:10" s="9" customFormat="1" x14ac:dyDescent="0.25">
      <c r="A8709" s="447"/>
      <c r="B8709" s="55" t="str">
        <f t="shared" si="542"/>
        <v>ENERO</v>
      </c>
      <c r="C8709" s="55">
        <f t="shared" si="543"/>
        <v>1</v>
      </c>
      <c r="D8709" s="3" t="str">
        <f t="shared" si="544"/>
        <v>SÁBADO</v>
      </c>
      <c r="E8709" s="427"/>
      <c r="F8709" s="31">
        <f>IFERROR(VLOOKUP(E8709,BD!$L$2:$Q$244,2,0),0)</f>
        <v>0</v>
      </c>
      <c r="G8709" s="424"/>
      <c r="H8709" s="31">
        <f>+IFERROR(VLOOKUP(E8709,BD!$L$2:$Q$244,6,0),0)</f>
        <v>0</v>
      </c>
      <c r="I8709" s="626">
        <f>IFERROR(G8709*VLOOKUP($E8709,BD!$L$2:$Q$244,5,0),0)</f>
        <v>0</v>
      </c>
      <c r="J8709" s="3">
        <f t="shared" si="545"/>
        <v>1900</v>
      </c>
    </row>
    <row r="8710" spans="1:10" s="9" customFormat="1" x14ac:dyDescent="0.25">
      <c r="A8710" s="447"/>
      <c r="B8710" s="55" t="str">
        <f t="shared" si="542"/>
        <v>ENERO</v>
      </c>
      <c r="C8710" s="55">
        <f t="shared" si="543"/>
        <v>1</v>
      </c>
      <c r="D8710" s="3" t="str">
        <f t="shared" si="544"/>
        <v>SÁBADO</v>
      </c>
      <c r="E8710" s="427"/>
      <c r="F8710" s="31">
        <f>IFERROR(VLOOKUP(E8710,BD!$L$2:$Q$244,2,0),0)</f>
        <v>0</v>
      </c>
      <c r="G8710" s="424"/>
      <c r="H8710" s="31">
        <f>+IFERROR(VLOOKUP(E8710,BD!$L$2:$Q$244,6,0),0)</f>
        <v>0</v>
      </c>
      <c r="I8710" s="626">
        <f>IFERROR(G8710*VLOOKUP($E8710,BD!$L$2:$Q$244,5,0),0)</f>
        <v>0</v>
      </c>
      <c r="J8710" s="3">
        <f t="shared" si="545"/>
        <v>1900</v>
      </c>
    </row>
    <row r="8711" spans="1:10" s="9" customFormat="1" x14ac:dyDescent="0.25">
      <c r="A8711" s="447"/>
      <c r="B8711" s="55" t="str">
        <f t="shared" si="542"/>
        <v>ENERO</v>
      </c>
      <c r="C8711" s="55">
        <f t="shared" si="543"/>
        <v>1</v>
      </c>
      <c r="D8711" s="3" t="str">
        <f t="shared" si="544"/>
        <v>SÁBADO</v>
      </c>
      <c r="E8711" s="427"/>
      <c r="F8711" s="31">
        <f>IFERROR(VLOOKUP(E8711,BD!$L$2:$Q$244,2,0),0)</f>
        <v>0</v>
      </c>
      <c r="G8711" s="424"/>
      <c r="H8711" s="31">
        <f>+IFERROR(VLOOKUP(E8711,BD!$L$2:$Q$244,6,0),0)</f>
        <v>0</v>
      </c>
      <c r="I8711" s="626">
        <f>IFERROR(G8711*VLOOKUP($E8711,BD!$L$2:$Q$244,5,0),0)</f>
        <v>0</v>
      </c>
      <c r="J8711" s="3">
        <f t="shared" si="545"/>
        <v>1900</v>
      </c>
    </row>
    <row r="8712" spans="1:10" s="9" customFormat="1" x14ac:dyDescent="0.25">
      <c r="A8712" s="447"/>
      <c r="B8712" s="55" t="str">
        <f t="shared" si="542"/>
        <v>ENERO</v>
      </c>
      <c r="C8712" s="55">
        <f t="shared" si="543"/>
        <v>1</v>
      </c>
      <c r="D8712" s="3" t="str">
        <f t="shared" si="544"/>
        <v>SÁBADO</v>
      </c>
      <c r="E8712" s="427"/>
      <c r="F8712" s="31">
        <f>IFERROR(VLOOKUP(E8712,BD!$L$2:$Q$244,2,0),0)</f>
        <v>0</v>
      </c>
      <c r="G8712" s="424"/>
      <c r="H8712" s="31">
        <f>+IFERROR(VLOOKUP(E8712,BD!$L$2:$Q$244,6,0),0)</f>
        <v>0</v>
      </c>
      <c r="I8712" s="626">
        <f>IFERROR(G8712*VLOOKUP($E8712,BD!$L$2:$Q$244,5,0),0)</f>
        <v>0</v>
      </c>
      <c r="J8712" s="3">
        <f t="shared" si="545"/>
        <v>1900</v>
      </c>
    </row>
    <row r="8713" spans="1:10" s="9" customFormat="1" x14ac:dyDescent="0.25">
      <c r="A8713" s="447"/>
      <c r="B8713" s="55" t="str">
        <f t="shared" si="542"/>
        <v>ENERO</v>
      </c>
      <c r="C8713" s="55">
        <f t="shared" si="543"/>
        <v>1</v>
      </c>
      <c r="D8713" s="3" t="str">
        <f t="shared" si="544"/>
        <v>SÁBADO</v>
      </c>
      <c r="E8713" s="427"/>
      <c r="F8713" s="31">
        <f>IFERROR(VLOOKUP(E8713,BD!$L$2:$Q$244,2,0),0)</f>
        <v>0</v>
      </c>
      <c r="G8713" s="424"/>
      <c r="H8713" s="31">
        <f>+IFERROR(VLOOKUP(E8713,BD!$L$2:$Q$244,6,0),0)</f>
        <v>0</v>
      </c>
      <c r="I8713" s="626">
        <f>IFERROR(G8713*VLOOKUP($E8713,BD!$L$2:$Q$244,5,0),0)</f>
        <v>0</v>
      </c>
      <c r="J8713" s="3">
        <f t="shared" si="545"/>
        <v>1900</v>
      </c>
    </row>
    <row r="8714" spans="1:10" s="9" customFormat="1" x14ac:dyDescent="0.25">
      <c r="A8714" s="447"/>
      <c r="B8714" s="55" t="str">
        <f t="shared" si="542"/>
        <v>ENERO</v>
      </c>
      <c r="C8714" s="55">
        <f t="shared" si="543"/>
        <v>1</v>
      </c>
      <c r="D8714" s="3" t="str">
        <f t="shared" si="544"/>
        <v>SÁBADO</v>
      </c>
      <c r="E8714" s="427"/>
      <c r="F8714" s="31">
        <f>IFERROR(VLOOKUP(E8714,BD!$L$2:$Q$244,2,0),0)</f>
        <v>0</v>
      </c>
      <c r="G8714" s="424"/>
      <c r="H8714" s="31">
        <f>+IFERROR(VLOOKUP(E8714,BD!$L$2:$Q$244,6,0),0)</f>
        <v>0</v>
      </c>
      <c r="I8714" s="626">
        <f>IFERROR(G8714*VLOOKUP($E8714,BD!$L$2:$Q$244,5,0),0)</f>
        <v>0</v>
      </c>
      <c r="J8714" s="3">
        <f t="shared" si="545"/>
        <v>1900</v>
      </c>
    </row>
    <row r="8715" spans="1:10" s="9" customFormat="1" x14ac:dyDescent="0.25">
      <c r="A8715" s="447"/>
      <c r="B8715" s="55" t="str">
        <f t="shared" si="542"/>
        <v>ENERO</v>
      </c>
      <c r="C8715" s="55">
        <f t="shared" si="543"/>
        <v>1</v>
      </c>
      <c r="D8715" s="3" t="str">
        <f t="shared" si="544"/>
        <v>SÁBADO</v>
      </c>
      <c r="E8715" s="427"/>
      <c r="F8715" s="31">
        <f>IFERROR(VLOOKUP(E8715,BD!$L$2:$Q$244,2,0),0)</f>
        <v>0</v>
      </c>
      <c r="G8715" s="424"/>
      <c r="H8715" s="31">
        <f>+IFERROR(VLOOKUP(E8715,BD!$L$2:$Q$244,6,0),0)</f>
        <v>0</v>
      </c>
      <c r="I8715" s="626">
        <f>IFERROR(G8715*VLOOKUP($E8715,BD!$L$2:$Q$244,5,0),0)</f>
        <v>0</v>
      </c>
      <c r="J8715" s="3">
        <f t="shared" si="545"/>
        <v>1900</v>
      </c>
    </row>
    <row r="8716" spans="1:10" s="9" customFormat="1" x14ac:dyDescent="0.25">
      <c r="A8716" s="447"/>
      <c r="B8716" s="55" t="str">
        <f t="shared" si="542"/>
        <v>ENERO</v>
      </c>
      <c r="C8716" s="55">
        <f t="shared" si="543"/>
        <v>1</v>
      </c>
      <c r="D8716" s="3" t="str">
        <f t="shared" si="544"/>
        <v>SÁBADO</v>
      </c>
      <c r="E8716" s="427"/>
      <c r="F8716" s="31">
        <f>IFERROR(VLOOKUP(E8716,BD!$L$2:$Q$244,2,0),0)</f>
        <v>0</v>
      </c>
      <c r="G8716" s="424"/>
      <c r="H8716" s="31">
        <f>+IFERROR(VLOOKUP(E8716,BD!$L$2:$Q$244,6,0),0)</f>
        <v>0</v>
      </c>
      <c r="I8716" s="626">
        <f>IFERROR(G8716*VLOOKUP($E8716,BD!$L$2:$Q$244,5,0),0)</f>
        <v>0</v>
      </c>
      <c r="J8716" s="3">
        <f t="shared" si="545"/>
        <v>1900</v>
      </c>
    </row>
    <row r="8717" spans="1:10" s="9" customFormat="1" x14ac:dyDescent="0.25">
      <c r="A8717" s="447"/>
      <c r="B8717" s="55" t="str">
        <f t="shared" si="542"/>
        <v>ENERO</v>
      </c>
      <c r="C8717" s="55">
        <f t="shared" si="543"/>
        <v>1</v>
      </c>
      <c r="D8717" s="3" t="str">
        <f t="shared" si="544"/>
        <v>SÁBADO</v>
      </c>
      <c r="E8717" s="427"/>
      <c r="F8717" s="31">
        <f>IFERROR(VLOOKUP(E8717,BD!$L$2:$Q$244,2,0),0)</f>
        <v>0</v>
      </c>
      <c r="G8717" s="424"/>
      <c r="H8717" s="31">
        <f>+IFERROR(VLOOKUP(E8717,BD!$L$2:$Q$244,6,0),0)</f>
        <v>0</v>
      </c>
      <c r="I8717" s="626">
        <f>IFERROR(G8717*VLOOKUP($E8717,BD!$L$2:$Q$244,5,0),0)</f>
        <v>0</v>
      </c>
      <c r="J8717" s="3">
        <f t="shared" si="545"/>
        <v>1900</v>
      </c>
    </row>
    <row r="8718" spans="1:10" s="9" customFormat="1" x14ac:dyDescent="0.25">
      <c r="A8718" s="447"/>
      <c r="B8718" s="55" t="str">
        <f t="shared" si="542"/>
        <v>ENERO</v>
      </c>
      <c r="C8718" s="55">
        <f t="shared" si="543"/>
        <v>1</v>
      </c>
      <c r="D8718" s="3" t="str">
        <f t="shared" si="544"/>
        <v>SÁBADO</v>
      </c>
      <c r="E8718" s="427"/>
      <c r="F8718" s="31">
        <f>IFERROR(VLOOKUP(E8718,BD!$L$2:$Q$244,2,0),0)</f>
        <v>0</v>
      </c>
      <c r="G8718" s="424"/>
      <c r="H8718" s="31">
        <f>+IFERROR(VLOOKUP(E8718,BD!$L$2:$Q$244,6,0),0)</f>
        <v>0</v>
      </c>
      <c r="I8718" s="626">
        <f>IFERROR(G8718*VLOOKUP($E8718,BD!$L$2:$Q$244,5,0),0)</f>
        <v>0</v>
      </c>
      <c r="J8718" s="3">
        <f t="shared" si="545"/>
        <v>1900</v>
      </c>
    </row>
    <row r="8719" spans="1:10" s="9" customFormat="1" x14ac:dyDescent="0.25">
      <c r="A8719" s="447"/>
      <c r="B8719" s="55" t="str">
        <f t="shared" si="542"/>
        <v>ENERO</v>
      </c>
      <c r="C8719" s="55">
        <f t="shared" si="543"/>
        <v>1</v>
      </c>
      <c r="D8719" s="3" t="str">
        <f t="shared" si="544"/>
        <v>SÁBADO</v>
      </c>
      <c r="E8719" s="427"/>
      <c r="F8719" s="31">
        <f>IFERROR(VLOOKUP(E8719,BD!$L$2:$Q$244,2,0),0)</f>
        <v>0</v>
      </c>
      <c r="G8719" s="424"/>
      <c r="H8719" s="31">
        <f>+IFERROR(VLOOKUP(E8719,BD!$L$2:$Q$244,6,0),0)</f>
        <v>0</v>
      </c>
      <c r="I8719" s="626">
        <f>IFERROR(G8719*VLOOKUP($E8719,BD!$L$2:$Q$244,5,0),0)</f>
        <v>0</v>
      </c>
      <c r="J8719" s="3">
        <f t="shared" si="545"/>
        <v>1900</v>
      </c>
    </row>
    <row r="8720" spans="1:10" s="9" customFormat="1" x14ac:dyDescent="0.25">
      <c r="A8720" s="447"/>
      <c r="B8720" s="55" t="str">
        <f t="shared" si="542"/>
        <v>ENERO</v>
      </c>
      <c r="C8720" s="55">
        <f t="shared" si="543"/>
        <v>1</v>
      </c>
      <c r="D8720" s="3" t="str">
        <f t="shared" si="544"/>
        <v>SÁBADO</v>
      </c>
      <c r="E8720" s="427"/>
      <c r="F8720" s="31">
        <f>IFERROR(VLOOKUP(E8720,BD!$L$2:$Q$244,2,0),0)</f>
        <v>0</v>
      </c>
      <c r="G8720" s="424"/>
      <c r="H8720" s="31">
        <f>+IFERROR(VLOOKUP(E8720,BD!$L$2:$Q$244,6,0),0)</f>
        <v>0</v>
      </c>
      <c r="I8720" s="626">
        <f>IFERROR(G8720*VLOOKUP($E8720,BD!$L$2:$Q$244,5,0),0)</f>
        <v>0</v>
      </c>
      <c r="J8720" s="3">
        <f t="shared" si="545"/>
        <v>1900</v>
      </c>
    </row>
    <row r="8721" spans="1:10" s="9" customFormat="1" x14ac:dyDescent="0.25">
      <c r="A8721" s="447"/>
      <c r="B8721" s="55" t="str">
        <f t="shared" si="542"/>
        <v>ENERO</v>
      </c>
      <c r="C8721" s="55">
        <f t="shared" si="543"/>
        <v>1</v>
      </c>
      <c r="D8721" s="3" t="str">
        <f t="shared" si="544"/>
        <v>SÁBADO</v>
      </c>
      <c r="E8721" s="427"/>
      <c r="F8721" s="31">
        <f>IFERROR(VLOOKUP(E8721,BD!$L$2:$Q$244,2,0),0)</f>
        <v>0</v>
      </c>
      <c r="G8721" s="424"/>
      <c r="H8721" s="31">
        <f>+IFERROR(VLOOKUP(E8721,BD!$L$2:$Q$244,6,0),0)</f>
        <v>0</v>
      </c>
      <c r="I8721" s="626">
        <f>IFERROR(G8721*VLOOKUP($E8721,BD!$L$2:$Q$244,5,0),0)</f>
        <v>0</v>
      </c>
      <c r="J8721" s="3">
        <f t="shared" si="545"/>
        <v>1900</v>
      </c>
    </row>
    <row r="8722" spans="1:10" s="9" customFormat="1" x14ac:dyDescent="0.25">
      <c r="A8722" s="447"/>
      <c r="B8722" s="55" t="str">
        <f t="shared" si="542"/>
        <v>ENERO</v>
      </c>
      <c r="C8722" s="55">
        <f t="shared" si="543"/>
        <v>1</v>
      </c>
      <c r="D8722" s="3" t="str">
        <f t="shared" si="544"/>
        <v>SÁBADO</v>
      </c>
      <c r="E8722" s="427"/>
      <c r="F8722" s="31">
        <f>IFERROR(VLOOKUP(E8722,BD!$L$2:$Q$244,2,0),0)</f>
        <v>0</v>
      </c>
      <c r="G8722" s="424"/>
      <c r="H8722" s="31">
        <f>+IFERROR(VLOOKUP(E8722,BD!$L$2:$Q$244,6,0),0)</f>
        <v>0</v>
      </c>
      <c r="I8722" s="626">
        <f>IFERROR(G8722*VLOOKUP($E8722,BD!$L$2:$Q$244,5,0),0)</f>
        <v>0</v>
      </c>
      <c r="J8722" s="3">
        <f t="shared" si="545"/>
        <v>1900</v>
      </c>
    </row>
    <row r="8723" spans="1:10" s="9" customFormat="1" x14ac:dyDescent="0.25">
      <c r="A8723" s="447"/>
      <c r="B8723" s="55" t="str">
        <f t="shared" si="542"/>
        <v>ENERO</v>
      </c>
      <c r="C8723" s="55">
        <f t="shared" si="543"/>
        <v>1</v>
      </c>
      <c r="D8723" s="3" t="str">
        <f t="shared" si="544"/>
        <v>SÁBADO</v>
      </c>
      <c r="E8723" s="427"/>
      <c r="F8723" s="31">
        <f>IFERROR(VLOOKUP(E8723,BD!$L$2:$Q$244,2,0),0)</f>
        <v>0</v>
      </c>
      <c r="G8723" s="424"/>
      <c r="H8723" s="31">
        <f>+IFERROR(VLOOKUP(E8723,BD!$L$2:$Q$244,6,0),0)</f>
        <v>0</v>
      </c>
      <c r="I8723" s="626">
        <f>IFERROR(G8723*VLOOKUP($E8723,BD!$L$2:$Q$244,5,0),0)</f>
        <v>0</v>
      </c>
      <c r="J8723" s="3">
        <f t="shared" si="545"/>
        <v>1900</v>
      </c>
    </row>
    <row r="8724" spans="1:10" s="9" customFormat="1" x14ac:dyDescent="0.25">
      <c r="A8724" s="447"/>
      <c r="B8724" s="55" t="str">
        <f t="shared" si="542"/>
        <v>ENERO</v>
      </c>
      <c r="C8724" s="55">
        <f t="shared" si="543"/>
        <v>1</v>
      </c>
      <c r="D8724" s="3" t="str">
        <f t="shared" si="544"/>
        <v>SÁBADO</v>
      </c>
      <c r="E8724" s="427"/>
      <c r="F8724" s="31">
        <f>IFERROR(VLOOKUP(E8724,BD!$L$2:$Q$244,2,0),0)</f>
        <v>0</v>
      </c>
      <c r="G8724" s="424"/>
      <c r="H8724" s="31">
        <f>+IFERROR(VLOOKUP(E8724,BD!$L$2:$Q$244,6,0),0)</f>
        <v>0</v>
      </c>
      <c r="I8724" s="626">
        <f>IFERROR(G8724*VLOOKUP($E8724,BD!$L$2:$Q$244,5,0),0)</f>
        <v>0</v>
      </c>
      <c r="J8724" s="3">
        <f t="shared" si="545"/>
        <v>1900</v>
      </c>
    </row>
    <row r="8725" spans="1:10" s="9" customFormat="1" x14ac:dyDescent="0.25">
      <c r="A8725" s="447"/>
      <c r="B8725" s="55" t="str">
        <f t="shared" si="542"/>
        <v>ENERO</v>
      </c>
      <c r="C8725" s="55">
        <f t="shared" si="543"/>
        <v>1</v>
      </c>
      <c r="D8725" s="3" t="str">
        <f t="shared" si="544"/>
        <v>SÁBADO</v>
      </c>
      <c r="E8725" s="427"/>
      <c r="F8725" s="31">
        <f>IFERROR(VLOOKUP(E8725,BD!$L$2:$Q$244,2,0),0)</f>
        <v>0</v>
      </c>
      <c r="G8725" s="424"/>
      <c r="H8725" s="31">
        <f>+IFERROR(VLOOKUP(E8725,BD!$L$2:$Q$244,6,0),0)</f>
        <v>0</v>
      </c>
      <c r="I8725" s="626">
        <f>IFERROR(G8725*VLOOKUP($E8725,BD!$L$2:$Q$244,5,0),0)</f>
        <v>0</v>
      </c>
      <c r="J8725" s="3">
        <f t="shared" si="545"/>
        <v>1900</v>
      </c>
    </row>
    <row r="8726" spans="1:10" s="9" customFormat="1" x14ac:dyDescent="0.25">
      <c r="A8726" s="447"/>
      <c r="B8726" s="55" t="str">
        <f t="shared" si="542"/>
        <v>ENERO</v>
      </c>
      <c r="C8726" s="55">
        <f t="shared" si="543"/>
        <v>1</v>
      </c>
      <c r="D8726" s="3" t="str">
        <f t="shared" si="544"/>
        <v>SÁBADO</v>
      </c>
      <c r="E8726" s="427"/>
      <c r="F8726" s="31">
        <f>IFERROR(VLOOKUP(E8726,BD!$L$2:$Q$244,2,0),0)</f>
        <v>0</v>
      </c>
      <c r="G8726" s="424"/>
      <c r="H8726" s="31">
        <f>+IFERROR(VLOOKUP(E8726,BD!$L$2:$Q$244,6,0),0)</f>
        <v>0</v>
      </c>
      <c r="I8726" s="626">
        <f>IFERROR(G8726*VLOOKUP($E8726,BD!$L$2:$Q$244,5,0),0)</f>
        <v>0</v>
      </c>
      <c r="J8726" s="3">
        <f t="shared" si="545"/>
        <v>1900</v>
      </c>
    </row>
    <row r="8727" spans="1:10" s="9" customFormat="1" x14ac:dyDescent="0.25">
      <c r="A8727" s="447"/>
      <c r="B8727" s="55" t="str">
        <f t="shared" si="542"/>
        <v>ENERO</v>
      </c>
      <c r="C8727" s="55">
        <f t="shared" si="543"/>
        <v>1</v>
      </c>
      <c r="D8727" s="3" t="str">
        <f t="shared" si="544"/>
        <v>SÁBADO</v>
      </c>
      <c r="E8727" s="427"/>
      <c r="F8727" s="31">
        <f>IFERROR(VLOOKUP(E8727,BD!$L$2:$Q$244,2,0),0)</f>
        <v>0</v>
      </c>
      <c r="G8727" s="424"/>
      <c r="H8727" s="31">
        <f>+IFERROR(VLOOKUP(E8727,BD!$L$2:$Q$244,6,0),0)</f>
        <v>0</v>
      </c>
      <c r="I8727" s="626">
        <f>IFERROR(G8727*VLOOKUP($E8727,BD!$L$2:$Q$244,5,0),0)</f>
        <v>0</v>
      </c>
      <c r="J8727" s="3">
        <f t="shared" si="545"/>
        <v>1900</v>
      </c>
    </row>
    <row r="8728" spans="1:10" s="9" customFormat="1" x14ac:dyDescent="0.25">
      <c r="A8728" s="447"/>
      <c r="B8728" s="55" t="str">
        <f t="shared" si="542"/>
        <v>ENERO</v>
      </c>
      <c r="C8728" s="55">
        <f t="shared" si="543"/>
        <v>1</v>
      </c>
      <c r="D8728" s="3" t="str">
        <f t="shared" si="544"/>
        <v>SÁBADO</v>
      </c>
      <c r="E8728" s="427"/>
      <c r="F8728" s="31">
        <f>IFERROR(VLOOKUP(E8728,BD!$L$2:$Q$244,2,0),0)</f>
        <v>0</v>
      </c>
      <c r="G8728" s="424"/>
      <c r="H8728" s="31">
        <f>+IFERROR(VLOOKUP(E8728,BD!$L$2:$Q$244,6,0),0)</f>
        <v>0</v>
      </c>
      <c r="I8728" s="626">
        <f>IFERROR(G8728*VLOOKUP($E8728,BD!$L$2:$Q$244,5,0),0)</f>
        <v>0</v>
      </c>
      <c r="J8728" s="3">
        <f t="shared" si="545"/>
        <v>1900</v>
      </c>
    </row>
    <row r="8729" spans="1:10" s="9" customFormat="1" x14ac:dyDescent="0.25">
      <c r="A8729" s="447"/>
      <c r="B8729" s="55" t="str">
        <f t="shared" si="542"/>
        <v>ENERO</v>
      </c>
      <c r="C8729" s="55">
        <f t="shared" si="543"/>
        <v>1</v>
      </c>
      <c r="D8729" s="3" t="str">
        <f t="shared" si="544"/>
        <v>SÁBADO</v>
      </c>
      <c r="E8729" s="427"/>
      <c r="F8729" s="31">
        <f>IFERROR(VLOOKUP(E8729,BD!$L$2:$Q$244,2,0),0)</f>
        <v>0</v>
      </c>
      <c r="G8729" s="424"/>
      <c r="H8729" s="31">
        <f>+IFERROR(VLOOKUP(E8729,BD!$L$2:$Q$244,6,0),0)</f>
        <v>0</v>
      </c>
      <c r="I8729" s="626">
        <f>IFERROR(G8729*VLOOKUP($E8729,BD!$L$2:$Q$244,5,0),0)</f>
        <v>0</v>
      </c>
      <c r="J8729" s="3">
        <f t="shared" si="545"/>
        <v>1900</v>
      </c>
    </row>
    <row r="8730" spans="1:10" s="9" customFormat="1" x14ac:dyDescent="0.25">
      <c r="A8730" s="447"/>
      <c r="B8730" s="55" t="str">
        <f t="shared" si="542"/>
        <v>ENERO</v>
      </c>
      <c r="C8730" s="55">
        <f t="shared" si="543"/>
        <v>1</v>
      </c>
      <c r="D8730" s="3" t="str">
        <f t="shared" si="544"/>
        <v>SÁBADO</v>
      </c>
      <c r="E8730" s="427"/>
      <c r="F8730" s="31">
        <f>IFERROR(VLOOKUP(E8730,BD!$L$2:$Q$244,2,0),0)</f>
        <v>0</v>
      </c>
      <c r="G8730" s="424"/>
      <c r="H8730" s="31">
        <f>+IFERROR(VLOOKUP(E8730,BD!$L$2:$Q$244,6,0),0)</f>
        <v>0</v>
      </c>
      <c r="I8730" s="626">
        <f>IFERROR(G8730*VLOOKUP($E8730,BD!$L$2:$Q$244,5,0),0)</f>
        <v>0</v>
      </c>
      <c r="J8730" s="3">
        <f t="shared" si="545"/>
        <v>1900</v>
      </c>
    </row>
    <row r="8731" spans="1:10" s="9" customFormat="1" x14ac:dyDescent="0.25">
      <c r="A8731" s="447"/>
      <c r="B8731" s="55" t="str">
        <f t="shared" si="542"/>
        <v>ENERO</v>
      </c>
      <c r="C8731" s="55">
        <f t="shared" si="543"/>
        <v>1</v>
      </c>
      <c r="D8731" s="3" t="str">
        <f t="shared" si="544"/>
        <v>SÁBADO</v>
      </c>
      <c r="E8731" s="427"/>
      <c r="F8731" s="31">
        <f>IFERROR(VLOOKUP(E8731,BD!$L$2:$Q$244,2,0),0)</f>
        <v>0</v>
      </c>
      <c r="G8731" s="424"/>
      <c r="H8731" s="31">
        <f>+IFERROR(VLOOKUP(E8731,BD!$L$2:$Q$244,6,0),0)</f>
        <v>0</v>
      </c>
      <c r="I8731" s="626">
        <f>IFERROR(G8731*VLOOKUP($E8731,BD!$L$2:$Q$244,5,0),0)</f>
        <v>0</v>
      </c>
      <c r="J8731" s="3">
        <f t="shared" si="545"/>
        <v>1900</v>
      </c>
    </row>
    <row r="8732" spans="1:10" s="9" customFormat="1" x14ac:dyDescent="0.25">
      <c r="A8732" s="447"/>
      <c r="B8732" s="55" t="str">
        <f t="shared" si="542"/>
        <v>ENERO</v>
      </c>
      <c r="C8732" s="55">
        <f t="shared" si="543"/>
        <v>1</v>
      </c>
      <c r="D8732" s="3" t="str">
        <f t="shared" si="544"/>
        <v>SÁBADO</v>
      </c>
      <c r="E8732" s="427"/>
      <c r="F8732" s="31">
        <f>IFERROR(VLOOKUP(E8732,BD!$L$2:$Q$244,2,0),0)</f>
        <v>0</v>
      </c>
      <c r="G8732" s="424"/>
      <c r="H8732" s="31">
        <f>+IFERROR(VLOOKUP(E8732,BD!$L$2:$Q$244,6,0),0)</f>
        <v>0</v>
      </c>
      <c r="I8732" s="626">
        <f>IFERROR(G8732*VLOOKUP($E8732,BD!$L$2:$Q$244,5,0),0)</f>
        <v>0</v>
      </c>
      <c r="J8732" s="3">
        <f t="shared" si="545"/>
        <v>1900</v>
      </c>
    </row>
    <row r="8733" spans="1:10" s="9" customFormat="1" x14ac:dyDescent="0.25">
      <c r="A8733" s="447"/>
      <c r="B8733" s="55" t="str">
        <f t="shared" si="542"/>
        <v>ENERO</v>
      </c>
      <c r="C8733" s="55">
        <f t="shared" si="543"/>
        <v>1</v>
      </c>
      <c r="D8733" s="3" t="str">
        <f t="shared" si="544"/>
        <v>SÁBADO</v>
      </c>
      <c r="E8733" s="427"/>
      <c r="F8733" s="31">
        <f>IFERROR(VLOOKUP(E8733,BD!$L$2:$Q$244,2,0),0)</f>
        <v>0</v>
      </c>
      <c r="G8733" s="424"/>
      <c r="H8733" s="31">
        <f>+IFERROR(VLOOKUP(E8733,BD!$L$2:$Q$244,6,0),0)</f>
        <v>0</v>
      </c>
      <c r="I8733" s="626">
        <f>IFERROR(G8733*VLOOKUP($E8733,BD!$L$2:$Q$244,5,0),0)</f>
        <v>0</v>
      </c>
      <c r="J8733" s="3">
        <f t="shared" si="545"/>
        <v>1900</v>
      </c>
    </row>
    <row r="8734" spans="1:10" s="9" customFormat="1" x14ac:dyDescent="0.25">
      <c r="A8734" s="447"/>
      <c r="B8734" s="55" t="str">
        <f t="shared" si="542"/>
        <v>ENERO</v>
      </c>
      <c r="C8734" s="55">
        <f t="shared" si="543"/>
        <v>1</v>
      </c>
      <c r="D8734" s="3" t="str">
        <f t="shared" si="544"/>
        <v>SÁBADO</v>
      </c>
      <c r="E8734" s="427"/>
      <c r="F8734" s="31">
        <f>IFERROR(VLOOKUP(E8734,BD!$L$2:$Q$244,2,0),0)</f>
        <v>0</v>
      </c>
      <c r="G8734" s="424"/>
      <c r="H8734" s="31">
        <f>+IFERROR(VLOOKUP(E8734,BD!$L$2:$Q$244,6,0),0)</f>
        <v>0</v>
      </c>
      <c r="I8734" s="626">
        <f>IFERROR(G8734*VLOOKUP($E8734,BD!$L$2:$Q$244,5,0),0)</f>
        <v>0</v>
      </c>
      <c r="J8734" s="3">
        <f t="shared" si="545"/>
        <v>1900</v>
      </c>
    </row>
    <row r="8735" spans="1:10" s="9" customFormat="1" x14ac:dyDescent="0.25">
      <c r="A8735" s="447"/>
      <c r="B8735" s="55" t="str">
        <f t="shared" si="542"/>
        <v>ENERO</v>
      </c>
      <c r="C8735" s="55">
        <f t="shared" si="543"/>
        <v>1</v>
      </c>
      <c r="D8735" s="3" t="str">
        <f t="shared" si="544"/>
        <v>SÁBADO</v>
      </c>
      <c r="E8735" s="427"/>
      <c r="F8735" s="31">
        <f>IFERROR(VLOOKUP(E8735,BD!$L$2:$Q$244,2,0),0)</f>
        <v>0</v>
      </c>
      <c r="G8735" s="424"/>
      <c r="H8735" s="31">
        <f>+IFERROR(VLOOKUP(E8735,BD!$L$2:$Q$244,6,0),0)</f>
        <v>0</v>
      </c>
      <c r="I8735" s="626">
        <f>IFERROR(G8735*VLOOKUP($E8735,BD!$L$2:$Q$244,5,0),0)</f>
        <v>0</v>
      </c>
      <c r="J8735" s="3">
        <f t="shared" si="545"/>
        <v>1900</v>
      </c>
    </row>
    <row r="8736" spans="1:10" s="9" customFormat="1" x14ac:dyDescent="0.25">
      <c r="A8736" s="447"/>
      <c r="B8736" s="55" t="str">
        <f t="shared" si="542"/>
        <v>ENERO</v>
      </c>
      <c r="C8736" s="55">
        <f t="shared" si="543"/>
        <v>1</v>
      </c>
      <c r="D8736" s="3" t="str">
        <f t="shared" si="544"/>
        <v>SÁBADO</v>
      </c>
      <c r="E8736" s="427"/>
      <c r="F8736" s="31">
        <f>IFERROR(VLOOKUP(E8736,BD!$L$2:$Q$244,2,0),0)</f>
        <v>0</v>
      </c>
      <c r="G8736" s="424"/>
      <c r="H8736" s="31">
        <f>+IFERROR(VLOOKUP(E8736,BD!$L$2:$Q$244,6,0),0)</f>
        <v>0</v>
      </c>
      <c r="I8736" s="626">
        <f>IFERROR(G8736*VLOOKUP($E8736,BD!$L$2:$Q$244,5,0),0)</f>
        <v>0</v>
      </c>
      <c r="J8736" s="3">
        <f t="shared" si="545"/>
        <v>1900</v>
      </c>
    </row>
    <row r="8737" spans="1:10" s="9" customFormat="1" x14ac:dyDescent="0.25">
      <c r="A8737" s="447"/>
      <c r="B8737" s="55" t="str">
        <f t="shared" si="542"/>
        <v>ENERO</v>
      </c>
      <c r="C8737" s="55">
        <f t="shared" si="543"/>
        <v>1</v>
      </c>
      <c r="D8737" s="3" t="str">
        <f t="shared" si="544"/>
        <v>SÁBADO</v>
      </c>
      <c r="E8737" s="427"/>
      <c r="F8737" s="31">
        <f>IFERROR(VLOOKUP(E8737,BD!$L$2:$Q$244,2,0),0)</f>
        <v>0</v>
      </c>
      <c r="G8737" s="424"/>
      <c r="H8737" s="31">
        <f>+IFERROR(VLOOKUP(E8737,BD!$L$2:$Q$244,6,0),0)</f>
        <v>0</v>
      </c>
      <c r="I8737" s="626">
        <f>IFERROR(G8737*VLOOKUP($E8737,BD!$L$2:$Q$244,5,0),0)</f>
        <v>0</v>
      </c>
      <c r="J8737" s="3">
        <f t="shared" si="545"/>
        <v>1900</v>
      </c>
    </row>
    <row r="8738" spans="1:10" s="9" customFormat="1" x14ac:dyDescent="0.25">
      <c r="A8738" s="447"/>
      <c r="B8738" s="55" t="str">
        <f t="shared" si="542"/>
        <v>ENERO</v>
      </c>
      <c r="C8738" s="55">
        <f t="shared" si="543"/>
        <v>1</v>
      </c>
      <c r="D8738" s="3" t="str">
        <f t="shared" si="544"/>
        <v>SÁBADO</v>
      </c>
      <c r="E8738" s="427"/>
      <c r="F8738" s="31">
        <f>IFERROR(VLOOKUP(E8738,BD!$L$2:$Q$244,2,0),0)</f>
        <v>0</v>
      </c>
      <c r="G8738" s="424"/>
      <c r="H8738" s="31">
        <f>+IFERROR(VLOOKUP(E8738,BD!$L$2:$Q$244,6,0),0)</f>
        <v>0</v>
      </c>
      <c r="I8738" s="626">
        <f>IFERROR(G8738*VLOOKUP($E8738,BD!$L$2:$Q$244,5,0),0)</f>
        <v>0</v>
      </c>
      <c r="J8738" s="3">
        <f t="shared" si="545"/>
        <v>1900</v>
      </c>
    </row>
    <row r="8739" spans="1:10" s="9" customFormat="1" x14ac:dyDescent="0.25">
      <c r="A8739" s="447"/>
      <c r="B8739" s="55" t="str">
        <f t="shared" si="542"/>
        <v>ENERO</v>
      </c>
      <c r="C8739" s="55">
        <f t="shared" si="543"/>
        <v>1</v>
      </c>
      <c r="D8739" s="3" t="str">
        <f t="shared" si="544"/>
        <v>SÁBADO</v>
      </c>
      <c r="E8739" s="427"/>
      <c r="F8739" s="31">
        <f>IFERROR(VLOOKUP(E8739,BD!$L$2:$Q$244,2,0),0)</f>
        <v>0</v>
      </c>
      <c r="G8739" s="424"/>
      <c r="H8739" s="31">
        <f>+IFERROR(VLOOKUP(E8739,BD!$L$2:$Q$244,6,0),0)</f>
        <v>0</v>
      </c>
      <c r="I8739" s="626">
        <f>IFERROR(G8739*VLOOKUP($E8739,BD!$L$2:$Q$244,5,0),0)</f>
        <v>0</v>
      </c>
      <c r="J8739" s="3">
        <f t="shared" si="545"/>
        <v>1900</v>
      </c>
    </row>
    <row r="8740" spans="1:10" s="9" customFormat="1" x14ac:dyDescent="0.25">
      <c r="A8740" s="447"/>
      <c r="B8740" s="55" t="str">
        <f t="shared" si="542"/>
        <v>ENERO</v>
      </c>
      <c r="C8740" s="55">
        <f t="shared" si="543"/>
        <v>1</v>
      </c>
      <c r="D8740" s="3" t="str">
        <f t="shared" si="544"/>
        <v>SÁBADO</v>
      </c>
      <c r="E8740" s="427"/>
      <c r="F8740" s="31">
        <f>IFERROR(VLOOKUP(E8740,BD!$L$2:$Q$244,2,0),0)</f>
        <v>0</v>
      </c>
      <c r="G8740" s="424"/>
      <c r="H8740" s="31">
        <f>+IFERROR(VLOOKUP(E8740,BD!$L$2:$Q$244,6,0),0)</f>
        <v>0</v>
      </c>
      <c r="I8740" s="626">
        <f>IFERROR(G8740*VLOOKUP($E8740,BD!$L$2:$Q$244,5,0),0)</f>
        <v>0</v>
      </c>
      <c r="J8740" s="3">
        <f t="shared" si="545"/>
        <v>1900</v>
      </c>
    </row>
    <row r="8741" spans="1:10" s="9" customFormat="1" x14ac:dyDescent="0.25">
      <c r="A8741" s="447"/>
      <c r="B8741" s="55" t="str">
        <f t="shared" si="542"/>
        <v>ENERO</v>
      </c>
      <c r="C8741" s="55">
        <f t="shared" si="543"/>
        <v>1</v>
      </c>
      <c r="D8741" s="3" t="str">
        <f t="shared" si="544"/>
        <v>SÁBADO</v>
      </c>
      <c r="E8741" s="427"/>
      <c r="F8741" s="31">
        <f>IFERROR(VLOOKUP(E8741,BD!$L$2:$Q$244,2,0),0)</f>
        <v>0</v>
      </c>
      <c r="G8741" s="424"/>
      <c r="H8741" s="31">
        <f>+IFERROR(VLOOKUP(E8741,BD!$L$2:$Q$244,6,0),0)</f>
        <v>0</v>
      </c>
      <c r="I8741" s="626">
        <f>IFERROR(G8741*VLOOKUP($E8741,BD!$L$2:$Q$244,5,0),0)</f>
        <v>0</v>
      </c>
      <c r="J8741" s="3">
        <f t="shared" si="545"/>
        <v>1900</v>
      </c>
    </row>
    <row r="8742" spans="1:10" s="9" customFormat="1" x14ac:dyDescent="0.25">
      <c r="A8742" s="447"/>
      <c r="B8742" s="55" t="str">
        <f t="shared" si="542"/>
        <v>ENERO</v>
      </c>
      <c r="C8742" s="55">
        <f t="shared" si="543"/>
        <v>1</v>
      </c>
      <c r="D8742" s="3" t="str">
        <f t="shared" si="544"/>
        <v>SÁBADO</v>
      </c>
      <c r="E8742" s="427"/>
      <c r="F8742" s="31">
        <f>IFERROR(VLOOKUP(E8742,BD!$L$2:$Q$244,2,0),0)</f>
        <v>0</v>
      </c>
      <c r="G8742" s="424"/>
      <c r="H8742" s="31">
        <f>+IFERROR(VLOOKUP(E8742,BD!$L$2:$Q$244,6,0),0)</f>
        <v>0</v>
      </c>
      <c r="I8742" s="626">
        <f>IFERROR(G8742*VLOOKUP($E8742,BD!$L$2:$Q$244,5,0),0)</f>
        <v>0</v>
      </c>
      <c r="J8742" s="3">
        <f t="shared" si="545"/>
        <v>1900</v>
      </c>
    </row>
    <row r="8743" spans="1:10" s="9" customFormat="1" x14ac:dyDescent="0.25">
      <c r="A8743" s="447"/>
      <c r="B8743" s="55" t="str">
        <f t="shared" si="542"/>
        <v>ENERO</v>
      </c>
      <c r="C8743" s="55">
        <f t="shared" si="543"/>
        <v>1</v>
      </c>
      <c r="D8743" s="3" t="str">
        <f t="shared" si="544"/>
        <v>SÁBADO</v>
      </c>
      <c r="E8743" s="427"/>
      <c r="F8743" s="31">
        <f>IFERROR(VLOOKUP(E8743,BD!$L$2:$Q$244,2,0),0)</f>
        <v>0</v>
      </c>
      <c r="G8743" s="424"/>
      <c r="H8743" s="31">
        <f>+IFERROR(VLOOKUP(E8743,BD!$L$2:$Q$244,6,0),0)</f>
        <v>0</v>
      </c>
      <c r="I8743" s="626">
        <f>IFERROR(G8743*VLOOKUP($E8743,BD!$L$2:$Q$244,5,0),0)</f>
        <v>0</v>
      </c>
      <c r="J8743" s="3">
        <f t="shared" si="545"/>
        <v>1900</v>
      </c>
    </row>
    <row r="8744" spans="1:10" s="9" customFormat="1" x14ac:dyDescent="0.25">
      <c r="A8744" s="447"/>
      <c r="B8744" s="55" t="str">
        <f t="shared" si="542"/>
        <v>ENERO</v>
      </c>
      <c r="C8744" s="55">
        <f t="shared" si="543"/>
        <v>1</v>
      </c>
      <c r="D8744" s="3" t="str">
        <f t="shared" si="544"/>
        <v>SÁBADO</v>
      </c>
      <c r="E8744" s="427"/>
      <c r="F8744" s="31">
        <f>IFERROR(VLOOKUP(E8744,BD!$L$2:$Q$244,2,0),0)</f>
        <v>0</v>
      </c>
      <c r="G8744" s="424"/>
      <c r="H8744" s="31">
        <f>+IFERROR(VLOOKUP(E8744,BD!$L$2:$Q$244,6,0),0)</f>
        <v>0</v>
      </c>
      <c r="I8744" s="626">
        <f>IFERROR(G8744*VLOOKUP($E8744,BD!$L$2:$Q$244,5,0),0)</f>
        <v>0</v>
      </c>
      <c r="J8744" s="3">
        <f t="shared" si="545"/>
        <v>1900</v>
      </c>
    </row>
    <row r="8745" spans="1:10" s="9" customFormat="1" x14ac:dyDescent="0.25">
      <c r="A8745" s="447"/>
      <c r="B8745" s="55" t="str">
        <f t="shared" si="542"/>
        <v>ENERO</v>
      </c>
      <c r="C8745" s="55">
        <f t="shared" si="543"/>
        <v>1</v>
      </c>
      <c r="D8745" s="3" t="str">
        <f t="shared" si="544"/>
        <v>SÁBADO</v>
      </c>
      <c r="E8745" s="427"/>
      <c r="F8745" s="31">
        <f>IFERROR(VLOOKUP(E8745,BD!$L$2:$Q$244,2,0),0)</f>
        <v>0</v>
      </c>
      <c r="G8745" s="424"/>
      <c r="H8745" s="31">
        <f>+IFERROR(VLOOKUP(E8745,BD!$L$2:$Q$244,6,0),0)</f>
        <v>0</v>
      </c>
      <c r="I8745" s="626">
        <f>IFERROR(G8745*VLOOKUP($E8745,BD!$L$2:$Q$244,5,0),0)</f>
        <v>0</v>
      </c>
      <c r="J8745" s="3">
        <f t="shared" si="545"/>
        <v>1900</v>
      </c>
    </row>
    <row r="8746" spans="1:10" s="9" customFormat="1" x14ac:dyDescent="0.25">
      <c r="A8746" s="447"/>
      <c r="B8746" s="55" t="str">
        <f t="shared" si="542"/>
        <v>ENERO</v>
      </c>
      <c r="C8746" s="55">
        <f t="shared" si="543"/>
        <v>1</v>
      </c>
      <c r="D8746" s="3" t="str">
        <f t="shared" si="544"/>
        <v>SÁBADO</v>
      </c>
      <c r="E8746" s="427"/>
      <c r="F8746" s="31">
        <f>IFERROR(VLOOKUP(E8746,BD!$L$2:$Q$244,2,0),0)</f>
        <v>0</v>
      </c>
      <c r="G8746" s="424"/>
      <c r="H8746" s="31">
        <f>+IFERROR(VLOOKUP(E8746,BD!$L$2:$Q$244,6,0),0)</f>
        <v>0</v>
      </c>
      <c r="I8746" s="626">
        <f>IFERROR(G8746*VLOOKUP($E8746,BD!$L$2:$Q$244,5,0),0)</f>
        <v>0</v>
      </c>
      <c r="J8746" s="3">
        <f t="shared" si="545"/>
        <v>1900</v>
      </c>
    </row>
    <row r="8747" spans="1:10" s="9" customFormat="1" x14ac:dyDescent="0.25">
      <c r="A8747" s="447"/>
      <c r="B8747" s="55" t="str">
        <f t="shared" si="542"/>
        <v>ENERO</v>
      </c>
      <c r="C8747" s="55">
        <f t="shared" si="543"/>
        <v>1</v>
      </c>
      <c r="D8747" s="3" t="str">
        <f t="shared" si="544"/>
        <v>SÁBADO</v>
      </c>
      <c r="E8747" s="427"/>
      <c r="F8747" s="31">
        <f>IFERROR(VLOOKUP(E8747,BD!$L$2:$Q$244,2,0),0)</f>
        <v>0</v>
      </c>
      <c r="G8747" s="424"/>
      <c r="H8747" s="31">
        <f>+IFERROR(VLOOKUP(E8747,BD!$L$2:$Q$244,6,0),0)</f>
        <v>0</v>
      </c>
      <c r="I8747" s="626">
        <f>IFERROR(G8747*VLOOKUP($E8747,BD!$L$2:$Q$244,5,0),0)</f>
        <v>0</v>
      </c>
      <c r="J8747" s="3">
        <f t="shared" si="545"/>
        <v>1900</v>
      </c>
    </row>
    <row r="8748" spans="1:10" s="9" customFormat="1" x14ac:dyDescent="0.25">
      <c r="A8748" s="447"/>
      <c r="B8748" s="55" t="str">
        <f t="shared" si="542"/>
        <v>ENERO</v>
      </c>
      <c r="C8748" s="55">
        <f t="shared" si="543"/>
        <v>1</v>
      </c>
      <c r="D8748" s="3" t="str">
        <f t="shared" si="544"/>
        <v>SÁBADO</v>
      </c>
      <c r="E8748" s="427"/>
      <c r="F8748" s="31">
        <f>IFERROR(VLOOKUP(E8748,BD!$L$2:$Q$244,2,0),0)</f>
        <v>0</v>
      </c>
      <c r="G8748" s="424"/>
      <c r="H8748" s="31">
        <f>+IFERROR(VLOOKUP(E8748,BD!$L$2:$Q$244,6,0),0)</f>
        <v>0</v>
      </c>
      <c r="I8748" s="626">
        <f>IFERROR(G8748*VLOOKUP($E8748,BD!$L$2:$Q$244,5,0),0)</f>
        <v>0</v>
      </c>
      <c r="J8748" s="3">
        <f t="shared" si="545"/>
        <v>1900</v>
      </c>
    </row>
    <row r="8749" spans="1:10" s="9" customFormat="1" x14ac:dyDescent="0.25">
      <c r="A8749" s="447"/>
      <c r="B8749" s="55" t="str">
        <f t="shared" si="542"/>
        <v>ENERO</v>
      </c>
      <c r="C8749" s="55">
        <f t="shared" si="543"/>
        <v>1</v>
      </c>
      <c r="D8749" s="3" t="str">
        <f t="shared" si="544"/>
        <v>SÁBADO</v>
      </c>
      <c r="E8749" s="427"/>
      <c r="F8749" s="31">
        <f>IFERROR(VLOOKUP(E8749,BD!$L$2:$Q$244,2,0),0)</f>
        <v>0</v>
      </c>
      <c r="G8749" s="424"/>
      <c r="H8749" s="31">
        <f>+IFERROR(VLOOKUP(E8749,BD!$L$2:$Q$244,6,0),0)</f>
        <v>0</v>
      </c>
      <c r="I8749" s="626">
        <f>IFERROR(G8749*VLOOKUP($E8749,BD!$L$2:$Q$244,5,0),0)</f>
        <v>0</v>
      </c>
      <c r="J8749" s="3">
        <f t="shared" si="545"/>
        <v>1900</v>
      </c>
    </row>
    <row r="8750" spans="1:10" s="9" customFormat="1" x14ac:dyDescent="0.25">
      <c r="A8750" s="447"/>
      <c r="B8750" s="55" t="str">
        <f t="shared" si="542"/>
        <v>ENERO</v>
      </c>
      <c r="C8750" s="55">
        <f t="shared" si="543"/>
        <v>1</v>
      </c>
      <c r="D8750" s="3" t="str">
        <f t="shared" si="544"/>
        <v>SÁBADO</v>
      </c>
      <c r="E8750" s="427"/>
      <c r="F8750" s="31">
        <f>IFERROR(VLOOKUP(E8750,BD!$L$2:$Q$244,2,0),0)</f>
        <v>0</v>
      </c>
      <c r="G8750" s="424"/>
      <c r="H8750" s="31">
        <f>+IFERROR(VLOOKUP(E8750,BD!$L$2:$Q$244,6,0),0)</f>
        <v>0</v>
      </c>
      <c r="I8750" s="626">
        <f>IFERROR(G8750*VLOOKUP($E8750,BD!$L$2:$Q$244,5,0),0)</f>
        <v>0</v>
      </c>
      <c r="J8750" s="3">
        <f t="shared" si="545"/>
        <v>1900</v>
      </c>
    </row>
    <row r="8751" spans="1:10" s="9" customFormat="1" x14ac:dyDescent="0.25">
      <c r="A8751" s="447"/>
      <c r="B8751" s="55" t="str">
        <f t="shared" si="542"/>
        <v>ENERO</v>
      </c>
      <c r="C8751" s="55">
        <f t="shared" si="543"/>
        <v>1</v>
      </c>
      <c r="D8751" s="3" t="str">
        <f t="shared" si="544"/>
        <v>SÁBADO</v>
      </c>
      <c r="E8751" s="427"/>
      <c r="F8751" s="31">
        <f>IFERROR(VLOOKUP(E8751,BD!$L$2:$Q$244,2,0),0)</f>
        <v>0</v>
      </c>
      <c r="G8751" s="424"/>
      <c r="H8751" s="31">
        <f>+IFERROR(VLOOKUP(E8751,BD!$L$2:$Q$244,6,0),0)</f>
        <v>0</v>
      </c>
      <c r="I8751" s="626">
        <f>IFERROR(G8751*VLOOKUP($E8751,BD!$L$2:$Q$244,5,0),0)</f>
        <v>0</v>
      </c>
      <c r="J8751" s="3">
        <f t="shared" si="545"/>
        <v>1900</v>
      </c>
    </row>
    <row r="8752" spans="1:10" s="9" customFormat="1" x14ac:dyDescent="0.25">
      <c r="A8752" s="447"/>
      <c r="B8752" s="55" t="str">
        <f t="shared" si="542"/>
        <v>ENERO</v>
      </c>
      <c r="C8752" s="55">
        <f t="shared" si="543"/>
        <v>1</v>
      </c>
      <c r="D8752" s="3" t="str">
        <f t="shared" si="544"/>
        <v>SÁBADO</v>
      </c>
      <c r="E8752" s="427"/>
      <c r="F8752" s="31">
        <f>IFERROR(VLOOKUP(E8752,BD!$L$2:$Q$244,2,0),0)</f>
        <v>0</v>
      </c>
      <c r="G8752" s="424"/>
      <c r="H8752" s="31">
        <f>+IFERROR(VLOOKUP(E8752,BD!$L$2:$Q$244,6,0),0)</f>
        <v>0</v>
      </c>
      <c r="I8752" s="626">
        <f>IFERROR(G8752*VLOOKUP($E8752,BD!$L$2:$Q$244,5,0),0)</f>
        <v>0</v>
      </c>
      <c r="J8752" s="3">
        <f t="shared" si="545"/>
        <v>1900</v>
      </c>
    </row>
    <row r="8753" spans="1:10" s="9" customFormat="1" x14ac:dyDescent="0.25">
      <c r="A8753" s="447"/>
      <c r="B8753" s="55" t="str">
        <f t="shared" si="542"/>
        <v>ENERO</v>
      </c>
      <c r="C8753" s="55">
        <f t="shared" si="543"/>
        <v>1</v>
      </c>
      <c r="D8753" s="3" t="str">
        <f t="shared" si="544"/>
        <v>SÁBADO</v>
      </c>
      <c r="E8753" s="427"/>
      <c r="F8753" s="31">
        <f>IFERROR(VLOOKUP(E8753,BD!$L$2:$Q$244,2,0),0)</f>
        <v>0</v>
      </c>
      <c r="G8753" s="424"/>
      <c r="H8753" s="31">
        <f>+IFERROR(VLOOKUP(E8753,BD!$L$2:$Q$244,6,0),0)</f>
        <v>0</v>
      </c>
      <c r="I8753" s="626">
        <f>IFERROR(G8753*VLOOKUP($E8753,BD!$L$2:$Q$244,5,0),0)</f>
        <v>0</v>
      </c>
      <c r="J8753" s="3">
        <f t="shared" si="545"/>
        <v>1900</v>
      </c>
    </row>
    <row r="8754" spans="1:10" s="9" customFormat="1" x14ac:dyDescent="0.25">
      <c r="A8754" s="447"/>
      <c r="B8754" s="55" t="str">
        <f t="shared" si="542"/>
        <v>ENERO</v>
      </c>
      <c r="C8754" s="55">
        <f t="shared" si="543"/>
        <v>1</v>
      </c>
      <c r="D8754" s="3" t="str">
        <f t="shared" si="544"/>
        <v>SÁBADO</v>
      </c>
      <c r="E8754" s="427"/>
      <c r="F8754" s="31">
        <f>IFERROR(VLOOKUP(E8754,BD!$L$2:$Q$244,2,0),0)</f>
        <v>0</v>
      </c>
      <c r="G8754" s="424"/>
      <c r="H8754" s="31">
        <f>+IFERROR(VLOOKUP(E8754,BD!$L$2:$Q$244,6,0),0)</f>
        <v>0</v>
      </c>
      <c r="I8754" s="626">
        <f>IFERROR(G8754*VLOOKUP($E8754,BD!$L$2:$Q$244,5,0),0)</f>
        <v>0</v>
      </c>
      <c r="J8754" s="3">
        <f t="shared" si="545"/>
        <v>1900</v>
      </c>
    </row>
    <row r="8755" spans="1:10" s="9" customFormat="1" x14ac:dyDescent="0.25">
      <c r="A8755" s="447"/>
      <c r="B8755" s="55" t="str">
        <f t="shared" si="542"/>
        <v>ENERO</v>
      </c>
      <c r="C8755" s="55">
        <f t="shared" si="543"/>
        <v>1</v>
      </c>
      <c r="D8755" s="3" t="str">
        <f t="shared" si="544"/>
        <v>SÁBADO</v>
      </c>
      <c r="E8755" s="427"/>
      <c r="F8755" s="31">
        <f>IFERROR(VLOOKUP(E8755,BD!$L$2:$Q$244,2,0),0)</f>
        <v>0</v>
      </c>
      <c r="G8755" s="424"/>
      <c r="H8755" s="31">
        <f>+IFERROR(VLOOKUP(E8755,BD!$L$2:$Q$244,6,0),0)</f>
        <v>0</v>
      </c>
      <c r="I8755" s="626">
        <f>IFERROR(G8755*VLOOKUP($E8755,BD!$L$2:$Q$244,5,0),0)</f>
        <v>0</v>
      </c>
      <c r="J8755" s="3">
        <f t="shared" si="545"/>
        <v>1900</v>
      </c>
    </row>
    <row r="8756" spans="1:10" s="9" customFormat="1" x14ac:dyDescent="0.25">
      <c r="A8756" s="447"/>
      <c r="B8756" s="55" t="str">
        <f t="shared" si="542"/>
        <v>ENERO</v>
      </c>
      <c r="C8756" s="55">
        <f t="shared" si="543"/>
        <v>1</v>
      </c>
      <c r="D8756" s="3" t="str">
        <f t="shared" si="544"/>
        <v>SÁBADO</v>
      </c>
      <c r="E8756" s="427"/>
      <c r="F8756" s="31">
        <f>IFERROR(VLOOKUP(E8756,BD!$L$2:$Q$244,2,0),0)</f>
        <v>0</v>
      </c>
      <c r="G8756" s="424"/>
      <c r="H8756" s="31">
        <f>+IFERROR(VLOOKUP(E8756,BD!$L$2:$Q$244,6,0),0)</f>
        <v>0</v>
      </c>
      <c r="I8756" s="626">
        <f>IFERROR(G8756*VLOOKUP($E8756,BD!$L$2:$Q$244,5,0),0)</f>
        <v>0</v>
      </c>
      <c r="J8756" s="3">
        <f t="shared" si="545"/>
        <v>1900</v>
      </c>
    </row>
    <row r="8757" spans="1:10" s="9" customFormat="1" x14ac:dyDescent="0.25">
      <c r="A8757" s="447"/>
      <c r="B8757" s="55" t="str">
        <f t="shared" si="542"/>
        <v>ENERO</v>
      </c>
      <c r="C8757" s="55">
        <f t="shared" si="543"/>
        <v>1</v>
      </c>
      <c r="D8757" s="3" t="str">
        <f t="shared" si="544"/>
        <v>SÁBADO</v>
      </c>
      <c r="E8757" s="427"/>
      <c r="F8757" s="31">
        <f>IFERROR(VLOOKUP(E8757,BD!$L$2:$Q$244,2,0),0)</f>
        <v>0</v>
      </c>
      <c r="G8757" s="424"/>
      <c r="H8757" s="31">
        <f>+IFERROR(VLOOKUP(E8757,BD!$L$2:$Q$244,6,0),0)</f>
        <v>0</v>
      </c>
      <c r="I8757" s="626">
        <f>IFERROR(G8757*VLOOKUP($E8757,BD!$L$2:$Q$244,5,0),0)</f>
        <v>0</v>
      </c>
      <c r="J8757" s="3">
        <f t="shared" si="545"/>
        <v>1900</v>
      </c>
    </row>
    <row r="8758" spans="1:10" s="9" customFormat="1" x14ac:dyDescent="0.25">
      <c r="A8758" s="447"/>
      <c r="B8758" s="55" t="str">
        <f t="shared" si="542"/>
        <v>ENERO</v>
      </c>
      <c r="C8758" s="55">
        <f t="shared" si="543"/>
        <v>1</v>
      </c>
      <c r="D8758" s="3" t="str">
        <f t="shared" si="544"/>
        <v>SÁBADO</v>
      </c>
      <c r="E8758" s="427"/>
      <c r="F8758" s="31">
        <f>IFERROR(VLOOKUP(E8758,BD!$L$2:$Q$244,2,0),0)</f>
        <v>0</v>
      </c>
      <c r="G8758" s="424"/>
      <c r="H8758" s="31">
        <f>+IFERROR(VLOOKUP(E8758,BD!$L$2:$Q$244,6,0),0)</f>
        <v>0</v>
      </c>
      <c r="I8758" s="626">
        <f>IFERROR(G8758*VLOOKUP($E8758,BD!$L$2:$Q$244,5,0),0)</f>
        <v>0</v>
      </c>
      <c r="J8758" s="3">
        <f t="shared" si="545"/>
        <v>1900</v>
      </c>
    </row>
    <row r="8759" spans="1:10" s="9" customFormat="1" x14ac:dyDescent="0.25">
      <c r="A8759" s="447"/>
      <c r="B8759" s="55" t="str">
        <f t="shared" si="542"/>
        <v>ENERO</v>
      </c>
      <c r="C8759" s="55">
        <f t="shared" si="543"/>
        <v>1</v>
      </c>
      <c r="D8759" s="3" t="str">
        <f t="shared" si="544"/>
        <v>SÁBADO</v>
      </c>
      <c r="E8759" s="427"/>
      <c r="F8759" s="31">
        <f>IFERROR(VLOOKUP(E8759,BD!$L$2:$Q$244,2,0),0)</f>
        <v>0</v>
      </c>
      <c r="G8759" s="424"/>
      <c r="H8759" s="31">
        <f>+IFERROR(VLOOKUP(E8759,BD!$L$2:$Q$244,6,0),0)</f>
        <v>0</v>
      </c>
      <c r="I8759" s="626">
        <f>IFERROR(G8759*VLOOKUP($E8759,BD!$L$2:$Q$244,5,0),0)</f>
        <v>0</v>
      </c>
      <c r="J8759" s="3">
        <f t="shared" si="545"/>
        <v>1900</v>
      </c>
    </row>
    <row r="8760" spans="1:10" s="9" customFormat="1" x14ac:dyDescent="0.25">
      <c r="A8760" s="447"/>
      <c r="B8760" s="55" t="str">
        <f t="shared" si="542"/>
        <v>ENERO</v>
      </c>
      <c r="C8760" s="55">
        <f t="shared" si="543"/>
        <v>1</v>
      </c>
      <c r="D8760" s="3" t="str">
        <f t="shared" si="544"/>
        <v>SÁBADO</v>
      </c>
      <c r="E8760" s="427"/>
      <c r="F8760" s="31">
        <f>IFERROR(VLOOKUP(E8760,BD!$L$2:$Q$244,2,0),0)</f>
        <v>0</v>
      </c>
      <c r="G8760" s="424"/>
      <c r="H8760" s="31">
        <f>+IFERROR(VLOOKUP(E8760,BD!$L$2:$Q$244,6,0),0)</f>
        <v>0</v>
      </c>
      <c r="I8760" s="626">
        <f>IFERROR(G8760*VLOOKUP($E8760,BD!$L$2:$Q$244,5,0),0)</f>
        <v>0</v>
      </c>
      <c r="J8760" s="3">
        <f t="shared" si="545"/>
        <v>1900</v>
      </c>
    </row>
    <row r="8761" spans="1:10" s="9" customFormat="1" x14ac:dyDescent="0.25">
      <c r="A8761" s="447"/>
      <c r="B8761" s="55" t="str">
        <f t="shared" si="542"/>
        <v>ENERO</v>
      </c>
      <c r="C8761" s="55">
        <f t="shared" si="543"/>
        <v>1</v>
      </c>
      <c r="D8761" s="3" t="str">
        <f t="shared" si="544"/>
        <v>SÁBADO</v>
      </c>
      <c r="E8761" s="427"/>
      <c r="F8761" s="31">
        <f>IFERROR(VLOOKUP(E8761,BD!$L$2:$Q$244,2,0),0)</f>
        <v>0</v>
      </c>
      <c r="G8761" s="424"/>
      <c r="H8761" s="31">
        <f>+IFERROR(VLOOKUP(E8761,BD!$L$2:$Q$244,6,0),0)</f>
        <v>0</v>
      </c>
      <c r="I8761" s="626">
        <f>IFERROR(G8761*VLOOKUP($E8761,BD!$L$2:$Q$244,5,0),0)</f>
        <v>0</v>
      </c>
      <c r="J8761" s="3">
        <f t="shared" si="545"/>
        <v>1900</v>
      </c>
    </row>
    <row r="8762" spans="1:10" s="9" customFormat="1" x14ac:dyDescent="0.25">
      <c r="A8762" s="447"/>
      <c r="B8762" s="55" t="str">
        <f t="shared" si="542"/>
        <v>ENERO</v>
      </c>
      <c r="C8762" s="55">
        <f t="shared" si="543"/>
        <v>1</v>
      </c>
      <c r="D8762" s="3" t="str">
        <f t="shared" si="544"/>
        <v>SÁBADO</v>
      </c>
      <c r="E8762" s="427"/>
      <c r="F8762" s="31">
        <f>IFERROR(VLOOKUP(E8762,BD!$L$2:$Q$244,2,0),0)</f>
        <v>0</v>
      </c>
      <c r="G8762" s="424"/>
      <c r="H8762" s="31">
        <f>+IFERROR(VLOOKUP(E8762,BD!$L$2:$Q$244,6,0),0)</f>
        <v>0</v>
      </c>
      <c r="I8762" s="626">
        <f>IFERROR(G8762*VLOOKUP($E8762,BD!$L$2:$Q$244,5,0),0)</f>
        <v>0</v>
      </c>
      <c r="J8762" s="3">
        <f t="shared" si="545"/>
        <v>1900</v>
      </c>
    </row>
    <row r="8763" spans="1:10" s="9" customFormat="1" x14ac:dyDescent="0.25">
      <c r="A8763" s="447"/>
      <c r="B8763" s="55" t="str">
        <f t="shared" si="542"/>
        <v>ENERO</v>
      </c>
      <c r="C8763" s="55">
        <f t="shared" si="543"/>
        <v>1</v>
      </c>
      <c r="D8763" s="3" t="str">
        <f t="shared" si="544"/>
        <v>SÁBADO</v>
      </c>
      <c r="E8763" s="427"/>
      <c r="F8763" s="31">
        <f>IFERROR(VLOOKUP(E8763,BD!$L$2:$Q$244,2,0),0)</f>
        <v>0</v>
      </c>
      <c r="G8763" s="424"/>
      <c r="H8763" s="31">
        <f>+IFERROR(VLOOKUP(E8763,BD!$L$2:$Q$244,6,0),0)</f>
        <v>0</v>
      </c>
      <c r="I8763" s="626">
        <f>IFERROR(G8763*VLOOKUP($E8763,BD!$L$2:$Q$244,5,0),0)</f>
        <v>0</v>
      </c>
      <c r="J8763" s="3">
        <f t="shared" si="545"/>
        <v>1900</v>
      </c>
    </row>
    <row r="8764" spans="1:10" s="9" customFormat="1" x14ac:dyDescent="0.25">
      <c r="A8764" s="447"/>
      <c r="B8764" s="55" t="str">
        <f t="shared" ref="B8764:B8827" si="546">UPPER(TEXT(A8764,"MMMM"))</f>
        <v>ENERO</v>
      </c>
      <c r="C8764" s="55">
        <f t="shared" ref="C8764:C8827" si="547">WEEKNUM(A8764,16)</f>
        <v>1</v>
      </c>
      <c r="D8764" s="3" t="str">
        <f t="shared" ref="D8764:D8827" si="548">UPPER(TEXT(A8764,"DDDD"))</f>
        <v>SÁBADO</v>
      </c>
      <c r="E8764" s="427"/>
      <c r="F8764" s="31">
        <f>IFERROR(VLOOKUP(E8764,BD!$L$2:$Q$244,2,0),0)</f>
        <v>0</v>
      </c>
      <c r="G8764" s="424"/>
      <c r="H8764" s="31">
        <f>+IFERROR(VLOOKUP(E8764,BD!$L$2:$Q$244,6,0),0)</f>
        <v>0</v>
      </c>
      <c r="I8764" s="626">
        <f>IFERROR(G8764*VLOOKUP($E8764,BD!$L$2:$Q$244,5,0),0)</f>
        <v>0</v>
      </c>
      <c r="J8764" s="3">
        <f t="shared" ref="J8764:J8827" si="549">+YEAR(A8764)</f>
        <v>1900</v>
      </c>
    </row>
    <row r="8765" spans="1:10" s="9" customFormat="1" x14ac:dyDescent="0.25">
      <c r="A8765" s="447"/>
      <c r="B8765" s="55" t="str">
        <f t="shared" si="546"/>
        <v>ENERO</v>
      </c>
      <c r="C8765" s="55">
        <f t="shared" si="547"/>
        <v>1</v>
      </c>
      <c r="D8765" s="3" t="str">
        <f t="shared" si="548"/>
        <v>SÁBADO</v>
      </c>
      <c r="E8765" s="427"/>
      <c r="F8765" s="31">
        <f>IFERROR(VLOOKUP(E8765,BD!$L$2:$Q$244,2,0),0)</f>
        <v>0</v>
      </c>
      <c r="G8765" s="424"/>
      <c r="H8765" s="31">
        <f>+IFERROR(VLOOKUP(E8765,BD!$L$2:$Q$244,6,0),0)</f>
        <v>0</v>
      </c>
      <c r="I8765" s="626">
        <f>IFERROR(G8765*VLOOKUP($E8765,BD!$L$2:$Q$244,5,0),0)</f>
        <v>0</v>
      </c>
      <c r="J8765" s="3">
        <f t="shared" si="549"/>
        <v>1900</v>
      </c>
    </row>
    <row r="8766" spans="1:10" s="9" customFormat="1" x14ac:dyDescent="0.25">
      <c r="A8766" s="447"/>
      <c r="B8766" s="55" t="str">
        <f t="shared" si="546"/>
        <v>ENERO</v>
      </c>
      <c r="C8766" s="55">
        <f t="shared" si="547"/>
        <v>1</v>
      </c>
      <c r="D8766" s="3" t="str">
        <f t="shared" si="548"/>
        <v>SÁBADO</v>
      </c>
      <c r="E8766" s="427"/>
      <c r="F8766" s="31">
        <f>IFERROR(VLOOKUP(E8766,BD!$L$2:$Q$244,2,0),0)</f>
        <v>0</v>
      </c>
      <c r="G8766" s="424"/>
      <c r="H8766" s="31">
        <f>+IFERROR(VLOOKUP(E8766,BD!$L$2:$Q$244,6,0),0)</f>
        <v>0</v>
      </c>
      <c r="I8766" s="626">
        <f>IFERROR(G8766*VLOOKUP($E8766,BD!$L$2:$Q$244,5,0),0)</f>
        <v>0</v>
      </c>
      <c r="J8766" s="3">
        <f t="shared" si="549"/>
        <v>1900</v>
      </c>
    </row>
    <row r="8767" spans="1:10" s="9" customFormat="1" x14ac:dyDescent="0.25">
      <c r="A8767" s="447"/>
      <c r="B8767" s="55" t="str">
        <f t="shared" si="546"/>
        <v>ENERO</v>
      </c>
      <c r="C8767" s="55">
        <f t="shared" si="547"/>
        <v>1</v>
      </c>
      <c r="D8767" s="3" t="str">
        <f t="shared" si="548"/>
        <v>SÁBADO</v>
      </c>
      <c r="E8767" s="427"/>
      <c r="F8767" s="31">
        <f>IFERROR(VLOOKUP(E8767,BD!$L$2:$Q$244,2,0),0)</f>
        <v>0</v>
      </c>
      <c r="G8767" s="424"/>
      <c r="H8767" s="31">
        <f>+IFERROR(VLOOKUP(E8767,BD!$L$2:$Q$244,6,0),0)</f>
        <v>0</v>
      </c>
      <c r="I8767" s="626">
        <f>IFERROR(G8767*VLOOKUP($E8767,BD!$L$2:$Q$244,5,0),0)</f>
        <v>0</v>
      </c>
      <c r="J8767" s="3">
        <f t="shared" si="549"/>
        <v>1900</v>
      </c>
    </row>
    <row r="8768" spans="1:10" s="9" customFormat="1" x14ac:dyDescent="0.25">
      <c r="A8768" s="447"/>
      <c r="B8768" s="55" t="str">
        <f t="shared" si="546"/>
        <v>ENERO</v>
      </c>
      <c r="C8768" s="55">
        <f t="shared" si="547"/>
        <v>1</v>
      </c>
      <c r="D8768" s="3" t="str">
        <f t="shared" si="548"/>
        <v>SÁBADO</v>
      </c>
      <c r="E8768" s="427"/>
      <c r="F8768" s="31">
        <f>IFERROR(VLOOKUP(E8768,BD!$L$2:$Q$244,2,0),0)</f>
        <v>0</v>
      </c>
      <c r="G8768" s="424"/>
      <c r="H8768" s="31">
        <f>+IFERROR(VLOOKUP(E8768,BD!$L$2:$Q$244,6,0),0)</f>
        <v>0</v>
      </c>
      <c r="I8768" s="626">
        <f>IFERROR(G8768*VLOOKUP($E8768,BD!$L$2:$Q$244,5,0),0)</f>
        <v>0</v>
      </c>
      <c r="J8768" s="3">
        <f t="shared" si="549"/>
        <v>1900</v>
      </c>
    </row>
    <row r="8769" spans="1:10" s="9" customFormat="1" x14ac:dyDescent="0.25">
      <c r="A8769" s="447"/>
      <c r="B8769" s="55" t="str">
        <f t="shared" si="546"/>
        <v>ENERO</v>
      </c>
      <c r="C8769" s="55">
        <f t="shared" si="547"/>
        <v>1</v>
      </c>
      <c r="D8769" s="3" t="str">
        <f t="shared" si="548"/>
        <v>SÁBADO</v>
      </c>
      <c r="E8769" s="427"/>
      <c r="F8769" s="31">
        <f>IFERROR(VLOOKUP(E8769,BD!$L$2:$Q$244,2,0),0)</f>
        <v>0</v>
      </c>
      <c r="G8769" s="424"/>
      <c r="H8769" s="31">
        <f>+IFERROR(VLOOKUP(E8769,BD!$L$2:$Q$244,6,0),0)</f>
        <v>0</v>
      </c>
      <c r="I8769" s="626">
        <f>IFERROR(G8769*VLOOKUP($E8769,BD!$L$2:$Q$244,5,0),0)</f>
        <v>0</v>
      </c>
      <c r="J8769" s="3">
        <f t="shared" si="549"/>
        <v>1900</v>
      </c>
    </row>
    <row r="8770" spans="1:10" s="9" customFormat="1" x14ac:dyDescent="0.25">
      <c r="A8770" s="447"/>
      <c r="B8770" s="55" t="str">
        <f t="shared" si="546"/>
        <v>ENERO</v>
      </c>
      <c r="C8770" s="55">
        <f t="shared" si="547"/>
        <v>1</v>
      </c>
      <c r="D8770" s="3" t="str">
        <f t="shared" si="548"/>
        <v>SÁBADO</v>
      </c>
      <c r="E8770" s="427"/>
      <c r="F8770" s="31">
        <f>IFERROR(VLOOKUP(E8770,BD!$L$2:$Q$244,2,0),0)</f>
        <v>0</v>
      </c>
      <c r="G8770" s="424"/>
      <c r="H8770" s="31">
        <f>+IFERROR(VLOOKUP(E8770,BD!$L$2:$Q$244,6,0),0)</f>
        <v>0</v>
      </c>
      <c r="I8770" s="626">
        <f>IFERROR(G8770*VLOOKUP($E8770,BD!$L$2:$Q$244,5,0),0)</f>
        <v>0</v>
      </c>
      <c r="J8770" s="3">
        <f t="shared" si="549"/>
        <v>1900</v>
      </c>
    </row>
    <row r="8771" spans="1:10" s="9" customFormat="1" x14ac:dyDescent="0.25">
      <c r="A8771" s="447"/>
      <c r="B8771" s="55" t="str">
        <f t="shared" si="546"/>
        <v>ENERO</v>
      </c>
      <c r="C8771" s="55">
        <f t="shared" si="547"/>
        <v>1</v>
      </c>
      <c r="D8771" s="3" t="str">
        <f t="shared" si="548"/>
        <v>SÁBADO</v>
      </c>
      <c r="E8771" s="427"/>
      <c r="F8771" s="31">
        <f>IFERROR(VLOOKUP(E8771,BD!$L$2:$Q$244,2,0),0)</f>
        <v>0</v>
      </c>
      <c r="G8771" s="424"/>
      <c r="H8771" s="31">
        <f>+IFERROR(VLOOKUP(E8771,BD!$L$2:$Q$244,6,0),0)</f>
        <v>0</v>
      </c>
      <c r="I8771" s="626">
        <f>IFERROR(G8771*VLOOKUP($E8771,BD!$L$2:$Q$244,5,0),0)</f>
        <v>0</v>
      </c>
      <c r="J8771" s="3">
        <f t="shared" si="549"/>
        <v>1900</v>
      </c>
    </row>
    <row r="8772" spans="1:10" s="9" customFormat="1" x14ac:dyDescent="0.25">
      <c r="A8772" s="447"/>
      <c r="B8772" s="55" t="str">
        <f t="shared" si="546"/>
        <v>ENERO</v>
      </c>
      <c r="C8772" s="55">
        <f t="shared" si="547"/>
        <v>1</v>
      </c>
      <c r="D8772" s="3" t="str">
        <f t="shared" si="548"/>
        <v>SÁBADO</v>
      </c>
      <c r="E8772" s="427"/>
      <c r="F8772" s="31">
        <f>IFERROR(VLOOKUP(E8772,BD!$L$2:$Q$244,2,0),0)</f>
        <v>0</v>
      </c>
      <c r="G8772" s="424"/>
      <c r="H8772" s="31">
        <f>+IFERROR(VLOOKUP(E8772,BD!$L$2:$Q$244,6,0),0)</f>
        <v>0</v>
      </c>
      <c r="I8772" s="626">
        <f>IFERROR(G8772*VLOOKUP($E8772,BD!$L$2:$Q$244,5,0),0)</f>
        <v>0</v>
      </c>
      <c r="J8772" s="3">
        <f t="shared" si="549"/>
        <v>1900</v>
      </c>
    </row>
    <row r="8773" spans="1:10" s="9" customFormat="1" x14ac:dyDescent="0.25">
      <c r="A8773" s="447"/>
      <c r="B8773" s="55" t="str">
        <f t="shared" si="546"/>
        <v>ENERO</v>
      </c>
      <c r="C8773" s="55">
        <f t="shared" si="547"/>
        <v>1</v>
      </c>
      <c r="D8773" s="3" t="str">
        <f t="shared" si="548"/>
        <v>SÁBADO</v>
      </c>
      <c r="E8773" s="427"/>
      <c r="F8773" s="31">
        <f>IFERROR(VLOOKUP(E8773,BD!$L$2:$Q$244,2,0),0)</f>
        <v>0</v>
      </c>
      <c r="G8773" s="424"/>
      <c r="H8773" s="31">
        <f>+IFERROR(VLOOKUP(E8773,BD!$L$2:$Q$244,6,0),0)</f>
        <v>0</v>
      </c>
      <c r="I8773" s="626">
        <f>IFERROR(G8773*VLOOKUP($E8773,BD!$L$2:$Q$244,5,0),0)</f>
        <v>0</v>
      </c>
      <c r="J8773" s="3">
        <f t="shared" si="549"/>
        <v>1900</v>
      </c>
    </row>
    <row r="8774" spans="1:10" s="9" customFormat="1" x14ac:dyDescent="0.25">
      <c r="A8774" s="447"/>
      <c r="B8774" s="55" t="str">
        <f t="shared" si="546"/>
        <v>ENERO</v>
      </c>
      <c r="C8774" s="55">
        <f t="shared" si="547"/>
        <v>1</v>
      </c>
      <c r="D8774" s="3" t="str">
        <f t="shared" si="548"/>
        <v>SÁBADO</v>
      </c>
      <c r="E8774" s="427"/>
      <c r="F8774" s="31">
        <f>IFERROR(VLOOKUP(E8774,BD!$L$2:$Q$244,2,0),0)</f>
        <v>0</v>
      </c>
      <c r="G8774" s="424"/>
      <c r="H8774" s="31">
        <f>+IFERROR(VLOOKUP(E8774,BD!$L$2:$Q$244,6,0),0)</f>
        <v>0</v>
      </c>
      <c r="I8774" s="626">
        <f>IFERROR(G8774*VLOOKUP($E8774,BD!$L$2:$Q$244,5,0),0)</f>
        <v>0</v>
      </c>
      <c r="J8774" s="3">
        <f t="shared" si="549"/>
        <v>1900</v>
      </c>
    </row>
    <row r="8775" spans="1:10" s="9" customFormat="1" x14ac:dyDescent="0.25">
      <c r="A8775" s="447"/>
      <c r="B8775" s="55" t="str">
        <f t="shared" si="546"/>
        <v>ENERO</v>
      </c>
      <c r="C8775" s="55">
        <f t="shared" si="547"/>
        <v>1</v>
      </c>
      <c r="D8775" s="3" t="str">
        <f t="shared" si="548"/>
        <v>SÁBADO</v>
      </c>
      <c r="E8775" s="427"/>
      <c r="F8775" s="31">
        <f>IFERROR(VLOOKUP(E8775,BD!$L$2:$Q$244,2,0),0)</f>
        <v>0</v>
      </c>
      <c r="G8775" s="424"/>
      <c r="H8775" s="31">
        <f>+IFERROR(VLOOKUP(E8775,BD!$L$2:$Q$244,6,0),0)</f>
        <v>0</v>
      </c>
      <c r="I8775" s="626">
        <f>IFERROR(G8775*VLOOKUP($E8775,BD!$L$2:$Q$244,5,0),0)</f>
        <v>0</v>
      </c>
      <c r="J8775" s="3">
        <f t="shared" si="549"/>
        <v>1900</v>
      </c>
    </row>
    <row r="8776" spans="1:10" s="9" customFormat="1" x14ac:dyDescent="0.25">
      <c r="A8776" s="447"/>
      <c r="B8776" s="55" t="str">
        <f t="shared" si="546"/>
        <v>ENERO</v>
      </c>
      <c r="C8776" s="55">
        <f t="shared" si="547"/>
        <v>1</v>
      </c>
      <c r="D8776" s="3" t="str">
        <f t="shared" si="548"/>
        <v>SÁBADO</v>
      </c>
      <c r="E8776" s="427"/>
      <c r="F8776" s="31">
        <f>IFERROR(VLOOKUP(E8776,BD!$L$2:$Q$244,2,0),0)</f>
        <v>0</v>
      </c>
      <c r="G8776" s="424"/>
      <c r="H8776" s="31">
        <f>+IFERROR(VLOOKUP(E8776,BD!$L$2:$Q$244,6,0),0)</f>
        <v>0</v>
      </c>
      <c r="I8776" s="626">
        <f>IFERROR(G8776*VLOOKUP($E8776,BD!$L$2:$Q$244,5,0),0)</f>
        <v>0</v>
      </c>
      <c r="J8776" s="3">
        <f t="shared" si="549"/>
        <v>1900</v>
      </c>
    </row>
    <row r="8777" spans="1:10" s="9" customFormat="1" x14ac:dyDescent="0.25">
      <c r="A8777" s="447"/>
      <c r="B8777" s="55" t="str">
        <f t="shared" si="546"/>
        <v>ENERO</v>
      </c>
      <c r="C8777" s="55">
        <f t="shared" si="547"/>
        <v>1</v>
      </c>
      <c r="D8777" s="3" t="str">
        <f t="shared" si="548"/>
        <v>SÁBADO</v>
      </c>
      <c r="E8777" s="427"/>
      <c r="F8777" s="31">
        <f>IFERROR(VLOOKUP(E8777,BD!$L$2:$Q$244,2,0),0)</f>
        <v>0</v>
      </c>
      <c r="G8777" s="424"/>
      <c r="H8777" s="31">
        <f>+IFERROR(VLOOKUP(E8777,BD!$L$2:$Q$244,6,0),0)</f>
        <v>0</v>
      </c>
      <c r="I8777" s="626">
        <f>IFERROR(G8777*VLOOKUP($E8777,BD!$L$2:$Q$244,5,0),0)</f>
        <v>0</v>
      </c>
      <c r="J8777" s="3">
        <f t="shared" si="549"/>
        <v>1900</v>
      </c>
    </row>
    <row r="8778" spans="1:10" s="9" customFormat="1" x14ac:dyDescent="0.25">
      <c r="A8778" s="447"/>
      <c r="B8778" s="55" t="str">
        <f t="shared" si="546"/>
        <v>ENERO</v>
      </c>
      <c r="C8778" s="55">
        <f t="shared" si="547"/>
        <v>1</v>
      </c>
      <c r="D8778" s="3" t="str">
        <f t="shared" si="548"/>
        <v>SÁBADO</v>
      </c>
      <c r="E8778" s="427"/>
      <c r="F8778" s="31">
        <f>IFERROR(VLOOKUP(E8778,BD!$L$2:$Q$244,2,0),0)</f>
        <v>0</v>
      </c>
      <c r="G8778" s="424"/>
      <c r="H8778" s="31">
        <f>+IFERROR(VLOOKUP(E8778,BD!$L$2:$Q$244,6,0),0)</f>
        <v>0</v>
      </c>
      <c r="I8778" s="626">
        <f>IFERROR(G8778*VLOOKUP($E8778,BD!$L$2:$Q$244,5,0),0)</f>
        <v>0</v>
      </c>
      <c r="J8778" s="3">
        <f t="shared" si="549"/>
        <v>1900</v>
      </c>
    </row>
    <row r="8779" spans="1:10" s="9" customFormat="1" x14ac:dyDescent="0.25">
      <c r="A8779" s="447"/>
      <c r="B8779" s="55" t="str">
        <f t="shared" si="546"/>
        <v>ENERO</v>
      </c>
      <c r="C8779" s="55">
        <f t="shared" si="547"/>
        <v>1</v>
      </c>
      <c r="D8779" s="3" t="str">
        <f t="shared" si="548"/>
        <v>SÁBADO</v>
      </c>
      <c r="E8779" s="427"/>
      <c r="F8779" s="31">
        <f>IFERROR(VLOOKUP(E8779,BD!$L$2:$Q$244,2,0),0)</f>
        <v>0</v>
      </c>
      <c r="G8779" s="424"/>
      <c r="H8779" s="31">
        <f>+IFERROR(VLOOKUP(E8779,BD!$L$2:$Q$244,6,0),0)</f>
        <v>0</v>
      </c>
      <c r="I8779" s="626">
        <f>IFERROR(G8779*VLOOKUP($E8779,BD!$L$2:$Q$244,5,0),0)</f>
        <v>0</v>
      </c>
      <c r="J8779" s="3">
        <f t="shared" si="549"/>
        <v>1900</v>
      </c>
    </row>
    <row r="8780" spans="1:10" s="9" customFormat="1" x14ac:dyDescent="0.25">
      <c r="A8780" s="447"/>
      <c r="B8780" s="55" t="str">
        <f t="shared" si="546"/>
        <v>ENERO</v>
      </c>
      <c r="C8780" s="55">
        <f t="shared" si="547"/>
        <v>1</v>
      </c>
      <c r="D8780" s="3" t="str">
        <f t="shared" si="548"/>
        <v>SÁBADO</v>
      </c>
      <c r="E8780" s="427"/>
      <c r="F8780" s="31">
        <f>IFERROR(VLOOKUP(E8780,BD!$L$2:$Q$244,2,0),0)</f>
        <v>0</v>
      </c>
      <c r="G8780" s="424"/>
      <c r="H8780" s="31">
        <f>+IFERROR(VLOOKUP(E8780,BD!$L$2:$Q$244,6,0),0)</f>
        <v>0</v>
      </c>
      <c r="I8780" s="626">
        <f>IFERROR(G8780*VLOOKUP($E8780,BD!$L$2:$Q$244,5,0),0)</f>
        <v>0</v>
      </c>
      <c r="J8780" s="3">
        <f t="shared" si="549"/>
        <v>1900</v>
      </c>
    </row>
    <row r="8781" spans="1:10" s="9" customFormat="1" x14ac:dyDescent="0.25">
      <c r="A8781" s="447"/>
      <c r="B8781" s="55" t="str">
        <f t="shared" si="546"/>
        <v>ENERO</v>
      </c>
      <c r="C8781" s="55">
        <f t="shared" si="547"/>
        <v>1</v>
      </c>
      <c r="D8781" s="3" t="str">
        <f t="shared" si="548"/>
        <v>SÁBADO</v>
      </c>
      <c r="E8781" s="427"/>
      <c r="F8781" s="31">
        <f>IFERROR(VLOOKUP(E8781,BD!$L$2:$Q$244,2,0),0)</f>
        <v>0</v>
      </c>
      <c r="G8781" s="424"/>
      <c r="H8781" s="31">
        <f>+IFERROR(VLOOKUP(E8781,BD!$L$2:$Q$244,6,0),0)</f>
        <v>0</v>
      </c>
      <c r="I8781" s="626">
        <f>IFERROR(G8781*VLOOKUP($E8781,BD!$L$2:$Q$244,5,0),0)</f>
        <v>0</v>
      </c>
      <c r="J8781" s="3">
        <f t="shared" si="549"/>
        <v>1900</v>
      </c>
    </row>
    <row r="8782" spans="1:10" s="9" customFormat="1" x14ac:dyDescent="0.25">
      <c r="A8782" s="447"/>
      <c r="B8782" s="55" t="str">
        <f t="shared" si="546"/>
        <v>ENERO</v>
      </c>
      <c r="C8782" s="55">
        <f t="shared" si="547"/>
        <v>1</v>
      </c>
      <c r="D8782" s="3" t="str">
        <f t="shared" si="548"/>
        <v>SÁBADO</v>
      </c>
      <c r="E8782" s="427"/>
      <c r="F8782" s="31">
        <f>IFERROR(VLOOKUP(E8782,BD!$L$2:$Q$244,2,0),0)</f>
        <v>0</v>
      </c>
      <c r="G8782" s="424"/>
      <c r="H8782" s="31">
        <f>+IFERROR(VLOOKUP(E8782,BD!$L$2:$Q$244,6,0),0)</f>
        <v>0</v>
      </c>
      <c r="I8782" s="626">
        <f>IFERROR(G8782*VLOOKUP($E8782,BD!$L$2:$Q$244,5,0),0)</f>
        <v>0</v>
      </c>
      <c r="J8782" s="3">
        <f t="shared" si="549"/>
        <v>1900</v>
      </c>
    </row>
    <row r="8783" spans="1:10" s="9" customFormat="1" x14ac:dyDescent="0.25">
      <c r="A8783" s="447"/>
      <c r="B8783" s="55" t="str">
        <f t="shared" si="546"/>
        <v>ENERO</v>
      </c>
      <c r="C8783" s="55">
        <f t="shared" si="547"/>
        <v>1</v>
      </c>
      <c r="D8783" s="3" t="str">
        <f t="shared" si="548"/>
        <v>SÁBADO</v>
      </c>
      <c r="E8783" s="427"/>
      <c r="F8783" s="31">
        <f>IFERROR(VLOOKUP(E8783,BD!$L$2:$Q$244,2,0),0)</f>
        <v>0</v>
      </c>
      <c r="G8783" s="424"/>
      <c r="H8783" s="31">
        <f>+IFERROR(VLOOKUP(E8783,BD!$L$2:$Q$244,6,0),0)</f>
        <v>0</v>
      </c>
      <c r="I8783" s="626">
        <f>IFERROR(G8783*VLOOKUP($E8783,BD!$L$2:$Q$244,5,0),0)</f>
        <v>0</v>
      </c>
      <c r="J8783" s="3">
        <f t="shared" si="549"/>
        <v>1900</v>
      </c>
    </row>
    <row r="8784" spans="1:10" s="9" customFormat="1" x14ac:dyDescent="0.25">
      <c r="A8784" s="447"/>
      <c r="B8784" s="55" t="str">
        <f t="shared" si="546"/>
        <v>ENERO</v>
      </c>
      <c r="C8784" s="55">
        <f t="shared" si="547"/>
        <v>1</v>
      </c>
      <c r="D8784" s="3" t="str">
        <f t="shared" si="548"/>
        <v>SÁBADO</v>
      </c>
      <c r="E8784" s="427"/>
      <c r="F8784" s="31">
        <f>IFERROR(VLOOKUP(E8784,BD!$L$2:$Q$244,2,0),0)</f>
        <v>0</v>
      </c>
      <c r="G8784" s="424"/>
      <c r="H8784" s="31">
        <f>+IFERROR(VLOOKUP(E8784,BD!$L$2:$Q$244,6,0),0)</f>
        <v>0</v>
      </c>
      <c r="I8784" s="626">
        <f>IFERROR(G8784*VLOOKUP($E8784,BD!$L$2:$Q$244,5,0),0)</f>
        <v>0</v>
      </c>
      <c r="J8784" s="3">
        <f t="shared" si="549"/>
        <v>1900</v>
      </c>
    </row>
    <row r="8785" spans="1:10" s="9" customFormat="1" x14ac:dyDescent="0.25">
      <c r="A8785" s="447"/>
      <c r="B8785" s="55" t="str">
        <f t="shared" si="546"/>
        <v>ENERO</v>
      </c>
      <c r="C8785" s="55">
        <f t="shared" si="547"/>
        <v>1</v>
      </c>
      <c r="D8785" s="3" t="str">
        <f t="shared" si="548"/>
        <v>SÁBADO</v>
      </c>
      <c r="E8785" s="427"/>
      <c r="F8785" s="31">
        <f>IFERROR(VLOOKUP(E8785,BD!$L$2:$Q$244,2,0),0)</f>
        <v>0</v>
      </c>
      <c r="G8785" s="424"/>
      <c r="H8785" s="31">
        <f>+IFERROR(VLOOKUP(E8785,BD!$L$2:$Q$244,6,0),0)</f>
        <v>0</v>
      </c>
      <c r="I8785" s="626">
        <f>IFERROR(G8785*VLOOKUP($E8785,BD!$L$2:$Q$244,5,0),0)</f>
        <v>0</v>
      </c>
      <c r="J8785" s="3">
        <f t="shared" si="549"/>
        <v>1900</v>
      </c>
    </row>
    <row r="8786" spans="1:10" s="9" customFormat="1" x14ac:dyDescent="0.25">
      <c r="A8786" s="447"/>
      <c r="B8786" s="55" t="str">
        <f t="shared" si="546"/>
        <v>ENERO</v>
      </c>
      <c r="C8786" s="55">
        <f t="shared" si="547"/>
        <v>1</v>
      </c>
      <c r="D8786" s="3" t="str">
        <f t="shared" si="548"/>
        <v>SÁBADO</v>
      </c>
      <c r="E8786" s="427"/>
      <c r="F8786" s="31">
        <f>IFERROR(VLOOKUP(E8786,BD!$L$2:$Q$244,2,0),0)</f>
        <v>0</v>
      </c>
      <c r="G8786" s="424"/>
      <c r="H8786" s="31">
        <f>+IFERROR(VLOOKUP(E8786,BD!$L$2:$Q$244,6,0),0)</f>
        <v>0</v>
      </c>
      <c r="I8786" s="626">
        <f>IFERROR(G8786*VLOOKUP($E8786,BD!$L$2:$Q$244,5,0),0)</f>
        <v>0</v>
      </c>
      <c r="J8786" s="3">
        <f t="shared" si="549"/>
        <v>1900</v>
      </c>
    </row>
    <row r="8787" spans="1:10" s="9" customFormat="1" x14ac:dyDescent="0.25">
      <c r="A8787" s="447"/>
      <c r="B8787" s="55" t="str">
        <f t="shared" si="546"/>
        <v>ENERO</v>
      </c>
      <c r="C8787" s="55">
        <f t="shared" si="547"/>
        <v>1</v>
      </c>
      <c r="D8787" s="3" t="str">
        <f t="shared" si="548"/>
        <v>SÁBADO</v>
      </c>
      <c r="E8787" s="427"/>
      <c r="F8787" s="31">
        <f>IFERROR(VLOOKUP(E8787,BD!$L$2:$Q$244,2,0),0)</f>
        <v>0</v>
      </c>
      <c r="G8787" s="424"/>
      <c r="H8787" s="31">
        <f>+IFERROR(VLOOKUP(E8787,BD!$L$2:$Q$244,6,0),0)</f>
        <v>0</v>
      </c>
      <c r="I8787" s="626">
        <f>IFERROR(G8787*VLOOKUP($E8787,BD!$L$2:$Q$244,5,0),0)</f>
        <v>0</v>
      </c>
      <c r="J8787" s="3">
        <f t="shared" si="549"/>
        <v>1900</v>
      </c>
    </row>
    <row r="8788" spans="1:10" s="9" customFormat="1" x14ac:dyDescent="0.25">
      <c r="A8788" s="447"/>
      <c r="B8788" s="55" t="str">
        <f t="shared" si="546"/>
        <v>ENERO</v>
      </c>
      <c r="C8788" s="55">
        <f t="shared" si="547"/>
        <v>1</v>
      </c>
      <c r="D8788" s="3" t="str">
        <f t="shared" si="548"/>
        <v>SÁBADO</v>
      </c>
      <c r="E8788" s="427"/>
      <c r="F8788" s="31">
        <f>IFERROR(VLOOKUP(E8788,BD!$L$2:$Q$244,2,0),0)</f>
        <v>0</v>
      </c>
      <c r="G8788" s="424"/>
      <c r="H8788" s="31">
        <f>+IFERROR(VLOOKUP(E8788,BD!$L$2:$Q$244,6,0),0)</f>
        <v>0</v>
      </c>
      <c r="I8788" s="626">
        <f>IFERROR(G8788*VLOOKUP($E8788,BD!$L$2:$Q$244,5,0),0)</f>
        <v>0</v>
      </c>
      <c r="J8788" s="3">
        <f t="shared" si="549"/>
        <v>1900</v>
      </c>
    </row>
    <row r="8789" spans="1:10" s="9" customFormat="1" x14ac:dyDescent="0.25">
      <c r="A8789" s="447"/>
      <c r="B8789" s="55" t="str">
        <f t="shared" si="546"/>
        <v>ENERO</v>
      </c>
      <c r="C8789" s="55">
        <f t="shared" si="547"/>
        <v>1</v>
      </c>
      <c r="D8789" s="3" t="str">
        <f t="shared" si="548"/>
        <v>SÁBADO</v>
      </c>
      <c r="E8789" s="427"/>
      <c r="F8789" s="31">
        <f>IFERROR(VLOOKUP(E8789,BD!$L$2:$Q$244,2,0),0)</f>
        <v>0</v>
      </c>
      <c r="G8789" s="424"/>
      <c r="H8789" s="31">
        <f>+IFERROR(VLOOKUP(E8789,BD!$L$2:$Q$244,6,0),0)</f>
        <v>0</v>
      </c>
      <c r="I8789" s="626">
        <f>IFERROR(G8789*VLOOKUP($E8789,BD!$L$2:$Q$244,5,0),0)</f>
        <v>0</v>
      </c>
      <c r="J8789" s="3">
        <f t="shared" si="549"/>
        <v>1900</v>
      </c>
    </row>
    <row r="8790" spans="1:10" s="9" customFormat="1" x14ac:dyDescent="0.25">
      <c r="A8790" s="447"/>
      <c r="B8790" s="55" t="str">
        <f t="shared" si="546"/>
        <v>ENERO</v>
      </c>
      <c r="C8790" s="55">
        <f t="shared" si="547"/>
        <v>1</v>
      </c>
      <c r="D8790" s="3" t="str">
        <f t="shared" si="548"/>
        <v>SÁBADO</v>
      </c>
      <c r="E8790" s="427"/>
      <c r="F8790" s="31">
        <f>IFERROR(VLOOKUP(E8790,BD!$L$2:$Q$244,2,0),0)</f>
        <v>0</v>
      </c>
      <c r="G8790" s="424"/>
      <c r="H8790" s="31">
        <f>+IFERROR(VLOOKUP(E8790,BD!$L$2:$Q$244,6,0),0)</f>
        <v>0</v>
      </c>
      <c r="I8790" s="626">
        <f>IFERROR(G8790*VLOOKUP($E8790,BD!$L$2:$Q$244,5,0),0)</f>
        <v>0</v>
      </c>
      <c r="J8790" s="3">
        <f t="shared" si="549"/>
        <v>1900</v>
      </c>
    </row>
    <row r="8791" spans="1:10" s="9" customFormat="1" x14ac:dyDescent="0.25">
      <c r="A8791" s="447"/>
      <c r="B8791" s="55" t="str">
        <f t="shared" si="546"/>
        <v>ENERO</v>
      </c>
      <c r="C8791" s="55">
        <f t="shared" si="547"/>
        <v>1</v>
      </c>
      <c r="D8791" s="3" t="str">
        <f t="shared" si="548"/>
        <v>SÁBADO</v>
      </c>
      <c r="E8791" s="427"/>
      <c r="F8791" s="31">
        <f>IFERROR(VLOOKUP(E8791,BD!$L$2:$Q$244,2,0),0)</f>
        <v>0</v>
      </c>
      <c r="G8791" s="424"/>
      <c r="H8791" s="31">
        <f>+IFERROR(VLOOKUP(E8791,BD!$L$2:$Q$244,6,0),0)</f>
        <v>0</v>
      </c>
      <c r="I8791" s="626">
        <f>IFERROR(G8791*VLOOKUP($E8791,BD!$L$2:$Q$244,5,0),0)</f>
        <v>0</v>
      </c>
      <c r="J8791" s="3">
        <f t="shared" si="549"/>
        <v>1900</v>
      </c>
    </row>
    <row r="8792" spans="1:10" s="9" customFormat="1" x14ac:dyDescent="0.25">
      <c r="A8792" s="447"/>
      <c r="B8792" s="55" t="str">
        <f t="shared" si="546"/>
        <v>ENERO</v>
      </c>
      <c r="C8792" s="55">
        <f t="shared" si="547"/>
        <v>1</v>
      </c>
      <c r="D8792" s="3" t="str">
        <f t="shared" si="548"/>
        <v>SÁBADO</v>
      </c>
      <c r="E8792" s="427"/>
      <c r="F8792" s="31">
        <f>IFERROR(VLOOKUP(E8792,BD!$L$2:$Q$244,2,0),0)</f>
        <v>0</v>
      </c>
      <c r="G8792" s="424"/>
      <c r="H8792" s="31">
        <f>+IFERROR(VLOOKUP(E8792,BD!$L$2:$Q$244,6,0),0)</f>
        <v>0</v>
      </c>
      <c r="I8792" s="626">
        <f>IFERROR(G8792*VLOOKUP($E8792,BD!$L$2:$Q$244,5,0),0)</f>
        <v>0</v>
      </c>
      <c r="J8792" s="3">
        <f t="shared" si="549"/>
        <v>1900</v>
      </c>
    </row>
    <row r="8793" spans="1:10" s="9" customFormat="1" x14ac:dyDescent="0.25">
      <c r="A8793" s="447"/>
      <c r="B8793" s="55" t="str">
        <f t="shared" si="546"/>
        <v>ENERO</v>
      </c>
      <c r="C8793" s="55">
        <f t="shared" si="547"/>
        <v>1</v>
      </c>
      <c r="D8793" s="3" t="str">
        <f t="shared" si="548"/>
        <v>SÁBADO</v>
      </c>
      <c r="E8793" s="427"/>
      <c r="F8793" s="31">
        <f>IFERROR(VLOOKUP(E8793,BD!$L$2:$Q$244,2,0),0)</f>
        <v>0</v>
      </c>
      <c r="G8793" s="424"/>
      <c r="H8793" s="31">
        <f>+IFERROR(VLOOKUP(E8793,BD!$L$2:$Q$244,6,0),0)</f>
        <v>0</v>
      </c>
      <c r="I8793" s="626">
        <f>IFERROR(G8793*VLOOKUP($E8793,BD!$L$2:$Q$244,5,0),0)</f>
        <v>0</v>
      </c>
      <c r="J8793" s="3">
        <f t="shared" si="549"/>
        <v>1900</v>
      </c>
    </row>
    <row r="8794" spans="1:10" s="9" customFormat="1" x14ac:dyDescent="0.25">
      <c r="A8794" s="447"/>
      <c r="B8794" s="55" t="str">
        <f t="shared" si="546"/>
        <v>ENERO</v>
      </c>
      <c r="C8794" s="55">
        <f t="shared" si="547"/>
        <v>1</v>
      </c>
      <c r="D8794" s="3" t="str">
        <f t="shared" si="548"/>
        <v>SÁBADO</v>
      </c>
      <c r="E8794" s="427"/>
      <c r="F8794" s="31">
        <f>IFERROR(VLOOKUP(E8794,BD!$L$2:$Q$244,2,0),0)</f>
        <v>0</v>
      </c>
      <c r="G8794" s="424"/>
      <c r="H8794" s="31">
        <f>+IFERROR(VLOOKUP(E8794,BD!$L$2:$Q$244,6,0),0)</f>
        <v>0</v>
      </c>
      <c r="I8794" s="626">
        <f>IFERROR(G8794*VLOOKUP($E8794,BD!$L$2:$Q$244,5,0),0)</f>
        <v>0</v>
      </c>
      <c r="J8794" s="3">
        <f t="shared" si="549"/>
        <v>1900</v>
      </c>
    </row>
    <row r="8795" spans="1:10" s="9" customFormat="1" x14ac:dyDescent="0.25">
      <c r="A8795" s="447"/>
      <c r="B8795" s="55" t="str">
        <f t="shared" si="546"/>
        <v>ENERO</v>
      </c>
      <c r="C8795" s="55">
        <f t="shared" si="547"/>
        <v>1</v>
      </c>
      <c r="D8795" s="3" t="str">
        <f t="shared" si="548"/>
        <v>SÁBADO</v>
      </c>
      <c r="E8795" s="427"/>
      <c r="F8795" s="31">
        <f>IFERROR(VLOOKUP(E8795,BD!$L$2:$Q$244,2,0),0)</f>
        <v>0</v>
      </c>
      <c r="G8795" s="424"/>
      <c r="H8795" s="31">
        <f>+IFERROR(VLOOKUP(E8795,BD!$L$2:$Q$244,6,0),0)</f>
        <v>0</v>
      </c>
      <c r="I8795" s="626">
        <f>IFERROR(G8795*VLOOKUP($E8795,BD!$L$2:$Q$244,5,0),0)</f>
        <v>0</v>
      </c>
      <c r="J8795" s="3">
        <f t="shared" si="549"/>
        <v>1900</v>
      </c>
    </row>
    <row r="8796" spans="1:10" s="9" customFormat="1" x14ac:dyDescent="0.25">
      <c r="A8796" s="447"/>
      <c r="B8796" s="55" t="str">
        <f t="shared" si="546"/>
        <v>ENERO</v>
      </c>
      <c r="C8796" s="55">
        <f t="shared" si="547"/>
        <v>1</v>
      </c>
      <c r="D8796" s="3" t="str">
        <f t="shared" si="548"/>
        <v>SÁBADO</v>
      </c>
      <c r="E8796" s="427"/>
      <c r="F8796" s="31">
        <f>IFERROR(VLOOKUP(E8796,BD!$L$2:$Q$244,2,0),0)</f>
        <v>0</v>
      </c>
      <c r="G8796" s="424"/>
      <c r="H8796" s="31">
        <f>+IFERROR(VLOOKUP(E8796,BD!$L$2:$Q$244,6,0),0)</f>
        <v>0</v>
      </c>
      <c r="I8796" s="626">
        <f>IFERROR(G8796*VLOOKUP($E8796,BD!$L$2:$Q$244,5,0),0)</f>
        <v>0</v>
      </c>
      <c r="J8796" s="3">
        <f t="shared" si="549"/>
        <v>1900</v>
      </c>
    </row>
    <row r="8797" spans="1:10" s="9" customFormat="1" x14ac:dyDescent="0.25">
      <c r="A8797" s="447"/>
      <c r="B8797" s="55" t="str">
        <f t="shared" si="546"/>
        <v>ENERO</v>
      </c>
      <c r="C8797" s="55">
        <f t="shared" si="547"/>
        <v>1</v>
      </c>
      <c r="D8797" s="3" t="str">
        <f t="shared" si="548"/>
        <v>SÁBADO</v>
      </c>
      <c r="E8797" s="427"/>
      <c r="F8797" s="31">
        <f>IFERROR(VLOOKUP(E8797,BD!$L$2:$Q$244,2,0),0)</f>
        <v>0</v>
      </c>
      <c r="G8797" s="424"/>
      <c r="H8797" s="31">
        <f>+IFERROR(VLOOKUP(E8797,BD!$L$2:$Q$244,6,0),0)</f>
        <v>0</v>
      </c>
      <c r="I8797" s="626">
        <f>IFERROR(G8797*VLOOKUP($E8797,BD!$L$2:$Q$244,5,0),0)</f>
        <v>0</v>
      </c>
      <c r="J8797" s="3">
        <f t="shared" si="549"/>
        <v>1900</v>
      </c>
    </row>
    <row r="8798" spans="1:10" s="9" customFormat="1" x14ac:dyDescent="0.25">
      <c r="A8798" s="447"/>
      <c r="B8798" s="55" t="str">
        <f t="shared" si="546"/>
        <v>ENERO</v>
      </c>
      <c r="C8798" s="55">
        <f t="shared" si="547"/>
        <v>1</v>
      </c>
      <c r="D8798" s="3" t="str">
        <f t="shared" si="548"/>
        <v>SÁBADO</v>
      </c>
      <c r="E8798" s="427"/>
      <c r="F8798" s="31">
        <f>IFERROR(VLOOKUP(E8798,BD!$L$2:$Q$244,2,0),0)</f>
        <v>0</v>
      </c>
      <c r="G8798" s="424"/>
      <c r="H8798" s="31">
        <f>+IFERROR(VLOOKUP(E8798,BD!$L$2:$Q$244,6,0),0)</f>
        <v>0</v>
      </c>
      <c r="I8798" s="626">
        <f>IFERROR(G8798*VLOOKUP($E8798,BD!$L$2:$Q$244,5,0),0)</f>
        <v>0</v>
      </c>
      <c r="J8798" s="3">
        <f t="shared" si="549"/>
        <v>1900</v>
      </c>
    </row>
    <row r="8799" spans="1:10" s="9" customFormat="1" x14ac:dyDescent="0.25">
      <c r="A8799" s="447"/>
      <c r="B8799" s="55" t="str">
        <f t="shared" si="546"/>
        <v>ENERO</v>
      </c>
      <c r="C8799" s="55">
        <f t="shared" si="547"/>
        <v>1</v>
      </c>
      <c r="D8799" s="3" t="str">
        <f t="shared" si="548"/>
        <v>SÁBADO</v>
      </c>
      <c r="E8799" s="427"/>
      <c r="F8799" s="31">
        <f>IFERROR(VLOOKUP(E8799,BD!$L$2:$Q$244,2,0),0)</f>
        <v>0</v>
      </c>
      <c r="G8799" s="424"/>
      <c r="H8799" s="31">
        <f>+IFERROR(VLOOKUP(E8799,BD!$L$2:$Q$244,6,0),0)</f>
        <v>0</v>
      </c>
      <c r="I8799" s="626">
        <f>IFERROR(G8799*VLOOKUP($E8799,BD!$L$2:$Q$244,5,0),0)</f>
        <v>0</v>
      </c>
      <c r="J8799" s="3">
        <f t="shared" si="549"/>
        <v>1900</v>
      </c>
    </row>
    <row r="8800" spans="1:10" s="9" customFormat="1" x14ac:dyDescent="0.25">
      <c r="A8800" s="447"/>
      <c r="B8800" s="55" t="str">
        <f t="shared" si="546"/>
        <v>ENERO</v>
      </c>
      <c r="C8800" s="55">
        <f t="shared" si="547"/>
        <v>1</v>
      </c>
      <c r="D8800" s="3" t="str">
        <f t="shared" si="548"/>
        <v>SÁBADO</v>
      </c>
      <c r="E8800" s="427"/>
      <c r="F8800" s="31">
        <f>IFERROR(VLOOKUP(E8800,BD!$L$2:$Q$244,2,0),0)</f>
        <v>0</v>
      </c>
      <c r="G8800" s="424"/>
      <c r="H8800" s="31">
        <f>+IFERROR(VLOOKUP(E8800,BD!$L$2:$Q$244,6,0),0)</f>
        <v>0</v>
      </c>
      <c r="I8800" s="626">
        <f>IFERROR(G8800*VLOOKUP($E8800,BD!$L$2:$Q$244,5,0),0)</f>
        <v>0</v>
      </c>
      <c r="J8800" s="3">
        <f t="shared" si="549"/>
        <v>1900</v>
      </c>
    </row>
    <row r="8801" spans="1:10" s="9" customFormat="1" x14ac:dyDescent="0.25">
      <c r="A8801" s="447"/>
      <c r="B8801" s="55" t="str">
        <f t="shared" si="546"/>
        <v>ENERO</v>
      </c>
      <c r="C8801" s="55">
        <f t="shared" si="547"/>
        <v>1</v>
      </c>
      <c r="D8801" s="3" t="str">
        <f t="shared" si="548"/>
        <v>SÁBADO</v>
      </c>
      <c r="E8801" s="427"/>
      <c r="F8801" s="31">
        <f>IFERROR(VLOOKUP(E8801,BD!$L$2:$Q$244,2,0),0)</f>
        <v>0</v>
      </c>
      <c r="G8801" s="424"/>
      <c r="H8801" s="31">
        <f>+IFERROR(VLOOKUP(E8801,BD!$L$2:$Q$244,6,0),0)</f>
        <v>0</v>
      </c>
      <c r="I8801" s="626">
        <f>IFERROR(G8801*VLOOKUP($E8801,BD!$L$2:$Q$244,5,0),0)</f>
        <v>0</v>
      </c>
      <c r="J8801" s="3">
        <f t="shared" si="549"/>
        <v>1900</v>
      </c>
    </row>
    <row r="8802" spans="1:10" s="9" customFormat="1" x14ac:dyDescent="0.25">
      <c r="A8802" s="447"/>
      <c r="B8802" s="55" t="str">
        <f t="shared" si="546"/>
        <v>ENERO</v>
      </c>
      <c r="C8802" s="55">
        <f t="shared" si="547"/>
        <v>1</v>
      </c>
      <c r="D8802" s="3" t="str">
        <f t="shared" si="548"/>
        <v>SÁBADO</v>
      </c>
      <c r="E8802" s="427"/>
      <c r="F8802" s="31">
        <f>IFERROR(VLOOKUP(E8802,BD!$L$2:$Q$244,2,0),0)</f>
        <v>0</v>
      </c>
      <c r="G8802" s="425"/>
      <c r="H8802" s="31">
        <f>+IFERROR(VLOOKUP(E8802,BD!$L$2:$Q$244,6,0),0)</f>
        <v>0</v>
      </c>
      <c r="I8802" s="626">
        <f>IFERROR(G8802*VLOOKUP($E8802,BD!$L$2:$Q$244,5,0),0)</f>
        <v>0</v>
      </c>
      <c r="J8802" s="3">
        <f t="shared" si="549"/>
        <v>1900</v>
      </c>
    </row>
    <row r="8803" spans="1:10" s="9" customFormat="1" x14ac:dyDescent="0.25">
      <c r="A8803" s="447"/>
      <c r="B8803" s="55" t="str">
        <f t="shared" si="546"/>
        <v>ENERO</v>
      </c>
      <c r="C8803" s="55">
        <f t="shared" si="547"/>
        <v>1</v>
      </c>
      <c r="D8803" s="3" t="str">
        <f t="shared" si="548"/>
        <v>SÁBADO</v>
      </c>
      <c r="E8803" s="427"/>
      <c r="F8803" s="31">
        <f>IFERROR(VLOOKUP(E8803,BD!$L$2:$Q$244,2,0),0)</f>
        <v>0</v>
      </c>
      <c r="G8803" s="424"/>
      <c r="H8803" s="31">
        <f>+IFERROR(VLOOKUP(E8803,BD!$L$2:$Q$244,6,0),0)</f>
        <v>0</v>
      </c>
      <c r="I8803" s="626">
        <f>IFERROR(G8803*VLOOKUP($E8803,BD!$L$2:$Q$244,5,0),0)</f>
        <v>0</v>
      </c>
      <c r="J8803" s="3">
        <f t="shared" si="549"/>
        <v>1900</v>
      </c>
    </row>
    <row r="8804" spans="1:10" s="9" customFormat="1" x14ac:dyDescent="0.25">
      <c r="A8804" s="447"/>
      <c r="B8804" s="55" t="str">
        <f t="shared" si="546"/>
        <v>ENERO</v>
      </c>
      <c r="C8804" s="55">
        <f t="shared" si="547"/>
        <v>1</v>
      </c>
      <c r="D8804" s="3" t="str">
        <f t="shared" si="548"/>
        <v>SÁBADO</v>
      </c>
      <c r="E8804" s="427"/>
      <c r="F8804" s="31">
        <f>IFERROR(VLOOKUP(E8804,BD!$L$2:$Q$244,2,0),0)</f>
        <v>0</v>
      </c>
      <c r="G8804" s="424"/>
      <c r="H8804" s="31">
        <f>+IFERROR(VLOOKUP(E8804,BD!$L$2:$Q$244,6,0),0)</f>
        <v>0</v>
      </c>
      <c r="I8804" s="626">
        <f>IFERROR(G8804*VLOOKUP($E8804,BD!$L$2:$Q$244,5,0),0)</f>
        <v>0</v>
      </c>
      <c r="J8804" s="3">
        <f t="shared" si="549"/>
        <v>1900</v>
      </c>
    </row>
    <row r="8805" spans="1:10" s="9" customFormat="1" x14ac:dyDescent="0.25">
      <c r="A8805" s="447"/>
      <c r="B8805" s="55" t="str">
        <f t="shared" si="546"/>
        <v>ENERO</v>
      </c>
      <c r="C8805" s="55">
        <f t="shared" si="547"/>
        <v>1</v>
      </c>
      <c r="D8805" s="3" t="str">
        <f t="shared" si="548"/>
        <v>SÁBADO</v>
      </c>
      <c r="E8805" s="427"/>
      <c r="F8805" s="31">
        <f>IFERROR(VLOOKUP(E8805,BD!$L$2:$Q$244,2,0),0)</f>
        <v>0</v>
      </c>
      <c r="G8805" s="424"/>
      <c r="H8805" s="31">
        <f>+IFERROR(VLOOKUP(E8805,BD!$L$2:$Q$244,6,0),0)</f>
        <v>0</v>
      </c>
      <c r="I8805" s="626">
        <f>IFERROR(G8805*VLOOKUP($E8805,BD!$L$2:$Q$244,5,0),0)</f>
        <v>0</v>
      </c>
      <c r="J8805" s="3">
        <f t="shared" si="549"/>
        <v>1900</v>
      </c>
    </row>
    <row r="8806" spans="1:10" s="9" customFormat="1" x14ac:dyDescent="0.25">
      <c r="A8806" s="447"/>
      <c r="B8806" s="55" t="str">
        <f t="shared" si="546"/>
        <v>ENERO</v>
      </c>
      <c r="C8806" s="55">
        <f t="shared" si="547"/>
        <v>1</v>
      </c>
      <c r="D8806" s="3" t="str">
        <f t="shared" si="548"/>
        <v>SÁBADO</v>
      </c>
      <c r="E8806" s="427"/>
      <c r="F8806" s="31">
        <f>IFERROR(VLOOKUP(E8806,BD!$L$2:$Q$244,2,0),0)</f>
        <v>0</v>
      </c>
      <c r="G8806" s="424"/>
      <c r="H8806" s="31">
        <f>+IFERROR(VLOOKUP(E8806,BD!$L$2:$Q$244,6,0),0)</f>
        <v>0</v>
      </c>
      <c r="I8806" s="626">
        <f>IFERROR(G8806*VLOOKUP($E8806,BD!$L$2:$Q$244,5,0),0)</f>
        <v>0</v>
      </c>
      <c r="J8806" s="3">
        <f t="shared" si="549"/>
        <v>1900</v>
      </c>
    </row>
    <row r="8807" spans="1:10" s="9" customFormat="1" x14ac:dyDescent="0.25">
      <c r="A8807" s="447"/>
      <c r="B8807" s="55" t="str">
        <f t="shared" si="546"/>
        <v>ENERO</v>
      </c>
      <c r="C8807" s="55">
        <f t="shared" si="547"/>
        <v>1</v>
      </c>
      <c r="D8807" s="3" t="str">
        <f t="shared" si="548"/>
        <v>SÁBADO</v>
      </c>
      <c r="E8807" s="427"/>
      <c r="F8807" s="31">
        <f>IFERROR(VLOOKUP(E8807,BD!$L$2:$Q$244,2,0),0)</f>
        <v>0</v>
      </c>
      <c r="G8807" s="424"/>
      <c r="H8807" s="31">
        <f>+IFERROR(VLOOKUP(E8807,BD!$L$2:$Q$244,6,0),0)</f>
        <v>0</v>
      </c>
      <c r="I8807" s="626">
        <f>IFERROR(G8807*VLOOKUP($E8807,BD!$L$2:$Q$244,5,0),0)</f>
        <v>0</v>
      </c>
      <c r="J8807" s="3">
        <f t="shared" si="549"/>
        <v>1900</v>
      </c>
    </row>
    <row r="8808" spans="1:10" s="9" customFormat="1" x14ac:dyDescent="0.25">
      <c r="A8808" s="447"/>
      <c r="B8808" s="55" t="str">
        <f t="shared" si="546"/>
        <v>ENERO</v>
      </c>
      <c r="C8808" s="55">
        <f t="shared" si="547"/>
        <v>1</v>
      </c>
      <c r="D8808" s="3" t="str">
        <f t="shared" si="548"/>
        <v>SÁBADO</v>
      </c>
      <c r="E8808" s="427"/>
      <c r="F8808" s="31">
        <f>IFERROR(VLOOKUP(E8808,BD!$L$2:$Q$244,2,0),0)</f>
        <v>0</v>
      </c>
      <c r="G8808" s="424"/>
      <c r="H8808" s="31">
        <f>+IFERROR(VLOOKUP(E8808,BD!$L$2:$Q$244,6,0),0)</f>
        <v>0</v>
      </c>
      <c r="I8808" s="626">
        <f>IFERROR(G8808*VLOOKUP($E8808,BD!$L$2:$Q$244,5,0),0)</f>
        <v>0</v>
      </c>
      <c r="J8808" s="3">
        <f t="shared" si="549"/>
        <v>1900</v>
      </c>
    </row>
    <row r="8809" spans="1:10" s="9" customFormat="1" x14ac:dyDescent="0.25">
      <c r="A8809" s="447"/>
      <c r="B8809" s="55" t="str">
        <f t="shared" si="546"/>
        <v>ENERO</v>
      </c>
      <c r="C8809" s="55">
        <f t="shared" si="547"/>
        <v>1</v>
      </c>
      <c r="D8809" s="3" t="str">
        <f t="shared" si="548"/>
        <v>SÁBADO</v>
      </c>
      <c r="E8809" s="427"/>
      <c r="F8809" s="31">
        <f>IFERROR(VLOOKUP(E8809,BD!$L$2:$Q$244,2,0),0)</f>
        <v>0</v>
      </c>
      <c r="G8809" s="424"/>
      <c r="H8809" s="31">
        <f>+IFERROR(VLOOKUP(E8809,BD!$L$2:$Q$244,6,0),0)</f>
        <v>0</v>
      </c>
      <c r="I8809" s="626">
        <f>IFERROR(G8809*VLOOKUP($E8809,BD!$L$2:$Q$244,5,0),0)</f>
        <v>0</v>
      </c>
      <c r="J8809" s="3">
        <f t="shared" si="549"/>
        <v>1900</v>
      </c>
    </row>
    <row r="8810" spans="1:10" s="9" customFormat="1" x14ac:dyDescent="0.25">
      <c r="A8810" s="447"/>
      <c r="B8810" s="55" t="str">
        <f t="shared" si="546"/>
        <v>ENERO</v>
      </c>
      <c r="C8810" s="55">
        <f t="shared" si="547"/>
        <v>1</v>
      </c>
      <c r="D8810" s="3" t="str">
        <f t="shared" si="548"/>
        <v>SÁBADO</v>
      </c>
      <c r="E8810" s="427"/>
      <c r="F8810" s="31">
        <f>IFERROR(VLOOKUP(E8810,BD!$L$2:$Q$244,2,0),0)</f>
        <v>0</v>
      </c>
      <c r="G8810" s="424"/>
      <c r="H8810" s="31">
        <f>+IFERROR(VLOOKUP(E8810,BD!$L$2:$Q$244,6,0),0)</f>
        <v>0</v>
      </c>
      <c r="I8810" s="626">
        <f>IFERROR(G8810*VLOOKUP($E8810,BD!$L$2:$Q$244,5,0),0)</f>
        <v>0</v>
      </c>
      <c r="J8810" s="3">
        <f t="shared" si="549"/>
        <v>1900</v>
      </c>
    </row>
    <row r="8811" spans="1:10" s="9" customFormat="1" x14ac:dyDescent="0.25">
      <c r="A8811" s="447"/>
      <c r="B8811" s="55" t="str">
        <f t="shared" si="546"/>
        <v>ENERO</v>
      </c>
      <c r="C8811" s="55">
        <f t="shared" si="547"/>
        <v>1</v>
      </c>
      <c r="D8811" s="3" t="str">
        <f t="shared" si="548"/>
        <v>SÁBADO</v>
      </c>
      <c r="E8811" s="427"/>
      <c r="F8811" s="31">
        <f>IFERROR(VLOOKUP(E8811,BD!$L$2:$Q$244,2,0),0)</f>
        <v>0</v>
      </c>
      <c r="G8811" s="424"/>
      <c r="H8811" s="31">
        <f>+IFERROR(VLOOKUP(E8811,BD!$L$2:$Q$244,6,0),0)</f>
        <v>0</v>
      </c>
      <c r="I8811" s="626">
        <f>IFERROR(G8811*VLOOKUP($E8811,BD!$L$2:$Q$244,5,0),0)</f>
        <v>0</v>
      </c>
      <c r="J8811" s="3">
        <f t="shared" si="549"/>
        <v>1900</v>
      </c>
    </row>
    <row r="8812" spans="1:10" s="9" customFormat="1" x14ac:dyDescent="0.25">
      <c r="A8812" s="447"/>
      <c r="B8812" s="55" t="str">
        <f t="shared" si="546"/>
        <v>ENERO</v>
      </c>
      <c r="C8812" s="55">
        <f t="shared" si="547"/>
        <v>1</v>
      </c>
      <c r="D8812" s="3" t="str">
        <f t="shared" si="548"/>
        <v>SÁBADO</v>
      </c>
      <c r="E8812" s="427"/>
      <c r="F8812" s="31">
        <f>IFERROR(VLOOKUP(E8812,BD!$L$2:$Q$244,2,0),0)</f>
        <v>0</v>
      </c>
      <c r="G8812" s="424"/>
      <c r="H8812" s="31">
        <f>+IFERROR(VLOOKUP(E8812,BD!$L$2:$Q$244,6,0),0)</f>
        <v>0</v>
      </c>
      <c r="I8812" s="626">
        <f>IFERROR(G8812*VLOOKUP($E8812,BD!$L$2:$Q$244,5,0),0)</f>
        <v>0</v>
      </c>
      <c r="J8812" s="3">
        <f t="shared" si="549"/>
        <v>1900</v>
      </c>
    </row>
    <row r="8813" spans="1:10" s="9" customFormat="1" x14ac:dyDescent="0.25">
      <c r="A8813" s="447"/>
      <c r="B8813" s="55" t="str">
        <f t="shared" si="546"/>
        <v>ENERO</v>
      </c>
      <c r="C8813" s="55">
        <f t="shared" si="547"/>
        <v>1</v>
      </c>
      <c r="D8813" s="3" t="str">
        <f t="shared" si="548"/>
        <v>SÁBADO</v>
      </c>
      <c r="E8813" s="427"/>
      <c r="F8813" s="31">
        <f>IFERROR(VLOOKUP(E8813,BD!$L$2:$Q$244,2,0),0)</f>
        <v>0</v>
      </c>
      <c r="G8813" s="424"/>
      <c r="H8813" s="31">
        <f>+IFERROR(VLOOKUP(E8813,BD!$L$2:$Q$244,6,0),0)</f>
        <v>0</v>
      </c>
      <c r="I8813" s="626">
        <f>IFERROR(G8813*VLOOKUP($E8813,BD!$L$2:$Q$244,5,0),0)</f>
        <v>0</v>
      </c>
      <c r="J8813" s="3">
        <f t="shared" si="549"/>
        <v>1900</v>
      </c>
    </row>
    <row r="8814" spans="1:10" s="9" customFormat="1" x14ac:dyDescent="0.25">
      <c r="A8814" s="447"/>
      <c r="B8814" s="55" t="str">
        <f t="shared" si="546"/>
        <v>ENERO</v>
      </c>
      <c r="C8814" s="55">
        <f t="shared" si="547"/>
        <v>1</v>
      </c>
      <c r="D8814" s="3" t="str">
        <f t="shared" si="548"/>
        <v>SÁBADO</v>
      </c>
      <c r="E8814" s="427"/>
      <c r="F8814" s="31">
        <f>IFERROR(VLOOKUP(E8814,BD!$L$2:$Q$244,2,0),0)</f>
        <v>0</v>
      </c>
      <c r="G8814" s="424"/>
      <c r="H8814" s="31">
        <f>+IFERROR(VLOOKUP(E8814,BD!$L$2:$Q$244,6,0),0)</f>
        <v>0</v>
      </c>
      <c r="I8814" s="626">
        <f>IFERROR(G8814*VLOOKUP($E8814,BD!$L$2:$Q$244,5,0),0)</f>
        <v>0</v>
      </c>
      <c r="J8814" s="3">
        <f t="shared" si="549"/>
        <v>1900</v>
      </c>
    </row>
    <row r="8815" spans="1:10" s="9" customFormat="1" x14ac:dyDescent="0.25">
      <c r="A8815" s="447"/>
      <c r="B8815" s="55" t="str">
        <f t="shared" si="546"/>
        <v>ENERO</v>
      </c>
      <c r="C8815" s="55">
        <f t="shared" si="547"/>
        <v>1</v>
      </c>
      <c r="D8815" s="3" t="str">
        <f t="shared" si="548"/>
        <v>SÁBADO</v>
      </c>
      <c r="E8815" s="427"/>
      <c r="F8815" s="31">
        <f>IFERROR(VLOOKUP(E8815,BD!$L$2:$Q$244,2,0),0)</f>
        <v>0</v>
      </c>
      <c r="G8815" s="424"/>
      <c r="H8815" s="31">
        <f>+IFERROR(VLOOKUP(E8815,BD!$L$2:$Q$244,6,0),0)</f>
        <v>0</v>
      </c>
      <c r="I8815" s="626">
        <f>IFERROR(G8815*VLOOKUP($E8815,BD!$L$2:$Q$244,5,0),0)</f>
        <v>0</v>
      </c>
      <c r="J8815" s="3">
        <f t="shared" si="549"/>
        <v>1900</v>
      </c>
    </row>
    <row r="8816" spans="1:10" s="9" customFormat="1" x14ac:dyDescent="0.25">
      <c r="A8816" s="447"/>
      <c r="B8816" s="55" t="str">
        <f t="shared" si="546"/>
        <v>ENERO</v>
      </c>
      <c r="C8816" s="55">
        <f t="shared" si="547"/>
        <v>1</v>
      </c>
      <c r="D8816" s="3" t="str">
        <f t="shared" si="548"/>
        <v>SÁBADO</v>
      </c>
      <c r="E8816" s="427"/>
      <c r="F8816" s="31">
        <f>IFERROR(VLOOKUP(E8816,BD!$L$2:$Q$244,2,0),0)</f>
        <v>0</v>
      </c>
      <c r="G8816" s="424"/>
      <c r="H8816" s="31">
        <f>+IFERROR(VLOOKUP(E8816,BD!$L$2:$Q$244,6,0),0)</f>
        <v>0</v>
      </c>
      <c r="I8816" s="626">
        <f>IFERROR(G8816*VLOOKUP($E8816,BD!$L$2:$Q$244,5,0),0)</f>
        <v>0</v>
      </c>
      <c r="J8816" s="3">
        <f t="shared" si="549"/>
        <v>1900</v>
      </c>
    </row>
    <row r="8817" spans="1:10" s="9" customFormat="1" x14ac:dyDescent="0.25">
      <c r="A8817" s="447"/>
      <c r="B8817" s="55" t="str">
        <f t="shared" si="546"/>
        <v>ENERO</v>
      </c>
      <c r="C8817" s="55">
        <f t="shared" si="547"/>
        <v>1</v>
      </c>
      <c r="D8817" s="3" t="str">
        <f t="shared" si="548"/>
        <v>SÁBADO</v>
      </c>
      <c r="E8817" s="427"/>
      <c r="F8817" s="31">
        <f>IFERROR(VLOOKUP(E8817,BD!$L$2:$Q$244,2,0),0)</f>
        <v>0</v>
      </c>
      <c r="G8817" s="424"/>
      <c r="H8817" s="31">
        <f>+IFERROR(VLOOKUP(E8817,BD!$L$2:$Q$244,6,0),0)</f>
        <v>0</v>
      </c>
      <c r="I8817" s="626">
        <f>IFERROR(G8817*VLOOKUP($E8817,BD!$L$2:$Q$244,5,0),0)</f>
        <v>0</v>
      </c>
      <c r="J8817" s="3">
        <f t="shared" si="549"/>
        <v>1900</v>
      </c>
    </row>
    <row r="8818" spans="1:10" s="9" customFormat="1" x14ac:dyDescent="0.25">
      <c r="A8818" s="447"/>
      <c r="B8818" s="55" t="str">
        <f t="shared" si="546"/>
        <v>ENERO</v>
      </c>
      <c r="C8818" s="55">
        <f t="shared" si="547"/>
        <v>1</v>
      </c>
      <c r="D8818" s="3" t="str">
        <f t="shared" si="548"/>
        <v>SÁBADO</v>
      </c>
      <c r="E8818" s="427"/>
      <c r="F8818" s="31">
        <f>IFERROR(VLOOKUP(E8818,BD!$L$2:$Q$244,2,0),0)</f>
        <v>0</v>
      </c>
      <c r="G8818" s="424"/>
      <c r="H8818" s="31">
        <f>+IFERROR(VLOOKUP(E8818,BD!$L$2:$Q$244,6,0),0)</f>
        <v>0</v>
      </c>
      <c r="I8818" s="626">
        <f>IFERROR(G8818*VLOOKUP($E8818,BD!$L$2:$Q$244,5,0),0)</f>
        <v>0</v>
      </c>
      <c r="J8818" s="3">
        <f t="shared" si="549"/>
        <v>1900</v>
      </c>
    </row>
    <row r="8819" spans="1:10" s="9" customFormat="1" x14ac:dyDescent="0.25">
      <c r="A8819" s="447"/>
      <c r="B8819" s="55" t="str">
        <f t="shared" si="546"/>
        <v>ENERO</v>
      </c>
      <c r="C8819" s="55">
        <f t="shared" si="547"/>
        <v>1</v>
      </c>
      <c r="D8819" s="3" t="str">
        <f t="shared" si="548"/>
        <v>SÁBADO</v>
      </c>
      <c r="E8819" s="427"/>
      <c r="F8819" s="31">
        <f>IFERROR(VLOOKUP(E8819,BD!$L$2:$Q$244,2,0),0)</f>
        <v>0</v>
      </c>
      <c r="G8819" s="424"/>
      <c r="H8819" s="31">
        <f>+IFERROR(VLOOKUP(E8819,BD!$L$2:$Q$244,6,0),0)</f>
        <v>0</v>
      </c>
      <c r="I8819" s="626">
        <f>IFERROR(G8819*VLOOKUP($E8819,BD!$L$2:$Q$244,5,0),0)</f>
        <v>0</v>
      </c>
      <c r="J8819" s="3">
        <f t="shared" si="549"/>
        <v>1900</v>
      </c>
    </row>
    <row r="8820" spans="1:10" s="9" customFormat="1" x14ac:dyDescent="0.25">
      <c r="A8820" s="447"/>
      <c r="B8820" s="55" t="str">
        <f t="shared" si="546"/>
        <v>ENERO</v>
      </c>
      <c r="C8820" s="55">
        <f t="shared" si="547"/>
        <v>1</v>
      </c>
      <c r="D8820" s="3" t="str">
        <f t="shared" si="548"/>
        <v>SÁBADO</v>
      </c>
      <c r="E8820" s="427"/>
      <c r="F8820" s="31">
        <f>IFERROR(VLOOKUP(E8820,BD!$L$2:$Q$244,2,0),0)</f>
        <v>0</v>
      </c>
      <c r="G8820" s="424"/>
      <c r="H8820" s="31">
        <f>+IFERROR(VLOOKUP(E8820,BD!$L$2:$Q$244,6,0),0)</f>
        <v>0</v>
      </c>
      <c r="I8820" s="626">
        <f>IFERROR(G8820*VLOOKUP($E8820,BD!$L$2:$Q$244,5,0),0)</f>
        <v>0</v>
      </c>
      <c r="J8820" s="3">
        <f t="shared" si="549"/>
        <v>1900</v>
      </c>
    </row>
    <row r="8821" spans="1:10" s="9" customFormat="1" x14ac:dyDescent="0.25">
      <c r="A8821" s="447"/>
      <c r="B8821" s="55" t="str">
        <f t="shared" si="546"/>
        <v>ENERO</v>
      </c>
      <c r="C8821" s="55">
        <f t="shared" si="547"/>
        <v>1</v>
      </c>
      <c r="D8821" s="3" t="str">
        <f t="shared" si="548"/>
        <v>SÁBADO</v>
      </c>
      <c r="E8821" s="427"/>
      <c r="F8821" s="31">
        <f>IFERROR(VLOOKUP(E8821,BD!$L$2:$Q$244,2,0),0)</f>
        <v>0</v>
      </c>
      <c r="G8821" s="424"/>
      <c r="H8821" s="31">
        <f>+IFERROR(VLOOKUP(E8821,BD!$L$2:$Q$244,6,0),0)</f>
        <v>0</v>
      </c>
      <c r="I8821" s="626">
        <f>IFERROR(G8821*VLOOKUP($E8821,BD!$L$2:$Q$244,5,0),0)</f>
        <v>0</v>
      </c>
      <c r="J8821" s="3">
        <f t="shared" si="549"/>
        <v>1900</v>
      </c>
    </row>
    <row r="8822" spans="1:10" s="9" customFormat="1" x14ac:dyDescent="0.25">
      <c r="A8822" s="447"/>
      <c r="B8822" s="55" t="str">
        <f t="shared" si="546"/>
        <v>ENERO</v>
      </c>
      <c r="C8822" s="55">
        <f t="shared" si="547"/>
        <v>1</v>
      </c>
      <c r="D8822" s="3" t="str">
        <f t="shared" si="548"/>
        <v>SÁBADO</v>
      </c>
      <c r="E8822" s="427"/>
      <c r="F8822" s="31">
        <f>IFERROR(VLOOKUP(E8822,BD!$L$2:$Q$244,2,0),0)</f>
        <v>0</v>
      </c>
      <c r="G8822" s="424"/>
      <c r="H8822" s="31">
        <f>+IFERROR(VLOOKUP(E8822,BD!$L$2:$Q$244,6,0),0)</f>
        <v>0</v>
      </c>
      <c r="I8822" s="626">
        <f>IFERROR(G8822*VLOOKUP($E8822,BD!$L$2:$Q$244,5,0),0)</f>
        <v>0</v>
      </c>
      <c r="J8822" s="3">
        <f t="shared" si="549"/>
        <v>1900</v>
      </c>
    </row>
    <row r="8823" spans="1:10" s="9" customFormat="1" x14ac:dyDescent="0.25">
      <c r="A8823" s="447"/>
      <c r="B8823" s="55" t="str">
        <f t="shared" si="546"/>
        <v>ENERO</v>
      </c>
      <c r="C8823" s="55">
        <f t="shared" si="547"/>
        <v>1</v>
      </c>
      <c r="D8823" s="3" t="str">
        <f t="shared" si="548"/>
        <v>SÁBADO</v>
      </c>
      <c r="E8823" s="427"/>
      <c r="F8823" s="31">
        <f>IFERROR(VLOOKUP(E8823,BD!$L$2:$Q$244,2,0),0)</f>
        <v>0</v>
      </c>
      <c r="G8823" s="424"/>
      <c r="H8823" s="31">
        <f>+IFERROR(VLOOKUP(E8823,BD!$L$2:$Q$244,6,0),0)</f>
        <v>0</v>
      </c>
      <c r="I8823" s="626">
        <f>IFERROR(G8823*VLOOKUP($E8823,BD!$L$2:$Q$244,5,0),0)</f>
        <v>0</v>
      </c>
      <c r="J8823" s="3">
        <f t="shared" si="549"/>
        <v>1900</v>
      </c>
    </row>
    <row r="8824" spans="1:10" s="9" customFormat="1" x14ac:dyDescent="0.25">
      <c r="A8824" s="447"/>
      <c r="B8824" s="55" t="str">
        <f t="shared" si="546"/>
        <v>ENERO</v>
      </c>
      <c r="C8824" s="55">
        <f t="shared" si="547"/>
        <v>1</v>
      </c>
      <c r="D8824" s="3" t="str">
        <f t="shared" si="548"/>
        <v>SÁBADO</v>
      </c>
      <c r="E8824" s="427"/>
      <c r="F8824" s="31">
        <f>IFERROR(VLOOKUP(E8824,BD!$L$2:$Q$244,2,0),0)</f>
        <v>0</v>
      </c>
      <c r="G8824" s="424"/>
      <c r="H8824" s="31">
        <f>+IFERROR(VLOOKUP(E8824,BD!$L$2:$Q$244,6,0),0)</f>
        <v>0</v>
      </c>
      <c r="I8824" s="626">
        <f>IFERROR(G8824*VLOOKUP($E8824,BD!$L$2:$Q$244,5,0),0)</f>
        <v>0</v>
      </c>
      <c r="J8824" s="3">
        <f t="shared" si="549"/>
        <v>1900</v>
      </c>
    </row>
    <row r="8825" spans="1:10" s="9" customFormat="1" x14ac:dyDescent="0.25">
      <c r="A8825" s="447"/>
      <c r="B8825" s="55" t="str">
        <f t="shared" si="546"/>
        <v>ENERO</v>
      </c>
      <c r="C8825" s="55">
        <f t="shared" si="547"/>
        <v>1</v>
      </c>
      <c r="D8825" s="3" t="str">
        <f t="shared" si="548"/>
        <v>SÁBADO</v>
      </c>
      <c r="E8825" s="427"/>
      <c r="F8825" s="31">
        <f>IFERROR(VLOOKUP(E8825,BD!$L$2:$Q$244,2,0),0)</f>
        <v>0</v>
      </c>
      <c r="G8825" s="424"/>
      <c r="H8825" s="31">
        <f>+IFERROR(VLOOKUP(E8825,BD!$L$2:$Q$244,6,0),0)</f>
        <v>0</v>
      </c>
      <c r="I8825" s="626">
        <f>IFERROR(G8825*VLOOKUP($E8825,BD!$L$2:$Q$244,5,0),0)</f>
        <v>0</v>
      </c>
      <c r="J8825" s="3">
        <f t="shared" si="549"/>
        <v>1900</v>
      </c>
    </row>
    <row r="8826" spans="1:10" s="9" customFormat="1" x14ac:dyDescent="0.25">
      <c r="A8826" s="447"/>
      <c r="B8826" s="55" t="str">
        <f t="shared" si="546"/>
        <v>ENERO</v>
      </c>
      <c r="C8826" s="55">
        <f t="shared" si="547"/>
        <v>1</v>
      </c>
      <c r="D8826" s="3" t="str">
        <f t="shared" si="548"/>
        <v>SÁBADO</v>
      </c>
      <c r="E8826" s="427"/>
      <c r="F8826" s="31">
        <f>IFERROR(VLOOKUP(E8826,BD!$L$2:$Q$244,2,0),0)</f>
        <v>0</v>
      </c>
      <c r="G8826" s="424"/>
      <c r="H8826" s="31">
        <f>+IFERROR(VLOOKUP(E8826,BD!$L$2:$Q$244,6,0),0)</f>
        <v>0</v>
      </c>
      <c r="I8826" s="626">
        <f>IFERROR(G8826*VLOOKUP($E8826,BD!$L$2:$Q$244,5,0),0)</f>
        <v>0</v>
      </c>
      <c r="J8826" s="3">
        <f t="shared" si="549"/>
        <v>1900</v>
      </c>
    </row>
    <row r="8827" spans="1:10" s="9" customFormat="1" x14ac:dyDescent="0.25">
      <c r="A8827" s="447"/>
      <c r="B8827" s="55" t="str">
        <f t="shared" si="546"/>
        <v>ENERO</v>
      </c>
      <c r="C8827" s="55">
        <f t="shared" si="547"/>
        <v>1</v>
      </c>
      <c r="D8827" s="3" t="str">
        <f t="shared" si="548"/>
        <v>SÁBADO</v>
      </c>
      <c r="E8827" s="427"/>
      <c r="F8827" s="31">
        <f>IFERROR(VLOOKUP(E8827,BD!$L$2:$Q$244,2,0),0)</f>
        <v>0</v>
      </c>
      <c r="G8827" s="424"/>
      <c r="H8827" s="31">
        <f>+IFERROR(VLOOKUP(E8827,BD!$L$2:$Q$244,6,0),0)</f>
        <v>0</v>
      </c>
      <c r="I8827" s="626">
        <f>IFERROR(G8827*VLOOKUP($E8827,BD!$L$2:$Q$244,5,0),0)</f>
        <v>0</v>
      </c>
      <c r="J8827" s="3">
        <f t="shared" si="549"/>
        <v>1900</v>
      </c>
    </row>
    <row r="8828" spans="1:10" s="9" customFormat="1" x14ac:dyDescent="0.25">
      <c r="A8828" s="447"/>
      <c r="B8828" s="55" t="str">
        <f t="shared" ref="B8828:B8891" si="550">UPPER(TEXT(A8828,"MMMM"))</f>
        <v>ENERO</v>
      </c>
      <c r="C8828" s="55">
        <f t="shared" ref="C8828:C8891" si="551">WEEKNUM(A8828,16)</f>
        <v>1</v>
      </c>
      <c r="D8828" s="3" t="str">
        <f t="shared" ref="D8828:D8891" si="552">UPPER(TEXT(A8828,"DDDD"))</f>
        <v>SÁBADO</v>
      </c>
      <c r="E8828" s="427"/>
      <c r="F8828" s="31">
        <f>IFERROR(VLOOKUP(E8828,BD!$L$2:$Q$244,2,0),0)</f>
        <v>0</v>
      </c>
      <c r="G8828" s="424"/>
      <c r="H8828" s="31">
        <f>+IFERROR(VLOOKUP(E8828,BD!$L$2:$Q$244,6,0),0)</f>
        <v>0</v>
      </c>
      <c r="I8828" s="626">
        <f>IFERROR(G8828*VLOOKUP($E8828,BD!$L$2:$Q$244,5,0),0)</f>
        <v>0</v>
      </c>
      <c r="J8828" s="3">
        <f t="shared" ref="J8828:J8891" si="553">+YEAR(A8828)</f>
        <v>1900</v>
      </c>
    </row>
    <row r="8829" spans="1:10" s="9" customFormat="1" x14ac:dyDescent="0.25">
      <c r="A8829" s="447"/>
      <c r="B8829" s="55" t="str">
        <f t="shared" si="550"/>
        <v>ENERO</v>
      </c>
      <c r="C8829" s="55">
        <f t="shared" si="551"/>
        <v>1</v>
      </c>
      <c r="D8829" s="3" t="str">
        <f t="shared" si="552"/>
        <v>SÁBADO</v>
      </c>
      <c r="E8829" s="427"/>
      <c r="F8829" s="31">
        <f>IFERROR(VLOOKUP(E8829,BD!$L$2:$Q$244,2,0),0)</f>
        <v>0</v>
      </c>
      <c r="G8829" s="424"/>
      <c r="H8829" s="31">
        <f>+IFERROR(VLOOKUP(E8829,BD!$L$2:$Q$244,6,0),0)</f>
        <v>0</v>
      </c>
      <c r="I8829" s="626">
        <f>IFERROR(G8829*VLOOKUP($E8829,BD!$L$2:$Q$244,5,0),0)</f>
        <v>0</v>
      </c>
      <c r="J8829" s="3">
        <f t="shared" si="553"/>
        <v>1900</v>
      </c>
    </row>
    <row r="8830" spans="1:10" s="9" customFormat="1" x14ac:dyDescent="0.25">
      <c r="A8830" s="447"/>
      <c r="B8830" s="55" t="str">
        <f t="shared" si="550"/>
        <v>ENERO</v>
      </c>
      <c r="C8830" s="55">
        <f t="shared" si="551"/>
        <v>1</v>
      </c>
      <c r="D8830" s="3" t="str">
        <f t="shared" si="552"/>
        <v>SÁBADO</v>
      </c>
      <c r="E8830" s="427"/>
      <c r="F8830" s="31">
        <f>IFERROR(VLOOKUP(E8830,BD!$L$2:$Q$244,2,0),0)</f>
        <v>0</v>
      </c>
      <c r="G8830" s="424"/>
      <c r="H8830" s="31">
        <f>+IFERROR(VLOOKUP(E8830,BD!$L$2:$Q$244,6,0),0)</f>
        <v>0</v>
      </c>
      <c r="I8830" s="626">
        <f>IFERROR(G8830*VLOOKUP($E8830,BD!$L$2:$Q$244,5,0),0)</f>
        <v>0</v>
      </c>
      <c r="J8830" s="3">
        <f t="shared" si="553"/>
        <v>1900</v>
      </c>
    </row>
    <row r="8831" spans="1:10" s="9" customFormat="1" x14ac:dyDescent="0.25">
      <c r="A8831" s="447"/>
      <c r="B8831" s="55" t="str">
        <f t="shared" si="550"/>
        <v>ENERO</v>
      </c>
      <c r="C8831" s="55">
        <f t="shared" si="551"/>
        <v>1</v>
      </c>
      <c r="D8831" s="3" t="str">
        <f t="shared" si="552"/>
        <v>SÁBADO</v>
      </c>
      <c r="E8831" s="427"/>
      <c r="F8831" s="31">
        <f>IFERROR(VLOOKUP(E8831,BD!$L$2:$Q$244,2,0),0)</f>
        <v>0</v>
      </c>
      <c r="G8831" s="424"/>
      <c r="H8831" s="31">
        <f>+IFERROR(VLOOKUP(E8831,BD!$L$2:$Q$244,6,0),0)</f>
        <v>0</v>
      </c>
      <c r="I8831" s="626">
        <f>IFERROR(G8831*VLOOKUP($E8831,BD!$L$2:$Q$244,5,0),0)</f>
        <v>0</v>
      </c>
      <c r="J8831" s="3">
        <f t="shared" si="553"/>
        <v>1900</v>
      </c>
    </row>
    <row r="8832" spans="1:10" s="9" customFormat="1" x14ac:dyDescent="0.25">
      <c r="A8832" s="447"/>
      <c r="B8832" s="55" t="str">
        <f t="shared" si="550"/>
        <v>ENERO</v>
      </c>
      <c r="C8832" s="55">
        <f t="shared" si="551"/>
        <v>1</v>
      </c>
      <c r="D8832" s="3" t="str">
        <f t="shared" si="552"/>
        <v>SÁBADO</v>
      </c>
      <c r="E8832" s="427"/>
      <c r="F8832" s="31">
        <f>IFERROR(VLOOKUP(E8832,BD!$L$2:$Q$244,2,0),0)</f>
        <v>0</v>
      </c>
      <c r="G8832" s="424"/>
      <c r="H8832" s="31">
        <f>+IFERROR(VLOOKUP(E8832,BD!$L$2:$Q$244,6,0),0)</f>
        <v>0</v>
      </c>
      <c r="I8832" s="626">
        <f>IFERROR(G8832*VLOOKUP($E8832,BD!$L$2:$Q$244,5,0),0)</f>
        <v>0</v>
      </c>
      <c r="J8832" s="3">
        <f t="shared" si="553"/>
        <v>1900</v>
      </c>
    </row>
    <row r="8833" spans="1:10" s="9" customFormat="1" x14ac:dyDescent="0.25">
      <c r="A8833" s="447"/>
      <c r="B8833" s="55" t="str">
        <f t="shared" si="550"/>
        <v>ENERO</v>
      </c>
      <c r="C8833" s="55">
        <f t="shared" si="551"/>
        <v>1</v>
      </c>
      <c r="D8833" s="3" t="str">
        <f t="shared" si="552"/>
        <v>SÁBADO</v>
      </c>
      <c r="E8833" s="427"/>
      <c r="F8833" s="31">
        <f>IFERROR(VLOOKUP(E8833,BD!$L$2:$Q$244,2,0),0)</f>
        <v>0</v>
      </c>
      <c r="G8833" s="424"/>
      <c r="H8833" s="31">
        <f>+IFERROR(VLOOKUP(E8833,BD!$L$2:$Q$244,6,0),0)</f>
        <v>0</v>
      </c>
      <c r="I8833" s="626">
        <f>IFERROR(G8833*VLOOKUP($E8833,BD!$L$2:$Q$244,5,0),0)</f>
        <v>0</v>
      </c>
      <c r="J8833" s="3">
        <f t="shared" si="553"/>
        <v>1900</v>
      </c>
    </row>
    <row r="8834" spans="1:10" s="9" customFormat="1" x14ac:dyDescent="0.25">
      <c r="A8834" s="447"/>
      <c r="B8834" s="55" t="str">
        <f t="shared" si="550"/>
        <v>ENERO</v>
      </c>
      <c r="C8834" s="55">
        <f t="shared" si="551"/>
        <v>1</v>
      </c>
      <c r="D8834" s="3" t="str">
        <f t="shared" si="552"/>
        <v>SÁBADO</v>
      </c>
      <c r="E8834" s="427"/>
      <c r="F8834" s="31">
        <f>IFERROR(VLOOKUP(E8834,BD!$L$2:$Q$244,2,0),0)</f>
        <v>0</v>
      </c>
      <c r="G8834" s="424"/>
      <c r="H8834" s="31">
        <f>+IFERROR(VLOOKUP(E8834,BD!$L$2:$Q$244,6,0),0)</f>
        <v>0</v>
      </c>
      <c r="I8834" s="626">
        <f>IFERROR(G8834*VLOOKUP($E8834,BD!$L$2:$Q$244,5,0),0)</f>
        <v>0</v>
      </c>
      <c r="J8834" s="3">
        <f t="shared" si="553"/>
        <v>1900</v>
      </c>
    </row>
    <row r="8835" spans="1:10" s="9" customFormat="1" x14ac:dyDescent="0.25">
      <c r="A8835" s="447"/>
      <c r="B8835" s="55" t="str">
        <f t="shared" si="550"/>
        <v>ENERO</v>
      </c>
      <c r="C8835" s="55">
        <f t="shared" si="551"/>
        <v>1</v>
      </c>
      <c r="D8835" s="3" t="str">
        <f t="shared" si="552"/>
        <v>SÁBADO</v>
      </c>
      <c r="E8835" s="427"/>
      <c r="F8835" s="31">
        <f>IFERROR(VLOOKUP(E8835,BD!$L$2:$Q$244,2,0),0)</f>
        <v>0</v>
      </c>
      <c r="G8835" s="424"/>
      <c r="H8835" s="31">
        <f>+IFERROR(VLOOKUP(E8835,BD!$L$2:$Q$244,6,0),0)</f>
        <v>0</v>
      </c>
      <c r="I8835" s="626">
        <f>IFERROR(G8835*VLOOKUP($E8835,BD!$L$2:$Q$244,5,0),0)</f>
        <v>0</v>
      </c>
      <c r="J8835" s="3">
        <f t="shared" si="553"/>
        <v>1900</v>
      </c>
    </row>
    <row r="8836" spans="1:10" s="9" customFormat="1" x14ac:dyDescent="0.25">
      <c r="A8836" s="447"/>
      <c r="B8836" s="55" t="str">
        <f t="shared" si="550"/>
        <v>ENERO</v>
      </c>
      <c r="C8836" s="55">
        <f t="shared" si="551"/>
        <v>1</v>
      </c>
      <c r="D8836" s="3" t="str">
        <f t="shared" si="552"/>
        <v>SÁBADO</v>
      </c>
      <c r="E8836" s="427"/>
      <c r="F8836" s="31">
        <f>IFERROR(VLOOKUP(E8836,BD!$L$2:$Q$244,2,0),0)</f>
        <v>0</v>
      </c>
      <c r="G8836" s="424"/>
      <c r="H8836" s="31">
        <f>+IFERROR(VLOOKUP(E8836,BD!$L$2:$Q$244,6,0),0)</f>
        <v>0</v>
      </c>
      <c r="I8836" s="626">
        <f>IFERROR(G8836*VLOOKUP($E8836,BD!$L$2:$Q$244,5,0),0)</f>
        <v>0</v>
      </c>
      <c r="J8836" s="3">
        <f t="shared" si="553"/>
        <v>1900</v>
      </c>
    </row>
    <row r="8837" spans="1:10" s="9" customFormat="1" x14ac:dyDescent="0.25">
      <c r="A8837" s="447"/>
      <c r="B8837" s="55" t="str">
        <f t="shared" si="550"/>
        <v>ENERO</v>
      </c>
      <c r="C8837" s="55">
        <f t="shared" si="551"/>
        <v>1</v>
      </c>
      <c r="D8837" s="3" t="str">
        <f t="shared" si="552"/>
        <v>SÁBADO</v>
      </c>
      <c r="E8837" s="427"/>
      <c r="F8837" s="31">
        <f>IFERROR(VLOOKUP(E8837,BD!$L$2:$Q$244,2,0),0)</f>
        <v>0</v>
      </c>
      <c r="G8837" s="424"/>
      <c r="H8837" s="31">
        <f>+IFERROR(VLOOKUP(E8837,BD!$L$2:$Q$244,6,0),0)</f>
        <v>0</v>
      </c>
      <c r="I8837" s="626">
        <f>IFERROR(G8837*VLOOKUP($E8837,BD!$L$2:$Q$244,5,0),0)</f>
        <v>0</v>
      </c>
      <c r="J8837" s="3">
        <f t="shared" si="553"/>
        <v>1900</v>
      </c>
    </row>
    <row r="8838" spans="1:10" s="9" customFormat="1" x14ac:dyDescent="0.25">
      <c r="A8838" s="447"/>
      <c r="B8838" s="55" t="str">
        <f t="shared" si="550"/>
        <v>ENERO</v>
      </c>
      <c r="C8838" s="55">
        <f t="shared" si="551"/>
        <v>1</v>
      </c>
      <c r="D8838" s="3" t="str">
        <f t="shared" si="552"/>
        <v>SÁBADO</v>
      </c>
      <c r="E8838" s="427"/>
      <c r="F8838" s="31">
        <f>IFERROR(VLOOKUP(E8838,BD!$L$2:$Q$244,2,0),0)</f>
        <v>0</v>
      </c>
      <c r="G8838" s="424"/>
      <c r="H8838" s="31">
        <f>+IFERROR(VLOOKUP(E8838,BD!$L$2:$Q$244,6,0),0)</f>
        <v>0</v>
      </c>
      <c r="I8838" s="626">
        <f>IFERROR(G8838*VLOOKUP($E8838,BD!$L$2:$Q$244,5,0),0)</f>
        <v>0</v>
      </c>
      <c r="J8838" s="3">
        <f t="shared" si="553"/>
        <v>1900</v>
      </c>
    </row>
    <row r="8839" spans="1:10" s="9" customFormat="1" x14ac:dyDescent="0.25">
      <c r="A8839" s="447"/>
      <c r="B8839" s="55" t="str">
        <f t="shared" si="550"/>
        <v>ENERO</v>
      </c>
      <c r="C8839" s="55">
        <f t="shared" si="551"/>
        <v>1</v>
      </c>
      <c r="D8839" s="3" t="str">
        <f t="shared" si="552"/>
        <v>SÁBADO</v>
      </c>
      <c r="E8839" s="427"/>
      <c r="F8839" s="31">
        <f>IFERROR(VLOOKUP(E8839,BD!$L$2:$Q$244,2,0),0)</f>
        <v>0</v>
      </c>
      <c r="G8839" s="424"/>
      <c r="H8839" s="31">
        <f>+IFERROR(VLOOKUP(E8839,BD!$L$2:$Q$244,6,0),0)</f>
        <v>0</v>
      </c>
      <c r="I8839" s="626">
        <f>IFERROR(G8839*VLOOKUP($E8839,BD!$L$2:$Q$244,5,0),0)</f>
        <v>0</v>
      </c>
      <c r="J8839" s="3">
        <f t="shared" si="553"/>
        <v>1900</v>
      </c>
    </row>
    <row r="8840" spans="1:10" s="9" customFormat="1" x14ac:dyDescent="0.25">
      <c r="A8840" s="447"/>
      <c r="B8840" s="55" t="str">
        <f t="shared" si="550"/>
        <v>ENERO</v>
      </c>
      <c r="C8840" s="55">
        <f t="shared" si="551"/>
        <v>1</v>
      </c>
      <c r="D8840" s="3" t="str">
        <f t="shared" si="552"/>
        <v>SÁBADO</v>
      </c>
      <c r="E8840" s="427"/>
      <c r="F8840" s="31">
        <f>IFERROR(VLOOKUP(E8840,BD!$L$2:$Q$244,2,0),0)</f>
        <v>0</v>
      </c>
      <c r="G8840" s="424"/>
      <c r="H8840" s="31">
        <f>+IFERROR(VLOOKUP(E8840,BD!$L$2:$Q$244,6,0),0)</f>
        <v>0</v>
      </c>
      <c r="I8840" s="626">
        <f>IFERROR(G8840*VLOOKUP($E8840,BD!$L$2:$Q$244,5,0),0)</f>
        <v>0</v>
      </c>
      <c r="J8840" s="3">
        <f t="shared" si="553"/>
        <v>1900</v>
      </c>
    </row>
    <row r="8841" spans="1:10" s="9" customFormat="1" x14ac:dyDescent="0.25">
      <c r="A8841" s="447"/>
      <c r="B8841" s="55" t="str">
        <f t="shared" si="550"/>
        <v>ENERO</v>
      </c>
      <c r="C8841" s="55">
        <f t="shared" si="551"/>
        <v>1</v>
      </c>
      <c r="D8841" s="3" t="str">
        <f t="shared" si="552"/>
        <v>SÁBADO</v>
      </c>
      <c r="E8841" s="427"/>
      <c r="F8841" s="31">
        <f>IFERROR(VLOOKUP(E8841,BD!$L$2:$Q$244,2,0),0)</f>
        <v>0</v>
      </c>
      <c r="G8841" s="424"/>
      <c r="H8841" s="31">
        <f>+IFERROR(VLOOKUP(E8841,BD!$L$2:$Q$244,6,0),0)</f>
        <v>0</v>
      </c>
      <c r="I8841" s="626">
        <f>IFERROR(G8841*VLOOKUP($E8841,BD!$L$2:$Q$244,5,0),0)</f>
        <v>0</v>
      </c>
      <c r="J8841" s="3">
        <f t="shared" si="553"/>
        <v>1900</v>
      </c>
    </row>
    <row r="8842" spans="1:10" s="9" customFormat="1" x14ac:dyDescent="0.25">
      <c r="A8842" s="447"/>
      <c r="B8842" s="55" t="str">
        <f t="shared" si="550"/>
        <v>ENERO</v>
      </c>
      <c r="C8842" s="55">
        <f t="shared" si="551"/>
        <v>1</v>
      </c>
      <c r="D8842" s="3" t="str">
        <f t="shared" si="552"/>
        <v>SÁBADO</v>
      </c>
      <c r="E8842" s="427"/>
      <c r="F8842" s="31">
        <f>IFERROR(VLOOKUP(E8842,BD!$L$2:$Q$244,2,0),0)</f>
        <v>0</v>
      </c>
      <c r="G8842" s="424"/>
      <c r="H8842" s="31">
        <f>+IFERROR(VLOOKUP(E8842,BD!$L$2:$Q$244,6,0),0)</f>
        <v>0</v>
      </c>
      <c r="I8842" s="626">
        <f>IFERROR(G8842*VLOOKUP($E8842,BD!$L$2:$Q$244,5,0),0)</f>
        <v>0</v>
      </c>
      <c r="J8842" s="3">
        <f t="shared" si="553"/>
        <v>1900</v>
      </c>
    </row>
    <row r="8843" spans="1:10" s="9" customFormat="1" x14ac:dyDescent="0.25">
      <c r="A8843" s="447"/>
      <c r="B8843" s="55" t="str">
        <f t="shared" si="550"/>
        <v>ENERO</v>
      </c>
      <c r="C8843" s="55">
        <f t="shared" si="551"/>
        <v>1</v>
      </c>
      <c r="D8843" s="3" t="str">
        <f t="shared" si="552"/>
        <v>SÁBADO</v>
      </c>
      <c r="E8843" s="427"/>
      <c r="F8843" s="31">
        <f>IFERROR(VLOOKUP(E8843,BD!$L$2:$Q$244,2,0),0)</f>
        <v>0</v>
      </c>
      <c r="G8843" s="424"/>
      <c r="H8843" s="31">
        <f>+IFERROR(VLOOKUP(E8843,BD!$L$2:$Q$244,6,0),0)</f>
        <v>0</v>
      </c>
      <c r="I8843" s="626">
        <f>IFERROR(G8843*VLOOKUP($E8843,BD!$L$2:$Q$244,5,0),0)</f>
        <v>0</v>
      </c>
      <c r="J8843" s="3">
        <f t="shared" si="553"/>
        <v>1900</v>
      </c>
    </row>
    <row r="8844" spans="1:10" s="9" customFormat="1" x14ac:dyDescent="0.25">
      <c r="A8844" s="447"/>
      <c r="B8844" s="55" t="str">
        <f t="shared" si="550"/>
        <v>ENERO</v>
      </c>
      <c r="C8844" s="55">
        <f t="shared" si="551"/>
        <v>1</v>
      </c>
      <c r="D8844" s="3" t="str">
        <f t="shared" si="552"/>
        <v>SÁBADO</v>
      </c>
      <c r="E8844" s="427"/>
      <c r="F8844" s="31">
        <f>IFERROR(VLOOKUP(E8844,BD!$L$2:$Q$244,2,0),0)</f>
        <v>0</v>
      </c>
      <c r="G8844" s="424"/>
      <c r="H8844" s="31">
        <f>+IFERROR(VLOOKUP(E8844,BD!$L$2:$Q$244,6,0),0)</f>
        <v>0</v>
      </c>
      <c r="I8844" s="626">
        <f>IFERROR(G8844*VLOOKUP($E8844,BD!$L$2:$Q$244,5,0),0)</f>
        <v>0</v>
      </c>
      <c r="J8844" s="3">
        <f t="shared" si="553"/>
        <v>1900</v>
      </c>
    </row>
    <row r="8845" spans="1:10" s="9" customFormat="1" x14ac:dyDescent="0.25">
      <c r="A8845" s="447"/>
      <c r="B8845" s="55" t="str">
        <f t="shared" si="550"/>
        <v>ENERO</v>
      </c>
      <c r="C8845" s="55">
        <f t="shared" si="551"/>
        <v>1</v>
      </c>
      <c r="D8845" s="3" t="str">
        <f t="shared" si="552"/>
        <v>SÁBADO</v>
      </c>
      <c r="E8845" s="427"/>
      <c r="F8845" s="31">
        <f>IFERROR(VLOOKUP(E8845,BD!$L$2:$Q$244,2,0),0)</f>
        <v>0</v>
      </c>
      <c r="G8845" s="424"/>
      <c r="H8845" s="31">
        <f>+IFERROR(VLOOKUP(E8845,BD!$L$2:$Q$244,6,0),0)</f>
        <v>0</v>
      </c>
      <c r="I8845" s="626">
        <f>IFERROR(G8845*VLOOKUP($E8845,BD!$L$2:$Q$244,5,0),0)</f>
        <v>0</v>
      </c>
      <c r="J8845" s="3">
        <f t="shared" si="553"/>
        <v>1900</v>
      </c>
    </row>
    <row r="8846" spans="1:10" s="9" customFormat="1" x14ac:dyDescent="0.25">
      <c r="A8846" s="447"/>
      <c r="B8846" s="55" t="str">
        <f t="shared" si="550"/>
        <v>ENERO</v>
      </c>
      <c r="C8846" s="55">
        <f t="shared" si="551"/>
        <v>1</v>
      </c>
      <c r="D8846" s="3" t="str">
        <f t="shared" si="552"/>
        <v>SÁBADO</v>
      </c>
      <c r="E8846" s="427"/>
      <c r="F8846" s="31">
        <f>IFERROR(VLOOKUP(E8846,BD!$L$2:$Q$244,2,0),0)</f>
        <v>0</v>
      </c>
      <c r="G8846" s="424"/>
      <c r="H8846" s="31">
        <f>+IFERROR(VLOOKUP(E8846,BD!$L$2:$Q$244,6,0),0)</f>
        <v>0</v>
      </c>
      <c r="I8846" s="626">
        <f>IFERROR(G8846*VLOOKUP($E8846,BD!$L$2:$Q$244,5,0),0)</f>
        <v>0</v>
      </c>
      <c r="J8846" s="3">
        <f t="shared" si="553"/>
        <v>1900</v>
      </c>
    </row>
    <row r="8847" spans="1:10" s="9" customFormat="1" x14ac:dyDescent="0.25">
      <c r="A8847" s="447"/>
      <c r="B8847" s="55" t="str">
        <f t="shared" si="550"/>
        <v>ENERO</v>
      </c>
      <c r="C8847" s="55">
        <f t="shared" si="551"/>
        <v>1</v>
      </c>
      <c r="D8847" s="3" t="str">
        <f t="shared" si="552"/>
        <v>SÁBADO</v>
      </c>
      <c r="E8847" s="427"/>
      <c r="F8847" s="31">
        <f>IFERROR(VLOOKUP(E8847,BD!$L$2:$Q$244,2,0),0)</f>
        <v>0</v>
      </c>
      <c r="G8847" s="424"/>
      <c r="H8847" s="31">
        <f>+IFERROR(VLOOKUP(E8847,BD!$L$2:$Q$244,6,0),0)</f>
        <v>0</v>
      </c>
      <c r="I8847" s="626">
        <f>IFERROR(G8847*VLOOKUP($E8847,BD!$L$2:$Q$244,5,0),0)</f>
        <v>0</v>
      </c>
      <c r="J8847" s="3">
        <f t="shared" si="553"/>
        <v>1900</v>
      </c>
    </row>
    <row r="8848" spans="1:10" s="9" customFormat="1" x14ac:dyDescent="0.25">
      <c r="A8848" s="447"/>
      <c r="B8848" s="55" t="str">
        <f t="shared" si="550"/>
        <v>ENERO</v>
      </c>
      <c r="C8848" s="55">
        <f t="shared" si="551"/>
        <v>1</v>
      </c>
      <c r="D8848" s="3" t="str">
        <f t="shared" si="552"/>
        <v>SÁBADO</v>
      </c>
      <c r="E8848" s="427"/>
      <c r="F8848" s="31">
        <f>IFERROR(VLOOKUP(E8848,BD!$L$2:$Q$244,2,0),0)</f>
        <v>0</v>
      </c>
      <c r="G8848" s="424"/>
      <c r="H8848" s="31">
        <f>+IFERROR(VLOOKUP(E8848,BD!$L$2:$Q$244,6,0),0)</f>
        <v>0</v>
      </c>
      <c r="I8848" s="626">
        <f>IFERROR(G8848*VLOOKUP($E8848,BD!$L$2:$Q$244,5,0),0)</f>
        <v>0</v>
      </c>
      <c r="J8848" s="3">
        <f t="shared" si="553"/>
        <v>1900</v>
      </c>
    </row>
    <row r="8849" spans="1:10" s="9" customFormat="1" x14ac:dyDescent="0.25">
      <c r="A8849" s="447"/>
      <c r="B8849" s="55" t="str">
        <f t="shared" si="550"/>
        <v>ENERO</v>
      </c>
      <c r="C8849" s="55">
        <f t="shared" si="551"/>
        <v>1</v>
      </c>
      <c r="D8849" s="3" t="str">
        <f t="shared" si="552"/>
        <v>SÁBADO</v>
      </c>
      <c r="E8849" s="427"/>
      <c r="F8849" s="31">
        <f>IFERROR(VLOOKUP(E8849,BD!$L$2:$Q$244,2,0),0)</f>
        <v>0</v>
      </c>
      <c r="G8849" s="424"/>
      <c r="H8849" s="31">
        <f>+IFERROR(VLOOKUP(E8849,BD!$L$2:$Q$244,6,0),0)</f>
        <v>0</v>
      </c>
      <c r="I8849" s="626">
        <f>IFERROR(G8849*VLOOKUP($E8849,BD!$L$2:$Q$244,5,0),0)</f>
        <v>0</v>
      </c>
      <c r="J8849" s="3">
        <f t="shared" si="553"/>
        <v>1900</v>
      </c>
    </row>
    <row r="8850" spans="1:10" s="9" customFormat="1" x14ac:dyDescent="0.25">
      <c r="A8850" s="447"/>
      <c r="B8850" s="55" t="str">
        <f t="shared" si="550"/>
        <v>ENERO</v>
      </c>
      <c r="C8850" s="55">
        <f t="shared" si="551"/>
        <v>1</v>
      </c>
      <c r="D8850" s="3" t="str">
        <f t="shared" si="552"/>
        <v>SÁBADO</v>
      </c>
      <c r="E8850" s="427"/>
      <c r="F8850" s="31">
        <f>IFERROR(VLOOKUP(E8850,BD!$L$2:$Q$244,2,0),0)</f>
        <v>0</v>
      </c>
      <c r="G8850" s="424"/>
      <c r="H8850" s="31">
        <f>+IFERROR(VLOOKUP(E8850,BD!$L$2:$Q$244,6,0),0)</f>
        <v>0</v>
      </c>
      <c r="I8850" s="626">
        <f>IFERROR(G8850*VLOOKUP($E8850,BD!$L$2:$Q$244,5,0),0)</f>
        <v>0</v>
      </c>
      <c r="J8850" s="3">
        <f t="shared" si="553"/>
        <v>1900</v>
      </c>
    </row>
    <row r="8851" spans="1:10" s="9" customFormat="1" x14ac:dyDescent="0.25">
      <c r="A8851" s="447"/>
      <c r="B8851" s="55" t="str">
        <f t="shared" si="550"/>
        <v>ENERO</v>
      </c>
      <c r="C8851" s="55">
        <f t="shared" si="551"/>
        <v>1</v>
      </c>
      <c r="D8851" s="3" t="str">
        <f t="shared" si="552"/>
        <v>SÁBADO</v>
      </c>
      <c r="E8851" s="427"/>
      <c r="F8851" s="31">
        <f>IFERROR(VLOOKUP(E8851,BD!$L$2:$Q$244,2,0),0)</f>
        <v>0</v>
      </c>
      <c r="G8851" s="424"/>
      <c r="H8851" s="31">
        <f>+IFERROR(VLOOKUP(E8851,BD!$L$2:$Q$244,6,0),0)</f>
        <v>0</v>
      </c>
      <c r="I8851" s="626">
        <f>IFERROR(G8851*VLOOKUP($E8851,BD!$L$2:$Q$244,5,0),0)</f>
        <v>0</v>
      </c>
      <c r="J8851" s="3">
        <f t="shared" si="553"/>
        <v>1900</v>
      </c>
    </row>
    <row r="8852" spans="1:10" s="9" customFormat="1" x14ac:dyDescent="0.25">
      <c r="A8852" s="447"/>
      <c r="B8852" s="55" t="str">
        <f t="shared" si="550"/>
        <v>ENERO</v>
      </c>
      <c r="C8852" s="55">
        <f t="shared" si="551"/>
        <v>1</v>
      </c>
      <c r="D8852" s="3" t="str">
        <f t="shared" si="552"/>
        <v>SÁBADO</v>
      </c>
      <c r="E8852" s="427"/>
      <c r="F8852" s="31">
        <f>IFERROR(VLOOKUP(E8852,BD!$L$2:$Q$244,2,0),0)</f>
        <v>0</v>
      </c>
      <c r="G8852" s="424"/>
      <c r="H8852" s="31">
        <f>+IFERROR(VLOOKUP(E8852,BD!$L$2:$Q$244,6,0),0)</f>
        <v>0</v>
      </c>
      <c r="I8852" s="626">
        <f>IFERROR(G8852*VLOOKUP($E8852,BD!$L$2:$Q$244,5,0),0)</f>
        <v>0</v>
      </c>
      <c r="J8852" s="3">
        <f t="shared" si="553"/>
        <v>1900</v>
      </c>
    </row>
    <row r="8853" spans="1:10" s="9" customFormat="1" x14ac:dyDescent="0.25">
      <c r="A8853" s="447"/>
      <c r="B8853" s="55" t="str">
        <f t="shared" si="550"/>
        <v>ENERO</v>
      </c>
      <c r="C8853" s="55">
        <f t="shared" si="551"/>
        <v>1</v>
      </c>
      <c r="D8853" s="3" t="str">
        <f t="shared" si="552"/>
        <v>SÁBADO</v>
      </c>
      <c r="E8853" s="427"/>
      <c r="F8853" s="31">
        <f>IFERROR(VLOOKUP(E8853,BD!$L$2:$Q$244,2,0),0)</f>
        <v>0</v>
      </c>
      <c r="G8853" s="424"/>
      <c r="H8853" s="31">
        <f>+IFERROR(VLOOKUP(E8853,BD!$L$2:$Q$244,6,0),0)</f>
        <v>0</v>
      </c>
      <c r="I8853" s="626">
        <f>IFERROR(G8853*VLOOKUP($E8853,BD!$L$2:$Q$244,5,0),0)</f>
        <v>0</v>
      </c>
      <c r="J8853" s="3">
        <f t="shared" si="553"/>
        <v>1900</v>
      </c>
    </row>
    <row r="8854" spans="1:10" s="9" customFormat="1" x14ac:dyDescent="0.25">
      <c r="A8854" s="447"/>
      <c r="B8854" s="55" t="str">
        <f t="shared" si="550"/>
        <v>ENERO</v>
      </c>
      <c r="C8854" s="55">
        <f t="shared" si="551"/>
        <v>1</v>
      </c>
      <c r="D8854" s="3" t="str">
        <f t="shared" si="552"/>
        <v>SÁBADO</v>
      </c>
      <c r="E8854" s="427"/>
      <c r="F8854" s="31">
        <f>IFERROR(VLOOKUP(E8854,BD!$L$2:$Q$244,2,0),0)</f>
        <v>0</v>
      </c>
      <c r="G8854" s="424"/>
      <c r="H8854" s="31">
        <f>+IFERROR(VLOOKUP(E8854,BD!$L$2:$Q$244,6,0),0)</f>
        <v>0</v>
      </c>
      <c r="I8854" s="626">
        <f>IFERROR(G8854*VLOOKUP($E8854,BD!$L$2:$Q$244,5,0),0)</f>
        <v>0</v>
      </c>
      <c r="J8854" s="3">
        <f t="shared" si="553"/>
        <v>1900</v>
      </c>
    </row>
    <row r="8855" spans="1:10" s="9" customFormat="1" x14ac:dyDescent="0.25">
      <c r="A8855" s="447"/>
      <c r="B8855" s="55" t="str">
        <f t="shared" si="550"/>
        <v>ENERO</v>
      </c>
      <c r="C8855" s="55">
        <f t="shared" si="551"/>
        <v>1</v>
      </c>
      <c r="D8855" s="3" t="str">
        <f t="shared" si="552"/>
        <v>SÁBADO</v>
      </c>
      <c r="E8855" s="427"/>
      <c r="F8855" s="31">
        <f>IFERROR(VLOOKUP(E8855,BD!$L$2:$Q$244,2,0),0)</f>
        <v>0</v>
      </c>
      <c r="G8855" s="424"/>
      <c r="H8855" s="31">
        <f>+IFERROR(VLOOKUP(E8855,BD!$L$2:$Q$244,6,0),0)</f>
        <v>0</v>
      </c>
      <c r="I8855" s="626">
        <f>IFERROR(G8855*VLOOKUP($E8855,BD!$L$2:$Q$244,5,0),0)</f>
        <v>0</v>
      </c>
      <c r="J8855" s="3">
        <f t="shared" si="553"/>
        <v>1900</v>
      </c>
    </row>
    <row r="8856" spans="1:10" s="9" customFormat="1" x14ac:dyDescent="0.25">
      <c r="A8856" s="447"/>
      <c r="B8856" s="55" t="str">
        <f t="shared" si="550"/>
        <v>ENERO</v>
      </c>
      <c r="C8856" s="55">
        <f t="shared" si="551"/>
        <v>1</v>
      </c>
      <c r="D8856" s="3" t="str">
        <f t="shared" si="552"/>
        <v>SÁBADO</v>
      </c>
      <c r="E8856" s="427"/>
      <c r="F8856" s="31">
        <f>IFERROR(VLOOKUP(E8856,BD!$L$2:$Q$244,2,0),0)</f>
        <v>0</v>
      </c>
      <c r="G8856" s="424"/>
      <c r="H8856" s="31">
        <f>+IFERROR(VLOOKUP(E8856,BD!$L$2:$Q$244,6,0),0)</f>
        <v>0</v>
      </c>
      <c r="I8856" s="626">
        <f>IFERROR(G8856*VLOOKUP($E8856,BD!$L$2:$Q$244,5,0),0)</f>
        <v>0</v>
      </c>
      <c r="J8856" s="3">
        <f t="shared" si="553"/>
        <v>1900</v>
      </c>
    </row>
    <row r="8857" spans="1:10" s="9" customFormat="1" x14ac:dyDescent="0.25">
      <c r="A8857" s="447"/>
      <c r="B8857" s="55" t="str">
        <f t="shared" si="550"/>
        <v>ENERO</v>
      </c>
      <c r="C8857" s="55">
        <f t="shared" si="551"/>
        <v>1</v>
      </c>
      <c r="D8857" s="3" t="str">
        <f t="shared" si="552"/>
        <v>SÁBADO</v>
      </c>
      <c r="E8857" s="427"/>
      <c r="F8857" s="31">
        <f>IFERROR(VLOOKUP(E8857,BD!$L$2:$Q$244,2,0),0)</f>
        <v>0</v>
      </c>
      <c r="G8857" s="424"/>
      <c r="H8857" s="31">
        <f>+IFERROR(VLOOKUP(E8857,BD!$L$2:$Q$244,6,0),0)</f>
        <v>0</v>
      </c>
      <c r="I8857" s="626">
        <f>IFERROR(G8857*VLOOKUP($E8857,BD!$L$2:$Q$244,5,0),0)</f>
        <v>0</v>
      </c>
      <c r="J8857" s="3">
        <f t="shared" si="553"/>
        <v>1900</v>
      </c>
    </row>
    <row r="8858" spans="1:10" s="9" customFormat="1" x14ac:dyDescent="0.25">
      <c r="A8858" s="447"/>
      <c r="B8858" s="55" t="str">
        <f t="shared" si="550"/>
        <v>ENERO</v>
      </c>
      <c r="C8858" s="55">
        <f t="shared" si="551"/>
        <v>1</v>
      </c>
      <c r="D8858" s="3" t="str">
        <f t="shared" si="552"/>
        <v>SÁBADO</v>
      </c>
      <c r="E8858" s="427"/>
      <c r="F8858" s="31">
        <f>IFERROR(VLOOKUP(E8858,BD!$L$2:$Q$244,2,0),0)</f>
        <v>0</v>
      </c>
      <c r="G8858" s="424"/>
      <c r="H8858" s="31">
        <f>+IFERROR(VLOOKUP(E8858,BD!$L$2:$Q$244,6,0),0)</f>
        <v>0</v>
      </c>
      <c r="I8858" s="626">
        <f>IFERROR(G8858*VLOOKUP($E8858,BD!$L$2:$Q$244,5,0),0)</f>
        <v>0</v>
      </c>
      <c r="J8858" s="3">
        <f t="shared" si="553"/>
        <v>1900</v>
      </c>
    </row>
    <row r="8859" spans="1:10" s="9" customFormat="1" x14ac:dyDescent="0.25">
      <c r="A8859" s="447"/>
      <c r="B8859" s="55" t="str">
        <f t="shared" si="550"/>
        <v>ENERO</v>
      </c>
      <c r="C8859" s="55">
        <f t="shared" si="551"/>
        <v>1</v>
      </c>
      <c r="D8859" s="3" t="str">
        <f t="shared" si="552"/>
        <v>SÁBADO</v>
      </c>
      <c r="E8859" s="427"/>
      <c r="F8859" s="31">
        <f>IFERROR(VLOOKUP(E8859,BD!$L$2:$Q$244,2,0),0)</f>
        <v>0</v>
      </c>
      <c r="G8859" s="424"/>
      <c r="H8859" s="31">
        <f>+IFERROR(VLOOKUP(E8859,BD!$L$2:$Q$244,6,0),0)</f>
        <v>0</v>
      </c>
      <c r="I8859" s="626">
        <f>IFERROR(G8859*VLOOKUP($E8859,BD!$L$2:$Q$244,5,0),0)</f>
        <v>0</v>
      </c>
      <c r="J8859" s="3">
        <f t="shared" si="553"/>
        <v>1900</v>
      </c>
    </row>
    <row r="8860" spans="1:10" s="9" customFormat="1" x14ac:dyDescent="0.25">
      <c r="A8860" s="447"/>
      <c r="B8860" s="55" t="str">
        <f t="shared" si="550"/>
        <v>ENERO</v>
      </c>
      <c r="C8860" s="55">
        <f t="shared" si="551"/>
        <v>1</v>
      </c>
      <c r="D8860" s="3" t="str">
        <f t="shared" si="552"/>
        <v>SÁBADO</v>
      </c>
      <c r="E8860" s="427"/>
      <c r="F8860" s="31">
        <f>IFERROR(VLOOKUP(E8860,BD!$L$2:$Q$244,2,0),0)</f>
        <v>0</v>
      </c>
      <c r="G8860" s="424"/>
      <c r="H8860" s="31">
        <f>+IFERROR(VLOOKUP(E8860,BD!$L$2:$Q$244,6,0),0)</f>
        <v>0</v>
      </c>
      <c r="I8860" s="626">
        <f>IFERROR(G8860*VLOOKUP($E8860,BD!$L$2:$Q$244,5,0),0)</f>
        <v>0</v>
      </c>
      <c r="J8860" s="3">
        <f t="shared" si="553"/>
        <v>1900</v>
      </c>
    </row>
    <row r="8861" spans="1:10" s="9" customFormat="1" x14ac:dyDescent="0.25">
      <c r="A8861" s="447"/>
      <c r="B8861" s="55" t="str">
        <f t="shared" si="550"/>
        <v>ENERO</v>
      </c>
      <c r="C8861" s="55">
        <f t="shared" si="551"/>
        <v>1</v>
      </c>
      <c r="D8861" s="3" t="str">
        <f t="shared" si="552"/>
        <v>SÁBADO</v>
      </c>
      <c r="E8861" s="427"/>
      <c r="F8861" s="31">
        <f>IFERROR(VLOOKUP(E8861,BD!$L$2:$Q$244,2,0),0)</f>
        <v>0</v>
      </c>
      <c r="G8861" s="424"/>
      <c r="H8861" s="31">
        <f>+IFERROR(VLOOKUP(E8861,BD!$L$2:$Q$244,6,0),0)</f>
        <v>0</v>
      </c>
      <c r="I8861" s="626">
        <f>IFERROR(G8861*VLOOKUP($E8861,BD!$L$2:$Q$244,5,0),0)</f>
        <v>0</v>
      </c>
      <c r="J8861" s="3">
        <f t="shared" si="553"/>
        <v>1900</v>
      </c>
    </row>
    <row r="8862" spans="1:10" s="9" customFormat="1" x14ac:dyDescent="0.25">
      <c r="A8862" s="447"/>
      <c r="B8862" s="55" t="str">
        <f t="shared" si="550"/>
        <v>ENERO</v>
      </c>
      <c r="C8862" s="55">
        <f t="shared" si="551"/>
        <v>1</v>
      </c>
      <c r="D8862" s="3" t="str">
        <f t="shared" si="552"/>
        <v>SÁBADO</v>
      </c>
      <c r="E8862" s="427"/>
      <c r="F8862" s="31">
        <f>IFERROR(VLOOKUP(E8862,BD!$L$2:$Q$244,2,0),0)</f>
        <v>0</v>
      </c>
      <c r="G8862" s="424"/>
      <c r="H8862" s="31">
        <f>+IFERROR(VLOOKUP(E8862,BD!$L$2:$Q$244,6,0),0)</f>
        <v>0</v>
      </c>
      <c r="I8862" s="626">
        <f>IFERROR(G8862*VLOOKUP($E8862,BD!$L$2:$Q$244,5,0),0)</f>
        <v>0</v>
      </c>
      <c r="J8862" s="3">
        <f t="shared" si="553"/>
        <v>1900</v>
      </c>
    </row>
    <row r="8863" spans="1:10" s="9" customFormat="1" x14ac:dyDescent="0.25">
      <c r="A8863" s="447"/>
      <c r="B8863" s="55" t="str">
        <f t="shared" si="550"/>
        <v>ENERO</v>
      </c>
      <c r="C8863" s="55">
        <f t="shared" si="551"/>
        <v>1</v>
      </c>
      <c r="D8863" s="3" t="str">
        <f t="shared" si="552"/>
        <v>SÁBADO</v>
      </c>
      <c r="E8863" s="427"/>
      <c r="F8863" s="31">
        <f>IFERROR(VLOOKUP(E8863,BD!$L$2:$Q$244,2,0),0)</f>
        <v>0</v>
      </c>
      <c r="G8863" s="424"/>
      <c r="H8863" s="31">
        <f>+IFERROR(VLOOKUP(E8863,BD!$L$2:$Q$244,6,0),0)</f>
        <v>0</v>
      </c>
      <c r="I8863" s="626">
        <f>IFERROR(G8863*VLOOKUP($E8863,BD!$L$2:$Q$244,5,0),0)</f>
        <v>0</v>
      </c>
      <c r="J8863" s="3">
        <f t="shared" si="553"/>
        <v>1900</v>
      </c>
    </row>
    <row r="8864" spans="1:10" s="9" customFormat="1" x14ac:dyDescent="0.25">
      <c r="A8864" s="447"/>
      <c r="B8864" s="55" t="str">
        <f t="shared" si="550"/>
        <v>ENERO</v>
      </c>
      <c r="C8864" s="55">
        <f t="shared" si="551"/>
        <v>1</v>
      </c>
      <c r="D8864" s="3" t="str">
        <f t="shared" si="552"/>
        <v>SÁBADO</v>
      </c>
      <c r="E8864" s="427"/>
      <c r="F8864" s="31">
        <f>IFERROR(VLOOKUP(E8864,BD!$L$2:$Q$244,2,0),0)</f>
        <v>0</v>
      </c>
      <c r="G8864" s="424"/>
      <c r="H8864" s="31">
        <f>+IFERROR(VLOOKUP(E8864,BD!$L$2:$Q$244,6,0),0)</f>
        <v>0</v>
      </c>
      <c r="I8864" s="626">
        <f>IFERROR(G8864*VLOOKUP($E8864,BD!$L$2:$Q$244,5,0),0)</f>
        <v>0</v>
      </c>
      <c r="J8864" s="3">
        <f t="shared" si="553"/>
        <v>1900</v>
      </c>
    </row>
    <row r="8865" spans="1:10" s="9" customFormat="1" x14ac:dyDescent="0.25">
      <c r="A8865" s="447"/>
      <c r="B8865" s="55" t="str">
        <f t="shared" si="550"/>
        <v>ENERO</v>
      </c>
      <c r="C8865" s="55">
        <f t="shared" si="551"/>
        <v>1</v>
      </c>
      <c r="D8865" s="3" t="str">
        <f t="shared" si="552"/>
        <v>SÁBADO</v>
      </c>
      <c r="E8865" s="427"/>
      <c r="F8865" s="31">
        <f>IFERROR(VLOOKUP(E8865,BD!$L$2:$Q$244,2,0),0)</f>
        <v>0</v>
      </c>
      <c r="G8865" s="424"/>
      <c r="H8865" s="31">
        <f>+IFERROR(VLOOKUP(E8865,BD!$L$2:$Q$244,6,0),0)</f>
        <v>0</v>
      </c>
      <c r="I8865" s="626">
        <f>IFERROR(G8865*VLOOKUP($E8865,BD!$L$2:$Q$244,5,0),0)</f>
        <v>0</v>
      </c>
      <c r="J8865" s="3">
        <f t="shared" si="553"/>
        <v>1900</v>
      </c>
    </row>
    <row r="8866" spans="1:10" s="9" customFormat="1" x14ac:dyDescent="0.25">
      <c r="A8866" s="447"/>
      <c r="B8866" s="55" t="str">
        <f t="shared" si="550"/>
        <v>ENERO</v>
      </c>
      <c r="C8866" s="55">
        <f t="shared" si="551"/>
        <v>1</v>
      </c>
      <c r="D8866" s="3" t="str">
        <f t="shared" si="552"/>
        <v>SÁBADO</v>
      </c>
      <c r="E8866" s="427"/>
      <c r="F8866" s="31">
        <f>IFERROR(VLOOKUP(E8866,BD!$L$2:$Q$244,2,0),0)</f>
        <v>0</v>
      </c>
      <c r="G8866" s="424"/>
      <c r="H8866" s="31">
        <f>+IFERROR(VLOOKUP(E8866,BD!$L$2:$Q$244,6,0),0)</f>
        <v>0</v>
      </c>
      <c r="I8866" s="626">
        <f>IFERROR(G8866*VLOOKUP($E8866,BD!$L$2:$Q$244,5,0),0)</f>
        <v>0</v>
      </c>
      <c r="J8866" s="3">
        <f t="shared" si="553"/>
        <v>1900</v>
      </c>
    </row>
    <row r="8867" spans="1:10" s="9" customFormat="1" x14ac:dyDescent="0.25">
      <c r="A8867" s="447"/>
      <c r="B8867" s="55" t="str">
        <f t="shared" si="550"/>
        <v>ENERO</v>
      </c>
      <c r="C8867" s="55">
        <f t="shared" si="551"/>
        <v>1</v>
      </c>
      <c r="D8867" s="3" t="str">
        <f t="shared" si="552"/>
        <v>SÁBADO</v>
      </c>
      <c r="E8867" s="427"/>
      <c r="F8867" s="31">
        <f>IFERROR(VLOOKUP(E8867,BD!$L$2:$Q$244,2,0),0)</f>
        <v>0</v>
      </c>
      <c r="G8867" s="424"/>
      <c r="H8867" s="31">
        <f>+IFERROR(VLOOKUP(E8867,BD!$L$2:$Q$244,6,0),0)</f>
        <v>0</v>
      </c>
      <c r="I8867" s="626">
        <f>IFERROR(G8867*VLOOKUP($E8867,BD!$L$2:$Q$244,5,0),0)</f>
        <v>0</v>
      </c>
      <c r="J8867" s="3">
        <f t="shared" si="553"/>
        <v>1900</v>
      </c>
    </row>
    <row r="8868" spans="1:10" s="9" customFormat="1" x14ac:dyDescent="0.25">
      <c r="A8868" s="447"/>
      <c r="B8868" s="55" t="str">
        <f t="shared" si="550"/>
        <v>ENERO</v>
      </c>
      <c r="C8868" s="55">
        <f t="shared" si="551"/>
        <v>1</v>
      </c>
      <c r="D8868" s="3" t="str">
        <f t="shared" si="552"/>
        <v>SÁBADO</v>
      </c>
      <c r="E8868" s="427"/>
      <c r="F8868" s="31">
        <f>IFERROR(VLOOKUP(E8868,BD!$L$2:$Q$244,2,0),0)</f>
        <v>0</v>
      </c>
      <c r="G8868" s="424"/>
      <c r="H8868" s="31">
        <f>+IFERROR(VLOOKUP(E8868,BD!$L$2:$Q$244,6,0),0)</f>
        <v>0</v>
      </c>
      <c r="I8868" s="626">
        <f>IFERROR(G8868*VLOOKUP($E8868,BD!$L$2:$Q$244,5,0),0)</f>
        <v>0</v>
      </c>
      <c r="J8868" s="3">
        <f t="shared" si="553"/>
        <v>1900</v>
      </c>
    </row>
    <row r="8869" spans="1:10" s="9" customFormat="1" x14ac:dyDescent="0.25">
      <c r="A8869" s="447"/>
      <c r="B8869" s="55" t="str">
        <f t="shared" si="550"/>
        <v>ENERO</v>
      </c>
      <c r="C8869" s="55">
        <f t="shared" si="551"/>
        <v>1</v>
      </c>
      <c r="D8869" s="3" t="str">
        <f t="shared" si="552"/>
        <v>SÁBADO</v>
      </c>
      <c r="E8869" s="427"/>
      <c r="F8869" s="31">
        <f>IFERROR(VLOOKUP(E8869,BD!$L$2:$Q$244,2,0),0)</f>
        <v>0</v>
      </c>
      <c r="G8869" s="425"/>
      <c r="H8869" s="31">
        <f>+IFERROR(VLOOKUP(E8869,BD!$L$2:$Q$244,6,0),0)</f>
        <v>0</v>
      </c>
      <c r="I8869" s="626">
        <f>IFERROR(G8869*VLOOKUP($E8869,BD!$L$2:$Q$244,5,0),0)</f>
        <v>0</v>
      </c>
      <c r="J8869" s="3">
        <f t="shared" si="553"/>
        <v>1900</v>
      </c>
    </row>
    <row r="8870" spans="1:10" s="9" customFormat="1" x14ac:dyDescent="0.25">
      <c r="A8870" s="447"/>
      <c r="B8870" s="55" t="str">
        <f t="shared" si="550"/>
        <v>ENERO</v>
      </c>
      <c r="C8870" s="55">
        <f t="shared" si="551"/>
        <v>1</v>
      </c>
      <c r="D8870" s="3" t="str">
        <f t="shared" si="552"/>
        <v>SÁBADO</v>
      </c>
      <c r="E8870" s="427"/>
      <c r="F8870" s="31">
        <f>IFERROR(VLOOKUP(E8870,BD!$L$2:$Q$244,2,0),0)</f>
        <v>0</v>
      </c>
      <c r="G8870" s="424"/>
      <c r="H8870" s="31">
        <f>+IFERROR(VLOOKUP(E8870,BD!$L$2:$Q$244,6,0),0)</f>
        <v>0</v>
      </c>
      <c r="I8870" s="626">
        <f>IFERROR(G8870*VLOOKUP($E8870,BD!$L$2:$Q$244,5,0),0)</f>
        <v>0</v>
      </c>
      <c r="J8870" s="3">
        <f t="shared" si="553"/>
        <v>1900</v>
      </c>
    </row>
    <row r="8871" spans="1:10" s="9" customFormat="1" x14ac:dyDescent="0.25">
      <c r="A8871" s="447"/>
      <c r="B8871" s="55" t="str">
        <f t="shared" si="550"/>
        <v>ENERO</v>
      </c>
      <c r="C8871" s="55">
        <f t="shared" si="551"/>
        <v>1</v>
      </c>
      <c r="D8871" s="3" t="str">
        <f t="shared" si="552"/>
        <v>SÁBADO</v>
      </c>
      <c r="E8871" s="427"/>
      <c r="F8871" s="31">
        <f>IFERROR(VLOOKUP(E8871,BD!$L$2:$Q$244,2,0),0)</f>
        <v>0</v>
      </c>
      <c r="G8871" s="424"/>
      <c r="H8871" s="31">
        <f>+IFERROR(VLOOKUP(E8871,BD!$L$2:$Q$244,6,0),0)</f>
        <v>0</v>
      </c>
      <c r="I8871" s="626">
        <f>IFERROR(G8871*VLOOKUP($E8871,BD!$L$2:$Q$244,5,0),0)</f>
        <v>0</v>
      </c>
      <c r="J8871" s="3">
        <f t="shared" si="553"/>
        <v>1900</v>
      </c>
    </row>
    <row r="8872" spans="1:10" s="9" customFormat="1" x14ac:dyDescent="0.25">
      <c r="A8872" s="447"/>
      <c r="B8872" s="55" t="str">
        <f t="shared" si="550"/>
        <v>ENERO</v>
      </c>
      <c r="C8872" s="55">
        <f t="shared" si="551"/>
        <v>1</v>
      </c>
      <c r="D8872" s="3" t="str">
        <f t="shared" si="552"/>
        <v>SÁBADO</v>
      </c>
      <c r="E8872" s="427"/>
      <c r="F8872" s="31">
        <f>IFERROR(VLOOKUP(E8872,BD!$L$2:$Q$244,2,0),0)</f>
        <v>0</v>
      </c>
      <c r="G8872" s="424"/>
      <c r="H8872" s="31">
        <f>+IFERROR(VLOOKUP(E8872,BD!$L$2:$Q$244,6,0),0)</f>
        <v>0</v>
      </c>
      <c r="I8872" s="626">
        <f>IFERROR(G8872*VLOOKUP($E8872,BD!$L$2:$Q$244,5,0),0)</f>
        <v>0</v>
      </c>
      <c r="J8872" s="3">
        <f t="shared" si="553"/>
        <v>1900</v>
      </c>
    </row>
    <row r="8873" spans="1:10" s="9" customFormat="1" x14ac:dyDescent="0.25">
      <c r="A8873" s="447"/>
      <c r="B8873" s="55" t="str">
        <f t="shared" si="550"/>
        <v>ENERO</v>
      </c>
      <c r="C8873" s="55">
        <f t="shared" si="551"/>
        <v>1</v>
      </c>
      <c r="D8873" s="3" t="str">
        <f t="shared" si="552"/>
        <v>SÁBADO</v>
      </c>
      <c r="E8873" s="427"/>
      <c r="F8873" s="31">
        <f>IFERROR(VLOOKUP(E8873,BD!$L$2:$Q$244,2,0),0)</f>
        <v>0</v>
      </c>
      <c r="G8873" s="424"/>
      <c r="H8873" s="31">
        <f>+IFERROR(VLOOKUP(E8873,BD!$L$2:$Q$244,6,0),0)</f>
        <v>0</v>
      </c>
      <c r="I8873" s="626">
        <f>IFERROR(G8873*VLOOKUP($E8873,BD!$L$2:$Q$244,5,0),0)</f>
        <v>0</v>
      </c>
      <c r="J8873" s="3">
        <f t="shared" si="553"/>
        <v>1900</v>
      </c>
    </row>
    <row r="8874" spans="1:10" s="9" customFormat="1" x14ac:dyDescent="0.25">
      <c r="A8874" s="447"/>
      <c r="B8874" s="55" t="str">
        <f t="shared" si="550"/>
        <v>ENERO</v>
      </c>
      <c r="C8874" s="55">
        <f t="shared" si="551"/>
        <v>1</v>
      </c>
      <c r="D8874" s="3" t="str">
        <f t="shared" si="552"/>
        <v>SÁBADO</v>
      </c>
      <c r="E8874" s="427"/>
      <c r="F8874" s="31">
        <f>IFERROR(VLOOKUP(E8874,BD!$L$2:$Q$244,2,0),0)</f>
        <v>0</v>
      </c>
      <c r="G8874" s="424"/>
      <c r="H8874" s="31">
        <f>+IFERROR(VLOOKUP(E8874,BD!$L$2:$Q$244,6,0),0)</f>
        <v>0</v>
      </c>
      <c r="I8874" s="626">
        <f>IFERROR(G8874*VLOOKUP($E8874,BD!$L$2:$Q$244,5,0),0)</f>
        <v>0</v>
      </c>
      <c r="J8874" s="3">
        <f t="shared" si="553"/>
        <v>1900</v>
      </c>
    </row>
    <row r="8875" spans="1:10" s="9" customFormat="1" x14ac:dyDescent="0.25">
      <c r="A8875" s="447"/>
      <c r="B8875" s="55" t="str">
        <f t="shared" si="550"/>
        <v>ENERO</v>
      </c>
      <c r="C8875" s="55">
        <f t="shared" si="551"/>
        <v>1</v>
      </c>
      <c r="D8875" s="3" t="str">
        <f t="shared" si="552"/>
        <v>SÁBADO</v>
      </c>
      <c r="E8875" s="427"/>
      <c r="F8875" s="31">
        <f>IFERROR(VLOOKUP(E8875,BD!$L$2:$Q$244,2,0),0)</f>
        <v>0</v>
      </c>
      <c r="G8875" s="424"/>
      <c r="H8875" s="31">
        <f>+IFERROR(VLOOKUP(E8875,BD!$L$2:$Q$244,6,0),0)</f>
        <v>0</v>
      </c>
      <c r="I8875" s="626">
        <f>IFERROR(G8875*VLOOKUP($E8875,BD!$L$2:$Q$244,5,0),0)</f>
        <v>0</v>
      </c>
      <c r="J8875" s="3">
        <f t="shared" si="553"/>
        <v>1900</v>
      </c>
    </row>
    <row r="8876" spans="1:10" s="9" customFormat="1" x14ac:dyDescent="0.25">
      <c r="A8876" s="447"/>
      <c r="B8876" s="55" t="str">
        <f t="shared" si="550"/>
        <v>ENERO</v>
      </c>
      <c r="C8876" s="55">
        <f t="shared" si="551"/>
        <v>1</v>
      </c>
      <c r="D8876" s="3" t="str">
        <f t="shared" si="552"/>
        <v>SÁBADO</v>
      </c>
      <c r="E8876" s="427"/>
      <c r="F8876" s="31">
        <f>IFERROR(VLOOKUP(E8876,BD!$L$2:$Q$244,2,0),0)</f>
        <v>0</v>
      </c>
      <c r="G8876" s="424"/>
      <c r="H8876" s="31">
        <f>+IFERROR(VLOOKUP(E8876,BD!$L$2:$Q$244,6,0),0)</f>
        <v>0</v>
      </c>
      <c r="I8876" s="626">
        <f>IFERROR(G8876*VLOOKUP($E8876,BD!$L$2:$Q$244,5,0),0)</f>
        <v>0</v>
      </c>
      <c r="J8876" s="3">
        <f t="shared" si="553"/>
        <v>1900</v>
      </c>
    </row>
    <row r="8877" spans="1:10" s="9" customFormat="1" x14ac:dyDescent="0.25">
      <c r="A8877" s="447"/>
      <c r="B8877" s="55" t="str">
        <f t="shared" si="550"/>
        <v>ENERO</v>
      </c>
      <c r="C8877" s="55">
        <f t="shared" si="551"/>
        <v>1</v>
      </c>
      <c r="D8877" s="3" t="str">
        <f t="shared" si="552"/>
        <v>SÁBADO</v>
      </c>
      <c r="E8877" s="427"/>
      <c r="F8877" s="31">
        <f>IFERROR(VLOOKUP(E8877,BD!$L$2:$Q$244,2,0),0)</f>
        <v>0</v>
      </c>
      <c r="G8877" s="424"/>
      <c r="H8877" s="31">
        <f>+IFERROR(VLOOKUP(E8877,BD!$L$2:$Q$244,6,0),0)</f>
        <v>0</v>
      </c>
      <c r="I8877" s="626">
        <f>IFERROR(G8877*VLOOKUP($E8877,BD!$L$2:$Q$244,5,0),0)</f>
        <v>0</v>
      </c>
      <c r="J8877" s="3">
        <f t="shared" si="553"/>
        <v>1900</v>
      </c>
    </row>
    <row r="8878" spans="1:10" s="9" customFormat="1" x14ac:dyDescent="0.25">
      <c r="A8878" s="447"/>
      <c r="B8878" s="55" t="str">
        <f t="shared" si="550"/>
        <v>ENERO</v>
      </c>
      <c r="C8878" s="55">
        <f t="shared" si="551"/>
        <v>1</v>
      </c>
      <c r="D8878" s="3" t="str">
        <f t="shared" si="552"/>
        <v>SÁBADO</v>
      </c>
      <c r="E8878" s="427"/>
      <c r="F8878" s="31">
        <f>IFERROR(VLOOKUP(E8878,BD!$L$2:$Q$244,2,0),0)</f>
        <v>0</v>
      </c>
      <c r="G8878" s="424"/>
      <c r="H8878" s="31">
        <f>+IFERROR(VLOOKUP(E8878,BD!$L$2:$Q$244,6,0),0)</f>
        <v>0</v>
      </c>
      <c r="I8878" s="626">
        <f>IFERROR(G8878*VLOOKUP($E8878,BD!$L$2:$Q$244,5,0),0)</f>
        <v>0</v>
      </c>
      <c r="J8878" s="3">
        <f t="shared" si="553"/>
        <v>1900</v>
      </c>
    </row>
    <row r="8879" spans="1:10" s="9" customFormat="1" x14ac:dyDescent="0.25">
      <c r="A8879" s="447"/>
      <c r="B8879" s="55" t="str">
        <f t="shared" si="550"/>
        <v>ENERO</v>
      </c>
      <c r="C8879" s="55">
        <f t="shared" si="551"/>
        <v>1</v>
      </c>
      <c r="D8879" s="3" t="str">
        <f t="shared" si="552"/>
        <v>SÁBADO</v>
      </c>
      <c r="E8879" s="427"/>
      <c r="F8879" s="31">
        <f>IFERROR(VLOOKUP(E8879,BD!$L$2:$Q$244,2,0),0)</f>
        <v>0</v>
      </c>
      <c r="G8879" s="424"/>
      <c r="H8879" s="31">
        <f>+IFERROR(VLOOKUP(E8879,BD!$L$2:$Q$244,6,0),0)</f>
        <v>0</v>
      </c>
      <c r="I8879" s="626">
        <f>IFERROR(G8879*VLOOKUP($E8879,BD!$L$2:$Q$244,5,0),0)</f>
        <v>0</v>
      </c>
      <c r="J8879" s="3">
        <f t="shared" si="553"/>
        <v>1900</v>
      </c>
    </row>
    <row r="8880" spans="1:10" s="9" customFormat="1" x14ac:dyDescent="0.25">
      <c r="A8880" s="447"/>
      <c r="B8880" s="55" t="str">
        <f t="shared" si="550"/>
        <v>ENERO</v>
      </c>
      <c r="C8880" s="55">
        <f t="shared" si="551"/>
        <v>1</v>
      </c>
      <c r="D8880" s="3" t="str">
        <f t="shared" si="552"/>
        <v>SÁBADO</v>
      </c>
      <c r="E8880" s="427"/>
      <c r="F8880" s="31">
        <f>IFERROR(VLOOKUP(E8880,BD!$L$2:$Q$244,2,0),0)</f>
        <v>0</v>
      </c>
      <c r="G8880" s="424"/>
      <c r="H8880" s="31">
        <f>+IFERROR(VLOOKUP(E8880,BD!$L$2:$Q$244,6,0),0)</f>
        <v>0</v>
      </c>
      <c r="I8880" s="626">
        <f>IFERROR(G8880*VLOOKUP($E8880,BD!$L$2:$Q$244,5,0),0)</f>
        <v>0</v>
      </c>
      <c r="J8880" s="3">
        <f t="shared" si="553"/>
        <v>1900</v>
      </c>
    </row>
    <row r="8881" spans="1:10" s="9" customFormat="1" x14ac:dyDescent="0.25">
      <c r="A8881" s="447"/>
      <c r="B8881" s="55" t="str">
        <f t="shared" si="550"/>
        <v>ENERO</v>
      </c>
      <c r="C8881" s="55">
        <f t="shared" si="551"/>
        <v>1</v>
      </c>
      <c r="D8881" s="3" t="str">
        <f t="shared" si="552"/>
        <v>SÁBADO</v>
      </c>
      <c r="E8881" s="427"/>
      <c r="F8881" s="31">
        <f>IFERROR(VLOOKUP(E8881,BD!$L$2:$Q$244,2,0),0)</f>
        <v>0</v>
      </c>
      <c r="G8881" s="424"/>
      <c r="H8881" s="31">
        <f>+IFERROR(VLOOKUP(E8881,BD!$L$2:$Q$244,6,0),0)</f>
        <v>0</v>
      </c>
      <c r="I8881" s="626">
        <f>IFERROR(G8881*VLOOKUP($E8881,BD!$L$2:$Q$244,5,0),0)</f>
        <v>0</v>
      </c>
      <c r="J8881" s="3">
        <f t="shared" si="553"/>
        <v>1900</v>
      </c>
    </row>
    <row r="8882" spans="1:10" s="9" customFormat="1" x14ac:dyDescent="0.25">
      <c r="A8882" s="447"/>
      <c r="B8882" s="55" t="str">
        <f t="shared" si="550"/>
        <v>ENERO</v>
      </c>
      <c r="C8882" s="55">
        <f t="shared" si="551"/>
        <v>1</v>
      </c>
      <c r="D8882" s="3" t="str">
        <f t="shared" si="552"/>
        <v>SÁBADO</v>
      </c>
      <c r="E8882" s="427"/>
      <c r="F8882" s="31">
        <f>IFERROR(VLOOKUP(E8882,BD!$L$2:$Q$244,2,0),0)</f>
        <v>0</v>
      </c>
      <c r="G8882" s="424"/>
      <c r="H8882" s="31">
        <f>+IFERROR(VLOOKUP(E8882,BD!$L$2:$Q$244,6,0),0)</f>
        <v>0</v>
      </c>
      <c r="I8882" s="626">
        <f>IFERROR(G8882*VLOOKUP($E8882,BD!$L$2:$Q$244,5,0),0)</f>
        <v>0</v>
      </c>
      <c r="J8882" s="3">
        <f t="shared" si="553"/>
        <v>1900</v>
      </c>
    </row>
    <row r="8883" spans="1:10" s="9" customFormat="1" x14ac:dyDescent="0.25">
      <c r="A8883" s="447"/>
      <c r="B8883" s="55" t="str">
        <f t="shared" si="550"/>
        <v>ENERO</v>
      </c>
      <c r="C8883" s="55">
        <f t="shared" si="551"/>
        <v>1</v>
      </c>
      <c r="D8883" s="3" t="str">
        <f t="shared" si="552"/>
        <v>SÁBADO</v>
      </c>
      <c r="E8883" s="427"/>
      <c r="F8883" s="31">
        <f>IFERROR(VLOOKUP(E8883,BD!$L$2:$Q$244,2,0),0)</f>
        <v>0</v>
      </c>
      <c r="G8883" s="424"/>
      <c r="H8883" s="31">
        <f>+IFERROR(VLOOKUP(E8883,BD!$L$2:$Q$244,6,0),0)</f>
        <v>0</v>
      </c>
      <c r="I8883" s="626">
        <f>IFERROR(G8883*VLOOKUP($E8883,BD!$L$2:$Q$244,5,0),0)</f>
        <v>0</v>
      </c>
      <c r="J8883" s="3">
        <f t="shared" si="553"/>
        <v>1900</v>
      </c>
    </row>
    <row r="8884" spans="1:10" s="9" customFormat="1" x14ac:dyDescent="0.25">
      <c r="A8884" s="447"/>
      <c r="B8884" s="55" t="str">
        <f t="shared" si="550"/>
        <v>ENERO</v>
      </c>
      <c r="C8884" s="55">
        <f t="shared" si="551"/>
        <v>1</v>
      </c>
      <c r="D8884" s="3" t="str">
        <f t="shared" si="552"/>
        <v>SÁBADO</v>
      </c>
      <c r="E8884" s="427"/>
      <c r="F8884" s="31">
        <f>IFERROR(VLOOKUP(E8884,BD!$L$2:$Q$244,2,0),0)</f>
        <v>0</v>
      </c>
      <c r="G8884" s="424"/>
      <c r="H8884" s="31">
        <f>+IFERROR(VLOOKUP(E8884,BD!$L$2:$Q$244,6,0),0)</f>
        <v>0</v>
      </c>
      <c r="I8884" s="626">
        <f>IFERROR(G8884*VLOOKUP($E8884,BD!$L$2:$Q$244,5,0),0)</f>
        <v>0</v>
      </c>
      <c r="J8884" s="3">
        <f t="shared" si="553"/>
        <v>1900</v>
      </c>
    </row>
    <row r="8885" spans="1:10" s="9" customFormat="1" x14ac:dyDescent="0.25">
      <c r="A8885" s="447"/>
      <c r="B8885" s="55" t="str">
        <f t="shared" si="550"/>
        <v>ENERO</v>
      </c>
      <c r="C8885" s="55">
        <f t="shared" si="551"/>
        <v>1</v>
      </c>
      <c r="D8885" s="3" t="str">
        <f t="shared" si="552"/>
        <v>SÁBADO</v>
      </c>
      <c r="E8885" s="427"/>
      <c r="F8885" s="31">
        <f>IFERROR(VLOOKUP(E8885,BD!$L$2:$Q$244,2,0),0)</f>
        <v>0</v>
      </c>
      <c r="G8885" s="424"/>
      <c r="H8885" s="31">
        <f>+IFERROR(VLOOKUP(E8885,BD!$L$2:$Q$244,6,0),0)</f>
        <v>0</v>
      </c>
      <c r="I8885" s="626">
        <f>IFERROR(G8885*VLOOKUP($E8885,BD!$L$2:$Q$244,5,0),0)</f>
        <v>0</v>
      </c>
      <c r="J8885" s="3">
        <f t="shared" si="553"/>
        <v>1900</v>
      </c>
    </row>
    <row r="8886" spans="1:10" s="9" customFormat="1" x14ac:dyDescent="0.25">
      <c r="A8886" s="447"/>
      <c r="B8886" s="55" t="str">
        <f t="shared" si="550"/>
        <v>ENERO</v>
      </c>
      <c r="C8886" s="55">
        <f t="shared" si="551"/>
        <v>1</v>
      </c>
      <c r="D8886" s="3" t="str">
        <f t="shared" si="552"/>
        <v>SÁBADO</v>
      </c>
      <c r="E8886" s="427"/>
      <c r="F8886" s="31">
        <f>IFERROR(VLOOKUP(E8886,BD!$L$2:$Q$244,2,0),0)</f>
        <v>0</v>
      </c>
      <c r="G8886" s="424"/>
      <c r="H8886" s="31">
        <f>+IFERROR(VLOOKUP(E8886,BD!$L$2:$Q$244,6,0),0)</f>
        <v>0</v>
      </c>
      <c r="I8886" s="626">
        <f>IFERROR(G8886*VLOOKUP($E8886,BD!$L$2:$Q$244,5,0),0)</f>
        <v>0</v>
      </c>
      <c r="J8886" s="3">
        <f t="shared" si="553"/>
        <v>1900</v>
      </c>
    </row>
    <row r="8887" spans="1:10" s="9" customFormat="1" x14ac:dyDescent="0.25">
      <c r="A8887" s="447"/>
      <c r="B8887" s="55" t="str">
        <f t="shared" si="550"/>
        <v>ENERO</v>
      </c>
      <c r="C8887" s="55">
        <f t="shared" si="551"/>
        <v>1</v>
      </c>
      <c r="D8887" s="3" t="str">
        <f t="shared" si="552"/>
        <v>SÁBADO</v>
      </c>
      <c r="E8887" s="427"/>
      <c r="F8887" s="31">
        <f>IFERROR(VLOOKUP(E8887,BD!$L$2:$Q$244,2,0),0)</f>
        <v>0</v>
      </c>
      <c r="G8887" s="424"/>
      <c r="H8887" s="31">
        <f>+IFERROR(VLOOKUP(E8887,BD!$L$2:$Q$244,6,0),0)</f>
        <v>0</v>
      </c>
      <c r="I8887" s="626">
        <f>IFERROR(G8887*VLOOKUP($E8887,BD!$L$2:$Q$244,5,0),0)</f>
        <v>0</v>
      </c>
      <c r="J8887" s="3">
        <f t="shared" si="553"/>
        <v>1900</v>
      </c>
    </row>
    <row r="8888" spans="1:10" s="9" customFormat="1" x14ac:dyDescent="0.25">
      <c r="A8888" s="447"/>
      <c r="B8888" s="55" t="str">
        <f t="shared" si="550"/>
        <v>ENERO</v>
      </c>
      <c r="C8888" s="55">
        <f t="shared" si="551"/>
        <v>1</v>
      </c>
      <c r="D8888" s="3" t="str">
        <f t="shared" si="552"/>
        <v>SÁBADO</v>
      </c>
      <c r="E8888" s="427"/>
      <c r="F8888" s="31">
        <f>IFERROR(VLOOKUP(E8888,BD!$L$2:$Q$244,2,0),0)</f>
        <v>0</v>
      </c>
      <c r="G8888" s="424"/>
      <c r="H8888" s="31">
        <f>+IFERROR(VLOOKUP(E8888,BD!$L$2:$Q$244,6,0),0)</f>
        <v>0</v>
      </c>
      <c r="I8888" s="626">
        <f>IFERROR(G8888*VLOOKUP($E8888,BD!$L$2:$Q$244,5,0),0)</f>
        <v>0</v>
      </c>
      <c r="J8888" s="3">
        <f t="shared" si="553"/>
        <v>1900</v>
      </c>
    </row>
    <row r="8889" spans="1:10" s="9" customFormat="1" x14ac:dyDescent="0.25">
      <c r="A8889" s="447"/>
      <c r="B8889" s="55" t="str">
        <f t="shared" si="550"/>
        <v>ENERO</v>
      </c>
      <c r="C8889" s="55">
        <f t="shared" si="551"/>
        <v>1</v>
      </c>
      <c r="D8889" s="3" t="str">
        <f t="shared" si="552"/>
        <v>SÁBADO</v>
      </c>
      <c r="E8889" s="427"/>
      <c r="F8889" s="31">
        <f>IFERROR(VLOOKUP(E8889,BD!$L$2:$Q$244,2,0),0)</f>
        <v>0</v>
      </c>
      <c r="G8889" s="424"/>
      <c r="H8889" s="31">
        <f>+IFERROR(VLOOKUP(E8889,BD!$L$2:$Q$244,6,0),0)</f>
        <v>0</v>
      </c>
      <c r="I8889" s="626">
        <f>IFERROR(G8889*VLOOKUP($E8889,BD!$L$2:$Q$244,5,0),0)</f>
        <v>0</v>
      </c>
      <c r="J8889" s="3">
        <f t="shared" si="553"/>
        <v>1900</v>
      </c>
    </row>
    <row r="8890" spans="1:10" s="9" customFormat="1" x14ac:dyDescent="0.25">
      <c r="A8890" s="447"/>
      <c r="B8890" s="55" t="str">
        <f t="shared" si="550"/>
        <v>ENERO</v>
      </c>
      <c r="C8890" s="55">
        <f t="shared" si="551"/>
        <v>1</v>
      </c>
      <c r="D8890" s="3" t="str">
        <f t="shared" si="552"/>
        <v>SÁBADO</v>
      </c>
      <c r="E8890" s="427"/>
      <c r="F8890" s="31">
        <f>IFERROR(VLOOKUP(E8890,BD!$L$2:$Q$244,2,0),0)</f>
        <v>0</v>
      </c>
      <c r="G8890" s="424"/>
      <c r="H8890" s="31">
        <f>+IFERROR(VLOOKUP(E8890,BD!$L$2:$Q$244,6,0),0)</f>
        <v>0</v>
      </c>
      <c r="I8890" s="626">
        <f>IFERROR(G8890*VLOOKUP($E8890,BD!$L$2:$Q$244,5,0),0)</f>
        <v>0</v>
      </c>
      <c r="J8890" s="3">
        <f t="shared" si="553"/>
        <v>1900</v>
      </c>
    </row>
    <row r="8891" spans="1:10" s="9" customFormat="1" x14ac:dyDescent="0.25">
      <c r="A8891" s="447"/>
      <c r="B8891" s="55" t="str">
        <f t="shared" si="550"/>
        <v>ENERO</v>
      </c>
      <c r="C8891" s="55">
        <f t="shared" si="551"/>
        <v>1</v>
      </c>
      <c r="D8891" s="3" t="str">
        <f t="shared" si="552"/>
        <v>SÁBADO</v>
      </c>
      <c r="E8891" s="427"/>
      <c r="F8891" s="31">
        <f>IFERROR(VLOOKUP(E8891,BD!$L$2:$Q$244,2,0),0)</f>
        <v>0</v>
      </c>
      <c r="G8891" s="424"/>
      <c r="H8891" s="31">
        <f>+IFERROR(VLOOKUP(E8891,BD!$L$2:$Q$244,6,0),0)</f>
        <v>0</v>
      </c>
      <c r="I8891" s="626">
        <f>IFERROR(G8891*VLOOKUP($E8891,BD!$L$2:$Q$244,5,0),0)</f>
        <v>0</v>
      </c>
      <c r="J8891" s="3">
        <f t="shared" si="553"/>
        <v>1900</v>
      </c>
    </row>
    <row r="8892" spans="1:10" s="9" customFormat="1" x14ac:dyDescent="0.25">
      <c r="A8892" s="447"/>
      <c r="B8892" s="55" t="str">
        <f t="shared" ref="B8892:B8955" si="554">UPPER(TEXT(A8892,"MMMM"))</f>
        <v>ENERO</v>
      </c>
      <c r="C8892" s="55">
        <f t="shared" ref="C8892:C8955" si="555">WEEKNUM(A8892,16)</f>
        <v>1</v>
      </c>
      <c r="D8892" s="3" t="str">
        <f t="shared" ref="D8892:D8955" si="556">UPPER(TEXT(A8892,"DDDD"))</f>
        <v>SÁBADO</v>
      </c>
      <c r="E8892" s="427"/>
      <c r="F8892" s="31">
        <f>IFERROR(VLOOKUP(E8892,BD!$L$2:$Q$244,2,0),0)</f>
        <v>0</v>
      </c>
      <c r="G8892" s="424"/>
      <c r="H8892" s="31">
        <f>+IFERROR(VLOOKUP(E8892,BD!$L$2:$Q$244,6,0),0)</f>
        <v>0</v>
      </c>
      <c r="I8892" s="626">
        <f>IFERROR(G8892*VLOOKUP($E8892,BD!$L$2:$Q$244,5,0),0)</f>
        <v>0</v>
      </c>
      <c r="J8892" s="3">
        <f t="shared" ref="J8892:J8955" si="557">+YEAR(A8892)</f>
        <v>1900</v>
      </c>
    </row>
    <row r="8893" spans="1:10" s="9" customFormat="1" x14ac:dyDescent="0.25">
      <c r="A8893" s="447"/>
      <c r="B8893" s="55" t="str">
        <f t="shared" si="554"/>
        <v>ENERO</v>
      </c>
      <c r="C8893" s="55">
        <f t="shared" si="555"/>
        <v>1</v>
      </c>
      <c r="D8893" s="3" t="str">
        <f t="shared" si="556"/>
        <v>SÁBADO</v>
      </c>
      <c r="E8893" s="427"/>
      <c r="F8893" s="31">
        <f>IFERROR(VLOOKUP(E8893,BD!$L$2:$Q$244,2,0),0)</f>
        <v>0</v>
      </c>
      <c r="G8893" s="424"/>
      <c r="H8893" s="31">
        <f>+IFERROR(VLOOKUP(E8893,BD!$L$2:$Q$244,6,0),0)</f>
        <v>0</v>
      </c>
      <c r="I8893" s="626">
        <f>IFERROR(G8893*VLOOKUP($E8893,BD!$L$2:$Q$244,5,0),0)</f>
        <v>0</v>
      </c>
      <c r="J8893" s="3">
        <f t="shared" si="557"/>
        <v>1900</v>
      </c>
    </row>
    <row r="8894" spans="1:10" s="9" customFormat="1" x14ac:dyDescent="0.25">
      <c r="A8894" s="447"/>
      <c r="B8894" s="55" t="str">
        <f t="shared" si="554"/>
        <v>ENERO</v>
      </c>
      <c r="C8894" s="55">
        <f t="shared" si="555"/>
        <v>1</v>
      </c>
      <c r="D8894" s="3" t="str">
        <f t="shared" si="556"/>
        <v>SÁBADO</v>
      </c>
      <c r="E8894" s="427"/>
      <c r="F8894" s="31">
        <f>IFERROR(VLOOKUP(E8894,BD!$L$2:$Q$244,2,0),0)</f>
        <v>0</v>
      </c>
      <c r="G8894" s="424"/>
      <c r="H8894" s="31">
        <f>+IFERROR(VLOOKUP(E8894,BD!$L$2:$Q$244,6,0),0)</f>
        <v>0</v>
      </c>
      <c r="I8894" s="626">
        <f>IFERROR(G8894*VLOOKUP($E8894,BD!$L$2:$Q$244,5,0),0)</f>
        <v>0</v>
      </c>
      <c r="J8894" s="3">
        <f t="shared" si="557"/>
        <v>1900</v>
      </c>
    </row>
    <row r="8895" spans="1:10" s="9" customFormat="1" x14ac:dyDescent="0.25">
      <c r="A8895" s="447"/>
      <c r="B8895" s="55" t="str">
        <f t="shared" si="554"/>
        <v>ENERO</v>
      </c>
      <c r="C8895" s="55">
        <f t="shared" si="555"/>
        <v>1</v>
      </c>
      <c r="D8895" s="3" t="str">
        <f t="shared" si="556"/>
        <v>SÁBADO</v>
      </c>
      <c r="E8895" s="427"/>
      <c r="F8895" s="31">
        <f>IFERROR(VLOOKUP(E8895,BD!$L$2:$Q$244,2,0),0)</f>
        <v>0</v>
      </c>
      <c r="G8895" s="424"/>
      <c r="H8895" s="31">
        <f>+IFERROR(VLOOKUP(E8895,BD!$L$2:$Q$244,6,0),0)</f>
        <v>0</v>
      </c>
      <c r="I8895" s="626">
        <f>IFERROR(G8895*VLOOKUP($E8895,BD!$L$2:$Q$244,5,0),0)</f>
        <v>0</v>
      </c>
      <c r="J8895" s="3">
        <f t="shared" si="557"/>
        <v>1900</v>
      </c>
    </row>
    <row r="8896" spans="1:10" s="9" customFormat="1" x14ac:dyDescent="0.25">
      <c r="A8896" s="447"/>
      <c r="B8896" s="55" t="str">
        <f t="shared" si="554"/>
        <v>ENERO</v>
      </c>
      <c r="C8896" s="55">
        <f t="shared" si="555"/>
        <v>1</v>
      </c>
      <c r="D8896" s="3" t="str">
        <f t="shared" si="556"/>
        <v>SÁBADO</v>
      </c>
      <c r="E8896" s="427"/>
      <c r="F8896" s="31">
        <f>IFERROR(VLOOKUP(E8896,BD!$L$2:$Q$244,2,0),0)</f>
        <v>0</v>
      </c>
      <c r="G8896" s="424"/>
      <c r="H8896" s="31">
        <f>+IFERROR(VLOOKUP(E8896,BD!$L$2:$Q$244,6,0),0)</f>
        <v>0</v>
      </c>
      <c r="I8896" s="626">
        <f>IFERROR(G8896*VLOOKUP($E8896,BD!$L$2:$Q$244,5,0),0)</f>
        <v>0</v>
      </c>
      <c r="J8896" s="3">
        <f t="shared" si="557"/>
        <v>1900</v>
      </c>
    </row>
    <row r="8897" spans="1:10" s="9" customFormat="1" x14ac:dyDescent="0.25">
      <c r="A8897" s="447"/>
      <c r="B8897" s="55" t="str">
        <f t="shared" si="554"/>
        <v>ENERO</v>
      </c>
      <c r="C8897" s="55">
        <f t="shared" si="555"/>
        <v>1</v>
      </c>
      <c r="D8897" s="3" t="str">
        <f t="shared" si="556"/>
        <v>SÁBADO</v>
      </c>
      <c r="E8897" s="427"/>
      <c r="F8897" s="31">
        <f>IFERROR(VLOOKUP(E8897,BD!$L$2:$Q$244,2,0),0)</f>
        <v>0</v>
      </c>
      <c r="G8897" s="424"/>
      <c r="H8897" s="31">
        <f>+IFERROR(VLOOKUP(E8897,BD!$L$2:$Q$244,6,0),0)</f>
        <v>0</v>
      </c>
      <c r="I8897" s="626">
        <f>IFERROR(G8897*VLOOKUP($E8897,BD!$L$2:$Q$244,5,0),0)</f>
        <v>0</v>
      </c>
      <c r="J8897" s="3">
        <f t="shared" si="557"/>
        <v>1900</v>
      </c>
    </row>
    <row r="8898" spans="1:10" s="9" customFormat="1" x14ac:dyDescent="0.25">
      <c r="A8898" s="447"/>
      <c r="B8898" s="55" t="str">
        <f t="shared" si="554"/>
        <v>ENERO</v>
      </c>
      <c r="C8898" s="55">
        <f t="shared" si="555"/>
        <v>1</v>
      </c>
      <c r="D8898" s="3" t="str">
        <f t="shared" si="556"/>
        <v>SÁBADO</v>
      </c>
      <c r="E8898" s="427"/>
      <c r="F8898" s="31">
        <f>IFERROR(VLOOKUP(E8898,BD!$L$2:$Q$244,2,0),0)</f>
        <v>0</v>
      </c>
      <c r="G8898" s="424"/>
      <c r="H8898" s="31">
        <f>+IFERROR(VLOOKUP(E8898,BD!$L$2:$Q$244,6,0),0)</f>
        <v>0</v>
      </c>
      <c r="I8898" s="626">
        <f>IFERROR(G8898*VLOOKUP($E8898,BD!$L$2:$Q$244,5,0),0)</f>
        <v>0</v>
      </c>
      <c r="J8898" s="3">
        <f t="shared" si="557"/>
        <v>1900</v>
      </c>
    </row>
    <row r="8899" spans="1:10" s="9" customFormat="1" x14ac:dyDescent="0.25">
      <c r="A8899" s="447"/>
      <c r="B8899" s="55" t="str">
        <f t="shared" si="554"/>
        <v>ENERO</v>
      </c>
      <c r="C8899" s="55">
        <f t="shared" si="555"/>
        <v>1</v>
      </c>
      <c r="D8899" s="3" t="str">
        <f t="shared" si="556"/>
        <v>SÁBADO</v>
      </c>
      <c r="E8899" s="427"/>
      <c r="F8899" s="31">
        <f>IFERROR(VLOOKUP(E8899,BD!$L$2:$Q$244,2,0),0)</f>
        <v>0</v>
      </c>
      <c r="G8899" s="424"/>
      <c r="H8899" s="31">
        <f>+IFERROR(VLOOKUP(E8899,BD!$L$2:$Q$244,6,0),0)</f>
        <v>0</v>
      </c>
      <c r="I8899" s="626">
        <f>IFERROR(G8899*VLOOKUP($E8899,BD!$L$2:$Q$244,5,0),0)</f>
        <v>0</v>
      </c>
      <c r="J8899" s="3">
        <f t="shared" si="557"/>
        <v>1900</v>
      </c>
    </row>
    <row r="8900" spans="1:10" s="9" customFormat="1" x14ac:dyDescent="0.25">
      <c r="A8900" s="447"/>
      <c r="B8900" s="55" t="str">
        <f t="shared" si="554"/>
        <v>ENERO</v>
      </c>
      <c r="C8900" s="55">
        <f t="shared" si="555"/>
        <v>1</v>
      </c>
      <c r="D8900" s="3" t="str">
        <f t="shared" si="556"/>
        <v>SÁBADO</v>
      </c>
      <c r="E8900" s="427"/>
      <c r="F8900" s="31">
        <f>IFERROR(VLOOKUP(E8900,BD!$L$2:$Q$244,2,0),0)</f>
        <v>0</v>
      </c>
      <c r="G8900" s="424"/>
      <c r="H8900" s="31">
        <f>+IFERROR(VLOOKUP(E8900,BD!$L$2:$Q$244,6,0),0)</f>
        <v>0</v>
      </c>
      <c r="I8900" s="626">
        <f>IFERROR(G8900*VLOOKUP($E8900,BD!$L$2:$Q$244,5,0),0)</f>
        <v>0</v>
      </c>
      <c r="J8900" s="3">
        <f t="shared" si="557"/>
        <v>1900</v>
      </c>
    </row>
    <row r="8901" spans="1:10" s="9" customFormat="1" x14ac:dyDescent="0.25">
      <c r="A8901" s="447"/>
      <c r="B8901" s="55" t="str">
        <f t="shared" si="554"/>
        <v>ENERO</v>
      </c>
      <c r="C8901" s="55">
        <f t="shared" si="555"/>
        <v>1</v>
      </c>
      <c r="D8901" s="3" t="str">
        <f t="shared" si="556"/>
        <v>SÁBADO</v>
      </c>
      <c r="E8901" s="427"/>
      <c r="F8901" s="31">
        <f>IFERROR(VLOOKUP(E8901,BD!$L$2:$Q$244,2,0),0)</f>
        <v>0</v>
      </c>
      <c r="G8901" s="424"/>
      <c r="H8901" s="31">
        <f>+IFERROR(VLOOKUP(E8901,BD!$L$2:$Q$244,6,0),0)</f>
        <v>0</v>
      </c>
      <c r="I8901" s="626">
        <f>IFERROR(G8901*VLOOKUP($E8901,BD!$L$2:$Q$244,5,0),0)</f>
        <v>0</v>
      </c>
      <c r="J8901" s="3">
        <f t="shared" si="557"/>
        <v>1900</v>
      </c>
    </row>
    <row r="8902" spans="1:10" s="9" customFormat="1" x14ac:dyDescent="0.25">
      <c r="A8902" s="447"/>
      <c r="B8902" s="55" t="str">
        <f t="shared" si="554"/>
        <v>ENERO</v>
      </c>
      <c r="C8902" s="55">
        <f t="shared" si="555"/>
        <v>1</v>
      </c>
      <c r="D8902" s="3" t="str">
        <f t="shared" si="556"/>
        <v>SÁBADO</v>
      </c>
      <c r="E8902" s="427"/>
      <c r="F8902" s="31">
        <f>IFERROR(VLOOKUP(E8902,BD!$L$2:$Q$244,2,0),0)</f>
        <v>0</v>
      </c>
      <c r="G8902" s="424"/>
      <c r="H8902" s="31">
        <f>+IFERROR(VLOOKUP(E8902,BD!$L$2:$Q$244,6,0),0)</f>
        <v>0</v>
      </c>
      <c r="I8902" s="626">
        <f>IFERROR(G8902*VLOOKUP($E8902,BD!$L$2:$Q$244,5,0),0)</f>
        <v>0</v>
      </c>
      <c r="J8902" s="3">
        <f t="shared" si="557"/>
        <v>1900</v>
      </c>
    </row>
    <row r="8903" spans="1:10" s="9" customFormat="1" x14ac:dyDescent="0.25">
      <c r="A8903" s="447"/>
      <c r="B8903" s="55" t="str">
        <f t="shared" si="554"/>
        <v>ENERO</v>
      </c>
      <c r="C8903" s="55">
        <f t="shared" si="555"/>
        <v>1</v>
      </c>
      <c r="D8903" s="3" t="str">
        <f t="shared" si="556"/>
        <v>SÁBADO</v>
      </c>
      <c r="E8903" s="427"/>
      <c r="F8903" s="31">
        <f>IFERROR(VLOOKUP(E8903,BD!$L$2:$Q$244,2,0),0)</f>
        <v>0</v>
      </c>
      <c r="G8903" s="424"/>
      <c r="H8903" s="31">
        <f>+IFERROR(VLOOKUP(E8903,BD!$L$2:$Q$244,6,0),0)</f>
        <v>0</v>
      </c>
      <c r="I8903" s="626">
        <f>IFERROR(G8903*VLOOKUP($E8903,BD!$L$2:$Q$244,5,0),0)</f>
        <v>0</v>
      </c>
      <c r="J8903" s="3">
        <f t="shared" si="557"/>
        <v>1900</v>
      </c>
    </row>
    <row r="8904" spans="1:10" s="9" customFormat="1" x14ac:dyDescent="0.25">
      <c r="A8904" s="447"/>
      <c r="B8904" s="55" t="str">
        <f t="shared" si="554"/>
        <v>ENERO</v>
      </c>
      <c r="C8904" s="55">
        <f t="shared" si="555"/>
        <v>1</v>
      </c>
      <c r="D8904" s="3" t="str">
        <f t="shared" si="556"/>
        <v>SÁBADO</v>
      </c>
      <c r="E8904" s="427"/>
      <c r="F8904" s="31">
        <f>IFERROR(VLOOKUP(E8904,BD!$L$2:$Q$244,2,0),0)</f>
        <v>0</v>
      </c>
      <c r="G8904" s="424"/>
      <c r="H8904" s="31">
        <f>+IFERROR(VLOOKUP(E8904,BD!$L$2:$Q$244,6,0),0)</f>
        <v>0</v>
      </c>
      <c r="I8904" s="626">
        <f>IFERROR(G8904*VLOOKUP($E8904,BD!$L$2:$Q$244,5,0),0)</f>
        <v>0</v>
      </c>
      <c r="J8904" s="3">
        <f t="shared" si="557"/>
        <v>1900</v>
      </c>
    </row>
    <row r="8905" spans="1:10" s="9" customFormat="1" x14ac:dyDescent="0.25">
      <c r="A8905" s="447"/>
      <c r="B8905" s="55" t="str">
        <f t="shared" si="554"/>
        <v>ENERO</v>
      </c>
      <c r="C8905" s="55">
        <f t="shared" si="555"/>
        <v>1</v>
      </c>
      <c r="D8905" s="3" t="str">
        <f t="shared" si="556"/>
        <v>SÁBADO</v>
      </c>
      <c r="E8905" s="427"/>
      <c r="F8905" s="31">
        <f>IFERROR(VLOOKUP(E8905,BD!$L$2:$Q$244,2,0),0)</f>
        <v>0</v>
      </c>
      <c r="G8905" s="424"/>
      <c r="H8905" s="31">
        <f>+IFERROR(VLOOKUP(E8905,BD!$L$2:$Q$244,6,0),0)</f>
        <v>0</v>
      </c>
      <c r="I8905" s="626">
        <f>IFERROR(G8905*VLOOKUP($E8905,BD!$L$2:$Q$244,5,0),0)</f>
        <v>0</v>
      </c>
      <c r="J8905" s="3">
        <f t="shared" si="557"/>
        <v>1900</v>
      </c>
    </row>
    <row r="8906" spans="1:10" s="9" customFormat="1" x14ac:dyDescent="0.25">
      <c r="A8906" s="447"/>
      <c r="B8906" s="55" t="str">
        <f t="shared" si="554"/>
        <v>ENERO</v>
      </c>
      <c r="C8906" s="55">
        <f t="shared" si="555"/>
        <v>1</v>
      </c>
      <c r="D8906" s="3" t="str">
        <f t="shared" si="556"/>
        <v>SÁBADO</v>
      </c>
      <c r="E8906" s="427"/>
      <c r="F8906" s="31">
        <f>IFERROR(VLOOKUP(E8906,BD!$L$2:$Q$244,2,0),0)</f>
        <v>0</v>
      </c>
      <c r="G8906" s="424"/>
      <c r="H8906" s="31">
        <f>+IFERROR(VLOOKUP(E8906,BD!$L$2:$Q$244,6,0),0)</f>
        <v>0</v>
      </c>
      <c r="I8906" s="626">
        <f>IFERROR(G8906*VLOOKUP($E8906,BD!$L$2:$Q$244,5,0),0)</f>
        <v>0</v>
      </c>
      <c r="J8906" s="3">
        <f t="shared" si="557"/>
        <v>1900</v>
      </c>
    </row>
    <row r="8907" spans="1:10" s="9" customFormat="1" x14ac:dyDescent="0.25">
      <c r="A8907" s="447"/>
      <c r="B8907" s="55" t="str">
        <f t="shared" si="554"/>
        <v>ENERO</v>
      </c>
      <c r="C8907" s="55">
        <f t="shared" si="555"/>
        <v>1</v>
      </c>
      <c r="D8907" s="3" t="str">
        <f t="shared" si="556"/>
        <v>SÁBADO</v>
      </c>
      <c r="E8907" s="427"/>
      <c r="F8907" s="31">
        <f>IFERROR(VLOOKUP(E8907,BD!$L$2:$Q$244,2,0),0)</f>
        <v>0</v>
      </c>
      <c r="G8907" s="424"/>
      <c r="H8907" s="31">
        <f>+IFERROR(VLOOKUP(E8907,BD!$L$2:$Q$244,6,0),0)</f>
        <v>0</v>
      </c>
      <c r="I8907" s="626">
        <f>IFERROR(G8907*VLOOKUP($E8907,BD!$L$2:$Q$244,5,0),0)</f>
        <v>0</v>
      </c>
      <c r="J8907" s="3">
        <f t="shared" si="557"/>
        <v>1900</v>
      </c>
    </row>
    <row r="8908" spans="1:10" s="9" customFormat="1" x14ac:dyDescent="0.25">
      <c r="A8908" s="447"/>
      <c r="B8908" s="55" t="str">
        <f t="shared" si="554"/>
        <v>ENERO</v>
      </c>
      <c r="C8908" s="55">
        <f t="shared" si="555"/>
        <v>1</v>
      </c>
      <c r="D8908" s="3" t="str">
        <f t="shared" si="556"/>
        <v>SÁBADO</v>
      </c>
      <c r="E8908" s="427"/>
      <c r="F8908" s="31">
        <f>IFERROR(VLOOKUP(E8908,BD!$L$2:$Q$244,2,0),0)</f>
        <v>0</v>
      </c>
      <c r="G8908" s="424"/>
      <c r="H8908" s="31">
        <f>+IFERROR(VLOOKUP(E8908,BD!$L$2:$Q$244,6,0),0)</f>
        <v>0</v>
      </c>
      <c r="I8908" s="626">
        <f>IFERROR(G8908*VLOOKUP($E8908,BD!$L$2:$Q$244,5,0),0)</f>
        <v>0</v>
      </c>
      <c r="J8908" s="3">
        <f t="shared" si="557"/>
        <v>1900</v>
      </c>
    </row>
    <row r="8909" spans="1:10" s="9" customFormat="1" x14ac:dyDescent="0.25">
      <c r="A8909" s="447"/>
      <c r="B8909" s="55" t="str">
        <f t="shared" si="554"/>
        <v>ENERO</v>
      </c>
      <c r="C8909" s="55">
        <f t="shared" si="555"/>
        <v>1</v>
      </c>
      <c r="D8909" s="3" t="str">
        <f t="shared" si="556"/>
        <v>SÁBADO</v>
      </c>
      <c r="E8909" s="427"/>
      <c r="F8909" s="31">
        <f>IFERROR(VLOOKUP(E8909,BD!$L$2:$Q$244,2,0),0)</f>
        <v>0</v>
      </c>
      <c r="G8909" s="424"/>
      <c r="H8909" s="31">
        <f>+IFERROR(VLOOKUP(E8909,BD!$L$2:$Q$244,6,0),0)</f>
        <v>0</v>
      </c>
      <c r="I8909" s="626">
        <f>IFERROR(G8909*VLOOKUP($E8909,BD!$L$2:$Q$244,5,0),0)</f>
        <v>0</v>
      </c>
      <c r="J8909" s="3">
        <f t="shared" si="557"/>
        <v>1900</v>
      </c>
    </row>
    <row r="8910" spans="1:10" s="9" customFormat="1" x14ac:dyDescent="0.25">
      <c r="A8910" s="447"/>
      <c r="B8910" s="55" t="str">
        <f t="shared" si="554"/>
        <v>ENERO</v>
      </c>
      <c r="C8910" s="55">
        <f t="shared" si="555"/>
        <v>1</v>
      </c>
      <c r="D8910" s="3" t="str">
        <f t="shared" si="556"/>
        <v>SÁBADO</v>
      </c>
      <c r="E8910" s="427"/>
      <c r="F8910" s="31">
        <f>IFERROR(VLOOKUP(E8910,BD!$L$2:$Q$244,2,0),0)</f>
        <v>0</v>
      </c>
      <c r="G8910" s="424"/>
      <c r="H8910" s="31">
        <f>+IFERROR(VLOOKUP(E8910,BD!$L$2:$Q$244,6,0),0)</f>
        <v>0</v>
      </c>
      <c r="I8910" s="626">
        <f>IFERROR(G8910*VLOOKUP($E8910,BD!$L$2:$Q$244,5,0),0)</f>
        <v>0</v>
      </c>
      <c r="J8910" s="3">
        <f t="shared" si="557"/>
        <v>1900</v>
      </c>
    </row>
    <row r="8911" spans="1:10" s="9" customFormat="1" x14ac:dyDescent="0.25">
      <c r="A8911" s="447"/>
      <c r="B8911" s="55" t="str">
        <f t="shared" si="554"/>
        <v>ENERO</v>
      </c>
      <c r="C8911" s="55">
        <f t="shared" si="555"/>
        <v>1</v>
      </c>
      <c r="D8911" s="3" t="str">
        <f t="shared" si="556"/>
        <v>SÁBADO</v>
      </c>
      <c r="E8911" s="427"/>
      <c r="F8911" s="31">
        <f>IFERROR(VLOOKUP(E8911,BD!$L$2:$Q$244,2,0),0)</f>
        <v>0</v>
      </c>
      <c r="G8911" s="424"/>
      <c r="H8911" s="31">
        <f>+IFERROR(VLOOKUP(E8911,BD!$L$2:$Q$244,6,0),0)</f>
        <v>0</v>
      </c>
      <c r="I8911" s="626">
        <f>IFERROR(G8911*VLOOKUP($E8911,BD!$L$2:$Q$244,5,0),0)</f>
        <v>0</v>
      </c>
      <c r="J8911" s="3">
        <f t="shared" si="557"/>
        <v>1900</v>
      </c>
    </row>
    <row r="8912" spans="1:10" s="9" customFormat="1" x14ac:dyDescent="0.25">
      <c r="A8912" s="447"/>
      <c r="B8912" s="55" t="str">
        <f t="shared" si="554"/>
        <v>ENERO</v>
      </c>
      <c r="C8912" s="55">
        <f t="shared" si="555"/>
        <v>1</v>
      </c>
      <c r="D8912" s="3" t="str">
        <f t="shared" si="556"/>
        <v>SÁBADO</v>
      </c>
      <c r="E8912" s="427"/>
      <c r="F8912" s="31">
        <f>IFERROR(VLOOKUP(E8912,BD!$L$2:$Q$244,2,0),0)</f>
        <v>0</v>
      </c>
      <c r="G8912" s="424"/>
      <c r="H8912" s="31">
        <f>+IFERROR(VLOOKUP(E8912,BD!$L$2:$Q$244,6,0),0)</f>
        <v>0</v>
      </c>
      <c r="I8912" s="626">
        <f>IFERROR(G8912*VLOOKUP($E8912,BD!$L$2:$Q$244,5,0),0)</f>
        <v>0</v>
      </c>
      <c r="J8912" s="3">
        <f t="shared" si="557"/>
        <v>1900</v>
      </c>
    </row>
    <row r="8913" spans="1:10" s="9" customFormat="1" x14ac:dyDescent="0.25">
      <c r="A8913" s="447"/>
      <c r="B8913" s="55" t="str">
        <f t="shared" si="554"/>
        <v>ENERO</v>
      </c>
      <c r="C8913" s="55">
        <f t="shared" si="555"/>
        <v>1</v>
      </c>
      <c r="D8913" s="3" t="str">
        <f t="shared" si="556"/>
        <v>SÁBADO</v>
      </c>
      <c r="E8913" s="427"/>
      <c r="F8913" s="31">
        <f>IFERROR(VLOOKUP(E8913,BD!$L$2:$Q$244,2,0),0)</f>
        <v>0</v>
      </c>
      <c r="G8913" s="424"/>
      <c r="H8913" s="31">
        <f>+IFERROR(VLOOKUP(E8913,BD!$L$2:$Q$244,6,0),0)</f>
        <v>0</v>
      </c>
      <c r="I8913" s="626">
        <f>IFERROR(G8913*VLOOKUP($E8913,BD!$L$2:$Q$244,5,0),0)</f>
        <v>0</v>
      </c>
      <c r="J8913" s="3">
        <f t="shared" si="557"/>
        <v>1900</v>
      </c>
    </row>
    <row r="8914" spans="1:10" s="9" customFormat="1" x14ac:dyDescent="0.25">
      <c r="A8914" s="447"/>
      <c r="B8914" s="55" t="str">
        <f t="shared" si="554"/>
        <v>ENERO</v>
      </c>
      <c r="C8914" s="55">
        <f t="shared" si="555"/>
        <v>1</v>
      </c>
      <c r="D8914" s="3" t="str">
        <f t="shared" si="556"/>
        <v>SÁBADO</v>
      </c>
      <c r="E8914" s="427"/>
      <c r="F8914" s="31">
        <f>IFERROR(VLOOKUP(E8914,BD!$L$2:$Q$244,2,0),0)</f>
        <v>0</v>
      </c>
      <c r="G8914" s="424"/>
      <c r="H8914" s="31">
        <f>+IFERROR(VLOOKUP(E8914,BD!$L$2:$Q$244,6,0),0)</f>
        <v>0</v>
      </c>
      <c r="I8914" s="626">
        <f>IFERROR(G8914*VLOOKUP($E8914,BD!$L$2:$Q$244,5,0),0)</f>
        <v>0</v>
      </c>
      <c r="J8914" s="3">
        <f t="shared" si="557"/>
        <v>1900</v>
      </c>
    </row>
    <row r="8915" spans="1:10" s="9" customFormat="1" x14ac:dyDescent="0.25">
      <c r="A8915" s="447"/>
      <c r="B8915" s="55" t="str">
        <f t="shared" si="554"/>
        <v>ENERO</v>
      </c>
      <c r="C8915" s="55">
        <f t="shared" si="555"/>
        <v>1</v>
      </c>
      <c r="D8915" s="3" t="str">
        <f t="shared" si="556"/>
        <v>SÁBADO</v>
      </c>
      <c r="E8915" s="427"/>
      <c r="F8915" s="31">
        <f>IFERROR(VLOOKUP(E8915,BD!$L$2:$Q$244,2,0),0)</f>
        <v>0</v>
      </c>
      <c r="G8915" s="424"/>
      <c r="H8915" s="31">
        <f>+IFERROR(VLOOKUP(E8915,BD!$L$2:$Q$244,6,0),0)</f>
        <v>0</v>
      </c>
      <c r="I8915" s="626">
        <f>IFERROR(G8915*VLOOKUP($E8915,BD!$L$2:$Q$244,5,0),0)</f>
        <v>0</v>
      </c>
      <c r="J8915" s="3">
        <f t="shared" si="557"/>
        <v>1900</v>
      </c>
    </row>
    <row r="8916" spans="1:10" s="9" customFormat="1" x14ac:dyDescent="0.25">
      <c r="A8916" s="447"/>
      <c r="B8916" s="55" t="str">
        <f t="shared" si="554"/>
        <v>ENERO</v>
      </c>
      <c r="C8916" s="55">
        <f t="shared" si="555"/>
        <v>1</v>
      </c>
      <c r="D8916" s="3" t="str">
        <f t="shared" si="556"/>
        <v>SÁBADO</v>
      </c>
      <c r="E8916" s="427"/>
      <c r="F8916" s="31">
        <f>IFERROR(VLOOKUP(E8916,BD!$L$2:$Q$244,2,0),0)</f>
        <v>0</v>
      </c>
      <c r="G8916" s="424"/>
      <c r="H8916" s="31">
        <f>+IFERROR(VLOOKUP(E8916,BD!$L$2:$Q$244,6,0),0)</f>
        <v>0</v>
      </c>
      <c r="I8916" s="626">
        <f>IFERROR(G8916*VLOOKUP($E8916,BD!$L$2:$Q$244,5,0),0)</f>
        <v>0</v>
      </c>
      <c r="J8916" s="3">
        <f t="shared" si="557"/>
        <v>1900</v>
      </c>
    </row>
    <row r="8917" spans="1:10" s="9" customFormat="1" x14ac:dyDescent="0.25">
      <c r="A8917" s="447"/>
      <c r="B8917" s="55" t="str">
        <f t="shared" si="554"/>
        <v>ENERO</v>
      </c>
      <c r="C8917" s="55">
        <f t="shared" si="555"/>
        <v>1</v>
      </c>
      <c r="D8917" s="3" t="str">
        <f t="shared" si="556"/>
        <v>SÁBADO</v>
      </c>
      <c r="E8917" s="427"/>
      <c r="F8917" s="31">
        <f>IFERROR(VLOOKUP(E8917,BD!$L$2:$Q$244,2,0),0)</f>
        <v>0</v>
      </c>
      <c r="G8917" s="424"/>
      <c r="H8917" s="31">
        <f>+IFERROR(VLOOKUP(E8917,BD!$L$2:$Q$244,6,0),0)</f>
        <v>0</v>
      </c>
      <c r="I8917" s="626">
        <f>IFERROR(G8917*VLOOKUP($E8917,BD!$L$2:$Q$244,5,0),0)</f>
        <v>0</v>
      </c>
      <c r="J8917" s="3">
        <f t="shared" si="557"/>
        <v>1900</v>
      </c>
    </row>
    <row r="8918" spans="1:10" s="9" customFormat="1" x14ac:dyDescent="0.25">
      <c r="A8918" s="447"/>
      <c r="B8918" s="55" t="str">
        <f t="shared" si="554"/>
        <v>ENERO</v>
      </c>
      <c r="C8918" s="55">
        <f t="shared" si="555"/>
        <v>1</v>
      </c>
      <c r="D8918" s="3" t="str">
        <f t="shared" si="556"/>
        <v>SÁBADO</v>
      </c>
      <c r="E8918" s="427"/>
      <c r="F8918" s="31">
        <f>IFERROR(VLOOKUP(E8918,BD!$L$2:$Q$244,2,0),0)</f>
        <v>0</v>
      </c>
      <c r="G8918" s="424"/>
      <c r="H8918" s="31">
        <f>+IFERROR(VLOOKUP(E8918,BD!$L$2:$Q$244,6,0),0)</f>
        <v>0</v>
      </c>
      <c r="I8918" s="626">
        <f>IFERROR(G8918*VLOOKUP($E8918,BD!$L$2:$Q$244,5,0),0)</f>
        <v>0</v>
      </c>
      <c r="J8918" s="3">
        <f t="shared" si="557"/>
        <v>1900</v>
      </c>
    </row>
    <row r="8919" spans="1:10" s="9" customFormat="1" x14ac:dyDescent="0.25">
      <c r="A8919" s="447"/>
      <c r="B8919" s="55" t="str">
        <f t="shared" si="554"/>
        <v>ENERO</v>
      </c>
      <c r="C8919" s="55">
        <f t="shared" si="555"/>
        <v>1</v>
      </c>
      <c r="D8919" s="3" t="str">
        <f t="shared" si="556"/>
        <v>SÁBADO</v>
      </c>
      <c r="E8919" s="427"/>
      <c r="F8919" s="31">
        <f>IFERROR(VLOOKUP(E8919,BD!$L$2:$Q$244,2,0),0)</f>
        <v>0</v>
      </c>
      <c r="G8919" s="424"/>
      <c r="H8919" s="31">
        <f>+IFERROR(VLOOKUP(E8919,BD!$L$2:$Q$244,6,0),0)</f>
        <v>0</v>
      </c>
      <c r="I8919" s="626">
        <f>IFERROR(G8919*VLOOKUP($E8919,BD!$L$2:$Q$244,5,0),0)</f>
        <v>0</v>
      </c>
      <c r="J8919" s="3">
        <f t="shared" si="557"/>
        <v>1900</v>
      </c>
    </row>
    <row r="8920" spans="1:10" s="9" customFormat="1" x14ac:dyDescent="0.25">
      <c r="A8920" s="447"/>
      <c r="B8920" s="55" t="str">
        <f t="shared" si="554"/>
        <v>ENERO</v>
      </c>
      <c r="C8920" s="55">
        <f t="shared" si="555"/>
        <v>1</v>
      </c>
      <c r="D8920" s="3" t="str">
        <f t="shared" si="556"/>
        <v>SÁBADO</v>
      </c>
      <c r="E8920" s="427"/>
      <c r="F8920" s="31">
        <f>IFERROR(VLOOKUP(E8920,BD!$L$2:$Q$244,2,0),0)</f>
        <v>0</v>
      </c>
      <c r="G8920" s="424"/>
      <c r="H8920" s="31">
        <f>+IFERROR(VLOOKUP(E8920,BD!$L$2:$Q$244,6,0),0)</f>
        <v>0</v>
      </c>
      <c r="I8920" s="626">
        <f>IFERROR(G8920*VLOOKUP($E8920,BD!$L$2:$Q$244,5,0),0)</f>
        <v>0</v>
      </c>
      <c r="J8920" s="3">
        <f t="shared" si="557"/>
        <v>1900</v>
      </c>
    </row>
    <row r="8921" spans="1:10" s="9" customFormat="1" x14ac:dyDescent="0.25">
      <c r="A8921" s="447"/>
      <c r="B8921" s="55" t="str">
        <f t="shared" si="554"/>
        <v>ENERO</v>
      </c>
      <c r="C8921" s="55">
        <f t="shared" si="555"/>
        <v>1</v>
      </c>
      <c r="D8921" s="3" t="str">
        <f t="shared" si="556"/>
        <v>SÁBADO</v>
      </c>
      <c r="E8921" s="427"/>
      <c r="F8921" s="31">
        <f>IFERROR(VLOOKUP(E8921,BD!$L$2:$Q$244,2,0),0)</f>
        <v>0</v>
      </c>
      <c r="G8921" s="424"/>
      <c r="H8921" s="31">
        <f>+IFERROR(VLOOKUP(E8921,BD!$L$2:$Q$244,6,0),0)</f>
        <v>0</v>
      </c>
      <c r="I8921" s="626">
        <f>IFERROR(G8921*VLOOKUP($E8921,BD!$L$2:$Q$244,5,0),0)</f>
        <v>0</v>
      </c>
      <c r="J8921" s="3">
        <f t="shared" si="557"/>
        <v>1900</v>
      </c>
    </row>
    <row r="8922" spans="1:10" s="9" customFormat="1" x14ac:dyDescent="0.25">
      <c r="A8922" s="447"/>
      <c r="B8922" s="55" t="str">
        <f t="shared" si="554"/>
        <v>ENERO</v>
      </c>
      <c r="C8922" s="55">
        <f t="shared" si="555"/>
        <v>1</v>
      </c>
      <c r="D8922" s="3" t="str">
        <f t="shared" si="556"/>
        <v>SÁBADO</v>
      </c>
      <c r="E8922" s="427"/>
      <c r="F8922" s="31">
        <f>IFERROR(VLOOKUP(E8922,BD!$L$2:$Q$244,2,0),0)</f>
        <v>0</v>
      </c>
      <c r="G8922" s="424"/>
      <c r="H8922" s="31">
        <f>+IFERROR(VLOOKUP(E8922,BD!$L$2:$Q$244,6,0),0)</f>
        <v>0</v>
      </c>
      <c r="I8922" s="626">
        <f>IFERROR(G8922*VLOOKUP($E8922,BD!$L$2:$Q$244,5,0),0)</f>
        <v>0</v>
      </c>
      <c r="J8922" s="3">
        <f t="shared" si="557"/>
        <v>1900</v>
      </c>
    </row>
    <row r="8923" spans="1:10" s="9" customFormat="1" x14ac:dyDescent="0.25">
      <c r="A8923" s="447"/>
      <c r="B8923" s="55" t="str">
        <f t="shared" si="554"/>
        <v>ENERO</v>
      </c>
      <c r="C8923" s="55">
        <f t="shared" si="555"/>
        <v>1</v>
      </c>
      <c r="D8923" s="3" t="str">
        <f t="shared" si="556"/>
        <v>SÁBADO</v>
      </c>
      <c r="E8923" s="427"/>
      <c r="F8923" s="31">
        <f>IFERROR(VLOOKUP(E8923,BD!$L$2:$Q$244,2,0),0)</f>
        <v>0</v>
      </c>
      <c r="G8923" s="424"/>
      <c r="H8923" s="31">
        <f>+IFERROR(VLOOKUP(E8923,BD!$L$2:$Q$244,6,0),0)</f>
        <v>0</v>
      </c>
      <c r="I8923" s="626">
        <f>IFERROR(G8923*VLOOKUP($E8923,BD!$L$2:$Q$244,5,0),0)</f>
        <v>0</v>
      </c>
      <c r="J8923" s="3">
        <f t="shared" si="557"/>
        <v>1900</v>
      </c>
    </row>
    <row r="8924" spans="1:10" s="9" customFormat="1" x14ac:dyDescent="0.25">
      <c r="A8924" s="447"/>
      <c r="B8924" s="55" t="str">
        <f t="shared" si="554"/>
        <v>ENERO</v>
      </c>
      <c r="C8924" s="55">
        <f t="shared" si="555"/>
        <v>1</v>
      </c>
      <c r="D8924" s="3" t="str">
        <f t="shared" si="556"/>
        <v>SÁBADO</v>
      </c>
      <c r="E8924" s="427"/>
      <c r="F8924" s="31">
        <f>IFERROR(VLOOKUP(E8924,BD!$L$2:$Q$244,2,0),0)</f>
        <v>0</v>
      </c>
      <c r="G8924" s="424"/>
      <c r="H8924" s="31">
        <f>+IFERROR(VLOOKUP(E8924,BD!$L$2:$Q$244,6,0),0)</f>
        <v>0</v>
      </c>
      <c r="I8924" s="626">
        <f>IFERROR(G8924*VLOOKUP($E8924,BD!$L$2:$Q$244,5,0),0)</f>
        <v>0</v>
      </c>
      <c r="J8924" s="3">
        <f t="shared" si="557"/>
        <v>1900</v>
      </c>
    </row>
    <row r="8925" spans="1:10" s="9" customFormat="1" x14ac:dyDescent="0.25">
      <c r="A8925" s="447"/>
      <c r="B8925" s="55" t="str">
        <f t="shared" si="554"/>
        <v>ENERO</v>
      </c>
      <c r="C8925" s="55">
        <f t="shared" si="555"/>
        <v>1</v>
      </c>
      <c r="D8925" s="3" t="str">
        <f t="shared" si="556"/>
        <v>SÁBADO</v>
      </c>
      <c r="E8925" s="427"/>
      <c r="F8925" s="31">
        <f>IFERROR(VLOOKUP(E8925,BD!$L$2:$Q$244,2,0),0)</f>
        <v>0</v>
      </c>
      <c r="G8925" s="424"/>
      <c r="H8925" s="31">
        <f>+IFERROR(VLOOKUP(E8925,BD!$L$2:$Q$244,6,0),0)</f>
        <v>0</v>
      </c>
      <c r="I8925" s="626">
        <f>IFERROR(G8925*VLOOKUP($E8925,BD!$L$2:$Q$244,5,0),0)</f>
        <v>0</v>
      </c>
      <c r="J8925" s="3">
        <f t="shared" si="557"/>
        <v>1900</v>
      </c>
    </row>
    <row r="8926" spans="1:10" s="9" customFormat="1" x14ac:dyDescent="0.25">
      <c r="A8926" s="447"/>
      <c r="B8926" s="55" t="str">
        <f t="shared" si="554"/>
        <v>ENERO</v>
      </c>
      <c r="C8926" s="55">
        <f t="shared" si="555"/>
        <v>1</v>
      </c>
      <c r="D8926" s="3" t="str">
        <f t="shared" si="556"/>
        <v>SÁBADO</v>
      </c>
      <c r="E8926" s="427"/>
      <c r="F8926" s="31">
        <f>IFERROR(VLOOKUP(E8926,BD!$L$2:$Q$244,2,0),0)</f>
        <v>0</v>
      </c>
      <c r="G8926" s="424"/>
      <c r="H8926" s="31">
        <f>+IFERROR(VLOOKUP(E8926,BD!$L$2:$Q$244,6,0),0)</f>
        <v>0</v>
      </c>
      <c r="I8926" s="626">
        <f>IFERROR(G8926*VLOOKUP($E8926,BD!$L$2:$Q$244,5,0),0)</f>
        <v>0</v>
      </c>
      <c r="J8926" s="3">
        <f t="shared" si="557"/>
        <v>1900</v>
      </c>
    </row>
    <row r="8927" spans="1:10" s="9" customFormat="1" x14ac:dyDescent="0.25">
      <c r="A8927" s="447"/>
      <c r="B8927" s="55" t="str">
        <f t="shared" si="554"/>
        <v>ENERO</v>
      </c>
      <c r="C8927" s="55">
        <f t="shared" si="555"/>
        <v>1</v>
      </c>
      <c r="D8927" s="3" t="str">
        <f t="shared" si="556"/>
        <v>SÁBADO</v>
      </c>
      <c r="E8927" s="427"/>
      <c r="F8927" s="31">
        <f>IFERROR(VLOOKUP(E8927,BD!$L$2:$Q$244,2,0),0)</f>
        <v>0</v>
      </c>
      <c r="G8927" s="424"/>
      <c r="H8927" s="31">
        <f>+IFERROR(VLOOKUP(E8927,BD!$L$2:$Q$244,6,0),0)</f>
        <v>0</v>
      </c>
      <c r="I8927" s="626">
        <f>IFERROR(G8927*VLOOKUP($E8927,BD!$L$2:$Q$244,5,0),0)</f>
        <v>0</v>
      </c>
      <c r="J8927" s="3">
        <f t="shared" si="557"/>
        <v>1900</v>
      </c>
    </row>
    <row r="8928" spans="1:10" s="9" customFormat="1" x14ac:dyDescent="0.25">
      <c r="A8928" s="447"/>
      <c r="B8928" s="55" t="str">
        <f t="shared" si="554"/>
        <v>ENERO</v>
      </c>
      <c r="C8928" s="55">
        <f t="shared" si="555"/>
        <v>1</v>
      </c>
      <c r="D8928" s="3" t="str">
        <f t="shared" si="556"/>
        <v>SÁBADO</v>
      </c>
      <c r="E8928" s="427"/>
      <c r="F8928" s="31">
        <f>IFERROR(VLOOKUP(E8928,BD!$L$2:$Q$244,2,0),0)</f>
        <v>0</v>
      </c>
      <c r="G8928" s="424"/>
      <c r="H8928" s="31">
        <f>+IFERROR(VLOOKUP(E8928,BD!$L$2:$Q$244,6,0),0)</f>
        <v>0</v>
      </c>
      <c r="I8928" s="626">
        <f>IFERROR(G8928*VLOOKUP($E8928,BD!$L$2:$Q$244,5,0),0)</f>
        <v>0</v>
      </c>
      <c r="J8928" s="3">
        <f t="shared" si="557"/>
        <v>1900</v>
      </c>
    </row>
    <row r="8929" spans="1:10" s="9" customFormat="1" x14ac:dyDescent="0.25">
      <c r="A8929" s="447"/>
      <c r="B8929" s="55" t="str">
        <f t="shared" si="554"/>
        <v>ENERO</v>
      </c>
      <c r="C8929" s="55">
        <f t="shared" si="555"/>
        <v>1</v>
      </c>
      <c r="D8929" s="3" t="str">
        <f t="shared" si="556"/>
        <v>SÁBADO</v>
      </c>
      <c r="E8929" s="427"/>
      <c r="F8929" s="31">
        <f>IFERROR(VLOOKUP(E8929,BD!$L$2:$Q$244,2,0),0)</f>
        <v>0</v>
      </c>
      <c r="G8929" s="424"/>
      <c r="H8929" s="31">
        <f>+IFERROR(VLOOKUP(E8929,BD!$L$2:$Q$244,6,0),0)</f>
        <v>0</v>
      </c>
      <c r="I8929" s="626">
        <f>IFERROR(G8929*VLOOKUP($E8929,BD!$L$2:$Q$244,5,0),0)</f>
        <v>0</v>
      </c>
      <c r="J8929" s="3">
        <f t="shared" si="557"/>
        <v>1900</v>
      </c>
    </row>
    <row r="8930" spans="1:10" s="9" customFormat="1" x14ac:dyDescent="0.25">
      <c r="A8930" s="447"/>
      <c r="B8930" s="55" t="str">
        <f t="shared" si="554"/>
        <v>ENERO</v>
      </c>
      <c r="C8930" s="55">
        <f t="shared" si="555"/>
        <v>1</v>
      </c>
      <c r="D8930" s="3" t="str">
        <f t="shared" si="556"/>
        <v>SÁBADO</v>
      </c>
      <c r="E8930" s="427"/>
      <c r="F8930" s="31">
        <f>IFERROR(VLOOKUP(E8930,BD!$L$2:$Q$244,2,0),0)</f>
        <v>0</v>
      </c>
      <c r="G8930" s="424"/>
      <c r="H8930" s="31">
        <f>+IFERROR(VLOOKUP(E8930,BD!$L$2:$Q$244,6,0),0)</f>
        <v>0</v>
      </c>
      <c r="I8930" s="626">
        <f>IFERROR(G8930*VLOOKUP($E8930,BD!$L$2:$Q$244,5,0),0)</f>
        <v>0</v>
      </c>
      <c r="J8930" s="3">
        <f t="shared" si="557"/>
        <v>1900</v>
      </c>
    </row>
    <row r="8931" spans="1:10" s="9" customFormat="1" x14ac:dyDescent="0.25">
      <c r="A8931" s="447"/>
      <c r="B8931" s="55" t="str">
        <f t="shared" si="554"/>
        <v>ENERO</v>
      </c>
      <c r="C8931" s="55">
        <f t="shared" si="555"/>
        <v>1</v>
      </c>
      <c r="D8931" s="3" t="str">
        <f t="shared" si="556"/>
        <v>SÁBADO</v>
      </c>
      <c r="E8931" s="427"/>
      <c r="F8931" s="31">
        <f>IFERROR(VLOOKUP(E8931,BD!$L$2:$Q$244,2,0),0)</f>
        <v>0</v>
      </c>
      <c r="G8931" s="424"/>
      <c r="H8931" s="31">
        <f>+IFERROR(VLOOKUP(E8931,BD!$L$2:$Q$244,6,0),0)</f>
        <v>0</v>
      </c>
      <c r="I8931" s="626">
        <f>IFERROR(G8931*VLOOKUP($E8931,BD!$L$2:$Q$244,5,0),0)</f>
        <v>0</v>
      </c>
      <c r="J8931" s="3">
        <f t="shared" si="557"/>
        <v>1900</v>
      </c>
    </row>
    <row r="8932" spans="1:10" s="9" customFormat="1" x14ac:dyDescent="0.25">
      <c r="A8932" s="447"/>
      <c r="B8932" s="55" t="str">
        <f t="shared" si="554"/>
        <v>ENERO</v>
      </c>
      <c r="C8932" s="55">
        <f t="shared" si="555"/>
        <v>1</v>
      </c>
      <c r="D8932" s="3" t="str">
        <f t="shared" si="556"/>
        <v>SÁBADO</v>
      </c>
      <c r="E8932" s="427"/>
      <c r="F8932" s="31">
        <f>IFERROR(VLOOKUP(E8932,BD!$L$2:$Q$244,2,0),0)</f>
        <v>0</v>
      </c>
      <c r="G8932" s="424"/>
      <c r="H8932" s="31">
        <f>+IFERROR(VLOOKUP(E8932,BD!$L$2:$Q$244,6,0),0)</f>
        <v>0</v>
      </c>
      <c r="I8932" s="626">
        <f>IFERROR(G8932*VLOOKUP($E8932,BD!$L$2:$Q$244,5,0),0)</f>
        <v>0</v>
      </c>
      <c r="J8932" s="3">
        <f t="shared" si="557"/>
        <v>1900</v>
      </c>
    </row>
    <row r="8933" spans="1:10" s="9" customFormat="1" x14ac:dyDescent="0.25">
      <c r="A8933" s="447"/>
      <c r="B8933" s="55" t="str">
        <f t="shared" si="554"/>
        <v>ENERO</v>
      </c>
      <c r="C8933" s="55">
        <f t="shared" si="555"/>
        <v>1</v>
      </c>
      <c r="D8933" s="3" t="str">
        <f t="shared" si="556"/>
        <v>SÁBADO</v>
      </c>
      <c r="E8933" s="427"/>
      <c r="F8933" s="31">
        <f>IFERROR(VLOOKUP(E8933,BD!$L$2:$Q$244,2,0),0)</f>
        <v>0</v>
      </c>
      <c r="G8933" s="424"/>
      <c r="H8933" s="31">
        <f>+IFERROR(VLOOKUP(E8933,BD!$L$2:$Q$244,6,0),0)</f>
        <v>0</v>
      </c>
      <c r="I8933" s="626">
        <f>IFERROR(G8933*VLOOKUP($E8933,BD!$L$2:$Q$244,5,0),0)</f>
        <v>0</v>
      </c>
      <c r="J8933" s="3">
        <f t="shared" si="557"/>
        <v>1900</v>
      </c>
    </row>
    <row r="8934" spans="1:10" s="9" customFormat="1" x14ac:dyDescent="0.25">
      <c r="A8934" s="447"/>
      <c r="B8934" s="55" t="str">
        <f t="shared" si="554"/>
        <v>ENERO</v>
      </c>
      <c r="C8934" s="55">
        <f t="shared" si="555"/>
        <v>1</v>
      </c>
      <c r="D8934" s="3" t="str">
        <f t="shared" si="556"/>
        <v>SÁBADO</v>
      </c>
      <c r="E8934" s="427"/>
      <c r="F8934" s="31">
        <f>IFERROR(VLOOKUP(E8934,BD!$L$2:$Q$244,2,0),0)</f>
        <v>0</v>
      </c>
      <c r="G8934" s="424"/>
      <c r="H8934" s="31">
        <f>+IFERROR(VLOOKUP(E8934,BD!$L$2:$Q$244,6,0),0)</f>
        <v>0</v>
      </c>
      <c r="I8934" s="626">
        <f>IFERROR(G8934*VLOOKUP($E8934,BD!$L$2:$Q$244,5,0),0)</f>
        <v>0</v>
      </c>
      <c r="J8934" s="3">
        <f t="shared" si="557"/>
        <v>1900</v>
      </c>
    </row>
    <row r="8935" spans="1:10" s="9" customFormat="1" x14ac:dyDescent="0.25">
      <c r="A8935" s="447"/>
      <c r="B8935" s="55" t="str">
        <f t="shared" si="554"/>
        <v>ENERO</v>
      </c>
      <c r="C8935" s="55">
        <f t="shared" si="555"/>
        <v>1</v>
      </c>
      <c r="D8935" s="3" t="str">
        <f t="shared" si="556"/>
        <v>SÁBADO</v>
      </c>
      <c r="E8935" s="427"/>
      <c r="F8935" s="31">
        <f>IFERROR(VLOOKUP(E8935,BD!$L$2:$Q$244,2,0),0)</f>
        <v>0</v>
      </c>
      <c r="G8935" s="424"/>
      <c r="H8935" s="31">
        <f>+IFERROR(VLOOKUP(E8935,BD!$L$2:$Q$244,6,0),0)</f>
        <v>0</v>
      </c>
      <c r="I8935" s="626">
        <f>IFERROR(G8935*VLOOKUP($E8935,BD!$L$2:$Q$244,5,0),0)</f>
        <v>0</v>
      </c>
      <c r="J8935" s="3">
        <f t="shared" si="557"/>
        <v>1900</v>
      </c>
    </row>
    <row r="8936" spans="1:10" s="9" customFormat="1" x14ac:dyDescent="0.25">
      <c r="A8936" s="447"/>
      <c r="B8936" s="55" t="str">
        <f t="shared" si="554"/>
        <v>ENERO</v>
      </c>
      <c r="C8936" s="55">
        <f t="shared" si="555"/>
        <v>1</v>
      </c>
      <c r="D8936" s="3" t="str">
        <f t="shared" si="556"/>
        <v>SÁBADO</v>
      </c>
      <c r="E8936" s="427"/>
      <c r="F8936" s="31">
        <f>IFERROR(VLOOKUP(E8936,BD!$L$2:$Q$244,2,0),0)</f>
        <v>0</v>
      </c>
      <c r="G8936" s="424"/>
      <c r="H8936" s="31">
        <f>+IFERROR(VLOOKUP(E8936,BD!$L$2:$Q$244,6,0),0)</f>
        <v>0</v>
      </c>
      <c r="I8936" s="626">
        <f>IFERROR(G8936*VLOOKUP($E8936,BD!$L$2:$Q$244,5,0),0)</f>
        <v>0</v>
      </c>
      <c r="J8936" s="3">
        <f t="shared" si="557"/>
        <v>1900</v>
      </c>
    </row>
    <row r="8937" spans="1:10" s="9" customFormat="1" x14ac:dyDescent="0.25">
      <c r="A8937" s="447"/>
      <c r="B8937" s="55" t="str">
        <f t="shared" si="554"/>
        <v>ENERO</v>
      </c>
      <c r="C8937" s="55">
        <f t="shared" si="555"/>
        <v>1</v>
      </c>
      <c r="D8937" s="3" t="str">
        <f t="shared" si="556"/>
        <v>SÁBADO</v>
      </c>
      <c r="E8937" s="427"/>
      <c r="F8937" s="31">
        <f>IFERROR(VLOOKUP(E8937,BD!$L$2:$Q$244,2,0),0)</f>
        <v>0</v>
      </c>
      <c r="G8937" s="424"/>
      <c r="H8937" s="31">
        <f>+IFERROR(VLOOKUP(E8937,BD!$L$2:$Q$244,6,0),0)</f>
        <v>0</v>
      </c>
      <c r="I8937" s="626">
        <f>IFERROR(G8937*VLOOKUP($E8937,BD!$L$2:$Q$244,5,0),0)</f>
        <v>0</v>
      </c>
      <c r="J8937" s="3">
        <f t="shared" si="557"/>
        <v>1900</v>
      </c>
    </row>
    <row r="8938" spans="1:10" s="9" customFormat="1" x14ac:dyDescent="0.25">
      <c r="A8938" s="447"/>
      <c r="B8938" s="55" t="str">
        <f t="shared" si="554"/>
        <v>ENERO</v>
      </c>
      <c r="C8938" s="55">
        <f t="shared" si="555"/>
        <v>1</v>
      </c>
      <c r="D8938" s="3" t="str">
        <f t="shared" si="556"/>
        <v>SÁBADO</v>
      </c>
      <c r="E8938" s="427"/>
      <c r="F8938" s="31">
        <f>IFERROR(VLOOKUP(E8938,BD!$L$2:$Q$244,2,0),0)</f>
        <v>0</v>
      </c>
      <c r="G8938" s="424"/>
      <c r="H8938" s="31">
        <f>+IFERROR(VLOOKUP(E8938,BD!$L$2:$Q$244,6,0),0)</f>
        <v>0</v>
      </c>
      <c r="I8938" s="626">
        <f>IFERROR(G8938*VLOOKUP($E8938,BD!$L$2:$Q$244,5,0),0)</f>
        <v>0</v>
      </c>
      <c r="J8938" s="3">
        <f t="shared" si="557"/>
        <v>1900</v>
      </c>
    </row>
    <row r="8939" spans="1:10" s="9" customFormat="1" x14ac:dyDescent="0.25">
      <c r="A8939" s="447"/>
      <c r="B8939" s="55" t="str">
        <f t="shared" si="554"/>
        <v>ENERO</v>
      </c>
      <c r="C8939" s="55">
        <f t="shared" si="555"/>
        <v>1</v>
      </c>
      <c r="D8939" s="3" t="str">
        <f t="shared" si="556"/>
        <v>SÁBADO</v>
      </c>
      <c r="E8939" s="427"/>
      <c r="F8939" s="31">
        <f>IFERROR(VLOOKUP(E8939,BD!$L$2:$Q$244,2,0),0)</f>
        <v>0</v>
      </c>
      <c r="G8939" s="424"/>
      <c r="H8939" s="31">
        <f>+IFERROR(VLOOKUP(E8939,BD!$L$2:$Q$244,6,0),0)</f>
        <v>0</v>
      </c>
      <c r="I8939" s="626">
        <f>IFERROR(G8939*VLOOKUP($E8939,BD!$L$2:$Q$244,5,0),0)</f>
        <v>0</v>
      </c>
      <c r="J8939" s="3">
        <f t="shared" si="557"/>
        <v>1900</v>
      </c>
    </row>
    <row r="8940" spans="1:10" s="9" customFormat="1" x14ac:dyDescent="0.25">
      <c r="A8940" s="447"/>
      <c r="B8940" s="55" t="str">
        <f t="shared" si="554"/>
        <v>ENERO</v>
      </c>
      <c r="C8940" s="55">
        <f t="shared" si="555"/>
        <v>1</v>
      </c>
      <c r="D8940" s="3" t="str">
        <f t="shared" si="556"/>
        <v>SÁBADO</v>
      </c>
      <c r="E8940" s="427"/>
      <c r="F8940" s="31">
        <f>IFERROR(VLOOKUP(E8940,BD!$L$2:$Q$244,2,0),0)</f>
        <v>0</v>
      </c>
      <c r="G8940" s="424"/>
      <c r="H8940" s="31">
        <f>+IFERROR(VLOOKUP(E8940,BD!$L$2:$Q$244,6,0),0)</f>
        <v>0</v>
      </c>
      <c r="I8940" s="626">
        <f>IFERROR(G8940*VLOOKUP($E8940,BD!$L$2:$Q$244,5,0),0)</f>
        <v>0</v>
      </c>
      <c r="J8940" s="3">
        <f t="shared" si="557"/>
        <v>1900</v>
      </c>
    </row>
    <row r="8941" spans="1:10" s="9" customFormat="1" x14ac:dyDescent="0.25">
      <c r="A8941" s="447"/>
      <c r="B8941" s="55" t="str">
        <f t="shared" si="554"/>
        <v>ENERO</v>
      </c>
      <c r="C8941" s="55">
        <f t="shared" si="555"/>
        <v>1</v>
      </c>
      <c r="D8941" s="3" t="str">
        <f t="shared" si="556"/>
        <v>SÁBADO</v>
      </c>
      <c r="E8941" s="427"/>
      <c r="F8941" s="31">
        <f>IFERROR(VLOOKUP(E8941,BD!$L$2:$Q$244,2,0),0)</f>
        <v>0</v>
      </c>
      <c r="G8941" s="424"/>
      <c r="H8941" s="31">
        <f>+IFERROR(VLOOKUP(E8941,BD!$L$2:$Q$244,6,0),0)</f>
        <v>0</v>
      </c>
      <c r="I8941" s="626">
        <f>IFERROR(G8941*VLOOKUP($E8941,BD!$L$2:$Q$244,5,0),0)</f>
        <v>0</v>
      </c>
      <c r="J8941" s="3">
        <f t="shared" si="557"/>
        <v>1900</v>
      </c>
    </row>
    <row r="8942" spans="1:10" s="9" customFormat="1" x14ac:dyDescent="0.25">
      <c r="A8942" s="447"/>
      <c r="B8942" s="55" t="str">
        <f t="shared" si="554"/>
        <v>ENERO</v>
      </c>
      <c r="C8942" s="55">
        <f t="shared" si="555"/>
        <v>1</v>
      </c>
      <c r="D8942" s="3" t="str">
        <f t="shared" si="556"/>
        <v>SÁBADO</v>
      </c>
      <c r="E8942" s="427"/>
      <c r="F8942" s="31">
        <f>IFERROR(VLOOKUP(E8942,BD!$L$2:$Q$244,2,0),0)</f>
        <v>0</v>
      </c>
      <c r="G8942" s="424"/>
      <c r="H8942" s="31">
        <f>+IFERROR(VLOOKUP(E8942,BD!$L$2:$Q$244,6,0),0)</f>
        <v>0</v>
      </c>
      <c r="I8942" s="626">
        <f>IFERROR(G8942*VLOOKUP($E8942,BD!$L$2:$Q$244,5,0),0)</f>
        <v>0</v>
      </c>
      <c r="J8942" s="3">
        <f t="shared" si="557"/>
        <v>1900</v>
      </c>
    </row>
    <row r="8943" spans="1:10" s="9" customFormat="1" x14ac:dyDescent="0.25">
      <c r="A8943" s="447"/>
      <c r="B8943" s="55" t="str">
        <f t="shared" si="554"/>
        <v>ENERO</v>
      </c>
      <c r="C8943" s="55">
        <f t="shared" si="555"/>
        <v>1</v>
      </c>
      <c r="D8943" s="3" t="str">
        <f t="shared" si="556"/>
        <v>SÁBADO</v>
      </c>
      <c r="E8943" s="427"/>
      <c r="F8943" s="31">
        <f>IFERROR(VLOOKUP(E8943,BD!$L$2:$Q$244,2,0),0)</f>
        <v>0</v>
      </c>
      <c r="G8943" s="424"/>
      <c r="H8943" s="31">
        <f>+IFERROR(VLOOKUP(E8943,BD!$L$2:$Q$244,6,0),0)</f>
        <v>0</v>
      </c>
      <c r="I8943" s="626">
        <f>IFERROR(G8943*VLOOKUP($E8943,BD!$L$2:$Q$244,5,0),0)</f>
        <v>0</v>
      </c>
      <c r="J8943" s="3">
        <f t="shared" si="557"/>
        <v>1900</v>
      </c>
    </row>
    <row r="8944" spans="1:10" s="9" customFormat="1" x14ac:dyDescent="0.25">
      <c r="A8944" s="447"/>
      <c r="B8944" s="55" t="str">
        <f t="shared" si="554"/>
        <v>ENERO</v>
      </c>
      <c r="C8944" s="55">
        <f t="shared" si="555"/>
        <v>1</v>
      </c>
      <c r="D8944" s="3" t="str">
        <f t="shared" si="556"/>
        <v>SÁBADO</v>
      </c>
      <c r="E8944" s="427"/>
      <c r="F8944" s="31">
        <f>IFERROR(VLOOKUP(E8944,BD!$L$2:$Q$244,2,0),0)</f>
        <v>0</v>
      </c>
      <c r="G8944" s="424"/>
      <c r="H8944" s="31">
        <f>+IFERROR(VLOOKUP(E8944,BD!$L$2:$Q$244,6,0),0)</f>
        <v>0</v>
      </c>
      <c r="I8944" s="626">
        <f>IFERROR(G8944*VLOOKUP($E8944,BD!$L$2:$Q$244,5,0),0)</f>
        <v>0</v>
      </c>
      <c r="J8944" s="3">
        <f t="shared" si="557"/>
        <v>1900</v>
      </c>
    </row>
    <row r="8945" spans="1:10" s="9" customFormat="1" x14ac:dyDescent="0.25">
      <c r="A8945" s="447"/>
      <c r="B8945" s="55" t="str">
        <f t="shared" si="554"/>
        <v>ENERO</v>
      </c>
      <c r="C8945" s="55">
        <f t="shared" si="555"/>
        <v>1</v>
      </c>
      <c r="D8945" s="3" t="str">
        <f t="shared" si="556"/>
        <v>SÁBADO</v>
      </c>
      <c r="E8945" s="427"/>
      <c r="F8945" s="31">
        <f>IFERROR(VLOOKUP(E8945,BD!$L$2:$Q$244,2,0),0)</f>
        <v>0</v>
      </c>
      <c r="G8945" s="424"/>
      <c r="H8945" s="31">
        <f>+IFERROR(VLOOKUP(E8945,BD!$L$2:$Q$244,6,0),0)</f>
        <v>0</v>
      </c>
      <c r="I8945" s="626">
        <f>IFERROR(G8945*VLOOKUP($E8945,BD!$L$2:$Q$244,5,0),0)</f>
        <v>0</v>
      </c>
      <c r="J8945" s="3">
        <f t="shared" si="557"/>
        <v>1900</v>
      </c>
    </row>
    <row r="8946" spans="1:10" s="9" customFormat="1" x14ac:dyDescent="0.25">
      <c r="A8946" s="447"/>
      <c r="B8946" s="55" t="str">
        <f t="shared" si="554"/>
        <v>ENERO</v>
      </c>
      <c r="C8946" s="55">
        <f t="shared" si="555"/>
        <v>1</v>
      </c>
      <c r="D8946" s="3" t="str">
        <f t="shared" si="556"/>
        <v>SÁBADO</v>
      </c>
      <c r="E8946" s="427"/>
      <c r="F8946" s="31">
        <f>IFERROR(VLOOKUP(E8946,BD!$L$2:$Q$244,2,0),0)</f>
        <v>0</v>
      </c>
      <c r="G8946" s="424"/>
      <c r="H8946" s="31">
        <f>+IFERROR(VLOOKUP(E8946,BD!$L$2:$Q$244,6,0),0)</f>
        <v>0</v>
      </c>
      <c r="I8946" s="626">
        <f>IFERROR(G8946*VLOOKUP($E8946,BD!$L$2:$Q$244,5,0),0)</f>
        <v>0</v>
      </c>
      <c r="J8946" s="3">
        <f t="shared" si="557"/>
        <v>1900</v>
      </c>
    </row>
    <row r="8947" spans="1:10" s="9" customFormat="1" x14ac:dyDescent="0.25">
      <c r="A8947" s="447"/>
      <c r="B8947" s="55" t="str">
        <f t="shared" si="554"/>
        <v>ENERO</v>
      </c>
      <c r="C8947" s="55">
        <f t="shared" si="555"/>
        <v>1</v>
      </c>
      <c r="D8947" s="3" t="str">
        <f t="shared" si="556"/>
        <v>SÁBADO</v>
      </c>
      <c r="E8947" s="427"/>
      <c r="F8947" s="31">
        <f>IFERROR(VLOOKUP(E8947,BD!$L$2:$Q$244,2,0),0)</f>
        <v>0</v>
      </c>
      <c r="G8947" s="424"/>
      <c r="H8947" s="31">
        <f>+IFERROR(VLOOKUP(E8947,BD!$L$2:$Q$244,6,0),0)</f>
        <v>0</v>
      </c>
      <c r="I8947" s="626">
        <f>IFERROR(G8947*VLOOKUP($E8947,BD!$L$2:$Q$244,5,0),0)</f>
        <v>0</v>
      </c>
      <c r="J8947" s="3">
        <f t="shared" si="557"/>
        <v>1900</v>
      </c>
    </row>
    <row r="8948" spans="1:10" s="9" customFormat="1" x14ac:dyDescent="0.25">
      <c r="A8948" s="447"/>
      <c r="B8948" s="55" t="str">
        <f t="shared" si="554"/>
        <v>ENERO</v>
      </c>
      <c r="C8948" s="55">
        <f t="shared" si="555"/>
        <v>1</v>
      </c>
      <c r="D8948" s="3" t="str">
        <f t="shared" si="556"/>
        <v>SÁBADO</v>
      </c>
      <c r="E8948" s="427"/>
      <c r="F8948" s="31">
        <f>IFERROR(VLOOKUP(E8948,BD!$L$2:$Q$244,2,0),0)</f>
        <v>0</v>
      </c>
      <c r="G8948" s="424"/>
      <c r="H8948" s="31">
        <f>+IFERROR(VLOOKUP(E8948,BD!$L$2:$Q$244,6,0),0)</f>
        <v>0</v>
      </c>
      <c r="I8948" s="626">
        <f>IFERROR(G8948*VLOOKUP($E8948,BD!$L$2:$Q$244,5,0),0)</f>
        <v>0</v>
      </c>
      <c r="J8948" s="3">
        <f t="shared" si="557"/>
        <v>1900</v>
      </c>
    </row>
    <row r="8949" spans="1:10" s="9" customFormat="1" x14ac:dyDescent="0.25">
      <c r="A8949" s="447"/>
      <c r="B8949" s="55" t="str">
        <f t="shared" si="554"/>
        <v>ENERO</v>
      </c>
      <c r="C8949" s="55">
        <f t="shared" si="555"/>
        <v>1</v>
      </c>
      <c r="D8949" s="3" t="str">
        <f t="shared" si="556"/>
        <v>SÁBADO</v>
      </c>
      <c r="E8949" s="427"/>
      <c r="F8949" s="31">
        <f>IFERROR(VLOOKUP(E8949,BD!$L$2:$Q$244,2,0),0)</f>
        <v>0</v>
      </c>
      <c r="G8949" s="424"/>
      <c r="H8949" s="31">
        <f>+IFERROR(VLOOKUP(E8949,BD!$L$2:$Q$244,6,0),0)</f>
        <v>0</v>
      </c>
      <c r="I8949" s="626">
        <f>IFERROR(G8949*VLOOKUP($E8949,BD!$L$2:$Q$244,5,0),0)</f>
        <v>0</v>
      </c>
      <c r="J8949" s="3">
        <f t="shared" si="557"/>
        <v>1900</v>
      </c>
    </row>
    <row r="8950" spans="1:10" s="9" customFormat="1" x14ac:dyDescent="0.25">
      <c r="A8950" s="447"/>
      <c r="B8950" s="55" t="str">
        <f t="shared" si="554"/>
        <v>ENERO</v>
      </c>
      <c r="C8950" s="55">
        <f t="shared" si="555"/>
        <v>1</v>
      </c>
      <c r="D8950" s="3" t="str">
        <f t="shared" si="556"/>
        <v>SÁBADO</v>
      </c>
      <c r="E8950" s="427"/>
      <c r="F8950" s="31">
        <f>IFERROR(VLOOKUP(E8950,BD!$L$2:$Q$244,2,0),0)</f>
        <v>0</v>
      </c>
      <c r="G8950" s="424"/>
      <c r="H8950" s="31">
        <f>+IFERROR(VLOOKUP(E8950,BD!$L$2:$Q$244,6,0),0)</f>
        <v>0</v>
      </c>
      <c r="I8950" s="626">
        <f>IFERROR(G8950*VLOOKUP($E8950,BD!$L$2:$Q$244,5,0),0)</f>
        <v>0</v>
      </c>
      <c r="J8950" s="3">
        <f t="shared" si="557"/>
        <v>1900</v>
      </c>
    </row>
    <row r="8951" spans="1:10" s="9" customFormat="1" x14ac:dyDescent="0.25">
      <c r="A8951" s="447"/>
      <c r="B8951" s="55" t="str">
        <f t="shared" si="554"/>
        <v>ENERO</v>
      </c>
      <c r="C8951" s="55">
        <f t="shared" si="555"/>
        <v>1</v>
      </c>
      <c r="D8951" s="3" t="str">
        <f t="shared" si="556"/>
        <v>SÁBADO</v>
      </c>
      <c r="E8951" s="427"/>
      <c r="F8951" s="31">
        <f>IFERROR(VLOOKUP(E8951,BD!$L$2:$Q$244,2,0),0)</f>
        <v>0</v>
      </c>
      <c r="G8951" s="425"/>
      <c r="H8951" s="31">
        <f>+IFERROR(VLOOKUP(E8951,BD!$L$2:$Q$244,6,0),0)</f>
        <v>0</v>
      </c>
      <c r="I8951" s="626">
        <f>IFERROR(G8951*VLOOKUP($E8951,BD!$L$2:$Q$244,5,0),0)</f>
        <v>0</v>
      </c>
      <c r="J8951" s="3">
        <f t="shared" si="557"/>
        <v>1900</v>
      </c>
    </row>
    <row r="8952" spans="1:10" s="9" customFormat="1" x14ac:dyDescent="0.25">
      <c r="A8952" s="447"/>
      <c r="B8952" s="55" t="str">
        <f t="shared" si="554"/>
        <v>ENERO</v>
      </c>
      <c r="C8952" s="55">
        <f t="shared" si="555"/>
        <v>1</v>
      </c>
      <c r="D8952" s="3" t="str">
        <f t="shared" si="556"/>
        <v>SÁBADO</v>
      </c>
      <c r="E8952" s="427"/>
      <c r="F8952" s="31">
        <f>IFERROR(VLOOKUP(E8952,BD!$L$2:$Q$244,2,0),0)</f>
        <v>0</v>
      </c>
      <c r="G8952" s="424"/>
      <c r="H8952" s="31">
        <f>+IFERROR(VLOOKUP(E8952,BD!$L$2:$Q$244,6,0),0)</f>
        <v>0</v>
      </c>
      <c r="I8952" s="626">
        <f>IFERROR(G8952*VLOOKUP($E8952,BD!$L$2:$Q$244,5,0),0)</f>
        <v>0</v>
      </c>
      <c r="J8952" s="3">
        <f t="shared" si="557"/>
        <v>1900</v>
      </c>
    </row>
    <row r="8953" spans="1:10" s="9" customFormat="1" x14ac:dyDescent="0.25">
      <c r="A8953" s="447"/>
      <c r="B8953" s="55" t="str">
        <f t="shared" si="554"/>
        <v>ENERO</v>
      </c>
      <c r="C8953" s="55">
        <f t="shared" si="555"/>
        <v>1</v>
      </c>
      <c r="D8953" s="3" t="str">
        <f t="shared" si="556"/>
        <v>SÁBADO</v>
      </c>
      <c r="E8953" s="427"/>
      <c r="F8953" s="31">
        <f>IFERROR(VLOOKUP(E8953,BD!$L$2:$Q$244,2,0),0)</f>
        <v>0</v>
      </c>
      <c r="G8953" s="424"/>
      <c r="H8953" s="31">
        <f>+IFERROR(VLOOKUP(E8953,BD!$L$2:$Q$244,6,0),0)</f>
        <v>0</v>
      </c>
      <c r="I8953" s="626">
        <f>IFERROR(G8953*VLOOKUP($E8953,BD!$L$2:$Q$244,5,0),0)</f>
        <v>0</v>
      </c>
      <c r="J8953" s="3">
        <f t="shared" si="557"/>
        <v>1900</v>
      </c>
    </row>
    <row r="8954" spans="1:10" s="9" customFormat="1" x14ac:dyDescent="0.25">
      <c r="A8954" s="447"/>
      <c r="B8954" s="55" t="str">
        <f t="shared" si="554"/>
        <v>ENERO</v>
      </c>
      <c r="C8954" s="55">
        <f t="shared" si="555"/>
        <v>1</v>
      </c>
      <c r="D8954" s="3" t="str">
        <f t="shared" si="556"/>
        <v>SÁBADO</v>
      </c>
      <c r="E8954" s="427"/>
      <c r="F8954" s="31">
        <f>IFERROR(VLOOKUP(E8954,BD!$L$2:$Q$244,2,0),0)</f>
        <v>0</v>
      </c>
      <c r="G8954" s="424"/>
      <c r="H8954" s="31">
        <f>+IFERROR(VLOOKUP(E8954,BD!$L$2:$Q$244,6,0),0)</f>
        <v>0</v>
      </c>
      <c r="I8954" s="626">
        <f>IFERROR(G8954*VLOOKUP($E8954,BD!$L$2:$Q$244,5,0),0)</f>
        <v>0</v>
      </c>
      <c r="J8954" s="3">
        <f t="shared" si="557"/>
        <v>1900</v>
      </c>
    </row>
    <row r="8955" spans="1:10" s="9" customFormat="1" x14ac:dyDescent="0.25">
      <c r="A8955" s="447"/>
      <c r="B8955" s="55" t="str">
        <f t="shared" si="554"/>
        <v>ENERO</v>
      </c>
      <c r="C8955" s="55">
        <f t="shared" si="555"/>
        <v>1</v>
      </c>
      <c r="D8955" s="3" t="str">
        <f t="shared" si="556"/>
        <v>SÁBADO</v>
      </c>
      <c r="E8955" s="427"/>
      <c r="F8955" s="31">
        <f>IFERROR(VLOOKUP(E8955,BD!$L$2:$Q$244,2,0),0)</f>
        <v>0</v>
      </c>
      <c r="G8955" s="424"/>
      <c r="H8955" s="31">
        <f>+IFERROR(VLOOKUP(E8955,BD!$L$2:$Q$244,6,0),0)</f>
        <v>0</v>
      </c>
      <c r="I8955" s="626">
        <f>IFERROR(G8955*VLOOKUP($E8955,BD!$L$2:$Q$244,5,0),0)</f>
        <v>0</v>
      </c>
      <c r="J8955" s="3">
        <f t="shared" si="557"/>
        <v>1900</v>
      </c>
    </row>
    <row r="8956" spans="1:10" s="9" customFormat="1" x14ac:dyDescent="0.25">
      <c r="A8956" s="447"/>
      <c r="B8956" s="55" t="str">
        <f t="shared" ref="B8956:B9019" si="558">UPPER(TEXT(A8956,"MMMM"))</f>
        <v>ENERO</v>
      </c>
      <c r="C8956" s="55">
        <f t="shared" ref="C8956:C9019" si="559">WEEKNUM(A8956,16)</f>
        <v>1</v>
      </c>
      <c r="D8956" s="3" t="str">
        <f t="shared" ref="D8956:D9019" si="560">UPPER(TEXT(A8956,"DDDD"))</f>
        <v>SÁBADO</v>
      </c>
      <c r="E8956" s="427"/>
      <c r="F8956" s="31">
        <f>IFERROR(VLOOKUP(E8956,BD!$L$2:$Q$244,2,0),0)</f>
        <v>0</v>
      </c>
      <c r="G8956" s="424"/>
      <c r="H8956" s="31">
        <f>+IFERROR(VLOOKUP(E8956,BD!$L$2:$Q$244,6,0),0)</f>
        <v>0</v>
      </c>
      <c r="I8956" s="626">
        <f>IFERROR(G8956*VLOOKUP($E8956,BD!$L$2:$Q$244,5,0),0)</f>
        <v>0</v>
      </c>
      <c r="J8956" s="3">
        <f t="shared" ref="J8956:J9019" si="561">+YEAR(A8956)</f>
        <v>1900</v>
      </c>
    </row>
    <row r="8957" spans="1:10" s="9" customFormat="1" x14ac:dyDescent="0.25">
      <c r="A8957" s="447"/>
      <c r="B8957" s="55" t="str">
        <f t="shared" si="558"/>
        <v>ENERO</v>
      </c>
      <c r="C8957" s="55">
        <f t="shared" si="559"/>
        <v>1</v>
      </c>
      <c r="D8957" s="3" t="str">
        <f t="shared" si="560"/>
        <v>SÁBADO</v>
      </c>
      <c r="E8957" s="427"/>
      <c r="F8957" s="31">
        <f>IFERROR(VLOOKUP(E8957,BD!$L$2:$Q$244,2,0),0)</f>
        <v>0</v>
      </c>
      <c r="G8957" s="424"/>
      <c r="H8957" s="31">
        <f>+IFERROR(VLOOKUP(E8957,BD!$L$2:$Q$244,6,0),0)</f>
        <v>0</v>
      </c>
      <c r="I8957" s="626">
        <f>IFERROR(G8957*VLOOKUP($E8957,BD!$L$2:$Q$244,5,0),0)</f>
        <v>0</v>
      </c>
      <c r="J8957" s="3">
        <f t="shared" si="561"/>
        <v>1900</v>
      </c>
    </row>
    <row r="8958" spans="1:10" s="9" customFormat="1" x14ac:dyDescent="0.25">
      <c r="A8958" s="447"/>
      <c r="B8958" s="55" t="str">
        <f t="shared" si="558"/>
        <v>ENERO</v>
      </c>
      <c r="C8958" s="55">
        <f t="shared" si="559"/>
        <v>1</v>
      </c>
      <c r="D8958" s="3" t="str">
        <f t="shared" si="560"/>
        <v>SÁBADO</v>
      </c>
      <c r="E8958" s="427"/>
      <c r="F8958" s="31">
        <f>IFERROR(VLOOKUP(E8958,BD!$L$2:$Q$244,2,0),0)</f>
        <v>0</v>
      </c>
      <c r="G8958" s="424"/>
      <c r="H8958" s="31">
        <f>+IFERROR(VLOOKUP(E8958,BD!$L$2:$Q$244,6,0),0)</f>
        <v>0</v>
      </c>
      <c r="I8958" s="626">
        <f>IFERROR(G8958*VLOOKUP($E8958,BD!$L$2:$Q$244,5,0),0)</f>
        <v>0</v>
      </c>
      <c r="J8958" s="3">
        <f t="shared" si="561"/>
        <v>1900</v>
      </c>
    </row>
    <row r="8959" spans="1:10" s="9" customFormat="1" x14ac:dyDescent="0.25">
      <c r="A8959" s="447"/>
      <c r="B8959" s="55" t="str">
        <f t="shared" si="558"/>
        <v>ENERO</v>
      </c>
      <c r="C8959" s="55">
        <f t="shared" si="559"/>
        <v>1</v>
      </c>
      <c r="D8959" s="3" t="str">
        <f t="shared" si="560"/>
        <v>SÁBADO</v>
      </c>
      <c r="E8959" s="427"/>
      <c r="F8959" s="31">
        <f>IFERROR(VLOOKUP(E8959,BD!$L$2:$Q$244,2,0),0)</f>
        <v>0</v>
      </c>
      <c r="G8959" s="424"/>
      <c r="H8959" s="31">
        <f>+IFERROR(VLOOKUP(E8959,BD!$L$2:$Q$244,6,0),0)</f>
        <v>0</v>
      </c>
      <c r="I8959" s="626">
        <f>IFERROR(G8959*VLOOKUP($E8959,BD!$L$2:$Q$244,5,0),0)</f>
        <v>0</v>
      </c>
      <c r="J8959" s="3">
        <f t="shared" si="561"/>
        <v>1900</v>
      </c>
    </row>
    <row r="8960" spans="1:10" s="9" customFormat="1" x14ac:dyDescent="0.25">
      <c r="A8960" s="447"/>
      <c r="B8960" s="55" t="str">
        <f t="shared" si="558"/>
        <v>ENERO</v>
      </c>
      <c r="C8960" s="55">
        <f t="shared" si="559"/>
        <v>1</v>
      </c>
      <c r="D8960" s="3" t="str">
        <f t="shared" si="560"/>
        <v>SÁBADO</v>
      </c>
      <c r="E8960" s="427"/>
      <c r="F8960" s="31">
        <f>IFERROR(VLOOKUP(E8960,BD!$L$2:$Q$244,2,0),0)</f>
        <v>0</v>
      </c>
      <c r="G8960" s="424"/>
      <c r="H8960" s="31">
        <f>+IFERROR(VLOOKUP(E8960,BD!$L$2:$Q$244,6,0),0)</f>
        <v>0</v>
      </c>
      <c r="I8960" s="626">
        <f>IFERROR(G8960*VLOOKUP($E8960,BD!$L$2:$Q$244,5,0),0)</f>
        <v>0</v>
      </c>
      <c r="J8960" s="3">
        <f t="shared" si="561"/>
        <v>1900</v>
      </c>
    </row>
    <row r="8961" spans="1:10" s="9" customFormat="1" x14ac:dyDescent="0.25">
      <c r="A8961" s="447"/>
      <c r="B8961" s="55" t="str">
        <f t="shared" si="558"/>
        <v>ENERO</v>
      </c>
      <c r="C8961" s="55">
        <f t="shared" si="559"/>
        <v>1</v>
      </c>
      <c r="D8961" s="3" t="str">
        <f t="shared" si="560"/>
        <v>SÁBADO</v>
      </c>
      <c r="E8961" s="427"/>
      <c r="F8961" s="31">
        <f>IFERROR(VLOOKUP(E8961,BD!$L$2:$Q$244,2,0),0)</f>
        <v>0</v>
      </c>
      <c r="G8961" s="425"/>
      <c r="H8961" s="31">
        <f>+IFERROR(VLOOKUP(E8961,BD!$L$2:$Q$244,6,0),0)</f>
        <v>0</v>
      </c>
      <c r="I8961" s="626">
        <f>IFERROR(G8961*VLOOKUP($E8961,BD!$L$2:$Q$244,5,0),0)</f>
        <v>0</v>
      </c>
      <c r="J8961" s="3">
        <f t="shared" si="561"/>
        <v>1900</v>
      </c>
    </row>
    <row r="8962" spans="1:10" s="9" customFormat="1" x14ac:dyDescent="0.25">
      <c r="A8962" s="447"/>
      <c r="B8962" s="55" t="str">
        <f t="shared" si="558"/>
        <v>ENERO</v>
      </c>
      <c r="C8962" s="55">
        <f t="shared" si="559"/>
        <v>1</v>
      </c>
      <c r="D8962" s="3" t="str">
        <f t="shared" si="560"/>
        <v>SÁBADO</v>
      </c>
      <c r="E8962" s="427"/>
      <c r="F8962" s="31">
        <f>IFERROR(VLOOKUP(E8962,BD!$L$2:$Q$244,2,0),0)</f>
        <v>0</v>
      </c>
      <c r="G8962" s="424"/>
      <c r="H8962" s="31">
        <f>+IFERROR(VLOOKUP(E8962,BD!$L$2:$Q$244,6,0),0)</f>
        <v>0</v>
      </c>
      <c r="I8962" s="626">
        <f>IFERROR(G8962*VLOOKUP($E8962,BD!$L$2:$Q$244,5,0),0)</f>
        <v>0</v>
      </c>
      <c r="J8962" s="3">
        <f t="shared" si="561"/>
        <v>1900</v>
      </c>
    </row>
    <row r="8963" spans="1:10" s="9" customFormat="1" x14ac:dyDescent="0.25">
      <c r="A8963" s="447"/>
      <c r="B8963" s="55" t="str">
        <f t="shared" si="558"/>
        <v>ENERO</v>
      </c>
      <c r="C8963" s="55">
        <f t="shared" si="559"/>
        <v>1</v>
      </c>
      <c r="D8963" s="3" t="str">
        <f t="shared" si="560"/>
        <v>SÁBADO</v>
      </c>
      <c r="E8963" s="427"/>
      <c r="F8963" s="31">
        <f>IFERROR(VLOOKUP(E8963,BD!$L$2:$Q$244,2,0),0)</f>
        <v>0</v>
      </c>
      <c r="G8963" s="424"/>
      <c r="H8963" s="31">
        <f>+IFERROR(VLOOKUP(E8963,BD!$L$2:$Q$244,6,0),0)</f>
        <v>0</v>
      </c>
      <c r="I8963" s="626">
        <f>IFERROR(G8963*VLOOKUP($E8963,BD!$L$2:$Q$244,5,0),0)</f>
        <v>0</v>
      </c>
      <c r="J8963" s="3">
        <f t="shared" si="561"/>
        <v>1900</v>
      </c>
    </row>
    <row r="8964" spans="1:10" s="9" customFormat="1" x14ac:dyDescent="0.25">
      <c r="A8964" s="447"/>
      <c r="B8964" s="55" t="str">
        <f t="shared" si="558"/>
        <v>ENERO</v>
      </c>
      <c r="C8964" s="55">
        <f t="shared" si="559"/>
        <v>1</v>
      </c>
      <c r="D8964" s="3" t="str">
        <f t="shared" si="560"/>
        <v>SÁBADO</v>
      </c>
      <c r="E8964" s="427"/>
      <c r="F8964" s="31">
        <f>IFERROR(VLOOKUP(E8964,BD!$L$2:$Q$244,2,0),0)</f>
        <v>0</v>
      </c>
      <c r="G8964" s="424"/>
      <c r="H8964" s="31">
        <f>+IFERROR(VLOOKUP(E8964,BD!$L$2:$Q$244,6,0),0)</f>
        <v>0</v>
      </c>
      <c r="I8964" s="626">
        <f>IFERROR(G8964*VLOOKUP($E8964,BD!$L$2:$Q$244,5,0),0)</f>
        <v>0</v>
      </c>
      <c r="J8964" s="3">
        <f t="shared" si="561"/>
        <v>1900</v>
      </c>
    </row>
    <row r="8965" spans="1:10" s="9" customFormat="1" x14ac:dyDescent="0.25">
      <c r="A8965" s="447"/>
      <c r="B8965" s="55" t="str">
        <f t="shared" si="558"/>
        <v>ENERO</v>
      </c>
      <c r="C8965" s="55">
        <f t="shared" si="559"/>
        <v>1</v>
      </c>
      <c r="D8965" s="3" t="str">
        <f t="shared" si="560"/>
        <v>SÁBADO</v>
      </c>
      <c r="E8965" s="427"/>
      <c r="F8965" s="31">
        <f>IFERROR(VLOOKUP(E8965,BD!$L$2:$Q$244,2,0),0)</f>
        <v>0</v>
      </c>
      <c r="G8965" s="424"/>
      <c r="H8965" s="31">
        <f>+IFERROR(VLOOKUP(E8965,BD!$L$2:$Q$244,6,0),0)</f>
        <v>0</v>
      </c>
      <c r="I8965" s="626">
        <f>IFERROR(G8965*VLOOKUP($E8965,BD!$L$2:$Q$244,5,0),0)</f>
        <v>0</v>
      </c>
      <c r="J8965" s="3">
        <f t="shared" si="561"/>
        <v>1900</v>
      </c>
    </row>
    <row r="8966" spans="1:10" s="9" customFormat="1" x14ac:dyDescent="0.25">
      <c r="A8966" s="447"/>
      <c r="B8966" s="55" t="str">
        <f t="shared" si="558"/>
        <v>ENERO</v>
      </c>
      <c r="C8966" s="55">
        <f t="shared" si="559"/>
        <v>1</v>
      </c>
      <c r="D8966" s="3" t="str">
        <f t="shared" si="560"/>
        <v>SÁBADO</v>
      </c>
      <c r="E8966" s="427"/>
      <c r="F8966" s="31">
        <f>IFERROR(VLOOKUP(E8966,BD!$L$2:$Q$244,2,0),0)</f>
        <v>0</v>
      </c>
      <c r="G8966" s="424"/>
      <c r="H8966" s="31">
        <f>+IFERROR(VLOOKUP(E8966,BD!$L$2:$Q$244,6,0),0)</f>
        <v>0</v>
      </c>
      <c r="I8966" s="626">
        <f>IFERROR(G8966*VLOOKUP($E8966,BD!$L$2:$Q$244,5,0),0)</f>
        <v>0</v>
      </c>
      <c r="J8966" s="3">
        <f t="shared" si="561"/>
        <v>1900</v>
      </c>
    </row>
    <row r="8967" spans="1:10" s="9" customFormat="1" x14ac:dyDescent="0.25">
      <c r="A8967" s="447"/>
      <c r="B8967" s="55" t="str">
        <f t="shared" si="558"/>
        <v>ENERO</v>
      </c>
      <c r="C8967" s="55">
        <f t="shared" si="559"/>
        <v>1</v>
      </c>
      <c r="D8967" s="3" t="str">
        <f t="shared" si="560"/>
        <v>SÁBADO</v>
      </c>
      <c r="E8967" s="427"/>
      <c r="F8967" s="31">
        <f>IFERROR(VLOOKUP(E8967,BD!$L$2:$Q$244,2,0),0)</f>
        <v>0</v>
      </c>
      <c r="G8967" s="424"/>
      <c r="H8967" s="31">
        <f>+IFERROR(VLOOKUP(E8967,BD!$L$2:$Q$244,6,0),0)</f>
        <v>0</v>
      </c>
      <c r="I8967" s="626">
        <f>IFERROR(G8967*VLOOKUP($E8967,BD!$L$2:$Q$244,5,0),0)</f>
        <v>0</v>
      </c>
      <c r="J8967" s="3">
        <f t="shared" si="561"/>
        <v>1900</v>
      </c>
    </row>
    <row r="8968" spans="1:10" s="9" customFormat="1" x14ac:dyDescent="0.25">
      <c r="A8968" s="447"/>
      <c r="B8968" s="55" t="str">
        <f t="shared" si="558"/>
        <v>ENERO</v>
      </c>
      <c r="C8968" s="55">
        <f t="shared" si="559"/>
        <v>1</v>
      </c>
      <c r="D8968" s="3" t="str">
        <f t="shared" si="560"/>
        <v>SÁBADO</v>
      </c>
      <c r="E8968" s="427"/>
      <c r="F8968" s="31">
        <f>IFERROR(VLOOKUP(E8968,BD!$L$2:$Q$244,2,0),0)</f>
        <v>0</v>
      </c>
      <c r="G8968" s="424"/>
      <c r="H8968" s="31">
        <f>+IFERROR(VLOOKUP(E8968,BD!$L$2:$Q$244,6,0),0)</f>
        <v>0</v>
      </c>
      <c r="I8968" s="626">
        <f>IFERROR(G8968*VLOOKUP($E8968,BD!$L$2:$Q$244,5,0),0)</f>
        <v>0</v>
      </c>
      <c r="J8968" s="3">
        <f t="shared" si="561"/>
        <v>1900</v>
      </c>
    </row>
    <row r="8969" spans="1:10" s="9" customFormat="1" x14ac:dyDescent="0.25">
      <c r="A8969" s="447"/>
      <c r="B8969" s="55" t="str">
        <f t="shared" si="558"/>
        <v>ENERO</v>
      </c>
      <c r="C8969" s="55">
        <f t="shared" si="559"/>
        <v>1</v>
      </c>
      <c r="D8969" s="3" t="str">
        <f t="shared" si="560"/>
        <v>SÁBADO</v>
      </c>
      <c r="E8969" s="427"/>
      <c r="F8969" s="31">
        <f>IFERROR(VLOOKUP(E8969,BD!$L$2:$Q$244,2,0),0)</f>
        <v>0</v>
      </c>
      <c r="G8969" s="424"/>
      <c r="H8969" s="31">
        <f>+IFERROR(VLOOKUP(E8969,BD!$L$2:$Q$244,6,0),0)</f>
        <v>0</v>
      </c>
      <c r="I8969" s="626">
        <f>IFERROR(G8969*VLOOKUP($E8969,BD!$L$2:$Q$244,5,0),0)</f>
        <v>0</v>
      </c>
      <c r="J8969" s="3">
        <f t="shared" si="561"/>
        <v>1900</v>
      </c>
    </row>
    <row r="8970" spans="1:10" s="9" customFormat="1" x14ac:dyDescent="0.25">
      <c r="A8970" s="447"/>
      <c r="B8970" s="55" t="str">
        <f t="shared" si="558"/>
        <v>ENERO</v>
      </c>
      <c r="C8970" s="55">
        <f t="shared" si="559"/>
        <v>1</v>
      </c>
      <c r="D8970" s="3" t="str">
        <f t="shared" si="560"/>
        <v>SÁBADO</v>
      </c>
      <c r="E8970" s="427"/>
      <c r="F8970" s="31">
        <f>IFERROR(VLOOKUP(E8970,BD!$L$2:$Q$244,2,0),0)</f>
        <v>0</v>
      </c>
      <c r="G8970" s="424"/>
      <c r="H8970" s="31">
        <f>+IFERROR(VLOOKUP(E8970,BD!$L$2:$Q$244,6,0),0)</f>
        <v>0</v>
      </c>
      <c r="I8970" s="626">
        <f>IFERROR(G8970*VLOOKUP($E8970,BD!$L$2:$Q$244,5,0),0)</f>
        <v>0</v>
      </c>
      <c r="J8970" s="3">
        <f t="shared" si="561"/>
        <v>1900</v>
      </c>
    </row>
    <row r="8971" spans="1:10" s="9" customFormat="1" x14ac:dyDescent="0.25">
      <c r="A8971" s="447"/>
      <c r="B8971" s="55" t="str">
        <f t="shared" si="558"/>
        <v>ENERO</v>
      </c>
      <c r="C8971" s="55">
        <f t="shared" si="559"/>
        <v>1</v>
      </c>
      <c r="D8971" s="3" t="str">
        <f t="shared" si="560"/>
        <v>SÁBADO</v>
      </c>
      <c r="E8971" s="427"/>
      <c r="F8971" s="31">
        <f>IFERROR(VLOOKUP(E8971,BD!$L$2:$Q$244,2,0),0)</f>
        <v>0</v>
      </c>
      <c r="G8971" s="424"/>
      <c r="H8971" s="31">
        <f>+IFERROR(VLOOKUP(E8971,BD!$L$2:$Q$244,6,0),0)</f>
        <v>0</v>
      </c>
      <c r="I8971" s="626">
        <f>IFERROR(G8971*VLOOKUP($E8971,BD!$L$2:$Q$244,5,0),0)</f>
        <v>0</v>
      </c>
      <c r="J8971" s="3">
        <f t="shared" si="561"/>
        <v>1900</v>
      </c>
    </row>
    <row r="8972" spans="1:10" s="9" customFormat="1" x14ac:dyDescent="0.25">
      <c r="A8972" s="447"/>
      <c r="B8972" s="55" t="str">
        <f t="shared" si="558"/>
        <v>ENERO</v>
      </c>
      <c r="C8972" s="55">
        <f t="shared" si="559"/>
        <v>1</v>
      </c>
      <c r="D8972" s="3" t="str">
        <f t="shared" si="560"/>
        <v>SÁBADO</v>
      </c>
      <c r="E8972" s="427"/>
      <c r="F8972" s="31">
        <f>IFERROR(VLOOKUP(E8972,BD!$L$2:$Q$244,2,0),0)</f>
        <v>0</v>
      </c>
      <c r="G8972" s="424"/>
      <c r="H8972" s="31">
        <f>+IFERROR(VLOOKUP(E8972,BD!$L$2:$Q$244,6,0),0)</f>
        <v>0</v>
      </c>
      <c r="I8972" s="626">
        <f>IFERROR(G8972*VLOOKUP($E8972,BD!$L$2:$Q$244,5,0),0)</f>
        <v>0</v>
      </c>
      <c r="J8972" s="3">
        <f t="shared" si="561"/>
        <v>1900</v>
      </c>
    </row>
    <row r="8973" spans="1:10" s="9" customFormat="1" x14ac:dyDescent="0.25">
      <c r="A8973" s="447"/>
      <c r="B8973" s="55" t="str">
        <f t="shared" si="558"/>
        <v>ENERO</v>
      </c>
      <c r="C8973" s="55">
        <f t="shared" si="559"/>
        <v>1</v>
      </c>
      <c r="D8973" s="3" t="str">
        <f t="shared" si="560"/>
        <v>SÁBADO</v>
      </c>
      <c r="E8973" s="427"/>
      <c r="F8973" s="31">
        <f>IFERROR(VLOOKUP(E8973,BD!$L$2:$Q$244,2,0),0)</f>
        <v>0</v>
      </c>
      <c r="G8973" s="424"/>
      <c r="H8973" s="31">
        <f>+IFERROR(VLOOKUP(E8973,BD!$L$2:$Q$244,6,0),0)</f>
        <v>0</v>
      </c>
      <c r="I8973" s="626">
        <f>IFERROR(G8973*VLOOKUP($E8973,BD!$L$2:$Q$244,5,0),0)</f>
        <v>0</v>
      </c>
      <c r="J8973" s="3">
        <f t="shared" si="561"/>
        <v>1900</v>
      </c>
    </row>
    <row r="8974" spans="1:10" s="9" customFormat="1" x14ac:dyDescent="0.25">
      <c r="A8974" s="447"/>
      <c r="B8974" s="55" t="str">
        <f t="shared" si="558"/>
        <v>ENERO</v>
      </c>
      <c r="C8974" s="55">
        <f t="shared" si="559"/>
        <v>1</v>
      </c>
      <c r="D8974" s="3" t="str">
        <f t="shared" si="560"/>
        <v>SÁBADO</v>
      </c>
      <c r="E8974" s="427"/>
      <c r="F8974" s="31">
        <f>IFERROR(VLOOKUP(E8974,BD!$L$2:$Q$244,2,0),0)</f>
        <v>0</v>
      </c>
      <c r="G8974" s="424"/>
      <c r="H8974" s="31">
        <f>+IFERROR(VLOOKUP(E8974,BD!$L$2:$Q$244,6,0),0)</f>
        <v>0</v>
      </c>
      <c r="I8974" s="626">
        <f>IFERROR(G8974*VLOOKUP($E8974,BD!$L$2:$Q$244,5,0),0)</f>
        <v>0</v>
      </c>
      <c r="J8974" s="3">
        <f t="shared" si="561"/>
        <v>1900</v>
      </c>
    </row>
    <row r="8975" spans="1:10" s="9" customFormat="1" x14ac:dyDescent="0.25">
      <c r="A8975" s="447"/>
      <c r="B8975" s="55" t="str">
        <f t="shared" si="558"/>
        <v>ENERO</v>
      </c>
      <c r="C8975" s="55">
        <f t="shared" si="559"/>
        <v>1</v>
      </c>
      <c r="D8975" s="3" t="str">
        <f t="shared" si="560"/>
        <v>SÁBADO</v>
      </c>
      <c r="E8975" s="427"/>
      <c r="F8975" s="31">
        <f>IFERROR(VLOOKUP(E8975,BD!$L$2:$Q$244,2,0),0)</f>
        <v>0</v>
      </c>
      <c r="G8975" s="424"/>
      <c r="H8975" s="31">
        <f>+IFERROR(VLOOKUP(E8975,BD!$L$2:$Q$244,6,0),0)</f>
        <v>0</v>
      </c>
      <c r="I8975" s="626">
        <f>IFERROR(G8975*VLOOKUP($E8975,BD!$L$2:$Q$244,5,0),0)</f>
        <v>0</v>
      </c>
      <c r="J8975" s="3">
        <f t="shared" si="561"/>
        <v>1900</v>
      </c>
    </row>
    <row r="8976" spans="1:10" s="9" customFormat="1" x14ac:dyDescent="0.25">
      <c r="A8976" s="447"/>
      <c r="B8976" s="55" t="str">
        <f t="shared" si="558"/>
        <v>ENERO</v>
      </c>
      <c r="C8976" s="55">
        <f t="shared" si="559"/>
        <v>1</v>
      </c>
      <c r="D8976" s="3" t="str">
        <f t="shared" si="560"/>
        <v>SÁBADO</v>
      </c>
      <c r="E8976" s="427"/>
      <c r="F8976" s="31">
        <f>IFERROR(VLOOKUP(E8976,BD!$L$2:$Q$244,2,0),0)</f>
        <v>0</v>
      </c>
      <c r="G8976" s="424"/>
      <c r="H8976" s="31">
        <f>+IFERROR(VLOOKUP(E8976,BD!$L$2:$Q$244,6,0),0)</f>
        <v>0</v>
      </c>
      <c r="I8976" s="626">
        <f>IFERROR(G8976*VLOOKUP($E8976,BD!$L$2:$Q$244,5,0),0)</f>
        <v>0</v>
      </c>
      <c r="J8976" s="3">
        <f t="shared" si="561"/>
        <v>1900</v>
      </c>
    </row>
    <row r="8977" spans="1:10" s="9" customFormat="1" x14ac:dyDescent="0.25">
      <c r="A8977" s="447"/>
      <c r="B8977" s="55" t="str">
        <f t="shared" si="558"/>
        <v>ENERO</v>
      </c>
      <c r="C8977" s="55">
        <f t="shared" si="559"/>
        <v>1</v>
      </c>
      <c r="D8977" s="3" t="str">
        <f t="shared" si="560"/>
        <v>SÁBADO</v>
      </c>
      <c r="E8977" s="427"/>
      <c r="F8977" s="31">
        <f>IFERROR(VLOOKUP(E8977,BD!$L$2:$Q$244,2,0),0)</f>
        <v>0</v>
      </c>
      <c r="G8977" s="424"/>
      <c r="H8977" s="31">
        <f>+IFERROR(VLOOKUP(E8977,BD!$L$2:$Q$244,6,0),0)</f>
        <v>0</v>
      </c>
      <c r="I8977" s="626">
        <f>IFERROR(G8977*VLOOKUP($E8977,BD!$L$2:$Q$244,5,0),0)</f>
        <v>0</v>
      </c>
      <c r="J8977" s="3">
        <f t="shared" si="561"/>
        <v>1900</v>
      </c>
    </row>
    <row r="8978" spans="1:10" s="9" customFormat="1" x14ac:dyDescent="0.25">
      <c r="A8978" s="447"/>
      <c r="B8978" s="55" t="str">
        <f t="shared" si="558"/>
        <v>ENERO</v>
      </c>
      <c r="C8978" s="55">
        <f t="shared" si="559"/>
        <v>1</v>
      </c>
      <c r="D8978" s="3" t="str">
        <f t="shared" si="560"/>
        <v>SÁBADO</v>
      </c>
      <c r="E8978" s="427"/>
      <c r="F8978" s="31">
        <f>IFERROR(VLOOKUP(E8978,BD!$L$2:$Q$244,2,0),0)</f>
        <v>0</v>
      </c>
      <c r="G8978" s="424"/>
      <c r="H8978" s="31">
        <f>+IFERROR(VLOOKUP(E8978,BD!$L$2:$Q$244,6,0),0)</f>
        <v>0</v>
      </c>
      <c r="I8978" s="626">
        <f>IFERROR(G8978*VLOOKUP($E8978,BD!$L$2:$Q$244,5,0),0)</f>
        <v>0</v>
      </c>
      <c r="J8978" s="3">
        <f t="shared" si="561"/>
        <v>1900</v>
      </c>
    </row>
    <row r="8979" spans="1:10" s="9" customFormat="1" x14ac:dyDescent="0.25">
      <c r="A8979" s="447"/>
      <c r="B8979" s="55" t="str">
        <f t="shared" si="558"/>
        <v>ENERO</v>
      </c>
      <c r="C8979" s="55">
        <f t="shared" si="559"/>
        <v>1</v>
      </c>
      <c r="D8979" s="3" t="str">
        <f t="shared" si="560"/>
        <v>SÁBADO</v>
      </c>
      <c r="E8979" s="427"/>
      <c r="F8979" s="31">
        <f>IFERROR(VLOOKUP(E8979,BD!$L$2:$Q$244,2,0),0)</f>
        <v>0</v>
      </c>
      <c r="G8979" s="424"/>
      <c r="H8979" s="31">
        <f>+IFERROR(VLOOKUP(E8979,BD!$L$2:$Q$244,6,0),0)</f>
        <v>0</v>
      </c>
      <c r="I8979" s="626">
        <f>IFERROR(G8979*VLOOKUP($E8979,BD!$L$2:$Q$244,5,0),0)</f>
        <v>0</v>
      </c>
      <c r="J8979" s="3">
        <f t="shared" si="561"/>
        <v>1900</v>
      </c>
    </row>
    <row r="8980" spans="1:10" s="9" customFormat="1" x14ac:dyDescent="0.25">
      <c r="A8980" s="447"/>
      <c r="B8980" s="55" t="str">
        <f t="shared" si="558"/>
        <v>ENERO</v>
      </c>
      <c r="C8980" s="55">
        <f t="shared" si="559"/>
        <v>1</v>
      </c>
      <c r="D8980" s="3" t="str">
        <f t="shared" si="560"/>
        <v>SÁBADO</v>
      </c>
      <c r="E8980" s="427"/>
      <c r="F8980" s="31">
        <f>IFERROR(VLOOKUP(E8980,BD!$L$2:$Q$244,2,0),0)</f>
        <v>0</v>
      </c>
      <c r="G8980" s="424"/>
      <c r="H8980" s="31">
        <f>+IFERROR(VLOOKUP(E8980,BD!$L$2:$Q$244,6,0),0)</f>
        <v>0</v>
      </c>
      <c r="I8980" s="626">
        <f>IFERROR(G8980*VLOOKUP($E8980,BD!$L$2:$Q$244,5,0),0)</f>
        <v>0</v>
      </c>
      <c r="J8980" s="3">
        <f t="shared" si="561"/>
        <v>1900</v>
      </c>
    </row>
    <row r="8981" spans="1:10" s="9" customFormat="1" x14ac:dyDescent="0.25">
      <c r="A8981" s="447"/>
      <c r="B8981" s="55" t="str">
        <f t="shared" si="558"/>
        <v>ENERO</v>
      </c>
      <c r="C8981" s="55">
        <f t="shared" si="559"/>
        <v>1</v>
      </c>
      <c r="D8981" s="3" t="str">
        <f t="shared" si="560"/>
        <v>SÁBADO</v>
      </c>
      <c r="E8981" s="427"/>
      <c r="F8981" s="31">
        <f>IFERROR(VLOOKUP(E8981,BD!$L$2:$Q$244,2,0),0)</f>
        <v>0</v>
      </c>
      <c r="G8981" s="424"/>
      <c r="H8981" s="31">
        <f>+IFERROR(VLOOKUP(E8981,BD!$L$2:$Q$244,6,0),0)</f>
        <v>0</v>
      </c>
      <c r="I8981" s="626">
        <f>IFERROR(G8981*VLOOKUP($E8981,BD!$L$2:$Q$244,5,0),0)</f>
        <v>0</v>
      </c>
      <c r="J8981" s="3">
        <f t="shared" si="561"/>
        <v>1900</v>
      </c>
    </row>
    <row r="8982" spans="1:10" s="9" customFormat="1" x14ac:dyDescent="0.25">
      <c r="A8982" s="447"/>
      <c r="B8982" s="55" t="str">
        <f t="shared" si="558"/>
        <v>ENERO</v>
      </c>
      <c r="C8982" s="55">
        <f t="shared" si="559"/>
        <v>1</v>
      </c>
      <c r="D8982" s="3" t="str">
        <f t="shared" si="560"/>
        <v>SÁBADO</v>
      </c>
      <c r="E8982" s="427"/>
      <c r="F8982" s="31">
        <f>IFERROR(VLOOKUP(E8982,BD!$L$2:$Q$244,2,0),0)</f>
        <v>0</v>
      </c>
      <c r="G8982" s="424"/>
      <c r="H8982" s="31">
        <f>+IFERROR(VLOOKUP(E8982,BD!$L$2:$Q$244,6,0),0)</f>
        <v>0</v>
      </c>
      <c r="I8982" s="626">
        <f>IFERROR(G8982*VLOOKUP($E8982,BD!$L$2:$Q$244,5,0),0)</f>
        <v>0</v>
      </c>
      <c r="J8982" s="3">
        <f t="shared" si="561"/>
        <v>1900</v>
      </c>
    </row>
    <row r="8983" spans="1:10" s="9" customFormat="1" x14ac:dyDescent="0.25">
      <c r="A8983" s="447"/>
      <c r="B8983" s="55" t="str">
        <f t="shared" si="558"/>
        <v>ENERO</v>
      </c>
      <c r="C8983" s="55">
        <f t="shared" si="559"/>
        <v>1</v>
      </c>
      <c r="D8983" s="3" t="str">
        <f t="shared" si="560"/>
        <v>SÁBADO</v>
      </c>
      <c r="E8983" s="427"/>
      <c r="F8983" s="31">
        <f>IFERROR(VLOOKUP(E8983,BD!$L$2:$Q$244,2,0),0)</f>
        <v>0</v>
      </c>
      <c r="G8983" s="424"/>
      <c r="H8983" s="31">
        <f>+IFERROR(VLOOKUP(E8983,BD!$L$2:$Q$244,6,0),0)</f>
        <v>0</v>
      </c>
      <c r="I8983" s="626">
        <f>IFERROR(G8983*VLOOKUP($E8983,BD!$L$2:$Q$244,5,0),0)</f>
        <v>0</v>
      </c>
      <c r="J8983" s="3">
        <f t="shared" si="561"/>
        <v>1900</v>
      </c>
    </row>
    <row r="8984" spans="1:10" s="9" customFormat="1" x14ac:dyDescent="0.25">
      <c r="A8984" s="447"/>
      <c r="B8984" s="55" t="str">
        <f t="shared" si="558"/>
        <v>ENERO</v>
      </c>
      <c r="C8984" s="55">
        <f t="shared" si="559"/>
        <v>1</v>
      </c>
      <c r="D8984" s="3" t="str">
        <f t="shared" si="560"/>
        <v>SÁBADO</v>
      </c>
      <c r="E8984" s="427"/>
      <c r="F8984" s="31">
        <f>IFERROR(VLOOKUP(E8984,BD!$L$2:$Q$244,2,0),0)</f>
        <v>0</v>
      </c>
      <c r="G8984" s="424"/>
      <c r="H8984" s="31">
        <f>+IFERROR(VLOOKUP(E8984,BD!$L$2:$Q$244,6,0),0)</f>
        <v>0</v>
      </c>
      <c r="I8984" s="626">
        <f>IFERROR(G8984*VLOOKUP($E8984,BD!$L$2:$Q$244,5,0),0)</f>
        <v>0</v>
      </c>
      <c r="J8984" s="3">
        <f t="shared" si="561"/>
        <v>1900</v>
      </c>
    </row>
    <row r="8985" spans="1:10" s="9" customFormat="1" x14ac:dyDescent="0.25">
      <c r="A8985" s="447"/>
      <c r="B8985" s="55" t="str">
        <f t="shared" si="558"/>
        <v>ENERO</v>
      </c>
      <c r="C8985" s="55">
        <f t="shared" si="559"/>
        <v>1</v>
      </c>
      <c r="D8985" s="3" t="str">
        <f t="shared" si="560"/>
        <v>SÁBADO</v>
      </c>
      <c r="E8985" s="427"/>
      <c r="F8985" s="31">
        <f>IFERROR(VLOOKUP(E8985,BD!$L$2:$Q$244,2,0),0)</f>
        <v>0</v>
      </c>
      <c r="G8985" s="424"/>
      <c r="H8985" s="31">
        <f>+IFERROR(VLOOKUP(E8985,BD!$L$2:$Q$244,6,0),0)</f>
        <v>0</v>
      </c>
      <c r="I8985" s="626">
        <f>IFERROR(G8985*VLOOKUP($E8985,BD!$L$2:$Q$244,5,0),0)</f>
        <v>0</v>
      </c>
      <c r="J8985" s="3">
        <f t="shared" si="561"/>
        <v>1900</v>
      </c>
    </row>
    <row r="8986" spans="1:10" s="9" customFormat="1" x14ac:dyDescent="0.25">
      <c r="A8986" s="447"/>
      <c r="B8986" s="55" t="str">
        <f t="shared" si="558"/>
        <v>ENERO</v>
      </c>
      <c r="C8986" s="55">
        <f t="shared" si="559"/>
        <v>1</v>
      </c>
      <c r="D8986" s="3" t="str">
        <f t="shared" si="560"/>
        <v>SÁBADO</v>
      </c>
      <c r="E8986" s="427"/>
      <c r="F8986" s="31">
        <f>IFERROR(VLOOKUP(E8986,BD!$L$2:$Q$244,2,0),0)</f>
        <v>0</v>
      </c>
      <c r="G8986" s="424"/>
      <c r="H8986" s="31">
        <f>+IFERROR(VLOOKUP(E8986,BD!$L$2:$Q$244,6,0),0)</f>
        <v>0</v>
      </c>
      <c r="I8986" s="626">
        <f>IFERROR(G8986*VLOOKUP($E8986,BD!$L$2:$Q$244,5,0),0)</f>
        <v>0</v>
      </c>
      <c r="J8986" s="3">
        <f t="shared" si="561"/>
        <v>1900</v>
      </c>
    </row>
    <row r="8987" spans="1:10" s="9" customFormat="1" x14ac:dyDescent="0.25">
      <c r="A8987" s="447"/>
      <c r="B8987" s="55" t="str">
        <f t="shared" si="558"/>
        <v>ENERO</v>
      </c>
      <c r="C8987" s="55">
        <f t="shared" si="559"/>
        <v>1</v>
      </c>
      <c r="D8987" s="3" t="str">
        <f t="shared" si="560"/>
        <v>SÁBADO</v>
      </c>
      <c r="E8987" s="427"/>
      <c r="F8987" s="31">
        <f>IFERROR(VLOOKUP(E8987,BD!$L$2:$Q$244,2,0),0)</f>
        <v>0</v>
      </c>
      <c r="G8987" s="424"/>
      <c r="H8987" s="31">
        <f>+IFERROR(VLOOKUP(E8987,BD!$L$2:$Q$244,6,0),0)</f>
        <v>0</v>
      </c>
      <c r="I8987" s="626">
        <f>IFERROR(G8987*VLOOKUP($E8987,BD!$L$2:$Q$244,5,0),0)</f>
        <v>0</v>
      </c>
      <c r="J8987" s="3">
        <f t="shared" si="561"/>
        <v>1900</v>
      </c>
    </row>
    <row r="8988" spans="1:10" s="9" customFormat="1" x14ac:dyDescent="0.25">
      <c r="A8988" s="447"/>
      <c r="B8988" s="55" t="str">
        <f t="shared" si="558"/>
        <v>ENERO</v>
      </c>
      <c r="C8988" s="55">
        <f t="shared" si="559"/>
        <v>1</v>
      </c>
      <c r="D8988" s="3" t="str">
        <f t="shared" si="560"/>
        <v>SÁBADO</v>
      </c>
      <c r="E8988" s="427"/>
      <c r="F8988" s="31">
        <f>IFERROR(VLOOKUP(E8988,BD!$L$2:$Q$244,2,0),0)</f>
        <v>0</v>
      </c>
      <c r="G8988" s="424"/>
      <c r="H8988" s="31">
        <f>+IFERROR(VLOOKUP(E8988,BD!$L$2:$Q$244,6,0),0)</f>
        <v>0</v>
      </c>
      <c r="I8988" s="626">
        <f>IFERROR(G8988*VLOOKUP($E8988,BD!$L$2:$Q$244,5,0),0)</f>
        <v>0</v>
      </c>
      <c r="J8988" s="3">
        <f t="shared" si="561"/>
        <v>1900</v>
      </c>
    </row>
    <row r="8989" spans="1:10" s="9" customFormat="1" x14ac:dyDescent="0.25">
      <c r="A8989" s="447"/>
      <c r="B8989" s="55" t="str">
        <f t="shared" si="558"/>
        <v>ENERO</v>
      </c>
      <c r="C8989" s="55">
        <f t="shared" si="559"/>
        <v>1</v>
      </c>
      <c r="D8989" s="3" t="str">
        <f t="shared" si="560"/>
        <v>SÁBADO</v>
      </c>
      <c r="E8989" s="427"/>
      <c r="F8989" s="31">
        <f>IFERROR(VLOOKUP(E8989,BD!$L$2:$Q$244,2,0),0)</f>
        <v>0</v>
      </c>
      <c r="G8989" s="424"/>
      <c r="H8989" s="31">
        <f>+IFERROR(VLOOKUP(E8989,BD!$L$2:$Q$244,6,0),0)</f>
        <v>0</v>
      </c>
      <c r="I8989" s="626">
        <f>IFERROR(G8989*VLOOKUP($E8989,BD!$L$2:$Q$244,5,0),0)</f>
        <v>0</v>
      </c>
      <c r="J8989" s="3">
        <f t="shared" si="561"/>
        <v>1900</v>
      </c>
    </row>
    <row r="8990" spans="1:10" s="9" customFormat="1" x14ac:dyDescent="0.25">
      <c r="A8990" s="447"/>
      <c r="B8990" s="55" t="str">
        <f t="shared" si="558"/>
        <v>ENERO</v>
      </c>
      <c r="C8990" s="55">
        <f t="shared" si="559"/>
        <v>1</v>
      </c>
      <c r="D8990" s="3" t="str">
        <f t="shared" si="560"/>
        <v>SÁBADO</v>
      </c>
      <c r="E8990" s="427"/>
      <c r="F8990" s="31">
        <f>IFERROR(VLOOKUP(E8990,BD!$L$2:$Q$244,2,0),0)</f>
        <v>0</v>
      </c>
      <c r="G8990" s="424"/>
      <c r="H8990" s="31">
        <f>+IFERROR(VLOOKUP(E8990,BD!$L$2:$Q$244,6,0),0)</f>
        <v>0</v>
      </c>
      <c r="I8990" s="626">
        <f>IFERROR(G8990*VLOOKUP($E8990,BD!$L$2:$Q$244,5,0),0)</f>
        <v>0</v>
      </c>
      <c r="J8990" s="3">
        <f t="shared" si="561"/>
        <v>1900</v>
      </c>
    </row>
    <row r="8991" spans="1:10" s="9" customFormat="1" x14ac:dyDescent="0.25">
      <c r="A8991" s="447"/>
      <c r="B8991" s="55" t="str">
        <f t="shared" si="558"/>
        <v>ENERO</v>
      </c>
      <c r="C8991" s="55">
        <f t="shared" si="559"/>
        <v>1</v>
      </c>
      <c r="D8991" s="3" t="str">
        <f t="shared" si="560"/>
        <v>SÁBADO</v>
      </c>
      <c r="E8991" s="427"/>
      <c r="F8991" s="31">
        <f>IFERROR(VLOOKUP(E8991,BD!$L$2:$Q$244,2,0),0)</f>
        <v>0</v>
      </c>
      <c r="G8991" s="424"/>
      <c r="H8991" s="31">
        <f>+IFERROR(VLOOKUP(E8991,BD!$L$2:$Q$244,6,0),0)</f>
        <v>0</v>
      </c>
      <c r="I8991" s="626">
        <f>IFERROR(G8991*VLOOKUP($E8991,BD!$L$2:$Q$244,5,0),0)</f>
        <v>0</v>
      </c>
      <c r="J8991" s="3">
        <f t="shared" si="561"/>
        <v>1900</v>
      </c>
    </row>
    <row r="8992" spans="1:10" s="9" customFormat="1" x14ac:dyDescent="0.25">
      <c r="A8992" s="447"/>
      <c r="B8992" s="55" t="str">
        <f t="shared" si="558"/>
        <v>ENERO</v>
      </c>
      <c r="C8992" s="55">
        <f t="shared" si="559"/>
        <v>1</v>
      </c>
      <c r="D8992" s="3" t="str">
        <f t="shared" si="560"/>
        <v>SÁBADO</v>
      </c>
      <c r="E8992" s="427"/>
      <c r="F8992" s="31">
        <f>IFERROR(VLOOKUP(E8992,BD!$L$2:$Q$244,2,0),0)</f>
        <v>0</v>
      </c>
      <c r="G8992" s="424"/>
      <c r="H8992" s="31">
        <f>+IFERROR(VLOOKUP(E8992,BD!$L$2:$Q$244,6,0),0)</f>
        <v>0</v>
      </c>
      <c r="I8992" s="626">
        <f>IFERROR(G8992*VLOOKUP($E8992,BD!$L$2:$Q$244,5,0),0)</f>
        <v>0</v>
      </c>
      <c r="J8992" s="3">
        <f t="shared" si="561"/>
        <v>1900</v>
      </c>
    </row>
    <row r="8993" spans="1:10" s="9" customFormat="1" x14ac:dyDescent="0.25">
      <c r="A8993" s="447"/>
      <c r="B8993" s="55" t="str">
        <f t="shared" si="558"/>
        <v>ENERO</v>
      </c>
      <c r="C8993" s="55">
        <f t="shared" si="559"/>
        <v>1</v>
      </c>
      <c r="D8993" s="3" t="str">
        <f t="shared" si="560"/>
        <v>SÁBADO</v>
      </c>
      <c r="E8993" s="427"/>
      <c r="F8993" s="31">
        <f>IFERROR(VLOOKUP(E8993,BD!$L$2:$Q$244,2,0),0)</f>
        <v>0</v>
      </c>
      <c r="G8993" s="424"/>
      <c r="H8993" s="31">
        <f>+IFERROR(VLOOKUP(E8993,BD!$L$2:$Q$244,6,0),0)</f>
        <v>0</v>
      </c>
      <c r="I8993" s="626">
        <f>IFERROR(G8993*VLOOKUP($E8993,BD!$L$2:$Q$244,5,0),0)</f>
        <v>0</v>
      </c>
      <c r="J8993" s="3">
        <f t="shared" si="561"/>
        <v>1900</v>
      </c>
    </row>
    <row r="8994" spans="1:10" s="9" customFormat="1" x14ac:dyDescent="0.25">
      <c r="A8994" s="447"/>
      <c r="B8994" s="55" t="str">
        <f t="shared" si="558"/>
        <v>ENERO</v>
      </c>
      <c r="C8994" s="55">
        <f t="shared" si="559"/>
        <v>1</v>
      </c>
      <c r="D8994" s="3" t="str">
        <f t="shared" si="560"/>
        <v>SÁBADO</v>
      </c>
      <c r="E8994" s="427"/>
      <c r="F8994" s="31">
        <f>IFERROR(VLOOKUP(E8994,BD!$L$2:$Q$244,2,0),0)</f>
        <v>0</v>
      </c>
      <c r="G8994" s="424"/>
      <c r="H8994" s="31">
        <f>+IFERROR(VLOOKUP(E8994,BD!$L$2:$Q$244,6,0),0)</f>
        <v>0</v>
      </c>
      <c r="I8994" s="626">
        <f>IFERROR(G8994*VLOOKUP($E8994,BD!$L$2:$Q$244,5,0),0)</f>
        <v>0</v>
      </c>
      <c r="J8994" s="3">
        <f t="shared" si="561"/>
        <v>1900</v>
      </c>
    </row>
    <row r="8995" spans="1:10" s="9" customFormat="1" x14ac:dyDescent="0.25">
      <c r="A8995" s="447"/>
      <c r="B8995" s="55" t="str">
        <f t="shared" si="558"/>
        <v>ENERO</v>
      </c>
      <c r="C8995" s="55">
        <f t="shared" si="559"/>
        <v>1</v>
      </c>
      <c r="D8995" s="3" t="str">
        <f t="shared" si="560"/>
        <v>SÁBADO</v>
      </c>
      <c r="E8995" s="427"/>
      <c r="F8995" s="31">
        <f>IFERROR(VLOOKUP(E8995,BD!$L$2:$Q$244,2,0),0)</f>
        <v>0</v>
      </c>
      <c r="G8995" s="424"/>
      <c r="H8995" s="31">
        <f>+IFERROR(VLOOKUP(E8995,BD!$L$2:$Q$244,6,0),0)</f>
        <v>0</v>
      </c>
      <c r="I8995" s="626">
        <f>IFERROR(G8995*VLOOKUP($E8995,BD!$L$2:$Q$244,5,0),0)</f>
        <v>0</v>
      </c>
      <c r="J8995" s="3">
        <f t="shared" si="561"/>
        <v>1900</v>
      </c>
    </row>
    <row r="8996" spans="1:10" s="9" customFormat="1" x14ac:dyDescent="0.25">
      <c r="A8996" s="447"/>
      <c r="B8996" s="55" t="str">
        <f t="shared" si="558"/>
        <v>ENERO</v>
      </c>
      <c r="C8996" s="55">
        <f t="shared" si="559"/>
        <v>1</v>
      </c>
      <c r="D8996" s="3" t="str">
        <f t="shared" si="560"/>
        <v>SÁBADO</v>
      </c>
      <c r="E8996" s="427"/>
      <c r="F8996" s="31">
        <f>IFERROR(VLOOKUP(E8996,BD!$L$2:$Q$244,2,0),0)</f>
        <v>0</v>
      </c>
      <c r="G8996" s="424"/>
      <c r="H8996" s="31">
        <f>+IFERROR(VLOOKUP(E8996,BD!$L$2:$Q$244,6,0),0)</f>
        <v>0</v>
      </c>
      <c r="I8996" s="626">
        <f>IFERROR(G8996*VLOOKUP($E8996,BD!$L$2:$Q$244,5,0),0)</f>
        <v>0</v>
      </c>
      <c r="J8996" s="3">
        <f t="shared" si="561"/>
        <v>1900</v>
      </c>
    </row>
    <row r="8997" spans="1:10" s="9" customFormat="1" x14ac:dyDescent="0.25">
      <c r="A8997" s="447"/>
      <c r="B8997" s="55" t="str">
        <f t="shared" si="558"/>
        <v>ENERO</v>
      </c>
      <c r="C8997" s="55">
        <f t="shared" si="559"/>
        <v>1</v>
      </c>
      <c r="D8997" s="3" t="str">
        <f t="shared" si="560"/>
        <v>SÁBADO</v>
      </c>
      <c r="E8997" s="427"/>
      <c r="F8997" s="31">
        <f>IFERROR(VLOOKUP(E8997,BD!$L$2:$Q$244,2,0),0)</f>
        <v>0</v>
      </c>
      <c r="G8997" s="424"/>
      <c r="H8997" s="31">
        <f>+IFERROR(VLOOKUP(E8997,BD!$L$2:$Q$244,6,0),0)</f>
        <v>0</v>
      </c>
      <c r="I8997" s="626">
        <f>IFERROR(G8997*VLOOKUP($E8997,BD!$L$2:$Q$244,5,0),0)</f>
        <v>0</v>
      </c>
      <c r="J8997" s="3">
        <f t="shared" si="561"/>
        <v>1900</v>
      </c>
    </row>
    <row r="8998" spans="1:10" s="9" customFormat="1" x14ac:dyDescent="0.25">
      <c r="A8998" s="447"/>
      <c r="B8998" s="55" t="str">
        <f t="shared" si="558"/>
        <v>ENERO</v>
      </c>
      <c r="C8998" s="55">
        <f t="shared" si="559"/>
        <v>1</v>
      </c>
      <c r="D8998" s="3" t="str">
        <f t="shared" si="560"/>
        <v>SÁBADO</v>
      </c>
      <c r="E8998" s="427"/>
      <c r="F8998" s="31">
        <f>IFERROR(VLOOKUP(E8998,BD!$L$2:$Q$244,2,0),0)</f>
        <v>0</v>
      </c>
      <c r="G8998" s="424"/>
      <c r="H8998" s="31">
        <f>+IFERROR(VLOOKUP(E8998,BD!$L$2:$Q$244,6,0),0)</f>
        <v>0</v>
      </c>
      <c r="I8998" s="626">
        <f>IFERROR(G8998*VLOOKUP($E8998,BD!$L$2:$Q$244,5,0),0)</f>
        <v>0</v>
      </c>
      <c r="J8998" s="3">
        <f t="shared" si="561"/>
        <v>1900</v>
      </c>
    </row>
    <row r="8999" spans="1:10" s="9" customFormat="1" x14ac:dyDescent="0.25">
      <c r="A8999" s="447"/>
      <c r="B8999" s="55" t="str">
        <f t="shared" si="558"/>
        <v>ENERO</v>
      </c>
      <c r="C8999" s="55">
        <f t="shared" si="559"/>
        <v>1</v>
      </c>
      <c r="D8999" s="3" t="str">
        <f t="shared" si="560"/>
        <v>SÁBADO</v>
      </c>
      <c r="E8999" s="427"/>
      <c r="F8999" s="31">
        <f>IFERROR(VLOOKUP(E8999,BD!$L$2:$Q$244,2,0),0)</f>
        <v>0</v>
      </c>
      <c r="G8999" s="425"/>
      <c r="H8999" s="31">
        <f>+IFERROR(VLOOKUP(E8999,BD!$L$2:$Q$244,6,0),0)</f>
        <v>0</v>
      </c>
      <c r="I8999" s="626">
        <f>IFERROR(G8999*VLOOKUP($E8999,BD!$L$2:$Q$244,5,0),0)</f>
        <v>0</v>
      </c>
      <c r="J8999" s="3">
        <f t="shared" si="561"/>
        <v>1900</v>
      </c>
    </row>
    <row r="9000" spans="1:10" s="9" customFormat="1" x14ac:dyDescent="0.25">
      <c r="A9000" s="447"/>
      <c r="B9000" s="55" t="str">
        <f t="shared" si="558"/>
        <v>ENERO</v>
      </c>
      <c r="C9000" s="55">
        <f t="shared" si="559"/>
        <v>1</v>
      </c>
      <c r="D9000" s="3" t="str">
        <f t="shared" si="560"/>
        <v>SÁBADO</v>
      </c>
      <c r="E9000" s="427"/>
      <c r="F9000" s="31">
        <f>IFERROR(VLOOKUP(E9000,BD!$L$2:$Q$244,2,0),0)</f>
        <v>0</v>
      </c>
      <c r="G9000" s="425"/>
      <c r="H9000" s="31">
        <f>+IFERROR(VLOOKUP(E9000,BD!$L$2:$Q$244,6,0),0)</f>
        <v>0</v>
      </c>
      <c r="I9000" s="626">
        <f>IFERROR(G9000*VLOOKUP($E9000,BD!$L$2:$Q$244,5,0),0)</f>
        <v>0</v>
      </c>
      <c r="J9000" s="3">
        <f t="shared" si="561"/>
        <v>1900</v>
      </c>
    </row>
    <row r="9001" spans="1:10" s="9" customFormat="1" x14ac:dyDescent="0.25">
      <c r="A9001" s="447"/>
      <c r="B9001" s="55" t="str">
        <f t="shared" si="558"/>
        <v>ENERO</v>
      </c>
      <c r="C9001" s="55">
        <f t="shared" si="559"/>
        <v>1</v>
      </c>
      <c r="D9001" s="3" t="str">
        <f t="shared" si="560"/>
        <v>SÁBADO</v>
      </c>
      <c r="E9001" s="427"/>
      <c r="F9001" s="31">
        <f>IFERROR(VLOOKUP(E9001,BD!$L$2:$Q$244,2,0),0)</f>
        <v>0</v>
      </c>
      <c r="G9001" s="424"/>
      <c r="H9001" s="31">
        <f>+IFERROR(VLOOKUP(E9001,BD!$L$2:$Q$244,6,0),0)</f>
        <v>0</v>
      </c>
      <c r="I9001" s="626">
        <f>IFERROR(G9001*VLOOKUP($E9001,BD!$L$2:$Q$244,5,0),0)</f>
        <v>0</v>
      </c>
      <c r="J9001" s="3">
        <f t="shared" si="561"/>
        <v>1900</v>
      </c>
    </row>
    <row r="9002" spans="1:10" s="9" customFormat="1" x14ac:dyDescent="0.25">
      <c r="A9002" s="447"/>
      <c r="B9002" s="55" t="str">
        <f t="shared" si="558"/>
        <v>ENERO</v>
      </c>
      <c r="C9002" s="55">
        <f t="shared" si="559"/>
        <v>1</v>
      </c>
      <c r="D9002" s="3" t="str">
        <f t="shared" si="560"/>
        <v>SÁBADO</v>
      </c>
      <c r="E9002" s="427"/>
      <c r="F9002" s="31">
        <f>IFERROR(VLOOKUP(E9002,BD!$L$2:$Q$244,2,0),0)</f>
        <v>0</v>
      </c>
      <c r="G9002" s="424"/>
      <c r="H9002" s="31">
        <f>+IFERROR(VLOOKUP(E9002,BD!$L$2:$Q$244,6,0),0)</f>
        <v>0</v>
      </c>
      <c r="I9002" s="626">
        <f>IFERROR(G9002*VLOOKUP($E9002,BD!$L$2:$Q$244,5,0),0)</f>
        <v>0</v>
      </c>
      <c r="J9002" s="3">
        <f t="shared" si="561"/>
        <v>1900</v>
      </c>
    </row>
    <row r="9003" spans="1:10" s="9" customFormat="1" x14ac:dyDescent="0.25">
      <c r="A9003" s="447"/>
      <c r="B9003" s="55" t="str">
        <f t="shared" si="558"/>
        <v>ENERO</v>
      </c>
      <c r="C9003" s="55">
        <f t="shared" si="559"/>
        <v>1</v>
      </c>
      <c r="D9003" s="3" t="str">
        <f t="shared" si="560"/>
        <v>SÁBADO</v>
      </c>
      <c r="E9003" s="427"/>
      <c r="F9003" s="31">
        <f>IFERROR(VLOOKUP(E9003,BD!$L$2:$Q$244,2,0),0)</f>
        <v>0</v>
      </c>
      <c r="G9003" s="424"/>
      <c r="H9003" s="31">
        <f>+IFERROR(VLOOKUP(E9003,BD!$L$2:$Q$244,6,0),0)</f>
        <v>0</v>
      </c>
      <c r="I9003" s="626">
        <f>IFERROR(G9003*VLOOKUP($E9003,BD!$L$2:$Q$244,5,0),0)</f>
        <v>0</v>
      </c>
      <c r="J9003" s="3">
        <f t="shared" si="561"/>
        <v>1900</v>
      </c>
    </row>
    <row r="9004" spans="1:10" s="9" customFormat="1" x14ac:dyDescent="0.25">
      <c r="A9004" s="447"/>
      <c r="B9004" s="55" t="str">
        <f t="shared" si="558"/>
        <v>ENERO</v>
      </c>
      <c r="C9004" s="55">
        <f t="shared" si="559"/>
        <v>1</v>
      </c>
      <c r="D9004" s="3" t="str">
        <f t="shared" si="560"/>
        <v>SÁBADO</v>
      </c>
      <c r="E9004" s="427"/>
      <c r="F9004" s="31">
        <f>IFERROR(VLOOKUP(E9004,BD!$L$2:$Q$244,2,0),0)</f>
        <v>0</v>
      </c>
      <c r="G9004" s="424"/>
      <c r="H9004" s="31">
        <f>+IFERROR(VLOOKUP(E9004,BD!$L$2:$Q$244,6,0),0)</f>
        <v>0</v>
      </c>
      <c r="I9004" s="626">
        <f>IFERROR(G9004*VLOOKUP($E9004,BD!$L$2:$Q$244,5,0),0)</f>
        <v>0</v>
      </c>
      <c r="J9004" s="3">
        <f t="shared" si="561"/>
        <v>1900</v>
      </c>
    </row>
    <row r="9005" spans="1:10" s="9" customFormat="1" x14ac:dyDescent="0.25">
      <c r="A9005" s="447"/>
      <c r="B9005" s="55" t="str">
        <f t="shared" si="558"/>
        <v>ENERO</v>
      </c>
      <c r="C9005" s="55">
        <f t="shared" si="559"/>
        <v>1</v>
      </c>
      <c r="D9005" s="3" t="str">
        <f t="shared" si="560"/>
        <v>SÁBADO</v>
      </c>
      <c r="E9005" s="427"/>
      <c r="F9005" s="31">
        <f>IFERROR(VLOOKUP(E9005,BD!$L$2:$Q$244,2,0),0)</f>
        <v>0</v>
      </c>
      <c r="G9005" s="424"/>
      <c r="H9005" s="31">
        <f>+IFERROR(VLOOKUP(E9005,BD!$L$2:$Q$244,6,0),0)</f>
        <v>0</v>
      </c>
      <c r="I9005" s="626">
        <f>IFERROR(G9005*VLOOKUP($E9005,BD!$L$2:$Q$244,5,0),0)</f>
        <v>0</v>
      </c>
      <c r="J9005" s="3">
        <f t="shared" si="561"/>
        <v>1900</v>
      </c>
    </row>
    <row r="9006" spans="1:10" s="9" customFormat="1" x14ac:dyDescent="0.25">
      <c r="A9006" s="447"/>
      <c r="B9006" s="55" t="str">
        <f t="shared" si="558"/>
        <v>ENERO</v>
      </c>
      <c r="C9006" s="55">
        <f t="shared" si="559"/>
        <v>1</v>
      </c>
      <c r="D9006" s="3" t="str">
        <f t="shared" si="560"/>
        <v>SÁBADO</v>
      </c>
      <c r="E9006" s="427"/>
      <c r="F9006" s="31">
        <f>IFERROR(VLOOKUP(E9006,BD!$L$2:$Q$244,2,0),0)</f>
        <v>0</v>
      </c>
      <c r="G9006" s="424"/>
      <c r="H9006" s="31">
        <f>+IFERROR(VLOOKUP(E9006,BD!$L$2:$Q$244,6,0),0)</f>
        <v>0</v>
      </c>
      <c r="I9006" s="626">
        <f>IFERROR(G9006*VLOOKUP($E9006,BD!$L$2:$Q$244,5,0),0)</f>
        <v>0</v>
      </c>
      <c r="J9006" s="3">
        <f t="shared" si="561"/>
        <v>1900</v>
      </c>
    </row>
    <row r="9007" spans="1:10" s="9" customFormat="1" x14ac:dyDescent="0.25">
      <c r="A9007" s="447"/>
      <c r="B9007" s="55" t="str">
        <f t="shared" si="558"/>
        <v>ENERO</v>
      </c>
      <c r="C9007" s="55">
        <f t="shared" si="559"/>
        <v>1</v>
      </c>
      <c r="D9007" s="3" t="str">
        <f t="shared" si="560"/>
        <v>SÁBADO</v>
      </c>
      <c r="E9007" s="427"/>
      <c r="F9007" s="31">
        <f>IFERROR(VLOOKUP(E9007,BD!$L$2:$Q$244,2,0),0)</f>
        <v>0</v>
      </c>
      <c r="G9007" s="424"/>
      <c r="H9007" s="31">
        <f>+IFERROR(VLOOKUP(E9007,BD!$L$2:$Q$244,6,0),0)</f>
        <v>0</v>
      </c>
      <c r="I9007" s="626">
        <f>IFERROR(G9007*VLOOKUP($E9007,BD!$L$2:$Q$244,5,0),0)</f>
        <v>0</v>
      </c>
      <c r="J9007" s="3">
        <f t="shared" si="561"/>
        <v>1900</v>
      </c>
    </row>
    <row r="9008" spans="1:10" s="9" customFormat="1" x14ac:dyDescent="0.25">
      <c r="A9008" s="447"/>
      <c r="B9008" s="55" t="str">
        <f t="shared" si="558"/>
        <v>ENERO</v>
      </c>
      <c r="C9008" s="55">
        <f t="shared" si="559"/>
        <v>1</v>
      </c>
      <c r="D9008" s="3" t="str">
        <f t="shared" si="560"/>
        <v>SÁBADO</v>
      </c>
      <c r="E9008" s="427"/>
      <c r="F9008" s="31">
        <f>IFERROR(VLOOKUP(E9008,BD!$L$2:$Q$244,2,0),0)</f>
        <v>0</v>
      </c>
      <c r="G9008" s="424"/>
      <c r="H9008" s="31">
        <f>+IFERROR(VLOOKUP(E9008,BD!$L$2:$Q$244,6,0),0)</f>
        <v>0</v>
      </c>
      <c r="I9008" s="626">
        <f>IFERROR(G9008*VLOOKUP($E9008,BD!$L$2:$Q$244,5,0),0)</f>
        <v>0</v>
      </c>
      <c r="J9008" s="3">
        <f t="shared" si="561"/>
        <v>1900</v>
      </c>
    </row>
    <row r="9009" spans="1:10" s="9" customFormat="1" x14ac:dyDescent="0.25">
      <c r="A9009" s="447"/>
      <c r="B9009" s="55" t="str">
        <f t="shared" si="558"/>
        <v>ENERO</v>
      </c>
      <c r="C9009" s="55">
        <f t="shared" si="559"/>
        <v>1</v>
      </c>
      <c r="D9009" s="3" t="str">
        <f t="shared" si="560"/>
        <v>SÁBADO</v>
      </c>
      <c r="E9009" s="427"/>
      <c r="F9009" s="31">
        <f>IFERROR(VLOOKUP(E9009,BD!$L$2:$Q$244,2,0),0)</f>
        <v>0</v>
      </c>
      <c r="G9009" s="424"/>
      <c r="H9009" s="31">
        <f>+IFERROR(VLOOKUP(E9009,BD!$L$2:$Q$244,6,0),0)</f>
        <v>0</v>
      </c>
      <c r="I9009" s="626">
        <f>IFERROR(G9009*VLOOKUP($E9009,BD!$L$2:$Q$244,5,0),0)</f>
        <v>0</v>
      </c>
      <c r="J9009" s="3">
        <f t="shared" si="561"/>
        <v>1900</v>
      </c>
    </row>
    <row r="9010" spans="1:10" s="9" customFormat="1" x14ac:dyDescent="0.25">
      <c r="A9010" s="447"/>
      <c r="B9010" s="55" t="str">
        <f t="shared" si="558"/>
        <v>ENERO</v>
      </c>
      <c r="C9010" s="55">
        <f t="shared" si="559"/>
        <v>1</v>
      </c>
      <c r="D9010" s="3" t="str">
        <f t="shared" si="560"/>
        <v>SÁBADO</v>
      </c>
      <c r="E9010" s="427"/>
      <c r="F9010" s="31">
        <f>IFERROR(VLOOKUP(E9010,BD!$L$2:$Q$244,2,0),0)</f>
        <v>0</v>
      </c>
      <c r="G9010" s="424"/>
      <c r="H9010" s="31">
        <f>+IFERROR(VLOOKUP(E9010,BD!$L$2:$Q$244,6,0),0)</f>
        <v>0</v>
      </c>
      <c r="I9010" s="626">
        <f>IFERROR(G9010*VLOOKUP($E9010,BD!$L$2:$Q$244,5,0),0)</f>
        <v>0</v>
      </c>
      <c r="J9010" s="3">
        <f t="shared" si="561"/>
        <v>1900</v>
      </c>
    </row>
    <row r="9011" spans="1:10" s="9" customFormat="1" x14ac:dyDescent="0.25">
      <c r="A9011" s="447"/>
      <c r="B9011" s="55" t="str">
        <f t="shared" si="558"/>
        <v>ENERO</v>
      </c>
      <c r="C9011" s="55">
        <f t="shared" si="559"/>
        <v>1</v>
      </c>
      <c r="D9011" s="3" t="str">
        <f t="shared" si="560"/>
        <v>SÁBADO</v>
      </c>
      <c r="E9011" s="427"/>
      <c r="F9011" s="31">
        <f>IFERROR(VLOOKUP(E9011,BD!$L$2:$Q$244,2,0),0)</f>
        <v>0</v>
      </c>
      <c r="G9011" s="424"/>
      <c r="H9011" s="31">
        <f>+IFERROR(VLOOKUP(E9011,BD!$L$2:$Q$244,6,0),0)</f>
        <v>0</v>
      </c>
      <c r="I9011" s="626">
        <f>IFERROR(G9011*VLOOKUP($E9011,BD!$L$2:$Q$244,5,0),0)</f>
        <v>0</v>
      </c>
      <c r="J9011" s="3">
        <f t="shared" si="561"/>
        <v>1900</v>
      </c>
    </row>
    <row r="9012" spans="1:10" s="9" customFormat="1" x14ac:dyDescent="0.25">
      <c r="A9012" s="447"/>
      <c r="B9012" s="55" t="str">
        <f t="shared" si="558"/>
        <v>ENERO</v>
      </c>
      <c r="C9012" s="55">
        <f t="shared" si="559"/>
        <v>1</v>
      </c>
      <c r="D9012" s="3" t="str">
        <f t="shared" si="560"/>
        <v>SÁBADO</v>
      </c>
      <c r="E9012" s="427"/>
      <c r="F9012" s="31">
        <f>IFERROR(VLOOKUP(E9012,BD!$L$2:$Q$244,2,0),0)</f>
        <v>0</v>
      </c>
      <c r="G9012" s="424"/>
      <c r="H9012" s="31">
        <f>+IFERROR(VLOOKUP(E9012,BD!$L$2:$Q$244,6,0),0)</f>
        <v>0</v>
      </c>
      <c r="I9012" s="626">
        <f>IFERROR(G9012*VLOOKUP($E9012,BD!$L$2:$Q$244,5,0),0)</f>
        <v>0</v>
      </c>
      <c r="J9012" s="3">
        <f t="shared" si="561"/>
        <v>1900</v>
      </c>
    </row>
    <row r="9013" spans="1:10" s="9" customFormat="1" x14ac:dyDescent="0.25">
      <c r="A9013" s="447"/>
      <c r="B9013" s="55" t="str">
        <f t="shared" si="558"/>
        <v>ENERO</v>
      </c>
      <c r="C9013" s="55">
        <f t="shared" si="559"/>
        <v>1</v>
      </c>
      <c r="D9013" s="3" t="str">
        <f t="shared" si="560"/>
        <v>SÁBADO</v>
      </c>
      <c r="E9013" s="427"/>
      <c r="F9013" s="31">
        <f>IFERROR(VLOOKUP(E9013,BD!$L$2:$Q$244,2,0),0)</f>
        <v>0</v>
      </c>
      <c r="G9013" s="424"/>
      <c r="H9013" s="31">
        <f>+IFERROR(VLOOKUP(E9013,BD!$L$2:$Q$244,6,0),0)</f>
        <v>0</v>
      </c>
      <c r="I9013" s="626">
        <f>IFERROR(G9013*VLOOKUP($E9013,BD!$L$2:$Q$244,5,0),0)</f>
        <v>0</v>
      </c>
      <c r="J9013" s="3">
        <f t="shared" si="561"/>
        <v>1900</v>
      </c>
    </row>
    <row r="9014" spans="1:10" s="9" customFormat="1" x14ac:dyDescent="0.25">
      <c r="A9014" s="447"/>
      <c r="B9014" s="55" t="str">
        <f t="shared" si="558"/>
        <v>ENERO</v>
      </c>
      <c r="C9014" s="55">
        <f t="shared" si="559"/>
        <v>1</v>
      </c>
      <c r="D9014" s="3" t="str">
        <f t="shared" si="560"/>
        <v>SÁBADO</v>
      </c>
      <c r="E9014" s="427"/>
      <c r="F9014" s="31">
        <f>IFERROR(VLOOKUP(E9014,BD!$L$2:$Q$244,2,0),0)</f>
        <v>0</v>
      </c>
      <c r="G9014" s="424"/>
      <c r="H9014" s="31">
        <f>+IFERROR(VLOOKUP(E9014,BD!$L$2:$Q$244,6,0),0)</f>
        <v>0</v>
      </c>
      <c r="I9014" s="626">
        <f>IFERROR(G9014*VLOOKUP($E9014,BD!$L$2:$Q$244,5,0),0)</f>
        <v>0</v>
      </c>
      <c r="J9014" s="3">
        <f t="shared" si="561"/>
        <v>1900</v>
      </c>
    </row>
    <row r="9015" spans="1:10" s="9" customFormat="1" x14ac:dyDescent="0.25">
      <c r="A9015" s="447"/>
      <c r="B9015" s="55" t="str">
        <f t="shared" si="558"/>
        <v>ENERO</v>
      </c>
      <c r="C9015" s="55">
        <f t="shared" si="559"/>
        <v>1</v>
      </c>
      <c r="D9015" s="3" t="str">
        <f t="shared" si="560"/>
        <v>SÁBADO</v>
      </c>
      <c r="E9015" s="427"/>
      <c r="F9015" s="31">
        <f>IFERROR(VLOOKUP(E9015,BD!$L$2:$Q$244,2,0),0)</f>
        <v>0</v>
      </c>
      <c r="G9015" s="424"/>
      <c r="H9015" s="31">
        <f>+IFERROR(VLOOKUP(E9015,BD!$L$2:$Q$244,6,0),0)</f>
        <v>0</v>
      </c>
      <c r="I9015" s="626">
        <f>IFERROR(G9015*VLOOKUP($E9015,BD!$L$2:$Q$244,5,0),0)</f>
        <v>0</v>
      </c>
      <c r="J9015" s="3">
        <f t="shared" si="561"/>
        <v>1900</v>
      </c>
    </row>
    <row r="9016" spans="1:10" s="9" customFormat="1" x14ac:dyDescent="0.25">
      <c r="A9016" s="447"/>
      <c r="B9016" s="55" t="str">
        <f t="shared" si="558"/>
        <v>ENERO</v>
      </c>
      <c r="C9016" s="55">
        <f t="shared" si="559"/>
        <v>1</v>
      </c>
      <c r="D9016" s="3" t="str">
        <f t="shared" si="560"/>
        <v>SÁBADO</v>
      </c>
      <c r="E9016" s="427"/>
      <c r="F9016" s="31">
        <f>IFERROR(VLOOKUP(E9016,BD!$L$2:$Q$244,2,0),0)</f>
        <v>0</v>
      </c>
      <c r="G9016" s="424"/>
      <c r="H9016" s="31">
        <f>+IFERROR(VLOOKUP(E9016,BD!$L$2:$Q$244,6,0),0)</f>
        <v>0</v>
      </c>
      <c r="I9016" s="626">
        <f>IFERROR(G9016*VLOOKUP($E9016,BD!$L$2:$Q$244,5,0),0)</f>
        <v>0</v>
      </c>
      <c r="J9016" s="3">
        <f t="shared" si="561"/>
        <v>1900</v>
      </c>
    </row>
    <row r="9017" spans="1:10" s="9" customFormat="1" x14ac:dyDescent="0.25">
      <c r="A9017" s="447"/>
      <c r="B9017" s="55" t="str">
        <f t="shared" si="558"/>
        <v>ENERO</v>
      </c>
      <c r="C9017" s="55">
        <f t="shared" si="559"/>
        <v>1</v>
      </c>
      <c r="D9017" s="3" t="str">
        <f t="shared" si="560"/>
        <v>SÁBADO</v>
      </c>
      <c r="E9017" s="427"/>
      <c r="F9017" s="31">
        <f>IFERROR(VLOOKUP(E9017,BD!$L$2:$Q$244,2,0),0)</f>
        <v>0</v>
      </c>
      <c r="G9017" s="424"/>
      <c r="H9017" s="31">
        <f>+IFERROR(VLOOKUP(E9017,BD!$L$2:$Q$244,6,0),0)</f>
        <v>0</v>
      </c>
      <c r="I9017" s="626">
        <f>IFERROR(G9017*VLOOKUP($E9017,BD!$L$2:$Q$244,5,0),0)</f>
        <v>0</v>
      </c>
      <c r="J9017" s="3">
        <f t="shared" si="561"/>
        <v>1900</v>
      </c>
    </row>
    <row r="9018" spans="1:10" s="9" customFormat="1" x14ac:dyDescent="0.25">
      <c r="A9018" s="447"/>
      <c r="B9018" s="55" t="str">
        <f t="shared" si="558"/>
        <v>ENERO</v>
      </c>
      <c r="C9018" s="55">
        <f t="shared" si="559"/>
        <v>1</v>
      </c>
      <c r="D9018" s="3" t="str">
        <f t="shared" si="560"/>
        <v>SÁBADO</v>
      </c>
      <c r="E9018" s="427"/>
      <c r="F9018" s="31">
        <f>IFERROR(VLOOKUP(E9018,BD!$L$2:$Q$244,2,0),0)</f>
        <v>0</v>
      </c>
      <c r="G9018" s="424"/>
      <c r="H9018" s="31">
        <f>+IFERROR(VLOOKUP(E9018,BD!$L$2:$Q$244,6,0),0)</f>
        <v>0</v>
      </c>
      <c r="I9018" s="626">
        <f>IFERROR(G9018*VLOOKUP($E9018,BD!$L$2:$Q$244,5,0),0)</f>
        <v>0</v>
      </c>
      <c r="J9018" s="3">
        <f t="shared" si="561"/>
        <v>1900</v>
      </c>
    </row>
    <row r="9019" spans="1:10" s="9" customFormat="1" x14ac:dyDescent="0.25">
      <c r="A9019" s="447"/>
      <c r="B9019" s="55" t="str">
        <f t="shared" si="558"/>
        <v>ENERO</v>
      </c>
      <c r="C9019" s="55">
        <f t="shared" si="559"/>
        <v>1</v>
      </c>
      <c r="D9019" s="3" t="str">
        <f t="shared" si="560"/>
        <v>SÁBADO</v>
      </c>
      <c r="E9019" s="427"/>
      <c r="F9019" s="31">
        <f>IFERROR(VLOOKUP(E9019,BD!$L$2:$Q$244,2,0),0)</f>
        <v>0</v>
      </c>
      <c r="G9019" s="424"/>
      <c r="H9019" s="31">
        <f>+IFERROR(VLOOKUP(E9019,BD!$L$2:$Q$244,6,0),0)</f>
        <v>0</v>
      </c>
      <c r="I9019" s="626">
        <f>IFERROR(G9019*VLOOKUP($E9019,BD!$L$2:$Q$244,5,0),0)</f>
        <v>0</v>
      </c>
      <c r="J9019" s="3">
        <f t="shared" si="561"/>
        <v>1900</v>
      </c>
    </row>
    <row r="9020" spans="1:10" s="9" customFormat="1" x14ac:dyDescent="0.25">
      <c r="A9020" s="447"/>
      <c r="B9020" s="55" t="str">
        <f t="shared" ref="B9020:B9083" si="562">UPPER(TEXT(A9020,"MMMM"))</f>
        <v>ENERO</v>
      </c>
      <c r="C9020" s="55">
        <f t="shared" ref="C9020:C9083" si="563">WEEKNUM(A9020,16)</f>
        <v>1</v>
      </c>
      <c r="D9020" s="3" t="str">
        <f t="shared" ref="D9020:D9083" si="564">UPPER(TEXT(A9020,"DDDD"))</f>
        <v>SÁBADO</v>
      </c>
      <c r="E9020" s="427"/>
      <c r="F9020" s="31">
        <f>IFERROR(VLOOKUP(E9020,BD!$L$2:$Q$244,2,0),0)</f>
        <v>0</v>
      </c>
      <c r="G9020" s="424"/>
      <c r="H9020" s="31">
        <f>+IFERROR(VLOOKUP(E9020,BD!$L$2:$Q$244,6,0),0)</f>
        <v>0</v>
      </c>
      <c r="I9020" s="626">
        <f>IFERROR(G9020*VLOOKUP($E9020,BD!$L$2:$Q$244,5,0),0)</f>
        <v>0</v>
      </c>
      <c r="J9020" s="3">
        <f t="shared" ref="J9020:J9083" si="565">+YEAR(A9020)</f>
        <v>1900</v>
      </c>
    </row>
    <row r="9021" spans="1:10" s="9" customFormat="1" x14ac:dyDescent="0.25">
      <c r="A9021" s="447"/>
      <c r="B9021" s="55" t="str">
        <f t="shared" si="562"/>
        <v>ENERO</v>
      </c>
      <c r="C9021" s="55">
        <f t="shared" si="563"/>
        <v>1</v>
      </c>
      <c r="D9021" s="3" t="str">
        <f t="shared" si="564"/>
        <v>SÁBADO</v>
      </c>
      <c r="E9021" s="427"/>
      <c r="F9021" s="31">
        <f>IFERROR(VLOOKUP(E9021,BD!$L$2:$Q$244,2,0),0)</f>
        <v>0</v>
      </c>
      <c r="G9021" s="424"/>
      <c r="H9021" s="31">
        <f>+IFERROR(VLOOKUP(E9021,BD!$L$2:$Q$244,6,0),0)</f>
        <v>0</v>
      </c>
      <c r="I9021" s="626">
        <f>IFERROR(G9021*VLOOKUP($E9021,BD!$L$2:$Q$244,5,0),0)</f>
        <v>0</v>
      </c>
      <c r="J9021" s="3">
        <f t="shared" si="565"/>
        <v>1900</v>
      </c>
    </row>
    <row r="9022" spans="1:10" s="9" customFormat="1" x14ac:dyDescent="0.25">
      <c r="A9022" s="447"/>
      <c r="B9022" s="55" t="str">
        <f t="shared" si="562"/>
        <v>ENERO</v>
      </c>
      <c r="C9022" s="55">
        <f t="shared" si="563"/>
        <v>1</v>
      </c>
      <c r="D9022" s="3" t="str">
        <f t="shared" si="564"/>
        <v>SÁBADO</v>
      </c>
      <c r="E9022" s="427"/>
      <c r="F9022" s="31">
        <f>IFERROR(VLOOKUP(E9022,BD!$L$2:$Q$244,2,0),0)</f>
        <v>0</v>
      </c>
      <c r="G9022" s="424"/>
      <c r="H9022" s="31">
        <f>+IFERROR(VLOOKUP(E9022,BD!$L$2:$Q$244,6,0),0)</f>
        <v>0</v>
      </c>
      <c r="I9022" s="626">
        <f>IFERROR(G9022*VLOOKUP($E9022,BD!$L$2:$Q$244,5,0),0)</f>
        <v>0</v>
      </c>
      <c r="J9022" s="3">
        <f t="shared" si="565"/>
        <v>1900</v>
      </c>
    </row>
    <row r="9023" spans="1:10" s="9" customFormat="1" x14ac:dyDescent="0.25">
      <c r="A9023" s="447"/>
      <c r="B9023" s="55" t="str">
        <f t="shared" si="562"/>
        <v>ENERO</v>
      </c>
      <c r="C9023" s="55">
        <f t="shared" si="563"/>
        <v>1</v>
      </c>
      <c r="D9023" s="3" t="str">
        <f t="shared" si="564"/>
        <v>SÁBADO</v>
      </c>
      <c r="E9023" s="427"/>
      <c r="F9023" s="31">
        <f>IFERROR(VLOOKUP(E9023,BD!$L$2:$Q$244,2,0),0)</f>
        <v>0</v>
      </c>
      <c r="G9023" s="424"/>
      <c r="H9023" s="31">
        <f>+IFERROR(VLOOKUP(E9023,BD!$L$2:$Q$244,6,0),0)</f>
        <v>0</v>
      </c>
      <c r="I9023" s="626">
        <f>IFERROR(G9023*VLOOKUP($E9023,BD!$L$2:$Q$244,5,0),0)</f>
        <v>0</v>
      </c>
      <c r="J9023" s="3">
        <f t="shared" si="565"/>
        <v>1900</v>
      </c>
    </row>
    <row r="9024" spans="1:10" s="9" customFormat="1" x14ac:dyDescent="0.25">
      <c r="A9024" s="447"/>
      <c r="B9024" s="55" t="str">
        <f t="shared" si="562"/>
        <v>ENERO</v>
      </c>
      <c r="C9024" s="55">
        <f t="shared" si="563"/>
        <v>1</v>
      </c>
      <c r="D9024" s="3" t="str">
        <f t="shared" si="564"/>
        <v>SÁBADO</v>
      </c>
      <c r="E9024" s="427"/>
      <c r="F9024" s="31">
        <f>IFERROR(VLOOKUP(E9024,BD!$L$2:$Q$244,2,0),0)</f>
        <v>0</v>
      </c>
      <c r="G9024" s="424"/>
      <c r="H9024" s="31">
        <f>+IFERROR(VLOOKUP(E9024,BD!$L$2:$Q$244,6,0),0)</f>
        <v>0</v>
      </c>
      <c r="I9024" s="626">
        <f>IFERROR(G9024*VLOOKUP($E9024,BD!$L$2:$Q$244,5,0),0)</f>
        <v>0</v>
      </c>
      <c r="J9024" s="3">
        <f t="shared" si="565"/>
        <v>1900</v>
      </c>
    </row>
    <row r="9025" spans="1:10" s="9" customFormat="1" x14ac:dyDescent="0.25">
      <c r="A9025" s="447"/>
      <c r="B9025" s="55" t="str">
        <f t="shared" si="562"/>
        <v>ENERO</v>
      </c>
      <c r="C9025" s="55">
        <f t="shared" si="563"/>
        <v>1</v>
      </c>
      <c r="D9025" s="3" t="str">
        <f t="shared" si="564"/>
        <v>SÁBADO</v>
      </c>
      <c r="E9025" s="427"/>
      <c r="F9025" s="31">
        <f>IFERROR(VLOOKUP(E9025,BD!$L$2:$Q$244,2,0),0)</f>
        <v>0</v>
      </c>
      <c r="G9025" s="424"/>
      <c r="H9025" s="31">
        <f>+IFERROR(VLOOKUP(E9025,BD!$L$2:$Q$244,6,0),0)</f>
        <v>0</v>
      </c>
      <c r="I9025" s="626">
        <f>IFERROR(G9025*VLOOKUP($E9025,BD!$L$2:$Q$244,5,0),0)</f>
        <v>0</v>
      </c>
      <c r="J9025" s="3">
        <f t="shared" si="565"/>
        <v>1900</v>
      </c>
    </row>
    <row r="9026" spans="1:10" s="9" customFormat="1" x14ac:dyDescent="0.25">
      <c r="A9026" s="447"/>
      <c r="B9026" s="55" t="str">
        <f t="shared" si="562"/>
        <v>ENERO</v>
      </c>
      <c r="C9026" s="55">
        <f t="shared" si="563"/>
        <v>1</v>
      </c>
      <c r="D9026" s="3" t="str">
        <f t="shared" si="564"/>
        <v>SÁBADO</v>
      </c>
      <c r="E9026" s="427"/>
      <c r="F9026" s="31">
        <f>IFERROR(VLOOKUP(E9026,BD!$L$2:$Q$244,2,0),0)</f>
        <v>0</v>
      </c>
      <c r="G9026" s="424"/>
      <c r="H9026" s="31">
        <f>+IFERROR(VLOOKUP(E9026,BD!$L$2:$Q$244,6,0),0)</f>
        <v>0</v>
      </c>
      <c r="I9026" s="626">
        <f>IFERROR(G9026*VLOOKUP($E9026,BD!$L$2:$Q$244,5,0),0)</f>
        <v>0</v>
      </c>
      <c r="J9026" s="3">
        <f t="shared" si="565"/>
        <v>1900</v>
      </c>
    </row>
    <row r="9027" spans="1:10" s="9" customFormat="1" x14ac:dyDescent="0.25">
      <c r="A9027" s="447"/>
      <c r="B9027" s="55" t="str">
        <f t="shared" si="562"/>
        <v>ENERO</v>
      </c>
      <c r="C9027" s="55">
        <f t="shared" si="563"/>
        <v>1</v>
      </c>
      <c r="D9027" s="3" t="str">
        <f t="shared" si="564"/>
        <v>SÁBADO</v>
      </c>
      <c r="E9027" s="427"/>
      <c r="F9027" s="31">
        <f>IFERROR(VLOOKUP(E9027,BD!$L$2:$Q$244,2,0),0)</f>
        <v>0</v>
      </c>
      <c r="G9027" s="424"/>
      <c r="H9027" s="31">
        <f>+IFERROR(VLOOKUP(E9027,BD!$L$2:$Q$244,6,0),0)</f>
        <v>0</v>
      </c>
      <c r="I9027" s="626">
        <f>IFERROR(G9027*VLOOKUP($E9027,BD!$L$2:$Q$244,5,0),0)</f>
        <v>0</v>
      </c>
      <c r="J9027" s="3">
        <f t="shared" si="565"/>
        <v>1900</v>
      </c>
    </row>
    <row r="9028" spans="1:10" s="9" customFormat="1" x14ac:dyDescent="0.25">
      <c r="A9028" s="447"/>
      <c r="B9028" s="55" t="str">
        <f t="shared" si="562"/>
        <v>ENERO</v>
      </c>
      <c r="C9028" s="55">
        <f t="shared" si="563"/>
        <v>1</v>
      </c>
      <c r="D9028" s="3" t="str">
        <f t="shared" si="564"/>
        <v>SÁBADO</v>
      </c>
      <c r="E9028" s="427"/>
      <c r="F9028" s="31">
        <f>IFERROR(VLOOKUP(E9028,BD!$L$2:$Q$244,2,0),0)</f>
        <v>0</v>
      </c>
      <c r="G9028" s="424"/>
      <c r="H9028" s="31">
        <f>+IFERROR(VLOOKUP(E9028,BD!$L$2:$Q$244,6,0),0)</f>
        <v>0</v>
      </c>
      <c r="I9028" s="626">
        <f>IFERROR(G9028*VLOOKUP($E9028,BD!$L$2:$Q$244,5,0),0)</f>
        <v>0</v>
      </c>
      <c r="J9028" s="3">
        <f t="shared" si="565"/>
        <v>1900</v>
      </c>
    </row>
    <row r="9029" spans="1:10" s="9" customFormat="1" x14ac:dyDescent="0.25">
      <c r="A9029" s="447"/>
      <c r="B9029" s="55" t="str">
        <f t="shared" si="562"/>
        <v>ENERO</v>
      </c>
      <c r="C9029" s="55">
        <f t="shared" si="563"/>
        <v>1</v>
      </c>
      <c r="D9029" s="3" t="str">
        <f t="shared" si="564"/>
        <v>SÁBADO</v>
      </c>
      <c r="E9029" s="427"/>
      <c r="F9029" s="31">
        <f>IFERROR(VLOOKUP(E9029,BD!$L$2:$Q$244,2,0),0)</f>
        <v>0</v>
      </c>
      <c r="G9029" s="424"/>
      <c r="H9029" s="31">
        <f>+IFERROR(VLOOKUP(E9029,BD!$L$2:$Q$244,6,0),0)</f>
        <v>0</v>
      </c>
      <c r="I9029" s="626">
        <f>IFERROR(G9029*VLOOKUP($E9029,BD!$L$2:$Q$244,5,0),0)</f>
        <v>0</v>
      </c>
      <c r="J9029" s="3">
        <f t="shared" si="565"/>
        <v>1900</v>
      </c>
    </row>
    <row r="9030" spans="1:10" s="9" customFormat="1" x14ac:dyDescent="0.25">
      <c r="A9030" s="447"/>
      <c r="B9030" s="55" t="str">
        <f t="shared" si="562"/>
        <v>ENERO</v>
      </c>
      <c r="C9030" s="55">
        <f t="shared" si="563"/>
        <v>1</v>
      </c>
      <c r="D9030" s="3" t="str">
        <f t="shared" si="564"/>
        <v>SÁBADO</v>
      </c>
      <c r="E9030" s="427"/>
      <c r="F9030" s="31">
        <f>IFERROR(VLOOKUP(E9030,BD!$L$2:$Q$244,2,0),0)</f>
        <v>0</v>
      </c>
      <c r="G9030" s="424"/>
      <c r="H9030" s="31">
        <f>+IFERROR(VLOOKUP(E9030,BD!$L$2:$Q$244,6,0),0)</f>
        <v>0</v>
      </c>
      <c r="I9030" s="626">
        <f>IFERROR(G9030*VLOOKUP($E9030,BD!$L$2:$Q$244,5,0),0)</f>
        <v>0</v>
      </c>
      <c r="J9030" s="3">
        <f t="shared" si="565"/>
        <v>1900</v>
      </c>
    </row>
    <row r="9031" spans="1:10" s="9" customFormat="1" x14ac:dyDescent="0.25">
      <c r="A9031" s="447"/>
      <c r="B9031" s="55" t="str">
        <f t="shared" si="562"/>
        <v>ENERO</v>
      </c>
      <c r="C9031" s="55">
        <f t="shared" si="563"/>
        <v>1</v>
      </c>
      <c r="D9031" s="3" t="str">
        <f t="shared" si="564"/>
        <v>SÁBADO</v>
      </c>
      <c r="E9031" s="427"/>
      <c r="F9031" s="31">
        <f>IFERROR(VLOOKUP(E9031,BD!$L$2:$Q$244,2,0),0)</f>
        <v>0</v>
      </c>
      <c r="G9031" s="424"/>
      <c r="H9031" s="31">
        <f>+IFERROR(VLOOKUP(E9031,BD!$L$2:$Q$244,6,0),0)</f>
        <v>0</v>
      </c>
      <c r="I9031" s="626">
        <f>IFERROR(G9031*VLOOKUP($E9031,BD!$L$2:$Q$244,5,0),0)</f>
        <v>0</v>
      </c>
      <c r="J9031" s="3">
        <f t="shared" si="565"/>
        <v>1900</v>
      </c>
    </row>
    <row r="9032" spans="1:10" s="9" customFormat="1" x14ac:dyDescent="0.25">
      <c r="A9032" s="447"/>
      <c r="B9032" s="55" t="str">
        <f t="shared" si="562"/>
        <v>ENERO</v>
      </c>
      <c r="C9032" s="55">
        <f t="shared" si="563"/>
        <v>1</v>
      </c>
      <c r="D9032" s="3" t="str">
        <f t="shared" si="564"/>
        <v>SÁBADO</v>
      </c>
      <c r="E9032" s="427"/>
      <c r="F9032" s="31">
        <f>IFERROR(VLOOKUP(E9032,BD!$L$2:$Q$244,2,0),0)</f>
        <v>0</v>
      </c>
      <c r="G9032" s="424"/>
      <c r="H9032" s="31">
        <f>+IFERROR(VLOOKUP(E9032,BD!$L$2:$Q$244,6,0),0)</f>
        <v>0</v>
      </c>
      <c r="I9032" s="626">
        <f>IFERROR(G9032*VLOOKUP($E9032,BD!$L$2:$Q$244,5,0),0)</f>
        <v>0</v>
      </c>
      <c r="J9032" s="3">
        <f t="shared" si="565"/>
        <v>1900</v>
      </c>
    </row>
    <row r="9033" spans="1:10" s="9" customFormat="1" x14ac:dyDescent="0.25">
      <c r="A9033" s="447"/>
      <c r="B9033" s="55" t="str">
        <f t="shared" si="562"/>
        <v>ENERO</v>
      </c>
      <c r="C9033" s="55">
        <f t="shared" si="563"/>
        <v>1</v>
      </c>
      <c r="D9033" s="3" t="str">
        <f t="shared" si="564"/>
        <v>SÁBADO</v>
      </c>
      <c r="E9033" s="427"/>
      <c r="F9033" s="31">
        <f>IFERROR(VLOOKUP(E9033,BD!$L$2:$Q$244,2,0),0)</f>
        <v>0</v>
      </c>
      <c r="G9033" s="424"/>
      <c r="H9033" s="31">
        <f>+IFERROR(VLOOKUP(E9033,BD!$L$2:$Q$244,6,0),0)</f>
        <v>0</v>
      </c>
      <c r="I9033" s="626">
        <f>IFERROR(G9033*VLOOKUP($E9033,BD!$L$2:$Q$244,5,0),0)</f>
        <v>0</v>
      </c>
      <c r="J9033" s="3">
        <f t="shared" si="565"/>
        <v>1900</v>
      </c>
    </row>
    <row r="9034" spans="1:10" s="9" customFormat="1" x14ac:dyDescent="0.25">
      <c r="A9034" s="447"/>
      <c r="B9034" s="55" t="str">
        <f t="shared" si="562"/>
        <v>ENERO</v>
      </c>
      <c r="C9034" s="55">
        <f t="shared" si="563"/>
        <v>1</v>
      </c>
      <c r="D9034" s="3" t="str">
        <f t="shared" si="564"/>
        <v>SÁBADO</v>
      </c>
      <c r="E9034" s="427"/>
      <c r="F9034" s="31">
        <f>IFERROR(VLOOKUP(E9034,BD!$L$2:$Q$244,2,0),0)</f>
        <v>0</v>
      </c>
      <c r="G9034" s="424"/>
      <c r="H9034" s="31">
        <f>+IFERROR(VLOOKUP(E9034,BD!$L$2:$Q$244,6,0),0)</f>
        <v>0</v>
      </c>
      <c r="I9034" s="626">
        <f>IFERROR(G9034*VLOOKUP($E9034,BD!$L$2:$Q$244,5,0),0)</f>
        <v>0</v>
      </c>
      <c r="J9034" s="3">
        <f t="shared" si="565"/>
        <v>1900</v>
      </c>
    </row>
    <row r="9035" spans="1:10" s="9" customFormat="1" x14ac:dyDescent="0.25">
      <c r="A9035" s="447"/>
      <c r="B9035" s="55" t="str">
        <f t="shared" si="562"/>
        <v>ENERO</v>
      </c>
      <c r="C9035" s="55">
        <f t="shared" si="563"/>
        <v>1</v>
      </c>
      <c r="D9035" s="3" t="str">
        <f t="shared" si="564"/>
        <v>SÁBADO</v>
      </c>
      <c r="E9035" s="427"/>
      <c r="F9035" s="31">
        <f>IFERROR(VLOOKUP(E9035,BD!$L$2:$Q$244,2,0),0)</f>
        <v>0</v>
      </c>
      <c r="G9035" s="424"/>
      <c r="H9035" s="31">
        <f>+IFERROR(VLOOKUP(E9035,BD!$L$2:$Q$244,6,0),0)</f>
        <v>0</v>
      </c>
      <c r="I9035" s="626">
        <f>IFERROR(G9035*VLOOKUP($E9035,BD!$L$2:$Q$244,5,0),0)</f>
        <v>0</v>
      </c>
      <c r="J9035" s="3">
        <f t="shared" si="565"/>
        <v>1900</v>
      </c>
    </row>
    <row r="9036" spans="1:10" s="9" customFormat="1" x14ac:dyDescent="0.25">
      <c r="A9036" s="447"/>
      <c r="B9036" s="55" t="str">
        <f t="shared" si="562"/>
        <v>ENERO</v>
      </c>
      <c r="C9036" s="55">
        <f t="shared" si="563"/>
        <v>1</v>
      </c>
      <c r="D9036" s="3" t="str">
        <f t="shared" si="564"/>
        <v>SÁBADO</v>
      </c>
      <c r="E9036" s="427"/>
      <c r="F9036" s="31">
        <f>IFERROR(VLOOKUP(E9036,BD!$L$2:$Q$244,2,0),0)</f>
        <v>0</v>
      </c>
      <c r="G9036" s="424"/>
      <c r="H9036" s="31">
        <f>+IFERROR(VLOOKUP(E9036,BD!$L$2:$Q$244,6,0),0)</f>
        <v>0</v>
      </c>
      <c r="I9036" s="626">
        <f>IFERROR(G9036*VLOOKUP($E9036,BD!$L$2:$Q$244,5,0),0)</f>
        <v>0</v>
      </c>
      <c r="J9036" s="3">
        <f t="shared" si="565"/>
        <v>1900</v>
      </c>
    </row>
    <row r="9037" spans="1:10" s="9" customFormat="1" x14ac:dyDescent="0.25">
      <c r="A9037" s="447"/>
      <c r="B9037" s="55" t="str">
        <f t="shared" si="562"/>
        <v>ENERO</v>
      </c>
      <c r="C9037" s="55">
        <f t="shared" si="563"/>
        <v>1</v>
      </c>
      <c r="D9037" s="3" t="str">
        <f t="shared" si="564"/>
        <v>SÁBADO</v>
      </c>
      <c r="E9037" s="427"/>
      <c r="F9037" s="31">
        <f>IFERROR(VLOOKUP(E9037,BD!$L$2:$Q$244,2,0),0)</f>
        <v>0</v>
      </c>
      <c r="G9037" s="424"/>
      <c r="H9037" s="31">
        <f>+IFERROR(VLOOKUP(E9037,BD!$L$2:$Q$244,6,0),0)</f>
        <v>0</v>
      </c>
      <c r="I9037" s="626">
        <f>IFERROR(G9037*VLOOKUP($E9037,BD!$L$2:$Q$244,5,0),0)</f>
        <v>0</v>
      </c>
      <c r="J9037" s="3">
        <f t="shared" si="565"/>
        <v>1900</v>
      </c>
    </row>
    <row r="9038" spans="1:10" s="9" customFormat="1" x14ac:dyDescent="0.25">
      <c r="A9038" s="447"/>
      <c r="B9038" s="55" t="str">
        <f t="shared" si="562"/>
        <v>ENERO</v>
      </c>
      <c r="C9038" s="55">
        <f t="shared" si="563"/>
        <v>1</v>
      </c>
      <c r="D9038" s="3" t="str">
        <f t="shared" si="564"/>
        <v>SÁBADO</v>
      </c>
      <c r="E9038" s="427"/>
      <c r="F9038" s="31">
        <f>IFERROR(VLOOKUP(E9038,BD!$L$2:$Q$244,2,0),0)</f>
        <v>0</v>
      </c>
      <c r="G9038" s="424"/>
      <c r="H9038" s="31">
        <f>+IFERROR(VLOOKUP(E9038,BD!$L$2:$Q$244,6,0),0)</f>
        <v>0</v>
      </c>
      <c r="I9038" s="626">
        <f>IFERROR(G9038*VLOOKUP($E9038,BD!$L$2:$Q$244,5,0),0)</f>
        <v>0</v>
      </c>
      <c r="J9038" s="3">
        <f t="shared" si="565"/>
        <v>1900</v>
      </c>
    </row>
    <row r="9039" spans="1:10" s="9" customFormat="1" x14ac:dyDescent="0.25">
      <c r="A9039" s="447"/>
      <c r="B9039" s="55" t="str">
        <f t="shared" si="562"/>
        <v>ENERO</v>
      </c>
      <c r="C9039" s="55">
        <f t="shared" si="563"/>
        <v>1</v>
      </c>
      <c r="D9039" s="3" t="str">
        <f t="shared" si="564"/>
        <v>SÁBADO</v>
      </c>
      <c r="E9039" s="427"/>
      <c r="F9039" s="31">
        <f>IFERROR(VLOOKUP(E9039,BD!$L$2:$Q$244,2,0),0)</f>
        <v>0</v>
      </c>
      <c r="G9039" s="424"/>
      <c r="H9039" s="31">
        <f>+IFERROR(VLOOKUP(E9039,BD!$L$2:$Q$244,6,0),0)</f>
        <v>0</v>
      </c>
      <c r="I9039" s="626">
        <f>IFERROR(G9039*VLOOKUP($E9039,BD!$L$2:$Q$244,5,0),0)</f>
        <v>0</v>
      </c>
      <c r="J9039" s="3">
        <f t="shared" si="565"/>
        <v>1900</v>
      </c>
    </row>
    <row r="9040" spans="1:10" s="9" customFormat="1" x14ac:dyDescent="0.25">
      <c r="A9040" s="447"/>
      <c r="B9040" s="55" t="str">
        <f t="shared" si="562"/>
        <v>ENERO</v>
      </c>
      <c r="C9040" s="55">
        <f t="shared" si="563"/>
        <v>1</v>
      </c>
      <c r="D9040" s="3" t="str">
        <f t="shared" si="564"/>
        <v>SÁBADO</v>
      </c>
      <c r="E9040" s="427"/>
      <c r="F9040" s="31">
        <f>IFERROR(VLOOKUP(E9040,BD!$L$2:$Q$244,2,0),0)</f>
        <v>0</v>
      </c>
      <c r="G9040" s="424"/>
      <c r="H9040" s="31">
        <f>+IFERROR(VLOOKUP(E9040,BD!$L$2:$Q$244,6,0),0)</f>
        <v>0</v>
      </c>
      <c r="I9040" s="626">
        <f>IFERROR(G9040*VLOOKUP($E9040,BD!$L$2:$Q$244,5,0),0)</f>
        <v>0</v>
      </c>
      <c r="J9040" s="3">
        <f t="shared" si="565"/>
        <v>1900</v>
      </c>
    </row>
    <row r="9041" spans="1:10" s="9" customFormat="1" x14ac:dyDescent="0.25">
      <c r="A9041" s="447"/>
      <c r="B9041" s="55" t="str">
        <f t="shared" si="562"/>
        <v>ENERO</v>
      </c>
      <c r="C9041" s="55">
        <f t="shared" si="563"/>
        <v>1</v>
      </c>
      <c r="D9041" s="3" t="str">
        <f t="shared" si="564"/>
        <v>SÁBADO</v>
      </c>
      <c r="E9041" s="427"/>
      <c r="F9041" s="31">
        <f>IFERROR(VLOOKUP(E9041,BD!$L$2:$Q$244,2,0),0)</f>
        <v>0</v>
      </c>
      <c r="G9041" s="424"/>
      <c r="H9041" s="31">
        <f>+IFERROR(VLOOKUP(E9041,BD!$L$2:$Q$244,6,0),0)</f>
        <v>0</v>
      </c>
      <c r="I9041" s="626">
        <f>IFERROR(G9041*VLOOKUP($E9041,BD!$L$2:$Q$244,5,0),0)</f>
        <v>0</v>
      </c>
      <c r="J9041" s="3">
        <f t="shared" si="565"/>
        <v>1900</v>
      </c>
    </row>
    <row r="9042" spans="1:10" s="9" customFormat="1" x14ac:dyDescent="0.25">
      <c r="A9042" s="447"/>
      <c r="B9042" s="55" t="str">
        <f t="shared" si="562"/>
        <v>ENERO</v>
      </c>
      <c r="C9042" s="55">
        <f t="shared" si="563"/>
        <v>1</v>
      </c>
      <c r="D9042" s="3" t="str">
        <f t="shared" si="564"/>
        <v>SÁBADO</v>
      </c>
      <c r="E9042" s="427"/>
      <c r="F9042" s="31">
        <f>IFERROR(VLOOKUP(E9042,BD!$L$2:$Q$244,2,0),0)</f>
        <v>0</v>
      </c>
      <c r="G9042" s="424"/>
      <c r="H9042" s="31">
        <f>+IFERROR(VLOOKUP(E9042,BD!$L$2:$Q$244,6,0),0)</f>
        <v>0</v>
      </c>
      <c r="I9042" s="626">
        <f>IFERROR(G9042*VLOOKUP($E9042,BD!$L$2:$Q$244,5,0),0)</f>
        <v>0</v>
      </c>
      <c r="J9042" s="3">
        <f t="shared" si="565"/>
        <v>1900</v>
      </c>
    </row>
    <row r="9043" spans="1:10" s="9" customFormat="1" x14ac:dyDescent="0.25">
      <c r="A9043" s="447"/>
      <c r="B9043" s="55" t="str">
        <f t="shared" si="562"/>
        <v>ENERO</v>
      </c>
      <c r="C9043" s="55">
        <f t="shared" si="563"/>
        <v>1</v>
      </c>
      <c r="D9043" s="3" t="str">
        <f t="shared" si="564"/>
        <v>SÁBADO</v>
      </c>
      <c r="E9043" s="427"/>
      <c r="F9043" s="31">
        <f>IFERROR(VLOOKUP(E9043,BD!$L$2:$Q$244,2,0),0)</f>
        <v>0</v>
      </c>
      <c r="G9043" s="424"/>
      <c r="H9043" s="31">
        <f>+IFERROR(VLOOKUP(E9043,BD!$L$2:$Q$244,6,0),0)</f>
        <v>0</v>
      </c>
      <c r="I9043" s="626">
        <f>IFERROR(G9043*VLOOKUP($E9043,BD!$L$2:$Q$244,5,0),0)</f>
        <v>0</v>
      </c>
      <c r="J9043" s="3">
        <f t="shared" si="565"/>
        <v>1900</v>
      </c>
    </row>
    <row r="9044" spans="1:10" s="9" customFormat="1" x14ac:dyDescent="0.25">
      <c r="A9044" s="447"/>
      <c r="B9044" s="55" t="str">
        <f t="shared" si="562"/>
        <v>ENERO</v>
      </c>
      <c r="C9044" s="55">
        <f t="shared" si="563"/>
        <v>1</v>
      </c>
      <c r="D9044" s="3" t="str">
        <f t="shared" si="564"/>
        <v>SÁBADO</v>
      </c>
      <c r="E9044" s="427"/>
      <c r="F9044" s="31">
        <f>IFERROR(VLOOKUP(E9044,BD!$L$2:$Q$244,2,0),0)</f>
        <v>0</v>
      </c>
      <c r="G9044" s="424"/>
      <c r="H9044" s="31">
        <f>+IFERROR(VLOOKUP(E9044,BD!$L$2:$Q$244,6,0),0)</f>
        <v>0</v>
      </c>
      <c r="I9044" s="626">
        <f>IFERROR(G9044*VLOOKUP($E9044,BD!$L$2:$Q$244,5,0),0)</f>
        <v>0</v>
      </c>
      <c r="J9044" s="3">
        <f t="shared" si="565"/>
        <v>1900</v>
      </c>
    </row>
    <row r="9045" spans="1:10" s="9" customFormat="1" x14ac:dyDescent="0.25">
      <c r="A9045" s="447"/>
      <c r="B9045" s="55" t="str">
        <f t="shared" si="562"/>
        <v>ENERO</v>
      </c>
      <c r="C9045" s="55">
        <f t="shared" si="563"/>
        <v>1</v>
      </c>
      <c r="D9045" s="3" t="str">
        <f t="shared" si="564"/>
        <v>SÁBADO</v>
      </c>
      <c r="E9045" s="427"/>
      <c r="F9045" s="31">
        <f>IFERROR(VLOOKUP(E9045,BD!$L$2:$Q$244,2,0),0)</f>
        <v>0</v>
      </c>
      <c r="G9045" s="424"/>
      <c r="H9045" s="31">
        <f>+IFERROR(VLOOKUP(E9045,BD!$L$2:$Q$244,6,0),0)</f>
        <v>0</v>
      </c>
      <c r="I9045" s="626">
        <f>IFERROR(G9045*VLOOKUP($E9045,BD!$L$2:$Q$244,5,0),0)</f>
        <v>0</v>
      </c>
      <c r="J9045" s="3">
        <f t="shared" si="565"/>
        <v>1900</v>
      </c>
    </row>
    <row r="9046" spans="1:10" s="9" customFormat="1" x14ac:dyDescent="0.25">
      <c r="A9046" s="447"/>
      <c r="B9046" s="55" t="str">
        <f t="shared" si="562"/>
        <v>ENERO</v>
      </c>
      <c r="C9046" s="55">
        <f t="shared" si="563"/>
        <v>1</v>
      </c>
      <c r="D9046" s="3" t="str">
        <f t="shared" si="564"/>
        <v>SÁBADO</v>
      </c>
      <c r="E9046" s="427"/>
      <c r="F9046" s="31">
        <f>IFERROR(VLOOKUP(E9046,BD!$L$2:$Q$244,2,0),0)</f>
        <v>0</v>
      </c>
      <c r="G9046" s="424"/>
      <c r="H9046" s="31">
        <f>+IFERROR(VLOOKUP(E9046,BD!$L$2:$Q$244,6,0),0)</f>
        <v>0</v>
      </c>
      <c r="I9046" s="626">
        <f>IFERROR(G9046*VLOOKUP($E9046,BD!$L$2:$Q$244,5,0),0)</f>
        <v>0</v>
      </c>
      <c r="J9046" s="3">
        <f t="shared" si="565"/>
        <v>1900</v>
      </c>
    </row>
    <row r="9047" spans="1:10" s="9" customFormat="1" x14ac:dyDescent="0.25">
      <c r="A9047" s="447"/>
      <c r="B9047" s="55" t="str">
        <f t="shared" si="562"/>
        <v>ENERO</v>
      </c>
      <c r="C9047" s="55">
        <f t="shared" si="563"/>
        <v>1</v>
      </c>
      <c r="D9047" s="3" t="str">
        <f t="shared" si="564"/>
        <v>SÁBADO</v>
      </c>
      <c r="E9047" s="427"/>
      <c r="F9047" s="31">
        <f>IFERROR(VLOOKUP(E9047,BD!$L$2:$Q$244,2,0),0)</f>
        <v>0</v>
      </c>
      <c r="G9047" s="424"/>
      <c r="H9047" s="31">
        <f>+IFERROR(VLOOKUP(E9047,BD!$L$2:$Q$244,6,0),0)</f>
        <v>0</v>
      </c>
      <c r="I9047" s="626">
        <f>IFERROR(G9047*VLOOKUP($E9047,BD!$L$2:$Q$244,5,0),0)</f>
        <v>0</v>
      </c>
      <c r="J9047" s="3">
        <f t="shared" si="565"/>
        <v>1900</v>
      </c>
    </row>
    <row r="9048" spans="1:10" s="9" customFormat="1" x14ac:dyDescent="0.25">
      <c r="A9048" s="447"/>
      <c r="B9048" s="55" t="str">
        <f t="shared" si="562"/>
        <v>ENERO</v>
      </c>
      <c r="C9048" s="55">
        <f t="shared" si="563"/>
        <v>1</v>
      </c>
      <c r="D9048" s="3" t="str">
        <f t="shared" si="564"/>
        <v>SÁBADO</v>
      </c>
      <c r="E9048" s="427"/>
      <c r="F9048" s="31">
        <f>IFERROR(VLOOKUP(E9048,BD!$L$2:$Q$244,2,0),0)</f>
        <v>0</v>
      </c>
      <c r="G9048" s="424"/>
      <c r="H9048" s="31">
        <f>+IFERROR(VLOOKUP(E9048,BD!$L$2:$Q$244,6,0),0)</f>
        <v>0</v>
      </c>
      <c r="I9048" s="626">
        <f>IFERROR(G9048*VLOOKUP($E9048,BD!$L$2:$Q$244,5,0),0)</f>
        <v>0</v>
      </c>
      <c r="J9048" s="3">
        <f t="shared" si="565"/>
        <v>1900</v>
      </c>
    </row>
    <row r="9049" spans="1:10" s="9" customFormat="1" x14ac:dyDescent="0.25">
      <c r="A9049" s="447"/>
      <c r="B9049" s="55" t="str">
        <f t="shared" si="562"/>
        <v>ENERO</v>
      </c>
      <c r="C9049" s="55">
        <f t="shared" si="563"/>
        <v>1</v>
      </c>
      <c r="D9049" s="3" t="str">
        <f t="shared" si="564"/>
        <v>SÁBADO</v>
      </c>
      <c r="E9049" s="427"/>
      <c r="F9049" s="31">
        <f>IFERROR(VLOOKUP(E9049,BD!$L$2:$Q$244,2,0),0)</f>
        <v>0</v>
      </c>
      <c r="G9049" s="424"/>
      <c r="H9049" s="31">
        <f>+IFERROR(VLOOKUP(E9049,BD!$L$2:$Q$244,6,0),0)</f>
        <v>0</v>
      </c>
      <c r="I9049" s="626">
        <f>IFERROR(G9049*VLOOKUP($E9049,BD!$L$2:$Q$244,5,0),0)</f>
        <v>0</v>
      </c>
      <c r="J9049" s="3">
        <f t="shared" si="565"/>
        <v>1900</v>
      </c>
    </row>
    <row r="9050" spans="1:10" s="9" customFormat="1" x14ac:dyDescent="0.25">
      <c r="A9050" s="447"/>
      <c r="B9050" s="55" t="str">
        <f t="shared" si="562"/>
        <v>ENERO</v>
      </c>
      <c r="C9050" s="55">
        <f t="shared" si="563"/>
        <v>1</v>
      </c>
      <c r="D9050" s="3" t="str">
        <f t="shared" si="564"/>
        <v>SÁBADO</v>
      </c>
      <c r="E9050" s="427"/>
      <c r="F9050" s="31">
        <f>IFERROR(VLOOKUP(E9050,BD!$L$2:$Q$244,2,0),0)</f>
        <v>0</v>
      </c>
      <c r="G9050" s="424"/>
      <c r="H9050" s="31">
        <f>+IFERROR(VLOOKUP(E9050,BD!$L$2:$Q$244,6,0),0)</f>
        <v>0</v>
      </c>
      <c r="I9050" s="626">
        <f>IFERROR(G9050*VLOOKUP($E9050,BD!$L$2:$Q$244,5,0),0)</f>
        <v>0</v>
      </c>
      <c r="J9050" s="3">
        <f t="shared" si="565"/>
        <v>1900</v>
      </c>
    </row>
    <row r="9051" spans="1:10" s="9" customFormat="1" x14ac:dyDescent="0.25">
      <c r="A9051" s="447"/>
      <c r="B9051" s="55" t="str">
        <f t="shared" si="562"/>
        <v>ENERO</v>
      </c>
      <c r="C9051" s="55">
        <f t="shared" si="563"/>
        <v>1</v>
      </c>
      <c r="D9051" s="3" t="str">
        <f t="shared" si="564"/>
        <v>SÁBADO</v>
      </c>
      <c r="E9051" s="427"/>
      <c r="F9051" s="31">
        <f>IFERROR(VLOOKUP(E9051,BD!$L$2:$Q$244,2,0),0)</f>
        <v>0</v>
      </c>
      <c r="G9051" s="424"/>
      <c r="H9051" s="31">
        <f>+IFERROR(VLOOKUP(E9051,BD!$L$2:$Q$244,6,0),0)</f>
        <v>0</v>
      </c>
      <c r="I9051" s="626">
        <f>IFERROR(G9051*VLOOKUP($E9051,BD!$L$2:$Q$244,5,0),0)</f>
        <v>0</v>
      </c>
      <c r="J9051" s="3">
        <f t="shared" si="565"/>
        <v>1900</v>
      </c>
    </row>
    <row r="9052" spans="1:10" s="9" customFormat="1" x14ac:dyDescent="0.25">
      <c r="A9052" s="447"/>
      <c r="B9052" s="55" t="str">
        <f t="shared" si="562"/>
        <v>ENERO</v>
      </c>
      <c r="C9052" s="55">
        <f t="shared" si="563"/>
        <v>1</v>
      </c>
      <c r="D9052" s="3" t="str">
        <f t="shared" si="564"/>
        <v>SÁBADO</v>
      </c>
      <c r="E9052" s="427"/>
      <c r="F9052" s="31">
        <f>IFERROR(VLOOKUP(E9052,BD!$L$2:$Q$244,2,0),0)</f>
        <v>0</v>
      </c>
      <c r="G9052" s="424"/>
      <c r="H9052" s="31">
        <f>+IFERROR(VLOOKUP(E9052,BD!$L$2:$Q$244,6,0),0)</f>
        <v>0</v>
      </c>
      <c r="I9052" s="626">
        <f>IFERROR(G9052*VLOOKUP($E9052,BD!$L$2:$Q$244,5,0),0)</f>
        <v>0</v>
      </c>
      <c r="J9052" s="3">
        <f t="shared" si="565"/>
        <v>1900</v>
      </c>
    </row>
    <row r="9053" spans="1:10" s="9" customFormat="1" x14ac:dyDescent="0.25">
      <c r="A9053" s="447"/>
      <c r="B9053" s="55" t="str">
        <f t="shared" si="562"/>
        <v>ENERO</v>
      </c>
      <c r="C9053" s="55">
        <f t="shared" si="563"/>
        <v>1</v>
      </c>
      <c r="D9053" s="3" t="str">
        <f t="shared" si="564"/>
        <v>SÁBADO</v>
      </c>
      <c r="E9053" s="427"/>
      <c r="F9053" s="31">
        <f>IFERROR(VLOOKUP(E9053,BD!$L$2:$Q$244,2,0),0)</f>
        <v>0</v>
      </c>
      <c r="G9053" s="424"/>
      <c r="H9053" s="31">
        <f>+IFERROR(VLOOKUP(E9053,BD!$L$2:$Q$244,6,0),0)</f>
        <v>0</v>
      </c>
      <c r="I9053" s="626">
        <f>IFERROR(G9053*VLOOKUP($E9053,BD!$L$2:$Q$244,5,0),0)</f>
        <v>0</v>
      </c>
      <c r="J9053" s="3">
        <f t="shared" si="565"/>
        <v>1900</v>
      </c>
    </row>
    <row r="9054" spans="1:10" s="9" customFormat="1" x14ac:dyDescent="0.25">
      <c r="A9054" s="447"/>
      <c r="B9054" s="55" t="str">
        <f t="shared" si="562"/>
        <v>ENERO</v>
      </c>
      <c r="C9054" s="55">
        <f t="shared" si="563"/>
        <v>1</v>
      </c>
      <c r="D9054" s="3" t="str">
        <f t="shared" si="564"/>
        <v>SÁBADO</v>
      </c>
      <c r="E9054" s="427"/>
      <c r="F9054" s="31">
        <f>IFERROR(VLOOKUP(E9054,BD!$L$2:$Q$244,2,0),0)</f>
        <v>0</v>
      </c>
      <c r="G9054" s="424"/>
      <c r="H9054" s="31">
        <f>+IFERROR(VLOOKUP(E9054,BD!$L$2:$Q$244,6,0),0)</f>
        <v>0</v>
      </c>
      <c r="I9054" s="626">
        <f>IFERROR(G9054*VLOOKUP($E9054,BD!$L$2:$Q$244,5,0),0)</f>
        <v>0</v>
      </c>
      <c r="J9054" s="3">
        <f t="shared" si="565"/>
        <v>1900</v>
      </c>
    </row>
    <row r="9055" spans="1:10" s="9" customFormat="1" x14ac:dyDescent="0.25">
      <c r="A9055" s="447"/>
      <c r="B9055" s="55" t="str">
        <f t="shared" si="562"/>
        <v>ENERO</v>
      </c>
      <c r="C9055" s="55">
        <f t="shared" si="563"/>
        <v>1</v>
      </c>
      <c r="D9055" s="3" t="str">
        <f t="shared" si="564"/>
        <v>SÁBADO</v>
      </c>
      <c r="E9055" s="427"/>
      <c r="F9055" s="31">
        <f>IFERROR(VLOOKUP(E9055,BD!$L$2:$Q$244,2,0),0)</f>
        <v>0</v>
      </c>
      <c r="G9055" s="425"/>
      <c r="H9055" s="31">
        <f>+IFERROR(VLOOKUP(E9055,BD!$L$2:$Q$244,6,0),0)</f>
        <v>0</v>
      </c>
      <c r="I9055" s="626">
        <f>IFERROR(G9055*VLOOKUP($E9055,BD!$L$2:$Q$244,5,0),0)</f>
        <v>0</v>
      </c>
      <c r="J9055" s="3">
        <f t="shared" si="565"/>
        <v>1900</v>
      </c>
    </row>
    <row r="9056" spans="1:10" s="9" customFormat="1" x14ac:dyDescent="0.25">
      <c r="A9056" s="447"/>
      <c r="B9056" s="55" t="str">
        <f t="shared" si="562"/>
        <v>ENERO</v>
      </c>
      <c r="C9056" s="55">
        <f t="shared" si="563"/>
        <v>1</v>
      </c>
      <c r="D9056" s="3" t="str">
        <f t="shared" si="564"/>
        <v>SÁBADO</v>
      </c>
      <c r="E9056" s="427"/>
      <c r="F9056" s="31">
        <f>IFERROR(VLOOKUP(E9056,BD!$L$2:$Q$244,2,0),0)</f>
        <v>0</v>
      </c>
      <c r="G9056" s="425"/>
      <c r="H9056" s="31">
        <f>+IFERROR(VLOOKUP(E9056,BD!$L$2:$Q$244,6,0),0)</f>
        <v>0</v>
      </c>
      <c r="I9056" s="626">
        <f>IFERROR(G9056*VLOOKUP($E9056,BD!$L$2:$Q$244,5,0),0)</f>
        <v>0</v>
      </c>
      <c r="J9056" s="3">
        <f t="shared" si="565"/>
        <v>1900</v>
      </c>
    </row>
    <row r="9057" spans="1:10" s="9" customFormat="1" x14ac:dyDescent="0.25">
      <c r="A9057" s="447"/>
      <c r="B9057" s="55" t="str">
        <f t="shared" si="562"/>
        <v>ENERO</v>
      </c>
      <c r="C9057" s="55">
        <f t="shared" si="563"/>
        <v>1</v>
      </c>
      <c r="D9057" s="3" t="str">
        <f t="shared" si="564"/>
        <v>SÁBADO</v>
      </c>
      <c r="E9057" s="427"/>
      <c r="F9057" s="31">
        <f>IFERROR(VLOOKUP(E9057,BD!$L$2:$Q$244,2,0),0)</f>
        <v>0</v>
      </c>
      <c r="G9057" s="424"/>
      <c r="H9057" s="31">
        <f>+IFERROR(VLOOKUP(E9057,BD!$L$2:$Q$244,6,0),0)</f>
        <v>0</v>
      </c>
      <c r="I9057" s="626">
        <f>IFERROR(G9057*VLOOKUP($E9057,BD!$L$2:$Q$244,5,0),0)</f>
        <v>0</v>
      </c>
      <c r="J9057" s="3">
        <f t="shared" si="565"/>
        <v>1900</v>
      </c>
    </row>
    <row r="9058" spans="1:10" s="9" customFormat="1" x14ac:dyDescent="0.25">
      <c r="A9058" s="447"/>
      <c r="B9058" s="55" t="str">
        <f t="shared" si="562"/>
        <v>ENERO</v>
      </c>
      <c r="C9058" s="55">
        <f t="shared" si="563"/>
        <v>1</v>
      </c>
      <c r="D9058" s="3" t="str">
        <f t="shared" si="564"/>
        <v>SÁBADO</v>
      </c>
      <c r="E9058" s="427"/>
      <c r="F9058" s="31">
        <f>IFERROR(VLOOKUP(E9058,BD!$L$2:$Q$244,2,0),0)</f>
        <v>0</v>
      </c>
      <c r="G9058" s="424"/>
      <c r="H9058" s="31">
        <f>+IFERROR(VLOOKUP(E9058,BD!$L$2:$Q$244,6,0),0)</f>
        <v>0</v>
      </c>
      <c r="I9058" s="626">
        <f>IFERROR(G9058*VLOOKUP($E9058,BD!$L$2:$Q$244,5,0),0)</f>
        <v>0</v>
      </c>
      <c r="J9058" s="3">
        <f t="shared" si="565"/>
        <v>1900</v>
      </c>
    </row>
    <row r="9059" spans="1:10" s="9" customFormat="1" x14ac:dyDescent="0.25">
      <c r="A9059" s="447"/>
      <c r="B9059" s="55" t="str">
        <f t="shared" si="562"/>
        <v>ENERO</v>
      </c>
      <c r="C9059" s="55">
        <f t="shared" si="563"/>
        <v>1</v>
      </c>
      <c r="D9059" s="3" t="str">
        <f t="shared" si="564"/>
        <v>SÁBADO</v>
      </c>
      <c r="E9059" s="427"/>
      <c r="F9059" s="31">
        <f>IFERROR(VLOOKUP(E9059,BD!$L$2:$Q$244,2,0),0)</f>
        <v>0</v>
      </c>
      <c r="G9059" s="424"/>
      <c r="H9059" s="31">
        <f>+IFERROR(VLOOKUP(E9059,BD!$L$2:$Q$244,6,0),0)</f>
        <v>0</v>
      </c>
      <c r="I9059" s="626">
        <f>IFERROR(G9059*VLOOKUP($E9059,BD!$L$2:$Q$244,5,0),0)</f>
        <v>0</v>
      </c>
      <c r="J9059" s="3">
        <f t="shared" si="565"/>
        <v>1900</v>
      </c>
    </row>
    <row r="9060" spans="1:10" s="9" customFormat="1" x14ac:dyDescent="0.25">
      <c r="A9060" s="447"/>
      <c r="B9060" s="55" t="str">
        <f t="shared" si="562"/>
        <v>ENERO</v>
      </c>
      <c r="C9060" s="55">
        <f t="shared" si="563"/>
        <v>1</v>
      </c>
      <c r="D9060" s="3" t="str">
        <f t="shared" si="564"/>
        <v>SÁBADO</v>
      </c>
      <c r="E9060" s="427"/>
      <c r="F9060" s="31">
        <f>IFERROR(VLOOKUP(E9060,BD!$L$2:$Q$244,2,0),0)</f>
        <v>0</v>
      </c>
      <c r="G9060" s="425"/>
      <c r="H9060" s="31">
        <f>+IFERROR(VLOOKUP(E9060,BD!$L$2:$Q$244,6,0),0)</f>
        <v>0</v>
      </c>
      <c r="I9060" s="626">
        <f>IFERROR(G9060*VLOOKUP($E9060,BD!$L$2:$Q$244,5,0),0)</f>
        <v>0</v>
      </c>
      <c r="J9060" s="3">
        <f t="shared" si="565"/>
        <v>1900</v>
      </c>
    </row>
    <row r="9061" spans="1:10" s="9" customFormat="1" x14ac:dyDescent="0.25">
      <c r="A9061" s="447"/>
      <c r="B9061" s="55" t="str">
        <f t="shared" si="562"/>
        <v>ENERO</v>
      </c>
      <c r="C9061" s="55">
        <f t="shared" si="563"/>
        <v>1</v>
      </c>
      <c r="D9061" s="3" t="str">
        <f t="shared" si="564"/>
        <v>SÁBADO</v>
      </c>
      <c r="E9061" s="427"/>
      <c r="F9061" s="31">
        <f>IFERROR(VLOOKUP(E9061,BD!$L$2:$Q$244,2,0),0)</f>
        <v>0</v>
      </c>
      <c r="G9061" s="424"/>
      <c r="H9061" s="31">
        <f>+IFERROR(VLOOKUP(E9061,BD!$L$2:$Q$244,6,0),0)</f>
        <v>0</v>
      </c>
      <c r="I9061" s="626">
        <f>IFERROR(G9061*VLOOKUP($E9061,BD!$L$2:$Q$244,5,0),0)</f>
        <v>0</v>
      </c>
      <c r="J9061" s="3">
        <f t="shared" si="565"/>
        <v>1900</v>
      </c>
    </row>
    <row r="9062" spans="1:10" s="9" customFormat="1" x14ac:dyDescent="0.25">
      <c r="A9062" s="447"/>
      <c r="B9062" s="55" t="str">
        <f t="shared" si="562"/>
        <v>ENERO</v>
      </c>
      <c r="C9062" s="55">
        <f t="shared" si="563"/>
        <v>1</v>
      </c>
      <c r="D9062" s="3" t="str">
        <f t="shared" si="564"/>
        <v>SÁBADO</v>
      </c>
      <c r="E9062" s="427"/>
      <c r="F9062" s="31">
        <f>IFERROR(VLOOKUP(E9062,BD!$L$2:$Q$244,2,0),0)</f>
        <v>0</v>
      </c>
      <c r="G9062" s="424"/>
      <c r="H9062" s="31">
        <f>+IFERROR(VLOOKUP(E9062,BD!$L$2:$Q$244,6,0),0)</f>
        <v>0</v>
      </c>
      <c r="I9062" s="626">
        <f>IFERROR(G9062*VLOOKUP($E9062,BD!$L$2:$Q$244,5,0),0)</f>
        <v>0</v>
      </c>
      <c r="J9062" s="3">
        <f t="shared" si="565"/>
        <v>1900</v>
      </c>
    </row>
    <row r="9063" spans="1:10" s="9" customFormat="1" x14ac:dyDescent="0.25">
      <c r="A9063" s="447"/>
      <c r="B9063" s="55" t="str">
        <f t="shared" si="562"/>
        <v>ENERO</v>
      </c>
      <c r="C9063" s="55">
        <f t="shared" si="563"/>
        <v>1</v>
      </c>
      <c r="D9063" s="3" t="str">
        <f t="shared" si="564"/>
        <v>SÁBADO</v>
      </c>
      <c r="E9063" s="427"/>
      <c r="F9063" s="31">
        <f>IFERROR(VLOOKUP(E9063,BD!$L$2:$Q$244,2,0),0)</f>
        <v>0</v>
      </c>
      <c r="G9063" s="424"/>
      <c r="H9063" s="31">
        <f>+IFERROR(VLOOKUP(E9063,BD!$L$2:$Q$244,6,0),0)</f>
        <v>0</v>
      </c>
      <c r="I9063" s="626">
        <f>IFERROR(G9063*VLOOKUP($E9063,BD!$L$2:$Q$244,5,0),0)</f>
        <v>0</v>
      </c>
      <c r="J9063" s="3">
        <f t="shared" si="565"/>
        <v>1900</v>
      </c>
    </row>
    <row r="9064" spans="1:10" s="9" customFormat="1" x14ac:dyDescent="0.25">
      <c r="A9064" s="447"/>
      <c r="B9064" s="55" t="str">
        <f t="shared" si="562"/>
        <v>ENERO</v>
      </c>
      <c r="C9064" s="55">
        <f t="shared" si="563"/>
        <v>1</v>
      </c>
      <c r="D9064" s="3" t="str">
        <f t="shared" si="564"/>
        <v>SÁBADO</v>
      </c>
      <c r="E9064" s="427"/>
      <c r="F9064" s="31">
        <f>IFERROR(VLOOKUP(E9064,BD!$L$2:$Q$244,2,0),0)</f>
        <v>0</v>
      </c>
      <c r="G9064" s="424"/>
      <c r="H9064" s="31">
        <f>+IFERROR(VLOOKUP(E9064,BD!$L$2:$Q$244,6,0),0)</f>
        <v>0</v>
      </c>
      <c r="I9064" s="626">
        <f>IFERROR(G9064*VLOOKUP($E9064,BD!$L$2:$Q$244,5,0),0)</f>
        <v>0</v>
      </c>
      <c r="J9064" s="3">
        <f t="shared" si="565"/>
        <v>1900</v>
      </c>
    </row>
    <row r="9065" spans="1:10" s="9" customFormat="1" x14ac:dyDescent="0.25">
      <c r="A9065" s="447"/>
      <c r="B9065" s="55" t="str">
        <f t="shared" si="562"/>
        <v>ENERO</v>
      </c>
      <c r="C9065" s="55">
        <f t="shared" si="563"/>
        <v>1</v>
      </c>
      <c r="D9065" s="3" t="str">
        <f t="shared" si="564"/>
        <v>SÁBADO</v>
      </c>
      <c r="E9065" s="427"/>
      <c r="F9065" s="31">
        <f>IFERROR(VLOOKUP(E9065,BD!$L$2:$Q$244,2,0),0)</f>
        <v>0</v>
      </c>
      <c r="G9065" s="424"/>
      <c r="H9065" s="31">
        <f>+IFERROR(VLOOKUP(E9065,BD!$L$2:$Q$244,6,0),0)</f>
        <v>0</v>
      </c>
      <c r="I9065" s="626">
        <f>IFERROR(G9065*VLOOKUP($E9065,BD!$L$2:$Q$244,5,0),0)</f>
        <v>0</v>
      </c>
      <c r="J9065" s="3">
        <f t="shared" si="565"/>
        <v>1900</v>
      </c>
    </row>
    <row r="9066" spans="1:10" s="9" customFormat="1" x14ac:dyDescent="0.25">
      <c r="A9066" s="447"/>
      <c r="B9066" s="55" t="str">
        <f t="shared" si="562"/>
        <v>ENERO</v>
      </c>
      <c r="C9066" s="55">
        <f t="shared" si="563"/>
        <v>1</v>
      </c>
      <c r="D9066" s="3" t="str">
        <f t="shared" si="564"/>
        <v>SÁBADO</v>
      </c>
      <c r="E9066" s="427"/>
      <c r="F9066" s="31">
        <f>IFERROR(VLOOKUP(E9066,BD!$L$2:$Q$244,2,0),0)</f>
        <v>0</v>
      </c>
      <c r="G9066" s="424"/>
      <c r="H9066" s="31">
        <f>+IFERROR(VLOOKUP(E9066,BD!$L$2:$Q$244,6,0),0)</f>
        <v>0</v>
      </c>
      <c r="I9066" s="626">
        <f>IFERROR(G9066*VLOOKUP($E9066,BD!$L$2:$Q$244,5,0),0)</f>
        <v>0</v>
      </c>
      <c r="J9066" s="3">
        <f t="shared" si="565"/>
        <v>1900</v>
      </c>
    </row>
    <row r="9067" spans="1:10" s="9" customFormat="1" x14ac:dyDescent="0.25">
      <c r="A9067" s="447"/>
      <c r="B9067" s="55" t="str">
        <f t="shared" si="562"/>
        <v>ENERO</v>
      </c>
      <c r="C9067" s="55">
        <f t="shared" si="563"/>
        <v>1</v>
      </c>
      <c r="D9067" s="3" t="str">
        <f t="shared" si="564"/>
        <v>SÁBADO</v>
      </c>
      <c r="E9067" s="427"/>
      <c r="F9067" s="31">
        <f>IFERROR(VLOOKUP(E9067,BD!$L$2:$Q$244,2,0),0)</f>
        <v>0</v>
      </c>
      <c r="G9067" s="424"/>
      <c r="H9067" s="31">
        <f>+IFERROR(VLOOKUP(E9067,BD!$L$2:$Q$244,6,0),0)</f>
        <v>0</v>
      </c>
      <c r="I9067" s="626">
        <f>IFERROR(G9067*VLOOKUP($E9067,BD!$L$2:$Q$244,5,0),0)</f>
        <v>0</v>
      </c>
      <c r="J9067" s="3">
        <f t="shared" si="565"/>
        <v>1900</v>
      </c>
    </row>
    <row r="9068" spans="1:10" s="9" customFormat="1" x14ac:dyDescent="0.25">
      <c r="A9068" s="447"/>
      <c r="B9068" s="55" t="str">
        <f t="shared" si="562"/>
        <v>ENERO</v>
      </c>
      <c r="C9068" s="55">
        <f t="shared" si="563"/>
        <v>1</v>
      </c>
      <c r="D9068" s="3" t="str">
        <f t="shared" si="564"/>
        <v>SÁBADO</v>
      </c>
      <c r="E9068" s="427"/>
      <c r="F9068" s="31">
        <f>IFERROR(VLOOKUP(E9068,BD!$L$2:$Q$244,2,0),0)</f>
        <v>0</v>
      </c>
      <c r="G9068" s="424"/>
      <c r="H9068" s="31">
        <f>+IFERROR(VLOOKUP(E9068,BD!$L$2:$Q$244,6,0),0)</f>
        <v>0</v>
      </c>
      <c r="I9068" s="626">
        <f>IFERROR(G9068*VLOOKUP($E9068,BD!$L$2:$Q$244,5,0),0)</f>
        <v>0</v>
      </c>
      <c r="J9068" s="3">
        <f t="shared" si="565"/>
        <v>1900</v>
      </c>
    </row>
    <row r="9069" spans="1:10" s="9" customFormat="1" x14ac:dyDescent="0.25">
      <c r="A9069" s="447"/>
      <c r="B9069" s="55" t="str">
        <f t="shared" si="562"/>
        <v>ENERO</v>
      </c>
      <c r="C9069" s="55">
        <f t="shared" si="563"/>
        <v>1</v>
      </c>
      <c r="D9069" s="3" t="str">
        <f t="shared" si="564"/>
        <v>SÁBADO</v>
      </c>
      <c r="E9069" s="427"/>
      <c r="F9069" s="31">
        <f>IFERROR(VLOOKUP(E9069,BD!$L$2:$Q$244,2,0),0)</f>
        <v>0</v>
      </c>
      <c r="G9069" s="424"/>
      <c r="H9069" s="31">
        <f>+IFERROR(VLOOKUP(E9069,BD!$L$2:$Q$244,6,0),0)</f>
        <v>0</v>
      </c>
      <c r="I9069" s="626">
        <f>IFERROR(G9069*VLOOKUP($E9069,BD!$L$2:$Q$244,5,0),0)</f>
        <v>0</v>
      </c>
      <c r="J9069" s="3">
        <f t="shared" si="565"/>
        <v>1900</v>
      </c>
    </row>
    <row r="9070" spans="1:10" s="9" customFormat="1" x14ac:dyDescent="0.25">
      <c r="A9070" s="447"/>
      <c r="B9070" s="55" t="str">
        <f t="shared" si="562"/>
        <v>ENERO</v>
      </c>
      <c r="C9070" s="55">
        <f t="shared" si="563"/>
        <v>1</v>
      </c>
      <c r="D9070" s="3" t="str">
        <f t="shared" si="564"/>
        <v>SÁBADO</v>
      </c>
      <c r="E9070" s="427"/>
      <c r="F9070" s="31">
        <f>IFERROR(VLOOKUP(E9070,BD!$L$2:$Q$244,2,0),0)</f>
        <v>0</v>
      </c>
      <c r="G9070" s="424"/>
      <c r="H9070" s="31">
        <f>+IFERROR(VLOOKUP(E9070,BD!$L$2:$Q$244,6,0),0)</f>
        <v>0</v>
      </c>
      <c r="I9070" s="626">
        <f>IFERROR(G9070*VLOOKUP($E9070,BD!$L$2:$Q$244,5,0),0)</f>
        <v>0</v>
      </c>
      <c r="J9070" s="3">
        <f t="shared" si="565"/>
        <v>1900</v>
      </c>
    </row>
    <row r="9071" spans="1:10" s="9" customFormat="1" x14ac:dyDescent="0.25">
      <c r="A9071" s="447"/>
      <c r="B9071" s="55" t="str">
        <f t="shared" si="562"/>
        <v>ENERO</v>
      </c>
      <c r="C9071" s="55">
        <f t="shared" si="563"/>
        <v>1</v>
      </c>
      <c r="D9071" s="3" t="str">
        <f t="shared" si="564"/>
        <v>SÁBADO</v>
      </c>
      <c r="E9071" s="427"/>
      <c r="F9071" s="31">
        <f>IFERROR(VLOOKUP(E9071,BD!$L$2:$Q$244,2,0),0)</f>
        <v>0</v>
      </c>
      <c r="G9071" s="424"/>
      <c r="H9071" s="31">
        <f>+IFERROR(VLOOKUP(E9071,BD!$L$2:$Q$244,6,0),0)</f>
        <v>0</v>
      </c>
      <c r="I9071" s="626">
        <f>IFERROR(G9071*VLOOKUP($E9071,BD!$L$2:$Q$244,5,0),0)</f>
        <v>0</v>
      </c>
      <c r="J9071" s="3">
        <f t="shared" si="565"/>
        <v>1900</v>
      </c>
    </row>
    <row r="9072" spans="1:10" s="9" customFormat="1" x14ac:dyDescent="0.25">
      <c r="A9072" s="447"/>
      <c r="B9072" s="55" t="str">
        <f t="shared" si="562"/>
        <v>ENERO</v>
      </c>
      <c r="C9072" s="55">
        <f t="shared" si="563"/>
        <v>1</v>
      </c>
      <c r="D9072" s="3" t="str">
        <f t="shared" si="564"/>
        <v>SÁBADO</v>
      </c>
      <c r="E9072" s="427"/>
      <c r="F9072" s="31">
        <f>IFERROR(VLOOKUP(E9072,BD!$L$2:$Q$244,2,0),0)</f>
        <v>0</v>
      </c>
      <c r="G9072" s="424"/>
      <c r="H9072" s="31">
        <f>+IFERROR(VLOOKUP(E9072,BD!$L$2:$Q$244,6,0),0)</f>
        <v>0</v>
      </c>
      <c r="I9072" s="626">
        <f>IFERROR(G9072*VLOOKUP($E9072,BD!$L$2:$Q$244,5,0),0)</f>
        <v>0</v>
      </c>
      <c r="J9072" s="3">
        <f t="shared" si="565"/>
        <v>1900</v>
      </c>
    </row>
    <row r="9073" spans="1:10" s="9" customFormat="1" x14ac:dyDescent="0.25">
      <c r="A9073" s="447"/>
      <c r="B9073" s="55" t="str">
        <f t="shared" si="562"/>
        <v>ENERO</v>
      </c>
      <c r="C9073" s="55">
        <f t="shared" si="563"/>
        <v>1</v>
      </c>
      <c r="D9073" s="3" t="str">
        <f t="shared" si="564"/>
        <v>SÁBADO</v>
      </c>
      <c r="E9073" s="427"/>
      <c r="F9073" s="31">
        <f>IFERROR(VLOOKUP(E9073,BD!$L$2:$Q$244,2,0),0)</f>
        <v>0</v>
      </c>
      <c r="G9073" s="424"/>
      <c r="H9073" s="31">
        <f>+IFERROR(VLOOKUP(E9073,BD!$L$2:$Q$244,6,0),0)</f>
        <v>0</v>
      </c>
      <c r="I9073" s="626">
        <f>IFERROR(G9073*VLOOKUP($E9073,BD!$L$2:$Q$244,5,0),0)</f>
        <v>0</v>
      </c>
      <c r="J9073" s="3">
        <f t="shared" si="565"/>
        <v>1900</v>
      </c>
    </row>
    <row r="9074" spans="1:10" s="9" customFormat="1" x14ac:dyDescent="0.25">
      <c r="A9074" s="447"/>
      <c r="B9074" s="55" t="str">
        <f t="shared" si="562"/>
        <v>ENERO</v>
      </c>
      <c r="C9074" s="55">
        <f t="shared" si="563"/>
        <v>1</v>
      </c>
      <c r="D9074" s="3" t="str">
        <f t="shared" si="564"/>
        <v>SÁBADO</v>
      </c>
      <c r="E9074" s="427"/>
      <c r="F9074" s="31">
        <f>IFERROR(VLOOKUP(E9074,BD!$L$2:$Q$244,2,0),0)</f>
        <v>0</v>
      </c>
      <c r="G9074" s="424"/>
      <c r="H9074" s="31">
        <f>+IFERROR(VLOOKUP(E9074,BD!$L$2:$Q$244,6,0),0)</f>
        <v>0</v>
      </c>
      <c r="I9074" s="626">
        <f>IFERROR(G9074*VLOOKUP($E9074,BD!$L$2:$Q$244,5,0),0)</f>
        <v>0</v>
      </c>
      <c r="J9074" s="3">
        <f t="shared" si="565"/>
        <v>1900</v>
      </c>
    </row>
    <row r="9075" spans="1:10" s="9" customFormat="1" x14ac:dyDescent="0.25">
      <c r="A9075" s="447"/>
      <c r="B9075" s="55" t="str">
        <f t="shared" si="562"/>
        <v>ENERO</v>
      </c>
      <c r="C9075" s="55">
        <f t="shared" si="563"/>
        <v>1</v>
      </c>
      <c r="D9075" s="3" t="str">
        <f t="shared" si="564"/>
        <v>SÁBADO</v>
      </c>
      <c r="E9075" s="427"/>
      <c r="F9075" s="31">
        <f>IFERROR(VLOOKUP(E9075,BD!$L$2:$Q$244,2,0),0)</f>
        <v>0</v>
      </c>
      <c r="G9075" s="424"/>
      <c r="H9075" s="31">
        <f>+IFERROR(VLOOKUP(E9075,BD!$L$2:$Q$244,6,0),0)</f>
        <v>0</v>
      </c>
      <c r="I9075" s="626">
        <f>IFERROR(G9075*VLOOKUP($E9075,BD!$L$2:$Q$244,5,0),0)</f>
        <v>0</v>
      </c>
      <c r="J9075" s="3">
        <f t="shared" si="565"/>
        <v>1900</v>
      </c>
    </row>
    <row r="9076" spans="1:10" s="9" customFormat="1" x14ac:dyDescent="0.25">
      <c r="A9076" s="447"/>
      <c r="B9076" s="55" t="str">
        <f t="shared" si="562"/>
        <v>ENERO</v>
      </c>
      <c r="C9076" s="55">
        <f t="shared" si="563"/>
        <v>1</v>
      </c>
      <c r="D9076" s="3" t="str">
        <f t="shared" si="564"/>
        <v>SÁBADO</v>
      </c>
      <c r="E9076" s="427"/>
      <c r="F9076" s="31">
        <f>IFERROR(VLOOKUP(E9076,BD!$L$2:$Q$244,2,0),0)</f>
        <v>0</v>
      </c>
      <c r="G9076" s="424"/>
      <c r="H9076" s="31">
        <f>+IFERROR(VLOOKUP(E9076,BD!$L$2:$Q$244,6,0),0)</f>
        <v>0</v>
      </c>
      <c r="I9076" s="626">
        <f>IFERROR(G9076*VLOOKUP($E9076,BD!$L$2:$Q$244,5,0),0)</f>
        <v>0</v>
      </c>
      <c r="J9076" s="3">
        <f t="shared" si="565"/>
        <v>1900</v>
      </c>
    </row>
    <row r="9077" spans="1:10" s="9" customFormat="1" x14ac:dyDescent="0.25">
      <c r="A9077" s="447"/>
      <c r="B9077" s="55" t="str">
        <f t="shared" si="562"/>
        <v>ENERO</v>
      </c>
      <c r="C9077" s="55">
        <f t="shared" si="563"/>
        <v>1</v>
      </c>
      <c r="D9077" s="3" t="str">
        <f t="shared" si="564"/>
        <v>SÁBADO</v>
      </c>
      <c r="E9077" s="427"/>
      <c r="F9077" s="31">
        <f>IFERROR(VLOOKUP(E9077,BD!$L$2:$Q$244,2,0),0)</f>
        <v>0</v>
      </c>
      <c r="G9077" s="424"/>
      <c r="H9077" s="31">
        <f>+IFERROR(VLOOKUP(E9077,BD!$L$2:$Q$244,6,0),0)</f>
        <v>0</v>
      </c>
      <c r="I9077" s="626">
        <f>IFERROR(G9077*VLOOKUP($E9077,BD!$L$2:$Q$244,5,0),0)</f>
        <v>0</v>
      </c>
      <c r="J9077" s="3">
        <f t="shared" si="565"/>
        <v>1900</v>
      </c>
    </row>
    <row r="9078" spans="1:10" s="9" customFormat="1" x14ac:dyDescent="0.25">
      <c r="A9078" s="447"/>
      <c r="B9078" s="55" t="str">
        <f t="shared" si="562"/>
        <v>ENERO</v>
      </c>
      <c r="C9078" s="55">
        <f t="shared" si="563"/>
        <v>1</v>
      </c>
      <c r="D9078" s="3" t="str">
        <f t="shared" si="564"/>
        <v>SÁBADO</v>
      </c>
      <c r="E9078" s="427"/>
      <c r="F9078" s="31">
        <f>IFERROR(VLOOKUP(E9078,BD!$L$2:$Q$244,2,0),0)</f>
        <v>0</v>
      </c>
      <c r="G9078" s="424"/>
      <c r="H9078" s="31">
        <f>+IFERROR(VLOOKUP(E9078,BD!$L$2:$Q$244,6,0),0)</f>
        <v>0</v>
      </c>
      <c r="I9078" s="626">
        <f>IFERROR(G9078*VLOOKUP($E9078,BD!$L$2:$Q$244,5,0),0)</f>
        <v>0</v>
      </c>
      <c r="J9078" s="3">
        <f t="shared" si="565"/>
        <v>1900</v>
      </c>
    </row>
    <row r="9079" spans="1:10" s="9" customFormat="1" x14ac:dyDescent="0.25">
      <c r="A9079" s="447"/>
      <c r="B9079" s="55" t="str">
        <f t="shared" si="562"/>
        <v>ENERO</v>
      </c>
      <c r="C9079" s="55">
        <f t="shared" si="563"/>
        <v>1</v>
      </c>
      <c r="D9079" s="3" t="str">
        <f t="shared" si="564"/>
        <v>SÁBADO</v>
      </c>
      <c r="E9079" s="427"/>
      <c r="F9079" s="31">
        <f>IFERROR(VLOOKUP(E9079,BD!$L$2:$Q$244,2,0),0)</f>
        <v>0</v>
      </c>
      <c r="G9079" s="424"/>
      <c r="H9079" s="31">
        <f>+IFERROR(VLOOKUP(E9079,BD!$L$2:$Q$244,6,0),0)</f>
        <v>0</v>
      </c>
      <c r="I9079" s="626">
        <f>IFERROR(G9079*VLOOKUP($E9079,BD!$L$2:$Q$244,5,0),0)</f>
        <v>0</v>
      </c>
      <c r="J9079" s="3">
        <f t="shared" si="565"/>
        <v>1900</v>
      </c>
    </row>
    <row r="9080" spans="1:10" s="9" customFormat="1" x14ac:dyDescent="0.25">
      <c r="A9080" s="447"/>
      <c r="B9080" s="55" t="str">
        <f t="shared" si="562"/>
        <v>ENERO</v>
      </c>
      <c r="C9080" s="55">
        <f t="shared" si="563"/>
        <v>1</v>
      </c>
      <c r="D9080" s="3" t="str">
        <f t="shared" si="564"/>
        <v>SÁBADO</v>
      </c>
      <c r="E9080" s="427"/>
      <c r="F9080" s="31">
        <f>IFERROR(VLOOKUP(E9080,BD!$L$2:$Q$244,2,0),0)</f>
        <v>0</v>
      </c>
      <c r="G9080" s="425"/>
      <c r="H9080" s="31">
        <f>+IFERROR(VLOOKUP(E9080,BD!$L$2:$Q$244,6,0),0)</f>
        <v>0</v>
      </c>
      <c r="I9080" s="626">
        <f>IFERROR(G9080*VLOOKUP($E9080,BD!$L$2:$Q$244,5,0),0)</f>
        <v>0</v>
      </c>
      <c r="J9080" s="3">
        <f t="shared" si="565"/>
        <v>1900</v>
      </c>
    </row>
    <row r="9081" spans="1:10" s="9" customFormat="1" x14ac:dyDescent="0.25">
      <c r="A9081" s="447"/>
      <c r="B9081" s="55" t="str">
        <f t="shared" si="562"/>
        <v>ENERO</v>
      </c>
      <c r="C9081" s="55">
        <f t="shared" si="563"/>
        <v>1</v>
      </c>
      <c r="D9081" s="3" t="str">
        <f t="shared" si="564"/>
        <v>SÁBADO</v>
      </c>
      <c r="E9081" s="427"/>
      <c r="F9081" s="31">
        <f>IFERROR(VLOOKUP(E9081,BD!$L$2:$Q$244,2,0),0)</f>
        <v>0</v>
      </c>
      <c r="G9081" s="424"/>
      <c r="H9081" s="31">
        <f>+IFERROR(VLOOKUP(E9081,BD!$L$2:$Q$244,6,0),0)</f>
        <v>0</v>
      </c>
      <c r="I9081" s="626">
        <f>IFERROR(G9081*VLOOKUP($E9081,BD!$L$2:$Q$244,5,0),0)</f>
        <v>0</v>
      </c>
      <c r="J9081" s="3">
        <f t="shared" si="565"/>
        <v>1900</v>
      </c>
    </row>
    <row r="9082" spans="1:10" s="9" customFormat="1" x14ac:dyDescent="0.25">
      <c r="A9082" s="447"/>
      <c r="B9082" s="55" t="str">
        <f t="shared" si="562"/>
        <v>ENERO</v>
      </c>
      <c r="C9082" s="55">
        <f t="shared" si="563"/>
        <v>1</v>
      </c>
      <c r="D9082" s="3" t="str">
        <f t="shared" si="564"/>
        <v>SÁBADO</v>
      </c>
      <c r="E9082" s="427"/>
      <c r="F9082" s="31">
        <f>IFERROR(VLOOKUP(E9082,BD!$L$2:$Q$244,2,0),0)</f>
        <v>0</v>
      </c>
      <c r="G9082" s="424"/>
      <c r="H9082" s="31">
        <f>+IFERROR(VLOOKUP(E9082,BD!$L$2:$Q$244,6,0),0)</f>
        <v>0</v>
      </c>
      <c r="I9082" s="626">
        <f>IFERROR(G9082*VLOOKUP($E9082,BD!$L$2:$Q$244,5,0),0)</f>
        <v>0</v>
      </c>
      <c r="J9082" s="3">
        <f t="shared" si="565"/>
        <v>1900</v>
      </c>
    </row>
    <row r="9083" spans="1:10" s="9" customFormat="1" x14ac:dyDescent="0.25">
      <c r="A9083" s="447"/>
      <c r="B9083" s="55" t="str">
        <f t="shared" si="562"/>
        <v>ENERO</v>
      </c>
      <c r="C9083" s="55">
        <f t="shared" si="563"/>
        <v>1</v>
      </c>
      <c r="D9083" s="3" t="str">
        <f t="shared" si="564"/>
        <v>SÁBADO</v>
      </c>
      <c r="E9083" s="427"/>
      <c r="F9083" s="31">
        <f>IFERROR(VLOOKUP(E9083,BD!$L$2:$Q$244,2,0),0)</f>
        <v>0</v>
      </c>
      <c r="G9083" s="424"/>
      <c r="H9083" s="31">
        <f>+IFERROR(VLOOKUP(E9083,BD!$L$2:$Q$244,6,0),0)</f>
        <v>0</v>
      </c>
      <c r="I9083" s="626">
        <f>IFERROR(G9083*VLOOKUP($E9083,BD!$L$2:$Q$244,5,0),0)</f>
        <v>0</v>
      </c>
      <c r="J9083" s="3">
        <f t="shared" si="565"/>
        <v>1900</v>
      </c>
    </row>
    <row r="9084" spans="1:10" s="9" customFormat="1" x14ac:dyDescent="0.25">
      <c r="A9084" s="447"/>
      <c r="B9084" s="55" t="str">
        <f t="shared" ref="B9084:B9147" si="566">UPPER(TEXT(A9084,"MMMM"))</f>
        <v>ENERO</v>
      </c>
      <c r="C9084" s="55">
        <f t="shared" ref="C9084:C9147" si="567">WEEKNUM(A9084,16)</f>
        <v>1</v>
      </c>
      <c r="D9084" s="3" t="str">
        <f t="shared" ref="D9084:D9147" si="568">UPPER(TEXT(A9084,"DDDD"))</f>
        <v>SÁBADO</v>
      </c>
      <c r="E9084" s="427"/>
      <c r="F9084" s="31">
        <f>IFERROR(VLOOKUP(E9084,BD!$L$2:$Q$244,2,0),0)</f>
        <v>0</v>
      </c>
      <c r="G9084" s="424"/>
      <c r="H9084" s="31">
        <f>+IFERROR(VLOOKUP(E9084,BD!$L$2:$Q$244,6,0),0)</f>
        <v>0</v>
      </c>
      <c r="I9084" s="626">
        <f>IFERROR(G9084*VLOOKUP($E9084,BD!$L$2:$Q$244,5,0),0)</f>
        <v>0</v>
      </c>
      <c r="J9084" s="3">
        <f t="shared" ref="J9084:J9147" si="569">+YEAR(A9084)</f>
        <v>1900</v>
      </c>
    </row>
    <row r="9085" spans="1:10" s="9" customFormat="1" x14ac:dyDescent="0.25">
      <c r="A9085" s="447"/>
      <c r="B9085" s="55" t="str">
        <f t="shared" si="566"/>
        <v>ENERO</v>
      </c>
      <c r="C9085" s="55">
        <f t="shared" si="567"/>
        <v>1</v>
      </c>
      <c r="D9085" s="3" t="str">
        <f t="shared" si="568"/>
        <v>SÁBADO</v>
      </c>
      <c r="E9085" s="427"/>
      <c r="F9085" s="31">
        <f>IFERROR(VLOOKUP(E9085,BD!$L$2:$Q$244,2,0),0)</f>
        <v>0</v>
      </c>
      <c r="G9085" s="424"/>
      <c r="H9085" s="31">
        <f>+IFERROR(VLOOKUP(E9085,BD!$L$2:$Q$244,6,0),0)</f>
        <v>0</v>
      </c>
      <c r="I9085" s="626">
        <f>IFERROR(G9085*VLOOKUP($E9085,BD!$L$2:$Q$244,5,0),0)</f>
        <v>0</v>
      </c>
      <c r="J9085" s="3">
        <f t="shared" si="569"/>
        <v>1900</v>
      </c>
    </row>
    <row r="9086" spans="1:10" s="9" customFormat="1" x14ac:dyDescent="0.25">
      <c r="A9086" s="447"/>
      <c r="B9086" s="55" t="str">
        <f t="shared" si="566"/>
        <v>ENERO</v>
      </c>
      <c r="C9086" s="55">
        <f t="shared" si="567"/>
        <v>1</v>
      </c>
      <c r="D9086" s="3" t="str">
        <f t="shared" si="568"/>
        <v>SÁBADO</v>
      </c>
      <c r="E9086" s="427"/>
      <c r="F9086" s="31">
        <f>IFERROR(VLOOKUP(E9086,BD!$L$2:$Q$244,2,0),0)</f>
        <v>0</v>
      </c>
      <c r="G9086" s="424"/>
      <c r="H9086" s="31">
        <f>+IFERROR(VLOOKUP(E9086,BD!$L$2:$Q$244,6,0),0)</f>
        <v>0</v>
      </c>
      <c r="I9086" s="626">
        <f>IFERROR(G9086*VLOOKUP($E9086,BD!$L$2:$Q$244,5,0),0)</f>
        <v>0</v>
      </c>
      <c r="J9086" s="3">
        <f t="shared" si="569"/>
        <v>1900</v>
      </c>
    </row>
    <row r="9087" spans="1:10" s="9" customFormat="1" x14ac:dyDescent="0.25">
      <c r="A9087" s="447"/>
      <c r="B9087" s="55" t="str">
        <f t="shared" si="566"/>
        <v>ENERO</v>
      </c>
      <c r="C9087" s="55">
        <f t="shared" si="567"/>
        <v>1</v>
      </c>
      <c r="D9087" s="3" t="str">
        <f t="shared" si="568"/>
        <v>SÁBADO</v>
      </c>
      <c r="E9087" s="427"/>
      <c r="F9087" s="31">
        <f>IFERROR(VLOOKUP(E9087,BD!$L$2:$Q$244,2,0),0)</f>
        <v>0</v>
      </c>
      <c r="G9087" s="424"/>
      <c r="H9087" s="31">
        <f>+IFERROR(VLOOKUP(E9087,BD!$L$2:$Q$244,6,0),0)</f>
        <v>0</v>
      </c>
      <c r="I9087" s="626">
        <f>IFERROR(G9087*VLOOKUP($E9087,BD!$L$2:$Q$244,5,0),0)</f>
        <v>0</v>
      </c>
      <c r="J9087" s="3">
        <f t="shared" si="569"/>
        <v>1900</v>
      </c>
    </row>
    <row r="9088" spans="1:10" s="9" customFormat="1" x14ac:dyDescent="0.25">
      <c r="A9088" s="447"/>
      <c r="B9088" s="55" t="str">
        <f t="shared" si="566"/>
        <v>ENERO</v>
      </c>
      <c r="C9088" s="55">
        <f t="shared" si="567"/>
        <v>1</v>
      </c>
      <c r="D9088" s="3" t="str">
        <f t="shared" si="568"/>
        <v>SÁBADO</v>
      </c>
      <c r="E9088" s="427"/>
      <c r="F9088" s="31">
        <f>IFERROR(VLOOKUP(E9088,BD!$L$2:$Q$244,2,0),0)</f>
        <v>0</v>
      </c>
      <c r="G9088" s="424"/>
      <c r="H9088" s="31">
        <f>+IFERROR(VLOOKUP(E9088,BD!$L$2:$Q$244,6,0),0)</f>
        <v>0</v>
      </c>
      <c r="I9088" s="626">
        <f>IFERROR(G9088*VLOOKUP($E9088,BD!$L$2:$Q$244,5,0),0)</f>
        <v>0</v>
      </c>
      <c r="J9088" s="3">
        <f t="shared" si="569"/>
        <v>1900</v>
      </c>
    </row>
    <row r="9089" spans="1:10" s="9" customFormat="1" x14ac:dyDescent="0.25">
      <c r="A9089" s="447"/>
      <c r="B9089" s="55" t="str">
        <f t="shared" si="566"/>
        <v>ENERO</v>
      </c>
      <c r="C9089" s="55">
        <f t="shared" si="567"/>
        <v>1</v>
      </c>
      <c r="D9089" s="3" t="str">
        <f t="shared" si="568"/>
        <v>SÁBADO</v>
      </c>
      <c r="E9089" s="427"/>
      <c r="F9089" s="31">
        <f>IFERROR(VLOOKUP(E9089,BD!$L$2:$Q$244,2,0),0)</f>
        <v>0</v>
      </c>
      <c r="G9089" s="424"/>
      <c r="H9089" s="31">
        <f>+IFERROR(VLOOKUP(E9089,BD!$L$2:$Q$244,6,0),0)</f>
        <v>0</v>
      </c>
      <c r="I9089" s="626">
        <f>IFERROR(G9089*VLOOKUP($E9089,BD!$L$2:$Q$244,5,0),0)</f>
        <v>0</v>
      </c>
      <c r="J9089" s="3">
        <f t="shared" si="569"/>
        <v>1900</v>
      </c>
    </row>
    <row r="9090" spans="1:10" s="9" customFormat="1" x14ac:dyDescent="0.25">
      <c r="A9090" s="447"/>
      <c r="B9090" s="55" t="str">
        <f t="shared" si="566"/>
        <v>ENERO</v>
      </c>
      <c r="C9090" s="55">
        <f t="shared" si="567"/>
        <v>1</v>
      </c>
      <c r="D9090" s="3" t="str">
        <f t="shared" si="568"/>
        <v>SÁBADO</v>
      </c>
      <c r="E9090" s="427"/>
      <c r="F9090" s="31">
        <f>IFERROR(VLOOKUP(E9090,BD!$L$2:$Q$244,2,0),0)</f>
        <v>0</v>
      </c>
      <c r="G9090" s="424"/>
      <c r="H9090" s="31">
        <f>+IFERROR(VLOOKUP(E9090,BD!$L$2:$Q$244,6,0),0)</f>
        <v>0</v>
      </c>
      <c r="I9090" s="626">
        <f>IFERROR(G9090*VLOOKUP($E9090,BD!$L$2:$Q$244,5,0),0)</f>
        <v>0</v>
      </c>
      <c r="J9090" s="3">
        <f t="shared" si="569"/>
        <v>1900</v>
      </c>
    </row>
    <row r="9091" spans="1:10" s="9" customFormat="1" x14ac:dyDescent="0.25">
      <c r="A9091" s="447"/>
      <c r="B9091" s="55" t="str">
        <f t="shared" si="566"/>
        <v>ENERO</v>
      </c>
      <c r="C9091" s="55">
        <f t="shared" si="567"/>
        <v>1</v>
      </c>
      <c r="D9091" s="3" t="str">
        <f t="shared" si="568"/>
        <v>SÁBADO</v>
      </c>
      <c r="E9091" s="427"/>
      <c r="F9091" s="31">
        <f>IFERROR(VLOOKUP(E9091,BD!$L$2:$Q$244,2,0),0)</f>
        <v>0</v>
      </c>
      <c r="G9091" s="424"/>
      <c r="H9091" s="31">
        <f>+IFERROR(VLOOKUP(E9091,BD!$L$2:$Q$244,6,0),0)</f>
        <v>0</v>
      </c>
      <c r="I9091" s="626">
        <f>IFERROR(G9091*VLOOKUP($E9091,BD!$L$2:$Q$244,5,0),0)</f>
        <v>0</v>
      </c>
      <c r="J9091" s="3">
        <f t="shared" si="569"/>
        <v>1900</v>
      </c>
    </row>
    <row r="9092" spans="1:10" s="9" customFormat="1" x14ac:dyDescent="0.25">
      <c r="A9092" s="447"/>
      <c r="B9092" s="55" t="str">
        <f t="shared" si="566"/>
        <v>ENERO</v>
      </c>
      <c r="C9092" s="55">
        <f t="shared" si="567"/>
        <v>1</v>
      </c>
      <c r="D9092" s="3" t="str">
        <f t="shared" si="568"/>
        <v>SÁBADO</v>
      </c>
      <c r="E9092" s="427"/>
      <c r="F9092" s="31">
        <f>IFERROR(VLOOKUP(E9092,BD!$L$2:$Q$244,2,0),0)</f>
        <v>0</v>
      </c>
      <c r="G9092" s="424"/>
      <c r="H9092" s="31">
        <f>+IFERROR(VLOOKUP(E9092,BD!$L$2:$Q$244,6,0),0)</f>
        <v>0</v>
      </c>
      <c r="I9092" s="626">
        <f>IFERROR(G9092*VLOOKUP($E9092,BD!$L$2:$Q$244,5,0),0)</f>
        <v>0</v>
      </c>
      <c r="J9092" s="3">
        <f t="shared" si="569"/>
        <v>1900</v>
      </c>
    </row>
    <row r="9093" spans="1:10" s="9" customFormat="1" x14ac:dyDescent="0.25">
      <c r="A9093" s="447"/>
      <c r="B9093" s="55" t="str">
        <f t="shared" si="566"/>
        <v>ENERO</v>
      </c>
      <c r="C9093" s="55">
        <f t="shared" si="567"/>
        <v>1</v>
      </c>
      <c r="D9093" s="3" t="str">
        <f t="shared" si="568"/>
        <v>SÁBADO</v>
      </c>
      <c r="E9093" s="427"/>
      <c r="F9093" s="31">
        <f>IFERROR(VLOOKUP(E9093,BD!$L$2:$Q$244,2,0),0)</f>
        <v>0</v>
      </c>
      <c r="G9093" s="424"/>
      <c r="H9093" s="31">
        <f>+IFERROR(VLOOKUP(E9093,BD!$L$2:$Q$244,6,0),0)</f>
        <v>0</v>
      </c>
      <c r="I9093" s="626">
        <f>IFERROR(G9093*VLOOKUP($E9093,BD!$L$2:$Q$244,5,0),0)</f>
        <v>0</v>
      </c>
      <c r="J9093" s="3">
        <f t="shared" si="569"/>
        <v>1900</v>
      </c>
    </row>
    <row r="9094" spans="1:10" s="9" customFormat="1" x14ac:dyDescent="0.25">
      <c r="A9094" s="447"/>
      <c r="B9094" s="55" t="str">
        <f t="shared" si="566"/>
        <v>ENERO</v>
      </c>
      <c r="C9094" s="55">
        <f t="shared" si="567"/>
        <v>1</v>
      </c>
      <c r="D9094" s="3" t="str">
        <f t="shared" si="568"/>
        <v>SÁBADO</v>
      </c>
      <c r="E9094" s="427"/>
      <c r="F9094" s="31">
        <f>IFERROR(VLOOKUP(E9094,BD!$L$2:$Q$244,2,0),0)</f>
        <v>0</v>
      </c>
      <c r="G9094" s="425"/>
      <c r="H9094" s="31">
        <f>+IFERROR(VLOOKUP(E9094,BD!$L$2:$Q$244,6,0),0)</f>
        <v>0</v>
      </c>
      <c r="I9094" s="626">
        <f>IFERROR(G9094*VLOOKUP($E9094,BD!$L$2:$Q$244,5,0),0)</f>
        <v>0</v>
      </c>
      <c r="J9094" s="3">
        <f t="shared" si="569"/>
        <v>1900</v>
      </c>
    </row>
    <row r="9095" spans="1:10" s="9" customFormat="1" x14ac:dyDescent="0.25">
      <c r="A9095" s="447"/>
      <c r="B9095" s="55" t="str">
        <f t="shared" si="566"/>
        <v>ENERO</v>
      </c>
      <c r="C9095" s="55">
        <f t="shared" si="567"/>
        <v>1</v>
      </c>
      <c r="D9095" s="3" t="str">
        <f t="shared" si="568"/>
        <v>SÁBADO</v>
      </c>
      <c r="E9095" s="427"/>
      <c r="F9095" s="31">
        <f>IFERROR(VLOOKUP(E9095,BD!$L$2:$Q$244,2,0),0)</f>
        <v>0</v>
      </c>
      <c r="G9095" s="424"/>
      <c r="H9095" s="31">
        <f>+IFERROR(VLOOKUP(E9095,BD!$L$2:$Q$244,6,0),0)</f>
        <v>0</v>
      </c>
      <c r="I9095" s="626">
        <f>IFERROR(G9095*VLOOKUP($E9095,BD!$L$2:$Q$244,5,0),0)</f>
        <v>0</v>
      </c>
      <c r="J9095" s="3">
        <f t="shared" si="569"/>
        <v>1900</v>
      </c>
    </row>
    <row r="9096" spans="1:10" s="9" customFormat="1" x14ac:dyDescent="0.25">
      <c r="A9096" s="447"/>
      <c r="B9096" s="55" t="str">
        <f t="shared" si="566"/>
        <v>ENERO</v>
      </c>
      <c r="C9096" s="55">
        <f t="shared" si="567"/>
        <v>1</v>
      </c>
      <c r="D9096" s="3" t="str">
        <f t="shared" si="568"/>
        <v>SÁBADO</v>
      </c>
      <c r="E9096" s="427"/>
      <c r="F9096" s="31">
        <f>IFERROR(VLOOKUP(E9096,BD!$L$2:$Q$244,2,0),0)</f>
        <v>0</v>
      </c>
      <c r="G9096" s="424"/>
      <c r="H9096" s="31">
        <f>+IFERROR(VLOOKUP(E9096,BD!$L$2:$Q$244,6,0),0)</f>
        <v>0</v>
      </c>
      <c r="I9096" s="626">
        <f>IFERROR(G9096*VLOOKUP($E9096,BD!$L$2:$Q$244,5,0),0)</f>
        <v>0</v>
      </c>
      <c r="J9096" s="3">
        <f t="shared" si="569"/>
        <v>1900</v>
      </c>
    </row>
    <row r="9097" spans="1:10" s="9" customFormat="1" x14ac:dyDescent="0.25">
      <c r="A9097" s="447"/>
      <c r="B9097" s="55" t="str">
        <f t="shared" si="566"/>
        <v>ENERO</v>
      </c>
      <c r="C9097" s="55">
        <f t="shared" si="567"/>
        <v>1</v>
      </c>
      <c r="D9097" s="3" t="str">
        <f t="shared" si="568"/>
        <v>SÁBADO</v>
      </c>
      <c r="E9097" s="427"/>
      <c r="F9097" s="31">
        <f>IFERROR(VLOOKUP(E9097,BD!$L$2:$Q$244,2,0),0)</f>
        <v>0</v>
      </c>
      <c r="G9097" s="424"/>
      <c r="H9097" s="31">
        <f>+IFERROR(VLOOKUP(E9097,BD!$L$2:$Q$244,6,0),0)</f>
        <v>0</v>
      </c>
      <c r="I9097" s="626">
        <f>IFERROR(G9097*VLOOKUP($E9097,BD!$L$2:$Q$244,5,0),0)</f>
        <v>0</v>
      </c>
      <c r="J9097" s="3">
        <f t="shared" si="569"/>
        <v>1900</v>
      </c>
    </row>
    <row r="9098" spans="1:10" s="9" customFormat="1" x14ac:dyDescent="0.25">
      <c r="A9098" s="447"/>
      <c r="B9098" s="55" t="str">
        <f t="shared" si="566"/>
        <v>ENERO</v>
      </c>
      <c r="C9098" s="55">
        <f t="shared" si="567"/>
        <v>1</v>
      </c>
      <c r="D9098" s="3" t="str">
        <f t="shared" si="568"/>
        <v>SÁBADO</v>
      </c>
      <c r="E9098" s="427"/>
      <c r="F9098" s="31">
        <f>IFERROR(VLOOKUP(E9098,BD!$L$2:$Q$244,2,0),0)</f>
        <v>0</v>
      </c>
      <c r="G9098" s="424"/>
      <c r="H9098" s="31">
        <f>+IFERROR(VLOOKUP(E9098,BD!$L$2:$Q$244,6,0),0)</f>
        <v>0</v>
      </c>
      <c r="I9098" s="626">
        <f>IFERROR(G9098*VLOOKUP($E9098,BD!$L$2:$Q$244,5,0),0)</f>
        <v>0</v>
      </c>
      <c r="J9098" s="3">
        <f t="shared" si="569"/>
        <v>1900</v>
      </c>
    </row>
    <row r="9099" spans="1:10" s="9" customFormat="1" x14ac:dyDescent="0.25">
      <c r="A9099" s="447"/>
      <c r="B9099" s="55" t="str">
        <f t="shared" si="566"/>
        <v>ENERO</v>
      </c>
      <c r="C9099" s="55">
        <f t="shared" si="567"/>
        <v>1</v>
      </c>
      <c r="D9099" s="3" t="str">
        <f t="shared" si="568"/>
        <v>SÁBADO</v>
      </c>
      <c r="E9099" s="427"/>
      <c r="F9099" s="31">
        <f>IFERROR(VLOOKUP(E9099,BD!$L$2:$Q$244,2,0),0)</f>
        <v>0</v>
      </c>
      <c r="G9099" s="424"/>
      <c r="H9099" s="31">
        <f>+IFERROR(VLOOKUP(E9099,BD!$L$2:$Q$244,6,0),0)</f>
        <v>0</v>
      </c>
      <c r="I9099" s="626">
        <f>IFERROR(G9099*VLOOKUP($E9099,BD!$L$2:$Q$244,5,0),0)</f>
        <v>0</v>
      </c>
      <c r="J9099" s="3">
        <f t="shared" si="569"/>
        <v>1900</v>
      </c>
    </row>
    <row r="9100" spans="1:10" s="9" customFormat="1" x14ac:dyDescent="0.25">
      <c r="A9100" s="447"/>
      <c r="B9100" s="55" t="str">
        <f t="shared" si="566"/>
        <v>ENERO</v>
      </c>
      <c r="C9100" s="55">
        <f t="shared" si="567"/>
        <v>1</v>
      </c>
      <c r="D9100" s="3" t="str">
        <f t="shared" si="568"/>
        <v>SÁBADO</v>
      </c>
      <c r="E9100" s="427"/>
      <c r="F9100" s="31">
        <f>IFERROR(VLOOKUP(E9100,BD!$L$2:$Q$244,2,0),0)</f>
        <v>0</v>
      </c>
      <c r="G9100" s="424"/>
      <c r="H9100" s="31">
        <f>+IFERROR(VLOOKUP(E9100,BD!$L$2:$Q$244,6,0),0)</f>
        <v>0</v>
      </c>
      <c r="I9100" s="626">
        <f>IFERROR(G9100*VLOOKUP($E9100,BD!$L$2:$Q$244,5,0),0)</f>
        <v>0</v>
      </c>
      <c r="J9100" s="3">
        <f t="shared" si="569"/>
        <v>1900</v>
      </c>
    </row>
    <row r="9101" spans="1:10" s="9" customFormat="1" x14ac:dyDescent="0.25">
      <c r="A9101" s="447"/>
      <c r="B9101" s="55" t="str">
        <f t="shared" si="566"/>
        <v>ENERO</v>
      </c>
      <c r="C9101" s="55">
        <f t="shared" si="567"/>
        <v>1</v>
      </c>
      <c r="D9101" s="3" t="str">
        <f t="shared" si="568"/>
        <v>SÁBADO</v>
      </c>
      <c r="E9101" s="427"/>
      <c r="F9101" s="31">
        <f>IFERROR(VLOOKUP(E9101,BD!$L$2:$Q$244,2,0),0)</f>
        <v>0</v>
      </c>
      <c r="G9101" s="424"/>
      <c r="H9101" s="31">
        <f>+IFERROR(VLOOKUP(E9101,BD!$L$2:$Q$244,6,0),0)</f>
        <v>0</v>
      </c>
      <c r="I9101" s="626">
        <f>IFERROR(G9101*VLOOKUP($E9101,BD!$L$2:$Q$244,5,0),0)</f>
        <v>0</v>
      </c>
      <c r="J9101" s="3">
        <f t="shared" si="569"/>
        <v>1900</v>
      </c>
    </row>
    <row r="9102" spans="1:10" s="9" customFormat="1" x14ac:dyDescent="0.25">
      <c r="A9102" s="447"/>
      <c r="B9102" s="55" t="str">
        <f t="shared" si="566"/>
        <v>ENERO</v>
      </c>
      <c r="C9102" s="55">
        <f t="shared" si="567"/>
        <v>1</v>
      </c>
      <c r="D9102" s="3" t="str">
        <f t="shared" si="568"/>
        <v>SÁBADO</v>
      </c>
      <c r="E9102" s="427"/>
      <c r="F9102" s="31">
        <f>IFERROR(VLOOKUP(E9102,BD!$L$2:$Q$244,2,0),0)</f>
        <v>0</v>
      </c>
      <c r="G9102" s="424"/>
      <c r="H9102" s="31">
        <f>+IFERROR(VLOOKUP(E9102,BD!$L$2:$Q$244,6,0),0)</f>
        <v>0</v>
      </c>
      <c r="I9102" s="626">
        <f>IFERROR(G9102*VLOOKUP($E9102,BD!$L$2:$Q$244,5,0),0)</f>
        <v>0</v>
      </c>
      <c r="J9102" s="3">
        <f t="shared" si="569"/>
        <v>1900</v>
      </c>
    </row>
    <row r="9103" spans="1:10" s="9" customFormat="1" x14ac:dyDescent="0.25">
      <c r="A9103" s="447"/>
      <c r="B9103" s="55" t="str">
        <f t="shared" si="566"/>
        <v>ENERO</v>
      </c>
      <c r="C9103" s="55">
        <f t="shared" si="567"/>
        <v>1</v>
      </c>
      <c r="D9103" s="3" t="str">
        <f t="shared" si="568"/>
        <v>SÁBADO</v>
      </c>
      <c r="E9103" s="427"/>
      <c r="F9103" s="31">
        <f>IFERROR(VLOOKUP(E9103,BD!$L$2:$Q$244,2,0),0)</f>
        <v>0</v>
      </c>
      <c r="G9103" s="424"/>
      <c r="H9103" s="31">
        <f>+IFERROR(VLOOKUP(E9103,BD!$L$2:$Q$244,6,0),0)</f>
        <v>0</v>
      </c>
      <c r="I9103" s="626">
        <f>IFERROR(G9103*VLOOKUP($E9103,BD!$L$2:$Q$244,5,0),0)</f>
        <v>0</v>
      </c>
      <c r="J9103" s="3">
        <f t="shared" si="569"/>
        <v>1900</v>
      </c>
    </row>
    <row r="9104" spans="1:10" s="9" customFormat="1" x14ac:dyDescent="0.25">
      <c r="A9104" s="447"/>
      <c r="B9104" s="55" t="str">
        <f t="shared" si="566"/>
        <v>ENERO</v>
      </c>
      <c r="C9104" s="55">
        <f t="shared" si="567"/>
        <v>1</v>
      </c>
      <c r="D9104" s="3" t="str">
        <f t="shared" si="568"/>
        <v>SÁBADO</v>
      </c>
      <c r="E9104" s="427"/>
      <c r="F9104" s="31">
        <f>IFERROR(VLOOKUP(E9104,BD!$L$2:$Q$244,2,0),0)</f>
        <v>0</v>
      </c>
      <c r="G9104" s="424"/>
      <c r="H9104" s="31">
        <f>+IFERROR(VLOOKUP(E9104,BD!$L$2:$Q$244,6,0),0)</f>
        <v>0</v>
      </c>
      <c r="I9104" s="626">
        <f>IFERROR(G9104*VLOOKUP($E9104,BD!$L$2:$Q$244,5,0),0)</f>
        <v>0</v>
      </c>
      <c r="J9104" s="3">
        <f t="shared" si="569"/>
        <v>1900</v>
      </c>
    </row>
    <row r="9105" spans="1:10" s="9" customFormat="1" x14ac:dyDescent="0.25">
      <c r="A9105" s="447"/>
      <c r="B9105" s="55" t="str">
        <f t="shared" si="566"/>
        <v>ENERO</v>
      </c>
      <c r="C9105" s="55">
        <f t="shared" si="567"/>
        <v>1</v>
      </c>
      <c r="D9105" s="3" t="str">
        <f t="shared" si="568"/>
        <v>SÁBADO</v>
      </c>
      <c r="E9105" s="427"/>
      <c r="F9105" s="31">
        <f>IFERROR(VLOOKUP(E9105,BD!$L$2:$Q$244,2,0),0)</f>
        <v>0</v>
      </c>
      <c r="G9105" s="424"/>
      <c r="H9105" s="31">
        <f>+IFERROR(VLOOKUP(E9105,BD!$L$2:$Q$244,6,0),0)</f>
        <v>0</v>
      </c>
      <c r="I9105" s="626">
        <f>IFERROR(G9105*VLOOKUP($E9105,BD!$L$2:$Q$244,5,0),0)</f>
        <v>0</v>
      </c>
      <c r="J9105" s="3">
        <f t="shared" si="569"/>
        <v>1900</v>
      </c>
    </row>
    <row r="9106" spans="1:10" s="9" customFormat="1" x14ac:dyDescent="0.25">
      <c r="A9106" s="447"/>
      <c r="B9106" s="55" t="str">
        <f t="shared" si="566"/>
        <v>ENERO</v>
      </c>
      <c r="C9106" s="55">
        <f t="shared" si="567"/>
        <v>1</v>
      </c>
      <c r="D9106" s="3" t="str">
        <f t="shared" si="568"/>
        <v>SÁBADO</v>
      </c>
      <c r="E9106" s="427"/>
      <c r="F9106" s="31">
        <f>IFERROR(VLOOKUP(E9106,BD!$L$2:$Q$244,2,0),0)</f>
        <v>0</v>
      </c>
      <c r="G9106" s="424"/>
      <c r="H9106" s="31">
        <f>+IFERROR(VLOOKUP(E9106,BD!$L$2:$Q$244,6,0),0)</f>
        <v>0</v>
      </c>
      <c r="I9106" s="626">
        <f>IFERROR(G9106*VLOOKUP($E9106,BD!$L$2:$Q$244,5,0),0)</f>
        <v>0</v>
      </c>
      <c r="J9106" s="3">
        <f t="shared" si="569"/>
        <v>1900</v>
      </c>
    </row>
    <row r="9107" spans="1:10" s="9" customFormat="1" x14ac:dyDescent="0.25">
      <c r="A9107" s="447"/>
      <c r="B9107" s="55" t="str">
        <f t="shared" si="566"/>
        <v>ENERO</v>
      </c>
      <c r="C9107" s="55">
        <f t="shared" si="567"/>
        <v>1</v>
      </c>
      <c r="D9107" s="3" t="str">
        <f t="shared" si="568"/>
        <v>SÁBADO</v>
      </c>
      <c r="E9107" s="427"/>
      <c r="F9107" s="31">
        <f>IFERROR(VLOOKUP(E9107,BD!$L$2:$Q$244,2,0),0)</f>
        <v>0</v>
      </c>
      <c r="G9107" s="424"/>
      <c r="H9107" s="31">
        <f>+IFERROR(VLOOKUP(E9107,BD!$L$2:$Q$244,6,0),0)</f>
        <v>0</v>
      </c>
      <c r="I9107" s="626">
        <f>IFERROR(G9107*VLOOKUP($E9107,BD!$L$2:$Q$244,5,0),0)</f>
        <v>0</v>
      </c>
      <c r="J9107" s="3">
        <f t="shared" si="569"/>
        <v>1900</v>
      </c>
    </row>
    <row r="9108" spans="1:10" s="9" customFormat="1" x14ac:dyDescent="0.25">
      <c r="A9108" s="447"/>
      <c r="B9108" s="55" t="str">
        <f t="shared" si="566"/>
        <v>ENERO</v>
      </c>
      <c r="C9108" s="55">
        <f t="shared" si="567"/>
        <v>1</v>
      </c>
      <c r="D9108" s="3" t="str">
        <f t="shared" si="568"/>
        <v>SÁBADO</v>
      </c>
      <c r="E9108" s="427"/>
      <c r="F9108" s="31">
        <f>IFERROR(VLOOKUP(E9108,BD!$L$2:$Q$244,2,0),0)</f>
        <v>0</v>
      </c>
      <c r="G9108" s="424"/>
      <c r="H9108" s="31">
        <f>+IFERROR(VLOOKUP(E9108,BD!$L$2:$Q$244,6,0),0)</f>
        <v>0</v>
      </c>
      <c r="I9108" s="626">
        <f>IFERROR(G9108*VLOOKUP($E9108,BD!$L$2:$Q$244,5,0),0)</f>
        <v>0</v>
      </c>
      <c r="J9108" s="3">
        <f t="shared" si="569"/>
        <v>1900</v>
      </c>
    </row>
    <row r="9109" spans="1:10" s="9" customFormat="1" x14ac:dyDescent="0.25">
      <c r="A9109" s="447"/>
      <c r="B9109" s="55" t="str">
        <f t="shared" si="566"/>
        <v>ENERO</v>
      </c>
      <c r="C9109" s="55">
        <f t="shared" si="567"/>
        <v>1</v>
      </c>
      <c r="D9109" s="3" t="str">
        <f t="shared" si="568"/>
        <v>SÁBADO</v>
      </c>
      <c r="E9109" s="427"/>
      <c r="F9109" s="31">
        <f>IFERROR(VLOOKUP(E9109,BD!$L$2:$Q$244,2,0),0)</f>
        <v>0</v>
      </c>
      <c r="G9109" s="424"/>
      <c r="H9109" s="31">
        <f>+IFERROR(VLOOKUP(E9109,BD!$L$2:$Q$244,6,0),0)</f>
        <v>0</v>
      </c>
      <c r="I9109" s="626">
        <f>IFERROR(G9109*VLOOKUP($E9109,BD!$L$2:$Q$244,5,0),0)</f>
        <v>0</v>
      </c>
      <c r="J9109" s="3">
        <f t="shared" si="569"/>
        <v>1900</v>
      </c>
    </row>
    <row r="9110" spans="1:10" s="9" customFormat="1" x14ac:dyDescent="0.25">
      <c r="A9110" s="447"/>
      <c r="B9110" s="55" t="str">
        <f t="shared" si="566"/>
        <v>ENERO</v>
      </c>
      <c r="C9110" s="55">
        <f t="shared" si="567"/>
        <v>1</v>
      </c>
      <c r="D9110" s="3" t="str">
        <f t="shared" si="568"/>
        <v>SÁBADO</v>
      </c>
      <c r="E9110" s="427"/>
      <c r="F9110" s="31">
        <f>IFERROR(VLOOKUP(E9110,BD!$L$2:$Q$244,2,0),0)</f>
        <v>0</v>
      </c>
      <c r="G9110" s="424"/>
      <c r="H9110" s="31">
        <f>+IFERROR(VLOOKUP(E9110,BD!$L$2:$Q$244,6,0),0)</f>
        <v>0</v>
      </c>
      <c r="I9110" s="626">
        <f>IFERROR(G9110*VLOOKUP($E9110,BD!$L$2:$Q$244,5,0),0)</f>
        <v>0</v>
      </c>
      <c r="J9110" s="3">
        <f t="shared" si="569"/>
        <v>1900</v>
      </c>
    </row>
    <row r="9111" spans="1:10" s="9" customFormat="1" x14ac:dyDescent="0.25">
      <c r="A9111" s="447"/>
      <c r="B9111" s="55" t="str">
        <f t="shared" si="566"/>
        <v>ENERO</v>
      </c>
      <c r="C9111" s="55">
        <f t="shared" si="567"/>
        <v>1</v>
      </c>
      <c r="D9111" s="3" t="str">
        <f t="shared" si="568"/>
        <v>SÁBADO</v>
      </c>
      <c r="E9111" s="427"/>
      <c r="F9111" s="31">
        <f>IFERROR(VLOOKUP(E9111,BD!$L$2:$Q$244,2,0),0)</f>
        <v>0</v>
      </c>
      <c r="G9111" s="424"/>
      <c r="H9111" s="31">
        <f>+IFERROR(VLOOKUP(E9111,BD!$L$2:$Q$244,6,0),0)</f>
        <v>0</v>
      </c>
      <c r="I9111" s="626">
        <f>IFERROR(G9111*VLOOKUP($E9111,BD!$L$2:$Q$244,5,0),0)</f>
        <v>0</v>
      </c>
      <c r="J9111" s="3">
        <f t="shared" si="569"/>
        <v>1900</v>
      </c>
    </row>
    <row r="9112" spans="1:10" s="9" customFormat="1" x14ac:dyDescent="0.25">
      <c r="A9112" s="447"/>
      <c r="B9112" s="55" t="str">
        <f t="shared" si="566"/>
        <v>ENERO</v>
      </c>
      <c r="C9112" s="55">
        <f t="shared" si="567"/>
        <v>1</v>
      </c>
      <c r="D9112" s="3" t="str">
        <f t="shared" si="568"/>
        <v>SÁBADO</v>
      </c>
      <c r="E9112" s="427"/>
      <c r="F9112" s="31">
        <f>IFERROR(VLOOKUP(E9112,BD!$L$2:$Q$244,2,0),0)</f>
        <v>0</v>
      </c>
      <c r="G9112" s="424"/>
      <c r="H9112" s="31">
        <f>+IFERROR(VLOOKUP(E9112,BD!$L$2:$Q$244,6,0),0)</f>
        <v>0</v>
      </c>
      <c r="I9112" s="626">
        <f>IFERROR(G9112*VLOOKUP($E9112,BD!$L$2:$Q$244,5,0),0)</f>
        <v>0</v>
      </c>
      <c r="J9112" s="3">
        <f t="shared" si="569"/>
        <v>1900</v>
      </c>
    </row>
    <row r="9113" spans="1:10" s="9" customFormat="1" x14ac:dyDescent="0.25">
      <c r="A9113" s="447"/>
      <c r="B9113" s="55" t="str">
        <f t="shared" si="566"/>
        <v>ENERO</v>
      </c>
      <c r="C9113" s="55">
        <f t="shared" si="567"/>
        <v>1</v>
      </c>
      <c r="D9113" s="3" t="str">
        <f t="shared" si="568"/>
        <v>SÁBADO</v>
      </c>
      <c r="E9113" s="427"/>
      <c r="F9113" s="31">
        <f>IFERROR(VLOOKUP(E9113,BD!$L$2:$Q$244,2,0),0)</f>
        <v>0</v>
      </c>
      <c r="G9113" s="424"/>
      <c r="H9113" s="31">
        <f>+IFERROR(VLOOKUP(E9113,BD!$L$2:$Q$244,6,0),0)</f>
        <v>0</v>
      </c>
      <c r="I9113" s="626">
        <f>IFERROR(G9113*VLOOKUP($E9113,BD!$L$2:$Q$244,5,0),0)</f>
        <v>0</v>
      </c>
      <c r="J9113" s="3">
        <f t="shared" si="569"/>
        <v>1900</v>
      </c>
    </row>
    <row r="9114" spans="1:10" s="9" customFormat="1" x14ac:dyDescent="0.25">
      <c r="A9114" s="447"/>
      <c r="B9114" s="55" t="str">
        <f t="shared" si="566"/>
        <v>ENERO</v>
      </c>
      <c r="C9114" s="55">
        <f t="shared" si="567"/>
        <v>1</v>
      </c>
      <c r="D9114" s="3" t="str">
        <f t="shared" si="568"/>
        <v>SÁBADO</v>
      </c>
      <c r="E9114" s="427"/>
      <c r="F9114" s="31">
        <f>IFERROR(VLOOKUP(E9114,BD!$L$2:$Q$244,2,0),0)</f>
        <v>0</v>
      </c>
      <c r="G9114" s="424"/>
      <c r="H9114" s="31">
        <f>+IFERROR(VLOOKUP(E9114,BD!$L$2:$Q$244,6,0),0)</f>
        <v>0</v>
      </c>
      <c r="I9114" s="626">
        <f>IFERROR(G9114*VLOOKUP($E9114,BD!$L$2:$Q$244,5,0),0)</f>
        <v>0</v>
      </c>
      <c r="J9114" s="3">
        <f t="shared" si="569"/>
        <v>1900</v>
      </c>
    </row>
    <row r="9115" spans="1:10" s="9" customFormat="1" x14ac:dyDescent="0.25">
      <c r="A9115" s="447"/>
      <c r="B9115" s="55" t="str">
        <f t="shared" si="566"/>
        <v>ENERO</v>
      </c>
      <c r="C9115" s="55">
        <f t="shared" si="567"/>
        <v>1</v>
      </c>
      <c r="D9115" s="3" t="str">
        <f t="shared" si="568"/>
        <v>SÁBADO</v>
      </c>
      <c r="E9115" s="427"/>
      <c r="F9115" s="31">
        <f>IFERROR(VLOOKUP(E9115,BD!$L$2:$Q$244,2,0),0)</f>
        <v>0</v>
      </c>
      <c r="G9115" s="424"/>
      <c r="H9115" s="31">
        <f>+IFERROR(VLOOKUP(E9115,BD!$L$2:$Q$244,6,0),0)</f>
        <v>0</v>
      </c>
      <c r="I9115" s="626">
        <f>IFERROR(G9115*VLOOKUP($E9115,BD!$L$2:$Q$244,5,0),0)</f>
        <v>0</v>
      </c>
      <c r="J9115" s="3">
        <f t="shared" si="569"/>
        <v>1900</v>
      </c>
    </row>
    <row r="9116" spans="1:10" s="9" customFormat="1" x14ac:dyDescent="0.25">
      <c r="A9116" s="447"/>
      <c r="B9116" s="55" t="str">
        <f t="shared" si="566"/>
        <v>ENERO</v>
      </c>
      <c r="C9116" s="55">
        <f t="shared" si="567"/>
        <v>1</v>
      </c>
      <c r="D9116" s="3" t="str">
        <f t="shared" si="568"/>
        <v>SÁBADO</v>
      </c>
      <c r="E9116" s="427"/>
      <c r="F9116" s="31">
        <f>IFERROR(VLOOKUP(E9116,BD!$L$2:$Q$244,2,0),0)</f>
        <v>0</v>
      </c>
      <c r="G9116" s="424"/>
      <c r="H9116" s="31">
        <f>+IFERROR(VLOOKUP(E9116,BD!$L$2:$Q$244,6,0),0)</f>
        <v>0</v>
      </c>
      <c r="I9116" s="626">
        <f>IFERROR(G9116*VLOOKUP($E9116,BD!$L$2:$Q$244,5,0),0)</f>
        <v>0</v>
      </c>
      <c r="J9116" s="3">
        <f t="shared" si="569"/>
        <v>1900</v>
      </c>
    </row>
    <row r="9117" spans="1:10" s="9" customFormat="1" x14ac:dyDescent="0.25">
      <c r="A9117" s="447"/>
      <c r="B9117" s="55" t="str">
        <f t="shared" si="566"/>
        <v>ENERO</v>
      </c>
      <c r="C9117" s="55">
        <f t="shared" si="567"/>
        <v>1</v>
      </c>
      <c r="D9117" s="3" t="str">
        <f t="shared" si="568"/>
        <v>SÁBADO</v>
      </c>
      <c r="E9117" s="427"/>
      <c r="F9117" s="31">
        <f>IFERROR(VLOOKUP(E9117,BD!$L$2:$Q$244,2,0),0)</f>
        <v>0</v>
      </c>
      <c r="G9117" s="424"/>
      <c r="H9117" s="31">
        <f>+IFERROR(VLOOKUP(E9117,BD!$L$2:$Q$244,6,0),0)</f>
        <v>0</v>
      </c>
      <c r="I9117" s="626">
        <f>IFERROR(G9117*VLOOKUP($E9117,BD!$L$2:$Q$244,5,0),0)</f>
        <v>0</v>
      </c>
      <c r="J9117" s="3">
        <f t="shared" si="569"/>
        <v>1900</v>
      </c>
    </row>
    <row r="9118" spans="1:10" s="9" customFormat="1" x14ac:dyDescent="0.25">
      <c r="A9118" s="447"/>
      <c r="B9118" s="55" t="str">
        <f t="shared" si="566"/>
        <v>ENERO</v>
      </c>
      <c r="C9118" s="55">
        <f t="shared" si="567"/>
        <v>1</v>
      </c>
      <c r="D9118" s="3" t="str">
        <f t="shared" si="568"/>
        <v>SÁBADO</v>
      </c>
      <c r="E9118" s="427"/>
      <c r="F9118" s="31">
        <f>IFERROR(VLOOKUP(E9118,BD!$L$2:$Q$244,2,0),0)</f>
        <v>0</v>
      </c>
      <c r="G9118" s="424"/>
      <c r="H9118" s="31">
        <f>+IFERROR(VLOOKUP(E9118,BD!$L$2:$Q$244,6,0),0)</f>
        <v>0</v>
      </c>
      <c r="I9118" s="626">
        <f>IFERROR(G9118*VLOOKUP($E9118,BD!$L$2:$Q$244,5,0),0)</f>
        <v>0</v>
      </c>
      <c r="J9118" s="3">
        <f t="shared" si="569"/>
        <v>1900</v>
      </c>
    </row>
    <row r="9119" spans="1:10" s="9" customFormat="1" x14ac:dyDescent="0.25">
      <c r="A9119" s="447"/>
      <c r="B9119" s="55" t="str">
        <f t="shared" si="566"/>
        <v>ENERO</v>
      </c>
      <c r="C9119" s="55">
        <f t="shared" si="567"/>
        <v>1</v>
      </c>
      <c r="D9119" s="3" t="str">
        <f t="shared" si="568"/>
        <v>SÁBADO</v>
      </c>
      <c r="E9119" s="427"/>
      <c r="F9119" s="31">
        <f>IFERROR(VLOOKUP(E9119,BD!$L$2:$Q$244,2,0),0)</f>
        <v>0</v>
      </c>
      <c r="G9119" s="424"/>
      <c r="H9119" s="31">
        <f>+IFERROR(VLOOKUP(E9119,BD!$L$2:$Q$244,6,0),0)</f>
        <v>0</v>
      </c>
      <c r="I9119" s="626">
        <f>IFERROR(G9119*VLOOKUP($E9119,BD!$L$2:$Q$244,5,0),0)</f>
        <v>0</v>
      </c>
      <c r="J9119" s="3">
        <f t="shared" si="569"/>
        <v>1900</v>
      </c>
    </row>
    <row r="9120" spans="1:10" s="9" customFormat="1" x14ac:dyDescent="0.25">
      <c r="A9120" s="447"/>
      <c r="B9120" s="55" t="str">
        <f t="shared" si="566"/>
        <v>ENERO</v>
      </c>
      <c r="C9120" s="55">
        <f t="shared" si="567"/>
        <v>1</v>
      </c>
      <c r="D9120" s="3" t="str">
        <f t="shared" si="568"/>
        <v>SÁBADO</v>
      </c>
      <c r="E9120" s="427"/>
      <c r="F9120" s="31">
        <f>IFERROR(VLOOKUP(E9120,BD!$L$2:$Q$244,2,0),0)</f>
        <v>0</v>
      </c>
      <c r="G9120" s="424"/>
      <c r="H9120" s="31">
        <f>+IFERROR(VLOOKUP(E9120,BD!$L$2:$Q$244,6,0),0)</f>
        <v>0</v>
      </c>
      <c r="I9120" s="626">
        <f>IFERROR(G9120*VLOOKUP($E9120,BD!$L$2:$Q$244,5,0),0)</f>
        <v>0</v>
      </c>
      <c r="J9120" s="3">
        <f t="shared" si="569"/>
        <v>1900</v>
      </c>
    </row>
    <row r="9121" spans="1:10" s="9" customFormat="1" x14ac:dyDescent="0.25">
      <c r="A9121" s="447"/>
      <c r="B9121" s="55" t="str">
        <f t="shared" si="566"/>
        <v>ENERO</v>
      </c>
      <c r="C9121" s="55">
        <f t="shared" si="567"/>
        <v>1</v>
      </c>
      <c r="D9121" s="3" t="str">
        <f t="shared" si="568"/>
        <v>SÁBADO</v>
      </c>
      <c r="E9121" s="427"/>
      <c r="F9121" s="31">
        <f>IFERROR(VLOOKUP(E9121,BD!$L$2:$Q$244,2,0),0)</f>
        <v>0</v>
      </c>
      <c r="G9121" s="424"/>
      <c r="H9121" s="31">
        <f>+IFERROR(VLOOKUP(E9121,BD!$L$2:$Q$244,6,0),0)</f>
        <v>0</v>
      </c>
      <c r="I9121" s="626">
        <f>IFERROR(G9121*VLOOKUP($E9121,BD!$L$2:$Q$244,5,0),0)</f>
        <v>0</v>
      </c>
      <c r="J9121" s="3">
        <f t="shared" si="569"/>
        <v>1900</v>
      </c>
    </row>
    <row r="9122" spans="1:10" s="9" customFormat="1" x14ac:dyDescent="0.25">
      <c r="A9122" s="447"/>
      <c r="B9122" s="55" t="str">
        <f t="shared" si="566"/>
        <v>ENERO</v>
      </c>
      <c r="C9122" s="55">
        <f t="shared" si="567"/>
        <v>1</v>
      </c>
      <c r="D9122" s="3" t="str">
        <f t="shared" si="568"/>
        <v>SÁBADO</v>
      </c>
      <c r="E9122" s="427"/>
      <c r="F9122" s="31">
        <f>IFERROR(VLOOKUP(E9122,BD!$L$2:$Q$244,2,0),0)</f>
        <v>0</v>
      </c>
      <c r="G9122" s="424"/>
      <c r="H9122" s="31">
        <f>+IFERROR(VLOOKUP(E9122,BD!$L$2:$Q$244,6,0),0)</f>
        <v>0</v>
      </c>
      <c r="I9122" s="626">
        <f>IFERROR(G9122*VLOOKUP($E9122,BD!$L$2:$Q$244,5,0),0)</f>
        <v>0</v>
      </c>
      <c r="J9122" s="3">
        <f t="shared" si="569"/>
        <v>1900</v>
      </c>
    </row>
    <row r="9123" spans="1:10" s="9" customFormat="1" x14ac:dyDescent="0.25">
      <c r="A9123" s="447"/>
      <c r="B9123" s="55" t="str">
        <f t="shared" si="566"/>
        <v>ENERO</v>
      </c>
      <c r="C9123" s="55">
        <f t="shared" si="567"/>
        <v>1</v>
      </c>
      <c r="D9123" s="3" t="str">
        <f t="shared" si="568"/>
        <v>SÁBADO</v>
      </c>
      <c r="E9123" s="427"/>
      <c r="F9123" s="31">
        <f>IFERROR(VLOOKUP(E9123,BD!$L$2:$Q$244,2,0),0)</f>
        <v>0</v>
      </c>
      <c r="G9123" s="424"/>
      <c r="H9123" s="31">
        <f>+IFERROR(VLOOKUP(E9123,BD!$L$2:$Q$244,6,0),0)</f>
        <v>0</v>
      </c>
      <c r="I9123" s="626">
        <f>IFERROR(G9123*VLOOKUP($E9123,BD!$L$2:$Q$244,5,0),0)</f>
        <v>0</v>
      </c>
      <c r="J9123" s="3">
        <f t="shared" si="569"/>
        <v>1900</v>
      </c>
    </row>
    <row r="9124" spans="1:10" s="9" customFormat="1" x14ac:dyDescent="0.25">
      <c r="A9124" s="447"/>
      <c r="B9124" s="55" t="str">
        <f t="shared" si="566"/>
        <v>ENERO</v>
      </c>
      <c r="C9124" s="55">
        <f t="shared" si="567"/>
        <v>1</v>
      </c>
      <c r="D9124" s="3" t="str">
        <f t="shared" si="568"/>
        <v>SÁBADO</v>
      </c>
      <c r="E9124" s="427"/>
      <c r="F9124" s="31">
        <f>IFERROR(VLOOKUP(E9124,BD!$L$2:$Q$244,2,0),0)</f>
        <v>0</v>
      </c>
      <c r="G9124" s="424"/>
      <c r="H9124" s="31">
        <f>+IFERROR(VLOOKUP(E9124,BD!$L$2:$Q$244,6,0),0)</f>
        <v>0</v>
      </c>
      <c r="I9124" s="626">
        <f>IFERROR(G9124*VLOOKUP($E9124,BD!$L$2:$Q$244,5,0),0)</f>
        <v>0</v>
      </c>
      <c r="J9124" s="3">
        <f t="shared" si="569"/>
        <v>1900</v>
      </c>
    </row>
    <row r="9125" spans="1:10" s="9" customFormat="1" x14ac:dyDescent="0.25">
      <c r="A9125" s="447"/>
      <c r="B9125" s="55" t="str">
        <f t="shared" si="566"/>
        <v>ENERO</v>
      </c>
      <c r="C9125" s="55">
        <f t="shared" si="567"/>
        <v>1</v>
      </c>
      <c r="D9125" s="3" t="str">
        <f t="shared" si="568"/>
        <v>SÁBADO</v>
      </c>
      <c r="E9125" s="427"/>
      <c r="F9125" s="31">
        <f>IFERROR(VLOOKUP(E9125,BD!$L$2:$Q$244,2,0),0)</f>
        <v>0</v>
      </c>
      <c r="G9125" s="424"/>
      <c r="H9125" s="31">
        <f>+IFERROR(VLOOKUP(E9125,BD!$L$2:$Q$244,6,0),0)</f>
        <v>0</v>
      </c>
      <c r="I9125" s="626">
        <f>IFERROR(G9125*VLOOKUP($E9125,BD!$L$2:$Q$244,5,0),0)</f>
        <v>0</v>
      </c>
      <c r="J9125" s="3">
        <f t="shared" si="569"/>
        <v>1900</v>
      </c>
    </row>
    <row r="9126" spans="1:10" s="9" customFormat="1" x14ac:dyDescent="0.25">
      <c r="A9126" s="447"/>
      <c r="B9126" s="55" t="str">
        <f t="shared" si="566"/>
        <v>ENERO</v>
      </c>
      <c r="C9126" s="55">
        <f t="shared" si="567"/>
        <v>1</v>
      </c>
      <c r="D9126" s="3" t="str">
        <f t="shared" si="568"/>
        <v>SÁBADO</v>
      </c>
      <c r="E9126" s="427"/>
      <c r="F9126" s="31">
        <f>IFERROR(VLOOKUP(E9126,BD!$L$2:$Q$244,2,0),0)</f>
        <v>0</v>
      </c>
      <c r="G9126" s="425"/>
      <c r="H9126" s="31">
        <f>+IFERROR(VLOOKUP(E9126,BD!$L$2:$Q$244,6,0),0)</f>
        <v>0</v>
      </c>
      <c r="I9126" s="626">
        <f>IFERROR(G9126*VLOOKUP($E9126,BD!$L$2:$Q$244,5,0),0)</f>
        <v>0</v>
      </c>
      <c r="J9126" s="3">
        <f t="shared" si="569"/>
        <v>1900</v>
      </c>
    </row>
    <row r="9127" spans="1:10" s="9" customFormat="1" x14ac:dyDescent="0.25">
      <c r="A9127" s="447"/>
      <c r="B9127" s="55" t="str">
        <f t="shared" si="566"/>
        <v>ENERO</v>
      </c>
      <c r="C9127" s="55">
        <f t="shared" si="567"/>
        <v>1</v>
      </c>
      <c r="D9127" s="3" t="str">
        <f t="shared" si="568"/>
        <v>SÁBADO</v>
      </c>
      <c r="E9127" s="427"/>
      <c r="F9127" s="31">
        <f>IFERROR(VLOOKUP(E9127,BD!$L$2:$Q$244,2,0),0)</f>
        <v>0</v>
      </c>
      <c r="G9127" s="424"/>
      <c r="H9127" s="31">
        <f>+IFERROR(VLOOKUP(E9127,BD!$L$2:$Q$244,6,0),0)</f>
        <v>0</v>
      </c>
      <c r="I9127" s="626">
        <f>IFERROR(G9127*VLOOKUP($E9127,BD!$L$2:$Q$244,5,0),0)</f>
        <v>0</v>
      </c>
      <c r="J9127" s="3">
        <f t="shared" si="569"/>
        <v>1900</v>
      </c>
    </row>
    <row r="9128" spans="1:10" s="9" customFormat="1" x14ac:dyDescent="0.25">
      <c r="A9128" s="447"/>
      <c r="B9128" s="55" t="str">
        <f t="shared" si="566"/>
        <v>ENERO</v>
      </c>
      <c r="C9128" s="55">
        <f t="shared" si="567"/>
        <v>1</v>
      </c>
      <c r="D9128" s="3" t="str">
        <f t="shared" si="568"/>
        <v>SÁBADO</v>
      </c>
      <c r="E9128" s="427"/>
      <c r="F9128" s="31">
        <f>IFERROR(VLOOKUP(E9128,BD!$L$2:$Q$244,2,0),0)</f>
        <v>0</v>
      </c>
      <c r="G9128" s="424"/>
      <c r="H9128" s="31">
        <f>+IFERROR(VLOOKUP(E9128,BD!$L$2:$Q$244,6,0),0)</f>
        <v>0</v>
      </c>
      <c r="I9128" s="626">
        <f>IFERROR(G9128*VLOOKUP($E9128,BD!$L$2:$Q$244,5,0),0)</f>
        <v>0</v>
      </c>
      <c r="J9128" s="3">
        <f t="shared" si="569"/>
        <v>1900</v>
      </c>
    </row>
    <row r="9129" spans="1:10" s="9" customFormat="1" x14ac:dyDescent="0.25">
      <c r="A9129" s="447"/>
      <c r="B9129" s="55" t="str">
        <f t="shared" si="566"/>
        <v>ENERO</v>
      </c>
      <c r="C9129" s="55">
        <f t="shared" si="567"/>
        <v>1</v>
      </c>
      <c r="D9129" s="3" t="str">
        <f t="shared" si="568"/>
        <v>SÁBADO</v>
      </c>
      <c r="E9129" s="427"/>
      <c r="F9129" s="31">
        <f>IFERROR(VLOOKUP(E9129,BD!$L$2:$Q$244,2,0),0)</f>
        <v>0</v>
      </c>
      <c r="G9129" s="424"/>
      <c r="H9129" s="31">
        <f>+IFERROR(VLOOKUP(E9129,BD!$L$2:$Q$244,6,0),0)</f>
        <v>0</v>
      </c>
      <c r="I9129" s="626">
        <f>IFERROR(G9129*VLOOKUP($E9129,BD!$L$2:$Q$244,5,0),0)</f>
        <v>0</v>
      </c>
      <c r="J9129" s="3">
        <f t="shared" si="569"/>
        <v>1900</v>
      </c>
    </row>
    <row r="9130" spans="1:10" s="9" customFormat="1" x14ac:dyDescent="0.25">
      <c r="A9130" s="447"/>
      <c r="B9130" s="55" t="str">
        <f t="shared" si="566"/>
        <v>ENERO</v>
      </c>
      <c r="C9130" s="55">
        <f t="shared" si="567"/>
        <v>1</v>
      </c>
      <c r="D9130" s="3" t="str">
        <f t="shared" si="568"/>
        <v>SÁBADO</v>
      </c>
      <c r="E9130" s="427"/>
      <c r="F9130" s="31">
        <f>IFERROR(VLOOKUP(E9130,BD!$L$2:$Q$244,2,0),0)</f>
        <v>0</v>
      </c>
      <c r="G9130" s="424"/>
      <c r="H9130" s="31">
        <f>+IFERROR(VLOOKUP(E9130,BD!$L$2:$Q$244,6,0),0)</f>
        <v>0</v>
      </c>
      <c r="I9130" s="626">
        <f>IFERROR(G9130*VLOOKUP($E9130,BD!$L$2:$Q$244,5,0),0)</f>
        <v>0</v>
      </c>
      <c r="J9130" s="3">
        <f t="shared" si="569"/>
        <v>1900</v>
      </c>
    </row>
    <row r="9131" spans="1:10" s="9" customFormat="1" x14ac:dyDescent="0.25">
      <c r="A9131" s="447"/>
      <c r="B9131" s="55" t="str">
        <f t="shared" si="566"/>
        <v>ENERO</v>
      </c>
      <c r="C9131" s="55">
        <f t="shared" si="567"/>
        <v>1</v>
      </c>
      <c r="D9131" s="3" t="str">
        <f t="shared" si="568"/>
        <v>SÁBADO</v>
      </c>
      <c r="E9131" s="427"/>
      <c r="F9131" s="31">
        <f>IFERROR(VLOOKUP(E9131,BD!$L$2:$Q$244,2,0),0)</f>
        <v>0</v>
      </c>
      <c r="G9131" s="424"/>
      <c r="H9131" s="31">
        <f>+IFERROR(VLOOKUP(E9131,BD!$L$2:$Q$244,6,0),0)</f>
        <v>0</v>
      </c>
      <c r="I9131" s="626">
        <f>IFERROR(G9131*VLOOKUP($E9131,BD!$L$2:$Q$244,5,0),0)</f>
        <v>0</v>
      </c>
      <c r="J9131" s="3">
        <f t="shared" si="569"/>
        <v>1900</v>
      </c>
    </row>
    <row r="9132" spans="1:10" s="9" customFormat="1" x14ac:dyDescent="0.25">
      <c r="A9132" s="447"/>
      <c r="B9132" s="55" t="str">
        <f t="shared" si="566"/>
        <v>ENERO</v>
      </c>
      <c r="C9132" s="55">
        <f t="shared" si="567"/>
        <v>1</v>
      </c>
      <c r="D9132" s="3" t="str">
        <f t="shared" si="568"/>
        <v>SÁBADO</v>
      </c>
      <c r="E9132" s="427"/>
      <c r="F9132" s="31">
        <f>IFERROR(VLOOKUP(E9132,BD!$L$2:$Q$244,2,0),0)</f>
        <v>0</v>
      </c>
      <c r="G9132" s="424"/>
      <c r="H9132" s="31">
        <f>+IFERROR(VLOOKUP(E9132,BD!$L$2:$Q$244,6,0),0)</f>
        <v>0</v>
      </c>
      <c r="I9132" s="626">
        <f>IFERROR(G9132*VLOOKUP($E9132,BD!$L$2:$Q$244,5,0),0)</f>
        <v>0</v>
      </c>
      <c r="J9132" s="3">
        <f t="shared" si="569"/>
        <v>1900</v>
      </c>
    </row>
    <row r="9133" spans="1:10" s="9" customFormat="1" x14ac:dyDescent="0.25">
      <c r="A9133" s="447"/>
      <c r="B9133" s="55" t="str">
        <f t="shared" si="566"/>
        <v>ENERO</v>
      </c>
      <c r="C9133" s="55">
        <f t="shared" si="567"/>
        <v>1</v>
      </c>
      <c r="D9133" s="3" t="str">
        <f t="shared" si="568"/>
        <v>SÁBADO</v>
      </c>
      <c r="E9133" s="427"/>
      <c r="F9133" s="31">
        <f>IFERROR(VLOOKUP(E9133,BD!$L$2:$Q$244,2,0),0)</f>
        <v>0</v>
      </c>
      <c r="G9133" s="424"/>
      <c r="H9133" s="31">
        <f>+IFERROR(VLOOKUP(E9133,BD!$L$2:$Q$244,6,0),0)</f>
        <v>0</v>
      </c>
      <c r="I9133" s="626">
        <f>IFERROR(G9133*VLOOKUP($E9133,BD!$L$2:$Q$244,5,0),0)</f>
        <v>0</v>
      </c>
      <c r="J9133" s="3">
        <f t="shared" si="569"/>
        <v>1900</v>
      </c>
    </row>
    <row r="9134" spans="1:10" s="9" customFormat="1" x14ac:dyDescent="0.25">
      <c r="A9134" s="447"/>
      <c r="B9134" s="55" t="str">
        <f t="shared" si="566"/>
        <v>ENERO</v>
      </c>
      <c r="C9134" s="55">
        <f t="shared" si="567"/>
        <v>1</v>
      </c>
      <c r="D9134" s="3" t="str">
        <f t="shared" si="568"/>
        <v>SÁBADO</v>
      </c>
      <c r="E9134" s="427"/>
      <c r="F9134" s="31">
        <f>IFERROR(VLOOKUP(E9134,BD!$L$2:$Q$244,2,0),0)</f>
        <v>0</v>
      </c>
      <c r="G9134" s="424"/>
      <c r="H9134" s="31">
        <f>+IFERROR(VLOOKUP(E9134,BD!$L$2:$Q$244,6,0),0)</f>
        <v>0</v>
      </c>
      <c r="I9134" s="626">
        <f>IFERROR(G9134*VLOOKUP($E9134,BD!$L$2:$Q$244,5,0),0)</f>
        <v>0</v>
      </c>
      <c r="J9134" s="3">
        <f t="shared" si="569"/>
        <v>1900</v>
      </c>
    </row>
    <row r="9135" spans="1:10" s="9" customFormat="1" x14ac:dyDescent="0.25">
      <c r="A9135" s="447"/>
      <c r="B9135" s="55" t="str">
        <f t="shared" si="566"/>
        <v>ENERO</v>
      </c>
      <c r="C9135" s="55">
        <f t="shared" si="567"/>
        <v>1</v>
      </c>
      <c r="D9135" s="3" t="str">
        <f t="shared" si="568"/>
        <v>SÁBADO</v>
      </c>
      <c r="E9135" s="427"/>
      <c r="F9135" s="31">
        <f>IFERROR(VLOOKUP(E9135,BD!$L$2:$Q$244,2,0),0)</f>
        <v>0</v>
      </c>
      <c r="G9135" s="425"/>
      <c r="H9135" s="31">
        <f>+IFERROR(VLOOKUP(E9135,BD!$L$2:$Q$244,6,0),0)</f>
        <v>0</v>
      </c>
      <c r="I9135" s="626">
        <f>IFERROR(G9135*VLOOKUP($E9135,BD!$L$2:$Q$244,5,0),0)</f>
        <v>0</v>
      </c>
      <c r="J9135" s="3">
        <f t="shared" si="569"/>
        <v>1900</v>
      </c>
    </row>
    <row r="9136" spans="1:10" s="9" customFormat="1" x14ac:dyDescent="0.25">
      <c r="A9136" s="447"/>
      <c r="B9136" s="55" t="str">
        <f t="shared" si="566"/>
        <v>ENERO</v>
      </c>
      <c r="C9136" s="55">
        <f t="shared" si="567"/>
        <v>1</v>
      </c>
      <c r="D9136" s="3" t="str">
        <f t="shared" si="568"/>
        <v>SÁBADO</v>
      </c>
      <c r="E9136" s="427"/>
      <c r="F9136" s="31">
        <f>IFERROR(VLOOKUP(E9136,BD!$L$2:$Q$244,2,0),0)</f>
        <v>0</v>
      </c>
      <c r="G9136" s="425"/>
      <c r="H9136" s="31">
        <f>+IFERROR(VLOOKUP(E9136,BD!$L$2:$Q$244,6,0),0)</f>
        <v>0</v>
      </c>
      <c r="I9136" s="626">
        <f>IFERROR(G9136*VLOOKUP($E9136,BD!$L$2:$Q$244,5,0),0)</f>
        <v>0</v>
      </c>
      <c r="J9136" s="3">
        <f t="shared" si="569"/>
        <v>1900</v>
      </c>
    </row>
    <row r="9137" spans="1:10" s="9" customFormat="1" x14ac:dyDescent="0.25">
      <c r="A9137" s="447"/>
      <c r="B9137" s="55" t="str">
        <f t="shared" si="566"/>
        <v>ENERO</v>
      </c>
      <c r="C9137" s="55">
        <f t="shared" si="567"/>
        <v>1</v>
      </c>
      <c r="D9137" s="3" t="str">
        <f t="shared" si="568"/>
        <v>SÁBADO</v>
      </c>
      <c r="E9137" s="427"/>
      <c r="F9137" s="31">
        <f>IFERROR(VLOOKUP(E9137,BD!$L$2:$Q$244,2,0),0)</f>
        <v>0</v>
      </c>
      <c r="G9137" s="424"/>
      <c r="H9137" s="31">
        <f>+IFERROR(VLOOKUP(E9137,BD!$L$2:$Q$244,6,0),0)</f>
        <v>0</v>
      </c>
      <c r="I9137" s="626">
        <f>IFERROR(G9137*VLOOKUP($E9137,BD!$L$2:$Q$244,5,0),0)</f>
        <v>0</v>
      </c>
      <c r="J9137" s="3">
        <f t="shared" si="569"/>
        <v>1900</v>
      </c>
    </row>
    <row r="9138" spans="1:10" s="9" customFormat="1" x14ac:dyDescent="0.25">
      <c r="A9138" s="447"/>
      <c r="B9138" s="55" t="str">
        <f t="shared" si="566"/>
        <v>ENERO</v>
      </c>
      <c r="C9138" s="55">
        <f t="shared" si="567"/>
        <v>1</v>
      </c>
      <c r="D9138" s="3" t="str">
        <f t="shared" si="568"/>
        <v>SÁBADO</v>
      </c>
      <c r="E9138" s="427"/>
      <c r="F9138" s="31">
        <f>IFERROR(VLOOKUP(E9138,BD!$L$2:$Q$244,2,0),0)</f>
        <v>0</v>
      </c>
      <c r="G9138" s="424"/>
      <c r="H9138" s="31">
        <f>+IFERROR(VLOOKUP(E9138,BD!$L$2:$Q$244,6,0),0)</f>
        <v>0</v>
      </c>
      <c r="I9138" s="626">
        <f>IFERROR(G9138*VLOOKUP($E9138,BD!$L$2:$Q$244,5,0),0)</f>
        <v>0</v>
      </c>
      <c r="J9138" s="3">
        <f t="shared" si="569"/>
        <v>1900</v>
      </c>
    </row>
    <row r="9139" spans="1:10" s="9" customFormat="1" x14ac:dyDescent="0.25">
      <c r="A9139" s="447"/>
      <c r="B9139" s="55" t="str">
        <f t="shared" si="566"/>
        <v>ENERO</v>
      </c>
      <c r="C9139" s="55">
        <f t="shared" si="567"/>
        <v>1</v>
      </c>
      <c r="D9139" s="3" t="str">
        <f t="shared" si="568"/>
        <v>SÁBADO</v>
      </c>
      <c r="E9139" s="427"/>
      <c r="F9139" s="31">
        <f>IFERROR(VLOOKUP(E9139,BD!$L$2:$Q$244,2,0),0)</f>
        <v>0</v>
      </c>
      <c r="G9139" s="424"/>
      <c r="H9139" s="31">
        <f>+IFERROR(VLOOKUP(E9139,BD!$L$2:$Q$244,6,0),0)</f>
        <v>0</v>
      </c>
      <c r="I9139" s="626">
        <f>IFERROR(G9139*VLOOKUP($E9139,BD!$L$2:$Q$244,5,0),0)</f>
        <v>0</v>
      </c>
      <c r="J9139" s="3">
        <f t="shared" si="569"/>
        <v>1900</v>
      </c>
    </row>
    <row r="9140" spans="1:10" s="9" customFormat="1" x14ac:dyDescent="0.25">
      <c r="A9140" s="447"/>
      <c r="B9140" s="55" t="str">
        <f t="shared" si="566"/>
        <v>ENERO</v>
      </c>
      <c r="C9140" s="55">
        <f t="shared" si="567"/>
        <v>1</v>
      </c>
      <c r="D9140" s="3" t="str">
        <f t="shared" si="568"/>
        <v>SÁBADO</v>
      </c>
      <c r="E9140" s="427"/>
      <c r="F9140" s="31">
        <f>IFERROR(VLOOKUP(E9140,BD!$L$2:$Q$244,2,0),0)</f>
        <v>0</v>
      </c>
      <c r="G9140" s="424"/>
      <c r="H9140" s="31">
        <f>+IFERROR(VLOOKUP(E9140,BD!$L$2:$Q$244,6,0),0)</f>
        <v>0</v>
      </c>
      <c r="I9140" s="626">
        <f>IFERROR(G9140*VLOOKUP($E9140,BD!$L$2:$Q$244,5,0),0)</f>
        <v>0</v>
      </c>
      <c r="J9140" s="3">
        <f t="shared" si="569"/>
        <v>1900</v>
      </c>
    </row>
    <row r="9141" spans="1:10" s="9" customFormat="1" x14ac:dyDescent="0.25">
      <c r="A9141" s="447"/>
      <c r="B9141" s="55" t="str">
        <f t="shared" si="566"/>
        <v>ENERO</v>
      </c>
      <c r="C9141" s="55">
        <f t="shared" si="567"/>
        <v>1</v>
      </c>
      <c r="D9141" s="3" t="str">
        <f t="shared" si="568"/>
        <v>SÁBADO</v>
      </c>
      <c r="E9141" s="427"/>
      <c r="F9141" s="31">
        <f>IFERROR(VLOOKUP(E9141,BD!$L$2:$Q$244,2,0),0)</f>
        <v>0</v>
      </c>
      <c r="G9141" s="424"/>
      <c r="H9141" s="31">
        <f>+IFERROR(VLOOKUP(E9141,BD!$L$2:$Q$244,6,0),0)</f>
        <v>0</v>
      </c>
      <c r="I9141" s="626">
        <f>IFERROR(G9141*VLOOKUP($E9141,BD!$L$2:$Q$244,5,0),0)</f>
        <v>0</v>
      </c>
      <c r="J9141" s="3">
        <f t="shared" si="569"/>
        <v>1900</v>
      </c>
    </row>
    <row r="9142" spans="1:10" s="9" customFormat="1" x14ac:dyDescent="0.25">
      <c r="A9142" s="447"/>
      <c r="B9142" s="55" t="str">
        <f t="shared" si="566"/>
        <v>ENERO</v>
      </c>
      <c r="C9142" s="55">
        <f t="shared" si="567"/>
        <v>1</v>
      </c>
      <c r="D9142" s="3" t="str">
        <f t="shared" si="568"/>
        <v>SÁBADO</v>
      </c>
      <c r="E9142" s="427"/>
      <c r="F9142" s="31">
        <f>IFERROR(VLOOKUP(E9142,BD!$L$2:$Q$244,2,0),0)</f>
        <v>0</v>
      </c>
      <c r="G9142" s="424"/>
      <c r="H9142" s="31">
        <f>+IFERROR(VLOOKUP(E9142,BD!$L$2:$Q$244,6,0),0)</f>
        <v>0</v>
      </c>
      <c r="I9142" s="626">
        <f>IFERROR(G9142*VLOOKUP($E9142,BD!$L$2:$Q$244,5,0),0)</f>
        <v>0</v>
      </c>
      <c r="J9142" s="3">
        <f t="shared" si="569"/>
        <v>1900</v>
      </c>
    </row>
    <row r="9143" spans="1:10" s="9" customFormat="1" x14ac:dyDescent="0.25">
      <c r="A9143" s="447"/>
      <c r="B9143" s="55" t="str">
        <f t="shared" si="566"/>
        <v>ENERO</v>
      </c>
      <c r="C9143" s="55">
        <f t="shared" si="567"/>
        <v>1</v>
      </c>
      <c r="D9143" s="3" t="str">
        <f t="shared" si="568"/>
        <v>SÁBADO</v>
      </c>
      <c r="E9143" s="427"/>
      <c r="F9143" s="31">
        <f>IFERROR(VLOOKUP(E9143,BD!$L$2:$Q$244,2,0),0)</f>
        <v>0</v>
      </c>
      <c r="G9143" s="424"/>
      <c r="H9143" s="31">
        <f>+IFERROR(VLOOKUP(E9143,BD!$L$2:$Q$244,6,0),0)</f>
        <v>0</v>
      </c>
      <c r="I9143" s="626">
        <f>IFERROR(G9143*VLOOKUP($E9143,BD!$L$2:$Q$244,5,0),0)</f>
        <v>0</v>
      </c>
      <c r="J9143" s="3">
        <f t="shared" si="569"/>
        <v>1900</v>
      </c>
    </row>
    <row r="9144" spans="1:10" s="9" customFormat="1" x14ac:dyDescent="0.25">
      <c r="A9144" s="447"/>
      <c r="B9144" s="55" t="str">
        <f t="shared" si="566"/>
        <v>ENERO</v>
      </c>
      <c r="C9144" s="55">
        <f t="shared" si="567"/>
        <v>1</v>
      </c>
      <c r="D9144" s="3" t="str">
        <f t="shared" si="568"/>
        <v>SÁBADO</v>
      </c>
      <c r="E9144" s="427"/>
      <c r="F9144" s="31">
        <f>IFERROR(VLOOKUP(E9144,BD!$L$2:$Q$244,2,0),0)</f>
        <v>0</v>
      </c>
      <c r="G9144" s="424"/>
      <c r="H9144" s="31">
        <f>+IFERROR(VLOOKUP(E9144,BD!$L$2:$Q$244,6,0),0)</f>
        <v>0</v>
      </c>
      <c r="I9144" s="626">
        <f>IFERROR(G9144*VLOOKUP($E9144,BD!$L$2:$Q$244,5,0),0)</f>
        <v>0</v>
      </c>
      <c r="J9144" s="3">
        <f t="shared" si="569"/>
        <v>1900</v>
      </c>
    </row>
    <row r="9145" spans="1:10" s="9" customFormat="1" x14ac:dyDescent="0.25">
      <c r="A9145" s="447"/>
      <c r="B9145" s="55" t="str">
        <f t="shared" si="566"/>
        <v>ENERO</v>
      </c>
      <c r="C9145" s="55">
        <f t="shared" si="567"/>
        <v>1</v>
      </c>
      <c r="D9145" s="3" t="str">
        <f t="shared" si="568"/>
        <v>SÁBADO</v>
      </c>
      <c r="E9145" s="427"/>
      <c r="F9145" s="31">
        <f>IFERROR(VLOOKUP(E9145,BD!$L$2:$Q$244,2,0),0)</f>
        <v>0</v>
      </c>
      <c r="G9145" s="424"/>
      <c r="H9145" s="31">
        <f>+IFERROR(VLOOKUP(E9145,BD!$L$2:$Q$244,6,0),0)</f>
        <v>0</v>
      </c>
      <c r="I9145" s="626">
        <f>IFERROR(G9145*VLOOKUP($E9145,BD!$L$2:$Q$244,5,0),0)</f>
        <v>0</v>
      </c>
      <c r="J9145" s="3">
        <f t="shared" si="569"/>
        <v>1900</v>
      </c>
    </row>
    <row r="9146" spans="1:10" s="9" customFormat="1" x14ac:dyDescent="0.25">
      <c r="A9146" s="447"/>
      <c r="B9146" s="55" t="str">
        <f t="shared" si="566"/>
        <v>ENERO</v>
      </c>
      <c r="C9146" s="55">
        <f t="shared" si="567"/>
        <v>1</v>
      </c>
      <c r="D9146" s="3" t="str">
        <f t="shared" si="568"/>
        <v>SÁBADO</v>
      </c>
      <c r="E9146" s="427"/>
      <c r="F9146" s="31">
        <f>IFERROR(VLOOKUP(E9146,BD!$L$2:$Q$244,2,0),0)</f>
        <v>0</v>
      </c>
      <c r="G9146" s="425"/>
      <c r="H9146" s="31">
        <f>+IFERROR(VLOOKUP(E9146,BD!$L$2:$Q$244,6,0),0)</f>
        <v>0</v>
      </c>
      <c r="I9146" s="626">
        <f>IFERROR(G9146*VLOOKUP($E9146,BD!$L$2:$Q$244,5,0),0)</f>
        <v>0</v>
      </c>
      <c r="J9146" s="3">
        <f t="shared" si="569"/>
        <v>1900</v>
      </c>
    </row>
    <row r="9147" spans="1:10" s="9" customFormat="1" x14ac:dyDescent="0.25">
      <c r="A9147" s="447"/>
      <c r="B9147" s="55" t="str">
        <f t="shared" si="566"/>
        <v>ENERO</v>
      </c>
      <c r="C9147" s="55">
        <f t="shared" si="567"/>
        <v>1</v>
      </c>
      <c r="D9147" s="3" t="str">
        <f t="shared" si="568"/>
        <v>SÁBADO</v>
      </c>
      <c r="E9147" s="427"/>
      <c r="F9147" s="31">
        <f>IFERROR(VLOOKUP(E9147,BD!$L$2:$Q$244,2,0),0)</f>
        <v>0</v>
      </c>
      <c r="G9147" s="424"/>
      <c r="H9147" s="31">
        <f>+IFERROR(VLOOKUP(E9147,BD!$L$2:$Q$244,6,0),0)</f>
        <v>0</v>
      </c>
      <c r="I9147" s="626">
        <f>IFERROR(G9147*VLOOKUP($E9147,BD!$L$2:$Q$244,5,0),0)</f>
        <v>0</v>
      </c>
      <c r="J9147" s="3">
        <f t="shared" si="569"/>
        <v>1900</v>
      </c>
    </row>
    <row r="9148" spans="1:10" s="9" customFormat="1" x14ac:dyDescent="0.25">
      <c r="A9148" s="447"/>
      <c r="B9148" s="55" t="str">
        <f t="shared" ref="B9148:B9211" si="570">UPPER(TEXT(A9148,"MMMM"))</f>
        <v>ENERO</v>
      </c>
      <c r="C9148" s="55">
        <f t="shared" ref="C9148:C9211" si="571">WEEKNUM(A9148,16)</f>
        <v>1</v>
      </c>
      <c r="D9148" s="3" t="str">
        <f t="shared" ref="D9148:D9211" si="572">UPPER(TEXT(A9148,"DDDD"))</f>
        <v>SÁBADO</v>
      </c>
      <c r="E9148" s="427"/>
      <c r="F9148" s="31">
        <f>IFERROR(VLOOKUP(E9148,BD!$L$2:$Q$244,2,0),0)</f>
        <v>0</v>
      </c>
      <c r="G9148" s="424"/>
      <c r="H9148" s="31">
        <f>+IFERROR(VLOOKUP(E9148,BD!$L$2:$Q$244,6,0),0)</f>
        <v>0</v>
      </c>
      <c r="I9148" s="626">
        <f>IFERROR(G9148*VLOOKUP($E9148,BD!$L$2:$Q$244,5,0),0)</f>
        <v>0</v>
      </c>
      <c r="J9148" s="3">
        <f t="shared" ref="J9148:J9211" si="573">+YEAR(A9148)</f>
        <v>1900</v>
      </c>
    </row>
    <row r="9149" spans="1:10" s="9" customFormat="1" x14ac:dyDescent="0.25">
      <c r="A9149" s="447"/>
      <c r="B9149" s="55" t="str">
        <f t="shared" si="570"/>
        <v>ENERO</v>
      </c>
      <c r="C9149" s="55">
        <f t="shared" si="571"/>
        <v>1</v>
      </c>
      <c r="D9149" s="3" t="str">
        <f t="shared" si="572"/>
        <v>SÁBADO</v>
      </c>
      <c r="E9149" s="427"/>
      <c r="F9149" s="31">
        <f>IFERROR(VLOOKUP(E9149,BD!$L$2:$Q$244,2,0),0)</f>
        <v>0</v>
      </c>
      <c r="G9149" s="424"/>
      <c r="H9149" s="31">
        <f>+IFERROR(VLOOKUP(E9149,BD!$L$2:$Q$244,6,0),0)</f>
        <v>0</v>
      </c>
      <c r="I9149" s="626">
        <f>IFERROR(G9149*VLOOKUP($E9149,BD!$L$2:$Q$244,5,0),0)</f>
        <v>0</v>
      </c>
      <c r="J9149" s="3">
        <f t="shared" si="573"/>
        <v>1900</v>
      </c>
    </row>
    <row r="9150" spans="1:10" s="9" customFormat="1" x14ac:dyDescent="0.25">
      <c r="A9150" s="447"/>
      <c r="B9150" s="55" t="str">
        <f t="shared" si="570"/>
        <v>ENERO</v>
      </c>
      <c r="C9150" s="55">
        <f t="shared" si="571"/>
        <v>1</v>
      </c>
      <c r="D9150" s="3" t="str">
        <f t="shared" si="572"/>
        <v>SÁBADO</v>
      </c>
      <c r="E9150" s="427"/>
      <c r="F9150" s="31">
        <f>IFERROR(VLOOKUP(E9150,BD!$L$2:$Q$244,2,0),0)</f>
        <v>0</v>
      </c>
      <c r="G9150" s="424"/>
      <c r="H9150" s="31">
        <f>+IFERROR(VLOOKUP(E9150,BD!$L$2:$Q$244,6,0),0)</f>
        <v>0</v>
      </c>
      <c r="I9150" s="626">
        <f>IFERROR(G9150*VLOOKUP($E9150,BD!$L$2:$Q$244,5,0),0)</f>
        <v>0</v>
      </c>
      <c r="J9150" s="3">
        <f t="shared" si="573"/>
        <v>1900</v>
      </c>
    </row>
    <row r="9151" spans="1:10" s="9" customFormat="1" x14ac:dyDescent="0.25">
      <c r="A9151" s="447"/>
      <c r="B9151" s="55" t="str">
        <f t="shared" si="570"/>
        <v>ENERO</v>
      </c>
      <c r="C9151" s="55">
        <f t="shared" si="571"/>
        <v>1</v>
      </c>
      <c r="D9151" s="3" t="str">
        <f t="shared" si="572"/>
        <v>SÁBADO</v>
      </c>
      <c r="E9151" s="427"/>
      <c r="F9151" s="31">
        <f>IFERROR(VLOOKUP(E9151,BD!$L$2:$Q$244,2,0),0)</f>
        <v>0</v>
      </c>
      <c r="G9151" s="425"/>
      <c r="H9151" s="31">
        <f>+IFERROR(VLOOKUP(E9151,BD!$L$2:$Q$244,6,0),0)</f>
        <v>0</v>
      </c>
      <c r="I9151" s="626">
        <f>IFERROR(G9151*VLOOKUP($E9151,BD!$L$2:$Q$244,5,0),0)</f>
        <v>0</v>
      </c>
      <c r="J9151" s="3">
        <f t="shared" si="573"/>
        <v>1900</v>
      </c>
    </row>
    <row r="9152" spans="1:10" s="9" customFormat="1" x14ac:dyDescent="0.25">
      <c r="A9152" s="447"/>
      <c r="B9152" s="55" t="str">
        <f t="shared" si="570"/>
        <v>ENERO</v>
      </c>
      <c r="C9152" s="55">
        <f t="shared" si="571"/>
        <v>1</v>
      </c>
      <c r="D9152" s="3" t="str">
        <f t="shared" si="572"/>
        <v>SÁBADO</v>
      </c>
      <c r="E9152" s="427"/>
      <c r="F9152" s="31">
        <f>IFERROR(VLOOKUP(E9152,BD!$L$2:$Q$244,2,0),0)</f>
        <v>0</v>
      </c>
      <c r="G9152" s="424"/>
      <c r="H9152" s="31">
        <f>+IFERROR(VLOOKUP(E9152,BD!$L$2:$Q$244,6,0),0)</f>
        <v>0</v>
      </c>
      <c r="I9152" s="626">
        <f>IFERROR(G9152*VLOOKUP($E9152,BD!$L$2:$Q$244,5,0),0)</f>
        <v>0</v>
      </c>
      <c r="J9152" s="3">
        <f t="shared" si="573"/>
        <v>1900</v>
      </c>
    </row>
    <row r="9153" spans="1:10" s="9" customFormat="1" x14ac:dyDescent="0.25">
      <c r="A9153" s="447"/>
      <c r="B9153" s="55" t="str">
        <f t="shared" si="570"/>
        <v>ENERO</v>
      </c>
      <c r="C9153" s="55">
        <f t="shared" si="571"/>
        <v>1</v>
      </c>
      <c r="D9153" s="3" t="str">
        <f t="shared" si="572"/>
        <v>SÁBADO</v>
      </c>
      <c r="E9153" s="427"/>
      <c r="F9153" s="31">
        <f>IFERROR(VLOOKUP(E9153,BD!$L$2:$Q$244,2,0),0)</f>
        <v>0</v>
      </c>
      <c r="G9153" s="424"/>
      <c r="H9153" s="31">
        <f>+IFERROR(VLOOKUP(E9153,BD!$L$2:$Q$244,6,0),0)</f>
        <v>0</v>
      </c>
      <c r="I9153" s="626">
        <f>IFERROR(G9153*VLOOKUP($E9153,BD!$L$2:$Q$244,5,0),0)</f>
        <v>0</v>
      </c>
      <c r="J9153" s="3">
        <f t="shared" si="573"/>
        <v>1900</v>
      </c>
    </row>
    <row r="9154" spans="1:10" s="9" customFormat="1" x14ac:dyDescent="0.25">
      <c r="A9154" s="447"/>
      <c r="B9154" s="55" t="str">
        <f t="shared" si="570"/>
        <v>ENERO</v>
      </c>
      <c r="C9154" s="55">
        <f t="shared" si="571"/>
        <v>1</v>
      </c>
      <c r="D9154" s="3" t="str">
        <f t="shared" si="572"/>
        <v>SÁBADO</v>
      </c>
      <c r="E9154" s="427"/>
      <c r="F9154" s="31">
        <f>IFERROR(VLOOKUP(E9154,BD!$L$2:$Q$244,2,0),0)</f>
        <v>0</v>
      </c>
      <c r="G9154" s="424"/>
      <c r="H9154" s="31">
        <f>+IFERROR(VLOOKUP(E9154,BD!$L$2:$Q$244,6,0),0)</f>
        <v>0</v>
      </c>
      <c r="I9154" s="626">
        <f>IFERROR(G9154*VLOOKUP($E9154,BD!$L$2:$Q$244,5,0),0)</f>
        <v>0</v>
      </c>
      <c r="J9154" s="3">
        <f t="shared" si="573"/>
        <v>1900</v>
      </c>
    </row>
    <row r="9155" spans="1:10" s="9" customFormat="1" x14ac:dyDescent="0.25">
      <c r="A9155" s="447"/>
      <c r="B9155" s="55" t="str">
        <f t="shared" si="570"/>
        <v>ENERO</v>
      </c>
      <c r="C9155" s="55">
        <f t="shared" si="571"/>
        <v>1</v>
      </c>
      <c r="D9155" s="3" t="str">
        <f t="shared" si="572"/>
        <v>SÁBADO</v>
      </c>
      <c r="E9155" s="427"/>
      <c r="F9155" s="31">
        <f>IFERROR(VLOOKUP(E9155,BD!$L$2:$Q$244,2,0),0)</f>
        <v>0</v>
      </c>
      <c r="G9155" s="424"/>
      <c r="H9155" s="31">
        <f>+IFERROR(VLOOKUP(E9155,BD!$L$2:$Q$244,6,0),0)</f>
        <v>0</v>
      </c>
      <c r="I9155" s="626">
        <f>IFERROR(G9155*VLOOKUP($E9155,BD!$L$2:$Q$244,5,0),0)</f>
        <v>0</v>
      </c>
      <c r="J9155" s="3">
        <f t="shared" si="573"/>
        <v>1900</v>
      </c>
    </row>
    <row r="9156" spans="1:10" s="9" customFormat="1" x14ac:dyDescent="0.25">
      <c r="A9156" s="447"/>
      <c r="B9156" s="55" t="str">
        <f t="shared" si="570"/>
        <v>ENERO</v>
      </c>
      <c r="C9156" s="55">
        <f t="shared" si="571"/>
        <v>1</v>
      </c>
      <c r="D9156" s="3" t="str">
        <f t="shared" si="572"/>
        <v>SÁBADO</v>
      </c>
      <c r="E9156" s="427"/>
      <c r="F9156" s="31">
        <f>IFERROR(VLOOKUP(E9156,BD!$L$2:$Q$244,2,0),0)</f>
        <v>0</v>
      </c>
      <c r="G9156" s="424"/>
      <c r="H9156" s="31">
        <f>+IFERROR(VLOOKUP(E9156,BD!$L$2:$Q$244,6,0),0)</f>
        <v>0</v>
      </c>
      <c r="I9156" s="626">
        <f>IFERROR(G9156*VLOOKUP($E9156,BD!$L$2:$Q$244,5,0),0)</f>
        <v>0</v>
      </c>
      <c r="J9156" s="3">
        <f t="shared" si="573"/>
        <v>1900</v>
      </c>
    </row>
    <row r="9157" spans="1:10" s="9" customFormat="1" x14ac:dyDescent="0.25">
      <c r="A9157" s="447"/>
      <c r="B9157" s="55" t="str">
        <f t="shared" si="570"/>
        <v>ENERO</v>
      </c>
      <c r="C9157" s="55">
        <f t="shared" si="571"/>
        <v>1</v>
      </c>
      <c r="D9157" s="3" t="str">
        <f t="shared" si="572"/>
        <v>SÁBADO</v>
      </c>
      <c r="E9157" s="427"/>
      <c r="F9157" s="31">
        <f>IFERROR(VLOOKUP(E9157,BD!$L$2:$Q$244,2,0),0)</f>
        <v>0</v>
      </c>
      <c r="G9157" s="425"/>
      <c r="H9157" s="31">
        <f>+IFERROR(VLOOKUP(E9157,BD!$L$2:$Q$244,6,0),0)</f>
        <v>0</v>
      </c>
      <c r="I9157" s="626">
        <f>IFERROR(G9157*VLOOKUP($E9157,BD!$L$2:$Q$244,5,0),0)</f>
        <v>0</v>
      </c>
      <c r="J9157" s="3">
        <f t="shared" si="573"/>
        <v>1900</v>
      </c>
    </row>
    <row r="9158" spans="1:10" s="9" customFormat="1" x14ac:dyDescent="0.25">
      <c r="A9158" s="447"/>
      <c r="B9158" s="55" t="str">
        <f t="shared" si="570"/>
        <v>ENERO</v>
      </c>
      <c r="C9158" s="55">
        <f t="shared" si="571"/>
        <v>1</v>
      </c>
      <c r="D9158" s="3" t="str">
        <f t="shared" si="572"/>
        <v>SÁBADO</v>
      </c>
      <c r="E9158" s="427"/>
      <c r="F9158" s="31">
        <f>IFERROR(VLOOKUP(E9158,BD!$L$2:$Q$244,2,0),0)</f>
        <v>0</v>
      </c>
      <c r="G9158" s="425"/>
      <c r="H9158" s="31">
        <f>+IFERROR(VLOOKUP(E9158,BD!$L$2:$Q$244,6,0),0)</f>
        <v>0</v>
      </c>
      <c r="I9158" s="626">
        <f>IFERROR(G9158*VLOOKUP($E9158,BD!$L$2:$Q$244,5,0),0)</f>
        <v>0</v>
      </c>
      <c r="J9158" s="3">
        <f t="shared" si="573"/>
        <v>1900</v>
      </c>
    </row>
    <row r="9159" spans="1:10" s="9" customFormat="1" x14ac:dyDescent="0.25">
      <c r="A9159" s="447"/>
      <c r="B9159" s="55" t="str">
        <f t="shared" si="570"/>
        <v>ENERO</v>
      </c>
      <c r="C9159" s="55">
        <f t="shared" si="571"/>
        <v>1</v>
      </c>
      <c r="D9159" s="3" t="str">
        <f t="shared" si="572"/>
        <v>SÁBADO</v>
      </c>
      <c r="E9159" s="427"/>
      <c r="F9159" s="31">
        <f>IFERROR(VLOOKUP(E9159,BD!$L$2:$Q$244,2,0),0)</f>
        <v>0</v>
      </c>
      <c r="G9159" s="424"/>
      <c r="H9159" s="31">
        <f>+IFERROR(VLOOKUP(E9159,BD!$L$2:$Q$244,6,0),0)</f>
        <v>0</v>
      </c>
      <c r="I9159" s="626">
        <f>IFERROR(G9159*VLOOKUP($E9159,BD!$L$2:$Q$244,5,0),0)</f>
        <v>0</v>
      </c>
      <c r="J9159" s="3">
        <f t="shared" si="573"/>
        <v>1900</v>
      </c>
    </row>
    <row r="9160" spans="1:10" s="9" customFormat="1" x14ac:dyDescent="0.25">
      <c r="A9160" s="447"/>
      <c r="B9160" s="55" t="str">
        <f t="shared" si="570"/>
        <v>ENERO</v>
      </c>
      <c r="C9160" s="55">
        <f t="shared" si="571"/>
        <v>1</v>
      </c>
      <c r="D9160" s="3" t="str">
        <f t="shared" si="572"/>
        <v>SÁBADO</v>
      </c>
      <c r="E9160" s="427"/>
      <c r="F9160" s="31">
        <f>IFERROR(VLOOKUP(E9160,BD!$L$2:$Q$244,2,0),0)</f>
        <v>0</v>
      </c>
      <c r="G9160" s="424"/>
      <c r="H9160" s="31">
        <f>+IFERROR(VLOOKUP(E9160,BD!$L$2:$Q$244,6,0),0)</f>
        <v>0</v>
      </c>
      <c r="I9160" s="626">
        <f>IFERROR(G9160*VLOOKUP($E9160,BD!$L$2:$Q$244,5,0),0)</f>
        <v>0</v>
      </c>
      <c r="J9160" s="3">
        <f t="shared" si="573"/>
        <v>1900</v>
      </c>
    </row>
    <row r="9161" spans="1:10" s="9" customFormat="1" x14ac:dyDescent="0.25">
      <c r="A9161" s="447"/>
      <c r="B9161" s="55" t="str">
        <f t="shared" si="570"/>
        <v>ENERO</v>
      </c>
      <c r="C9161" s="55">
        <f t="shared" si="571"/>
        <v>1</v>
      </c>
      <c r="D9161" s="3" t="str">
        <f t="shared" si="572"/>
        <v>SÁBADO</v>
      </c>
      <c r="E9161" s="427"/>
      <c r="F9161" s="31">
        <f>IFERROR(VLOOKUP(E9161,BD!$L$2:$Q$244,2,0),0)</f>
        <v>0</v>
      </c>
      <c r="G9161" s="424"/>
      <c r="H9161" s="31">
        <f>+IFERROR(VLOOKUP(E9161,BD!$L$2:$Q$244,6,0),0)</f>
        <v>0</v>
      </c>
      <c r="I9161" s="626">
        <f>IFERROR(G9161*VLOOKUP($E9161,BD!$L$2:$Q$244,5,0),0)</f>
        <v>0</v>
      </c>
      <c r="J9161" s="3">
        <f t="shared" si="573"/>
        <v>1900</v>
      </c>
    </row>
    <row r="9162" spans="1:10" s="9" customFormat="1" x14ac:dyDescent="0.25">
      <c r="A9162" s="447"/>
      <c r="B9162" s="55" t="str">
        <f t="shared" si="570"/>
        <v>ENERO</v>
      </c>
      <c r="C9162" s="55">
        <f t="shared" si="571"/>
        <v>1</v>
      </c>
      <c r="D9162" s="3" t="str">
        <f t="shared" si="572"/>
        <v>SÁBADO</v>
      </c>
      <c r="E9162" s="427"/>
      <c r="F9162" s="31">
        <f>IFERROR(VLOOKUP(E9162,BD!$L$2:$Q$244,2,0),0)</f>
        <v>0</v>
      </c>
      <c r="G9162" s="424"/>
      <c r="H9162" s="31">
        <f>+IFERROR(VLOOKUP(E9162,BD!$L$2:$Q$244,6,0),0)</f>
        <v>0</v>
      </c>
      <c r="I9162" s="626">
        <f>IFERROR(G9162*VLOOKUP($E9162,BD!$L$2:$Q$244,5,0),0)</f>
        <v>0</v>
      </c>
      <c r="J9162" s="3">
        <f t="shared" si="573"/>
        <v>1900</v>
      </c>
    </row>
    <row r="9163" spans="1:10" s="9" customFormat="1" x14ac:dyDescent="0.25">
      <c r="A9163" s="447"/>
      <c r="B9163" s="55" t="str">
        <f t="shared" si="570"/>
        <v>ENERO</v>
      </c>
      <c r="C9163" s="55">
        <f t="shared" si="571"/>
        <v>1</v>
      </c>
      <c r="D9163" s="3" t="str">
        <f t="shared" si="572"/>
        <v>SÁBADO</v>
      </c>
      <c r="E9163" s="427"/>
      <c r="F9163" s="31">
        <f>IFERROR(VLOOKUP(E9163,BD!$L$2:$Q$244,2,0),0)</f>
        <v>0</v>
      </c>
      <c r="G9163" s="424"/>
      <c r="H9163" s="31">
        <f>+IFERROR(VLOOKUP(E9163,BD!$L$2:$Q$244,6,0),0)</f>
        <v>0</v>
      </c>
      <c r="I9163" s="626">
        <f>IFERROR(G9163*VLOOKUP($E9163,BD!$L$2:$Q$244,5,0),0)</f>
        <v>0</v>
      </c>
      <c r="J9163" s="3">
        <f t="shared" si="573"/>
        <v>1900</v>
      </c>
    </row>
    <row r="9164" spans="1:10" s="9" customFormat="1" x14ac:dyDescent="0.25">
      <c r="A9164" s="447"/>
      <c r="B9164" s="55" t="str">
        <f t="shared" si="570"/>
        <v>ENERO</v>
      </c>
      <c r="C9164" s="55">
        <f t="shared" si="571"/>
        <v>1</v>
      </c>
      <c r="D9164" s="3" t="str">
        <f t="shared" si="572"/>
        <v>SÁBADO</v>
      </c>
      <c r="E9164" s="427"/>
      <c r="F9164" s="31">
        <f>IFERROR(VLOOKUP(E9164,BD!$L$2:$Q$244,2,0),0)</f>
        <v>0</v>
      </c>
      <c r="G9164" s="424"/>
      <c r="H9164" s="31">
        <f>+IFERROR(VLOOKUP(E9164,BD!$L$2:$Q$244,6,0),0)</f>
        <v>0</v>
      </c>
      <c r="I9164" s="626">
        <f>IFERROR(G9164*VLOOKUP($E9164,BD!$L$2:$Q$244,5,0),0)</f>
        <v>0</v>
      </c>
      <c r="J9164" s="3">
        <f t="shared" si="573"/>
        <v>1900</v>
      </c>
    </row>
    <row r="9165" spans="1:10" s="9" customFormat="1" x14ac:dyDescent="0.25">
      <c r="A9165" s="447"/>
      <c r="B9165" s="55" t="str">
        <f t="shared" si="570"/>
        <v>ENERO</v>
      </c>
      <c r="C9165" s="55">
        <f t="shared" si="571"/>
        <v>1</v>
      </c>
      <c r="D9165" s="3" t="str">
        <f t="shared" si="572"/>
        <v>SÁBADO</v>
      </c>
      <c r="E9165" s="427"/>
      <c r="F9165" s="31">
        <f>IFERROR(VLOOKUP(E9165,BD!$L$2:$Q$244,2,0),0)</f>
        <v>0</v>
      </c>
      <c r="G9165" s="424"/>
      <c r="H9165" s="31">
        <f>+IFERROR(VLOOKUP(E9165,BD!$L$2:$Q$244,6,0),0)</f>
        <v>0</v>
      </c>
      <c r="I9165" s="626">
        <f>IFERROR(G9165*VLOOKUP($E9165,BD!$L$2:$Q$244,5,0),0)</f>
        <v>0</v>
      </c>
      <c r="J9165" s="3">
        <f t="shared" si="573"/>
        <v>1900</v>
      </c>
    </row>
    <row r="9166" spans="1:10" s="9" customFormat="1" x14ac:dyDescent="0.25">
      <c r="A9166" s="447"/>
      <c r="B9166" s="55" t="str">
        <f t="shared" si="570"/>
        <v>ENERO</v>
      </c>
      <c r="C9166" s="55">
        <f t="shared" si="571"/>
        <v>1</v>
      </c>
      <c r="D9166" s="3" t="str">
        <f t="shared" si="572"/>
        <v>SÁBADO</v>
      </c>
      <c r="E9166" s="427"/>
      <c r="F9166" s="31">
        <f>IFERROR(VLOOKUP(E9166,BD!$L$2:$Q$244,2,0),0)</f>
        <v>0</v>
      </c>
      <c r="G9166" s="425"/>
      <c r="H9166" s="31">
        <f>+IFERROR(VLOOKUP(E9166,BD!$L$2:$Q$244,6,0),0)</f>
        <v>0</v>
      </c>
      <c r="I9166" s="626">
        <f>IFERROR(G9166*VLOOKUP($E9166,BD!$L$2:$Q$244,5,0),0)</f>
        <v>0</v>
      </c>
      <c r="J9166" s="3">
        <f t="shared" si="573"/>
        <v>1900</v>
      </c>
    </row>
    <row r="9167" spans="1:10" s="9" customFormat="1" x14ac:dyDescent="0.25">
      <c r="A9167" s="447"/>
      <c r="B9167" s="55" t="str">
        <f t="shared" si="570"/>
        <v>ENERO</v>
      </c>
      <c r="C9167" s="55">
        <f t="shared" si="571"/>
        <v>1</v>
      </c>
      <c r="D9167" s="3" t="str">
        <f t="shared" si="572"/>
        <v>SÁBADO</v>
      </c>
      <c r="E9167" s="427"/>
      <c r="F9167" s="31">
        <f>IFERROR(VLOOKUP(E9167,BD!$L$2:$Q$244,2,0),0)</f>
        <v>0</v>
      </c>
      <c r="G9167" s="424"/>
      <c r="H9167" s="31">
        <f>+IFERROR(VLOOKUP(E9167,BD!$L$2:$Q$244,6,0),0)</f>
        <v>0</v>
      </c>
      <c r="I9167" s="626">
        <f>IFERROR(G9167*VLOOKUP($E9167,BD!$L$2:$Q$244,5,0),0)</f>
        <v>0</v>
      </c>
      <c r="J9167" s="3">
        <f t="shared" si="573"/>
        <v>1900</v>
      </c>
    </row>
    <row r="9168" spans="1:10" s="9" customFormat="1" x14ac:dyDescent="0.25">
      <c r="A9168" s="447"/>
      <c r="B9168" s="55" t="str">
        <f t="shared" si="570"/>
        <v>ENERO</v>
      </c>
      <c r="C9168" s="55">
        <f t="shared" si="571"/>
        <v>1</v>
      </c>
      <c r="D9168" s="3" t="str">
        <f t="shared" si="572"/>
        <v>SÁBADO</v>
      </c>
      <c r="E9168" s="427"/>
      <c r="F9168" s="31">
        <f>IFERROR(VLOOKUP(E9168,BD!$L$2:$Q$244,2,0),0)</f>
        <v>0</v>
      </c>
      <c r="G9168" s="424"/>
      <c r="H9168" s="31">
        <f>+IFERROR(VLOOKUP(E9168,BD!$L$2:$Q$244,6,0),0)</f>
        <v>0</v>
      </c>
      <c r="I9168" s="626">
        <f>IFERROR(G9168*VLOOKUP($E9168,BD!$L$2:$Q$244,5,0),0)</f>
        <v>0</v>
      </c>
      <c r="J9168" s="3">
        <f t="shared" si="573"/>
        <v>1900</v>
      </c>
    </row>
    <row r="9169" spans="1:10" s="9" customFormat="1" x14ac:dyDescent="0.25">
      <c r="A9169" s="447"/>
      <c r="B9169" s="55" t="str">
        <f t="shared" si="570"/>
        <v>ENERO</v>
      </c>
      <c r="C9169" s="55">
        <f t="shared" si="571"/>
        <v>1</v>
      </c>
      <c r="D9169" s="3" t="str">
        <f t="shared" si="572"/>
        <v>SÁBADO</v>
      </c>
      <c r="E9169" s="427"/>
      <c r="F9169" s="31">
        <f>IFERROR(VLOOKUP(E9169,BD!$L$2:$Q$244,2,0),0)</f>
        <v>0</v>
      </c>
      <c r="G9169" s="424"/>
      <c r="H9169" s="31">
        <f>+IFERROR(VLOOKUP(E9169,BD!$L$2:$Q$244,6,0),0)</f>
        <v>0</v>
      </c>
      <c r="I9169" s="626">
        <f>IFERROR(G9169*VLOOKUP($E9169,BD!$L$2:$Q$244,5,0),0)</f>
        <v>0</v>
      </c>
      <c r="J9169" s="3">
        <f t="shared" si="573"/>
        <v>1900</v>
      </c>
    </row>
    <row r="9170" spans="1:10" s="9" customFormat="1" x14ac:dyDescent="0.25">
      <c r="A9170" s="447"/>
      <c r="B9170" s="55" t="str">
        <f t="shared" si="570"/>
        <v>ENERO</v>
      </c>
      <c r="C9170" s="55">
        <f t="shared" si="571"/>
        <v>1</v>
      </c>
      <c r="D9170" s="3" t="str">
        <f t="shared" si="572"/>
        <v>SÁBADO</v>
      </c>
      <c r="E9170" s="427"/>
      <c r="F9170" s="31">
        <f>IFERROR(VLOOKUP(E9170,BD!$L$2:$Q$244,2,0),0)</f>
        <v>0</v>
      </c>
      <c r="G9170" s="424"/>
      <c r="H9170" s="31">
        <f>+IFERROR(VLOOKUP(E9170,BD!$L$2:$Q$244,6,0),0)</f>
        <v>0</v>
      </c>
      <c r="I9170" s="626">
        <f>IFERROR(G9170*VLOOKUP($E9170,BD!$L$2:$Q$244,5,0),0)</f>
        <v>0</v>
      </c>
      <c r="J9170" s="3">
        <f t="shared" si="573"/>
        <v>1900</v>
      </c>
    </row>
    <row r="9171" spans="1:10" s="9" customFormat="1" x14ac:dyDescent="0.25">
      <c r="A9171" s="447"/>
      <c r="B9171" s="55" t="str">
        <f t="shared" si="570"/>
        <v>ENERO</v>
      </c>
      <c r="C9171" s="55">
        <f t="shared" si="571"/>
        <v>1</v>
      </c>
      <c r="D9171" s="3" t="str">
        <f t="shared" si="572"/>
        <v>SÁBADO</v>
      </c>
      <c r="E9171" s="427"/>
      <c r="F9171" s="31">
        <f>IFERROR(VLOOKUP(E9171,BD!$L$2:$Q$244,2,0),0)</f>
        <v>0</v>
      </c>
      <c r="G9171" s="424"/>
      <c r="H9171" s="31">
        <f>+IFERROR(VLOOKUP(E9171,BD!$L$2:$Q$244,6,0),0)</f>
        <v>0</v>
      </c>
      <c r="I9171" s="626">
        <f>IFERROR(G9171*VLOOKUP($E9171,BD!$L$2:$Q$244,5,0),0)</f>
        <v>0</v>
      </c>
      <c r="J9171" s="3">
        <f t="shared" si="573"/>
        <v>1900</v>
      </c>
    </row>
    <row r="9172" spans="1:10" s="9" customFormat="1" x14ac:dyDescent="0.25">
      <c r="A9172" s="447"/>
      <c r="B9172" s="55" t="str">
        <f t="shared" si="570"/>
        <v>ENERO</v>
      </c>
      <c r="C9172" s="55">
        <f t="shared" si="571"/>
        <v>1</v>
      </c>
      <c r="D9172" s="3" t="str">
        <f t="shared" si="572"/>
        <v>SÁBADO</v>
      </c>
      <c r="E9172" s="427"/>
      <c r="F9172" s="31">
        <f>IFERROR(VLOOKUP(E9172,BD!$L$2:$Q$244,2,0),0)</f>
        <v>0</v>
      </c>
      <c r="G9172" s="424"/>
      <c r="H9172" s="31">
        <f>+IFERROR(VLOOKUP(E9172,BD!$L$2:$Q$244,6,0),0)</f>
        <v>0</v>
      </c>
      <c r="I9172" s="626">
        <f>IFERROR(G9172*VLOOKUP($E9172,BD!$L$2:$Q$244,5,0),0)</f>
        <v>0</v>
      </c>
      <c r="J9172" s="3">
        <f t="shared" si="573"/>
        <v>1900</v>
      </c>
    </row>
    <row r="9173" spans="1:10" s="9" customFormat="1" x14ac:dyDescent="0.25">
      <c r="A9173" s="447"/>
      <c r="B9173" s="55" t="str">
        <f t="shared" si="570"/>
        <v>ENERO</v>
      </c>
      <c r="C9173" s="55">
        <f t="shared" si="571"/>
        <v>1</v>
      </c>
      <c r="D9173" s="3" t="str">
        <f t="shared" si="572"/>
        <v>SÁBADO</v>
      </c>
      <c r="E9173" s="427"/>
      <c r="F9173" s="31">
        <f>IFERROR(VLOOKUP(E9173,BD!$L$2:$Q$244,2,0),0)</f>
        <v>0</v>
      </c>
      <c r="G9173" s="424"/>
      <c r="H9173" s="31">
        <f>+IFERROR(VLOOKUP(E9173,BD!$L$2:$Q$244,6,0),0)</f>
        <v>0</v>
      </c>
      <c r="I9173" s="626">
        <f>IFERROR(G9173*VLOOKUP($E9173,BD!$L$2:$Q$244,5,0),0)</f>
        <v>0</v>
      </c>
      <c r="J9173" s="3">
        <f t="shared" si="573"/>
        <v>1900</v>
      </c>
    </row>
    <row r="9174" spans="1:10" s="9" customFormat="1" x14ac:dyDescent="0.25">
      <c r="A9174" s="447"/>
      <c r="B9174" s="55" t="str">
        <f t="shared" si="570"/>
        <v>ENERO</v>
      </c>
      <c r="C9174" s="55">
        <f t="shared" si="571"/>
        <v>1</v>
      </c>
      <c r="D9174" s="3" t="str">
        <f t="shared" si="572"/>
        <v>SÁBADO</v>
      </c>
      <c r="E9174" s="427"/>
      <c r="F9174" s="31">
        <f>IFERROR(VLOOKUP(E9174,BD!$L$2:$Q$244,2,0),0)</f>
        <v>0</v>
      </c>
      <c r="G9174" s="424"/>
      <c r="H9174" s="31">
        <f>+IFERROR(VLOOKUP(E9174,BD!$L$2:$Q$244,6,0),0)</f>
        <v>0</v>
      </c>
      <c r="I9174" s="626">
        <f>IFERROR(G9174*VLOOKUP($E9174,BD!$L$2:$Q$244,5,0),0)</f>
        <v>0</v>
      </c>
      <c r="J9174" s="3">
        <f t="shared" si="573"/>
        <v>1900</v>
      </c>
    </row>
    <row r="9175" spans="1:10" s="9" customFormat="1" x14ac:dyDescent="0.25">
      <c r="A9175" s="447"/>
      <c r="B9175" s="55" t="str">
        <f t="shared" si="570"/>
        <v>ENERO</v>
      </c>
      <c r="C9175" s="55">
        <f t="shared" si="571"/>
        <v>1</v>
      </c>
      <c r="D9175" s="3" t="str">
        <f t="shared" si="572"/>
        <v>SÁBADO</v>
      </c>
      <c r="E9175" s="427"/>
      <c r="F9175" s="31">
        <f>IFERROR(VLOOKUP(E9175,BD!$L$2:$Q$244,2,0),0)</f>
        <v>0</v>
      </c>
      <c r="G9175" s="424"/>
      <c r="H9175" s="31">
        <f>+IFERROR(VLOOKUP(E9175,BD!$L$2:$Q$244,6,0),0)</f>
        <v>0</v>
      </c>
      <c r="I9175" s="626">
        <f>IFERROR(G9175*VLOOKUP($E9175,BD!$L$2:$Q$244,5,0),0)</f>
        <v>0</v>
      </c>
      <c r="J9175" s="3">
        <f t="shared" si="573"/>
        <v>1900</v>
      </c>
    </row>
    <row r="9176" spans="1:10" s="9" customFormat="1" x14ac:dyDescent="0.25">
      <c r="A9176" s="447"/>
      <c r="B9176" s="55" t="str">
        <f t="shared" si="570"/>
        <v>ENERO</v>
      </c>
      <c r="C9176" s="55">
        <f t="shared" si="571"/>
        <v>1</v>
      </c>
      <c r="D9176" s="3" t="str">
        <f t="shared" si="572"/>
        <v>SÁBADO</v>
      </c>
      <c r="E9176" s="427"/>
      <c r="F9176" s="31">
        <f>IFERROR(VLOOKUP(E9176,BD!$L$2:$Q$244,2,0),0)</f>
        <v>0</v>
      </c>
      <c r="G9176" s="424"/>
      <c r="H9176" s="31">
        <f>+IFERROR(VLOOKUP(E9176,BD!$L$2:$Q$244,6,0),0)</f>
        <v>0</v>
      </c>
      <c r="I9176" s="626">
        <f>IFERROR(G9176*VLOOKUP($E9176,BD!$L$2:$Q$244,5,0),0)</f>
        <v>0</v>
      </c>
      <c r="J9176" s="3">
        <f t="shared" si="573"/>
        <v>1900</v>
      </c>
    </row>
    <row r="9177" spans="1:10" s="9" customFormat="1" x14ac:dyDescent="0.25">
      <c r="A9177" s="447"/>
      <c r="B9177" s="55" t="str">
        <f t="shared" si="570"/>
        <v>ENERO</v>
      </c>
      <c r="C9177" s="55">
        <f t="shared" si="571"/>
        <v>1</v>
      </c>
      <c r="D9177" s="3" t="str">
        <f t="shared" si="572"/>
        <v>SÁBADO</v>
      </c>
      <c r="E9177" s="427"/>
      <c r="F9177" s="31">
        <f>IFERROR(VLOOKUP(E9177,BD!$L$2:$Q$244,2,0),0)</f>
        <v>0</v>
      </c>
      <c r="G9177" s="425"/>
      <c r="H9177" s="31">
        <f>+IFERROR(VLOOKUP(E9177,BD!$L$2:$Q$244,6,0),0)</f>
        <v>0</v>
      </c>
      <c r="I9177" s="626">
        <f>IFERROR(G9177*VLOOKUP($E9177,BD!$L$2:$Q$244,5,0),0)</f>
        <v>0</v>
      </c>
      <c r="J9177" s="3">
        <f t="shared" si="573"/>
        <v>1900</v>
      </c>
    </row>
    <row r="9178" spans="1:10" s="9" customFormat="1" x14ac:dyDescent="0.25">
      <c r="A9178" s="447"/>
      <c r="B9178" s="55" t="str">
        <f t="shared" si="570"/>
        <v>ENERO</v>
      </c>
      <c r="C9178" s="55">
        <f t="shared" si="571"/>
        <v>1</v>
      </c>
      <c r="D9178" s="3" t="str">
        <f t="shared" si="572"/>
        <v>SÁBADO</v>
      </c>
      <c r="E9178" s="427"/>
      <c r="F9178" s="31">
        <f>IFERROR(VLOOKUP(E9178,BD!$L$2:$Q$244,2,0),0)</f>
        <v>0</v>
      </c>
      <c r="G9178" s="425"/>
      <c r="H9178" s="31">
        <f>+IFERROR(VLOOKUP(E9178,BD!$L$2:$Q$244,6,0),0)</f>
        <v>0</v>
      </c>
      <c r="I9178" s="626">
        <f>IFERROR(G9178*VLOOKUP($E9178,BD!$L$2:$Q$244,5,0),0)</f>
        <v>0</v>
      </c>
      <c r="J9178" s="3">
        <f t="shared" si="573"/>
        <v>1900</v>
      </c>
    </row>
    <row r="9179" spans="1:10" s="9" customFormat="1" x14ac:dyDescent="0.25">
      <c r="A9179" s="447"/>
      <c r="B9179" s="55" t="str">
        <f t="shared" si="570"/>
        <v>ENERO</v>
      </c>
      <c r="C9179" s="55">
        <f t="shared" si="571"/>
        <v>1</v>
      </c>
      <c r="D9179" s="3" t="str">
        <f t="shared" si="572"/>
        <v>SÁBADO</v>
      </c>
      <c r="E9179" s="427"/>
      <c r="F9179" s="31">
        <f>IFERROR(VLOOKUP(E9179,BD!$L$2:$Q$244,2,0),0)</f>
        <v>0</v>
      </c>
      <c r="G9179" s="424"/>
      <c r="H9179" s="31">
        <f>+IFERROR(VLOOKUP(E9179,BD!$L$2:$Q$244,6,0),0)</f>
        <v>0</v>
      </c>
      <c r="I9179" s="626">
        <f>IFERROR(G9179*VLOOKUP($E9179,BD!$L$2:$Q$244,5,0),0)</f>
        <v>0</v>
      </c>
      <c r="J9179" s="3">
        <f t="shared" si="573"/>
        <v>1900</v>
      </c>
    </row>
    <row r="9180" spans="1:10" s="9" customFormat="1" x14ac:dyDescent="0.25">
      <c r="A9180" s="447"/>
      <c r="B9180" s="55" t="str">
        <f t="shared" si="570"/>
        <v>ENERO</v>
      </c>
      <c r="C9180" s="55">
        <f t="shared" si="571"/>
        <v>1</v>
      </c>
      <c r="D9180" s="3" t="str">
        <f t="shared" si="572"/>
        <v>SÁBADO</v>
      </c>
      <c r="E9180" s="427"/>
      <c r="F9180" s="31">
        <f>IFERROR(VLOOKUP(E9180,BD!$L$2:$Q$244,2,0),0)</f>
        <v>0</v>
      </c>
      <c r="G9180" s="424"/>
      <c r="H9180" s="31">
        <f>+IFERROR(VLOOKUP(E9180,BD!$L$2:$Q$244,6,0),0)</f>
        <v>0</v>
      </c>
      <c r="I9180" s="626">
        <f>IFERROR(G9180*VLOOKUP($E9180,BD!$L$2:$Q$244,5,0),0)</f>
        <v>0</v>
      </c>
      <c r="J9180" s="3">
        <f t="shared" si="573"/>
        <v>1900</v>
      </c>
    </row>
    <row r="9181" spans="1:10" s="9" customFormat="1" x14ac:dyDescent="0.25">
      <c r="A9181" s="447"/>
      <c r="B9181" s="55" t="str">
        <f t="shared" si="570"/>
        <v>ENERO</v>
      </c>
      <c r="C9181" s="55">
        <f t="shared" si="571"/>
        <v>1</v>
      </c>
      <c r="D9181" s="3" t="str">
        <f t="shared" si="572"/>
        <v>SÁBADO</v>
      </c>
      <c r="E9181" s="427"/>
      <c r="F9181" s="31">
        <f>IFERROR(VLOOKUP(E9181,BD!$L$2:$Q$244,2,0),0)</f>
        <v>0</v>
      </c>
      <c r="G9181" s="424"/>
      <c r="H9181" s="31">
        <f>+IFERROR(VLOOKUP(E9181,BD!$L$2:$Q$244,6,0),0)</f>
        <v>0</v>
      </c>
      <c r="I9181" s="626">
        <f>IFERROR(G9181*VLOOKUP($E9181,BD!$L$2:$Q$244,5,0),0)</f>
        <v>0</v>
      </c>
      <c r="J9181" s="3">
        <f t="shared" si="573"/>
        <v>1900</v>
      </c>
    </row>
    <row r="9182" spans="1:10" s="9" customFormat="1" x14ac:dyDescent="0.25">
      <c r="A9182" s="447"/>
      <c r="B9182" s="55" t="str">
        <f t="shared" si="570"/>
        <v>ENERO</v>
      </c>
      <c r="C9182" s="55">
        <f t="shared" si="571"/>
        <v>1</v>
      </c>
      <c r="D9182" s="3" t="str">
        <f t="shared" si="572"/>
        <v>SÁBADO</v>
      </c>
      <c r="E9182" s="427"/>
      <c r="F9182" s="31">
        <f>IFERROR(VLOOKUP(E9182,BD!$L$2:$Q$244,2,0),0)</f>
        <v>0</v>
      </c>
      <c r="G9182" s="424"/>
      <c r="H9182" s="31">
        <f>+IFERROR(VLOOKUP(E9182,BD!$L$2:$Q$244,6,0),0)</f>
        <v>0</v>
      </c>
      <c r="I9182" s="626">
        <f>IFERROR(G9182*VLOOKUP($E9182,BD!$L$2:$Q$244,5,0),0)</f>
        <v>0</v>
      </c>
      <c r="J9182" s="3">
        <f t="shared" si="573"/>
        <v>1900</v>
      </c>
    </row>
    <row r="9183" spans="1:10" s="9" customFormat="1" x14ac:dyDescent="0.25">
      <c r="A9183" s="447"/>
      <c r="B9183" s="55" t="str">
        <f t="shared" si="570"/>
        <v>ENERO</v>
      </c>
      <c r="C9183" s="55">
        <f t="shared" si="571"/>
        <v>1</v>
      </c>
      <c r="D9183" s="3" t="str">
        <f t="shared" si="572"/>
        <v>SÁBADO</v>
      </c>
      <c r="E9183" s="427"/>
      <c r="F9183" s="31">
        <f>IFERROR(VLOOKUP(E9183,BD!$L$2:$Q$244,2,0),0)</f>
        <v>0</v>
      </c>
      <c r="G9183" s="424"/>
      <c r="H9183" s="31">
        <f>+IFERROR(VLOOKUP(E9183,BD!$L$2:$Q$244,6,0),0)</f>
        <v>0</v>
      </c>
      <c r="I9183" s="626">
        <f>IFERROR(G9183*VLOOKUP($E9183,BD!$L$2:$Q$244,5,0),0)</f>
        <v>0</v>
      </c>
      <c r="J9183" s="3">
        <f t="shared" si="573"/>
        <v>1900</v>
      </c>
    </row>
    <row r="9184" spans="1:10" s="9" customFormat="1" x14ac:dyDescent="0.25">
      <c r="A9184" s="447"/>
      <c r="B9184" s="55" t="str">
        <f t="shared" si="570"/>
        <v>ENERO</v>
      </c>
      <c r="C9184" s="55">
        <f t="shared" si="571"/>
        <v>1</v>
      </c>
      <c r="D9184" s="3" t="str">
        <f t="shared" si="572"/>
        <v>SÁBADO</v>
      </c>
      <c r="E9184" s="427"/>
      <c r="F9184" s="31">
        <f>IFERROR(VLOOKUP(E9184,BD!$L$2:$Q$244,2,0),0)</f>
        <v>0</v>
      </c>
      <c r="G9184" s="424"/>
      <c r="H9184" s="31">
        <f>+IFERROR(VLOOKUP(E9184,BD!$L$2:$Q$244,6,0),0)</f>
        <v>0</v>
      </c>
      <c r="I9184" s="626">
        <f>IFERROR(G9184*VLOOKUP($E9184,BD!$L$2:$Q$244,5,0),0)</f>
        <v>0</v>
      </c>
      <c r="J9184" s="3">
        <f t="shared" si="573"/>
        <v>1900</v>
      </c>
    </row>
    <row r="9185" spans="1:10" s="9" customFormat="1" x14ac:dyDescent="0.25">
      <c r="A9185" s="447"/>
      <c r="B9185" s="55" t="str">
        <f t="shared" si="570"/>
        <v>ENERO</v>
      </c>
      <c r="C9185" s="55">
        <f t="shared" si="571"/>
        <v>1</v>
      </c>
      <c r="D9185" s="3" t="str">
        <f t="shared" si="572"/>
        <v>SÁBADO</v>
      </c>
      <c r="E9185" s="427"/>
      <c r="F9185" s="31">
        <f>IFERROR(VLOOKUP(E9185,BD!$L$2:$Q$244,2,0),0)</f>
        <v>0</v>
      </c>
      <c r="G9185" s="424"/>
      <c r="H9185" s="31">
        <f>+IFERROR(VLOOKUP(E9185,BD!$L$2:$Q$244,6,0),0)</f>
        <v>0</v>
      </c>
      <c r="I9185" s="626">
        <f>IFERROR(G9185*VLOOKUP($E9185,BD!$L$2:$Q$244,5,0),0)</f>
        <v>0</v>
      </c>
      <c r="J9185" s="3">
        <f t="shared" si="573"/>
        <v>1900</v>
      </c>
    </row>
    <row r="9186" spans="1:10" s="9" customFormat="1" x14ac:dyDescent="0.25">
      <c r="A9186" s="447"/>
      <c r="B9186" s="55" t="str">
        <f t="shared" si="570"/>
        <v>ENERO</v>
      </c>
      <c r="C9186" s="55">
        <f t="shared" si="571"/>
        <v>1</v>
      </c>
      <c r="D9186" s="3" t="str">
        <f t="shared" si="572"/>
        <v>SÁBADO</v>
      </c>
      <c r="E9186" s="427"/>
      <c r="F9186" s="31">
        <f>IFERROR(VLOOKUP(E9186,BD!$L$2:$Q$244,2,0),0)</f>
        <v>0</v>
      </c>
      <c r="G9186" s="424"/>
      <c r="H9186" s="31">
        <f>+IFERROR(VLOOKUP(E9186,BD!$L$2:$Q$244,6,0),0)</f>
        <v>0</v>
      </c>
      <c r="I9186" s="626">
        <f>IFERROR(G9186*VLOOKUP($E9186,BD!$L$2:$Q$244,5,0),0)</f>
        <v>0</v>
      </c>
      <c r="J9186" s="3">
        <f t="shared" si="573"/>
        <v>1900</v>
      </c>
    </row>
    <row r="9187" spans="1:10" s="9" customFormat="1" x14ac:dyDescent="0.25">
      <c r="A9187" s="447"/>
      <c r="B9187" s="55" t="str">
        <f t="shared" si="570"/>
        <v>ENERO</v>
      </c>
      <c r="C9187" s="55">
        <f t="shared" si="571"/>
        <v>1</v>
      </c>
      <c r="D9187" s="3" t="str">
        <f t="shared" si="572"/>
        <v>SÁBADO</v>
      </c>
      <c r="E9187" s="427"/>
      <c r="F9187" s="31">
        <f>IFERROR(VLOOKUP(E9187,BD!$L$2:$Q$244,2,0),0)</f>
        <v>0</v>
      </c>
      <c r="G9187" s="424"/>
      <c r="H9187" s="31">
        <f>+IFERROR(VLOOKUP(E9187,BD!$L$2:$Q$244,6,0),0)</f>
        <v>0</v>
      </c>
      <c r="I9187" s="626">
        <f>IFERROR(G9187*VLOOKUP($E9187,BD!$L$2:$Q$244,5,0),0)</f>
        <v>0</v>
      </c>
      <c r="J9187" s="3">
        <f t="shared" si="573"/>
        <v>1900</v>
      </c>
    </row>
    <row r="9188" spans="1:10" s="9" customFormat="1" x14ac:dyDescent="0.25">
      <c r="A9188" s="447"/>
      <c r="B9188" s="55" t="str">
        <f t="shared" si="570"/>
        <v>ENERO</v>
      </c>
      <c r="C9188" s="55">
        <f t="shared" si="571"/>
        <v>1</v>
      </c>
      <c r="D9188" s="3" t="str">
        <f t="shared" si="572"/>
        <v>SÁBADO</v>
      </c>
      <c r="E9188" s="427"/>
      <c r="F9188" s="31">
        <f>IFERROR(VLOOKUP(E9188,BD!$L$2:$Q$244,2,0),0)</f>
        <v>0</v>
      </c>
      <c r="G9188" s="424"/>
      <c r="H9188" s="31">
        <f>+IFERROR(VLOOKUP(E9188,BD!$L$2:$Q$244,6,0),0)</f>
        <v>0</v>
      </c>
      <c r="I9188" s="626">
        <f>IFERROR(G9188*VLOOKUP($E9188,BD!$L$2:$Q$244,5,0),0)</f>
        <v>0</v>
      </c>
      <c r="J9188" s="3">
        <f t="shared" si="573"/>
        <v>1900</v>
      </c>
    </row>
    <row r="9189" spans="1:10" s="9" customFormat="1" x14ac:dyDescent="0.25">
      <c r="A9189" s="447"/>
      <c r="B9189" s="55" t="str">
        <f t="shared" si="570"/>
        <v>ENERO</v>
      </c>
      <c r="C9189" s="55">
        <f t="shared" si="571"/>
        <v>1</v>
      </c>
      <c r="D9189" s="3" t="str">
        <f t="shared" si="572"/>
        <v>SÁBADO</v>
      </c>
      <c r="E9189" s="427"/>
      <c r="F9189" s="31">
        <f>IFERROR(VLOOKUP(E9189,BD!$L$2:$Q$244,2,0),0)</f>
        <v>0</v>
      </c>
      <c r="G9189" s="424"/>
      <c r="H9189" s="31">
        <f>+IFERROR(VLOOKUP(E9189,BD!$L$2:$Q$244,6,0),0)</f>
        <v>0</v>
      </c>
      <c r="I9189" s="626">
        <f>IFERROR(G9189*VLOOKUP($E9189,BD!$L$2:$Q$244,5,0),0)</f>
        <v>0</v>
      </c>
      <c r="J9189" s="3">
        <f t="shared" si="573"/>
        <v>1900</v>
      </c>
    </row>
    <row r="9190" spans="1:10" s="9" customFormat="1" x14ac:dyDescent="0.25">
      <c r="A9190" s="447"/>
      <c r="B9190" s="55" t="str">
        <f t="shared" si="570"/>
        <v>ENERO</v>
      </c>
      <c r="C9190" s="55">
        <f t="shared" si="571"/>
        <v>1</v>
      </c>
      <c r="D9190" s="3" t="str">
        <f t="shared" si="572"/>
        <v>SÁBADO</v>
      </c>
      <c r="E9190" s="427"/>
      <c r="F9190" s="31">
        <f>IFERROR(VLOOKUP(E9190,BD!$L$2:$Q$244,2,0),0)</f>
        <v>0</v>
      </c>
      <c r="G9190" s="425"/>
      <c r="H9190" s="31">
        <f>+IFERROR(VLOOKUP(E9190,BD!$L$2:$Q$244,6,0),0)</f>
        <v>0</v>
      </c>
      <c r="I9190" s="626">
        <f>IFERROR(G9190*VLOOKUP($E9190,BD!$L$2:$Q$244,5,0),0)</f>
        <v>0</v>
      </c>
      <c r="J9190" s="3">
        <f t="shared" si="573"/>
        <v>1900</v>
      </c>
    </row>
    <row r="9191" spans="1:10" s="9" customFormat="1" x14ac:dyDescent="0.25">
      <c r="A9191" s="447"/>
      <c r="B9191" s="55" t="str">
        <f t="shared" si="570"/>
        <v>ENERO</v>
      </c>
      <c r="C9191" s="55">
        <f t="shared" si="571"/>
        <v>1</v>
      </c>
      <c r="D9191" s="3" t="str">
        <f t="shared" si="572"/>
        <v>SÁBADO</v>
      </c>
      <c r="E9191" s="427"/>
      <c r="F9191" s="31">
        <f>IFERROR(VLOOKUP(E9191,BD!$L$2:$Q$244,2,0),0)</f>
        <v>0</v>
      </c>
      <c r="G9191" s="424"/>
      <c r="H9191" s="31">
        <f>+IFERROR(VLOOKUP(E9191,BD!$L$2:$Q$244,6,0),0)</f>
        <v>0</v>
      </c>
      <c r="I9191" s="626">
        <f>IFERROR(G9191*VLOOKUP($E9191,BD!$L$2:$Q$244,5,0),0)</f>
        <v>0</v>
      </c>
      <c r="J9191" s="3">
        <f t="shared" si="573"/>
        <v>1900</v>
      </c>
    </row>
    <row r="9192" spans="1:10" s="9" customFormat="1" x14ac:dyDescent="0.25">
      <c r="A9192" s="447"/>
      <c r="B9192" s="55" t="str">
        <f t="shared" si="570"/>
        <v>ENERO</v>
      </c>
      <c r="C9192" s="55">
        <f t="shared" si="571"/>
        <v>1</v>
      </c>
      <c r="D9192" s="3" t="str">
        <f t="shared" si="572"/>
        <v>SÁBADO</v>
      </c>
      <c r="E9192" s="427"/>
      <c r="F9192" s="31">
        <f>IFERROR(VLOOKUP(E9192,BD!$L$2:$Q$244,2,0),0)</f>
        <v>0</v>
      </c>
      <c r="G9192" s="424"/>
      <c r="H9192" s="31">
        <f>+IFERROR(VLOOKUP(E9192,BD!$L$2:$Q$244,6,0),0)</f>
        <v>0</v>
      </c>
      <c r="I9192" s="626">
        <f>IFERROR(G9192*VLOOKUP($E9192,BD!$L$2:$Q$244,5,0),0)</f>
        <v>0</v>
      </c>
      <c r="J9192" s="3">
        <f t="shared" si="573"/>
        <v>1900</v>
      </c>
    </row>
    <row r="9193" spans="1:10" s="9" customFormat="1" x14ac:dyDescent="0.25">
      <c r="A9193" s="447"/>
      <c r="B9193" s="55" t="str">
        <f t="shared" si="570"/>
        <v>ENERO</v>
      </c>
      <c r="C9193" s="55">
        <f t="shared" si="571"/>
        <v>1</v>
      </c>
      <c r="D9193" s="3" t="str">
        <f t="shared" si="572"/>
        <v>SÁBADO</v>
      </c>
      <c r="E9193" s="427"/>
      <c r="F9193" s="31">
        <f>IFERROR(VLOOKUP(E9193,BD!$L$2:$Q$244,2,0),0)</f>
        <v>0</v>
      </c>
      <c r="G9193" s="424"/>
      <c r="H9193" s="31">
        <f>+IFERROR(VLOOKUP(E9193,BD!$L$2:$Q$244,6,0),0)</f>
        <v>0</v>
      </c>
      <c r="I9193" s="626">
        <f>IFERROR(G9193*VLOOKUP($E9193,BD!$L$2:$Q$244,5,0),0)</f>
        <v>0</v>
      </c>
      <c r="J9193" s="3">
        <f t="shared" si="573"/>
        <v>1900</v>
      </c>
    </row>
    <row r="9194" spans="1:10" s="9" customFormat="1" x14ac:dyDescent="0.25">
      <c r="A9194" s="447"/>
      <c r="B9194" s="55" t="str">
        <f t="shared" si="570"/>
        <v>ENERO</v>
      </c>
      <c r="C9194" s="55">
        <f t="shared" si="571"/>
        <v>1</v>
      </c>
      <c r="D9194" s="3" t="str">
        <f t="shared" si="572"/>
        <v>SÁBADO</v>
      </c>
      <c r="E9194" s="427"/>
      <c r="F9194" s="31">
        <f>IFERROR(VLOOKUP(E9194,BD!$L$2:$Q$244,2,0),0)</f>
        <v>0</v>
      </c>
      <c r="G9194" s="424"/>
      <c r="H9194" s="31">
        <f>+IFERROR(VLOOKUP(E9194,BD!$L$2:$Q$244,6,0),0)</f>
        <v>0</v>
      </c>
      <c r="I9194" s="626">
        <f>IFERROR(G9194*VLOOKUP($E9194,BD!$L$2:$Q$244,5,0),0)</f>
        <v>0</v>
      </c>
      <c r="J9194" s="3">
        <f t="shared" si="573"/>
        <v>1900</v>
      </c>
    </row>
    <row r="9195" spans="1:10" s="9" customFormat="1" x14ac:dyDescent="0.25">
      <c r="A9195" s="447"/>
      <c r="B9195" s="55" t="str">
        <f t="shared" si="570"/>
        <v>ENERO</v>
      </c>
      <c r="C9195" s="55">
        <f t="shared" si="571"/>
        <v>1</v>
      </c>
      <c r="D9195" s="3" t="str">
        <f t="shared" si="572"/>
        <v>SÁBADO</v>
      </c>
      <c r="E9195" s="427"/>
      <c r="F9195" s="31">
        <f>IFERROR(VLOOKUP(E9195,BD!$L$2:$Q$244,2,0),0)</f>
        <v>0</v>
      </c>
      <c r="G9195" s="424"/>
      <c r="H9195" s="31">
        <f>+IFERROR(VLOOKUP(E9195,BD!$L$2:$Q$244,6,0),0)</f>
        <v>0</v>
      </c>
      <c r="I9195" s="626">
        <f>IFERROR(G9195*VLOOKUP($E9195,BD!$L$2:$Q$244,5,0),0)</f>
        <v>0</v>
      </c>
      <c r="J9195" s="3">
        <f t="shared" si="573"/>
        <v>1900</v>
      </c>
    </row>
    <row r="9196" spans="1:10" s="9" customFormat="1" x14ac:dyDescent="0.25">
      <c r="A9196" s="447"/>
      <c r="B9196" s="55" t="str">
        <f t="shared" si="570"/>
        <v>ENERO</v>
      </c>
      <c r="C9196" s="55">
        <f t="shared" si="571"/>
        <v>1</v>
      </c>
      <c r="D9196" s="3" t="str">
        <f t="shared" si="572"/>
        <v>SÁBADO</v>
      </c>
      <c r="E9196" s="427"/>
      <c r="F9196" s="31">
        <f>IFERROR(VLOOKUP(E9196,BD!$L$2:$Q$244,2,0),0)</f>
        <v>0</v>
      </c>
      <c r="G9196" s="424"/>
      <c r="H9196" s="31">
        <f>+IFERROR(VLOOKUP(E9196,BD!$L$2:$Q$244,6,0),0)</f>
        <v>0</v>
      </c>
      <c r="I9196" s="626">
        <f>IFERROR(G9196*VLOOKUP($E9196,BD!$L$2:$Q$244,5,0),0)</f>
        <v>0</v>
      </c>
      <c r="J9196" s="3">
        <f t="shared" si="573"/>
        <v>1900</v>
      </c>
    </row>
    <row r="9197" spans="1:10" s="9" customFormat="1" x14ac:dyDescent="0.25">
      <c r="A9197" s="447"/>
      <c r="B9197" s="55" t="str">
        <f t="shared" si="570"/>
        <v>ENERO</v>
      </c>
      <c r="C9197" s="55">
        <f t="shared" si="571"/>
        <v>1</v>
      </c>
      <c r="D9197" s="3" t="str">
        <f t="shared" si="572"/>
        <v>SÁBADO</v>
      </c>
      <c r="E9197" s="427"/>
      <c r="F9197" s="31">
        <f>IFERROR(VLOOKUP(E9197,BD!$L$2:$Q$244,2,0),0)</f>
        <v>0</v>
      </c>
      <c r="G9197" s="424"/>
      <c r="H9197" s="31">
        <f>+IFERROR(VLOOKUP(E9197,BD!$L$2:$Q$244,6,0),0)</f>
        <v>0</v>
      </c>
      <c r="I9197" s="626">
        <f>IFERROR(G9197*VLOOKUP($E9197,BD!$L$2:$Q$244,5,0),0)</f>
        <v>0</v>
      </c>
      <c r="J9197" s="3">
        <f t="shared" si="573"/>
        <v>1900</v>
      </c>
    </row>
    <row r="9198" spans="1:10" s="9" customFormat="1" x14ac:dyDescent="0.25">
      <c r="A9198" s="447"/>
      <c r="B9198" s="55" t="str">
        <f t="shared" si="570"/>
        <v>ENERO</v>
      </c>
      <c r="C9198" s="55">
        <f t="shared" si="571"/>
        <v>1</v>
      </c>
      <c r="D9198" s="3" t="str">
        <f t="shared" si="572"/>
        <v>SÁBADO</v>
      </c>
      <c r="E9198" s="427"/>
      <c r="F9198" s="31">
        <f>IFERROR(VLOOKUP(E9198,BD!$L$2:$Q$244,2,0),0)</f>
        <v>0</v>
      </c>
      <c r="G9198" s="424"/>
      <c r="H9198" s="31">
        <f>+IFERROR(VLOOKUP(E9198,BD!$L$2:$Q$244,6,0),0)</f>
        <v>0</v>
      </c>
      <c r="I9198" s="626">
        <f>IFERROR(G9198*VLOOKUP($E9198,BD!$L$2:$Q$244,5,0),0)</f>
        <v>0</v>
      </c>
      <c r="J9198" s="3">
        <f t="shared" si="573"/>
        <v>1900</v>
      </c>
    </row>
    <row r="9199" spans="1:10" s="9" customFormat="1" x14ac:dyDescent="0.25">
      <c r="A9199" s="447"/>
      <c r="B9199" s="55" t="str">
        <f t="shared" si="570"/>
        <v>ENERO</v>
      </c>
      <c r="C9199" s="55">
        <f t="shared" si="571"/>
        <v>1</v>
      </c>
      <c r="D9199" s="3" t="str">
        <f t="shared" si="572"/>
        <v>SÁBADO</v>
      </c>
      <c r="E9199" s="427"/>
      <c r="F9199" s="31">
        <f>IFERROR(VLOOKUP(E9199,BD!$L$2:$Q$244,2,0),0)</f>
        <v>0</v>
      </c>
      <c r="G9199" s="424"/>
      <c r="H9199" s="31">
        <f>+IFERROR(VLOOKUP(E9199,BD!$L$2:$Q$244,6,0),0)</f>
        <v>0</v>
      </c>
      <c r="I9199" s="626">
        <f>IFERROR(G9199*VLOOKUP($E9199,BD!$L$2:$Q$244,5,0),0)</f>
        <v>0</v>
      </c>
      <c r="J9199" s="3">
        <f t="shared" si="573"/>
        <v>1900</v>
      </c>
    </row>
    <row r="9200" spans="1:10" s="9" customFormat="1" x14ac:dyDescent="0.25">
      <c r="A9200" s="447"/>
      <c r="B9200" s="55" t="str">
        <f t="shared" si="570"/>
        <v>ENERO</v>
      </c>
      <c r="C9200" s="55">
        <f t="shared" si="571"/>
        <v>1</v>
      </c>
      <c r="D9200" s="3" t="str">
        <f t="shared" si="572"/>
        <v>SÁBADO</v>
      </c>
      <c r="E9200" s="427"/>
      <c r="F9200" s="31">
        <f>IFERROR(VLOOKUP(E9200,BD!$L$2:$Q$244,2,0),0)</f>
        <v>0</v>
      </c>
      <c r="G9200" s="424"/>
      <c r="H9200" s="31">
        <f>+IFERROR(VLOOKUP(E9200,BD!$L$2:$Q$244,6,0),0)</f>
        <v>0</v>
      </c>
      <c r="I9200" s="626">
        <f>IFERROR(G9200*VLOOKUP($E9200,BD!$L$2:$Q$244,5,0),0)</f>
        <v>0</v>
      </c>
      <c r="J9200" s="3">
        <f t="shared" si="573"/>
        <v>1900</v>
      </c>
    </row>
    <row r="9201" spans="1:10" s="9" customFormat="1" x14ac:dyDescent="0.25">
      <c r="A9201" s="447"/>
      <c r="B9201" s="55" t="str">
        <f t="shared" si="570"/>
        <v>ENERO</v>
      </c>
      <c r="C9201" s="55">
        <f t="shared" si="571"/>
        <v>1</v>
      </c>
      <c r="D9201" s="3" t="str">
        <f t="shared" si="572"/>
        <v>SÁBADO</v>
      </c>
      <c r="E9201" s="427"/>
      <c r="F9201" s="31">
        <f>IFERROR(VLOOKUP(E9201,BD!$L$2:$Q$244,2,0),0)</f>
        <v>0</v>
      </c>
      <c r="G9201" s="424"/>
      <c r="H9201" s="31">
        <f>+IFERROR(VLOOKUP(E9201,BD!$L$2:$Q$244,6,0),0)</f>
        <v>0</v>
      </c>
      <c r="I9201" s="626">
        <f>IFERROR(G9201*VLOOKUP($E9201,BD!$L$2:$Q$244,5,0),0)</f>
        <v>0</v>
      </c>
      <c r="J9201" s="3">
        <f t="shared" si="573"/>
        <v>1900</v>
      </c>
    </row>
    <row r="9202" spans="1:10" s="9" customFormat="1" x14ac:dyDescent="0.25">
      <c r="A9202" s="447"/>
      <c r="B9202" s="55" t="str">
        <f t="shared" si="570"/>
        <v>ENERO</v>
      </c>
      <c r="C9202" s="55">
        <f t="shared" si="571"/>
        <v>1</v>
      </c>
      <c r="D9202" s="3" t="str">
        <f t="shared" si="572"/>
        <v>SÁBADO</v>
      </c>
      <c r="E9202" s="427"/>
      <c r="F9202" s="31">
        <f>IFERROR(VLOOKUP(E9202,BD!$L$2:$Q$244,2,0),0)</f>
        <v>0</v>
      </c>
      <c r="G9202" s="424"/>
      <c r="H9202" s="31">
        <f>+IFERROR(VLOOKUP(E9202,BD!$L$2:$Q$244,6,0),0)</f>
        <v>0</v>
      </c>
      <c r="I9202" s="626">
        <f>IFERROR(G9202*VLOOKUP($E9202,BD!$L$2:$Q$244,5,0),0)</f>
        <v>0</v>
      </c>
      <c r="J9202" s="3">
        <f t="shared" si="573"/>
        <v>1900</v>
      </c>
    </row>
    <row r="9203" spans="1:10" s="9" customFormat="1" x14ac:dyDescent="0.25">
      <c r="A9203" s="447"/>
      <c r="B9203" s="55" t="str">
        <f t="shared" si="570"/>
        <v>ENERO</v>
      </c>
      <c r="C9203" s="55">
        <f t="shared" si="571"/>
        <v>1</v>
      </c>
      <c r="D9203" s="3" t="str">
        <f t="shared" si="572"/>
        <v>SÁBADO</v>
      </c>
      <c r="E9203" s="427"/>
      <c r="F9203" s="31">
        <f>IFERROR(VLOOKUP(E9203,BD!$L$2:$Q$244,2,0),0)</f>
        <v>0</v>
      </c>
      <c r="G9203" s="424"/>
      <c r="H9203" s="31">
        <f>+IFERROR(VLOOKUP(E9203,BD!$L$2:$Q$244,6,0),0)</f>
        <v>0</v>
      </c>
      <c r="I9203" s="626">
        <f>IFERROR(G9203*VLOOKUP($E9203,BD!$L$2:$Q$244,5,0),0)</f>
        <v>0</v>
      </c>
      <c r="J9203" s="3">
        <f t="shared" si="573"/>
        <v>1900</v>
      </c>
    </row>
    <row r="9204" spans="1:10" s="9" customFormat="1" x14ac:dyDescent="0.25">
      <c r="A9204" s="447"/>
      <c r="B9204" s="55" t="str">
        <f t="shared" si="570"/>
        <v>ENERO</v>
      </c>
      <c r="C9204" s="55">
        <f t="shared" si="571"/>
        <v>1</v>
      </c>
      <c r="D9204" s="3" t="str">
        <f t="shared" si="572"/>
        <v>SÁBADO</v>
      </c>
      <c r="E9204" s="427"/>
      <c r="F9204" s="31">
        <f>IFERROR(VLOOKUP(E9204,BD!$L$2:$Q$244,2,0),0)</f>
        <v>0</v>
      </c>
      <c r="G9204" s="424"/>
      <c r="H9204" s="31">
        <f>+IFERROR(VLOOKUP(E9204,BD!$L$2:$Q$244,6,0),0)</f>
        <v>0</v>
      </c>
      <c r="I9204" s="626">
        <f>IFERROR(G9204*VLOOKUP($E9204,BD!$L$2:$Q$244,5,0),0)</f>
        <v>0</v>
      </c>
      <c r="J9204" s="3">
        <f t="shared" si="573"/>
        <v>1900</v>
      </c>
    </row>
    <row r="9205" spans="1:10" s="9" customFormat="1" x14ac:dyDescent="0.25">
      <c r="A9205" s="447"/>
      <c r="B9205" s="55" t="str">
        <f t="shared" si="570"/>
        <v>ENERO</v>
      </c>
      <c r="C9205" s="55">
        <f t="shared" si="571"/>
        <v>1</v>
      </c>
      <c r="D9205" s="3" t="str">
        <f t="shared" si="572"/>
        <v>SÁBADO</v>
      </c>
      <c r="E9205" s="427"/>
      <c r="F9205" s="31">
        <f>IFERROR(VLOOKUP(E9205,BD!$L$2:$Q$244,2,0),0)</f>
        <v>0</v>
      </c>
      <c r="G9205" s="424"/>
      <c r="H9205" s="31">
        <f>+IFERROR(VLOOKUP(E9205,BD!$L$2:$Q$244,6,0),0)</f>
        <v>0</v>
      </c>
      <c r="I9205" s="626">
        <f>IFERROR(G9205*VLOOKUP($E9205,BD!$L$2:$Q$244,5,0),0)</f>
        <v>0</v>
      </c>
      <c r="J9205" s="3">
        <f t="shared" si="573"/>
        <v>1900</v>
      </c>
    </row>
    <row r="9206" spans="1:10" s="9" customFormat="1" x14ac:dyDescent="0.25">
      <c r="A9206" s="447"/>
      <c r="B9206" s="55" t="str">
        <f t="shared" si="570"/>
        <v>ENERO</v>
      </c>
      <c r="C9206" s="55">
        <f t="shared" si="571"/>
        <v>1</v>
      </c>
      <c r="D9206" s="3" t="str">
        <f t="shared" si="572"/>
        <v>SÁBADO</v>
      </c>
      <c r="E9206" s="427"/>
      <c r="F9206" s="31">
        <f>IFERROR(VLOOKUP(E9206,BD!$L$2:$Q$244,2,0),0)</f>
        <v>0</v>
      </c>
      <c r="G9206" s="424"/>
      <c r="H9206" s="31">
        <f>+IFERROR(VLOOKUP(E9206,BD!$L$2:$Q$244,6,0),0)</f>
        <v>0</v>
      </c>
      <c r="I9206" s="626">
        <f>IFERROR(G9206*VLOOKUP($E9206,BD!$L$2:$Q$244,5,0),0)</f>
        <v>0</v>
      </c>
      <c r="J9206" s="3">
        <f t="shared" si="573"/>
        <v>1900</v>
      </c>
    </row>
    <row r="9207" spans="1:10" s="9" customFormat="1" x14ac:dyDescent="0.25">
      <c r="A9207" s="447"/>
      <c r="B9207" s="55" t="str">
        <f t="shared" si="570"/>
        <v>ENERO</v>
      </c>
      <c r="C9207" s="55">
        <f t="shared" si="571"/>
        <v>1</v>
      </c>
      <c r="D9207" s="3" t="str">
        <f t="shared" si="572"/>
        <v>SÁBADO</v>
      </c>
      <c r="E9207" s="427"/>
      <c r="F9207" s="31">
        <f>IFERROR(VLOOKUP(E9207,BD!$L$2:$Q$244,2,0),0)</f>
        <v>0</v>
      </c>
      <c r="G9207" s="424"/>
      <c r="H9207" s="31">
        <f>+IFERROR(VLOOKUP(E9207,BD!$L$2:$Q$244,6,0),0)</f>
        <v>0</v>
      </c>
      <c r="I9207" s="626">
        <f>IFERROR(G9207*VLOOKUP($E9207,BD!$L$2:$Q$244,5,0),0)</f>
        <v>0</v>
      </c>
      <c r="J9207" s="3">
        <f t="shared" si="573"/>
        <v>1900</v>
      </c>
    </row>
    <row r="9208" spans="1:10" s="9" customFormat="1" x14ac:dyDescent="0.25">
      <c r="A9208" s="447"/>
      <c r="B9208" s="55" t="str">
        <f t="shared" si="570"/>
        <v>ENERO</v>
      </c>
      <c r="C9208" s="55">
        <f t="shared" si="571"/>
        <v>1</v>
      </c>
      <c r="D9208" s="3" t="str">
        <f t="shared" si="572"/>
        <v>SÁBADO</v>
      </c>
      <c r="E9208" s="427"/>
      <c r="F9208" s="31">
        <f>IFERROR(VLOOKUP(E9208,BD!$L$2:$Q$244,2,0),0)</f>
        <v>0</v>
      </c>
      <c r="G9208" s="424"/>
      <c r="H9208" s="31">
        <f>+IFERROR(VLOOKUP(E9208,BD!$L$2:$Q$244,6,0),0)</f>
        <v>0</v>
      </c>
      <c r="I9208" s="626">
        <f>IFERROR(G9208*VLOOKUP($E9208,BD!$L$2:$Q$244,5,0),0)</f>
        <v>0</v>
      </c>
      <c r="J9208" s="3">
        <f t="shared" si="573"/>
        <v>1900</v>
      </c>
    </row>
    <row r="9209" spans="1:10" s="9" customFormat="1" x14ac:dyDescent="0.25">
      <c r="A9209" s="447"/>
      <c r="B9209" s="55" t="str">
        <f t="shared" si="570"/>
        <v>ENERO</v>
      </c>
      <c r="C9209" s="55">
        <f t="shared" si="571"/>
        <v>1</v>
      </c>
      <c r="D9209" s="3" t="str">
        <f t="shared" si="572"/>
        <v>SÁBADO</v>
      </c>
      <c r="E9209" s="427"/>
      <c r="F9209" s="31">
        <f>IFERROR(VLOOKUP(E9209,BD!$L$2:$Q$244,2,0),0)</f>
        <v>0</v>
      </c>
      <c r="G9209" s="424"/>
      <c r="H9209" s="31">
        <f>+IFERROR(VLOOKUP(E9209,BD!$L$2:$Q$244,6,0),0)</f>
        <v>0</v>
      </c>
      <c r="I9209" s="626">
        <f>IFERROR(G9209*VLOOKUP($E9209,BD!$L$2:$Q$244,5,0),0)</f>
        <v>0</v>
      </c>
      <c r="J9209" s="3">
        <f t="shared" si="573"/>
        <v>1900</v>
      </c>
    </row>
    <row r="9210" spans="1:10" s="9" customFormat="1" x14ac:dyDescent="0.25">
      <c r="A9210" s="447"/>
      <c r="B9210" s="55" t="str">
        <f t="shared" si="570"/>
        <v>ENERO</v>
      </c>
      <c r="C9210" s="55">
        <f t="shared" si="571"/>
        <v>1</v>
      </c>
      <c r="D9210" s="3" t="str">
        <f t="shared" si="572"/>
        <v>SÁBADO</v>
      </c>
      <c r="E9210" s="427"/>
      <c r="F9210" s="31">
        <f>IFERROR(VLOOKUP(E9210,BD!$L$2:$Q$244,2,0),0)</f>
        <v>0</v>
      </c>
      <c r="G9210" s="424"/>
      <c r="H9210" s="31">
        <f>+IFERROR(VLOOKUP(E9210,BD!$L$2:$Q$244,6,0),0)</f>
        <v>0</v>
      </c>
      <c r="I9210" s="626">
        <f>IFERROR(G9210*VLOOKUP($E9210,BD!$L$2:$Q$244,5,0),0)</f>
        <v>0</v>
      </c>
      <c r="J9210" s="3">
        <f t="shared" si="573"/>
        <v>1900</v>
      </c>
    </row>
    <row r="9211" spans="1:10" s="9" customFormat="1" x14ac:dyDescent="0.25">
      <c r="A9211" s="447"/>
      <c r="B9211" s="55" t="str">
        <f t="shared" si="570"/>
        <v>ENERO</v>
      </c>
      <c r="C9211" s="55">
        <f t="shared" si="571"/>
        <v>1</v>
      </c>
      <c r="D9211" s="3" t="str">
        <f t="shared" si="572"/>
        <v>SÁBADO</v>
      </c>
      <c r="E9211" s="427"/>
      <c r="F9211" s="31">
        <f>IFERROR(VLOOKUP(E9211,BD!$L$2:$Q$244,2,0),0)</f>
        <v>0</v>
      </c>
      <c r="G9211" s="424"/>
      <c r="H9211" s="31">
        <f>+IFERROR(VLOOKUP(E9211,BD!$L$2:$Q$244,6,0),0)</f>
        <v>0</v>
      </c>
      <c r="I9211" s="626">
        <f>IFERROR(G9211*VLOOKUP($E9211,BD!$L$2:$Q$244,5,0),0)</f>
        <v>0</v>
      </c>
      <c r="J9211" s="3">
        <f t="shared" si="573"/>
        <v>1900</v>
      </c>
    </row>
    <row r="9212" spans="1:10" s="9" customFormat="1" x14ac:dyDescent="0.25">
      <c r="A9212" s="447"/>
      <c r="B9212" s="55" t="str">
        <f t="shared" ref="B9212:B9275" si="574">UPPER(TEXT(A9212,"MMMM"))</f>
        <v>ENERO</v>
      </c>
      <c r="C9212" s="55">
        <f t="shared" ref="C9212:C9275" si="575">WEEKNUM(A9212,16)</f>
        <v>1</v>
      </c>
      <c r="D9212" s="3" t="str">
        <f t="shared" ref="D9212:D9275" si="576">UPPER(TEXT(A9212,"DDDD"))</f>
        <v>SÁBADO</v>
      </c>
      <c r="E9212" s="427"/>
      <c r="F9212" s="31">
        <f>IFERROR(VLOOKUP(E9212,BD!$L$2:$Q$244,2,0),0)</f>
        <v>0</v>
      </c>
      <c r="G9212" s="424"/>
      <c r="H9212" s="31">
        <f>+IFERROR(VLOOKUP(E9212,BD!$L$2:$Q$244,6,0),0)</f>
        <v>0</v>
      </c>
      <c r="I9212" s="626">
        <f>IFERROR(G9212*VLOOKUP($E9212,BD!$L$2:$Q$244,5,0),0)</f>
        <v>0</v>
      </c>
      <c r="J9212" s="3">
        <f t="shared" ref="J9212:J9275" si="577">+YEAR(A9212)</f>
        <v>1900</v>
      </c>
    </row>
    <row r="9213" spans="1:10" s="9" customFormat="1" x14ac:dyDescent="0.25">
      <c r="A9213" s="447"/>
      <c r="B9213" s="55" t="str">
        <f t="shared" si="574"/>
        <v>ENERO</v>
      </c>
      <c r="C9213" s="55">
        <f t="shared" si="575"/>
        <v>1</v>
      </c>
      <c r="D9213" s="3" t="str">
        <f t="shared" si="576"/>
        <v>SÁBADO</v>
      </c>
      <c r="E9213" s="427"/>
      <c r="F9213" s="31">
        <f>IFERROR(VLOOKUP(E9213,BD!$L$2:$Q$244,2,0),0)</f>
        <v>0</v>
      </c>
      <c r="G9213" s="424"/>
      <c r="H9213" s="31">
        <f>+IFERROR(VLOOKUP(E9213,BD!$L$2:$Q$244,6,0),0)</f>
        <v>0</v>
      </c>
      <c r="I9213" s="626">
        <f>IFERROR(G9213*VLOOKUP($E9213,BD!$L$2:$Q$244,5,0),0)</f>
        <v>0</v>
      </c>
      <c r="J9213" s="3">
        <f t="shared" si="577"/>
        <v>1900</v>
      </c>
    </row>
    <row r="9214" spans="1:10" s="9" customFormat="1" x14ac:dyDescent="0.25">
      <c r="A9214" s="447"/>
      <c r="B9214" s="55" t="str">
        <f t="shared" si="574"/>
        <v>ENERO</v>
      </c>
      <c r="C9214" s="55">
        <f t="shared" si="575"/>
        <v>1</v>
      </c>
      <c r="D9214" s="3" t="str">
        <f t="shared" si="576"/>
        <v>SÁBADO</v>
      </c>
      <c r="E9214" s="427"/>
      <c r="F9214" s="31">
        <f>IFERROR(VLOOKUP(E9214,BD!$L$2:$Q$244,2,0),0)</f>
        <v>0</v>
      </c>
      <c r="G9214" s="424"/>
      <c r="H9214" s="31">
        <f>+IFERROR(VLOOKUP(E9214,BD!$L$2:$Q$244,6,0),0)</f>
        <v>0</v>
      </c>
      <c r="I9214" s="626">
        <f>IFERROR(G9214*VLOOKUP($E9214,BD!$L$2:$Q$244,5,0),0)</f>
        <v>0</v>
      </c>
      <c r="J9214" s="3">
        <f t="shared" si="577"/>
        <v>1900</v>
      </c>
    </row>
    <row r="9215" spans="1:10" s="9" customFormat="1" x14ac:dyDescent="0.25">
      <c r="A9215" s="447"/>
      <c r="B9215" s="55" t="str">
        <f t="shared" si="574"/>
        <v>ENERO</v>
      </c>
      <c r="C9215" s="55">
        <f t="shared" si="575"/>
        <v>1</v>
      </c>
      <c r="D9215" s="3" t="str">
        <f t="shared" si="576"/>
        <v>SÁBADO</v>
      </c>
      <c r="E9215" s="427"/>
      <c r="F9215" s="31">
        <f>IFERROR(VLOOKUP(E9215,BD!$L$2:$Q$244,2,0),0)</f>
        <v>0</v>
      </c>
      <c r="G9215" s="424"/>
      <c r="H9215" s="31">
        <f>+IFERROR(VLOOKUP(E9215,BD!$L$2:$Q$244,6,0),0)</f>
        <v>0</v>
      </c>
      <c r="I9215" s="626">
        <f>IFERROR(G9215*VLOOKUP($E9215,BD!$L$2:$Q$244,5,0),0)</f>
        <v>0</v>
      </c>
      <c r="J9215" s="3">
        <f t="shared" si="577"/>
        <v>1900</v>
      </c>
    </row>
    <row r="9216" spans="1:10" s="9" customFormat="1" x14ac:dyDescent="0.25">
      <c r="A9216" s="447"/>
      <c r="B9216" s="55" t="str">
        <f t="shared" si="574"/>
        <v>ENERO</v>
      </c>
      <c r="C9216" s="55">
        <f t="shared" si="575"/>
        <v>1</v>
      </c>
      <c r="D9216" s="3" t="str">
        <f t="shared" si="576"/>
        <v>SÁBADO</v>
      </c>
      <c r="E9216" s="427"/>
      <c r="F9216" s="31">
        <f>IFERROR(VLOOKUP(E9216,BD!$L$2:$Q$244,2,0),0)</f>
        <v>0</v>
      </c>
      <c r="G9216" s="424"/>
      <c r="H9216" s="31">
        <f>+IFERROR(VLOOKUP(E9216,BD!$L$2:$Q$244,6,0),0)</f>
        <v>0</v>
      </c>
      <c r="I9216" s="626">
        <f>IFERROR(G9216*VLOOKUP($E9216,BD!$L$2:$Q$244,5,0),0)</f>
        <v>0</v>
      </c>
      <c r="J9216" s="3">
        <f t="shared" si="577"/>
        <v>1900</v>
      </c>
    </row>
    <row r="9217" spans="1:10" s="9" customFormat="1" x14ac:dyDescent="0.25">
      <c r="A9217" s="447"/>
      <c r="B9217" s="55" t="str">
        <f t="shared" si="574"/>
        <v>ENERO</v>
      </c>
      <c r="C9217" s="55">
        <f t="shared" si="575"/>
        <v>1</v>
      </c>
      <c r="D9217" s="3" t="str">
        <f t="shared" si="576"/>
        <v>SÁBADO</v>
      </c>
      <c r="E9217" s="427"/>
      <c r="F9217" s="31">
        <f>IFERROR(VLOOKUP(E9217,BD!$L$2:$Q$244,2,0),0)</f>
        <v>0</v>
      </c>
      <c r="G9217" s="424"/>
      <c r="H9217" s="31">
        <f>+IFERROR(VLOOKUP(E9217,BD!$L$2:$Q$244,6,0),0)</f>
        <v>0</v>
      </c>
      <c r="I9217" s="626">
        <f>IFERROR(G9217*VLOOKUP($E9217,BD!$L$2:$Q$244,5,0),0)</f>
        <v>0</v>
      </c>
      <c r="J9217" s="3">
        <f t="shared" si="577"/>
        <v>1900</v>
      </c>
    </row>
    <row r="9218" spans="1:10" s="9" customFormat="1" x14ac:dyDescent="0.25">
      <c r="A9218" s="447"/>
      <c r="B9218" s="55" t="str">
        <f t="shared" si="574"/>
        <v>ENERO</v>
      </c>
      <c r="C9218" s="55">
        <f t="shared" si="575"/>
        <v>1</v>
      </c>
      <c r="D9218" s="3" t="str">
        <f t="shared" si="576"/>
        <v>SÁBADO</v>
      </c>
      <c r="E9218" s="427"/>
      <c r="F9218" s="31">
        <f>IFERROR(VLOOKUP(E9218,BD!$L$2:$Q$244,2,0),0)</f>
        <v>0</v>
      </c>
      <c r="G9218" s="424"/>
      <c r="H9218" s="31">
        <f>+IFERROR(VLOOKUP(E9218,BD!$L$2:$Q$244,6,0),0)</f>
        <v>0</v>
      </c>
      <c r="I9218" s="626">
        <f>IFERROR(G9218*VLOOKUP($E9218,BD!$L$2:$Q$244,5,0),0)</f>
        <v>0</v>
      </c>
      <c r="J9218" s="3">
        <f t="shared" si="577"/>
        <v>1900</v>
      </c>
    </row>
    <row r="9219" spans="1:10" s="9" customFormat="1" x14ac:dyDescent="0.25">
      <c r="A9219" s="447"/>
      <c r="B9219" s="55" t="str">
        <f t="shared" si="574"/>
        <v>ENERO</v>
      </c>
      <c r="C9219" s="55">
        <f t="shared" si="575"/>
        <v>1</v>
      </c>
      <c r="D9219" s="3" t="str">
        <f t="shared" si="576"/>
        <v>SÁBADO</v>
      </c>
      <c r="E9219" s="427"/>
      <c r="F9219" s="31">
        <f>IFERROR(VLOOKUP(E9219,BD!$L$2:$Q$244,2,0),0)</f>
        <v>0</v>
      </c>
      <c r="G9219" s="424"/>
      <c r="H9219" s="31">
        <f>+IFERROR(VLOOKUP(E9219,BD!$L$2:$Q$244,6,0),0)</f>
        <v>0</v>
      </c>
      <c r="I9219" s="626">
        <f>IFERROR(G9219*VLOOKUP($E9219,BD!$L$2:$Q$244,5,0),0)</f>
        <v>0</v>
      </c>
      <c r="J9219" s="3">
        <f t="shared" si="577"/>
        <v>1900</v>
      </c>
    </row>
    <row r="9220" spans="1:10" s="9" customFormat="1" x14ac:dyDescent="0.25">
      <c r="A9220" s="447"/>
      <c r="B9220" s="55" t="str">
        <f t="shared" si="574"/>
        <v>ENERO</v>
      </c>
      <c r="C9220" s="55">
        <f t="shared" si="575"/>
        <v>1</v>
      </c>
      <c r="D9220" s="3" t="str">
        <f t="shared" si="576"/>
        <v>SÁBADO</v>
      </c>
      <c r="E9220" s="427"/>
      <c r="F9220" s="31">
        <f>IFERROR(VLOOKUP(E9220,BD!$L$2:$Q$244,2,0),0)</f>
        <v>0</v>
      </c>
      <c r="G9220" s="424"/>
      <c r="H9220" s="31">
        <f>+IFERROR(VLOOKUP(E9220,BD!$L$2:$Q$244,6,0),0)</f>
        <v>0</v>
      </c>
      <c r="I9220" s="626">
        <f>IFERROR(G9220*VLOOKUP($E9220,BD!$L$2:$Q$244,5,0),0)</f>
        <v>0</v>
      </c>
      <c r="J9220" s="3">
        <f t="shared" si="577"/>
        <v>1900</v>
      </c>
    </row>
    <row r="9221" spans="1:10" s="9" customFormat="1" x14ac:dyDescent="0.25">
      <c r="A9221" s="447"/>
      <c r="B9221" s="55" t="str">
        <f t="shared" si="574"/>
        <v>ENERO</v>
      </c>
      <c r="C9221" s="55">
        <f t="shared" si="575"/>
        <v>1</v>
      </c>
      <c r="D9221" s="3" t="str">
        <f t="shared" si="576"/>
        <v>SÁBADO</v>
      </c>
      <c r="E9221" s="427"/>
      <c r="F9221" s="31">
        <f>IFERROR(VLOOKUP(E9221,BD!$L$2:$Q$244,2,0),0)</f>
        <v>0</v>
      </c>
      <c r="G9221" s="424"/>
      <c r="H9221" s="31">
        <f>+IFERROR(VLOOKUP(E9221,BD!$L$2:$Q$244,6,0),0)</f>
        <v>0</v>
      </c>
      <c r="I9221" s="626">
        <f>IFERROR(G9221*VLOOKUP($E9221,BD!$L$2:$Q$244,5,0),0)</f>
        <v>0</v>
      </c>
      <c r="J9221" s="3">
        <f t="shared" si="577"/>
        <v>1900</v>
      </c>
    </row>
    <row r="9222" spans="1:10" s="9" customFormat="1" x14ac:dyDescent="0.25">
      <c r="A9222" s="447"/>
      <c r="B9222" s="55" t="str">
        <f t="shared" si="574"/>
        <v>ENERO</v>
      </c>
      <c r="C9222" s="55">
        <f t="shared" si="575"/>
        <v>1</v>
      </c>
      <c r="D9222" s="3" t="str">
        <f t="shared" si="576"/>
        <v>SÁBADO</v>
      </c>
      <c r="E9222" s="427"/>
      <c r="F9222" s="31">
        <f>IFERROR(VLOOKUP(E9222,BD!$L$2:$Q$244,2,0),0)</f>
        <v>0</v>
      </c>
      <c r="G9222" s="424"/>
      <c r="H9222" s="31">
        <f>+IFERROR(VLOOKUP(E9222,BD!$L$2:$Q$244,6,0),0)</f>
        <v>0</v>
      </c>
      <c r="I9222" s="626">
        <f>IFERROR(G9222*VLOOKUP($E9222,BD!$L$2:$Q$244,5,0),0)</f>
        <v>0</v>
      </c>
      <c r="J9222" s="3">
        <f t="shared" si="577"/>
        <v>1900</v>
      </c>
    </row>
    <row r="9223" spans="1:10" s="9" customFormat="1" x14ac:dyDescent="0.25">
      <c r="A9223" s="447"/>
      <c r="B9223" s="55" t="str">
        <f t="shared" si="574"/>
        <v>ENERO</v>
      </c>
      <c r="C9223" s="55">
        <f t="shared" si="575"/>
        <v>1</v>
      </c>
      <c r="D9223" s="3" t="str">
        <f t="shared" si="576"/>
        <v>SÁBADO</v>
      </c>
      <c r="E9223" s="427"/>
      <c r="F9223" s="31">
        <f>IFERROR(VLOOKUP(E9223,BD!$L$2:$Q$244,2,0),0)</f>
        <v>0</v>
      </c>
      <c r="G9223" s="424"/>
      <c r="H9223" s="31">
        <f>+IFERROR(VLOOKUP(E9223,BD!$L$2:$Q$244,6,0),0)</f>
        <v>0</v>
      </c>
      <c r="I9223" s="626">
        <f>IFERROR(G9223*VLOOKUP($E9223,BD!$L$2:$Q$244,5,0),0)</f>
        <v>0</v>
      </c>
      <c r="J9223" s="3">
        <f t="shared" si="577"/>
        <v>1900</v>
      </c>
    </row>
    <row r="9224" spans="1:10" s="9" customFormat="1" x14ac:dyDescent="0.25">
      <c r="A9224" s="447"/>
      <c r="B9224" s="55" t="str">
        <f t="shared" si="574"/>
        <v>ENERO</v>
      </c>
      <c r="C9224" s="55">
        <f t="shared" si="575"/>
        <v>1</v>
      </c>
      <c r="D9224" s="3" t="str">
        <f t="shared" si="576"/>
        <v>SÁBADO</v>
      </c>
      <c r="E9224" s="427"/>
      <c r="F9224" s="31">
        <f>IFERROR(VLOOKUP(E9224,BD!$L$2:$Q$244,2,0),0)</f>
        <v>0</v>
      </c>
      <c r="G9224" s="424"/>
      <c r="H9224" s="31">
        <f>+IFERROR(VLOOKUP(E9224,BD!$L$2:$Q$244,6,0),0)</f>
        <v>0</v>
      </c>
      <c r="I9224" s="626">
        <f>IFERROR(G9224*VLOOKUP($E9224,BD!$L$2:$Q$244,5,0),0)</f>
        <v>0</v>
      </c>
      <c r="J9224" s="3">
        <f t="shared" si="577"/>
        <v>1900</v>
      </c>
    </row>
    <row r="9225" spans="1:10" s="9" customFormat="1" x14ac:dyDescent="0.25">
      <c r="A9225" s="447"/>
      <c r="B9225" s="55" t="str">
        <f t="shared" si="574"/>
        <v>ENERO</v>
      </c>
      <c r="C9225" s="55">
        <f t="shared" si="575"/>
        <v>1</v>
      </c>
      <c r="D9225" s="3" t="str">
        <f t="shared" si="576"/>
        <v>SÁBADO</v>
      </c>
      <c r="E9225" s="427"/>
      <c r="F9225" s="31">
        <f>IFERROR(VLOOKUP(E9225,BD!$L$2:$Q$244,2,0),0)</f>
        <v>0</v>
      </c>
      <c r="G9225" s="424"/>
      <c r="H9225" s="31">
        <f>+IFERROR(VLOOKUP(E9225,BD!$L$2:$Q$244,6,0),0)</f>
        <v>0</v>
      </c>
      <c r="I9225" s="626">
        <f>IFERROR(G9225*VLOOKUP($E9225,BD!$L$2:$Q$244,5,0),0)</f>
        <v>0</v>
      </c>
      <c r="J9225" s="3">
        <f t="shared" si="577"/>
        <v>1900</v>
      </c>
    </row>
    <row r="9226" spans="1:10" s="9" customFormat="1" x14ac:dyDescent="0.25">
      <c r="A9226" s="447"/>
      <c r="B9226" s="55" t="str">
        <f t="shared" si="574"/>
        <v>ENERO</v>
      </c>
      <c r="C9226" s="55">
        <f t="shared" si="575"/>
        <v>1</v>
      </c>
      <c r="D9226" s="3" t="str">
        <f t="shared" si="576"/>
        <v>SÁBADO</v>
      </c>
      <c r="E9226" s="427"/>
      <c r="F9226" s="31">
        <f>IFERROR(VLOOKUP(E9226,BD!$L$2:$Q$244,2,0),0)</f>
        <v>0</v>
      </c>
      <c r="G9226" s="424"/>
      <c r="H9226" s="31">
        <f>+IFERROR(VLOOKUP(E9226,BD!$L$2:$Q$244,6,0),0)</f>
        <v>0</v>
      </c>
      <c r="I9226" s="626">
        <f>IFERROR(G9226*VLOOKUP($E9226,BD!$L$2:$Q$244,5,0),0)</f>
        <v>0</v>
      </c>
      <c r="J9226" s="3">
        <f t="shared" si="577"/>
        <v>1900</v>
      </c>
    </row>
    <row r="9227" spans="1:10" s="9" customFormat="1" x14ac:dyDescent="0.25">
      <c r="A9227" s="447"/>
      <c r="B9227" s="55" t="str">
        <f t="shared" si="574"/>
        <v>ENERO</v>
      </c>
      <c r="C9227" s="55">
        <f t="shared" si="575"/>
        <v>1</v>
      </c>
      <c r="D9227" s="3" t="str">
        <f t="shared" si="576"/>
        <v>SÁBADO</v>
      </c>
      <c r="E9227" s="427"/>
      <c r="F9227" s="31">
        <f>IFERROR(VLOOKUP(E9227,BD!$L$2:$Q$244,2,0),0)</f>
        <v>0</v>
      </c>
      <c r="G9227" s="424"/>
      <c r="H9227" s="31">
        <f>+IFERROR(VLOOKUP(E9227,BD!$L$2:$Q$244,6,0),0)</f>
        <v>0</v>
      </c>
      <c r="I9227" s="626">
        <f>IFERROR(G9227*VLOOKUP($E9227,BD!$L$2:$Q$244,5,0),0)</f>
        <v>0</v>
      </c>
      <c r="J9227" s="3">
        <f t="shared" si="577"/>
        <v>1900</v>
      </c>
    </row>
    <row r="9228" spans="1:10" s="9" customFormat="1" x14ac:dyDescent="0.25">
      <c r="A9228" s="447"/>
      <c r="B9228" s="55" t="str">
        <f t="shared" si="574"/>
        <v>ENERO</v>
      </c>
      <c r="C9228" s="55">
        <f t="shared" si="575"/>
        <v>1</v>
      </c>
      <c r="D9228" s="3" t="str">
        <f t="shared" si="576"/>
        <v>SÁBADO</v>
      </c>
      <c r="E9228" s="427"/>
      <c r="F9228" s="31">
        <f>IFERROR(VLOOKUP(E9228,BD!$L$2:$Q$244,2,0),0)</f>
        <v>0</v>
      </c>
      <c r="G9228" s="424"/>
      <c r="H9228" s="31">
        <f>+IFERROR(VLOOKUP(E9228,BD!$L$2:$Q$244,6,0),0)</f>
        <v>0</v>
      </c>
      <c r="I9228" s="626">
        <f>IFERROR(G9228*VLOOKUP($E9228,BD!$L$2:$Q$244,5,0),0)</f>
        <v>0</v>
      </c>
      <c r="J9228" s="3">
        <f t="shared" si="577"/>
        <v>1900</v>
      </c>
    </row>
    <row r="9229" spans="1:10" s="9" customFormat="1" x14ac:dyDescent="0.25">
      <c r="A9229" s="447"/>
      <c r="B9229" s="55" t="str">
        <f t="shared" si="574"/>
        <v>ENERO</v>
      </c>
      <c r="C9229" s="55">
        <f t="shared" si="575"/>
        <v>1</v>
      </c>
      <c r="D9229" s="3" t="str">
        <f t="shared" si="576"/>
        <v>SÁBADO</v>
      </c>
      <c r="E9229" s="427"/>
      <c r="F9229" s="31">
        <f>IFERROR(VLOOKUP(E9229,BD!$L$2:$Q$244,2,0),0)</f>
        <v>0</v>
      </c>
      <c r="G9229" s="424"/>
      <c r="H9229" s="31">
        <f>+IFERROR(VLOOKUP(E9229,BD!$L$2:$Q$244,6,0),0)</f>
        <v>0</v>
      </c>
      <c r="I9229" s="626">
        <f>IFERROR(G9229*VLOOKUP($E9229,BD!$L$2:$Q$244,5,0),0)</f>
        <v>0</v>
      </c>
      <c r="J9229" s="3">
        <f t="shared" si="577"/>
        <v>1900</v>
      </c>
    </row>
    <row r="9230" spans="1:10" s="9" customFormat="1" x14ac:dyDescent="0.25">
      <c r="A9230" s="447"/>
      <c r="B9230" s="55" t="str">
        <f t="shared" si="574"/>
        <v>ENERO</v>
      </c>
      <c r="C9230" s="55">
        <f t="shared" si="575"/>
        <v>1</v>
      </c>
      <c r="D9230" s="3" t="str">
        <f t="shared" si="576"/>
        <v>SÁBADO</v>
      </c>
      <c r="E9230" s="427"/>
      <c r="F9230" s="31">
        <f>IFERROR(VLOOKUP(E9230,BD!$L$2:$Q$244,2,0),0)</f>
        <v>0</v>
      </c>
      <c r="G9230" s="424"/>
      <c r="H9230" s="31">
        <f>+IFERROR(VLOOKUP(E9230,BD!$L$2:$Q$244,6,0),0)</f>
        <v>0</v>
      </c>
      <c r="I9230" s="626">
        <f>IFERROR(G9230*VLOOKUP($E9230,BD!$L$2:$Q$244,5,0),0)</f>
        <v>0</v>
      </c>
      <c r="J9230" s="3">
        <f t="shared" si="577"/>
        <v>1900</v>
      </c>
    </row>
    <row r="9231" spans="1:10" s="9" customFormat="1" x14ac:dyDescent="0.25">
      <c r="A9231" s="447"/>
      <c r="B9231" s="55" t="str">
        <f t="shared" si="574"/>
        <v>ENERO</v>
      </c>
      <c r="C9231" s="55">
        <f t="shared" si="575"/>
        <v>1</v>
      </c>
      <c r="D9231" s="3" t="str">
        <f t="shared" si="576"/>
        <v>SÁBADO</v>
      </c>
      <c r="E9231" s="427"/>
      <c r="F9231" s="31">
        <f>IFERROR(VLOOKUP(E9231,BD!$L$2:$Q$244,2,0),0)</f>
        <v>0</v>
      </c>
      <c r="G9231" s="424"/>
      <c r="H9231" s="31">
        <f>+IFERROR(VLOOKUP(E9231,BD!$L$2:$Q$244,6,0),0)</f>
        <v>0</v>
      </c>
      <c r="I9231" s="626">
        <f>IFERROR(G9231*VLOOKUP($E9231,BD!$L$2:$Q$244,5,0),0)</f>
        <v>0</v>
      </c>
      <c r="J9231" s="3">
        <f t="shared" si="577"/>
        <v>1900</v>
      </c>
    </row>
    <row r="9232" spans="1:10" s="9" customFormat="1" x14ac:dyDescent="0.25">
      <c r="A9232" s="447"/>
      <c r="B9232" s="55" t="str">
        <f t="shared" si="574"/>
        <v>ENERO</v>
      </c>
      <c r="C9232" s="55">
        <f t="shared" si="575"/>
        <v>1</v>
      </c>
      <c r="D9232" s="3" t="str">
        <f t="shared" si="576"/>
        <v>SÁBADO</v>
      </c>
      <c r="E9232" s="427"/>
      <c r="F9232" s="31">
        <f>IFERROR(VLOOKUP(E9232,BD!$L$2:$Q$244,2,0),0)</f>
        <v>0</v>
      </c>
      <c r="G9232" s="424"/>
      <c r="H9232" s="31">
        <f>+IFERROR(VLOOKUP(E9232,BD!$L$2:$Q$244,6,0),0)</f>
        <v>0</v>
      </c>
      <c r="I9232" s="626">
        <f>IFERROR(G9232*VLOOKUP($E9232,BD!$L$2:$Q$244,5,0),0)</f>
        <v>0</v>
      </c>
      <c r="J9232" s="3">
        <f t="shared" si="577"/>
        <v>1900</v>
      </c>
    </row>
    <row r="9233" spans="1:10" s="9" customFormat="1" x14ac:dyDescent="0.25">
      <c r="A9233" s="447"/>
      <c r="B9233" s="55" t="str">
        <f t="shared" si="574"/>
        <v>ENERO</v>
      </c>
      <c r="C9233" s="55">
        <f t="shared" si="575"/>
        <v>1</v>
      </c>
      <c r="D9233" s="3" t="str">
        <f t="shared" si="576"/>
        <v>SÁBADO</v>
      </c>
      <c r="E9233" s="427"/>
      <c r="F9233" s="31">
        <f>IFERROR(VLOOKUP(E9233,BD!$L$2:$Q$244,2,0),0)</f>
        <v>0</v>
      </c>
      <c r="G9233" s="424"/>
      <c r="H9233" s="31">
        <f>+IFERROR(VLOOKUP(E9233,BD!$L$2:$Q$244,6,0),0)</f>
        <v>0</v>
      </c>
      <c r="I9233" s="626">
        <f>IFERROR(G9233*VLOOKUP($E9233,BD!$L$2:$Q$244,5,0),0)</f>
        <v>0</v>
      </c>
      <c r="J9233" s="3">
        <f t="shared" si="577"/>
        <v>1900</v>
      </c>
    </row>
    <row r="9234" spans="1:10" s="9" customFormat="1" x14ac:dyDescent="0.25">
      <c r="A9234" s="447"/>
      <c r="B9234" s="55" t="str">
        <f t="shared" si="574"/>
        <v>ENERO</v>
      </c>
      <c r="C9234" s="55">
        <f t="shared" si="575"/>
        <v>1</v>
      </c>
      <c r="D9234" s="3" t="str">
        <f t="shared" si="576"/>
        <v>SÁBADO</v>
      </c>
      <c r="E9234" s="427"/>
      <c r="F9234" s="31">
        <f>IFERROR(VLOOKUP(E9234,BD!$L$2:$Q$244,2,0),0)</f>
        <v>0</v>
      </c>
      <c r="G9234" s="424"/>
      <c r="H9234" s="31">
        <f>+IFERROR(VLOOKUP(E9234,BD!$L$2:$Q$244,6,0),0)</f>
        <v>0</v>
      </c>
      <c r="I9234" s="626">
        <f>IFERROR(G9234*VLOOKUP($E9234,BD!$L$2:$Q$244,5,0),0)</f>
        <v>0</v>
      </c>
      <c r="J9234" s="3">
        <f t="shared" si="577"/>
        <v>1900</v>
      </c>
    </row>
    <row r="9235" spans="1:10" s="9" customFormat="1" x14ac:dyDescent="0.25">
      <c r="A9235" s="447"/>
      <c r="B9235" s="55" t="str">
        <f t="shared" si="574"/>
        <v>ENERO</v>
      </c>
      <c r="C9235" s="55">
        <f t="shared" si="575"/>
        <v>1</v>
      </c>
      <c r="D9235" s="3" t="str">
        <f t="shared" si="576"/>
        <v>SÁBADO</v>
      </c>
      <c r="E9235" s="427"/>
      <c r="F9235" s="31">
        <f>IFERROR(VLOOKUP(E9235,BD!$L$2:$Q$244,2,0),0)</f>
        <v>0</v>
      </c>
      <c r="G9235" s="424"/>
      <c r="H9235" s="31">
        <f>+IFERROR(VLOOKUP(E9235,BD!$L$2:$Q$244,6,0),0)</f>
        <v>0</v>
      </c>
      <c r="I9235" s="626">
        <f>IFERROR(G9235*VLOOKUP($E9235,BD!$L$2:$Q$244,5,0),0)</f>
        <v>0</v>
      </c>
      <c r="J9235" s="3">
        <f t="shared" si="577"/>
        <v>1900</v>
      </c>
    </row>
    <row r="9236" spans="1:10" s="9" customFormat="1" x14ac:dyDescent="0.25">
      <c r="A9236" s="447"/>
      <c r="B9236" s="55" t="str">
        <f t="shared" si="574"/>
        <v>ENERO</v>
      </c>
      <c r="C9236" s="55">
        <f t="shared" si="575"/>
        <v>1</v>
      </c>
      <c r="D9236" s="3" t="str">
        <f t="shared" si="576"/>
        <v>SÁBADO</v>
      </c>
      <c r="E9236" s="427"/>
      <c r="F9236" s="31">
        <f>IFERROR(VLOOKUP(E9236,BD!$L$2:$Q$244,2,0),0)</f>
        <v>0</v>
      </c>
      <c r="G9236" s="424"/>
      <c r="H9236" s="31">
        <f>+IFERROR(VLOOKUP(E9236,BD!$L$2:$Q$244,6,0),0)</f>
        <v>0</v>
      </c>
      <c r="I9236" s="626">
        <f>IFERROR(G9236*VLOOKUP($E9236,BD!$L$2:$Q$244,5,0),0)</f>
        <v>0</v>
      </c>
      <c r="J9236" s="3">
        <f t="shared" si="577"/>
        <v>1900</v>
      </c>
    </row>
    <row r="9237" spans="1:10" s="9" customFormat="1" x14ac:dyDescent="0.25">
      <c r="A9237" s="447"/>
      <c r="B9237" s="55" t="str">
        <f t="shared" si="574"/>
        <v>ENERO</v>
      </c>
      <c r="C9237" s="55">
        <f t="shared" si="575"/>
        <v>1</v>
      </c>
      <c r="D9237" s="3" t="str">
        <f t="shared" si="576"/>
        <v>SÁBADO</v>
      </c>
      <c r="E9237" s="427"/>
      <c r="F9237" s="31">
        <f>IFERROR(VLOOKUP(E9237,BD!$L$2:$Q$244,2,0),0)</f>
        <v>0</v>
      </c>
      <c r="G9237" s="424"/>
      <c r="H9237" s="31">
        <f>+IFERROR(VLOOKUP(E9237,BD!$L$2:$Q$244,6,0),0)</f>
        <v>0</v>
      </c>
      <c r="I9237" s="626">
        <f>IFERROR(G9237*VLOOKUP($E9237,BD!$L$2:$Q$244,5,0),0)</f>
        <v>0</v>
      </c>
      <c r="J9237" s="3">
        <f t="shared" si="577"/>
        <v>1900</v>
      </c>
    </row>
    <row r="9238" spans="1:10" s="9" customFormat="1" x14ac:dyDescent="0.25">
      <c r="A9238" s="447"/>
      <c r="B9238" s="55" t="str">
        <f t="shared" si="574"/>
        <v>ENERO</v>
      </c>
      <c r="C9238" s="55">
        <f t="shared" si="575"/>
        <v>1</v>
      </c>
      <c r="D9238" s="3" t="str">
        <f t="shared" si="576"/>
        <v>SÁBADO</v>
      </c>
      <c r="E9238" s="427"/>
      <c r="F9238" s="31">
        <f>IFERROR(VLOOKUP(E9238,BD!$L$2:$Q$244,2,0),0)</f>
        <v>0</v>
      </c>
      <c r="G9238" s="424"/>
      <c r="H9238" s="31">
        <f>+IFERROR(VLOOKUP(E9238,BD!$L$2:$Q$244,6,0),0)</f>
        <v>0</v>
      </c>
      <c r="I9238" s="626">
        <f>IFERROR(G9238*VLOOKUP($E9238,BD!$L$2:$Q$244,5,0),0)</f>
        <v>0</v>
      </c>
      <c r="J9238" s="3">
        <f t="shared" si="577"/>
        <v>1900</v>
      </c>
    </row>
    <row r="9239" spans="1:10" s="9" customFormat="1" x14ac:dyDescent="0.25">
      <c r="A9239" s="447"/>
      <c r="B9239" s="55" t="str">
        <f t="shared" si="574"/>
        <v>ENERO</v>
      </c>
      <c r="C9239" s="55">
        <f t="shared" si="575"/>
        <v>1</v>
      </c>
      <c r="D9239" s="3" t="str">
        <f t="shared" si="576"/>
        <v>SÁBADO</v>
      </c>
      <c r="E9239" s="427"/>
      <c r="F9239" s="31">
        <f>IFERROR(VLOOKUP(E9239,BD!$L$2:$Q$244,2,0),0)</f>
        <v>0</v>
      </c>
      <c r="G9239" s="424"/>
      <c r="H9239" s="31">
        <f>+IFERROR(VLOOKUP(E9239,BD!$L$2:$Q$244,6,0),0)</f>
        <v>0</v>
      </c>
      <c r="I9239" s="626">
        <f>IFERROR(G9239*VLOOKUP($E9239,BD!$L$2:$Q$244,5,0),0)</f>
        <v>0</v>
      </c>
      <c r="J9239" s="3">
        <f t="shared" si="577"/>
        <v>1900</v>
      </c>
    </row>
    <row r="9240" spans="1:10" s="9" customFormat="1" x14ac:dyDescent="0.25">
      <c r="A9240" s="447"/>
      <c r="B9240" s="55" t="str">
        <f t="shared" si="574"/>
        <v>ENERO</v>
      </c>
      <c r="C9240" s="55">
        <f t="shared" si="575"/>
        <v>1</v>
      </c>
      <c r="D9240" s="3" t="str">
        <f t="shared" si="576"/>
        <v>SÁBADO</v>
      </c>
      <c r="E9240" s="427"/>
      <c r="F9240" s="31">
        <f>IFERROR(VLOOKUP(E9240,BD!$L$2:$Q$244,2,0),0)</f>
        <v>0</v>
      </c>
      <c r="G9240" s="424"/>
      <c r="H9240" s="31">
        <f>+IFERROR(VLOOKUP(E9240,BD!$L$2:$Q$244,6,0),0)</f>
        <v>0</v>
      </c>
      <c r="I9240" s="626">
        <f>IFERROR(G9240*VLOOKUP($E9240,BD!$L$2:$Q$244,5,0),0)</f>
        <v>0</v>
      </c>
      <c r="J9240" s="3">
        <f t="shared" si="577"/>
        <v>1900</v>
      </c>
    </row>
    <row r="9241" spans="1:10" s="9" customFormat="1" x14ac:dyDescent="0.25">
      <c r="A9241" s="447"/>
      <c r="B9241" s="55" t="str">
        <f t="shared" si="574"/>
        <v>ENERO</v>
      </c>
      <c r="C9241" s="55">
        <f t="shared" si="575"/>
        <v>1</v>
      </c>
      <c r="D9241" s="3" t="str">
        <f t="shared" si="576"/>
        <v>SÁBADO</v>
      </c>
      <c r="E9241" s="427"/>
      <c r="F9241" s="31">
        <f>IFERROR(VLOOKUP(E9241,BD!$L$2:$Q$244,2,0),0)</f>
        <v>0</v>
      </c>
      <c r="G9241" s="424"/>
      <c r="H9241" s="31">
        <f>+IFERROR(VLOOKUP(E9241,BD!$L$2:$Q$244,6,0),0)</f>
        <v>0</v>
      </c>
      <c r="I9241" s="626">
        <f>IFERROR(G9241*VLOOKUP($E9241,BD!$L$2:$Q$244,5,0),0)</f>
        <v>0</v>
      </c>
      <c r="J9241" s="3">
        <f t="shared" si="577"/>
        <v>1900</v>
      </c>
    </row>
    <row r="9242" spans="1:10" s="9" customFormat="1" x14ac:dyDescent="0.25">
      <c r="A9242" s="447"/>
      <c r="B9242" s="55" t="str">
        <f t="shared" si="574"/>
        <v>ENERO</v>
      </c>
      <c r="C9242" s="55">
        <f t="shared" si="575"/>
        <v>1</v>
      </c>
      <c r="D9242" s="3" t="str">
        <f t="shared" si="576"/>
        <v>SÁBADO</v>
      </c>
      <c r="E9242" s="427"/>
      <c r="F9242" s="31">
        <f>IFERROR(VLOOKUP(E9242,BD!$L$2:$Q$244,2,0),0)</f>
        <v>0</v>
      </c>
      <c r="G9242" s="424"/>
      <c r="H9242" s="31">
        <f>+IFERROR(VLOOKUP(E9242,BD!$L$2:$Q$244,6,0),0)</f>
        <v>0</v>
      </c>
      <c r="I9242" s="626">
        <f>IFERROR(G9242*VLOOKUP($E9242,BD!$L$2:$Q$244,5,0),0)</f>
        <v>0</v>
      </c>
      <c r="J9242" s="3">
        <f t="shared" si="577"/>
        <v>1900</v>
      </c>
    </row>
    <row r="9243" spans="1:10" s="9" customFormat="1" x14ac:dyDescent="0.25">
      <c r="A9243" s="447"/>
      <c r="B9243" s="55" t="str">
        <f t="shared" si="574"/>
        <v>ENERO</v>
      </c>
      <c r="C9243" s="55">
        <f t="shared" si="575"/>
        <v>1</v>
      </c>
      <c r="D9243" s="3" t="str">
        <f t="shared" si="576"/>
        <v>SÁBADO</v>
      </c>
      <c r="E9243" s="427"/>
      <c r="F9243" s="31">
        <f>IFERROR(VLOOKUP(E9243,BD!$L$2:$Q$244,2,0),0)</f>
        <v>0</v>
      </c>
      <c r="G9243" s="425"/>
      <c r="H9243" s="31">
        <f>+IFERROR(VLOOKUP(E9243,BD!$L$2:$Q$244,6,0),0)</f>
        <v>0</v>
      </c>
      <c r="I9243" s="626">
        <f>IFERROR(G9243*VLOOKUP($E9243,BD!$L$2:$Q$244,5,0),0)</f>
        <v>0</v>
      </c>
      <c r="J9243" s="3">
        <f t="shared" si="577"/>
        <v>1900</v>
      </c>
    </row>
    <row r="9244" spans="1:10" s="9" customFormat="1" x14ac:dyDescent="0.25">
      <c r="A9244" s="447"/>
      <c r="B9244" s="55" t="str">
        <f t="shared" si="574"/>
        <v>ENERO</v>
      </c>
      <c r="C9244" s="55">
        <f t="shared" si="575"/>
        <v>1</v>
      </c>
      <c r="D9244" s="3" t="str">
        <f t="shared" si="576"/>
        <v>SÁBADO</v>
      </c>
      <c r="E9244" s="427"/>
      <c r="F9244" s="31">
        <f>IFERROR(VLOOKUP(E9244,BD!$L$2:$Q$244,2,0),0)</f>
        <v>0</v>
      </c>
      <c r="G9244" s="424"/>
      <c r="H9244" s="31">
        <f>+IFERROR(VLOOKUP(E9244,BD!$L$2:$Q$244,6,0),0)</f>
        <v>0</v>
      </c>
      <c r="I9244" s="626">
        <f>IFERROR(G9244*VLOOKUP($E9244,BD!$L$2:$Q$244,5,0),0)</f>
        <v>0</v>
      </c>
      <c r="J9244" s="3">
        <f t="shared" si="577"/>
        <v>1900</v>
      </c>
    </row>
    <row r="9245" spans="1:10" s="9" customFormat="1" x14ac:dyDescent="0.25">
      <c r="A9245" s="447"/>
      <c r="B9245" s="55" t="str">
        <f t="shared" si="574"/>
        <v>ENERO</v>
      </c>
      <c r="C9245" s="55">
        <f t="shared" si="575"/>
        <v>1</v>
      </c>
      <c r="D9245" s="3" t="str">
        <f t="shared" si="576"/>
        <v>SÁBADO</v>
      </c>
      <c r="E9245" s="427"/>
      <c r="F9245" s="31">
        <f>IFERROR(VLOOKUP(E9245,BD!$L$2:$Q$244,2,0),0)</f>
        <v>0</v>
      </c>
      <c r="G9245" s="424"/>
      <c r="H9245" s="31">
        <f>+IFERROR(VLOOKUP(E9245,BD!$L$2:$Q$244,6,0),0)</f>
        <v>0</v>
      </c>
      <c r="I9245" s="626">
        <f>IFERROR(G9245*VLOOKUP($E9245,BD!$L$2:$Q$244,5,0),0)</f>
        <v>0</v>
      </c>
      <c r="J9245" s="3">
        <f t="shared" si="577"/>
        <v>1900</v>
      </c>
    </row>
    <row r="9246" spans="1:10" s="9" customFormat="1" x14ac:dyDescent="0.25">
      <c r="A9246" s="447"/>
      <c r="B9246" s="55" t="str">
        <f t="shared" si="574"/>
        <v>ENERO</v>
      </c>
      <c r="C9246" s="55">
        <f t="shared" si="575"/>
        <v>1</v>
      </c>
      <c r="D9246" s="3" t="str">
        <f t="shared" si="576"/>
        <v>SÁBADO</v>
      </c>
      <c r="E9246" s="427"/>
      <c r="F9246" s="31">
        <f>IFERROR(VLOOKUP(E9246,BD!$L$2:$Q$244,2,0),0)</f>
        <v>0</v>
      </c>
      <c r="G9246" s="424"/>
      <c r="H9246" s="31">
        <f>+IFERROR(VLOOKUP(E9246,BD!$L$2:$Q$244,6,0),0)</f>
        <v>0</v>
      </c>
      <c r="I9246" s="626">
        <f>IFERROR(G9246*VLOOKUP($E9246,BD!$L$2:$Q$244,5,0),0)</f>
        <v>0</v>
      </c>
      <c r="J9246" s="3">
        <f t="shared" si="577"/>
        <v>1900</v>
      </c>
    </row>
    <row r="9247" spans="1:10" s="9" customFormat="1" x14ac:dyDescent="0.25">
      <c r="A9247" s="447"/>
      <c r="B9247" s="55" t="str">
        <f t="shared" si="574"/>
        <v>ENERO</v>
      </c>
      <c r="C9247" s="55">
        <f t="shared" si="575"/>
        <v>1</v>
      </c>
      <c r="D9247" s="3" t="str">
        <f t="shared" si="576"/>
        <v>SÁBADO</v>
      </c>
      <c r="E9247" s="427"/>
      <c r="F9247" s="31">
        <f>IFERROR(VLOOKUP(E9247,BD!$L$2:$Q$244,2,0),0)</f>
        <v>0</v>
      </c>
      <c r="G9247" s="424"/>
      <c r="H9247" s="31">
        <f>+IFERROR(VLOOKUP(E9247,BD!$L$2:$Q$244,6,0),0)</f>
        <v>0</v>
      </c>
      <c r="I9247" s="626">
        <f>IFERROR(G9247*VLOOKUP($E9247,BD!$L$2:$Q$244,5,0),0)</f>
        <v>0</v>
      </c>
      <c r="J9247" s="3">
        <f t="shared" si="577"/>
        <v>1900</v>
      </c>
    </row>
    <row r="9248" spans="1:10" s="9" customFormat="1" x14ac:dyDescent="0.25">
      <c r="A9248" s="447"/>
      <c r="B9248" s="55" t="str">
        <f t="shared" si="574"/>
        <v>ENERO</v>
      </c>
      <c r="C9248" s="55">
        <f t="shared" si="575"/>
        <v>1</v>
      </c>
      <c r="D9248" s="3" t="str">
        <f t="shared" si="576"/>
        <v>SÁBADO</v>
      </c>
      <c r="E9248" s="427"/>
      <c r="F9248" s="31">
        <f>IFERROR(VLOOKUP(E9248,BD!$L$2:$Q$244,2,0),0)</f>
        <v>0</v>
      </c>
      <c r="G9248" s="424"/>
      <c r="H9248" s="31">
        <f>+IFERROR(VLOOKUP(E9248,BD!$L$2:$Q$244,6,0),0)</f>
        <v>0</v>
      </c>
      <c r="I9248" s="626">
        <f>IFERROR(G9248*VLOOKUP($E9248,BD!$L$2:$Q$244,5,0),0)</f>
        <v>0</v>
      </c>
      <c r="J9248" s="3">
        <f t="shared" si="577"/>
        <v>1900</v>
      </c>
    </row>
    <row r="9249" spans="1:10" s="9" customFormat="1" x14ac:dyDescent="0.25">
      <c r="A9249" s="447"/>
      <c r="B9249" s="55" t="str">
        <f t="shared" si="574"/>
        <v>ENERO</v>
      </c>
      <c r="C9249" s="55">
        <f t="shared" si="575"/>
        <v>1</v>
      </c>
      <c r="D9249" s="3" t="str">
        <f t="shared" si="576"/>
        <v>SÁBADO</v>
      </c>
      <c r="E9249" s="427"/>
      <c r="F9249" s="31">
        <f>IFERROR(VLOOKUP(E9249,BD!$L$2:$Q$244,2,0),0)</f>
        <v>0</v>
      </c>
      <c r="G9249" s="424"/>
      <c r="H9249" s="31">
        <f>+IFERROR(VLOOKUP(E9249,BD!$L$2:$Q$244,6,0),0)</f>
        <v>0</v>
      </c>
      <c r="I9249" s="626">
        <f>IFERROR(G9249*VLOOKUP($E9249,BD!$L$2:$Q$244,5,0),0)</f>
        <v>0</v>
      </c>
      <c r="J9249" s="3">
        <f t="shared" si="577"/>
        <v>1900</v>
      </c>
    </row>
    <row r="9250" spans="1:10" s="9" customFormat="1" x14ac:dyDescent="0.25">
      <c r="A9250" s="447"/>
      <c r="B9250" s="55" t="str">
        <f t="shared" si="574"/>
        <v>ENERO</v>
      </c>
      <c r="C9250" s="55">
        <f t="shared" si="575"/>
        <v>1</v>
      </c>
      <c r="D9250" s="3" t="str">
        <f t="shared" si="576"/>
        <v>SÁBADO</v>
      </c>
      <c r="E9250" s="427"/>
      <c r="F9250" s="31">
        <f>IFERROR(VLOOKUP(E9250,BD!$L$2:$Q$244,2,0),0)</f>
        <v>0</v>
      </c>
      <c r="G9250" s="424"/>
      <c r="H9250" s="31">
        <f>+IFERROR(VLOOKUP(E9250,BD!$L$2:$Q$244,6,0),0)</f>
        <v>0</v>
      </c>
      <c r="I9250" s="626">
        <f>IFERROR(G9250*VLOOKUP($E9250,BD!$L$2:$Q$244,5,0),0)</f>
        <v>0</v>
      </c>
      <c r="J9250" s="3">
        <f t="shared" si="577"/>
        <v>1900</v>
      </c>
    </row>
    <row r="9251" spans="1:10" s="9" customFormat="1" x14ac:dyDescent="0.25">
      <c r="A9251" s="447"/>
      <c r="B9251" s="55" t="str">
        <f t="shared" si="574"/>
        <v>ENERO</v>
      </c>
      <c r="C9251" s="55">
        <f t="shared" si="575"/>
        <v>1</v>
      </c>
      <c r="D9251" s="3" t="str">
        <f t="shared" si="576"/>
        <v>SÁBADO</v>
      </c>
      <c r="E9251" s="427"/>
      <c r="F9251" s="31">
        <f>IFERROR(VLOOKUP(E9251,BD!$L$2:$Q$244,2,0),0)</f>
        <v>0</v>
      </c>
      <c r="G9251" s="424"/>
      <c r="H9251" s="31">
        <f>+IFERROR(VLOOKUP(E9251,BD!$L$2:$Q$244,6,0),0)</f>
        <v>0</v>
      </c>
      <c r="I9251" s="626">
        <f>IFERROR(G9251*VLOOKUP($E9251,BD!$L$2:$Q$244,5,0),0)</f>
        <v>0</v>
      </c>
      <c r="J9251" s="3">
        <f t="shared" si="577"/>
        <v>1900</v>
      </c>
    </row>
    <row r="9252" spans="1:10" s="9" customFormat="1" x14ac:dyDescent="0.25">
      <c r="A9252" s="447"/>
      <c r="B9252" s="55" t="str">
        <f t="shared" si="574"/>
        <v>ENERO</v>
      </c>
      <c r="C9252" s="55">
        <f t="shared" si="575"/>
        <v>1</v>
      </c>
      <c r="D9252" s="3" t="str">
        <f t="shared" si="576"/>
        <v>SÁBADO</v>
      </c>
      <c r="E9252" s="427"/>
      <c r="F9252" s="31">
        <f>IFERROR(VLOOKUP(E9252,BD!$L$2:$Q$244,2,0),0)</f>
        <v>0</v>
      </c>
      <c r="G9252" s="424"/>
      <c r="H9252" s="31">
        <f>+IFERROR(VLOOKUP(E9252,BD!$L$2:$Q$244,6,0),0)</f>
        <v>0</v>
      </c>
      <c r="I9252" s="626">
        <f>IFERROR(G9252*VLOOKUP($E9252,BD!$L$2:$Q$244,5,0),0)</f>
        <v>0</v>
      </c>
      <c r="J9252" s="3">
        <f t="shared" si="577"/>
        <v>1900</v>
      </c>
    </row>
    <row r="9253" spans="1:10" s="9" customFormat="1" x14ac:dyDescent="0.25">
      <c r="A9253" s="447"/>
      <c r="B9253" s="55" t="str">
        <f t="shared" si="574"/>
        <v>ENERO</v>
      </c>
      <c r="C9253" s="55">
        <f t="shared" si="575"/>
        <v>1</v>
      </c>
      <c r="D9253" s="3" t="str">
        <f t="shared" si="576"/>
        <v>SÁBADO</v>
      </c>
      <c r="E9253" s="427"/>
      <c r="F9253" s="31">
        <f>IFERROR(VLOOKUP(E9253,BD!$L$2:$Q$244,2,0),0)</f>
        <v>0</v>
      </c>
      <c r="G9253" s="424"/>
      <c r="H9253" s="31">
        <f>+IFERROR(VLOOKUP(E9253,BD!$L$2:$Q$244,6,0),0)</f>
        <v>0</v>
      </c>
      <c r="I9253" s="626">
        <f>IFERROR(G9253*VLOOKUP($E9253,BD!$L$2:$Q$244,5,0),0)</f>
        <v>0</v>
      </c>
      <c r="J9253" s="3">
        <f t="shared" si="577"/>
        <v>1900</v>
      </c>
    </row>
    <row r="9254" spans="1:10" s="9" customFormat="1" x14ac:dyDescent="0.25">
      <c r="A9254" s="447"/>
      <c r="B9254" s="55" t="str">
        <f t="shared" si="574"/>
        <v>ENERO</v>
      </c>
      <c r="C9254" s="55">
        <f t="shared" si="575"/>
        <v>1</v>
      </c>
      <c r="D9254" s="3" t="str">
        <f t="shared" si="576"/>
        <v>SÁBADO</v>
      </c>
      <c r="E9254" s="427"/>
      <c r="F9254" s="31">
        <f>IFERROR(VLOOKUP(E9254,BD!$L$2:$Q$244,2,0),0)</f>
        <v>0</v>
      </c>
      <c r="G9254" s="424"/>
      <c r="H9254" s="31">
        <f>+IFERROR(VLOOKUP(E9254,BD!$L$2:$Q$244,6,0),0)</f>
        <v>0</v>
      </c>
      <c r="I9254" s="626">
        <f>IFERROR(G9254*VLOOKUP($E9254,BD!$L$2:$Q$244,5,0),0)</f>
        <v>0</v>
      </c>
      <c r="J9254" s="3">
        <f t="shared" si="577"/>
        <v>1900</v>
      </c>
    </row>
    <row r="9255" spans="1:10" s="9" customFormat="1" x14ac:dyDescent="0.25">
      <c r="A9255" s="447"/>
      <c r="B9255" s="55" t="str">
        <f t="shared" si="574"/>
        <v>ENERO</v>
      </c>
      <c r="C9255" s="55">
        <f t="shared" si="575"/>
        <v>1</v>
      </c>
      <c r="D9255" s="3" t="str">
        <f t="shared" si="576"/>
        <v>SÁBADO</v>
      </c>
      <c r="E9255" s="427"/>
      <c r="F9255" s="31">
        <f>IFERROR(VLOOKUP(E9255,BD!$L$2:$Q$244,2,0),0)</f>
        <v>0</v>
      </c>
      <c r="G9255" s="424"/>
      <c r="H9255" s="31">
        <f>+IFERROR(VLOOKUP(E9255,BD!$L$2:$Q$244,6,0),0)</f>
        <v>0</v>
      </c>
      <c r="I9255" s="626">
        <f>IFERROR(G9255*VLOOKUP($E9255,BD!$L$2:$Q$244,5,0),0)</f>
        <v>0</v>
      </c>
      <c r="J9255" s="3">
        <f t="shared" si="577"/>
        <v>1900</v>
      </c>
    </row>
    <row r="9256" spans="1:10" s="9" customFormat="1" x14ac:dyDescent="0.25">
      <c r="A9256" s="447"/>
      <c r="B9256" s="55" t="str">
        <f t="shared" si="574"/>
        <v>ENERO</v>
      </c>
      <c r="C9256" s="55">
        <f t="shared" si="575"/>
        <v>1</v>
      </c>
      <c r="D9256" s="3" t="str">
        <f t="shared" si="576"/>
        <v>SÁBADO</v>
      </c>
      <c r="E9256" s="427"/>
      <c r="F9256" s="31">
        <f>IFERROR(VLOOKUP(E9256,BD!$L$2:$Q$244,2,0),0)</f>
        <v>0</v>
      </c>
      <c r="G9256" s="424"/>
      <c r="H9256" s="31">
        <f>+IFERROR(VLOOKUP(E9256,BD!$L$2:$Q$244,6,0),0)</f>
        <v>0</v>
      </c>
      <c r="I9256" s="626">
        <f>IFERROR(G9256*VLOOKUP($E9256,BD!$L$2:$Q$244,5,0),0)</f>
        <v>0</v>
      </c>
      <c r="J9256" s="3">
        <f t="shared" si="577"/>
        <v>1900</v>
      </c>
    </row>
    <row r="9257" spans="1:10" s="9" customFormat="1" x14ac:dyDescent="0.25">
      <c r="A9257" s="447"/>
      <c r="B9257" s="55" t="str">
        <f t="shared" si="574"/>
        <v>ENERO</v>
      </c>
      <c r="C9257" s="55">
        <f t="shared" si="575"/>
        <v>1</v>
      </c>
      <c r="D9257" s="3" t="str">
        <f t="shared" si="576"/>
        <v>SÁBADO</v>
      </c>
      <c r="E9257" s="427"/>
      <c r="F9257" s="31">
        <f>IFERROR(VLOOKUP(E9257,BD!$L$2:$Q$244,2,0),0)</f>
        <v>0</v>
      </c>
      <c r="G9257" s="424"/>
      <c r="H9257" s="31">
        <f>+IFERROR(VLOOKUP(E9257,BD!$L$2:$Q$244,6,0),0)</f>
        <v>0</v>
      </c>
      <c r="I9257" s="626">
        <f>IFERROR(G9257*VLOOKUP($E9257,BD!$L$2:$Q$244,5,0),0)</f>
        <v>0</v>
      </c>
      <c r="J9257" s="3">
        <f t="shared" si="577"/>
        <v>1900</v>
      </c>
    </row>
    <row r="9258" spans="1:10" s="9" customFormat="1" x14ac:dyDescent="0.25">
      <c r="A9258" s="447"/>
      <c r="B9258" s="55" t="str">
        <f t="shared" si="574"/>
        <v>ENERO</v>
      </c>
      <c r="C9258" s="55">
        <f t="shared" si="575"/>
        <v>1</v>
      </c>
      <c r="D9258" s="3" t="str">
        <f t="shared" si="576"/>
        <v>SÁBADO</v>
      </c>
      <c r="E9258" s="427"/>
      <c r="F9258" s="31">
        <f>IFERROR(VLOOKUP(E9258,BD!$L$2:$Q$244,2,0),0)</f>
        <v>0</v>
      </c>
      <c r="G9258" s="424"/>
      <c r="H9258" s="31">
        <f>+IFERROR(VLOOKUP(E9258,BD!$L$2:$Q$244,6,0),0)</f>
        <v>0</v>
      </c>
      <c r="I9258" s="626">
        <f>IFERROR(G9258*VLOOKUP($E9258,BD!$L$2:$Q$244,5,0),0)</f>
        <v>0</v>
      </c>
      <c r="J9258" s="3">
        <f t="shared" si="577"/>
        <v>1900</v>
      </c>
    </row>
    <row r="9259" spans="1:10" s="9" customFormat="1" x14ac:dyDescent="0.25">
      <c r="A9259" s="447"/>
      <c r="B9259" s="55" t="str">
        <f t="shared" si="574"/>
        <v>ENERO</v>
      </c>
      <c r="C9259" s="55">
        <f t="shared" si="575"/>
        <v>1</v>
      </c>
      <c r="D9259" s="3" t="str">
        <f t="shared" si="576"/>
        <v>SÁBADO</v>
      </c>
      <c r="E9259" s="427"/>
      <c r="F9259" s="31">
        <f>IFERROR(VLOOKUP(E9259,BD!$L$2:$Q$244,2,0),0)</f>
        <v>0</v>
      </c>
      <c r="G9259" s="424"/>
      <c r="H9259" s="31">
        <f>+IFERROR(VLOOKUP(E9259,BD!$L$2:$Q$244,6,0),0)</f>
        <v>0</v>
      </c>
      <c r="I9259" s="626">
        <f>IFERROR(G9259*VLOOKUP($E9259,BD!$L$2:$Q$244,5,0),0)</f>
        <v>0</v>
      </c>
      <c r="J9259" s="3">
        <f t="shared" si="577"/>
        <v>1900</v>
      </c>
    </row>
    <row r="9260" spans="1:10" s="9" customFormat="1" x14ac:dyDescent="0.25">
      <c r="A9260" s="447"/>
      <c r="B9260" s="55" t="str">
        <f t="shared" si="574"/>
        <v>ENERO</v>
      </c>
      <c r="C9260" s="55">
        <f t="shared" si="575"/>
        <v>1</v>
      </c>
      <c r="D9260" s="3" t="str">
        <f t="shared" si="576"/>
        <v>SÁBADO</v>
      </c>
      <c r="E9260" s="427"/>
      <c r="F9260" s="31">
        <f>IFERROR(VLOOKUP(E9260,BD!$L$2:$Q$244,2,0),0)</f>
        <v>0</v>
      </c>
      <c r="G9260" s="424"/>
      <c r="H9260" s="31">
        <f>+IFERROR(VLOOKUP(E9260,BD!$L$2:$Q$244,6,0),0)</f>
        <v>0</v>
      </c>
      <c r="I9260" s="626">
        <f>IFERROR(G9260*VLOOKUP($E9260,BD!$L$2:$Q$244,5,0),0)</f>
        <v>0</v>
      </c>
      <c r="J9260" s="3">
        <f t="shared" si="577"/>
        <v>1900</v>
      </c>
    </row>
    <row r="9261" spans="1:10" s="9" customFormat="1" x14ac:dyDescent="0.25">
      <c r="A9261" s="447"/>
      <c r="B9261" s="55" t="str">
        <f t="shared" si="574"/>
        <v>ENERO</v>
      </c>
      <c r="C9261" s="55">
        <f t="shared" si="575"/>
        <v>1</v>
      </c>
      <c r="D9261" s="3" t="str">
        <f t="shared" si="576"/>
        <v>SÁBADO</v>
      </c>
      <c r="E9261" s="427"/>
      <c r="F9261" s="31">
        <f>IFERROR(VLOOKUP(E9261,BD!$L$2:$Q$244,2,0),0)</f>
        <v>0</v>
      </c>
      <c r="G9261" s="424"/>
      <c r="H9261" s="31">
        <f>+IFERROR(VLOOKUP(E9261,BD!$L$2:$Q$244,6,0),0)</f>
        <v>0</v>
      </c>
      <c r="I9261" s="626">
        <f>IFERROR(G9261*VLOOKUP($E9261,BD!$L$2:$Q$244,5,0),0)</f>
        <v>0</v>
      </c>
      <c r="J9261" s="3">
        <f t="shared" si="577"/>
        <v>1900</v>
      </c>
    </row>
    <row r="9262" spans="1:10" s="9" customFormat="1" x14ac:dyDescent="0.25">
      <c r="A9262" s="447"/>
      <c r="B9262" s="55" t="str">
        <f t="shared" si="574"/>
        <v>ENERO</v>
      </c>
      <c r="C9262" s="55">
        <f t="shared" si="575"/>
        <v>1</v>
      </c>
      <c r="D9262" s="3" t="str">
        <f t="shared" si="576"/>
        <v>SÁBADO</v>
      </c>
      <c r="E9262" s="427"/>
      <c r="F9262" s="31">
        <f>IFERROR(VLOOKUP(E9262,BD!$L$2:$Q$244,2,0),0)</f>
        <v>0</v>
      </c>
      <c r="G9262" s="424"/>
      <c r="H9262" s="31">
        <f>+IFERROR(VLOOKUP(E9262,BD!$L$2:$Q$244,6,0),0)</f>
        <v>0</v>
      </c>
      <c r="I9262" s="626">
        <f>IFERROR(G9262*VLOOKUP($E9262,BD!$L$2:$Q$244,5,0),0)</f>
        <v>0</v>
      </c>
      <c r="J9262" s="3">
        <f t="shared" si="577"/>
        <v>1900</v>
      </c>
    </row>
    <row r="9263" spans="1:10" s="9" customFormat="1" x14ac:dyDescent="0.25">
      <c r="A9263" s="447"/>
      <c r="B9263" s="55" t="str">
        <f t="shared" si="574"/>
        <v>ENERO</v>
      </c>
      <c r="C9263" s="55">
        <f t="shared" si="575"/>
        <v>1</v>
      </c>
      <c r="D9263" s="3" t="str">
        <f t="shared" si="576"/>
        <v>SÁBADO</v>
      </c>
      <c r="E9263" s="427"/>
      <c r="F9263" s="31">
        <f>IFERROR(VLOOKUP(E9263,BD!$L$2:$Q$244,2,0),0)</f>
        <v>0</v>
      </c>
      <c r="G9263" s="424"/>
      <c r="H9263" s="31">
        <f>+IFERROR(VLOOKUP(E9263,BD!$L$2:$Q$244,6,0),0)</f>
        <v>0</v>
      </c>
      <c r="I9263" s="626">
        <f>IFERROR(G9263*VLOOKUP($E9263,BD!$L$2:$Q$244,5,0),0)</f>
        <v>0</v>
      </c>
      <c r="J9263" s="3">
        <f t="shared" si="577"/>
        <v>1900</v>
      </c>
    </row>
    <row r="9264" spans="1:10" s="9" customFormat="1" x14ac:dyDescent="0.25">
      <c r="A9264" s="447"/>
      <c r="B9264" s="55" t="str">
        <f t="shared" si="574"/>
        <v>ENERO</v>
      </c>
      <c r="C9264" s="55">
        <f t="shared" si="575"/>
        <v>1</v>
      </c>
      <c r="D9264" s="3" t="str">
        <f t="shared" si="576"/>
        <v>SÁBADO</v>
      </c>
      <c r="E9264" s="427"/>
      <c r="F9264" s="31">
        <f>IFERROR(VLOOKUP(E9264,BD!$L$2:$Q$244,2,0),0)</f>
        <v>0</v>
      </c>
      <c r="G9264" s="424"/>
      <c r="H9264" s="31">
        <f>+IFERROR(VLOOKUP(E9264,BD!$L$2:$Q$244,6,0),0)</f>
        <v>0</v>
      </c>
      <c r="I9264" s="626">
        <f>IFERROR(G9264*VLOOKUP($E9264,BD!$L$2:$Q$244,5,0),0)</f>
        <v>0</v>
      </c>
      <c r="J9264" s="3">
        <f t="shared" si="577"/>
        <v>1900</v>
      </c>
    </row>
    <row r="9265" spans="1:10" s="9" customFormat="1" x14ac:dyDescent="0.25">
      <c r="A9265" s="447"/>
      <c r="B9265" s="55" t="str">
        <f t="shared" si="574"/>
        <v>ENERO</v>
      </c>
      <c r="C9265" s="55">
        <f t="shared" si="575"/>
        <v>1</v>
      </c>
      <c r="D9265" s="3" t="str">
        <f t="shared" si="576"/>
        <v>SÁBADO</v>
      </c>
      <c r="E9265" s="427"/>
      <c r="F9265" s="31">
        <f>IFERROR(VLOOKUP(E9265,BD!$L$2:$Q$244,2,0),0)</f>
        <v>0</v>
      </c>
      <c r="G9265" s="424"/>
      <c r="H9265" s="31">
        <f>+IFERROR(VLOOKUP(E9265,BD!$L$2:$Q$244,6,0),0)</f>
        <v>0</v>
      </c>
      <c r="I9265" s="626">
        <f>IFERROR(G9265*VLOOKUP($E9265,BD!$L$2:$Q$244,5,0),0)</f>
        <v>0</v>
      </c>
      <c r="J9265" s="3">
        <f t="shared" si="577"/>
        <v>1900</v>
      </c>
    </row>
    <row r="9266" spans="1:10" s="9" customFormat="1" x14ac:dyDescent="0.25">
      <c r="A9266" s="447"/>
      <c r="B9266" s="55" t="str">
        <f t="shared" si="574"/>
        <v>ENERO</v>
      </c>
      <c r="C9266" s="55">
        <f t="shared" si="575"/>
        <v>1</v>
      </c>
      <c r="D9266" s="3" t="str">
        <f t="shared" si="576"/>
        <v>SÁBADO</v>
      </c>
      <c r="E9266" s="427"/>
      <c r="F9266" s="31">
        <f>IFERROR(VLOOKUP(E9266,BD!$L$2:$Q$244,2,0),0)</f>
        <v>0</v>
      </c>
      <c r="G9266" s="424"/>
      <c r="H9266" s="31">
        <f>+IFERROR(VLOOKUP(E9266,BD!$L$2:$Q$244,6,0),0)</f>
        <v>0</v>
      </c>
      <c r="I9266" s="626">
        <f>IFERROR(G9266*VLOOKUP($E9266,BD!$L$2:$Q$244,5,0),0)</f>
        <v>0</v>
      </c>
      <c r="J9266" s="3">
        <f t="shared" si="577"/>
        <v>1900</v>
      </c>
    </row>
    <row r="9267" spans="1:10" s="9" customFormat="1" x14ac:dyDescent="0.25">
      <c r="A9267" s="447"/>
      <c r="B9267" s="55" t="str">
        <f t="shared" si="574"/>
        <v>ENERO</v>
      </c>
      <c r="C9267" s="55">
        <f t="shared" si="575"/>
        <v>1</v>
      </c>
      <c r="D9267" s="3" t="str">
        <f t="shared" si="576"/>
        <v>SÁBADO</v>
      </c>
      <c r="E9267" s="427"/>
      <c r="F9267" s="31">
        <f>IFERROR(VLOOKUP(E9267,BD!$L$2:$Q$244,2,0),0)</f>
        <v>0</v>
      </c>
      <c r="G9267" s="424"/>
      <c r="H9267" s="31">
        <f>+IFERROR(VLOOKUP(E9267,BD!$L$2:$Q$244,6,0),0)</f>
        <v>0</v>
      </c>
      <c r="I9267" s="626">
        <f>IFERROR(G9267*VLOOKUP($E9267,BD!$L$2:$Q$244,5,0),0)</f>
        <v>0</v>
      </c>
      <c r="J9267" s="3">
        <f t="shared" si="577"/>
        <v>1900</v>
      </c>
    </row>
    <row r="9268" spans="1:10" s="9" customFormat="1" x14ac:dyDescent="0.25">
      <c r="A9268" s="447"/>
      <c r="B9268" s="55" t="str">
        <f t="shared" si="574"/>
        <v>ENERO</v>
      </c>
      <c r="C9268" s="55">
        <f t="shared" si="575"/>
        <v>1</v>
      </c>
      <c r="D9268" s="3" t="str">
        <f t="shared" si="576"/>
        <v>SÁBADO</v>
      </c>
      <c r="E9268" s="427"/>
      <c r="F9268" s="31">
        <f>IFERROR(VLOOKUP(E9268,BD!$L$2:$Q$244,2,0),0)</f>
        <v>0</v>
      </c>
      <c r="G9268" s="424"/>
      <c r="H9268" s="31">
        <f>+IFERROR(VLOOKUP(E9268,BD!$L$2:$Q$244,6,0),0)</f>
        <v>0</v>
      </c>
      <c r="I9268" s="626">
        <f>IFERROR(G9268*VLOOKUP($E9268,BD!$L$2:$Q$244,5,0),0)</f>
        <v>0</v>
      </c>
      <c r="J9268" s="3">
        <f t="shared" si="577"/>
        <v>1900</v>
      </c>
    </row>
    <row r="9269" spans="1:10" s="9" customFormat="1" x14ac:dyDescent="0.25">
      <c r="A9269" s="447"/>
      <c r="B9269" s="55" t="str">
        <f t="shared" si="574"/>
        <v>ENERO</v>
      </c>
      <c r="C9269" s="55">
        <f t="shared" si="575"/>
        <v>1</v>
      </c>
      <c r="D9269" s="3" t="str">
        <f t="shared" si="576"/>
        <v>SÁBADO</v>
      </c>
      <c r="E9269" s="427"/>
      <c r="F9269" s="31">
        <f>IFERROR(VLOOKUP(E9269,BD!$L$2:$Q$244,2,0),0)</f>
        <v>0</v>
      </c>
      <c r="G9269" s="424"/>
      <c r="H9269" s="31">
        <f>+IFERROR(VLOOKUP(E9269,BD!$L$2:$Q$244,6,0),0)</f>
        <v>0</v>
      </c>
      <c r="I9269" s="626">
        <f>IFERROR(G9269*VLOOKUP($E9269,BD!$L$2:$Q$244,5,0),0)</f>
        <v>0</v>
      </c>
      <c r="J9269" s="3">
        <f t="shared" si="577"/>
        <v>1900</v>
      </c>
    </row>
    <row r="9270" spans="1:10" s="9" customFormat="1" x14ac:dyDescent="0.25">
      <c r="A9270" s="447"/>
      <c r="B9270" s="55" t="str">
        <f t="shared" si="574"/>
        <v>ENERO</v>
      </c>
      <c r="C9270" s="55">
        <f t="shared" si="575"/>
        <v>1</v>
      </c>
      <c r="D9270" s="3" t="str">
        <f t="shared" si="576"/>
        <v>SÁBADO</v>
      </c>
      <c r="E9270" s="427"/>
      <c r="F9270" s="31">
        <f>IFERROR(VLOOKUP(E9270,BD!$L$2:$Q$244,2,0),0)</f>
        <v>0</v>
      </c>
      <c r="G9270" s="424"/>
      <c r="H9270" s="31">
        <f>+IFERROR(VLOOKUP(E9270,BD!$L$2:$Q$244,6,0),0)</f>
        <v>0</v>
      </c>
      <c r="I9270" s="626">
        <f>IFERROR(G9270*VLOOKUP($E9270,BD!$L$2:$Q$244,5,0),0)</f>
        <v>0</v>
      </c>
      <c r="J9270" s="3">
        <f t="shared" si="577"/>
        <v>1900</v>
      </c>
    </row>
    <row r="9271" spans="1:10" s="9" customFormat="1" x14ac:dyDescent="0.25">
      <c r="A9271" s="447"/>
      <c r="B9271" s="55" t="str">
        <f t="shared" si="574"/>
        <v>ENERO</v>
      </c>
      <c r="C9271" s="55">
        <f t="shared" si="575"/>
        <v>1</v>
      </c>
      <c r="D9271" s="3" t="str">
        <f t="shared" si="576"/>
        <v>SÁBADO</v>
      </c>
      <c r="E9271" s="427"/>
      <c r="F9271" s="31">
        <f>IFERROR(VLOOKUP(E9271,BD!$L$2:$Q$244,2,0),0)</f>
        <v>0</v>
      </c>
      <c r="G9271" s="424"/>
      <c r="H9271" s="31">
        <f>+IFERROR(VLOOKUP(E9271,BD!$L$2:$Q$244,6,0),0)</f>
        <v>0</v>
      </c>
      <c r="I9271" s="626">
        <f>IFERROR(G9271*VLOOKUP($E9271,BD!$L$2:$Q$244,5,0),0)</f>
        <v>0</v>
      </c>
      <c r="J9271" s="3">
        <f t="shared" si="577"/>
        <v>1900</v>
      </c>
    </row>
    <row r="9272" spans="1:10" s="9" customFormat="1" x14ac:dyDescent="0.25">
      <c r="A9272" s="447"/>
      <c r="B9272" s="55" t="str">
        <f t="shared" si="574"/>
        <v>ENERO</v>
      </c>
      <c r="C9272" s="55">
        <f t="shared" si="575"/>
        <v>1</v>
      </c>
      <c r="D9272" s="3" t="str">
        <f t="shared" si="576"/>
        <v>SÁBADO</v>
      </c>
      <c r="E9272" s="427"/>
      <c r="F9272" s="31">
        <f>IFERROR(VLOOKUP(E9272,BD!$L$2:$Q$244,2,0),0)</f>
        <v>0</v>
      </c>
      <c r="G9272" s="424"/>
      <c r="H9272" s="31">
        <f>+IFERROR(VLOOKUP(E9272,BD!$L$2:$Q$244,6,0),0)</f>
        <v>0</v>
      </c>
      <c r="I9272" s="626">
        <f>IFERROR(G9272*VLOOKUP($E9272,BD!$L$2:$Q$244,5,0),0)</f>
        <v>0</v>
      </c>
      <c r="J9272" s="3">
        <f t="shared" si="577"/>
        <v>1900</v>
      </c>
    </row>
    <row r="9273" spans="1:10" s="9" customFormat="1" x14ac:dyDescent="0.25">
      <c r="A9273" s="447"/>
      <c r="B9273" s="55" t="str">
        <f t="shared" si="574"/>
        <v>ENERO</v>
      </c>
      <c r="C9273" s="55">
        <f t="shared" si="575"/>
        <v>1</v>
      </c>
      <c r="D9273" s="3" t="str">
        <f t="shared" si="576"/>
        <v>SÁBADO</v>
      </c>
      <c r="E9273" s="427"/>
      <c r="F9273" s="31">
        <f>IFERROR(VLOOKUP(E9273,BD!$L$2:$Q$244,2,0),0)</f>
        <v>0</v>
      </c>
      <c r="G9273" s="424"/>
      <c r="H9273" s="31">
        <f>+IFERROR(VLOOKUP(E9273,BD!$L$2:$Q$244,6,0),0)</f>
        <v>0</v>
      </c>
      <c r="I9273" s="626">
        <f>IFERROR(G9273*VLOOKUP($E9273,BD!$L$2:$Q$244,5,0),0)</f>
        <v>0</v>
      </c>
      <c r="J9273" s="3">
        <f t="shared" si="577"/>
        <v>1900</v>
      </c>
    </row>
    <row r="9274" spans="1:10" s="9" customFormat="1" x14ac:dyDescent="0.25">
      <c r="A9274" s="447"/>
      <c r="B9274" s="55" t="str">
        <f t="shared" si="574"/>
        <v>ENERO</v>
      </c>
      <c r="C9274" s="55">
        <f t="shared" si="575"/>
        <v>1</v>
      </c>
      <c r="D9274" s="3" t="str">
        <f t="shared" si="576"/>
        <v>SÁBADO</v>
      </c>
      <c r="E9274" s="427"/>
      <c r="F9274" s="31">
        <f>IFERROR(VLOOKUP(E9274,BD!$L$2:$Q$244,2,0),0)</f>
        <v>0</v>
      </c>
      <c r="G9274" s="424"/>
      <c r="H9274" s="31">
        <f>+IFERROR(VLOOKUP(E9274,BD!$L$2:$Q$244,6,0),0)</f>
        <v>0</v>
      </c>
      <c r="I9274" s="626">
        <f>IFERROR(G9274*VLOOKUP($E9274,BD!$L$2:$Q$244,5,0),0)</f>
        <v>0</v>
      </c>
      <c r="J9274" s="3">
        <f t="shared" si="577"/>
        <v>1900</v>
      </c>
    </row>
    <row r="9275" spans="1:10" s="9" customFormat="1" x14ac:dyDescent="0.25">
      <c r="A9275" s="447"/>
      <c r="B9275" s="55" t="str">
        <f t="shared" si="574"/>
        <v>ENERO</v>
      </c>
      <c r="C9275" s="55">
        <f t="shared" si="575"/>
        <v>1</v>
      </c>
      <c r="D9275" s="3" t="str">
        <f t="shared" si="576"/>
        <v>SÁBADO</v>
      </c>
      <c r="E9275" s="427"/>
      <c r="F9275" s="31">
        <f>IFERROR(VLOOKUP(E9275,BD!$L$2:$Q$244,2,0),0)</f>
        <v>0</v>
      </c>
      <c r="G9275" s="424"/>
      <c r="H9275" s="31">
        <f>+IFERROR(VLOOKUP(E9275,BD!$L$2:$Q$244,6,0),0)</f>
        <v>0</v>
      </c>
      <c r="I9275" s="626">
        <f>IFERROR(G9275*VLOOKUP($E9275,BD!$L$2:$Q$244,5,0),0)</f>
        <v>0</v>
      </c>
      <c r="J9275" s="3">
        <f t="shared" si="577"/>
        <v>1900</v>
      </c>
    </row>
    <row r="9276" spans="1:10" s="9" customFormat="1" x14ac:dyDescent="0.25">
      <c r="A9276" s="447"/>
      <c r="B9276" s="55" t="str">
        <f t="shared" ref="B9276:B9339" si="578">UPPER(TEXT(A9276,"MMMM"))</f>
        <v>ENERO</v>
      </c>
      <c r="C9276" s="55">
        <f t="shared" ref="C9276:C9339" si="579">WEEKNUM(A9276,16)</f>
        <v>1</v>
      </c>
      <c r="D9276" s="3" t="str">
        <f t="shared" ref="D9276:D9339" si="580">UPPER(TEXT(A9276,"DDDD"))</f>
        <v>SÁBADO</v>
      </c>
      <c r="E9276" s="427"/>
      <c r="F9276" s="31">
        <f>IFERROR(VLOOKUP(E9276,BD!$L$2:$Q$244,2,0),0)</f>
        <v>0</v>
      </c>
      <c r="G9276" s="424"/>
      <c r="H9276" s="31">
        <f>+IFERROR(VLOOKUP(E9276,BD!$L$2:$Q$244,6,0),0)</f>
        <v>0</v>
      </c>
      <c r="I9276" s="626">
        <f>IFERROR(G9276*VLOOKUP($E9276,BD!$L$2:$Q$244,5,0),0)</f>
        <v>0</v>
      </c>
      <c r="J9276" s="3">
        <f t="shared" ref="J9276:J9339" si="581">+YEAR(A9276)</f>
        <v>1900</v>
      </c>
    </row>
    <row r="9277" spans="1:10" s="9" customFormat="1" x14ac:dyDescent="0.25">
      <c r="A9277" s="447"/>
      <c r="B9277" s="55" t="str">
        <f t="shared" si="578"/>
        <v>ENERO</v>
      </c>
      <c r="C9277" s="55">
        <f t="shared" si="579"/>
        <v>1</v>
      </c>
      <c r="D9277" s="3" t="str">
        <f t="shared" si="580"/>
        <v>SÁBADO</v>
      </c>
      <c r="E9277" s="427"/>
      <c r="F9277" s="31">
        <f>IFERROR(VLOOKUP(E9277,BD!$L$2:$Q$244,2,0),0)</f>
        <v>0</v>
      </c>
      <c r="G9277" s="424"/>
      <c r="H9277" s="31">
        <f>+IFERROR(VLOOKUP(E9277,BD!$L$2:$Q$244,6,0),0)</f>
        <v>0</v>
      </c>
      <c r="I9277" s="626">
        <f>IFERROR(G9277*VLOOKUP($E9277,BD!$L$2:$Q$244,5,0),0)</f>
        <v>0</v>
      </c>
      <c r="J9277" s="3">
        <f t="shared" si="581"/>
        <v>1900</v>
      </c>
    </row>
    <row r="9278" spans="1:10" s="9" customFormat="1" x14ac:dyDescent="0.25">
      <c r="A9278" s="447"/>
      <c r="B9278" s="55" t="str">
        <f t="shared" si="578"/>
        <v>ENERO</v>
      </c>
      <c r="C9278" s="55">
        <f t="shared" si="579"/>
        <v>1</v>
      </c>
      <c r="D9278" s="3" t="str">
        <f t="shared" si="580"/>
        <v>SÁBADO</v>
      </c>
      <c r="E9278" s="427"/>
      <c r="F9278" s="31">
        <f>IFERROR(VLOOKUP(E9278,BD!$L$2:$Q$244,2,0),0)</f>
        <v>0</v>
      </c>
      <c r="G9278" s="424"/>
      <c r="H9278" s="31">
        <f>+IFERROR(VLOOKUP(E9278,BD!$L$2:$Q$244,6,0),0)</f>
        <v>0</v>
      </c>
      <c r="I9278" s="626">
        <f>IFERROR(G9278*VLOOKUP($E9278,BD!$L$2:$Q$244,5,0),0)</f>
        <v>0</v>
      </c>
      <c r="J9278" s="3">
        <f t="shared" si="581"/>
        <v>1900</v>
      </c>
    </row>
    <row r="9279" spans="1:10" s="9" customFormat="1" x14ac:dyDescent="0.25">
      <c r="A9279" s="447"/>
      <c r="B9279" s="55" t="str">
        <f t="shared" si="578"/>
        <v>ENERO</v>
      </c>
      <c r="C9279" s="55">
        <f t="shared" si="579"/>
        <v>1</v>
      </c>
      <c r="D9279" s="3" t="str">
        <f t="shared" si="580"/>
        <v>SÁBADO</v>
      </c>
      <c r="E9279" s="427"/>
      <c r="F9279" s="31">
        <f>IFERROR(VLOOKUP(E9279,BD!$L$2:$Q$244,2,0),0)</f>
        <v>0</v>
      </c>
      <c r="G9279" s="424"/>
      <c r="H9279" s="31">
        <f>+IFERROR(VLOOKUP(E9279,BD!$L$2:$Q$244,6,0),0)</f>
        <v>0</v>
      </c>
      <c r="I9279" s="626">
        <f>IFERROR(G9279*VLOOKUP($E9279,BD!$L$2:$Q$244,5,0),0)</f>
        <v>0</v>
      </c>
      <c r="J9279" s="3">
        <f t="shared" si="581"/>
        <v>1900</v>
      </c>
    </row>
    <row r="9280" spans="1:10" s="9" customFormat="1" x14ac:dyDescent="0.25">
      <c r="A9280" s="447"/>
      <c r="B9280" s="55" t="str">
        <f t="shared" si="578"/>
        <v>ENERO</v>
      </c>
      <c r="C9280" s="55">
        <f t="shared" si="579"/>
        <v>1</v>
      </c>
      <c r="D9280" s="3" t="str">
        <f t="shared" si="580"/>
        <v>SÁBADO</v>
      </c>
      <c r="E9280" s="427"/>
      <c r="F9280" s="31">
        <f>IFERROR(VLOOKUP(E9280,BD!$L$2:$Q$244,2,0),0)</f>
        <v>0</v>
      </c>
      <c r="G9280" s="424"/>
      <c r="H9280" s="31">
        <f>+IFERROR(VLOOKUP(E9280,BD!$L$2:$Q$244,6,0),0)</f>
        <v>0</v>
      </c>
      <c r="I9280" s="626">
        <f>IFERROR(G9280*VLOOKUP($E9280,BD!$L$2:$Q$244,5,0),0)</f>
        <v>0</v>
      </c>
      <c r="J9280" s="3">
        <f t="shared" si="581"/>
        <v>1900</v>
      </c>
    </row>
    <row r="9281" spans="1:10" s="9" customFormat="1" x14ac:dyDescent="0.25">
      <c r="A9281" s="447"/>
      <c r="B9281" s="55" t="str">
        <f t="shared" si="578"/>
        <v>ENERO</v>
      </c>
      <c r="C9281" s="55">
        <f t="shared" si="579"/>
        <v>1</v>
      </c>
      <c r="D9281" s="3" t="str">
        <f t="shared" si="580"/>
        <v>SÁBADO</v>
      </c>
      <c r="E9281" s="427"/>
      <c r="F9281" s="31">
        <f>IFERROR(VLOOKUP(E9281,BD!$L$2:$Q$244,2,0),0)</f>
        <v>0</v>
      </c>
      <c r="G9281" s="424"/>
      <c r="H9281" s="31">
        <f>+IFERROR(VLOOKUP(E9281,BD!$L$2:$Q$244,6,0),0)</f>
        <v>0</v>
      </c>
      <c r="I9281" s="626">
        <f>IFERROR(G9281*VLOOKUP($E9281,BD!$L$2:$Q$244,5,0),0)</f>
        <v>0</v>
      </c>
      <c r="J9281" s="3">
        <f t="shared" si="581"/>
        <v>1900</v>
      </c>
    </row>
    <row r="9282" spans="1:10" s="9" customFormat="1" x14ac:dyDescent="0.25">
      <c r="A9282" s="447"/>
      <c r="B9282" s="55" t="str">
        <f t="shared" si="578"/>
        <v>ENERO</v>
      </c>
      <c r="C9282" s="55">
        <f t="shared" si="579"/>
        <v>1</v>
      </c>
      <c r="D9282" s="3" t="str">
        <f t="shared" si="580"/>
        <v>SÁBADO</v>
      </c>
      <c r="E9282" s="427"/>
      <c r="F9282" s="31">
        <f>IFERROR(VLOOKUP(E9282,BD!$L$2:$Q$244,2,0),0)</f>
        <v>0</v>
      </c>
      <c r="G9282" s="424"/>
      <c r="H9282" s="31">
        <f>+IFERROR(VLOOKUP(E9282,BD!$L$2:$Q$244,6,0),0)</f>
        <v>0</v>
      </c>
      <c r="I9282" s="626">
        <f>IFERROR(G9282*VLOOKUP($E9282,BD!$L$2:$Q$244,5,0),0)</f>
        <v>0</v>
      </c>
      <c r="J9282" s="3">
        <f t="shared" si="581"/>
        <v>1900</v>
      </c>
    </row>
    <row r="9283" spans="1:10" s="9" customFormat="1" x14ac:dyDescent="0.25">
      <c r="A9283" s="447"/>
      <c r="B9283" s="55" t="str">
        <f t="shared" si="578"/>
        <v>ENERO</v>
      </c>
      <c r="C9283" s="55">
        <f t="shared" si="579"/>
        <v>1</v>
      </c>
      <c r="D9283" s="3" t="str">
        <f t="shared" si="580"/>
        <v>SÁBADO</v>
      </c>
      <c r="E9283" s="427"/>
      <c r="F9283" s="31">
        <f>IFERROR(VLOOKUP(E9283,BD!$L$2:$Q$244,2,0),0)</f>
        <v>0</v>
      </c>
      <c r="G9283" s="424"/>
      <c r="H9283" s="31">
        <f>+IFERROR(VLOOKUP(E9283,BD!$L$2:$Q$244,6,0),0)</f>
        <v>0</v>
      </c>
      <c r="I9283" s="626">
        <f>IFERROR(G9283*VLOOKUP($E9283,BD!$L$2:$Q$244,5,0),0)</f>
        <v>0</v>
      </c>
      <c r="J9283" s="3">
        <f t="shared" si="581"/>
        <v>1900</v>
      </c>
    </row>
    <row r="9284" spans="1:10" s="9" customFormat="1" x14ac:dyDescent="0.25">
      <c r="A9284" s="447"/>
      <c r="B9284" s="55" t="str">
        <f t="shared" si="578"/>
        <v>ENERO</v>
      </c>
      <c r="C9284" s="55">
        <f t="shared" si="579"/>
        <v>1</v>
      </c>
      <c r="D9284" s="3" t="str">
        <f t="shared" si="580"/>
        <v>SÁBADO</v>
      </c>
      <c r="E9284" s="427"/>
      <c r="F9284" s="31">
        <f>IFERROR(VLOOKUP(E9284,BD!$L$2:$Q$244,2,0),0)</f>
        <v>0</v>
      </c>
      <c r="G9284" s="424"/>
      <c r="H9284" s="31">
        <f>+IFERROR(VLOOKUP(E9284,BD!$L$2:$Q$244,6,0),0)</f>
        <v>0</v>
      </c>
      <c r="I9284" s="626">
        <f>IFERROR(G9284*VLOOKUP($E9284,BD!$L$2:$Q$244,5,0),0)</f>
        <v>0</v>
      </c>
      <c r="J9284" s="3">
        <f t="shared" si="581"/>
        <v>1900</v>
      </c>
    </row>
    <row r="9285" spans="1:10" s="9" customFormat="1" x14ac:dyDescent="0.25">
      <c r="A9285" s="447"/>
      <c r="B9285" s="55" t="str">
        <f t="shared" si="578"/>
        <v>ENERO</v>
      </c>
      <c r="C9285" s="55">
        <f t="shared" si="579"/>
        <v>1</v>
      </c>
      <c r="D9285" s="3" t="str">
        <f t="shared" si="580"/>
        <v>SÁBADO</v>
      </c>
      <c r="E9285" s="427"/>
      <c r="F9285" s="31">
        <f>IFERROR(VLOOKUP(E9285,BD!$L$2:$Q$244,2,0),0)</f>
        <v>0</v>
      </c>
      <c r="G9285" s="424"/>
      <c r="H9285" s="31">
        <f>+IFERROR(VLOOKUP(E9285,BD!$L$2:$Q$244,6,0),0)</f>
        <v>0</v>
      </c>
      <c r="I9285" s="626">
        <f>IFERROR(G9285*VLOOKUP($E9285,BD!$L$2:$Q$244,5,0),0)</f>
        <v>0</v>
      </c>
      <c r="J9285" s="3">
        <f t="shared" si="581"/>
        <v>1900</v>
      </c>
    </row>
    <row r="9286" spans="1:10" s="9" customFormat="1" x14ac:dyDescent="0.25">
      <c r="A9286" s="447"/>
      <c r="B9286" s="55" t="str">
        <f t="shared" si="578"/>
        <v>ENERO</v>
      </c>
      <c r="C9286" s="55">
        <f t="shared" si="579"/>
        <v>1</v>
      </c>
      <c r="D9286" s="3" t="str">
        <f t="shared" si="580"/>
        <v>SÁBADO</v>
      </c>
      <c r="E9286" s="427"/>
      <c r="F9286" s="31">
        <f>IFERROR(VLOOKUP(E9286,BD!$L$2:$Q$244,2,0),0)</f>
        <v>0</v>
      </c>
      <c r="G9286" s="424"/>
      <c r="H9286" s="31">
        <f>+IFERROR(VLOOKUP(E9286,BD!$L$2:$Q$244,6,0),0)</f>
        <v>0</v>
      </c>
      <c r="I9286" s="626">
        <f>IFERROR(G9286*VLOOKUP($E9286,BD!$L$2:$Q$244,5,0),0)</f>
        <v>0</v>
      </c>
      <c r="J9286" s="3">
        <f t="shared" si="581"/>
        <v>1900</v>
      </c>
    </row>
    <row r="9287" spans="1:10" s="9" customFormat="1" x14ac:dyDescent="0.25">
      <c r="A9287" s="447"/>
      <c r="B9287" s="55" t="str">
        <f t="shared" si="578"/>
        <v>ENERO</v>
      </c>
      <c r="C9287" s="55">
        <f t="shared" si="579"/>
        <v>1</v>
      </c>
      <c r="D9287" s="3" t="str">
        <f t="shared" si="580"/>
        <v>SÁBADO</v>
      </c>
      <c r="E9287" s="427"/>
      <c r="F9287" s="31">
        <f>IFERROR(VLOOKUP(E9287,BD!$L$2:$Q$244,2,0),0)</f>
        <v>0</v>
      </c>
      <c r="G9287" s="424"/>
      <c r="H9287" s="31">
        <f>+IFERROR(VLOOKUP(E9287,BD!$L$2:$Q$244,6,0),0)</f>
        <v>0</v>
      </c>
      <c r="I9287" s="626">
        <f>IFERROR(G9287*VLOOKUP($E9287,BD!$L$2:$Q$244,5,0),0)</f>
        <v>0</v>
      </c>
      <c r="J9287" s="3">
        <f t="shared" si="581"/>
        <v>1900</v>
      </c>
    </row>
    <row r="9288" spans="1:10" s="9" customFormat="1" x14ac:dyDescent="0.25">
      <c r="A9288" s="447"/>
      <c r="B9288" s="55" t="str">
        <f t="shared" si="578"/>
        <v>ENERO</v>
      </c>
      <c r="C9288" s="55">
        <f t="shared" si="579"/>
        <v>1</v>
      </c>
      <c r="D9288" s="3" t="str">
        <f t="shared" si="580"/>
        <v>SÁBADO</v>
      </c>
      <c r="E9288" s="427"/>
      <c r="F9288" s="31">
        <f>IFERROR(VLOOKUP(E9288,BD!$L$2:$Q$244,2,0),0)</f>
        <v>0</v>
      </c>
      <c r="G9288" s="424"/>
      <c r="H9288" s="31">
        <f>+IFERROR(VLOOKUP(E9288,BD!$L$2:$Q$244,6,0),0)</f>
        <v>0</v>
      </c>
      <c r="I9288" s="626">
        <f>IFERROR(G9288*VLOOKUP($E9288,BD!$L$2:$Q$244,5,0),0)</f>
        <v>0</v>
      </c>
      <c r="J9288" s="3">
        <f t="shared" si="581"/>
        <v>1900</v>
      </c>
    </row>
    <row r="9289" spans="1:10" s="9" customFormat="1" x14ac:dyDescent="0.25">
      <c r="A9289" s="447"/>
      <c r="B9289" s="55" t="str">
        <f t="shared" si="578"/>
        <v>ENERO</v>
      </c>
      <c r="C9289" s="55">
        <f t="shared" si="579"/>
        <v>1</v>
      </c>
      <c r="D9289" s="3" t="str">
        <f t="shared" si="580"/>
        <v>SÁBADO</v>
      </c>
      <c r="E9289" s="427"/>
      <c r="F9289" s="31">
        <f>IFERROR(VLOOKUP(E9289,BD!$L$2:$Q$244,2,0),0)</f>
        <v>0</v>
      </c>
      <c r="G9289" s="424"/>
      <c r="H9289" s="31">
        <f>+IFERROR(VLOOKUP(E9289,BD!$L$2:$Q$244,6,0),0)</f>
        <v>0</v>
      </c>
      <c r="I9289" s="626">
        <f>IFERROR(G9289*VLOOKUP($E9289,BD!$L$2:$Q$244,5,0),0)</f>
        <v>0</v>
      </c>
      <c r="J9289" s="3">
        <f t="shared" si="581"/>
        <v>1900</v>
      </c>
    </row>
    <row r="9290" spans="1:10" s="9" customFormat="1" x14ac:dyDescent="0.25">
      <c r="A9290" s="447"/>
      <c r="B9290" s="55" t="str">
        <f t="shared" si="578"/>
        <v>ENERO</v>
      </c>
      <c r="C9290" s="55">
        <f t="shared" si="579"/>
        <v>1</v>
      </c>
      <c r="D9290" s="3" t="str">
        <f t="shared" si="580"/>
        <v>SÁBADO</v>
      </c>
      <c r="E9290" s="427"/>
      <c r="F9290" s="31">
        <f>IFERROR(VLOOKUP(E9290,BD!$L$2:$Q$244,2,0),0)</f>
        <v>0</v>
      </c>
      <c r="G9290" s="424"/>
      <c r="H9290" s="31">
        <f>+IFERROR(VLOOKUP(E9290,BD!$L$2:$Q$244,6,0),0)</f>
        <v>0</v>
      </c>
      <c r="I9290" s="626">
        <f>IFERROR(G9290*VLOOKUP($E9290,BD!$L$2:$Q$244,5,0),0)</f>
        <v>0</v>
      </c>
      <c r="J9290" s="3">
        <f t="shared" si="581"/>
        <v>1900</v>
      </c>
    </row>
    <row r="9291" spans="1:10" s="9" customFormat="1" x14ac:dyDescent="0.25">
      <c r="A9291" s="447"/>
      <c r="B9291" s="55" t="str">
        <f t="shared" si="578"/>
        <v>ENERO</v>
      </c>
      <c r="C9291" s="55">
        <f t="shared" si="579"/>
        <v>1</v>
      </c>
      <c r="D9291" s="3" t="str">
        <f t="shared" si="580"/>
        <v>SÁBADO</v>
      </c>
      <c r="E9291" s="427"/>
      <c r="F9291" s="31">
        <f>IFERROR(VLOOKUP(E9291,BD!$L$2:$Q$244,2,0),0)</f>
        <v>0</v>
      </c>
      <c r="G9291" s="424"/>
      <c r="H9291" s="31">
        <f>+IFERROR(VLOOKUP(E9291,BD!$L$2:$Q$244,6,0),0)</f>
        <v>0</v>
      </c>
      <c r="I9291" s="626">
        <f>IFERROR(G9291*VLOOKUP($E9291,BD!$L$2:$Q$244,5,0),0)</f>
        <v>0</v>
      </c>
      <c r="J9291" s="3">
        <f t="shared" si="581"/>
        <v>1900</v>
      </c>
    </row>
    <row r="9292" spans="1:10" s="9" customFormat="1" x14ac:dyDescent="0.25">
      <c r="A9292" s="447"/>
      <c r="B9292" s="55" t="str">
        <f t="shared" si="578"/>
        <v>ENERO</v>
      </c>
      <c r="C9292" s="55">
        <f t="shared" si="579"/>
        <v>1</v>
      </c>
      <c r="D9292" s="3" t="str">
        <f t="shared" si="580"/>
        <v>SÁBADO</v>
      </c>
      <c r="E9292" s="427"/>
      <c r="F9292" s="31">
        <f>IFERROR(VLOOKUP(E9292,BD!$L$2:$Q$244,2,0),0)</f>
        <v>0</v>
      </c>
      <c r="G9292" s="424"/>
      <c r="H9292" s="31">
        <f>+IFERROR(VLOOKUP(E9292,BD!$L$2:$Q$244,6,0),0)</f>
        <v>0</v>
      </c>
      <c r="I9292" s="626">
        <f>IFERROR(G9292*VLOOKUP($E9292,BD!$L$2:$Q$244,5,0),0)</f>
        <v>0</v>
      </c>
      <c r="J9292" s="3">
        <f t="shared" si="581"/>
        <v>1900</v>
      </c>
    </row>
    <row r="9293" spans="1:10" s="9" customFormat="1" x14ac:dyDescent="0.25">
      <c r="A9293" s="447"/>
      <c r="B9293" s="55" t="str">
        <f t="shared" si="578"/>
        <v>ENERO</v>
      </c>
      <c r="C9293" s="55">
        <f t="shared" si="579"/>
        <v>1</v>
      </c>
      <c r="D9293" s="3" t="str">
        <f t="shared" si="580"/>
        <v>SÁBADO</v>
      </c>
      <c r="E9293" s="427"/>
      <c r="F9293" s="31">
        <f>IFERROR(VLOOKUP(E9293,BD!$L$2:$Q$244,2,0),0)</f>
        <v>0</v>
      </c>
      <c r="G9293" s="424"/>
      <c r="H9293" s="31">
        <f>+IFERROR(VLOOKUP(E9293,BD!$L$2:$Q$244,6,0),0)</f>
        <v>0</v>
      </c>
      <c r="I9293" s="626">
        <f>IFERROR(G9293*VLOOKUP($E9293,BD!$L$2:$Q$244,5,0),0)</f>
        <v>0</v>
      </c>
      <c r="J9293" s="3">
        <f t="shared" si="581"/>
        <v>1900</v>
      </c>
    </row>
    <row r="9294" spans="1:10" s="9" customFormat="1" x14ac:dyDescent="0.25">
      <c r="A9294" s="447"/>
      <c r="B9294" s="55" t="str">
        <f t="shared" si="578"/>
        <v>ENERO</v>
      </c>
      <c r="C9294" s="55">
        <f t="shared" si="579"/>
        <v>1</v>
      </c>
      <c r="D9294" s="3" t="str">
        <f t="shared" si="580"/>
        <v>SÁBADO</v>
      </c>
      <c r="E9294" s="427"/>
      <c r="F9294" s="31">
        <f>IFERROR(VLOOKUP(E9294,BD!$L$2:$Q$244,2,0),0)</f>
        <v>0</v>
      </c>
      <c r="G9294" s="424"/>
      <c r="H9294" s="31">
        <f>+IFERROR(VLOOKUP(E9294,BD!$L$2:$Q$244,6,0),0)</f>
        <v>0</v>
      </c>
      <c r="I9294" s="626">
        <f>IFERROR(G9294*VLOOKUP($E9294,BD!$L$2:$Q$244,5,0),0)</f>
        <v>0</v>
      </c>
      <c r="J9294" s="3">
        <f t="shared" si="581"/>
        <v>1900</v>
      </c>
    </row>
    <row r="9295" spans="1:10" s="9" customFormat="1" x14ac:dyDescent="0.25">
      <c r="A9295" s="447"/>
      <c r="B9295" s="55" t="str">
        <f t="shared" si="578"/>
        <v>ENERO</v>
      </c>
      <c r="C9295" s="55">
        <f t="shared" si="579"/>
        <v>1</v>
      </c>
      <c r="D9295" s="3" t="str">
        <f t="shared" si="580"/>
        <v>SÁBADO</v>
      </c>
      <c r="E9295" s="427"/>
      <c r="F9295" s="31">
        <f>IFERROR(VLOOKUP(E9295,BD!$L$2:$Q$244,2,0),0)</f>
        <v>0</v>
      </c>
      <c r="G9295" s="424"/>
      <c r="H9295" s="31">
        <f>+IFERROR(VLOOKUP(E9295,BD!$L$2:$Q$244,6,0),0)</f>
        <v>0</v>
      </c>
      <c r="I9295" s="626">
        <f>IFERROR(G9295*VLOOKUP($E9295,BD!$L$2:$Q$244,5,0),0)</f>
        <v>0</v>
      </c>
      <c r="J9295" s="3">
        <f t="shared" si="581"/>
        <v>1900</v>
      </c>
    </row>
    <row r="9296" spans="1:10" s="9" customFormat="1" x14ac:dyDescent="0.25">
      <c r="A9296" s="447"/>
      <c r="B9296" s="55" t="str">
        <f t="shared" si="578"/>
        <v>ENERO</v>
      </c>
      <c r="C9296" s="55">
        <f t="shared" si="579"/>
        <v>1</v>
      </c>
      <c r="D9296" s="3" t="str">
        <f t="shared" si="580"/>
        <v>SÁBADO</v>
      </c>
      <c r="E9296" s="427"/>
      <c r="F9296" s="31">
        <f>IFERROR(VLOOKUP(E9296,BD!$L$2:$Q$244,2,0),0)</f>
        <v>0</v>
      </c>
      <c r="G9296" s="424"/>
      <c r="H9296" s="31">
        <f>+IFERROR(VLOOKUP(E9296,BD!$L$2:$Q$244,6,0),0)</f>
        <v>0</v>
      </c>
      <c r="I9296" s="626">
        <f>IFERROR(G9296*VLOOKUP($E9296,BD!$L$2:$Q$244,5,0),0)</f>
        <v>0</v>
      </c>
      <c r="J9296" s="3">
        <f t="shared" si="581"/>
        <v>1900</v>
      </c>
    </row>
    <row r="9297" spans="1:10" s="9" customFormat="1" x14ac:dyDescent="0.25">
      <c r="A9297" s="447"/>
      <c r="B9297" s="55" t="str">
        <f t="shared" si="578"/>
        <v>ENERO</v>
      </c>
      <c r="C9297" s="55">
        <f t="shared" si="579"/>
        <v>1</v>
      </c>
      <c r="D9297" s="3" t="str">
        <f t="shared" si="580"/>
        <v>SÁBADO</v>
      </c>
      <c r="E9297" s="427"/>
      <c r="F9297" s="31">
        <f>IFERROR(VLOOKUP(E9297,BD!$L$2:$Q$244,2,0),0)</f>
        <v>0</v>
      </c>
      <c r="G9297" s="424"/>
      <c r="H9297" s="31">
        <f>+IFERROR(VLOOKUP(E9297,BD!$L$2:$Q$244,6,0),0)</f>
        <v>0</v>
      </c>
      <c r="I9297" s="626">
        <f>IFERROR(G9297*VLOOKUP($E9297,BD!$L$2:$Q$244,5,0),0)</f>
        <v>0</v>
      </c>
      <c r="J9297" s="3">
        <f t="shared" si="581"/>
        <v>1900</v>
      </c>
    </row>
    <row r="9298" spans="1:10" s="9" customFormat="1" x14ac:dyDescent="0.25">
      <c r="A9298" s="447"/>
      <c r="B9298" s="55" t="str">
        <f t="shared" si="578"/>
        <v>ENERO</v>
      </c>
      <c r="C9298" s="55">
        <f t="shared" si="579"/>
        <v>1</v>
      </c>
      <c r="D9298" s="3" t="str">
        <f t="shared" si="580"/>
        <v>SÁBADO</v>
      </c>
      <c r="E9298" s="427"/>
      <c r="F9298" s="31">
        <f>IFERROR(VLOOKUP(E9298,BD!$L$2:$Q$244,2,0),0)</f>
        <v>0</v>
      </c>
      <c r="G9298" s="424"/>
      <c r="H9298" s="31">
        <f>+IFERROR(VLOOKUP(E9298,BD!$L$2:$Q$244,6,0),0)</f>
        <v>0</v>
      </c>
      <c r="I9298" s="626">
        <f>IFERROR(G9298*VLOOKUP($E9298,BD!$L$2:$Q$244,5,0),0)</f>
        <v>0</v>
      </c>
      <c r="J9298" s="3">
        <f t="shared" si="581"/>
        <v>1900</v>
      </c>
    </row>
    <row r="9299" spans="1:10" s="9" customFormat="1" x14ac:dyDescent="0.25">
      <c r="A9299" s="447"/>
      <c r="B9299" s="55" t="str">
        <f t="shared" si="578"/>
        <v>ENERO</v>
      </c>
      <c r="C9299" s="55">
        <f t="shared" si="579"/>
        <v>1</v>
      </c>
      <c r="D9299" s="3" t="str">
        <f t="shared" si="580"/>
        <v>SÁBADO</v>
      </c>
      <c r="E9299" s="427"/>
      <c r="F9299" s="31">
        <f>IFERROR(VLOOKUP(E9299,BD!$L$2:$Q$244,2,0),0)</f>
        <v>0</v>
      </c>
      <c r="G9299" s="424"/>
      <c r="H9299" s="31">
        <f>+IFERROR(VLOOKUP(E9299,BD!$L$2:$Q$244,6,0),0)</f>
        <v>0</v>
      </c>
      <c r="I9299" s="626">
        <f>IFERROR(G9299*VLOOKUP($E9299,BD!$L$2:$Q$244,5,0),0)</f>
        <v>0</v>
      </c>
      <c r="J9299" s="3">
        <f t="shared" si="581"/>
        <v>1900</v>
      </c>
    </row>
    <row r="9300" spans="1:10" s="9" customFormat="1" x14ac:dyDescent="0.25">
      <c r="A9300" s="447"/>
      <c r="B9300" s="55" t="str">
        <f t="shared" si="578"/>
        <v>ENERO</v>
      </c>
      <c r="C9300" s="55">
        <f t="shared" si="579"/>
        <v>1</v>
      </c>
      <c r="D9300" s="3" t="str">
        <f t="shared" si="580"/>
        <v>SÁBADO</v>
      </c>
      <c r="E9300" s="427"/>
      <c r="F9300" s="31">
        <f>IFERROR(VLOOKUP(E9300,BD!$L$2:$Q$244,2,0),0)</f>
        <v>0</v>
      </c>
      <c r="G9300" s="424"/>
      <c r="H9300" s="31">
        <f>+IFERROR(VLOOKUP(E9300,BD!$L$2:$Q$244,6,0),0)</f>
        <v>0</v>
      </c>
      <c r="I9300" s="626">
        <f>IFERROR(G9300*VLOOKUP($E9300,BD!$L$2:$Q$244,5,0),0)</f>
        <v>0</v>
      </c>
      <c r="J9300" s="3">
        <f t="shared" si="581"/>
        <v>1900</v>
      </c>
    </row>
    <row r="9301" spans="1:10" s="9" customFormat="1" x14ac:dyDescent="0.25">
      <c r="A9301" s="447"/>
      <c r="B9301" s="55" t="str">
        <f t="shared" si="578"/>
        <v>ENERO</v>
      </c>
      <c r="C9301" s="55">
        <f t="shared" si="579"/>
        <v>1</v>
      </c>
      <c r="D9301" s="3" t="str">
        <f t="shared" si="580"/>
        <v>SÁBADO</v>
      </c>
      <c r="E9301" s="427"/>
      <c r="F9301" s="31">
        <f>IFERROR(VLOOKUP(E9301,BD!$L$2:$Q$244,2,0),0)</f>
        <v>0</v>
      </c>
      <c r="G9301" s="424"/>
      <c r="H9301" s="31">
        <f>+IFERROR(VLOOKUP(E9301,BD!$L$2:$Q$244,6,0),0)</f>
        <v>0</v>
      </c>
      <c r="I9301" s="626">
        <f>IFERROR(G9301*VLOOKUP($E9301,BD!$L$2:$Q$244,5,0),0)</f>
        <v>0</v>
      </c>
      <c r="J9301" s="3">
        <f t="shared" si="581"/>
        <v>1900</v>
      </c>
    </row>
    <row r="9302" spans="1:10" s="9" customFormat="1" x14ac:dyDescent="0.25">
      <c r="A9302" s="447"/>
      <c r="B9302" s="55" t="str">
        <f t="shared" si="578"/>
        <v>ENERO</v>
      </c>
      <c r="C9302" s="55">
        <f t="shared" si="579"/>
        <v>1</v>
      </c>
      <c r="D9302" s="3" t="str">
        <f t="shared" si="580"/>
        <v>SÁBADO</v>
      </c>
      <c r="E9302" s="427"/>
      <c r="F9302" s="31">
        <f>IFERROR(VLOOKUP(E9302,BD!$L$2:$Q$244,2,0),0)</f>
        <v>0</v>
      </c>
      <c r="G9302" s="424"/>
      <c r="H9302" s="31">
        <f>+IFERROR(VLOOKUP(E9302,BD!$L$2:$Q$244,6,0),0)</f>
        <v>0</v>
      </c>
      <c r="I9302" s="626">
        <f>IFERROR(G9302*VLOOKUP($E9302,BD!$L$2:$Q$244,5,0),0)</f>
        <v>0</v>
      </c>
      <c r="J9302" s="3">
        <f t="shared" si="581"/>
        <v>1900</v>
      </c>
    </row>
    <row r="9303" spans="1:10" s="9" customFormat="1" x14ac:dyDescent="0.25">
      <c r="A9303" s="447"/>
      <c r="B9303" s="55" t="str">
        <f t="shared" si="578"/>
        <v>ENERO</v>
      </c>
      <c r="C9303" s="55">
        <f t="shared" si="579"/>
        <v>1</v>
      </c>
      <c r="D9303" s="3" t="str">
        <f t="shared" si="580"/>
        <v>SÁBADO</v>
      </c>
      <c r="E9303" s="427"/>
      <c r="F9303" s="31">
        <f>IFERROR(VLOOKUP(E9303,BD!$L$2:$Q$244,2,0),0)</f>
        <v>0</v>
      </c>
      <c r="G9303" s="424"/>
      <c r="H9303" s="31">
        <f>+IFERROR(VLOOKUP(E9303,BD!$L$2:$Q$244,6,0),0)</f>
        <v>0</v>
      </c>
      <c r="I9303" s="626">
        <f>IFERROR(G9303*VLOOKUP($E9303,BD!$L$2:$Q$244,5,0),0)</f>
        <v>0</v>
      </c>
      <c r="J9303" s="3">
        <f t="shared" si="581"/>
        <v>1900</v>
      </c>
    </row>
    <row r="9304" spans="1:10" s="9" customFormat="1" x14ac:dyDescent="0.25">
      <c r="A9304" s="447"/>
      <c r="B9304" s="55" t="str">
        <f t="shared" si="578"/>
        <v>ENERO</v>
      </c>
      <c r="C9304" s="55">
        <f t="shared" si="579"/>
        <v>1</v>
      </c>
      <c r="D9304" s="3" t="str">
        <f t="shared" si="580"/>
        <v>SÁBADO</v>
      </c>
      <c r="E9304" s="427"/>
      <c r="F9304" s="31">
        <f>IFERROR(VLOOKUP(E9304,BD!$L$2:$Q$244,2,0),0)</f>
        <v>0</v>
      </c>
      <c r="G9304" s="424"/>
      <c r="H9304" s="31">
        <f>+IFERROR(VLOOKUP(E9304,BD!$L$2:$Q$244,6,0),0)</f>
        <v>0</v>
      </c>
      <c r="I9304" s="626">
        <f>IFERROR(G9304*VLOOKUP($E9304,BD!$L$2:$Q$244,5,0),0)</f>
        <v>0</v>
      </c>
      <c r="J9304" s="3">
        <f t="shared" si="581"/>
        <v>1900</v>
      </c>
    </row>
    <row r="9305" spans="1:10" s="9" customFormat="1" x14ac:dyDescent="0.25">
      <c r="A9305" s="447"/>
      <c r="B9305" s="55" t="str">
        <f t="shared" si="578"/>
        <v>ENERO</v>
      </c>
      <c r="C9305" s="55">
        <f t="shared" si="579"/>
        <v>1</v>
      </c>
      <c r="D9305" s="3" t="str">
        <f t="shared" si="580"/>
        <v>SÁBADO</v>
      </c>
      <c r="E9305" s="427"/>
      <c r="F9305" s="31">
        <f>IFERROR(VLOOKUP(E9305,BD!$L$2:$Q$244,2,0),0)</f>
        <v>0</v>
      </c>
      <c r="G9305" s="424"/>
      <c r="H9305" s="31">
        <f>+IFERROR(VLOOKUP(E9305,BD!$L$2:$Q$244,6,0),0)</f>
        <v>0</v>
      </c>
      <c r="I9305" s="626">
        <f>IFERROR(G9305*VLOOKUP($E9305,BD!$L$2:$Q$244,5,0),0)</f>
        <v>0</v>
      </c>
      <c r="J9305" s="3">
        <f t="shared" si="581"/>
        <v>1900</v>
      </c>
    </row>
    <row r="9306" spans="1:10" s="9" customFormat="1" x14ac:dyDescent="0.25">
      <c r="A9306" s="447"/>
      <c r="B9306" s="55" t="str">
        <f t="shared" si="578"/>
        <v>ENERO</v>
      </c>
      <c r="C9306" s="55">
        <f t="shared" si="579"/>
        <v>1</v>
      </c>
      <c r="D9306" s="3" t="str">
        <f t="shared" si="580"/>
        <v>SÁBADO</v>
      </c>
      <c r="E9306" s="427"/>
      <c r="F9306" s="31">
        <f>IFERROR(VLOOKUP(E9306,BD!$L$2:$Q$244,2,0),0)</f>
        <v>0</v>
      </c>
      <c r="G9306" s="424"/>
      <c r="H9306" s="31">
        <f>+IFERROR(VLOOKUP(E9306,BD!$L$2:$Q$244,6,0),0)</f>
        <v>0</v>
      </c>
      <c r="I9306" s="626">
        <f>IFERROR(G9306*VLOOKUP($E9306,BD!$L$2:$Q$244,5,0),0)</f>
        <v>0</v>
      </c>
      <c r="J9306" s="3">
        <f t="shared" si="581"/>
        <v>1900</v>
      </c>
    </row>
    <row r="9307" spans="1:10" s="9" customFormat="1" x14ac:dyDescent="0.25">
      <c r="A9307" s="447"/>
      <c r="B9307" s="55" t="str">
        <f t="shared" si="578"/>
        <v>ENERO</v>
      </c>
      <c r="C9307" s="55">
        <f t="shared" si="579"/>
        <v>1</v>
      </c>
      <c r="D9307" s="3" t="str">
        <f t="shared" si="580"/>
        <v>SÁBADO</v>
      </c>
      <c r="E9307" s="427"/>
      <c r="F9307" s="31">
        <f>IFERROR(VLOOKUP(E9307,BD!$L$2:$Q$244,2,0),0)</f>
        <v>0</v>
      </c>
      <c r="G9307" s="424"/>
      <c r="H9307" s="31">
        <f>+IFERROR(VLOOKUP(E9307,BD!$L$2:$Q$244,6,0),0)</f>
        <v>0</v>
      </c>
      <c r="I9307" s="626">
        <f>IFERROR(G9307*VLOOKUP($E9307,BD!$L$2:$Q$244,5,0),0)</f>
        <v>0</v>
      </c>
      <c r="J9307" s="3">
        <f t="shared" si="581"/>
        <v>1900</v>
      </c>
    </row>
    <row r="9308" spans="1:10" s="9" customFormat="1" x14ac:dyDescent="0.25">
      <c r="A9308" s="447"/>
      <c r="B9308" s="55" t="str">
        <f t="shared" si="578"/>
        <v>ENERO</v>
      </c>
      <c r="C9308" s="55">
        <f t="shared" si="579"/>
        <v>1</v>
      </c>
      <c r="D9308" s="3" t="str">
        <f t="shared" si="580"/>
        <v>SÁBADO</v>
      </c>
      <c r="E9308" s="427"/>
      <c r="F9308" s="31">
        <f>IFERROR(VLOOKUP(E9308,BD!$L$2:$Q$244,2,0),0)</f>
        <v>0</v>
      </c>
      <c r="G9308" s="424"/>
      <c r="H9308" s="31">
        <f>+IFERROR(VLOOKUP(E9308,BD!$L$2:$Q$244,6,0),0)</f>
        <v>0</v>
      </c>
      <c r="I9308" s="626">
        <f>IFERROR(G9308*VLOOKUP($E9308,BD!$L$2:$Q$244,5,0),0)</f>
        <v>0</v>
      </c>
      <c r="J9308" s="3">
        <f t="shared" si="581"/>
        <v>1900</v>
      </c>
    </row>
    <row r="9309" spans="1:10" s="9" customFormat="1" x14ac:dyDescent="0.25">
      <c r="A9309" s="447"/>
      <c r="B9309" s="55" t="str">
        <f t="shared" si="578"/>
        <v>ENERO</v>
      </c>
      <c r="C9309" s="55">
        <f t="shared" si="579"/>
        <v>1</v>
      </c>
      <c r="D9309" s="3" t="str">
        <f t="shared" si="580"/>
        <v>SÁBADO</v>
      </c>
      <c r="E9309" s="427"/>
      <c r="F9309" s="31">
        <f>IFERROR(VLOOKUP(E9309,BD!$L$2:$Q$244,2,0),0)</f>
        <v>0</v>
      </c>
      <c r="G9309" s="424"/>
      <c r="H9309" s="31">
        <f>+IFERROR(VLOOKUP(E9309,BD!$L$2:$Q$244,6,0),0)</f>
        <v>0</v>
      </c>
      <c r="I9309" s="626">
        <f>IFERROR(G9309*VLOOKUP($E9309,BD!$L$2:$Q$244,5,0),0)</f>
        <v>0</v>
      </c>
      <c r="J9309" s="3">
        <f t="shared" si="581"/>
        <v>1900</v>
      </c>
    </row>
    <row r="9310" spans="1:10" s="9" customFormat="1" x14ac:dyDescent="0.25">
      <c r="A9310" s="447"/>
      <c r="B9310" s="55" t="str">
        <f t="shared" si="578"/>
        <v>ENERO</v>
      </c>
      <c r="C9310" s="55">
        <f t="shared" si="579"/>
        <v>1</v>
      </c>
      <c r="D9310" s="3" t="str">
        <f t="shared" si="580"/>
        <v>SÁBADO</v>
      </c>
      <c r="E9310" s="427"/>
      <c r="F9310" s="31">
        <f>IFERROR(VLOOKUP(E9310,BD!$L$2:$Q$244,2,0),0)</f>
        <v>0</v>
      </c>
      <c r="G9310" s="424"/>
      <c r="H9310" s="31">
        <f>+IFERROR(VLOOKUP(E9310,BD!$L$2:$Q$244,6,0),0)</f>
        <v>0</v>
      </c>
      <c r="I9310" s="626">
        <f>IFERROR(G9310*VLOOKUP($E9310,BD!$L$2:$Q$244,5,0),0)</f>
        <v>0</v>
      </c>
      <c r="J9310" s="3">
        <f t="shared" si="581"/>
        <v>1900</v>
      </c>
    </row>
    <row r="9311" spans="1:10" s="9" customFormat="1" x14ac:dyDescent="0.25">
      <c r="A9311" s="447"/>
      <c r="B9311" s="55" t="str">
        <f t="shared" si="578"/>
        <v>ENERO</v>
      </c>
      <c r="C9311" s="55">
        <f t="shared" si="579"/>
        <v>1</v>
      </c>
      <c r="D9311" s="3" t="str">
        <f t="shared" si="580"/>
        <v>SÁBADO</v>
      </c>
      <c r="E9311" s="427"/>
      <c r="F9311" s="31">
        <f>IFERROR(VLOOKUP(E9311,BD!$L$2:$Q$244,2,0),0)</f>
        <v>0</v>
      </c>
      <c r="G9311" s="424"/>
      <c r="H9311" s="31">
        <f>+IFERROR(VLOOKUP(E9311,BD!$L$2:$Q$244,6,0),0)</f>
        <v>0</v>
      </c>
      <c r="I9311" s="626">
        <f>IFERROR(G9311*VLOOKUP($E9311,BD!$L$2:$Q$244,5,0),0)</f>
        <v>0</v>
      </c>
      <c r="J9311" s="3">
        <f t="shared" si="581"/>
        <v>1900</v>
      </c>
    </row>
    <row r="9312" spans="1:10" s="9" customFormat="1" x14ac:dyDescent="0.25">
      <c r="A9312" s="447"/>
      <c r="B9312" s="55" t="str">
        <f t="shared" si="578"/>
        <v>ENERO</v>
      </c>
      <c r="C9312" s="55">
        <f t="shared" si="579"/>
        <v>1</v>
      </c>
      <c r="D9312" s="3" t="str">
        <f t="shared" si="580"/>
        <v>SÁBADO</v>
      </c>
      <c r="E9312" s="427"/>
      <c r="F9312" s="31">
        <f>IFERROR(VLOOKUP(E9312,BD!$L$2:$Q$244,2,0),0)</f>
        <v>0</v>
      </c>
      <c r="G9312" s="424"/>
      <c r="H9312" s="31">
        <f>+IFERROR(VLOOKUP(E9312,BD!$L$2:$Q$244,6,0),0)</f>
        <v>0</v>
      </c>
      <c r="I9312" s="626">
        <f>IFERROR(G9312*VLOOKUP($E9312,BD!$L$2:$Q$244,5,0),0)</f>
        <v>0</v>
      </c>
      <c r="J9312" s="3">
        <f t="shared" si="581"/>
        <v>1900</v>
      </c>
    </row>
    <row r="9313" spans="1:10" s="9" customFormat="1" x14ac:dyDescent="0.25">
      <c r="A9313" s="447"/>
      <c r="B9313" s="55" t="str">
        <f t="shared" si="578"/>
        <v>ENERO</v>
      </c>
      <c r="C9313" s="55">
        <f t="shared" si="579"/>
        <v>1</v>
      </c>
      <c r="D9313" s="3" t="str">
        <f t="shared" si="580"/>
        <v>SÁBADO</v>
      </c>
      <c r="E9313" s="427"/>
      <c r="F9313" s="31">
        <f>IFERROR(VLOOKUP(E9313,BD!$L$2:$Q$244,2,0),0)</f>
        <v>0</v>
      </c>
      <c r="G9313" s="424"/>
      <c r="H9313" s="31">
        <f>+IFERROR(VLOOKUP(E9313,BD!$L$2:$Q$244,6,0),0)</f>
        <v>0</v>
      </c>
      <c r="I9313" s="626">
        <f>IFERROR(G9313*VLOOKUP($E9313,BD!$L$2:$Q$244,5,0),0)</f>
        <v>0</v>
      </c>
      <c r="J9313" s="3">
        <f t="shared" si="581"/>
        <v>1900</v>
      </c>
    </row>
    <row r="9314" spans="1:10" s="9" customFormat="1" x14ac:dyDescent="0.25">
      <c r="A9314" s="447"/>
      <c r="B9314" s="55" t="str">
        <f t="shared" si="578"/>
        <v>ENERO</v>
      </c>
      <c r="C9314" s="55">
        <f t="shared" si="579"/>
        <v>1</v>
      </c>
      <c r="D9314" s="3" t="str">
        <f t="shared" si="580"/>
        <v>SÁBADO</v>
      </c>
      <c r="E9314" s="427"/>
      <c r="F9314" s="31">
        <f>IFERROR(VLOOKUP(E9314,BD!$L$2:$Q$244,2,0),0)</f>
        <v>0</v>
      </c>
      <c r="G9314" s="424"/>
      <c r="H9314" s="31">
        <f>+IFERROR(VLOOKUP(E9314,BD!$L$2:$Q$244,6,0),0)</f>
        <v>0</v>
      </c>
      <c r="I9314" s="626">
        <f>IFERROR(G9314*VLOOKUP($E9314,BD!$L$2:$Q$244,5,0),0)</f>
        <v>0</v>
      </c>
      <c r="J9314" s="3">
        <f t="shared" si="581"/>
        <v>1900</v>
      </c>
    </row>
    <row r="9315" spans="1:10" s="9" customFormat="1" x14ac:dyDescent="0.25">
      <c r="A9315" s="447"/>
      <c r="B9315" s="55" t="str">
        <f t="shared" si="578"/>
        <v>ENERO</v>
      </c>
      <c r="C9315" s="55">
        <f t="shared" si="579"/>
        <v>1</v>
      </c>
      <c r="D9315" s="3" t="str">
        <f t="shared" si="580"/>
        <v>SÁBADO</v>
      </c>
      <c r="E9315" s="427"/>
      <c r="F9315" s="31">
        <f>IFERROR(VLOOKUP(E9315,BD!$L$2:$Q$244,2,0),0)</f>
        <v>0</v>
      </c>
      <c r="G9315" s="424"/>
      <c r="H9315" s="31">
        <f>+IFERROR(VLOOKUP(E9315,BD!$L$2:$Q$244,6,0),0)</f>
        <v>0</v>
      </c>
      <c r="I9315" s="626">
        <f>IFERROR(G9315*VLOOKUP($E9315,BD!$L$2:$Q$244,5,0),0)</f>
        <v>0</v>
      </c>
      <c r="J9315" s="3">
        <f t="shared" si="581"/>
        <v>1900</v>
      </c>
    </row>
    <row r="9316" spans="1:10" s="9" customFormat="1" x14ac:dyDescent="0.25">
      <c r="A9316" s="447"/>
      <c r="B9316" s="55" t="str">
        <f t="shared" si="578"/>
        <v>ENERO</v>
      </c>
      <c r="C9316" s="55">
        <f t="shared" si="579"/>
        <v>1</v>
      </c>
      <c r="D9316" s="3" t="str">
        <f t="shared" si="580"/>
        <v>SÁBADO</v>
      </c>
      <c r="E9316" s="427"/>
      <c r="F9316" s="31">
        <f>IFERROR(VLOOKUP(E9316,BD!$L$2:$Q$244,2,0),0)</f>
        <v>0</v>
      </c>
      <c r="G9316" s="424"/>
      <c r="H9316" s="31">
        <f>+IFERROR(VLOOKUP(E9316,BD!$L$2:$Q$244,6,0),0)</f>
        <v>0</v>
      </c>
      <c r="I9316" s="626">
        <f>IFERROR(G9316*VLOOKUP($E9316,BD!$L$2:$Q$244,5,0),0)</f>
        <v>0</v>
      </c>
      <c r="J9316" s="3">
        <f t="shared" si="581"/>
        <v>1900</v>
      </c>
    </row>
    <row r="9317" spans="1:10" s="9" customFormat="1" x14ac:dyDescent="0.25">
      <c r="A9317" s="447"/>
      <c r="B9317" s="55" t="str">
        <f t="shared" si="578"/>
        <v>ENERO</v>
      </c>
      <c r="C9317" s="55">
        <f t="shared" si="579"/>
        <v>1</v>
      </c>
      <c r="D9317" s="3" t="str">
        <f t="shared" si="580"/>
        <v>SÁBADO</v>
      </c>
      <c r="E9317" s="427"/>
      <c r="F9317" s="31">
        <f>IFERROR(VLOOKUP(E9317,BD!$L$2:$Q$244,2,0),0)</f>
        <v>0</v>
      </c>
      <c r="G9317" s="424"/>
      <c r="H9317" s="31">
        <f>+IFERROR(VLOOKUP(E9317,BD!$L$2:$Q$244,6,0),0)</f>
        <v>0</v>
      </c>
      <c r="I9317" s="626">
        <f>IFERROR(G9317*VLOOKUP($E9317,BD!$L$2:$Q$244,5,0),0)</f>
        <v>0</v>
      </c>
      <c r="J9317" s="3">
        <f t="shared" si="581"/>
        <v>1900</v>
      </c>
    </row>
    <row r="9318" spans="1:10" s="9" customFormat="1" x14ac:dyDescent="0.25">
      <c r="A9318" s="447"/>
      <c r="B9318" s="55" t="str">
        <f t="shared" si="578"/>
        <v>ENERO</v>
      </c>
      <c r="C9318" s="55">
        <f t="shared" si="579"/>
        <v>1</v>
      </c>
      <c r="D9318" s="3" t="str">
        <f t="shared" si="580"/>
        <v>SÁBADO</v>
      </c>
      <c r="E9318" s="427"/>
      <c r="F9318" s="31">
        <f>IFERROR(VLOOKUP(E9318,BD!$L$2:$Q$244,2,0),0)</f>
        <v>0</v>
      </c>
      <c r="G9318" s="424"/>
      <c r="H9318" s="31">
        <f>+IFERROR(VLOOKUP(E9318,BD!$L$2:$Q$244,6,0),0)</f>
        <v>0</v>
      </c>
      <c r="I9318" s="626">
        <f>IFERROR(G9318*VLOOKUP($E9318,BD!$L$2:$Q$244,5,0),0)</f>
        <v>0</v>
      </c>
      <c r="J9318" s="3">
        <f t="shared" si="581"/>
        <v>1900</v>
      </c>
    </row>
    <row r="9319" spans="1:10" s="9" customFormat="1" x14ac:dyDescent="0.25">
      <c r="A9319" s="447"/>
      <c r="B9319" s="55" t="str">
        <f t="shared" si="578"/>
        <v>ENERO</v>
      </c>
      <c r="C9319" s="55">
        <f t="shared" si="579"/>
        <v>1</v>
      </c>
      <c r="D9319" s="3" t="str">
        <f t="shared" si="580"/>
        <v>SÁBADO</v>
      </c>
      <c r="E9319" s="427"/>
      <c r="F9319" s="31">
        <f>IFERROR(VLOOKUP(E9319,BD!$L$2:$Q$244,2,0),0)</f>
        <v>0</v>
      </c>
      <c r="G9319" s="424"/>
      <c r="H9319" s="31">
        <f>+IFERROR(VLOOKUP(E9319,BD!$L$2:$Q$244,6,0),0)</f>
        <v>0</v>
      </c>
      <c r="I9319" s="626">
        <f>IFERROR(G9319*VLOOKUP($E9319,BD!$L$2:$Q$244,5,0),0)</f>
        <v>0</v>
      </c>
      <c r="J9319" s="3">
        <f t="shared" si="581"/>
        <v>1900</v>
      </c>
    </row>
    <row r="9320" spans="1:10" s="9" customFormat="1" x14ac:dyDescent="0.25">
      <c r="A9320" s="447"/>
      <c r="B9320" s="55" t="str">
        <f t="shared" si="578"/>
        <v>ENERO</v>
      </c>
      <c r="C9320" s="55">
        <f t="shared" si="579"/>
        <v>1</v>
      </c>
      <c r="D9320" s="3" t="str">
        <f t="shared" si="580"/>
        <v>SÁBADO</v>
      </c>
      <c r="E9320" s="427"/>
      <c r="F9320" s="31">
        <f>IFERROR(VLOOKUP(E9320,BD!$L$2:$Q$244,2,0),0)</f>
        <v>0</v>
      </c>
      <c r="G9320" s="424"/>
      <c r="H9320" s="31">
        <f>+IFERROR(VLOOKUP(E9320,BD!$L$2:$Q$244,6,0),0)</f>
        <v>0</v>
      </c>
      <c r="I9320" s="626">
        <f>IFERROR(G9320*VLOOKUP($E9320,BD!$L$2:$Q$244,5,0),0)</f>
        <v>0</v>
      </c>
      <c r="J9320" s="3">
        <f t="shared" si="581"/>
        <v>1900</v>
      </c>
    </row>
    <row r="9321" spans="1:10" s="9" customFormat="1" x14ac:dyDescent="0.25">
      <c r="A9321" s="447"/>
      <c r="B9321" s="55" t="str">
        <f t="shared" si="578"/>
        <v>ENERO</v>
      </c>
      <c r="C9321" s="55">
        <f t="shared" si="579"/>
        <v>1</v>
      </c>
      <c r="D9321" s="3" t="str">
        <f t="shared" si="580"/>
        <v>SÁBADO</v>
      </c>
      <c r="E9321" s="427"/>
      <c r="F9321" s="31">
        <f>IFERROR(VLOOKUP(E9321,BD!$L$2:$Q$244,2,0),0)</f>
        <v>0</v>
      </c>
      <c r="G9321" s="424"/>
      <c r="H9321" s="31">
        <f>+IFERROR(VLOOKUP(E9321,BD!$L$2:$Q$244,6,0),0)</f>
        <v>0</v>
      </c>
      <c r="I9321" s="626">
        <f>IFERROR(G9321*VLOOKUP($E9321,BD!$L$2:$Q$244,5,0),0)</f>
        <v>0</v>
      </c>
      <c r="J9321" s="3">
        <f t="shared" si="581"/>
        <v>1900</v>
      </c>
    </row>
    <row r="9322" spans="1:10" s="9" customFormat="1" x14ac:dyDescent="0.25">
      <c r="A9322" s="447"/>
      <c r="B9322" s="55" t="str">
        <f t="shared" si="578"/>
        <v>ENERO</v>
      </c>
      <c r="C9322" s="55">
        <f t="shared" si="579"/>
        <v>1</v>
      </c>
      <c r="D9322" s="3" t="str">
        <f t="shared" si="580"/>
        <v>SÁBADO</v>
      </c>
      <c r="E9322" s="427"/>
      <c r="F9322" s="31">
        <f>IFERROR(VLOOKUP(E9322,BD!$L$2:$Q$244,2,0),0)</f>
        <v>0</v>
      </c>
      <c r="G9322" s="424"/>
      <c r="H9322" s="31">
        <f>+IFERROR(VLOOKUP(E9322,BD!$L$2:$Q$244,6,0),0)</f>
        <v>0</v>
      </c>
      <c r="I9322" s="626">
        <f>IFERROR(G9322*VLOOKUP($E9322,BD!$L$2:$Q$244,5,0),0)</f>
        <v>0</v>
      </c>
      <c r="J9322" s="3">
        <f t="shared" si="581"/>
        <v>1900</v>
      </c>
    </row>
    <row r="9323" spans="1:10" s="9" customFormat="1" x14ac:dyDescent="0.25">
      <c r="A9323" s="447"/>
      <c r="B9323" s="55" t="str">
        <f t="shared" si="578"/>
        <v>ENERO</v>
      </c>
      <c r="C9323" s="55">
        <f t="shared" si="579"/>
        <v>1</v>
      </c>
      <c r="D9323" s="3" t="str">
        <f t="shared" si="580"/>
        <v>SÁBADO</v>
      </c>
      <c r="E9323" s="427"/>
      <c r="F9323" s="31">
        <f>IFERROR(VLOOKUP(E9323,BD!$L$2:$Q$244,2,0),0)</f>
        <v>0</v>
      </c>
      <c r="G9323" s="424"/>
      <c r="H9323" s="31">
        <f>+IFERROR(VLOOKUP(E9323,BD!$L$2:$Q$244,6,0),0)</f>
        <v>0</v>
      </c>
      <c r="I9323" s="626">
        <f>IFERROR(G9323*VLOOKUP($E9323,BD!$L$2:$Q$244,5,0),0)</f>
        <v>0</v>
      </c>
      <c r="J9323" s="3">
        <f t="shared" si="581"/>
        <v>1900</v>
      </c>
    </row>
    <row r="9324" spans="1:10" s="9" customFormat="1" x14ac:dyDescent="0.25">
      <c r="A9324" s="447"/>
      <c r="B9324" s="55" t="str">
        <f t="shared" si="578"/>
        <v>ENERO</v>
      </c>
      <c r="C9324" s="55">
        <f t="shared" si="579"/>
        <v>1</v>
      </c>
      <c r="D9324" s="3" t="str">
        <f t="shared" si="580"/>
        <v>SÁBADO</v>
      </c>
      <c r="E9324" s="427"/>
      <c r="F9324" s="31">
        <f>IFERROR(VLOOKUP(E9324,BD!$L$2:$Q$244,2,0),0)</f>
        <v>0</v>
      </c>
      <c r="G9324" s="424"/>
      <c r="H9324" s="31">
        <f>+IFERROR(VLOOKUP(E9324,BD!$L$2:$Q$244,6,0),0)</f>
        <v>0</v>
      </c>
      <c r="I9324" s="626">
        <f>IFERROR(G9324*VLOOKUP($E9324,BD!$L$2:$Q$244,5,0),0)</f>
        <v>0</v>
      </c>
      <c r="J9324" s="3">
        <f t="shared" si="581"/>
        <v>1900</v>
      </c>
    </row>
    <row r="9325" spans="1:10" s="9" customFormat="1" x14ac:dyDescent="0.25">
      <c r="A9325" s="447"/>
      <c r="B9325" s="55" t="str">
        <f t="shared" si="578"/>
        <v>ENERO</v>
      </c>
      <c r="C9325" s="55">
        <f t="shared" si="579"/>
        <v>1</v>
      </c>
      <c r="D9325" s="3" t="str">
        <f t="shared" si="580"/>
        <v>SÁBADO</v>
      </c>
      <c r="E9325" s="427"/>
      <c r="F9325" s="31">
        <f>IFERROR(VLOOKUP(E9325,BD!$L$2:$Q$244,2,0),0)</f>
        <v>0</v>
      </c>
      <c r="G9325" s="424"/>
      <c r="H9325" s="31">
        <f>+IFERROR(VLOOKUP(E9325,BD!$L$2:$Q$244,6,0),0)</f>
        <v>0</v>
      </c>
      <c r="I9325" s="626">
        <f>IFERROR(G9325*VLOOKUP($E9325,BD!$L$2:$Q$244,5,0),0)</f>
        <v>0</v>
      </c>
      <c r="J9325" s="3">
        <f t="shared" si="581"/>
        <v>1900</v>
      </c>
    </row>
    <row r="9326" spans="1:10" s="9" customFormat="1" x14ac:dyDescent="0.25">
      <c r="A9326" s="447"/>
      <c r="B9326" s="55" t="str">
        <f t="shared" si="578"/>
        <v>ENERO</v>
      </c>
      <c r="C9326" s="55">
        <f t="shared" si="579"/>
        <v>1</v>
      </c>
      <c r="D9326" s="3" t="str">
        <f t="shared" si="580"/>
        <v>SÁBADO</v>
      </c>
      <c r="E9326" s="427"/>
      <c r="F9326" s="31">
        <f>IFERROR(VLOOKUP(E9326,BD!$L$2:$Q$244,2,0),0)</f>
        <v>0</v>
      </c>
      <c r="G9326" s="424"/>
      <c r="H9326" s="31">
        <f>+IFERROR(VLOOKUP(E9326,BD!$L$2:$Q$244,6,0),0)</f>
        <v>0</v>
      </c>
      <c r="I9326" s="626">
        <f>IFERROR(G9326*VLOOKUP($E9326,BD!$L$2:$Q$244,5,0),0)</f>
        <v>0</v>
      </c>
      <c r="J9326" s="3">
        <f t="shared" si="581"/>
        <v>1900</v>
      </c>
    </row>
    <row r="9327" spans="1:10" s="9" customFormat="1" x14ac:dyDescent="0.25">
      <c r="A9327" s="447"/>
      <c r="B9327" s="55" t="str">
        <f t="shared" si="578"/>
        <v>ENERO</v>
      </c>
      <c r="C9327" s="55">
        <f t="shared" si="579"/>
        <v>1</v>
      </c>
      <c r="D9327" s="3" t="str">
        <f t="shared" si="580"/>
        <v>SÁBADO</v>
      </c>
      <c r="E9327" s="427"/>
      <c r="F9327" s="31">
        <f>IFERROR(VLOOKUP(E9327,BD!$L$2:$Q$244,2,0),0)</f>
        <v>0</v>
      </c>
      <c r="G9327" s="424"/>
      <c r="H9327" s="31">
        <f>+IFERROR(VLOOKUP(E9327,BD!$L$2:$Q$244,6,0),0)</f>
        <v>0</v>
      </c>
      <c r="I9327" s="626">
        <f>IFERROR(G9327*VLOOKUP($E9327,BD!$L$2:$Q$244,5,0),0)</f>
        <v>0</v>
      </c>
      <c r="J9327" s="3">
        <f t="shared" si="581"/>
        <v>1900</v>
      </c>
    </row>
    <row r="9328" spans="1:10" s="9" customFormat="1" x14ac:dyDescent="0.25">
      <c r="A9328" s="447"/>
      <c r="B9328" s="55" t="str">
        <f t="shared" si="578"/>
        <v>ENERO</v>
      </c>
      <c r="C9328" s="55">
        <f t="shared" si="579"/>
        <v>1</v>
      </c>
      <c r="D9328" s="3" t="str">
        <f t="shared" si="580"/>
        <v>SÁBADO</v>
      </c>
      <c r="E9328" s="427"/>
      <c r="F9328" s="31">
        <f>IFERROR(VLOOKUP(E9328,BD!$L$2:$Q$244,2,0),0)</f>
        <v>0</v>
      </c>
      <c r="G9328" s="424"/>
      <c r="H9328" s="31">
        <f>+IFERROR(VLOOKUP(E9328,BD!$L$2:$Q$244,6,0),0)</f>
        <v>0</v>
      </c>
      <c r="I9328" s="626">
        <f>IFERROR(G9328*VLOOKUP($E9328,BD!$L$2:$Q$244,5,0),0)</f>
        <v>0</v>
      </c>
      <c r="J9328" s="3">
        <f t="shared" si="581"/>
        <v>1900</v>
      </c>
    </row>
    <row r="9329" spans="1:10" s="9" customFormat="1" x14ac:dyDescent="0.25">
      <c r="A9329" s="447"/>
      <c r="B9329" s="55" t="str">
        <f t="shared" si="578"/>
        <v>ENERO</v>
      </c>
      <c r="C9329" s="55">
        <f t="shared" si="579"/>
        <v>1</v>
      </c>
      <c r="D9329" s="3" t="str">
        <f t="shared" si="580"/>
        <v>SÁBADO</v>
      </c>
      <c r="E9329" s="427"/>
      <c r="F9329" s="31">
        <f>IFERROR(VLOOKUP(E9329,BD!$L$2:$Q$244,2,0),0)</f>
        <v>0</v>
      </c>
      <c r="G9329" s="424"/>
      <c r="H9329" s="31">
        <f>+IFERROR(VLOOKUP(E9329,BD!$L$2:$Q$244,6,0),0)</f>
        <v>0</v>
      </c>
      <c r="I9329" s="626">
        <f>IFERROR(G9329*VLOOKUP($E9329,BD!$L$2:$Q$244,5,0),0)</f>
        <v>0</v>
      </c>
      <c r="J9329" s="3">
        <f t="shared" si="581"/>
        <v>1900</v>
      </c>
    </row>
    <row r="9330" spans="1:10" s="9" customFormat="1" x14ac:dyDescent="0.25">
      <c r="A9330" s="447"/>
      <c r="B9330" s="55" t="str">
        <f t="shared" si="578"/>
        <v>ENERO</v>
      </c>
      <c r="C9330" s="55">
        <f t="shared" si="579"/>
        <v>1</v>
      </c>
      <c r="D9330" s="3" t="str">
        <f t="shared" si="580"/>
        <v>SÁBADO</v>
      </c>
      <c r="E9330" s="427"/>
      <c r="F9330" s="31">
        <f>IFERROR(VLOOKUP(E9330,BD!$L$2:$Q$244,2,0),0)</f>
        <v>0</v>
      </c>
      <c r="G9330" s="424"/>
      <c r="H9330" s="31">
        <f>+IFERROR(VLOOKUP(E9330,BD!$L$2:$Q$244,6,0),0)</f>
        <v>0</v>
      </c>
      <c r="I9330" s="626">
        <f>IFERROR(G9330*VLOOKUP($E9330,BD!$L$2:$Q$244,5,0),0)</f>
        <v>0</v>
      </c>
      <c r="J9330" s="3">
        <f t="shared" si="581"/>
        <v>1900</v>
      </c>
    </row>
    <row r="9331" spans="1:10" s="9" customFormat="1" x14ac:dyDescent="0.25">
      <c r="A9331" s="447"/>
      <c r="B9331" s="55" t="str">
        <f t="shared" si="578"/>
        <v>ENERO</v>
      </c>
      <c r="C9331" s="55">
        <f t="shared" si="579"/>
        <v>1</v>
      </c>
      <c r="D9331" s="3" t="str">
        <f t="shared" si="580"/>
        <v>SÁBADO</v>
      </c>
      <c r="E9331" s="427"/>
      <c r="F9331" s="31">
        <f>IFERROR(VLOOKUP(E9331,BD!$L$2:$Q$244,2,0),0)</f>
        <v>0</v>
      </c>
      <c r="G9331" s="424"/>
      <c r="H9331" s="31">
        <f>+IFERROR(VLOOKUP(E9331,BD!$L$2:$Q$244,6,0),0)</f>
        <v>0</v>
      </c>
      <c r="I9331" s="626">
        <f>IFERROR(G9331*VLOOKUP($E9331,BD!$L$2:$Q$244,5,0),0)</f>
        <v>0</v>
      </c>
      <c r="J9331" s="3">
        <f t="shared" si="581"/>
        <v>1900</v>
      </c>
    </row>
    <row r="9332" spans="1:10" s="9" customFormat="1" x14ac:dyDescent="0.25">
      <c r="A9332" s="447"/>
      <c r="B9332" s="55" t="str">
        <f t="shared" si="578"/>
        <v>ENERO</v>
      </c>
      <c r="C9332" s="55">
        <f t="shared" si="579"/>
        <v>1</v>
      </c>
      <c r="D9332" s="3" t="str">
        <f t="shared" si="580"/>
        <v>SÁBADO</v>
      </c>
      <c r="E9332" s="427"/>
      <c r="F9332" s="31">
        <f>IFERROR(VLOOKUP(E9332,BD!$L$2:$Q$244,2,0),0)</f>
        <v>0</v>
      </c>
      <c r="G9332" s="424"/>
      <c r="H9332" s="31">
        <f>+IFERROR(VLOOKUP(E9332,BD!$L$2:$Q$244,6,0),0)</f>
        <v>0</v>
      </c>
      <c r="I9332" s="626">
        <f>IFERROR(G9332*VLOOKUP($E9332,BD!$L$2:$Q$244,5,0),0)</f>
        <v>0</v>
      </c>
      <c r="J9332" s="3">
        <f t="shared" si="581"/>
        <v>1900</v>
      </c>
    </row>
    <row r="9333" spans="1:10" s="9" customFormat="1" x14ac:dyDescent="0.25">
      <c r="A9333" s="447"/>
      <c r="B9333" s="55" t="str">
        <f t="shared" si="578"/>
        <v>ENERO</v>
      </c>
      <c r="C9333" s="55">
        <f t="shared" si="579"/>
        <v>1</v>
      </c>
      <c r="D9333" s="3" t="str">
        <f t="shared" si="580"/>
        <v>SÁBADO</v>
      </c>
      <c r="E9333" s="427"/>
      <c r="F9333" s="31">
        <f>IFERROR(VLOOKUP(E9333,BD!$L$2:$Q$244,2,0),0)</f>
        <v>0</v>
      </c>
      <c r="G9333" s="424"/>
      <c r="H9333" s="31">
        <f>+IFERROR(VLOOKUP(E9333,BD!$L$2:$Q$244,6,0),0)</f>
        <v>0</v>
      </c>
      <c r="I9333" s="626">
        <f>IFERROR(G9333*VLOOKUP($E9333,BD!$L$2:$Q$244,5,0),0)</f>
        <v>0</v>
      </c>
      <c r="J9333" s="3">
        <f t="shared" si="581"/>
        <v>1900</v>
      </c>
    </row>
    <row r="9334" spans="1:10" s="9" customFormat="1" x14ac:dyDescent="0.25">
      <c r="A9334" s="447"/>
      <c r="B9334" s="55" t="str">
        <f t="shared" si="578"/>
        <v>ENERO</v>
      </c>
      <c r="C9334" s="55">
        <f t="shared" si="579"/>
        <v>1</v>
      </c>
      <c r="D9334" s="3" t="str">
        <f t="shared" si="580"/>
        <v>SÁBADO</v>
      </c>
      <c r="E9334" s="427"/>
      <c r="F9334" s="31">
        <f>IFERROR(VLOOKUP(E9334,BD!$L$2:$Q$244,2,0),0)</f>
        <v>0</v>
      </c>
      <c r="G9334" s="424"/>
      <c r="H9334" s="31">
        <f>+IFERROR(VLOOKUP(E9334,BD!$L$2:$Q$244,6,0),0)</f>
        <v>0</v>
      </c>
      <c r="I9334" s="626">
        <f>IFERROR(G9334*VLOOKUP($E9334,BD!$L$2:$Q$244,5,0),0)</f>
        <v>0</v>
      </c>
      <c r="J9334" s="3">
        <f t="shared" si="581"/>
        <v>1900</v>
      </c>
    </row>
    <row r="9335" spans="1:10" s="9" customFormat="1" x14ac:dyDescent="0.25">
      <c r="A9335" s="447"/>
      <c r="B9335" s="55" t="str">
        <f t="shared" si="578"/>
        <v>ENERO</v>
      </c>
      <c r="C9335" s="55">
        <f t="shared" si="579"/>
        <v>1</v>
      </c>
      <c r="D9335" s="3" t="str">
        <f t="shared" si="580"/>
        <v>SÁBADO</v>
      </c>
      <c r="E9335" s="427"/>
      <c r="F9335" s="31">
        <f>IFERROR(VLOOKUP(E9335,BD!$L$2:$Q$244,2,0),0)</f>
        <v>0</v>
      </c>
      <c r="G9335" s="424"/>
      <c r="H9335" s="31">
        <f>+IFERROR(VLOOKUP(E9335,BD!$L$2:$Q$244,6,0),0)</f>
        <v>0</v>
      </c>
      <c r="I9335" s="626">
        <f>IFERROR(G9335*VLOOKUP($E9335,BD!$L$2:$Q$244,5,0),0)</f>
        <v>0</v>
      </c>
      <c r="J9335" s="3">
        <f t="shared" si="581"/>
        <v>1900</v>
      </c>
    </row>
    <row r="9336" spans="1:10" s="9" customFormat="1" x14ac:dyDescent="0.25">
      <c r="A9336" s="447"/>
      <c r="B9336" s="55" t="str">
        <f t="shared" si="578"/>
        <v>ENERO</v>
      </c>
      <c r="C9336" s="55">
        <f t="shared" si="579"/>
        <v>1</v>
      </c>
      <c r="D9336" s="3" t="str">
        <f t="shared" si="580"/>
        <v>SÁBADO</v>
      </c>
      <c r="E9336" s="427"/>
      <c r="F9336" s="31">
        <f>IFERROR(VLOOKUP(E9336,BD!$L$2:$Q$244,2,0),0)</f>
        <v>0</v>
      </c>
      <c r="G9336" s="424"/>
      <c r="H9336" s="31">
        <f>+IFERROR(VLOOKUP(E9336,BD!$L$2:$Q$244,6,0),0)</f>
        <v>0</v>
      </c>
      <c r="I9336" s="626">
        <f>IFERROR(G9336*VLOOKUP($E9336,BD!$L$2:$Q$244,5,0),0)</f>
        <v>0</v>
      </c>
      <c r="J9336" s="3">
        <f t="shared" si="581"/>
        <v>1900</v>
      </c>
    </row>
    <row r="9337" spans="1:10" s="9" customFormat="1" x14ac:dyDescent="0.25">
      <c r="A9337" s="447"/>
      <c r="B9337" s="55" t="str">
        <f t="shared" si="578"/>
        <v>ENERO</v>
      </c>
      <c r="C9337" s="55">
        <f t="shared" si="579"/>
        <v>1</v>
      </c>
      <c r="D9337" s="3" t="str">
        <f t="shared" si="580"/>
        <v>SÁBADO</v>
      </c>
      <c r="E9337" s="427"/>
      <c r="F9337" s="31">
        <f>IFERROR(VLOOKUP(E9337,BD!$L$2:$Q$244,2,0),0)</f>
        <v>0</v>
      </c>
      <c r="G9337" s="424"/>
      <c r="H9337" s="31">
        <f>+IFERROR(VLOOKUP(E9337,BD!$L$2:$Q$244,6,0),0)</f>
        <v>0</v>
      </c>
      <c r="I9337" s="626">
        <f>IFERROR(G9337*VLOOKUP($E9337,BD!$L$2:$Q$244,5,0),0)</f>
        <v>0</v>
      </c>
      <c r="J9337" s="3">
        <f t="shared" si="581"/>
        <v>1900</v>
      </c>
    </row>
    <row r="9338" spans="1:10" s="9" customFormat="1" x14ac:dyDescent="0.25">
      <c r="A9338" s="447"/>
      <c r="B9338" s="55" t="str">
        <f t="shared" si="578"/>
        <v>ENERO</v>
      </c>
      <c r="C9338" s="55">
        <f t="shared" si="579"/>
        <v>1</v>
      </c>
      <c r="D9338" s="3" t="str">
        <f t="shared" si="580"/>
        <v>SÁBADO</v>
      </c>
      <c r="E9338" s="427"/>
      <c r="F9338" s="31">
        <f>IFERROR(VLOOKUP(E9338,BD!$L$2:$Q$244,2,0),0)</f>
        <v>0</v>
      </c>
      <c r="G9338" s="424"/>
      <c r="H9338" s="31">
        <f>+IFERROR(VLOOKUP(E9338,BD!$L$2:$Q$244,6,0),0)</f>
        <v>0</v>
      </c>
      <c r="I9338" s="626">
        <f>IFERROR(G9338*VLOOKUP($E9338,BD!$L$2:$Q$244,5,0),0)</f>
        <v>0</v>
      </c>
      <c r="J9338" s="3">
        <f t="shared" si="581"/>
        <v>1900</v>
      </c>
    </row>
    <row r="9339" spans="1:10" s="9" customFormat="1" x14ac:dyDescent="0.25">
      <c r="A9339" s="447"/>
      <c r="B9339" s="55" t="str">
        <f t="shared" si="578"/>
        <v>ENERO</v>
      </c>
      <c r="C9339" s="55">
        <f t="shared" si="579"/>
        <v>1</v>
      </c>
      <c r="D9339" s="3" t="str">
        <f t="shared" si="580"/>
        <v>SÁBADO</v>
      </c>
      <c r="E9339" s="427"/>
      <c r="F9339" s="31">
        <f>IFERROR(VLOOKUP(E9339,BD!$L$2:$Q$244,2,0),0)</f>
        <v>0</v>
      </c>
      <c r="G9339" s="424"/>
      <c r="H9339" s="31">
        <f>+IFERROR(VLOOKUP(E9339,BD!$L$2:$Q$244,6,0),0)</f>
        <v>0</v>
      </c>
      <c r="I9339" s="626">
        <f>IFERROR(G9339*VLOOKUP($E9339,BD!$L$2:$Q$244,5,0),0)</f>
        <v>0</v>
      </c>
      <c r="J9339" s="3">
        <f t="shared" si="581"/>
        <v>1900</v>
      </c>
    </row>
    <row r="9340" spans="1:10" s="9" customFormat="1" x14ac:dyDescent="0.25">
      <c r="A9340" s="447"/>
      <c r="B9340" s="55" t="str">
        <f t="shared" ref="B9340:B9403" si="582">UPPER(TEXT(A9340,"MMMM"))</f>
        <v>ENERO</v>
      </c>
      <c r="C9340" s="55">
        <f t="shared" ref="C9340:C9403" si="583">WEEKNUM(A9340,16)</f>
        <v>1</v>
      </c>
      <c r="D9340" s="3" t="str">
        <f t="shared" ref="D9340:D9403" si="584">UPPER(TEXT(A9340,"DDDD"))</f>
        <v>SÁBADO</v>
      </c>
      <c r="E9340" s="427"/>
      <c r="F9340" s="31">
        <f>IFERROR(VLOOKUP(E9340,BD!$L$2:$Q$244,2,0),0)</f>
        <v>0</v>
      </c>
      <c r="G9340" s="424"/>
      <c r="H9340" s="31">
        <f>+IFERROR(VLOOKUP(E9340,BD!$L$2:$Q$244,6,0),0)</f>
        <v>0</v>
      </c>
      <c r="I9340" s="626">
        <f>IFERROR(G9340*VLOOKUP($E9340,BD!$L$2:$Q$244,5,0),0)</f>
        <v>0</v>
      </c>
      <c r="J9340" s="3">
        <f t="shared" ref="J9340:J9403" si="585">+YEAR(A9340)</f>
        <v>1900</v>
      </c>
    </row>
    <row r="9341" spans="1:10" s="9" customFormat="1" x14ac:dyDescent="0.25">
      <c r="A9341" s="447"/>
      <c r="B9341" s="55" t="str">
        <f t="shared" si="582"/>
        <v>ENERO</v>
      </c>
      <c r="C9341" s="55">
        <f t="shared" si="583"/>
        <v>1</v>
      </c>
      <c r="D9341" s="3" t="str">
        <f t="shared" si="584"/>
        <v>SÁBADO</v>
      </c>
      <c r="E9341" s="427"/>
      <c r="F9341" s="31">
        <f>IFERROR(VLOOKUP(E9341,BD!$L$2:$Q$244,2,0),0)</f>
        <v>0</v>
      </c>
      <c r="G9341" s="424"/>
      <c r="H9341" s="31">
        <f>+IFERROR(VLOOKUP(E9341,BD!$L$2:$Q$244,6,0),0)</f>
        <v>0</v>
      </c>
      <c r="I9341" s="626">
        <f>IFERROR(G9341*VLOOKUP($E9341,BD!$L$2:$Q$244,5,0),0)</f>
        <v>0</v>
      </c>
      <c r="J9341" s="3">
        <f t="shared" si="585"/>
        <v>1900</v>
      </c>
    </row>
    <row r="9342" spans="1:10" s="9" customFormat="1" x14ac:dyDescent="0.25">
      <c r="A9342" s="447"/>
      <c r="B9342" s="55" t="str">
        <f t="shared" si="582"/>
        <v>ENERO</v>
      </c>
      <c r="C9342" s="55">
        <f t="shared" si="583"/>
        <v>1</v>
      </c>
      <c r="D9342" s="3" t="str">
        <f t="shared" si="584"/>
        <v>SÁBADO</v>
      </c>
      <c r="E9342" s="427"/>
      <c r="F9342" s="31">
        <f>IFERROR(VLOOKUP(E9342,BD!$L$2:$Q$244,2,0),0)</f>
        <v>0</v>
      </c>
      <c r="G9342" s="424"/>
      <c r="H9342" s="31">
        <f>+IFERROR(VLOOKUP(E9342,BD!$L$2:$Q$244,6,0),0)</f>
        <v>0</v>
      </c>
      <c r="I9342" s="626">
        <f>IFERROR(G9342*VLOOKUP($E9342,BD!$L$2:$Q$244,5,0),0)</f>
        <v>0</v>
      </c>
      <c r="J9342" s="3">
        <f t="shared" si="585"/>
        <v>1900</v>
      </c>
    </row>
    <row r="9343" spans="1:10" s="9" customFormat="1" x14ac:dyDescent="0.25">
      <c r="A9343" s="447"/>
      <c r="B9343" s="55" t="str">
        <f t="shared" si="582"/>
        <v>ENERO</v>
      </c>
      <c r="C9343" s="55">
        <f t="shared" si="583"/>
        <v>1</v>
      </c>
      <c r="D9343" s="3" t="str">
        <f t="shared" si="584"/>
        <v>SÁBADO</v>
      </c>
      <c r="E9343" s="427"/>
      <c r="F9343" s="31">
        <f>IFERROR(VLOOKUP(E9343,BD!$L$2:$Q$244,2,0),0)</f>
        <v>0</v>
      </c>
      <c r="G9343" s="424"/>
      <c r="H9343" s="31">
        <f>+IFERROR(VLOOKUP(E9343,BD!$L$2:$Q$244,6,0),0)</f>
        <v>0</v>
      </c>
      <c r="I9343" s="626">
        <f>IFERROR(G9343*VLOOKUP($E9343,BD!$L$2:$Q$244,5,0),0)</f>
        <v>0</v>
      </c>
      <c r="J9343" s="3">
        <f t="shared" si="585"/>
        <v>1900</v>
      </c>
    </row>
    <row r="9344" spans="1:10" s="9" customFormat="1" x14ac:dyDescent="0.25">
      <c r="A9344" s="447"/>
      <c r="B9344" s="55" t="str">
        <f t="shared" si="582"/>
        <v>ENERO</v>
      </c>
      <c r="C9344" s="55">
        <f t="shared" si="583"/>
        <v>1</v>
      </c>
      <c r="D9344" s="3" t="str">
        <f t="shared" si="584"/>
        <v>SÁBADO</v>
      </c>
      <c r="E9344" s="427"/>
      <c r="F9344" s="31">
        <f>IFERROR(VLOOKUP(E9344,BD!$L$2:$Q$244,2,0),0)</f>
        <v>0</v>
      </c>
      <c r="G9344" s="424"/>
      <c r="H9344" s="31">
        <f>+IFERROR(VLOOKUP(E9344,BD!$L$2:$Q$244,6,0),0)</f>
        <v>0</v>
      </c>
      <c r="I9344" s="626">
        <f>IFERROR(G9344*VLOOKUP($E9344,BD!$L$2:$Q$244,5,0),0)</f>
        <v>0</v>
      </c>
      <c r="J9344" s="3">
        <f t="shared" si="585"/>
        <v>1900</v>
      </c>
    </row>
    <row r="9345" spans="1:10" s="9" customFormat="1" x14ac:dyDescent="0.25">
      <c r="A9345" s="447"/>
      <c r="B9345" s="55" t="str">
        <f t="shared" si="582"/>
        <v>ENERO</v>
      </c>
      <c r="C9345" s="55">
        <f t="shared" si="583"/>
        <v>1</v>
      </c>
      <c r="D9345" s="3" t="str">
        <f t="shared" si="584"/>
        <v>SÁBADO</v>
      </c>
      <c r="E9345" s="427"/>
      <c r="F9345" s="31">
        <f>IFERROR(VLOOKUP(E9345,BD!$L$2:$Q$244,2,0),0)</f>
        <v>0</v>
      </c>
      <c r="G9345" s="424"/>
      <c r="H9345" s="31">
        <f>+IFERROR(VLOOKUP(E9345,BD!$L$2:$Q$244,6,0),0)</f>
        <v>0</v>
      </c>
      <c r="I9345" s="626">
        <f>IFERROR(G9345*VLOOKUP($E9345,BD!$L$2:$Q$244,5,0),0)</f>
        <v>0</v>
      </c>
      <c r="J9345" s="3">
        <f t="shared" si="585"/>
        <v>1900</v>
      </c>
    </row>
    <row r="9346" spans="1:10" s="9" customFormat="1" x14ac:dyDescent="0.25">
      <c r="A9346" s="447"/>
      <c r="B9346" s="55" t="str">
        <f t="shared" si="582"/>
        <v>ENERO</v>
      </c>
      <c r="C9346" s="55">
        <f t="shared" si="583"/>
        <v>1</v>
      </c>
      <c r="D9346" s="3" t="str">
        <f t="shared" si="584"/>
        <v>SÁBADO</v>
      </c>
      <c r="E9346" s="427"/>
      <c r="F9346" s="31">
        <f>IFERROR(VLOOKUP(E9346,BD!$L$2:$Q$244,2,0),0)</f>
        <v>0</v>
      </c>
      <c r="G9346" s="424"/>
      <c r="H9346" s="31">
        <f>+IFERROR(VLOOKUP(E9346,BD!$L$2:$Q$244,6,0),0)</f>
        <v>0</v>
      </c>
      <c r="I9346" s="626">
        <f>IFERROR(G9346*VLOOKUP($E9346,BD!$L$2:$Q$244,5,0),0)</f>
        <v>0</v>
      </c>
      <c r="J9346" s="3">
        <f t="shared" si="585"/>
        <v>1900</v>
      </c>
    </row>
    <row r="9347" spans="1:10" s="9" customFormat="1" x14ac:dyDescent="0.25">
      <c r="A9347" s="447"/>
      <c r="B9347" s="55" t="str">
        <f t="shared" si="582"/>
        <v>ENERO</v>
      </c>
      <c r="C9347" s="55">
        <f t="shared" si="583"/>
        <v>1</v>
      </c>
      <c r="D9347" s="3" t="str">
        <f t="shared" si="584"/>
        <v>SÁBADO</v>
      </c>
      <c r="E9347" s="427"/>
      <c r="F9347" s="31">
        <f>IFERROR(VLOOKUP(E9347,BD!$L$2:$Q$244,2,0),0)</f>
        <v>0</v>
      </c>
      <c r="G9347" s="424"/>
      <c r="H9347" s="31">
        <f>+IFERROR(VLOOKUP(E9347,BD!$L$2:$Q$244,6,0),0)</f>
        <v>0</v>
      </c>
      <c r="I9347" s="626">
        <f>IFERROR(G9347*VLOOKUP($E9347,BD!$L$2:$Q$244,5,0),0)</f>
        <v>0</v>
      </c>
      <c r="J9347" s="3">
        <f t="shared" si="585"/>
        <v>1900</v>
      </c>
    </row>
    <row r="9348" spans="1:10" s="9" customFormat="1" x14ac:dyDescent="0.25">
      <c r="A9348" s="447"/>
      <c r="B9348" s="55" t="str">
        <f t="shared" si="582"/>
        <v>ENERO</v>
      </c>
      <c r="C9348" s="55">
        <f t="shared" si="583"/>
        <v>1</v>
      </c>
      <c r="D9348" s="3" t="str">
        <f t="shared" si="584"/>
        <v>SÁBADO</v>
      </c>
      <c r="E9348" s="427"/>
      <c r="F9348" s="31">
        <f>IFERROR(VLOOKUP(E9348,BD!$L$2:$Q$244,2,0),0)</f>
        <v>0</v>
      </c>
      <c r="G9348" s="424"/>
      <c r="H9348" s="31">
        <f>+IFERROR(VLOOKUP(E9348,BD!$L$2:$Q$244,6,0),0)</f>
        <v>0</v>
      </c>
      <c r="I9348" s="626">
        <f>IFERROR(G9348*VLOOKUP($E9348,BD!$L$2:$Q$244,5,0),0)</f>
        <v>0</v>
      </c>
      <c r="J9348" s="3">
        <f t="shared" si="585"/>
        <v>1900</v>
      </c>
    </row>
    <row r="9349" spans="1:10" s="9" customFormat="1" x14ac:dyDescent="0.25">
      <c r="A9349" s="447"/>
      <c r="B9349" s="55" t="str">
        <f t="shared" si="582"/>
        <v>ENERO</v>
      </c>
      <c r="C9349" s="55">
        <f t="shared" si="583"/>
        <v>1</v>
      </c>
      <c r="D9349" s="3" t="str">
        <f t="shared" si="584"/>
        <v>SÁBADO</v>
      </c>
      <c r="E9349" s="427"/>
      <c r="F9349" s="31">
        <f>IFERROR(VLOOKUP(E9349,BD!$L$2:$Q$244,2,0),0)</f>
        <v>0</v>
      </c>
      <c r="G9349" s="424"/>
      <c r="H9349" s="31">
        <f>+IFERROR(VLOOKUP(E9349,BD!$L$2:$Q$244,6,0),0)</f>
        <v>0</v>
      </c>
      <c r="I9349" s="626">
        <f>IFERROR(G9349*VLOOKUP($E9349,BD!$L$2:$Q$244,5,0),0)</f>
        <v>0</v>
      </c>
      <c r="J9349" s="3">
        <f t="shared" si="585"/>
        <v>1900</v>
      </c>
    </row>
    <row r="9350" spans="1:10" s="9" customFormat="1" x14ac:dyDescent="0.25">
      <c r="A9350" s="447"/>
      <c r="B9350" s="55" t="str">
        <f t="shared" si="582"/>
        <v>ENERO</v>
      </c>
      <c r="C9350" s="55">
        <f t="shared" si="583"/>
        <v>1</v>
      </c>
      <c r="D9350" s="3" t="str">
        <f t="shared" si="584"/>
        <v>SÁBADO</v>
      </c>
      <c r="E9350" s="427"/>
      <c r="F9350" s="31">
        <f>IFERROR(VLOOKUP(E9350,BD!$L$2:$Q$244,2,0),0)</f>
        <v>0</v>
      </c>
      <c r="G9350" s="424"/>
      <c r="H9350" s="31">
        <f>+IFERROR(VLOOKUP(E9350,BD!$L$2:$Q$244,6,0),0)</f>
        <v>0</v>
      </c>
      <c r="I9350" s="626">
        <f>IFERROR(G9350*VLOOKUP($E9350,BD!$L$2:$Q$244,5,0),0)</f>
        <v>0</v>
      </c>
      <c r="J9350" s="3">
        <f t="shared" si="585"/>
        <v>1900</v>
      </c>
    </row>
    <row r="9351" spans="1:10" s="9" customFormat="1" x14ac:dyDescent="0.25">
      <c r="A9351" s="447"/>
      <c r="B9351" s="55" t="str">
        <f t="shared" si="582"/>
        <v>ENERO</v>
      </c>
      <c r="C9351" s="55">
        <f t="shared" si="583"/>
        <v>1</v>
      </c>
      <c r="D9351" s="3" t="str">
        <f t="shared" si="584"/>
        <v>SÁBADO</v>
      </c>
      <c r="E9351" s="427"/>
      <c r="F9351" s="31">
        <f>IFERROR(VLOOKUP(E9351,BD!$L$2:$Q$244,2,0),0)</f>
        <v>0</v>
      </c>
      <c r="G9351" s="424"/>
      <c r="H9351" s="31">
        <f>+IFERROR(VLOOKUP(E9351,BD!$L$2:$Q$244,6,0),0)</f>
        <v>0</v>
      </c>
      <c r="I9351" s="626">
        <f>IFERROR(G9351*VLOOKUP($E9351,BD!$L$2:$Q$244,5,0),0)</f>
        <v>0</v>
      </c>
      <c r="J9351" s="3">
        <f t="shared" si="585"/>
        <v>1900</v>
      </c>
    </row>
    <row r="9352" spans="1:10" s="9" customFormat="1" x14ac:dyDescent="0.25">
      <c r="A9352" s="447"/>
      <c r="B9352" s="55" t="str">
        <f t="shared" si="582"/>
        <v>ENERO</v>
      </c>
      <c r="C9352" s="55">
        <f t="shared" si="583"/>
        <v>1</v>
      </c>
      <c r="D9352" s="3" t="str">
        <f t="shared" si="584"/>
        <v>SÁBADO</v>
      </c>
      <c r="E9352" s="427"/>
      <c r="F9352" s="31">
        <f>IFERROR(VLOOKUP(E9352,BD!$L$2:$Q$244,2,0),0)</f>
        <v>0</v>
      </c>
      <c r="G9352" s="424"/>
      <c r="H9352" s="31">
        <f>+IFERROR(VLOOKUP(E9352,BD!$L$2:$Q$244,6,0),0)</f>
        <v>0</v>
      </c>
      <c r="I9352" s="626">
        <f>IFERROR(G9352*VLOOKUP($E9352,BD!$L$2:$Q$244,5,0),0)</f>
        <v>0</v>
      </c>
      <c r="J9352" s="3">
        <f t="shared" si="585"/>
        <v>1900</v>
      </c>
    </row>
    <row r="9353" spans="1:10" s="9" customFormat="1" x14ac:dyDescent="0.25">
      <c r="A9353" s="447"/>
      <c r="B9353" s="55" t="str">
        <f t="shared" si="582"/>
        <v>ENERO</v>
      </c>
      <c r="C9353" s="55">
        <f t="shared" si="583"/>
        <v>1</v>
      </c>
      <c r="D9353" s="3" t="str">
        <f t="shared" si="584"/>
        <v>SÁBADO</v>
      </c>
      <c r="E9353" s="427"/>
      <c r="F9353" s="31">
        <f>IFERROR(VLOOKUP(E9353,BD!$L$2:$Q$244,2,0),0)</f>
        <v>0</v>
      </c>
      <c r="G9353" s="424"/>
      <c r="H9353" s="31">
        <f>+IFERROR(VLOOKUP(E9353,BD!$L$2:$Q$244,6,0),0)</f>
        <v>0</v>
      </c>
      <c r="I9353" s="626">
        <f>IFERROR(G9353*VLOOKUP($E9353,BD!$L$2:$Q$244,5,0),0)</f>
        <v>0</v>
      </c>
      <c r="J9353" s="3">
        <f t="shared" si="585"/>
        <v>1900</v>
      </c>
    </row>
    <row r="9354" spans="1:10" s="9" customFormat="1" x14ac:dyDescent="0.25">
      <c r="A9354" s="447"/>
      <c r="B9354" s="55" t="str">
        <f t="shared" si="582"/>
        <v>ENERO</v>
      </c>
      <c r="C9354" s="55">
        <f t="shared" si="583"/>
        <v>1</v>
      </c>
      <c r="D9354" s="3" t="str">
        <f t="shared" si="584"/>
        <v>SÁBADO</v>
      </c>
      <c r="E9354" s="427"/>
      <c r="F9354" s="31">
        <f>IFERROR(VLOOKUP(E9354,BD!$L$2:$Q$244,2,0),0)</f>
        <v>0</v>
      </c>
      <c r="G9354" s="424"/>
      <c r="H9354" s="31">
        <f>+IFERROR(VLOOKUP(E9354,BD!$L$2:$Q$244,6,0),0)</f>
        <v>0</v>
      </c>
      <c r="I9354" s="626">
        <f>IFERROR(G9354*VLOOKUP($E9354,BD!$L$2:$Q$244,5,0),0)</f>
        <v>0</v>
      </c>
      <c r="J9354" s="3">
        <f t="shared" si="585"/>
        <v>1900</v>
      </c>
    </row>
    <row r="9355" spans="1:10" s="9" customFormat="1" x14ac:dyDescent="0.25">
      <c r="A9355" s="447"/>
      <c r="B9355" s="55" t="str">
        <f t="shared" si="582"/>
        <v>ENERO</v>
      </c>
      <c r="C9355" s="55">
        <f t="shared" si="583"/>
        <v>1</v>
      </c>
      <c r="D9355" s="3" t="str">
        <f t="shared" si="584"/>
        <v>SÁBADO</v>
      </c>
      <c r="E9355" s="427"/>
      <c r="F9355" s="31">
        <f>IFERROR(VLOOKUP(E9355,BD!$L$2:$Q$244,2,0),0)</f>
        <v>0</v>
      </c>
      <c r="G9355" s="424"/>
      <c r="H9355" s="31">
        <f>+IFERROR(VLOOKUP(E9355,BD!$L$2:$Q$244,6,0),0)</f>
        <v>0</v>
      </c>
      <c r="I9355" s="626">
        <f>IFERROR(G9355*VLOOKUP($E9355,BD!$L$2:$Q$244,5,0),0)</f>
        <v>0</v>
      </c>
      <c r="J9355" s="3">
        <f t="shared" si="585"/>
        <v>1900</v>
      </c>
    </row>
    <row r="9356" spans="1:10" s="9" customFormat="1" x14ac:dyDescent="0.25">
      <c r="A9356" s="447"/>
      <c r="B9356" s="55" t="str">
        <f t="shared" si="582"/>
        <v>ENERO</v>
      </c>
      <c r="C9356" s="55">
        <f t="shared" si="583"/>
        <v>1</v>
      </c>
      <c r="D9356" s="3" t="str">
        <f t="shared" si="584"/>
        <v>SÁBADO</v>
      </c>
      <c r="E9356" s="427"/>
      <c r="F9356" s="31">
        <f>IFERROR(VLOOKUP(E9356,BD!$L$2:$Q$244,2,0),0)</f>
        <v>0</v>
      </c>
      <c r="G9356" s="424"/>
      <c r="H9356" s="31">
        <f>+IFERROR(VLOOKUP(E9356,BD!$L$2:$Q$244,6,0),0)</f>
        <v>0</v>
      </c>
      <c r="I9356" s="626">
        <f>IFERROR(G9356*VLOOKUP($E9356,BD!$L$2:$Q$244,5,0),0)</f>
        <v>0</v>
      </c>
      <c r="J9356" s="3">
        <f t="shared" si="585"/>
        <v>1900</v>
      </c>
    </row>
    <row r="9357" spans="1:10" s="9" customFormat="1" x14ac:dyDescent="0.25">
      <c r="A9357" s="447"/>
      <c r="B9357" s="55" t="str">
        <f t="shared" si="582"/>
        <v>ENERO</v>
      </c>
      <c r="C9357" s="55">
        <f t="shared" si="583"/>
        <v>1</v>
      </c>
      <c r="D9357" s="3" t="str">
        <f t="shared" si="584"/>
        <v>SÁBADO</v>
      </c>
      <c r="E9357" s="427"/>
      <c r="F9357" s="31">
        <f>IFERROR(VLOOKUP(E9357,BD!$L$2:$Q$244,2,0),0)</f>
        <v>0</v>
      </c>
      <c r="G9357" s="424"/>
      <c r="H9357" s="31">
        <f>+IFERROR(VLOOKUP(E9357,BD!$L$2:$Q$244,6,0),0)</f>
        <v>0</v>
      </c>
      <c r="I9357" s="626">
        <f>IFERROR(G9357*VLOOKUP($E9357,BD!$L$2:$Q$244,5,0),0)</f>
        <v>0</v>
      </c>
      <c r="J9357" s="3">
        <f t="shared" si="585"/>
        <v>1900</v>
      </c>
    </row>
    <row r="9358" spans="1:10" s="9" customFormat="1" x14ac:dyDescent="0.25">
      <c r="A9358" s="447"/>
      <c r="B9358" s="55" t="str">
        <f t="shared" si="582"/>
        <v>ENERO</v>
      </c>
      <c r="C9358" s="55">
        <f t="shared" si="583"/>
        <v>1</v>
      </c>
      <c r="D9358" s="3" t="str">
        <f t="shared" si="584"/>
        <v>SÁBADO</v>
      </c>
      <c r="E9358" s="427"/>
      <c r="F9358" s="31">
        <f>IFERROR(VLOOKUP(E9358,BD!$L$2:$Q$244,2,0),0)</f>
        <v>0</v>
      </c>
      <c r="G9358" s="424"/>
      <c r="H9358" s="31">
        <f>+IFERROR(VLOOKUP(E9358,BD!$L$2:$Q$244,6,0),0)</f>
        <v>0</v>
      </c>
      <c r="I9358" s="626">
        <f>IFERROR(G9358*VLOOKUP($E9358,BD!$L$2:$Q$244,5,0),0)</f>
        <v>0</v>
      </c>
      <c r="J9358" s="3">
        <f t="shared" si="585"/>
        <v>1900</v>
      </c>
    </row>
    <row r="9359" spans="1:10" s="9" customFormat="1" x14ac:dyDescent="0.25">
      <c r="A9359" s="447"/>
      <c r="B9359" s="55" t="str">
        <f t="shared" si="582"/>
        <v>ENERO</v>
      </c>
      <c r="C9359" s="55">
        <f t="shared" si="583"/>
        <v>1</v>
      </c>
      <c r="D9359" s="3" t="str">
        <f t="shared" si="584"/>
        <v>SÁBADO</v>
      </c>
      <c r="E9359" s="427"/>
      <c r="F9359" s="31">
        <f>IFERROR(VLOOKUP(E9359,BD!$L$2:$Q$244,2,0),0)</f>
        <v>0</v>
      </c>
      <c r="G9359" s="424"/>
      <c r="H9359" s="31">
        <f>+IFERROR(VLOOKUP(E9359,BD!$L$2:$Q$244,6,0),0)</f>
        <v>0</v>
      </c>
      <c r="I9359" s="626">
        <f>IFERROR(G9359*VLOOKUP($E9359,BD!$L$2:$Q$244,5,0),0)</f>
        <v>0</v>
      </c>
      <c r="J9359" s="3">
        <f t="shared" si="585"/>
        <v>1900</v>
      </c>
    </row>
    <row r="9360" spans="1:10" s="9" customFormat="1" x14ac:dyDescent="0.25">
      <c r="A9360" s="447"/>
      <c r="B9360" s="55" t="str">
        <f t="shared" si="582"/>
        <v>ENERO</v>
      </c>
      <c r="C9360" s="55">
        <f t="shared" si="583"/>
        <v>1</v>
      </c>
      <c r="D9360" s="3" t="str">
        <f t="shared" si="584"/>
        <v>SÁBADO</v>
      </c>
      <c r="E9360" s="427"/>
      <c r="F9360" s="31">
        <f>IFERROR(VLOOKUP(E9360,BD!$L$2:$Q$244,2,0),0)</f>
        <v>0</v>
      </c>
      <c r="G9360" s="424"/>
      <c r="H9360" s="31">
        <f>+IFERROR(VLOOKUP(E9360,BD!$L$2:$Q$244,6,0),0)</f>
        <v>0</v>
      </c>
      <c r="I9360" s="626">
        <f>IFERROR(G9360*VLOOKUP($E9360,BD!$L$2:$Q$244,5,0),0)</f>
        <v>0</v>
      </c>
      <c r="J9360" s="3">
        <f t="shared" si="585"/>
        <v>1900</v>
      </c>
    </row>
    <row r="9361" spans="1:10" s="9" customFormat="1" x14ac:dyDescent="0.25">
      <c r="A9361" s="447"/>
      <c r="B9361" s="55" t="str">
        <f t="shared" si="582"/>
        <v>ENERO</v>
      </c>
      <c r="C9361" s="55">
        <f t="shared" si="583"/>
        <v>1</v>
      </c>
      <c r="D9361" s="3" t="str">
        <f t="shared" si="584"/>
        <v>SÁBADO</v>
      </c>
      <c r="E9361" s="427"/>
      <c r="F9361" s="31">
        <f>IFERROR(VLOOKUP(E9361,BD!$L$2:$Q$244,2,0),0)</f>
        <v>0</v>
      </c>
      <c r="G9361" s="424"/>
      <c r="H9361" s="31">
        <f>+IFERROR(VLOOKUP(E9361,BD!$L$2:$Q$244,6,0),0)</f>
        <v>0</v>
      </c>
      <c r="I9361" s="626">
        <f>IFERROR(G9361*VLOOKUP($E9361,BD!$L$2:$Q$244,5,0),0)</f>
        <v>0</v>
      </c>
      <c r="J9361" s="3">
        <f t="shared" si="585"/>
        <v>1900</v>
      </c>
    </row>
    <row r="9362" spans="1:10" s="9" customFormat="1" x14ac:dyDescent="0.25">
      <c r="A9362" s="447"/>
      <c r="B9362" s="55" t="str">
        <f t="shared" si="582"/>
        <v>ENERO</v>
      </c>
      <c r="C9362" s="55">
        <f t="shared" si="583"/>
        <v>1</v>
      </c>
      <c r="D9362" s="3" t="str">
        <f t="shared" si="584"/>
        <v>SÁBADO</v>
      </c>
      <c r="E9362" s="427"/>
      <c r="F9362" s="31">
        <f>IFERROR(VLOOKUP(E9362,BD!$L$2:$Q$244,2,0),0)</f>
        <v>0</v>
      </c>
      <c r="G9362" s="424"/>
      <c r="H9362" s="31">
        <f>+IFERROR(VLOOKUP(E9362,BD!$L$2:$Q$244,6,0),0)</f>
        <v>0</v>
      </c>
      <c r="I9362" s="626">
        <f>IFERROR(G9362*VLOOKUP($E9362,BD!$L$2:$Q$244,5,0),0)</f>
        <v>0</v>
      </c>
      <c r="J9362" s="3">
        <f t="shared" si="585"/>
        <v>1900</v>
      </c>
    </row>
    <row r="9363" spans="1:10" s="9" customFormat="1" x14ac:dyDescent="0.25">
      <c r="A9363" s="447"/>
      <c r="B9363" s="55" t="str">
        <f t="shared" si="582"/>
        <v>ENERO</v>
      </c>
      <c r="C9363" s="55">
        <f t="shared" si="583"/>
        <v>1</v>
      </c>
      <c r="D9363" s="3" t="str">
        <f t="shared" si="584"/>
        <v>SÁBADO</v>
      </c>
      <c r="E9363" s="427"/>
      <c r="F9363" s="31">
        <f>IFERROR(VLOOKUP(E9363,BD!$L$2:$Q$244,2,0),0)</f>
        <v>0</v>
      </c>
      <c r="G9363" s="424"/>
      <c r="H9363" s="31">
        <f>+IFERROR(VLOOKUP(E9363,BD!$L$2:$Q$244,6,0),0)</f>
        <v>0</v>
      </c>
      <c r="I9363" s="626">
        <f>IFERROR(G9363*VLOOKUP($E9363,BD!$L$2:$Q$244,5,0),0)</f>
        <v>0</v>
      </c>
      <c r="J9363" s="3">
        <f t="shared" si="585"/>
        <v>1900</v>
      </c>
    </row>
    <row r="9364" spans="1:10" s="9" customFormat="1" x14ac:dyDescent="0.25">
      <c r="A9364" s="447"/>
      <c r="B9364" s="55" t="str">
        <f t="shared" si="582"/>
        <v>ENERO</v>
      </c>
      <c r="C9364" s="55">
        <f t="shared" si="583"/>
        <v>1</v>
      </c>
      <c r="D9364" s="3" t="str">
        <f t="shared" si="584"/>
        <v>SÁBADO</v>
      </c>
      <c r="E9364" s="427"/>
      <c r="F9364" s="31">
        <f>IFERROR(VLOOKUP(E9364,BD!$L$2:$Q$244,2,0),0)</f>
        <v>0</v>
      </c>
      <c r="G9364" s="424"/>
      <c r="H9364" s="31">
        <f>+IFERROR(VLOOKUP(E9364,BD!$L$2:$Q$244,6,0),0)</f>
        <v>0</v>
      </c>
      <c r="I9364" s="626">
        <f>IFERROR(G9364*VLOOKUP($E9364,BD!$L$2:$Q$244,5,0),0)</f>
        <v>0</v>
      </c>
      <c r="J9364" s="3">
        <f t="shared" si="585"/>
        <v>1900</v>
      </c>
    </row>
    <row r="9365" spans="1:10" s="9" customFormat="1" x14ac:dyDescent="0.25">
      <c r="A9365" s="447"/>
      <c r="B9365" s="55" t="str">
        <f t="shared" si="582"/>
        <v>ENERO</v>
      </c>
      <c r="C9365" s="55">
        <f t="shared" si="583"/>
        <v>1</v>
      </c>
      <c r="D9365" s="3" t="str">
        <f t="shared" si="584"/>
        <v>SÁBADO</v>
      </c>
      <c r="E9365" s="427"/>
      <c r="F9365" s="31">
        <f>IFERROR(VLOOKUP(E9365,BD!$L$2:$Q$244,2,0),0)</f>
        <v>0</v>
      </c>
      <c r="G9365" s="424"/>
      <c r="H9365" s="31">
        <f>+IFERROR(VLOOKUP(E9365,BD!$L$2:$Q$244,6,0),0)</f>
        <v>0</v>
      </c>
      <c r="I9365" s="626">
        <f>IFERROR(G9365*VLOOKUP($E9365,BD!$L$2:$Q$244,5,0),0)</f>
        <v>0</v>
      </c>
      <c r="J9365" s="3">
        <f t="shared" si="585"/>
        <v>1900</v>
      </c>
    </row>
    <row r="9366" spans="1:10" s="9" customFormat="1" x14ac:dyDescent="0.25">
      <c r="A9366" s="447"/>
      <c r="B9366" s="55" t="str">
        <f t="shared" si="582"/>
        <v>ENERO</v>
      </c>
      <c r="C9366" s="55">
        <f t="shared" si="583"/>
        <v>1</v>
      </c>
      <c r="D9366" s="3" t="str">
        <f t="shared" si="584"/>
        <v>SÁBADO</v>
      </c>
      <c r="E9366" s="427"/>
      <c r="F9366" s="31">
        <f>IFERROR(VLOOKUP(E9366,BD!$L$2:$Q$244,2,0),0)</f>
        <v>0</v>
      </c>
      <c r="G9366" s="424"/>
      <c r="H9366" s="31">
        <f>+IFERROR(VLOOKUP(E9366,BD!$L$2:$Q$244,6,0),0)</f>
        <v>0</v>
      </c>
      <c r="I9366" s="626">
        <f>IFERROR(G9366*VLOOKUP($E9366,BD!$L$2:$Q$244,5,0),0)</f>
        <v>0</v>
      </c>
      <c r="J9366" s="3">
        <f t="shared" si="585"/>
        <v>1900</v>
      </c>
    </row>
    <row r="9367" spans="1:10" s="9" customFormat="1" x14ac:dyDescent="0.25">
      <c r="A9367" s="447"/>
      <c r="B9367" s="55" t="str">
        <f t="shared" si="582"/>
        <v>ENERO</v>
      </c>
      <c r="C9367" s="55">
        <f t="shared" si="583"/>
        <v>1</v>
      </c>
      <c r="D9367" s="3" t="str">
        <f t="shared" si="584"/>
        <v>SÁBADO</v>
      </c>
      <c r="E9367" s="427"/>
      <c r="F9367" s="31">
        <f>IFERROR(VLOOKUP(E9367,BD!$L$2:$Q$244,2,0),0)</f>
        <v>0</v>
      </c>
      <c r="G9367" s="424"/>
      <c r="H9367" s="31">
        <f>+IFERROR(VLOOKUP(E9367,BD!$L$2:$Q$244,6,0),0)</f>
        <v>0</v>
      </c>
      <c r="I9367" s="626">
        <f>IFERROR(G9367*VLOOKUP($E9367,BD!$L$2:$Q$244,5,0),0)</f>
        <v>0</v>
      </c>
      <c r="J9367" s="3">
        <f t="shared" si="585"/>
        <v>1900</v>
      </c>
    </row>
    <row r="9368" spans="1:10" s="9" customFormat="1" x14ac:dyDescent="0.25">
      <c r="A9368" s="447"/>
      <c r="B9368" s="55" t="str">
        <f t="shared" si="582"/>
        <v>ENERO</v>
      </c>
      <c r="C9368" s="55">
        <f t="shared" si="583"/>
        <v>1</v>
      </c>
      <c r="D9368" s="3" t="str">
        <f t="shared" si="584"/>
        <v>SÁBADO</v>
      </c>
      <c r="E9368" s="427"/>
      <c r="F9368" s="31">
        <f>IFERROR(VLOOKUP(E9368,BD!$L$2:$Q$244,2,0),0)</f>
        <v>0</v>
      </c>
      <c r="G9368" s="424"/>
      <c r="H9368" s="31">
        <f>+IFERROR(VLOOKUP(E9368,BD!$L$2:$Q$244,6,0),0)</f>
        <v>0</v>
      </c>
      <c r="I9368" s="626">
        <f>IFERROR(G9368*VLOOKUP($E9368,BD!$L$2:$Q$244,5,0),0)</f>
        <v>0</v>
      </c>
      <c r="J9368" s="3">
        <f t="shared" si="585"/>
        <v>1900</v>
      </c>
    </row>
    <row r="9369" spans="1:10" s="9" customFormat="1" x14ac:dyDescent="0.25">
      <c r="A9369" s="447"/>
      <c r="B9369" s="55" t="str">
        <f t="shared" si="582"/>
        <v>ENERO</v>
      </c>
      <c r="C9369" s="55">
        <f t="shared" si="583"/>
        <v>1</v>
      </c>
      <c r="D9369" s="3" t="str">
        <f t="shared" si="584"/>
        <v>SÁBADO</v>
      </c>
      <c r="E9369" s="427"/>
      <c r="F9369" s="31">
        <f>IFERROR(VLOOKUP(E9369,BD!$L$2:$Q$244,2,0),0)</f>
        <v>0</v>
      </c>
      <c r="G9369" s="424"/>
      <c r="H9369" s="31">
        <f>+IFERROR(VLOOKUP(E9369,BD!$L$2:$Q$244,6,0),0)</f>
        <v>0</v>
      </c>
      <c r="I9369" s="626">
        <f>IFERROR(G9369*VLOOKUP($E9369,BD!$L$2:$Q$244,5,0),0)</f>
        <v>0</v>
      </c>
      <c r="J9369" s="3">
        <f t="shared" si="585"/>
        <v>1900</v>
      </c>
    </row>
    <row r="9370" spans="1:10" s="9" customFormat="1" x14ac:dyDescent="0.25">
      <c r="A9370" s="447"/>
      <c r="B9370" s="55" t="str">
        <f t="shared" si="582"/>
        <v>ENERO</v>
      </c>
      <c r="C9370" s="55">
        <f t="shared" si="583"/>
        <v>1</v>
      </c>
      <c r="D9370" s="3" t="str">
        <f t="shared" si="584"/>
        <v>SÁBADO</v>
      </c>
      <c r="E9370" s="427"/>
      <c r="F9370" s="31">
        <f>IFERROR(VLOOKUP(E9370,BD!$L$2:$Q$244,2,0),0)</f>
        <v>0</v>
      </c>
      <c r="G9370" s="424"/>
      <c r="H9370" s="31">
        <f>+IFERROR(VLOOKUP(E9370,BD!$L$2:$Q$244,6,0),0)</f>
        <v>0</v>
      </c>
      <c r="I9370" s="626">
        <f>IFERROR(G9370*VLOOKUP($E9370,BD!$L$2:$Q$244,5,0),0)</f>
        <v>0</v>
      </c>
      <c r="J9370" s="3">
        <f t="shared" si="585"/>
        <v>1900</v>
      </c>
    </row>
    <row r="9371" spans="1:10" s="9" customFormat="1" x14ac:dyDescent="0.25">
      <c r="A9371" s="447"/>
      <c r="B9371" s="55" t="str">
        <f t="shared" si="582"/>
        <v>ENERO</v>
      </c>
      <c r="C9371" s="55">
        <f t="shared" si="583"/>
        <v>1</v>
      </c>
      <c r="D9371" s="3" t="str">
        <f t="shared" si="584"/>
        <v>SÁBADO</v>
      </c>
      <c r="E9371" s="427"/>
      <c r="F9371" s="31">
        <f>IFERROR(VLOOKUP(E9371,BD!$L$2:$Q$244,2,0),0)</f>
        <v>0</v>
      </c>
      <c r="G9371" s="424"/>
      <c r="H9371" s="31">
        <f>+IFERROR(VLOOKUP(E9371,BD!$L$2:$Q$244,6,0),0)</f>
        <v>0</v>
      </c>
      <c r="I9371" s="626">
        <f>IFERROR(G9371*VLOOKUP($E9371,BD!$L$2:$Q$244,5,0),0)</f>
        <v>0</v>
      </c>
      <c r="J9371" s="3">
        <f t="shared" si="585"/>
        <v>1900</v>
      </c>
    </row>
    <row r="9372" spans="1:10" s="9" customFormat="1" x14ac:dyDescent="0.25">
      <c r="A9372" s="447"/>
      <c r="B9372" s="55" t="str">
        <f t="shared" si="582"/>
        <v>ENERO</v>
      </c>
      <c r="C9372" s="55">
        <f t="shared" si="583"/>
        <v>1</v>
      </c>
      <c r="D9372" s="3" t="str">
        <f t="shared" si="584"/>
        <v>SÁBADO</v>
      </c>
      <c r="E9372" s="427"/>
      <c r="F9372" s="31">
        <f>IFERROR(VLOOKUP(E9372,BD!$L$2:$Q$244,2,0),0)</f>
        <v>0</v>
      </c>
      <c r="G9372" s="424"/>
      <c r="H9372" s="31">
        <f>+IFERROR(VLOOKUP(E9372,BD!$L$2:$Q$244,6,0),0)</f>
        <v>0</v>
      </c>
      <c r="I9372" s="626">
        <f>IFERROR(G9372*VLOOKUP($E9372,BD!$L$2:$Q$244,5,0),0)</f>
        <v>0</v>
      </c>
      <c r="J9372" s="3">
        <f t="shared" si="585"/>
        <v>1900</v>
      </c>
    </row>
    <row r="9373" spans="1:10" s="9" customFormat="1" x14ac:dyDescent="0.25">
      <c r="A9373" s="447"/>
      <c r="B9373" s="55" t="str">
        <f t="shared" si="582"/>
        <v>ENERO</v>
      </c>
      <c r="C9373" s="55">
        <f t="shared" si="583"/>
        <v>1</v>
      </c>
      <c r="D9373" s="3" t="str">
        <f t="shared" si="584"/>
        <v>SÁBADO</v>
      </c>
      <c r="E9373" s="427"/>
      <c r="F9373" s="31">
        <f>IFERROR(VLOOKUP(E9373,BD!$L$2:$Q$244,2,0),0)</f>
        <v>0</v>
      </c>
      <c r="G9373" s="424"/>
      <c r="H9373" s="31">
        <f>+IFERROR(VLOOKUP(E9373,BD!$L$2:$Q$244,6,0),0)</f>
        <v>0</v>
      </c>
      <c r="I9373" s="626">
        <f>IFERROR(G9373*VLOOKUP($E9373,BD!$L$2:$Q$244,5,0),0)</f>
        <v>0</v>
      </c>
      <c r="J9373" s="3">
        <f t="shared" si="585"/>
        <v>1900</v>
      </c>
    </row>
    <row r="9374" spans="1:10" s="9" customFormat="1" x14ac:dyDescent="0.25">
      <c r="A9374" s="447"/>
      <c r="B9374" s="55" t="str">
        <f t="shared" si="582"/>
        <v>ENERO</v>
      </c>
      <c r="C9374" s="55">
        <f t="shared" si="583"/>
        <v>1</v>
      </c>
      <c r="D9374" s="3" t="str">
        <f t="shared" si="584"/>
        <v>SÁBADO</v>
      </c>
      <c r="E9374" s="427"/>
      <c r="F9374" s="31">
        <f>IFERROR(VLOOKUP(E9374,BD!$L$2:$Q$244,2,0),0)</f>
        <v>0</v>
      </c>
      <c r="G9374" s="424"/>
      <c r="H9374" s="31">
        <f>+IFERROR(VLOOKUP(E9374,BD!$L$2:$Q$244,6,0),0)</f>
        <v>0</v>
      </c>
      <c r="I9374" s="626">
        <f>IFERROR(G9374*VLOOKUP($E9374,BD!$L$2:$Q$244,5,0),0)</f>
        <v>0</v>
      </c>
      <c r="J9374" s="3">
        <f t="shared" si="585"/>
        <v>1900</v>
      </c>
    </row>
    <row r="9375" spans="1:10" s="9" customFormat="1" x14ac:dyDescent="0.25">
      <c r="A9375" s="447"/>
      <c r="B9375" s="55" t="str">
        <f t="shared" si="582"/>
        <v>ENERO</v>
      </c>
      <c r="C9375" s="55">
        <f t="shared" si="583"/>
        <v>1</v>
      </c>
      <c r="D9375" s="3" t="str">
        <f t="shared" si="584"/>
        <v>SÁBADO</v>
      </c>
      <c r="E9375" s="427"/>
      <c r="F9375" s="31">
        <f>IFERROR(VLOOKUP(E9375,BD!$L$2:$Q$244,2,0),0)</f>
        <v>0</v>
      </c>
      <c r="G9375" s="424"/>
      <c r="H9375" s="31">
        <f>+IFERROR(VLOOKUP(E9375,BD!$L$2:$Q$244,6,0),0)</f>
        <v>0</v>
      </c>
      <c r="I9375" s="626">
        <f>IFERROR(G9375*VLOOKUP($E9375,BD!$L$2:$Q$244,5,0),0)</f>
        <v>0</v>
      </c>
      <c r="J9375" s="3">
        <f t="shared" si="585"/>
        <v>1900</v>
      </c>
    </row>
    <row r="9376" spans="1:10" s="9" customFormat="1" x14ac:dyDescent="0.25">
      <c r="A9376" s="447"/>
      <c r="B9376" s="55" t="str">
        <f t="shared" si="582"/>
        <v>ENERO</v>
      </c>
      <c r="C9376" s="55">
        <f t="shared" si="583"/>
        <v>1</v>
      </c>
      <c r="D9376" s="3" t="str">
        <f t="shared" si="584"/>
        <v>SÁBADO</v>
      </c>
      <c r="E9376" s="427"/>
      <c r="F9376" s="31">
        <f>IFERROR(VLOOKUP(E9376,BD!$L$2:$Q$244,2,0),0)</f>
        <v>0</v>
      </c>
      <c r="G9376" s="424"/>
      <c r="H9376" s="31">
        <f>+IFERROR(VLOOKUP(E9376,BD!$L$2:$Q$244,6,0),0)</f>
        <v>0</v>
      </c>
      <c r="I9376" s="626">
        <f>IFERROR(G9376*VLOOKUP($E9376,BD!$L$2:$Q$244,5,0),0)</f>
        <v>0</v>
      </c>
      <c r="J9376" s="3">
        <f t="shared" si="585"/>
        <v>1900</v>
      </c>
    </row>
    <row r="9377" spans="1:10" s="9" customFormat="1" x14ac:dyDescent="0.25">
      <c r="A9377" s="447"/>
      <c r="B9377" s="55" t="str">
        <f t="shared" si="582"/>
        <v>ENERO</v>
      </c>
      <c r="C9377" s="55">
        <f t="shared" si="583"/>
        <v>1</v>
      </c>
      <c r="D9377" s="3" t="str">
        <f t="shared" si="584"/>
        <v>SÁBADO</v>
      </c>
      <c r="E9377" s="427"/>
      <c r="F9377" s="31">
        <f>IFERROR(VLOOKUP(E9377,BD!$L$2:$Q$244,2,0),0)</f>
        <v>0</v>
      </c>
      <c r="G9377" s="424"/>
      <c r="H9377" s="31">
        <f>+IFERROR(VLOOKUP(E9377,BD!$L$2:$Q$244,6,0),0)</f>
        <v>0</v>
      </c>
      <c r="I9377" s="626">
        <f>IFERROR(G9377*VLOOKUP($E9377,BD!$L$2:$Q$244,5,0),0)</f>
        <v>0</v>
      </c>
      <c r="J9377" s="3">
        <f t="shared" si="585"/>
        <v>1900</v>
      </c>
    </row>
    <row r="9378" spans="1:10" s="9" customFormat="1" x14ac:dyDescent="0.25">
      <c r="A9378" s="447"/>
      <c r="B9378" s="55" t="str">
        <f t="shared" si="582"/>
        <v>ENERO</v>
      </c>
      <c r="C9378" s="55">
        <f t="shared" si="583"/>
        <v>1</v>
      </c>
      <c r="D9378" s="3" t="str">
        <f t="shared" si="584"/>
        <v>SÁBADO</v>
      </c>
      <c r="E9378" s="427"/>
      <c r="F9378" s="31">
        <f>IFERROR(VLOOKUP(E9378,BD!$L$2:$Q$244,2,0),0)</f>
        <v>0</v>
      </c>
      <c r="G9378" s="424"/>
      <c r="H9378" s="31">
        <f>+IFERROR(VLOOKUP(E9378,BD!$L$2:$Q$244,6,0),0)</f>
        <v>0</v>
      </c>
      <c r="I9378" s="626">
        <f>IFERROR(G9378*VLOOKUP($E9378,BD!$L$2:$Q$244,5,0),0)</f>
        <v>0</v>
      </c>
      <c r="J9378" s="3">
        <f t="shared" si="585"/>
        <v>1900</v>
      </c>
    </row>
    <row r="9379" spans="1:10" s="9" customFormat="1" x14ac:dyDescent="0.25">
      <c r="A9379" s="447"/>
      <c r="B9379" s="55" t="str">
        <f t="shared" si="582"/>
        <v>ENERO</v>
      </c>
      <c r="C9379" s="55">
        <f t="shared" si="583"/>
        <v>1</v>
      </c>
      <c r="D9379" s="3" t="str">
        <f t="shared" si="584"/>
        <v>SÁBADO</v>
      </c>
      <c r="E9379" s="427"/>
      <c r="F9379" s="31">
        <f>IFERROR(VLOOKUP(E9379,BD!$L$2:$Q$244,2,0),0)</f>
        <v>0</v>
      </c>
      <c r="G9379" s="424"/>
      <c r="H9379" s="31">
        <f>+IFERROR(VLOOKUP(E9379,BD!$L$2:$Q$244,6,0),0)</f>
        <v>0</v>
      </c>
      <c r="I9379" s="626">
        <f>IFERROR(G9379*VLOOKUP($E9379,BD!$L$2:$Q$244,5,0),0)</f>
        <v>0</v>
      </c>
      <c r="J9379" s="3">
        <f t="shared" si="585"/>
        <v>1900</v>
      </c>
    </row>
    <row r="9380" spans="1:10" s="9" customFormat="1" x14ac:dyDescent="0.25">
      <c r="A9380" s="447"/>
      <c r="B9380" s="55" t="str">
        <f t="shared" si="582"/>
        <v>ENERO</v>
      </c>
      <c r="C9380" s="55">
        <f t="shared" si="583"/>
        <v>1</v>
      </c>
      <c r="D9380" s="3" t="str">
        <f t="shared" si="584"/>
        <v>SÁBADO</v>
      </c>
      <c r="E9380" s="427"/>
      <c r="F9380" s="31">
        <f>IFERROR(VLOOKUP(E9380,BD!$L$2:$Q$244,2,0),0)</f>
        <v>0</v>
      </c>
      <c r="G9380" s="424"/>
      <c r="H9380" s="31">
        <f>+IFERROR(VLOOKUP(E9380,BD!$L$2:$Q$244,6,0),0)</f>
        <v>0</v>
      </c>
      <c r="I9380" s="626">
        <f>IFERROR(G9380*VLOOKUP($E9380,BD!$L$2:$Q$244,5,0),0)</f>
        <v>0</v>
      </c>
      <c r="J9380" s="3">
        <f t="shared" si="585"/>
        <v>1900</v>
      </c>
    </row>
    <row r="9381" spans="1:10" s="9" customFormat="1" x14ac:dyDescent="0.25">
      <c r="A9381" s="447"/>
      <c r="B9381" s="55" t="str">
        <f t="shared" si="582"/>
        <v>ENERO</v>
      </c>
      <c r="C9381" s="55">
        <f t="shared" si="583"/>
        <v>1</v>
      </c>
      <c r="D9381" s="3" t="str">
        <f t="shared" si="584"/>
        <v>SÁBADO</v>
      </c>
      <c r="E9381" s="427"/>
      <c r="F9381" s="31">
        <f>IFERROR(VLOOKUP(E9381,BD!$L$2:$Q$244,2,0),0)</f>
        <v>0</v>
      </c>
      <c r="G9381" s="424"/>
      <c r="H9381" s="31">
        <f>+IFERROR(VLOOKUP(E9381,BD!$L$2:$Q$244,6,0),0)</f>
        <v>0</v>
      </c>
      <c r="I9381" s="626">
        <f>IFERROR(G9381*VLOOKUP($E9381,BD!$L$2:$Q$244,5,0),0)</f>
        <v>0</v>
      </c>
      <c r="J9381" s="3">
        <f t="shared" si="585"/>
        <v>1900</v>
      </c>
    </row>
    <row r="9382" spans="1:10" s="9" customFormat="1" x14ac:dyDescent="0.25">
      <c r="A9382" s="447"/>
      <c r="B9382" s="55" t="str">
        <f t="shared" si="582"/>
        <v>ENERO</v>
      </c>
      <c r="C9382" s="55">
        <f t="shared" si="583"/>
        <v>1</v>
      </c>
      <c r="D9382" s="3" t="str">
        <f t="shared" si="584"/>
        <v>SÁBADO</v>
      </c>
      <c r="E9382" s="427"/>
      <c r="F9382" s="31">
        <f>IFERROR(VLOOKUP(E9382,BD!$L$2:$Q$244,2,0),0)</f>
        <v>0</v>
      </c>
      <c r="G9382" s="424"/>
      <c r="H9382" s="31">
        <f>+IFERROR(VLOOKUP(E9382,BD!$L$2:$Q$244,6,0),0)</f>
        <v>0</v>
      </c>
      <c r="I9382" s="626">
        <f>IFERROR(G9382*VLOOKUP($E9382,BD!$L$2:$Q$244,5,0),0)</f>
        <v>0</v>
      </c>
      <c r="J9382" s="3">
        <f t="shared" si="585"/>
        <v>1900</v>
      </c>
    </row>
    <row r="9383" spans="1:10" s="9" customFormat="1" x14ac:dyDescent="0.25">
      <c r="A9383" s="447"/>
      <c r="B9383" s="55" t="str">
        <f t="shared" si="582"/>
        <v>ENERO</v>
      </c>
      <c r="C9383" s="55">
        <f t="shared" si="583"/>
        <v>1</v>
      </c>
      <c r="D9383" s="3" t="str">
        <f t="shared" si="584"/>
        <v>SÁBADO</v>
      </c>
      <c r="E9383" s="427"/>
      <c r="F9383" s="31">
        <f>IFERROR(VLOOKUP(E9383,BD!$L$2:$Q$244,2,0),0)</f>
        <v>0</v>
      </c>
      <c r="G9383" s="424"/>
      <c r="H9383" s="31">
        <f>+IFERROR(VLOOKUP(E9383,BD!$L$2:$Q$244,6,0),0)</f>
        <v>0</v>
      </c>
      <c r="I9383" s="626">
        <f>IFERROR(G9383*VLOOKUP($E9383,BD!$L$2:$Q$244,5,0),0)</f>
        <v>0</v>
      </c>
      <c r="J9383" s="3">
        <f t="shared" si="585"/>
        <v>1900</v>
      </c>
    </row>
    <row r="9384" spans="1:10" s="9" customFormat="1" x14ac:dyDescent="0.25">
      <c r="A9384" s="447"/>
      <c r="B9384" s="55" t="str">
        <f t="shared" si="582"/>
        <v>ENERO</v>
      </c>
      <c r="C9384" s="55">
        <f t="shared" si="583"/>
        <v>1</v>
      </c>
      <c r="D9384" s="3" t="str">
        <f t="shared" si="584"/>
        <v>SÁBADO</v>
      </c>
      <c r="E9384" s="427"/>
      <c r="F9384" s="31">
        <f>IFERROR(VLOOKUP(E9384,BD!$L$2:$Q$244,2,0),0)</f>
        <v>0</v>
      </c>
      <c r="G9384" s="424"/>
      <c r="H9384" s="31">
        <f>+IFERROR(VLOOKUP(E9384,BD!$L$2:$Q$244,6,0),0)</f>
        <v>0</v>
      </c>
      <c r="I9384" s="626">
        <f>IFERROR(G9384*VLOOKUP($E9384,BD!$L$2:$Q$244,5,0),0)</f>
        <v>0</v>
      </c>
      <c r="J9384" s="3">
        <f t="shared" si="585"/>
        <v>1900</v>
      </c>
    </row>
    <row r="9385" spans="1:10" s="9" customFormat="1" x14ac:dyDescent="0.25">
      <c r="A9385" s="447"/>
      <c r="B9385" s="55" t="str">
        <f t="shared" si="582"/>
        <v>ENERO</v>
      </c>
      <c r="C9385" s="55">
        <f t="shared" si="583"/>
        <v>1</v>
      </c>
      <c r="D9385" s="3" t="str">
        <f t="shared" si="584"/>
        <v>SÁBADO</v>
      </c>
      <c r="E9385" s="427"/>
      <c r="F9385" s="31">
        <f>IFERROR(VLOOKUP(E9385,BD!$L$2:$Q$244,2,0),0)</f>
        <v>0</v>
      </c>
      <c r="G9385" s="424"/>
      <c r="H9385" s="31">
        <f>+IFERROR(VLOOKUP(E9385,BD!$L$2:$Q$244,6,0),0)</f>
        <v>0</v>
      </c>
      <c r="I9385" s="626">
        <f>IFERROR(G9385*VLOOKUP($E9385,BD!$L$2:$Q$244,5,0),0)</f>
        <v>0</v>
      </c>
      <c r="J9385" s="3">
        <f t="shared" si="585"/>
        <v>1900</v>
      </c>
    </row>
    <row r="9386" spans="1:10" s="9" customFormat="1" x14ac:dyDescent="0.25">
      <c r="A9386" s="447"/>
      <c r="B9386" s="55" t="str">
        <f t="shared" si="582"/>
        <v>ENERO</v>
      </c>
      <c r="C9386" s="55">
        <f t="shared" si="583"/>
        <v>1</v>
      </c>
      <c r="D9386" s="3" t="str">
        <f t="shared" si="584"/>
        <v>SÁBADO</v>
      </c>
      <c r="E9386" s="427"/>
      <c r="F9386" s="31">
        <f>IFERROR(VLOOKUP(E9386,BD!$L$2:$Q$244,2,0),0)</f>
        <v>0</v>
      </c>
      <c r="G9386" s="424"/>
      <c r="H9386" s="31">
        <f>+IFERROR(VLOOKUP(E9386,BD!$L$2:$Q$244,6,0),0)</f>
        <v>0</v>
      </c>
      <c r="I9386" s="626">
        <f>IFERROR(G9386*VLOOKUP($E9386,BD!$L$2:$Q$244,5,0),0)</f>
        <v>0</v>
      </c>
      <c r="J9386" s="3">
        <f t="shared" si="585"/>
        <v>1900</v>
      </c>
    </row>
    <row r="9387" spans="1:10" s="9" customFormat="1" x14ac:dyDescent="0.25">
      <c r="A9387" s="447"/>
      <c r="B9387" s="55" t="str">
        <f t="shared" si="582"/>
        <v>ENERO</v>
      </c>
      <c r="C9387" s="55">
        <f t="shared" si="583"/>
        <v>1</v>
      </c>
      <c r="D9387" s="3" t="str">
        <f t="shared" si="584"/>
        <v>SÁBADO</v>
      </c>
      <c r="E9387" s="427"/>
      <c r="F9387" s="31">
        <f>IFERROR(VLOOKUP(E9387,BD!$L$2:$Q$244,2,0),0)</f>
        <v>0</v>
      </c>
      <c r="G9387" s="424"/>
      <c r="H9387" s="31">
        <f>+IFERROR(VLOOKUP(E9387,BD!$L$2:$Q$244,6,0),0)</f>
        <v>0</v>
      </c>
      <c r="I9387" s="626">
        <f>IFERROR(G9387*VLOOKUP($E9387,BD!$L$2:$Q$244,5,0),0)</f>
        <v>0</v>
      </c>
      <c r="J9387" s="3">
        <f t="shared" si="585"/>
        <v>1900</v>
      </c>
    </row>
    <row r="9388" spans="1:10" s="9" customFormat="1" x14ac:dyDescent="0.25">
      <c r="A9388" s="447"/>
      <c r="B9388" s="55" t="str">
        <f t="shared" si="582"/>
        <v>ENERO</v>
      </c>
      <c r="C9388" s="55">
        <f t="shared" si="583"/>
        <v>1</v>
      </c>
      <c r="D9388" s="3" t="str">
        <f t="shared" si="584"/>
        <v>SÁBADO</v>
      </c>
      <c r="E9388" s="427"/>
      <c r="F9388" s="31">
        <f>IFERROR(VLOOKUP(E9388,BD!$L$2:$Q$244,2,0),0)</f>
        <v>0</v>
      </c>
      <c r="G9388" s="424"/>
      <c r="H9388" s="31">
        <f>+IFERROR(VLOOKUP(E9388,BD!$L$2:$Q$244,6,0),0)</f>
        <v>0</v>
      </c>
      <c r="I9388" s="626">
        <f>IFERROR(G9388*VLOOKUP($E9388,BD!$L$2:$Q$244,5,0),0)</f>
        <v>0</v>
      </c>
      <c r="J9388" s="3">
        <f t="shared" si="585"/>
        <v>1900</v>
      </c>
    </row>
    <row r="9389" spans="1:10" s="9" customFormat="1" x14ac:dyDescent="0.25">
      <c r="A9389" s="447"/>
      <c r="B9389" s="55" t="str">
        <f t="shared" si="582"/>
        <v>ENERO</v>
      </c>
      <c r="C9389" s="55">
        <f t="shared" si="583"/>
        <v>1</v>
      </c>
      <c r="D9389" s="3" t="str">
        <f t="shared" si="584"/>
        <v>SÁBADO</v>
      </c>
      <c r="E9389" s="427"/>
      <c r="F9389" s="31">
        <f>IFERROR(VLOOKUP(E9389,BD!$L$2:$Q$244,2,0),0)</f>
        <v>0</v>
      </c>
      <c r="G9389" s="424"/>
      <c r="H9389" s="31">
        <f>+IFERROR(VLOOKUP(E9389,BD!$L$2:$Q$244,6,0),0)</f>
        <v>0</v>
      </c>
      <c r="I9389" s="626">
        <f>IFERROR(G9389*VLOOKUP($E9389,BD!$L$2:$Q$244,5,0),0)</f>
        <v>0</v>
      </c>
      <c r="J9389" s="3">
        <f t="shared" si="585"/>
        <v>1900</v>
      </c>
    </row>
    <row r="9390" spans="1:10" s="9" customFormat="1" x14ac:dyDescent="0.25">
      <c r="A9390" s="447"/>
      <c r="B9390" s="55" t="str">
        <f t="shared" si="582"/>
        <v>ENERO</v>
      </c>
      <c r="C9390" s="55">
        <f t="shared" si="583"/>
        <v>1</v>
      </c>
      <c r="D9390" s="3" t="str">
        <f t="shared" si="584"/>
        <v>SÁBADO</v>
      </c>
      <c r="E9390" s="427"/>
      <c r="F9390" s="31">
        <f>IFERROR(VLOOKUP(E9390,BD!$L$2:$Q$244,2,0),0)</f>
        <v>0</v>
      </c>
      <c r="G9390" s="424"/>
      <c r="H9390" s="31">
        <f>+IFERROR(VLOOKUP(E9390,BD!$L$2:$Q$244,6,0),0)</f>
        <v>0</v>
      </c>
      <c r="I9390" s="626">
        <f>IFERROR(G9390*VLOOKUP($E9390,BD!$L$2:$Q$244,5,0),0)</f>
        <v>0</v>
      </c>
      <c r="J9390" s="3">
        <f t="shared" si="585"/>
        <v>1900</v>
      </c>
    </row>
    <row r="9391" spans="1:10" s="9" customFormat="1" x14ac:dyDescent="0.25">
      <c r="A9391" s="447"/>
      <c r="B9391" s="55" t="str">
        <f t="shared" si="582"/>
        <v>ENERO</v>
      </c>
      <c r="C9391" s="55">
        <f t="shared" si="583"/>
        <v>1</v>
      </c>
      <c r="D9391" s="3" t="str">
        <f t="shared" si="584"/>
        <v>SÁBADO</v>
      </c>
      <c r="E9391" s="427"/>
      <c r="F9391" s="31">
        <f>IFERROR(VLOOKUP(E9391,BD!$L$2:$Q$244,2,0),0)</f>
        <v>0</v>
      </c>
      <c r="G9391" s="424"/>
      <c r="H9391" s="31">
        <f>+IFERROR(VLOOKUP(E9391,BD!$L$2:$Q$244,6,0),0)</f>
        <v>0</v>
      </c>
      <c r="I9391" s="626">
        <f>IFERROR(G9391*VLOOKUP($E9391,BD!$L$2:$Q$244,5,0),0)</f>
        <v>0</v>
      </c>
      <c r="J9391" s="3">
        <f t="shared" si="585"/>
        <v>1900</v>
      </c>
    </row>
    <row r="9392" spans="1:10" s="9" customFormat="1" x14ac:dyDescent="0.25">
      <c r="A9392" s="447"/>
      <c r="B9392" s="55" t="str">
        <f t="shared" si="582"/>
        <v>ENERO</v>
      </c>
      <c r="C9392" s="55">
        <f t="shared" si="583"/>
        <v>1</v>
      </c>
      <c r="D9392" s="3" t="str">
        <f t="shared" si="584"/>
        <v>SÁBADO</v>
      </c>
      <c r="E9392" s="427"/>
      <c r="F9392" s="31">
        <f>IFERROR(VLOOKUP(E9392,BD!$L$2:$Q$244,2,0),0)</f>
        <v>0</v>
      </c>
      <c r="G9392" s="424"/>
      <c r="H9392" s="31">
        <f>+IFERROR(VLOOKUP(E9392,BD!$L$2:$Q$244,6,0),0)</f>
        <v>0</v>
      </c>
      <c r="I9392" s="626">
        <f>IFERROR(G9392*VLOOKUP($E9392,BD!$L$2:$Q$244,5,0),0)</f>
        <v>0</v>
      </c>
      <c r="J9392" s="3">
        <f t="shared" si="585"/>
        <v>1900</v>
      </c>
    </row>
    <row r="9393" spans="1:10" s="9" customFormat="1" x14ac:dyDescent="0.25">
      <c r="A9393" s="447"/>
      <c r="B9393" s="55" t="str">
        <f t="shared" si="582"/>
        <v>ENERO</v>
      </c>
      <c r="C9393" s="55">
        <f t="shared" si="583"/>
        <v>1</v>
      </c>
      <c r="D9393" s="3" t="str">
        <f t="shared" si="584"/>
        <v>SÁBADO</v>
      </c>
      <c r="E9393" s="427"/>
      <c r="F9393" s="31">
        <f>IFERROR(VLOOKUP(E9393,BD!$L$2:$Q$244,2,0),0)</f>
        <v>0</v>
      </c>
      <c r="G9393" s="424"/>
      <c r="H9393" s="31">
        <f>+IFERROR(VLOOKUP(E9393,BD!$L$2:$Q$244,6,0),0)</f>
        <v>0</v>
      </c>
      <c r="I9393" s="626">
        <f>IFERROR(G9393*VLOOKUP($E9393,BD!$L$2:$Q$244,5,0),0)</f>
        <v>0</v>
      </c>
      <c r="J9393" s="3">
        <f t="shared" si="585"/>
        <v>1900</v>
      </c>
    </row>
    <row r="9394" spans="1:10" s="9" customFormat="1" x14ac:dyDescent="0.25">
      <c r="A9394" s="447"/>
      <c r="B9394" s="55" t="str">
        <f t="shared" si="582"/>
        <v>ENERO</v>
      </c>
      <c r="C9394" s="55">
        <f t="shared" si="583"/>
        <v>1</v>
      </c>
      <c r="D9394" s="3" t="str">
        <f t="shared" si="584"/>
        <v>SÁBADO</v>
      </c>
      <c r="E9394" s="427"/>
      <c r="F9394" s="31">
        <f>IFERROR(VLOOKUP(E9394,BD!$L$2:$Q$244,2,0),0)</f>
        <v>0</v>
      </c>
      <c r="G9394" s="424"/>
      <c r="H9394" s="31">
        <f>+IFERROR(VLOOKUP(E9394,BD!$L$2:$Q$244,6,0),0)</f>
        <v>0</v>
      </c>
      <c r="I9394" s="626">
        <f>IFERROR(G9394*VLOOKUP($E9394,BD!$L$2:$Q$244,5,0),0)</f>
        <v>0</v>
      </c>
      <c r="J9394" s="3">
        <f t="shared" si="585"/>
        <v>1900</v>
      </c>
    </row>
    <row r="9395" spans="1:10" s="9" customFormat="1" x14ac:dyDescent="0.25">
      <c r="A9395" s="447"/>
      <c r="B9395" s="55" t="str">
        <f t="shared" si="582"/>
        <v>ENERO</v>
      </c>
      <c r="C9395" s="55">
        <f t="shared" si="583"/>
        <v>1</v>
      </c>
      <c r="D9395" s="3" t="str">
        <f t="shared" si="584"/>
        <v>SÁBADO</v>
      </c>
      <c r="E9395" s="427"/>
      <c r="F9395" s="31">
        <f>IFERROR(VLOOKUP(E9395,BD!$L$2:$Q$244,2,0),0)</f>
        <v>0</v>
      </c>
      <c r="G9395" s="424"/>
      <c r="H9395" s="31">
        <f>+IFERROR(VLOOKUP(E9395,BD!$L$2:$Q$244,6,0),0)</f>
        <v>0</v>
      </c>
      <c r="I9395" s="626">
        <f>IFERROR(G9395*VLOOKUP($E9395,BD!$L$2:$Q$244,5,0),0)</f>
        <v>0</v>
      </c>
      <c r="J9395" s="3">
        <f t="shared" si="585"/>
        <v>1900</v>
      </c>
    </row>
    <row r="9396" spans="1:10" s="9" customFormat="1" x14ac:dyDescent="0.25">
      <c r="A9396" s="447"/>
      <c r="B9396" s="55" t="str">
        <f t="shared" si="582"/>
        <v>ENERO</v>
      </c>
      <c r="C9396" s="55">
        <f t="shared" si="583"/>
        <v>1</v>
      </c>
      <c r="D9396" s="3" t="str">
        <f t="shared" si="584"/>
        <v>SÁBADO</v>
      </c>
      <c r="E9396" s="427"/>
      <c r="F9396" s="31">
        <f>IFERROR(VLOOKUP(E9396,BD!$L$2:$Q$244,2,0),0)</f>
        <v>0</v>
      </c>
      <c r="G9396" s="424"/>
      <c r="H9396" s="31">
        <f>+IFERROR(VLOOKUP(E9396,BD!$L$2:$Q$244,6,0),0)</f>
        <v>0</v>
      </c>
      <c r="I9396" s="626">
        <f>IFERROR(G9396*VLOOKUP($E9396,BD!$L$2:$Q$244,5,0),0)</f>
        <v>0</v>
      </c>
      <c r="J9396" s="3">
        <f t="shared" si="585"/>
        <v>1900</v>
      </c>
    </row>
    <row r="9397" spans="1:10" s="9" customFormat="1" x14ac:dyDescent="0.25">
      <c r="A9397" s="447"/>
      <c r="B9397" s="55" t="str">
        <f t="shared" si="582"/>
        <v>ENERO</v>
      </c>
      <c r="C9397" s="55">
        <f t="shared" si="583"/>
        <v>1</v>
      </c>
      <c r="D9397" s="3" t="str">
        <f t="shared" si="584"/>
        <v>SÁBADO</v>
      </c>
      <c r="E9397" s="427"/>
      <c r="F9397" s="31">
        <f>IFERROR(VLOOKUP(E9397,BD!$L$2:$Q$244,2,0),0)</f>
        <v>0</v>
      </c>
      <c r="G9397" s="424"/>
      <c r="H9397" s="31">
        <f>+IFERROR(VLOOKUP(E9397,BD!$L$2:$Q$244,6,0),0)</f>
        <v>0</v>
      </c>
      <c r="I9397" s="626">
        <f>IFERROR(G9397*VLOOKUP($E9397,BD!$L$2:$Q$244,5,0),0)</f>
        <v>0</v>
      </c>
      <c r="J9397" s="3">
        <f t="shared" si="585"/>
        <v>1900</v>
      </c>
    </row>
    <row r="9398" spans="1:10" s="9" customFormat="1" x14ac:dyDescent="0.25">
      <c r="A9398" s="447"/>
      <c r="B9398" s="55" t="str">
        <f t="shared" si="582"/>
        <v>ENERO</v>
      </c>
      <c r="C9398" s="55">
        <f t="shared" si="583"/>
        <v>1</v>
      </c>
      <c r="D9398" s="3" t="str">
        <f t="shared" si="584"/>
        <v>SÁBADO</v>
      </c>
      <c r="E9398" s="427"/>
      <c r="F9398" s="31">
        <f>IFERROR(VLOOKUP(E9398,BD!$L$2:$Q$244,2,0),0)</f>
        <v>0</v>
      </c>
      <c r="G9398" s="424"/>
      <c r="H9398" s="31">
        <f>+IFERROR(VLOOKUP(E9398,BD!$L$2:$Q$244,6,0),0)</f>
        <v>0</v>
      </c>
      <c r="I9398" s="626">
        <f>IFERROR(G9398*VLOOKUP($E9398,BD!$L$2:$Q$244,5,0),0)</f>
        <v>0</v>
      </c>
      <c r="J9398" s="3">
        <f t="shared" si="585"/>
        <v>1900</v>
      </c>
    </row>
    <row r="9399" spans="1:10" s="9" customFormat="1" x14ac:dyDescent="0.25">
      <c r="A9399" s="447"/>
      <c r="B9399" s="55" t="str">
        <f t="shared" si="582"/>
        <v>ENERO</v>
      </c>
      <c r="C9399" s="55">
        <f t="shared" si="583"/>
        <v>1</v>
      </c>
      <c r="D9399" s="3" t="str">
        <f t="shared" si="584"/>
        <v>SÁBADO</v>
      </c>
      <c r="E9399" s="427"/>
      <c r="F9399" s="31">
        <f>IFERROR(VLOOKUP(E9399,BD!$L$2:$Q$244,2,0),0)</f>
        <v>0</v>
      </c>
      <c r="G9399" s="424"/>
      <c r="H9399" s="31">
        <f>+IFERROR(VLOOKUP(E9399,BD!$L$2:$Q$244,6,0),0)</f>
        <v>0</v>
      </c>
      <c r="I9399" s="626">
        <f>IFERROR(G9399*VLOOKUP($E9399,BD!$L$2:$Q$244,5,0),0)</f>
        <v>0</v>
      </c>
      <c r="J9399" s="3">
        <f t="shared" si="585"/>
        <v>1900</v>
      </c>
    </row>
    <row r="9400" spans="1:10" s="9" customFormat="1" x14ac:dyDescent="0.25">
      <c r="A9400" s="447"/>
      <c r="B9400" s="55" t="str">
        <f t="shared" si="582"/>
        <v>ENERO</v>
      </c>
      <c r="C9400" s="55">
        <f t="shared" si="583"/>
        <v>1</v>
      </c>
      <c r="D9400" s="3" t="str">
        <f t="shared" si="584"/>
        <v>SÁBADO</v>
      </c>
      <c r="E9400" s="427"/>
      <c r="F9400" s="31">
        <f>IFERROR(VLOOKUP(E9400,BD!$L$2:$Q$244,2,0),0)</f>
        <v>0</v>
      </c>
      <c r="G9400" s="424"/>
      <c r="H9400" s="31">
        <f>+IFERROR(VLOOKUP(E9400,BD!$L$2:$Q$244,6,0),0)</f>
        <v>0</v>
      </c>
      <c r="I9400" s="626">
        <f>IFERROR(G9400*VLOOKUP($E9400,BD!$L$2:$Q$244,5,0),0)</f>
        <v>0</v>
      </c>
      <c r="J9400" s="3">
        <f t="shared" si="585"/>
        <v>1900</v>
      </c>
    </row>
    <row r="9401" spans="1:10" s="9" customFormat="1" x14ac:dyDescent="0.25">
      <c r="A9401" s="447"/>
      <c r="B9401" s="55" t="str">
        <f t="shared" si="582"/>
        <v>ENERO</v>
      </c>
      <c r="C9401" s="55">
        <f t="shared" si="583"/>
        <v>1</v>
      </c>
      <c r="D9401" s="3" t="str">
        <f t="shared" si="584"/>
        <v>SÁBADO</v>
      </c>
      <c r="E9401" s="427"/>
      <c r="F9401" s="31">
        <f>IFERROR(VLOOKUP(E9401,BD!$L$2:$Q$244,2,0),0)</f>
        <v>0</v>
      </c>
      <c r="G9401" s="424"/>
      <c r="H9401" s="31">
        <f>+IFERROR(VLOOKUP(E9401,BD!$L$2:$Q$244,6,0),0)</f>
        <v>0</v>
      </c>
      <c r="I9401" s="626">
        <f>IFERROR(G9401*VLOOKUP($E9401,BD!$L$2:$Q$244,5,0),0)</f>
        <v>0</v>
      </c>
      <c r="J9401" s="3">
        <f t="shared" si="585"/>
        <v>1900</v>
      </c>
    </row>
    <row r="9402" spans="1:10" s="9" customFormat="1" x14ac:dyDescent="0.25">
      <c r="A9402" s="447"/>
      <c r="B9402" s="55" t="str">
        <f t="shared" si="582"/>
        <v>ENERO</v>
      </c>
      <c r="C9402" s="55">
        <f t="shared" si="583"/>
        <v>1</v>
      </c>
      <c r="D9402" s="3" t="str">
        <f t="shared" si="584"/>
        <v>SÁBADO</v>
      </c>
      <c r="E9402" s="427"/>
      <c r="F9402" s="31">
        <f>IFERROR(VLOOKUP(E9402,BD!$L$2:$Q$244,2,0),0)</f>
        <v>0</v>
      </c>
      <c r="G9402" s="424"/>
      <c r="H9402" s="31">
        <f>+IFERROR(VLOOKUP(E9402,BD!$L$2:$Q$244,6,0),0)</f>
        <v>0</v>
      </c>
      <c r="I9402" s="626">
        <f>IFERROR(G9402*VLOOKUP($E9402,BD!$L$2:$Q$244,5,0),0)</f>
        <v>0</v>
      </c>
      <c r="J9402" s="3">
        <f t="shared" si="585"/>
        <v>1900</v>
      </c>
    </row>
    <row r="9403" spans="1:10" s="9" customFormat="1" x14ac:dyDescent="0.25">
      <c r="A9403" s="447"/>
      <c r="B9403" s="55" t="str">
        <f t="shared" si="582"/>
        <v>ENERO</v>
      </c>
      <c r="C9403" s="55">
        <f t="shared" si="583"/>
        <v>1</v>
      </c>
      <c r="D9403" s="3" t="str">
        <f t="shared" si="584"/>
        <v>SÁBADO</v>
      </c>
      <c r="E9403" s="427"/>
      <c r="F9403" s="31">
        <f>IFERROR(VLOOKUP(E9403,BD!$L$2:$Q$244,2,0),0)</f>
        <v>0</v>
      </c>
      <c r="G9403" s="424"/>
      <c r="H9403" s="31">
        <f>+IFERROR(VLOOKUP(E9403,BD!$L$2:$Q$244,6,0),0)</f>
        <v>0</v>
      </c>
      <c r="I9403" s="626">
        <f>IFERROR(G9403*VLOOKUP($E9403,BD!$L$2:$Q$244,5,0),0)</f>
        <v>0</v>
      </c>
      <c r="J9403" s="3">
        <f t="shared" si="585"/>
        <v>1900</v>
      </c>
    </row>
    <row r="9404" spans="1:10" s="9" customFormat="1" x14ac:dyDescent="0.25">
      <c r="A9404" s="447"/>
      <c r="B9404" s="55" t="str">
        <f t="shared" ref="B9404:B9467" si="586">UPPER(TEXT(A9404,"MMMM"))</f>
        <v>ENERO</v>
      </c>
      <c r="C9404" s="55">
        <f t="shared" ref="C9404:C9467" si="587">WEEKNUM(A9404,16)</f>
        <v>1</v>
      </c>
      <c r="D9404" s="3" t="str">
        <f t="shared" ref="D9404:D9467" si="588">UPPER(TEXT(A9404,"DDDD"))</f>
        <v>SÁBADO</v>
      </c>
      <c r="E9404" s="427"/>
      <c r="F9404" s="31">
        <f>IFERROR(VLOOKUP(E9404,BD!$L$2:$Q$244,2,0),0)</f>
        <v>0</v>
      </c>
      <c r="G9404" s="424"/>
      <c r="H9404" s="31">
        <f>+IFERROR(VLOOKUP(E9404,BD!$L$2:$Q$244,6,0),0)</f>
        <v>0</v>
      </c>
      <c r="I9404" s="626">
        <f>IFERROR(G9404*VLOOKUP($E9404,BD!$L$2:$Q$244,5,0),0)</f>
        <v>0</v>
      </c>
      <c r="J9404" s="3">
        <f t="shared" ref="J9404:J9467" si="589">+YEAR(A9404)</f>
        <v>1900</v>
      </c>
    </row>
    <row r="9405" spans="1:10" s="9" customFormat="1" x14ac:dyDescent="0.25">
      <c r="A9405" s="447"/>
      <c r="B9405" s="55" t="str">
        <f t="shared" si="586"/>
        <v>ENERO</v>
      </c>
      <c r="C9405" s="55">
        <f t="shared" si="587"/>
        <v>1</v>
      </c>
      <c r="D9405" s="3" t="str">
        <f t="shared" si="588"/>
        <v>SÁBADO</v>
      </c>
      <c r="E9405" s="427"/>
      <c r="F9405" s="31">
        <f>IFERROR(VLOOKUP(E9405,BD!$L$2:$Q$244,2,0),0)</f>
        <v>0</v>
      </c>
      <c r="G9405" s="424"/>
      <c r="H9405" s="31">
        <f>+IFERROR(VLOOKUP(E9405,BD!$L$2:$Q$244,6,0),0)</f>
        <v>0</v>
      </c>
      <c r="I9405" s="626">
        <f>IFERROR(G9405*VLOOKUP($E9405,BD!$L$2:$Q$244,5,0),0)</f>
        <v>0</v>
      </c>
      <c r="J9405" s="3">
        <f t="shared" si="589"/>
        <v>1900</v>
      </c>
    </row>
    <row r="9406" spans="1:10" s="9" customFormat="1" x14ac:dyDescent="0.25">
      <c r="A9406" s="447"/>
      <c r="B9406" s="55" t="str">
        <f t="shared" si="586"/>
        <v>ENERO</v>
      </c>
      <c r="C9406" s="55">
        <f t="shared" si="587"/>
        <v>1</v>
      </c>
      <c r="D9406" s="3" t="str">
        <f t="shared" si="588"/>
        <v>SÁBADO</v>
      </c>
      <c r="E9406" s="427"/>
      <c r="F9406" s="31">
        <f>IFERROR(VLOOKUP(E9406,BD!$L$2:$Q$244,2,0),0)</f>
        <v>0</v>
      </c>
      <c r="G9406" s="424"/>
      <c r="H9406" s="31">
        <f>+IFERROR(VLOOKUP(E9406,BD!$L$2:$Q$244,6,0),0)</f>
        <v>0</v>
      </c>
      <c r="I9406" s="626">
        <f>IFERROR(G9406*VLOOKUP($E9406,BD!$L$2:$Q$244,5,0),0)</f>
        <v>0</v>
      </c>
      <c r="J9406" s="3">
        <f t="shared" si="589"/>
        <v>1900</v>
      </c>
    </row>
    <row r="9407" spans="1:10" s="9" customFormat="1" x14ac:dyDescent="0.25">
      <c r="A9407" s="447"/>
      <c r="B9407" s="55" t="str">
        <f t="shared" si="586"/>
        <v>ENERO</v>
      </c>
      <c r="C9407" s="55">
        <f t="shared" si="587"/>
        <v>1</v>
      </c>
      <c r="D9407" s="3" t="str">
        <f t="shared" si="588"/>
        <v>SÁBADO</v>
      </c>
      <c r="E9407" s="427"/>
      <c r="F9407" s="31">
        <f>IFERROR(VLOOKUP(E9407,BD!$L$2:$Q$244,2,0),0)</f>
        <v>0</v>
      </c>
      <c r="G9407" s="424"/>
      <c r="H9407" s="31">
        <f>+IFERROR(VLOOKUP(E9407,BD!$L$2:$Q$244,6,0),0)</f>
        <v>0</v>
      </c>
      <c r="I9407" s="626">
        <f>IFERROR(G9407*VLOOKUP($E9407,BD!$L$2:$Q$244,5,0),0)</f>
        <v>0</v>
      </c>
      <c r="J9407" s="3">
        <f t="shared" si="589"/>
        <v>1900</v>
      </c>
    </row>
    <row r="9408" spans="1:10" s="9" customFormat="1" x14ac:dyDescent="0.25">
      <c r="A9408" s="447"/>
      <c r="B9408" s="55" t="str">
        <f t="shared" si="586"/>
        <v>ENERO</v>
      </c>
      <c r="C9408" s="55">
        <f t="shared" si="587"/>
        <v>1</v>
      </c>
      <c r="D9408" s="3" t="str">
        <f t="shared" si="588"/>
        <v>SÁBADO</v>
      </c>
      <c r="E9408" s="427"/>
      <c r="F9408" s="31">
        <f>IFERROR(VLOOKUP(E9408,BD!$L$2:$Q$244,2,0),0)</f>
        <v>0</v>
      </c>
      <c r="G9408" s="424"/>
      <c r="H9408" s="31">
        <f>+IFERROR(VLOOKUP(E9408,BD!$L$2:$Q$244,6,0),0)</f>
        <v>0</v>
      </c>
      <c r="I9408" s="626">
        <f>IFERROR(G9408*VLOOKUP($E9408,BD!$L$2:$Q$244,5,0),0)</f>
        <v>0</v>
      </c>
      <c r="J9408" s="3">
        <f t="shared" si="589"/>
        <v>1900</v>
      </c>
    </row>
    <row r="9409" spans="1:10" s="9" customFormat="1" x14ac:dyDescent="0.25">
      <c r="A9409" s="447"/>
      <c r="B9409" s="55" t="str">
        <f t="shared" si="586"/>
        <v>ENERO</v>
      </c>
      <c r="C9409" s="55">
        <f t="shared" si="587"/>
        <v>1</v>
      </c>
      <c r="D9409" s="3" t="str">
        <f t="shared" si="588"/>
        <v>SÁBADO</v>
      </c>
      <c r="E9409" s="427"/>
      <c r="F9409" s="31">
        <f>IFERROR(VLOOKUP(E9409,BD!$L$2:$Q$244,2,0),0)</f>
        <v>0</v>
      </c>
      <c r="G9409" s="424"/>
      <c r="H9409" s="31">
        <f>+IFERROR(VLOOKUP(E9409,BD!$L$2:$Q$244,6,0),0)</f>
        <v>0</v>
      </c>
      <c r="I9409" s="626">
        <f>IFERROR(G9409*VLOOKUP($E9409,BD!$L$2:$Q$244,5,0),0)</f>
        <v>0</v>
      </c>
      <c r="J9409" s="3">
        <f t="shared" si="589"/>
        <v>1900</v>
      </c>
    </row>
    <row r="9410" spans="1:10" s="9" customFormat="1" x14ac:dyDescent="0.25">
      <c r="A9410" s="447"/>
      <c r="B9410" s="55" t="str">
        <f t="shared" si="586"/>
        <v>ENERO</v>
      </c>
      <c r="C9410" s="55">
        <f t="shared" si="587"/>
        <v>1</v>
      </c>
      <c r="D9410" s="3" t="str">
        <f t="shared" si="588"/>
        <v>SÁBADO</v>
      </c>
      <c r="E9410" s="427"/>
      <c r="F9410" s="31">
        <f>IFERROR(VLOOKUP(E9410,BD!$L$2:$Q$244,2,0),0)</f>
        <v>0</v>
      </c>
      <c r="G9410" s="424"/>
      <c r="H9410" s="31">
        <f>+IFERROR(VLOOKUP(E9410,BD!$L$2:$Q$244,6,0),0)</f>
        <v>0</v>
      </c>
      <c r="I9410" s="626">
        <f>IFERROR(G9410*VLOOKUP($E9410,BD!$L$2:$Q$244,5,0),0)</f>
        <v>0</v>
      </c>
      <c r="J9410" s="3">
        <f t="shared" si="589"/>
        <v>1900</v>
      </c>
    </row>
    <row r="9411" spans="1:10" s="9" customFormat="1" x14ac:dyDescent="0.25">
      <c r="A9411" s="447"/>
      <c r="B9411" s="55" t="str">
        <f t="shared" si="586"/>
        <v>ENERO</v>
      </c>
      <c r="C9411" s="55">
        <f t="shared" si="587"/>
        <v>1</v>
      </c>
      <c r="D9411" s="3" t="str">
        <f t="shared" si="588"/>
        <v>SÁBADO</v>
      </c>
      <c r="E9411" s="427"/>
      <c r="F9411" s="31">
        <f>IFERROR(VLOOKUP(E9411,BD!$L$2:$Q$244,2,0),0)</f>
        <v>0</v>
      </c>
      <c r="G9411" s="424"/>
      <c r="H9411" s="31">
        <f>+IFERROR(VLOOKUP(E9411,BD!$L$2:$Q$244,6,0),0)</f>
        <v>0</v>
      </c>
      <c r="I9411" s="626">
        <f>IFERROR(G9411*VLOOKUP($E9411,BD!$L$2:$Q$244,5,0),0)</f>
        <v>0</v>
      </c>
      <c r="J9411" s="3">
        <f t="shared" si="589"/>
        <v>1900</v>
      </c>
    </row>
    <row r="9412" spans="1:10" s="9" customFormat="1" x14ac:dyDescent="0.25">
      <c r="A9412" s="447"/>
      <c r="B9412" s="55" t="str">
        <f t="shared" si="586"/>
        <v>ENERO</v>
      </c>
      <c r="C9412" s="55">
        <f t="shared" si="587"/>
        <v>1</v>
      </c>
      <c r="D9412" s="3" t="str">
        <f t="shared" si="588"/>
        <v>SÁBADO</v>
      </c>
      <c r="E9412" s="427"/>
      <c r="F9412" s="31">
        <f>IFERROR(VLOOKUP(E9412,BD!$L$2:$Q$244,2,0),0)</f>
        <v>0</v>
      </c>
      <c r="G9412" s="424"/>
      <c r="H9412" s="31">
        <f>+IFERROR(VLOOKUP(E9412,BD!$L$2:$Q$244,6,0),0)</f>
        <v>0</v>
      </c>
      <c r="I9412" s="626">
        <f>IFERROR(G9412*VLOOKUP($E9412,BD!$L$2:$Q$244,5,0),0)</f>
        <v>0</v>
      </c>
      <c r="J9412" s="3">
        <f t="shared" si="589"/>
        <v>1900</v>
      </c>
    </row>
    <row r="9413" spans="1:10" s="9" customFormat="1" x14ac:dyDescent="0.25">
      <c r="A9413" s="447"/>
      <c r="B9413" s="55" t="str">
        <f t="shared" si="586"/>
        <v>ENERO</v>
      </c>
      <c r="C9413" s="55">
        <f t="shared" si="587"/>
        <v>1</v>
      </c>
      <c r="D9413" s="3" t="str">
        <f t="shared" si="588"/>
        <v>SÁBADO</v>
      </c>
      <c r="E9413" s="427"/>
      <c r="F9413" s="31">
        <f>IFERROR(VLOOKUP(E9413,BD!$L$2:$Q$244,2,0),0)</f>
        <v>0</v>
      </c>
      <c r="G9413" s="424"/>
      <c r="H9413" s="31">
        <f>+IFERROR(VLOOKUP(E9413,BD!$L$2:$Q$244,6,0),0)</f>
        <v>0</v>
      </c>
      <c r="I9413" s="626">
        <f>IFERROR(G9413*VLOOKUP($E9413,BD!$L$2:$Q$244,5,0),0)</f>
        <v>0</v>
      </c>
      <c r="J9413" s="3">
        <f t="shared" si="589"/>
        <v>1900</v>
      </c>
    </row>
    <row r="9414" spans="1:10" s="9" customFormat="1" x14ac:dyDescent="0.25">
      <c r="A9414" s="447"/>
      <c r="B9414" s="55" t="str">
        <f t="shared" si="586"/>
        <v>ENERO</v>
      </c>
      <c r="C9414" s="55">
        <f t="shared" si="587"/>
        <v>1</v>
      </c>
      <c r="D9414" s="3" t="str">
        <f t="shared" si="588"/>
        <v>SÁBADO</v>
      </c>
      <c r="E9414" s="427"/>
      <c r="F9414" s="31">
        <f>IFERROR(VLOOKUP(E9414,BD!$L$2:$Q$244,2,0),0)</f>
        <v>0</v>
      </c>
      <c r="G9414" s="424"/>
      <c r="H9414" s="31">
        <f>+IFERROR(VLOOKUP(E9414,BD!$L$2:$Q$244,6,0),0)</f>
        <v>0</v>
      </c>
      <c r="I9414" s="626">
        <f>IFERROR(G9414*VLOOKUP($E9414,BD!$L$2:$Q$244,5,0),0)</f>
        <v>0</v>
      </c>
      <c r="J9414" s="3">
        <f t="shared" si="589"/>
        <v>1900</v>
      </c>
    </row>
    <row r="9415" spans="1:10" s="9" customFormat="1" x14ac:dyDescent="0.25">
      <c r="A9415" s="447"/>
      <c r="B9415" s="55" t="str">
        <f t="shared" si="586"/>
        <v>ENERO</v>
      </c>
      <c r="C9415" s="55">
        <f t="shared" si="587"/>
        <v>1</v>
      </c>
      <c r="D9415" s="3" t="str">
        <f t="shared" si="588"/>
        <v>SÁBADO</v>
      </c>
      <c r="E9415" s="427"/>
      <c r="F9415" s="31">
        <f>IFERROR(VLOOKUP(E9415,BD!$L$2:$Q$244,2,0),0)</f>
        <v>0</v>
      </c>
      <c r="G9415" s="424"/>
      <c r="H9415" s="31">
        <f>+IFERROR(VLOOKUP(E9415,BD!$L$2:$Q$244,6,0),0)</f>
        <v>0</v>
      </c>
      <c r="I9415" s="626">
        <f>IFERROR(G9415*VLOOKUP($E9415,BD!$L$2:$Q$244,5,0),0)</f>
        <v>0</v>
      </c>
      <c r="J9415" s="3">
        <f t="shared" si="589"/>
        <v>1900</v>
      </c>
    </row>
    <row r="9416" spans="1:10" s="9" customFormat="1" x14ac:dyDescent="0.25">
      <c r="A9416" s="447"/>
      <c r="B9416" s="55" t="str">
        <f t="shared" si="586"/>
        <v>ENERO</v>
      </c>
      <c r="C9416" s="55">
        <f t="shared" si="587"/>
        <v>1</v>
      </c>
      <c r="D9416" s="3" t="str">
        <f t="shared" si="588"/>
        <v>SÁBADO</v>
      </c>
      <c r="E9416" s="427"/>
      <c r="F9416" s="31">
        <f>IFERROR(VLOOKUP(E9416,BD!$L$2:$Q$244,2,0),0)</f>
        <v>0</v>
      </c>
      <c r="G9416" s="424"/>
      <c r="H9416" s="31">
        <f>+IFERROR(VLOOKUP(E9416,BD!$L$2:$Q$244,6,0),0)</f>
        <v>0</v>
      </c>
      <c r="I9416" s="626">
        <f>IFERROR(G9416*VLOOKUP($E9416,BD!$L$2:$Q$244,5,0),0)</f>
        <v>0</v>
      </c>
      <c r="J9416" s="3">
        <f t="shared" si="589"/>
        <v>1900</v>
      </c>
    </row>
    <row r="9417" spans="1:10" s="9" customFormat="1" x14ac:dyDescent="0.25">
      <c r="A9417" s="447"/>
      <c r="B9417" s="55" t="str">
        <f t="shared" si="586"/>
        <v>ENERO</v>
      </c>
      <c r="C9417" s="55">
        <f t="shared" si="587"/>
        <v>1</v>
      </c>
      <c r="D9417" s="3" t="str">
        <f t="shared" si="588"/>
        <v>SÁBADO</v>
      </c>
      <c r="E9417" s="427"/>
      <c r="F9417" s="31">
        <f>IFERROR(VLOOKUP(E9417,BD!$L$2:$Q$244,2,0),0)</f>
        <v>0</v>
      </c>
      <c r="G9417" s="424"/>
      <c r="H9417" s="31">
        <f>+IFERROR(VLOOKUP(E9417,BD!$L$2:$Q$244,6,0),0)</f>
        <v>0</v>
      </c>
      <c r="I9417" s="626">
        <f>IFERROR(G9417*VLOOKUP($E9417,BD!$L$2:$Q$244,5,0),0)</f>
        <v>0</v>
      </c>
      <c r="J9417" s="3">
        <f t="shared" si="589"/>
        <v>1900</v>
      </c>
    </row>
    <row r="9418" spans="1:10" s="9" customFormat="1" x14ac:dyDescent="0.25">
      <c r="A9418" s="447"/>
      <c r="B9418" s="55" t="str">
        <f t="shared" si="586"/>
        <v>ENERO</v>
      </c>
      <c r="C9418" s="55">
        <f t="shared" si="587"/>
        <v>1</v>
      </c>
      <c r="D9418" s="3" t="str">
        <f t="shared" si="588"/>
        <v>SÁBADO</v>
      </c>
      <c r="E9418" s="427"/>
      <c r="F9418" s="31">
        <f>IFERROR(VLOOKUP(E9418,BD!$L$2:$Q$244,2,0),0)</f>
        <v>0</v>
      </c>
      <c r="G9418" s="424"/>
      <c r="H9418" s="31">
        <f>+IFERROR(VLOOKUP(E9418,BD!$L$2:$Q$244,6,0),0)</f>
        <v>0</v>
      </c>
      <c r="I9418" s="626">
        <f>IFERROR(G9418*VLOOKUP($E9418,BD!$L$2:$Q$244,5,0),0)</f>
        <v>0</v>
      </c>
      <c r="J9418" s="3">
        <f t="shared" si="589"/>
        <v>1900</v>
      </c>
    </row>
    <row r="9419" spans="1:10" s="9" customFormat="1" x14ac:dyDescent="0.25">
      <c r="A9419" s="447"/>
      <c r="B9419" s="55" t="str">
        <f t="shared" si="586"/>
        <v>ENERO</v>
      </c>
      <c r="C9419" s="55">
        <f t="shared" si="587"/>
        <v>1</v>
      </c>
      <c r="D9419" s="3" t="str">
        <f t="shared" si="588"/>
        <v>SÁBADO</v>
      </c>
      <c r="E9419" s="427"/>
      <c r="F9419" s="31">
        <f>IFERROR(VLOOKUP(E9419,BD!$L$2:$Q$244,2,0),0)</f>
        <v>0</v>
      </c>
      <c r="G9419" s="424"/>
      <c r="H9419" s="31">
        <f>+IFERROR(VLOOKUP(E9419,BD!$L$2:$Q$244,6,0),0)</f>
        <v>0</v>
      </c>
      <c r="I9419" s="626">
        <f>IFERROR(G9419*VLOOKUP($E9419,BD!$L$2:$Q$244,5,0),0)</f>
        <v>0</v>
      </c>
      <c r="J9419" s="3">
        <f t="shared" si="589"/>
        <v>1900</v>
      </c>
    </row>
    <row r="9420" spans="1:10" s="9" customFormat="1" x14ac:dyDescent="0.25">
      <c r="A9420" s="447"/>
      <c r="B9420" s="55" t="str">
        <f t="shared" si="586"/>
        <v>ENERO</v>
      </c>
      <c r="C9420" s="55">
        <f t="shared" si="587"/>
        <v>1</v>
      </c>
      <c r="D9420" s="3" t="str">
        <f t="shared" si="588"/>
        <v>SÁBADO</v>
      </c>
      <c r="E9420" s="427"/>
      <c r="F9420" s="31">
        <f>IFERROR(VLOOKUP(E9420,BD!$L$2:$Q$244,2,0),0)</f>
        <v>0</v>
      </c>
      <c r="G9420" s="424"/>
      <c r="H9420" s="31">
        <f>+IFERROR(VLOOKUP(E9420,BD!$L$2:$Q$244,6,0),0)</f>
        <v>0</v>
      </c>
      <c r="I9420" s="626">
        <f>IFERROR(G9420*VLOOKUP($E9420,BD!$L$2:$Q$244,5,0),0)</f>
        <v>0</v>
      </c>
      <c r="J9420" s="3">
        <f t="shared" si="589"/>
        <v>1900</v>
      </c>
    </row>
    <row r="9421" spans="1:10" s="9" customFormat="1" x14ac:dyDescent="0.25">
      <c r="A9421" s="447"/>
      <c r="B9421" s="55" t="str">
        <f t="shared" si="586"/>
        <v>ENERO</v>
      </c>
      <c r="C9421" s="55">
        <f t="shared" si="587"/>
        <v>1</v>
      </c>
      <c r="D9421" s="3" t="str">
        <f t="shared" si="588"/>
        <v>SÁBADO</v>
      </c>
      <c r="E9421" s="427"/>
      <c r="F9421" s="31">
        <f>IFERROR(VLOOKUP(E9421,BD!$L$2:$Q$244,2,0),0)</f>
        <v>0</v>
      </c>
      <c r="G9421" s="424"/>
      <c r="H9421" s="31">
        <f>+IFERROR(VLOOKUP(E9421,BD!$L$2:$Q$244,6,0),0)</f>
        <v>0</v>
      </c>
      <c r="I9421" s="626">
        <f>IFERROR(G9421*VLOOKUP($E9421,BD!$L$2:$Q$244,5,0),0)</f>
        <v>0</v>
      </c>
      <c r="J9421" s="3">
        <f t="shared" si="589"/>
        <v>1900</v>
      </c>
    </row>
    <row r="9422" spans="1:10" s="9" customFormat="1" x14ac:dyDescent="0.25">
      <c r="A9422" s="447"/>
      <c r="B9422" s="55" t="str">
        <f t="shared" si="586"/>
        <v>ENERO</v>
      </c>
      <c r="C9422" s="55">
        <f t="shared" si="587"/>
        <v>1</v>
      </c>
      <c r="D9422" s="3" t="str">
        <f t="shared" si="588"/>
        <v>SÁBADO</v>
      </c>
      <c r="E9422" s="427"/>
      <c r="F9422" s="31">
        <f>IFERROR(VLOOKUP(E9422,BD!$L$2:$Q$244,2,0),0)</f>
        <v>0</v>
      </c>
      <c r="G9422" s="424"/>
      <c r="H9422" s="31">
        <f>+IFERROR(VLOOKUP(E9422,BD!$L$2:$Q$244,6,0),0)</f>
        <v>0</v>
      </c>
      <c r="I9422" s="626">
        <f>IFERROR(G9422*VLOOKUP($E9422,BD!$L$2:$Q$244,5,0),0)</f>
        <v>0</v>
      </c>
      <c r="J9422" s="3">
        <f t="shared" si="589"/>
        <v>1900</v>
      </c>
    </row>
    <row r="9423" spans="1:10" s="9" customFormat="1" x14ac:dyDescent="0.25">
      <c r="A9423" s="447"/>
      <c r="B9423" s="55" t="str">
        <f t="shared" si="586"/>
        <v>ENERO</v>
      </c>
      <c r="C9423" s="55">
        <f t="shared" si="587"/>
        <v>1</v>
      </c>
      <c r="D9423" s="3" t="str">
        <f t="shared" si="588"/>
        <v>SÁBADO</v>
      </c>
      <c r="E9423" s="427"/>
      <c r="F9423" s="31">
        <f>IFERROR(VLOOKUP(E9423,BD!$L$2:$Q$244,2,0),0)</f>
        <v>0</v>
      </c>
      <c r="G9423" s="424"/>
      <c r="H9423" s="31">
        <f>+IFERROR(VLOOKUP(E9423,BD!$L$2:$Q$244,6,0),0)</f>
        <v>0</v>
      </c>
      <c r="I9423" s="626">
        <f>IFERROR(G9423*VLOOKUP($E9423,BD!$L$2:$Q$244,5,0),0)</f>
        <v>0</v>
      </c>
      <c r="J9423" s="3">
        <f t="shared" si="589"/>
        <v>1900</v>
      </c>
    </row>
    <row r="9424" spans="1:10" s="9" customFormat="1" x14ac:dyDescent="0.25">
      <c r="A9424" s="447"/>
      <c r="B9424" s="55" t="str">
        <f t="shared" si="586"/>
        <v>ENERO</v>
      </c>
      <c r="C9424" s="55">
        <f t="shared" si="587"/>
        <v>1</v>
      </c>
      <c r="D9424" s="3" t="str">
        <f t="shared" si="588"/>
        <v>SÁBADO</v>
      </c>
      <c r="E9424" s="427"/>
      <c r="F9424" s="31">
        <f>IFERROR(VLOOKUP(E9424,BD!$L$2:$Q$244,2,0),0)</f>
        <v>0</v>
      </c>
      <c r="G9424" s="424"/>
      <c r="H9424" s="31">
        <f>+IFERROR(VLOOKUP(E9424,BD!$L$2:$Q$244,6,0),0)</f>
        <v>0</v>
      </c>
      <c r="I9424" s="626">
        <f>IFERROR(G9424*VLOOKUP($E9424,BD!$L$2:$Q$244,5,0),0)</f>
        <v>0</v>
      </c>
      <c r="J9424" s="3">
        <f t="shared" si="589"/>
        <v>1900</v>
      </c>
    </row>
    <row r="9425" spans="1:10" s="9" customFormat="1" x14ac:dyDescent="0.25">
      <c r="A9425" s="447"/>
      <c r="B9425" s="55" t="str">
        <f t="shared" si="586"/>
        <v>ENERO</v>
      </c>
      <c r="C9425" s="55">
        <f t="shared" si="587"/>
        <v>1</v>
      </c>
      <c r="D9425" s="3" t="str">
        <f t="shared" si="588"/>
        <v>SÁBADO</v>
      </c>
      <c r="E9425" s="427"/>
      <c r="F9425" s="31">
        <f>IFERROR(VLOOKUP(E9425,BD!$L$2:$Q$244,2,0),0)</f>
        <v>0</v>
      </c>
      <c r="G9425" s="424"/>
      <c r="H9425" s="31">
        <f>+IFERROR(VLOOKUP(E9425,BD!$L$2:$Q$244,6,0),0)</f>
        <v>0</v>
      </c>
      <c r="I9425" s="626">
        <f>IFERROR(G9425*VLOOKUP($E9425,BD!$L$2:$Q$244,5,0),0)</f>
        <v>0</v>
      </c>
      <c r="J9425" s="3">
        <f t="shared" si="589"/>
        <v>1900</v>
      </c>
    </row>
    <row r="9426" spans="1:10" s="9" customFormat="1" x14ac:dyDescent="0.25">
      <c r="A9426" s="447"/>
      <c r="B9426" s="55" t="str">
        <f t="shared" si="586"/>
        <v>ENERO</v>
      </c>
      <c r="C9426" s="55">
        <f t="shared" si="587"/>
        <v>1</v>
      </c>
      <c r="D9426" s="3" t="str">
        <f t="shared" si="588"/>
        <v>SÁBADO</v>
      </c>
      <c r="E9426" s="427"/>
      <c r="F9426" s="31">
        <f>IFERROR(VLOOKUP(E9426,BD!$L$2:$Q$244,2,0),0)</f>
        <v>0</v>
      </c>
      <c r="G9426" s="424"/>
      <c r="H9426" s="31">
        <f>+IFERROR(VLOOKUP(E9426,BD!$L$2:$Q$244,6,0),0)</f>
        <v>0</v>
      </c>
      <c r="I9426" s="626">
        <f>IFERROR(G9426*VLOOKUP($E9426,BD!$L$2:$Q$244,5,0),0)</f>
        <v>0</v>
      </c>
      <c r="J9426" s="3">
        <f t="shared" si="589"/>
        <v>1900</v>
      </c>
    </row>
    <row r="9427" spans="1:10" s="9" customFormat="1" x14ac:dyDescent="0.25">
      <c r="A9427" s="447"/>
      <c r="B9427" s="55" t="str">
        <f t="shared" si="586"/>
        <v>ENERO</v>
      </c>
      <c r="C9427" s="55">
        <f t="shared" si="587"/>
        <v>1</v>
      </c>
      <c r="D9427" s="3" t="str">
        <f t="shared" si="588"/>
        <v>SÁBADO</v>
      </c>
      <c r="E9427" s="427"/>
      <c r="F9427" s="31">
        <f>IFERROR(VLOOKUP(E9427,BD!$L$2:$Q$244,2,0),0)</f>
        <v>0</v>
      </c>
      <c r="G9427" s="424"/>
      <c r="H9427" s="31">
        <f>+IFERROR(VLOOKUP(E9427,BD!$L$2:$Q$244,6,0),0)</f>
        <v>0</v>
      </c>
      <c r="I9427" s="626">
        <f>IFERROR(G9427*VLOOKUP($E9427,BD!$L$2:$Q$244,5,0),0)</f>
        <v>0</v>
      </c>
      <c r="J9427" s="3">
        <f t="shared" si="589"/>
        <v>1900</v>
      </c>
    </row>
    <row r="9428" spans="1:10" s="9" customFormat="1" x14ac:dyDescent="0.25">
      <c r="A9428" s="447"/>
      <c r="B9428" s="55" t="str">
        <f t="shared" si="586"/>
        <v>ENERO</v>
      </c>
      <c r="C9428" s="55">
        <f t="shared" si="587"/>
        <v>1</v>
      </c>
      <c r="D9428" s="3" t="str">
        <f t="shared" si="588"/>
        <v>SÁBADO</v>
      </c>
      <c r="E9428" s="427"/>
      <c r="F9428" s="31">
        <f>IFERROR(VLOOKUP(E9428,BD!$L$2:$Q$244,2,0),0)</f>
        <v>0</v>
      </c>
      <c r="G9428" s="424"/>
      <c r="H9428" s="31">
        <f>+IFERROR(VLOOKUP(E9428,BD!$L$2:$Q$244,6,0),0)</f>
        <v>0</v>
      </c>
      <c r="I9428" s="626">
        <f>IFERROR(G9428*VLOOKUP($E9428,BD!$L$2:$Q$244,5,0),0)</f>
        <v>0</v>
      </c>
      <c r="J9428" s="3">
        <f t="shared" si="589"/>
        <v>1900</v>
      </c>
    </row>
    <row r="9429" spans="1:10" s="9" customFormat="1" x14ac:dyDescent="0.25">
      <c r="A9429" s="447"/>
      <c r="B9429" s="55" t="str">
        <f t="shared" si="586"/>
        <v>ENERO</v>
      </c>
      <c r="C9429" s="55">
        <f t="shared" si="587"/>
        <v>1</v>
      </c>
      <c r="D9429" s="3" t="str">
        <f t="shared" si="588"/>
        <v>SÁBADO</v>
      </c>
      <c r="E9429" s="427"/>
      <c r="F9429" s="31">
        <f>IFERROR(VLOOKUP(E9429,BD!$L$2:$Q$244,2,0),0)</f>
        <v>0</v>
      </c>
      <c r="G9429" s="424"/>
      <c r="H9429" s="31">
        <f>+IFERROR(VLOOKUP(E9429,BD!$L$2:$Q$244,6,0),0)</f>
        <v>0</v>
      </c>
      <c r="I9429" s="626">
        <f>IFERROR(G9429*VLOOKUP($E9429,BD!$L$2:$Q$244,5,0),0)</f>
        <v>0</v>
      </c>
      <c r="J9429" s="3">
        <f t="shared" si="589"/>
        <v>1900</v>
      </c>
    </row>
    <row r="9430" spans="1:10" s="9" customFormat="1" x14ac:dyDescent="0.25">
      <c r="A9430" s="447"/>
      <c r="B9430" s="55" t="str">
        <f t="shared" si="586"/>
        <v>ENERO</v>
      </c>
      <c r="C9430" s="55">
        <f t="shared" si="587"/>
        <v>1</v>
      </c>
      <c r="D9430" s="3" t="str">
        <f t="shared" si="588"/>
        <v>SÁBADO</v>
      </c>
      <c r="E9430" s="427"/>
      <c r="F9430" s="31">
        <f>IFERROR(VLOOKUP(E9430,BD!$L$2:$Q$244,2,0),0)</f>
        <v>0</v>
      </c>
      <c r="G9430" s="424"/>
      <c r="H9430" s="31">
        <f>+IFERROR(VLOOKUP(E9430,BD!$L$2:$Q$244,6,0),0)</f>
        <v>0</v>
      </c>
      <c r="I9430" s="626">
        <f>IFERROR(G9430*VLOOKUP($E9430,BD!$L$2:$Q$244,5,0),0)</f>
        <v>0</v>
      </c>
      <c r="J9430" s="3">
        <f t="shared" si="589"/>
        <v>1900</v>
      </c>
    </row>
    <row r="9431" spans="1:10" s="9" customFormat="1" x14ac:dyDescent="0.25">
      <c r="A9431" s="447"/>
      <c r="B9431" s="55" t="str">
        <f t="shared" si="586"/>
        <v>ENERO</v>
      </c>
      <c r="C9431" s="55">
        <f t="shared" si="587"/>
        <v>1</v>
      </c>
      <c r="D9431" s="3" t="str">
        <f t="shared" si="588"/>
        <v>SÁBADO</v>
      </c>
      <c r="E9431" s="427"/>
      <c r="F9431" s="31">
        <f>IFERROR(VLOOKUP(E9431,BD!$L$2:$Q$244,2,0),0)</f>
        <v>0</v>
      </c>
      <c r="G9431" s="424"/>
      <c r="H9431" s="31">
        <f>+IFERROR(VLOOKUP(E9431,BD!$L$2:$Q$244,6,0),0)</f>
        <v>0</v>
      </c>
      <c r="I9431" s="626">
        <f>IFERROR(G9431*VLOOKUP($E9431,BD!$L$2:$Q$244,5,0),0)</f>
        <v>0</v>
      </c>
      <c r="J9431" s="3">
        <f t="shared" si="589"/>
        <v>1900</v>
      </c>
    </row>
    <row r="9432" spans="1:10" s="9" customFormat="1" x14ac:dyDescent="0.25">
      <c r="A9432" s="447"/>
      <c r="B9432" s="55" t="str">
        <f t="shared" si="586"/>
        <v>ENERO</v>
      </c>
      <c r="C9432" s="55">
        <f t="shared" si="587"/>
        <v>1</v>
      </c>
      <c r="D9432" s="3" t="str">
        <f t="shared" si="588"/>
        <v>SÁBADO</v>
      </c>
      <c r="E9432" s="427"/>
      <c r="F9432" s="31">
        <f>IFERROR(VLOOKUP(E9432,BD!$L$2:$Q$244,2,0),0)</f>
        <v>0</v>
      </c>
      <c r="G9432" s="424"/>
      <c r="H9432" s="31">
        <f>+IFERROR(VLOOKUP(E9432,BD!$L$2:$Q$244,6,0),0)</f>
        <v>0</v>
      </c>
      <c r="I9432" s="626">
        <f>IFERROR(G9432*VLOOKUP($E9432,BD!$L$2:$Q$244,5,0),0)</f>
        <v>0</v>
      </c>
      <c r="J9432" s="3">
        <f t="shared" si="589"/>
        <v>1900</v>
      </c>
    </row>
    <row r="9433" spans="1:10" s="9" customFormat="1" x14ac:dyDescent="0.25">
      <c r="A9433" s="447"/>
      <c r="B9433" s="55" t="str">
        <f t="shared" si="586"/>
        <v>ENERO</v>
      </c>
      <c r="C9433" s="55">
        <f t="shared" si="587"/>
        <v>1</v>
      </c>
      <c r="D9433" s="3" t="str">
        <f t="shared" si="588"/>
        <v>SÁBADO</v>
      </c>
      <c r="E9433" s="427"/>
      <c r="F9433" s="31">
        <f>IFERROR(VLOOKUP(E9433,BD!$L$2:$Q$244,2,0),0)</f>
        <v>0</v>
      </c>
      <c r="G9433" s="424"/>
      <c r="H9433" s="31">
        <f>+IFERROR(VLOOKUP(E9433,BD!$L$2:$Q$244,6,0),0)</f>
        <v>0</v>
      </c>
      <c r="I9433" s="626">
        <f>IFERROR(G9433*VLOOKUP($E9433,BD!$L$2:$Q$244,5,0),0)</f>
        <v>0</v>
      </c>
      <c r="J9433" s="3">
        <f t="shared" si="589"/>
        <v>1900</v>
      </c>
    </row>
    <row r="9434" spans="1:10" s="9" customFormat="1" x14ac:dyDescent="0.25">
      <c r="A9434" s="447"/>
      <c r="B9434" s="55" t="str">
        <f t="shared" si="586"/>
        <v>ENERO</v>
      </c>
      <c r="C9434" s="55">
        <f t="shared" si="587"/>
        <v>1</v>
      </c>
      <c r="D9434" s="3" t="str">
        <f t="shared" si="588"/>
        <v>SÁBADO</v>
      </c>
      <c r="E9434" s="427"/>
      <c r="F9434" s="31">
        <f>IFERROR(VLOOKUP(E9434,BD!$L$2:$Q$244,2,0),0)</f>
        <v>0</v>
      </c>
      <c r="G9434" s="424"/>
      <c r="H9434" s="31">
        <f>+IFERROR(VLOOKUP(E9434,BD!$L$2:$Q$244,6,0),0)</f>
        <v>0</v>
      </c>
      <c r="I9434" s="626">
        <f>IFERROR(G9434*VLOOKUP($E9434,BD!$L$2:$Q$244,5,0),0)</f>
        <v>0</v>
      </c>
      <c r="J9434" s="3">
        <f t="shared" si="589"/>
        <v>1900</v>
      </c>
    </row>
    <row r="9435" spans="1:10" s="9" customFormat="1" x14ac:dyDescent="0.25">
      <c r="A9435" s="447"/>
      <c r="B9435" s="55" t="str">
        <f t="shared" si="586"/>
        <v>ENERO</v>
      </c>
      <c r="C9435" s="55">
        <f t="shared" si="587"/>
        <v>1</v>
      </c>
      <c r="D9435" s="3" t="str">
        <f t="shared" si="588"/>
        <v>SÁBADO</v>
      </c>
      <c r="E9435" s="427"/>
      <c r="F9435" s="31">
        <f>IFERROR(VLOOKUP(E9435,BD!$L$2:$Q$244,2,0),0)</f>
        <v>0</v>
      </c>
      <c r="G9435" s="424"/>
      <c r="H9435" s="31">
        <f>+IFERROR(VLOOKUP(E9435,BD!$L$2:$Q$244,6,0),0)</f>
        <v>0</v>
      </c>
      <c r="I9435" s="626">
        <f>IFERROR(G9435*VLOOKUP($E9435,BD!$L$2:$Q$244,5,0),0)</f>
        <v>0</v>
      </c>
      <c r="J9435" s="3">
        <f t="shared" si="589"/>
        <v>1900</v>
      </c>
    </row>
    <row r="9436" spans="1:10" s="9" customFormat="1" x14ac:dyDescent="0.25">
      <c r="A9436" s="447"/>
      <c r="B9436" s="55" t="str">
        <f t="shared" si="586"/>
        <v>ENERO</v>
      </c>
      <c r="C9436" s="55">
        <f t="shared" si="587"/>
        <v>1</v>
      </c>
      <c r="D9436" s="3" t="str">
        <f t="shared" si="588"/>
        <v>SÁBADO</v>
      </c>
      <c r="E9436" s="427"/>
      <c r="F9436" s="31">
        <f>IFERROR(VLOOKUP(E9436,BD!$L$2:$Q$244,2,0),0)</f>
        <v>0</v>
      </c>
      <c r="G9436" s="424"/>
      <c r="H9436" s="31">
        <f>+IFERROR(VLOOKUP(E9436,BD!$L$2:$Q$244,6,0),0)</f>
        <v>0</v>
      </c>
      <c r="I9436" s="626">
        <f>IFERROR(G9436*VLOOKUP($E9436,BD!$L$2:$Q$244,5,0),0)</f>
        <v>0</v>
      </c>
      <c r="J9436" s="3">
        <f t="shared" si="589"/>
        <v>1900</v>
      </c>
    </row>
    <row r="9437" spans="1:10" s="9" customFormat="1" x14ac:dyDescent="0.25">
      <c r="A9437" s="447"/>
      <c r="B9437" s="55" t="str">
        <f t="shared" si="586"/>
        <v>ENERO</v>
      </c>
      <c r="C9437" s="55">
        <f t="shared" si="587"/>
        <v>1</v>
      </c>
      <c r="D9437" s="3" t="str">
        <f t="shared" si="588"/>
        <v>SÁBADO</v>
      </c>
      <c r="E9437" s="427"/>
      <c r="F9437" s="31">
        <f>IFERROR(VLOOKUP(E9437,BD!$L$2:$Q$244,2,0),0)</f>
        <v>0</v>
      </c>
      <c r="G9437" s="424"/>
      <c r="H9437" s="31">
        <f>+IFERROR(VLOOKUP(E9437,BD!$L$2:$Q$244,6,0),0)</f>
        <v>0</v>
      </c>
      <c r="I9437" s="626">
        <f>IFERROR(G9437*VLOOKUP($E9437,BD!$L$2:$Q$244,5,0),0)</f>
        <v>0</v>
      </c>
      <c r="J9437" s="3">
        <f t="shared" si="589"/>
        <v>1900</v>
      </c>
    </row>
    <row r="9438" spans="1:10" s="9" customFormat="1" x14ac:dyDescent="0.25">
      <c r="A9438" s="447"/>
      <c r="B9438" s="55" t="str">
        <f t="shared" si="586"/>
        <v>ENERO</v>
      </c>
      <c r="C9438" s="55">
        <f t="shared" si="587"/>
        <v>1</v>
      </c>
      <c r="D9438" s="3" t="str">
        <f t="shared" si="588"/>
        <v>SÁBADO</v>
      </c>
      <c r="E9438" s="427"/>
      <c r="F9438" s="31">
        <f>IFERROR(VLOOKUP(E9438,BD!$L$2:$Q$244,2,0),0)</f>
        <v>0</v>
      </c>
      <c r="G9438" s="424"/>
      <c r="H9438" s="31">
        <f>+IFERROR(VLOOKUP(E9438,BD!$L$2:$Q$244,6,0),0)</f>
        <v>0</v>
      </c>
      <c r="I9438" s="626">
        <f>IFERROR(G9438*VLOOKUP($E9438,BD!$L$2:$Q$244,5,0),0)</f>
        <v>0</v>
      </c>
      <c r="J9438" s="3">
        <f t="shared" si="589"/>
        <v>1900</v>
      </c>
    </row>
    <row r="9439" spans="1:10" s="9" customFormat="1" x14ac:dyDescent="0.25">
      <c r="A9439" s="447"/>
      <c r="B9439" s="55" t="str">
        <f t="shared" si="586"/>
        <v>ENERO</v>
      </c>
      <c r="C9439" s="55">
        <f t="shared" si="587"/>
        <v>1</v>
      </c>
      <c r="D9439" s="3" t="str">
        <f t="shared" si="588"/>
        <v>SÁBADO</v>
      </c>
      <c r="E9439" s="427"/>
      <c r="F9439" s="31">
        <f>IFERROR(VLOOKUP(E9439,BD!$L$2:$Q$244,2,0),0)</f>
        <v>0</v>
      </c>
      <c r="G9439" s="424"/>
      <c r="H9439" s="31">
        <f>+IFERROR(VLOOKUP(E9439,BD!$L$2:$Q$244,6,0),0)</f>
        <v>0</v>
      </c>
      <c r="I9439" s="626">
        <f>IFERROR(G9439*VLOOKUP($E9439,BD!$L$2:$Q$244,5,0),0)</f>
        <v>0</v>
      </c>
      <c r="J9439" s="3">
        <f t="shared" si="589"/>
        <v>1900</v>
      </c>
    </row>
    <row r="9440" spans="1:10" s="9" customFormat="1" x14ac:dyDescent="0.25">
      <c r="A9440" s="447"/>
      <c r="B9440" s="55" t="str">
        <f t="shared" si="586"/>
        <v>ENERO</v>
      </c>
      <c r="C9440" s="55">
        <f t="shared" si="587"/>
        <v>1</v>
      </c>
      <c r="D9440" s="3" t="str">
        <f t="shared" si="588"/>
        <v>SÁBADO</v>
      </c>
      <c r="E9440" s="427"/>
      <c r="F9440" s="31">
        <f>IFERROR(VLOOKUP(E9440,BD!$L$2:$Q$244,2,0),0)</f>
        <v>0</v>
      </c>
      <c r="G9440" s="424"/>
      <c r="H9440" s="31">
        <f>+IFERROR(VLOOKUP(E9440,BD!$L$2:$Q$244,6,0),0)</f>
        <v>0</v>
      </c>
      <c r="I9440" s="626">
        <f>IFERROR(G9440*VLOOKUP($E9440,BD!$L$2:$Q$244,5,0),0)</f>
        <v>0</v>
      </c>
      <c r="J9440" s="3">
        <f t="shared" si="589"/>
        <v>1900</v>
      </c>
    </row>
    <row r="9441" spans="1:10" s="9" customFormat="1" x14ac:dyDescent="0.25">
      <c r="A9441" s="447"/>
      <c r="B9441" s="55" t="str">
        <f t="shared" si="586"/>
        <v>ENERO</v>
      </c>
      <c r="C9441" s="55">
        <f t="shared" si="587"/>
        <v>1</v>
      </c>
      <c r="D9441" s="3" t="str">
        <f t="shared" si="588"/>
        <v>SÁBADO</v>
      </c>
      <c r="E9441" s="427"/>
      <c r="F9441" s="31">
        <f>IFERROR(VLOOKUP(E9441,BD!$L$2:$Q$244,2,0),0)</f>
        <v>0</v>
      </c>
      <c r="G9441" s="424"/>
      <c r="H9441" s="31">
        <f>+IFERROR(VLOOKUP(E9441,BD!$L$2:$Q$244,6,0),0)</f>
        <v>0</v>
      </c>
      <c r="I9441" s="626">
        <f>IFERROR(G9441*VLOOKUP($E9441,BD!$L$2:$Q$244,5,0),0)</f>
        <v>0</v>
      </c>
      <c r="J9441" s="3">
        <f t="shared" si="589"/>
        <v>1900</v>
      </c>
    </row>
    <row r="9442" spans="1:10" s="9" customFormat="1" x14ac:dyDescent="0.25">
      <c r="A9442" s="447"/>
      <c r="B9442" s="55" t="str">
        <f t="shared" si="586"/>
        <v>ENERO</v>
      </c>
      <c r="C9442" s="55">
        <f t="shared" si="587"/>
        <v>1</v>
      </c>
      <c r="D9442" s="3" t="str">
        <f t="shared" si="588"/>
        <v>SÁBADO</v>
      </c>
      <c r="E9442" s="427"/>
      <c r="F9442" s="31">
        <f>IFERROR(VLOOKUP(E9442,BD!$L$2:$Q$244,2,0),0)</f>
        <v>0</v>
      </c>
      <c r="G9442" s="424"/>
      <c r="H9442" s="31">
        <f>+IFERROR(VLOOKUP(E9442,BD!$L$2:$Q$244,6,0),0)</f>
        <v>0</v>
      </c>
      <c r="I9442" s="626">
        <f>IFERROR(G9442*VLOOKUP($E9442,BD!$L$2:$Q$244,5,0),0)</f>
        <v>0</v>
      </c>
      <c r="J9442" s="3">
        <f t="shared" si="589"/>
        <v>1900</v>
      </c>
    </row>
    <row r="9443" spans="1:10" s="9" customFormat="1" x14ac:dyDescent="0.25">
      <c r="A9443" s="447"/>
      <c r="B9443" s="55" t="str">
        <f t="shared" si="586"/>
        <v>ENERO</v>
      </c>
      <c r="C9443" s="55">
        <f t="shared" si="587"/>
        <v>1</v>
      </c>
      <c r="D9443" s="3" t="str">
        <f t="shared" si="588"/>
        <v>SÁBADO</v>
      </c>
      <c r="E9443" s="427"/>
      <c r="F9443" s="31">
        <f>IFERROR(VLOOKUP(E9443,BD!$L$2:$Q$244,2,0),0)</f>
        <v>0</v>
      </c>
      <c r="G9443" s="424"/>
      <c r="H9443" s="31">
        <f>+IFERROR(VLOOKUP(E9443,BD!$L$2:$Q$244,6,0),0)</f>
        <v>0</v>
      </c>
      <c r="I9443" s="626">
        <f>IFERROR(G9443*VLOOKUP($E9443,BD!$L$2:$Q$244,5,0),0)</f>
        <v>0</v>
      </c>
      <c r="J9443" s="3">
        <f t="shared" si="589"/>
        <v>1900</v>
      </c>
    </row>
    <row r="9444" spans="1:10" s="9" customFormat="1" x14ac:dyDescent="0.25">
      <c r="A9444" s="447"/>
      <c r="B9444" s="55" t="str">
        <f t="shared" si="586"/>
        <v>ENERO</v>
      </c>
      <c r="C9444" s="55">
        <f t="shared" si="587"/>
        <v>1</v>
      </c>
      <c r="D9444" s="3" t="str">
        <f t="shared" si="588"/>
        <v>SÁBADO</v>
      </c>
      <c r="E9444" s="427"/>
      <c r="F9444" s="31">
        <f>IFERROR(VLOOKUP(E9444,BD!$L$2:$Q$244,2,0),0)</f>
        <v>0</v>
      </c>
      <c r="G9444" s="424"/>
      <c r="H9444" s="31">
        <f>+IFERROR(VLOOKUP(E9444,BD!$L$2:$Q$244,6,0),0)</f>
        <v>0</v>
      </c>
      <c r="I9444" s="626">
        <f>IFERROR(G9444*VLOOKUP($E9444,BD!$L$2:$Q$244,5,0),0)</f>
        <v>0</v>
      </c>
      <c r="J9444" s="3">
        <f t="shared" si="589"/>
        <v>1900</v>
      </c>
    </row>
    <row r="9445" spans="1:10" s="9" customFormat="1" x14ac:dyDescent="0.25">
      <c r="A9445" s="447"/>
      <c r="B9445" s="55" t="str">
        <f t="shared" si="586"/>
        <v>ENERO</v>
      </c>
      <c r="C9445" s="55">
        <f t="shared" si="587"/>
        <v>1</v>
      </c>
      <c r="D9445" s="3" t="str">
        <f t="shared" si="588"/>
        <v>SÁBADO</v>
      </c>
      <c r="E9445" s="427"/>
      <c r="F9445" s="31">
        <f>IFERROR(VLOOKUP(E9445,BD!$L$2:$Q$244,2,0),0)</f>
        <v>0</v>
      </c>
      <c r="G9445" s="424"/>
      <c r="H9445" s="31">
        <f>+IFERROR(VLOOKUP(E9445,BD!$L$2:$Q$244,6,0),0)</f>
        <v>0</v>
      </c>
      <c r="I9445" s="626">
        <f>IFERROR(G9445*VLOOKUP($E9445,BD!$L$2:$Q$244,5,0),0)</f>
        <v>0</v>
      </c>
      <c r="J9445" s="3">
        <f t="shared" si="589"/>
        <v>1900</v>
      </c>
    </row>
    <row r="9446" spans="1:10" s="9" customFormat="1" x14ac:dyDescent="0.25">
      <c r="A9446" s="447"/>
      <c r="B9446" s="55" t="str">
        <f t="shared" si="586"/>
        <v>ENERO</v>
      </c>
      <c r="C9446" s="55">
        <f t="shared" si="587"/>
        <v>1</v>
      </c>
      <c r="D9446" s="3" t="str">
        <f t="shared" si="588"/>
        <v>SÁBADO</v>
      </c>
      <c r="E9446" s="427"/>
      <c r="F9446" s="31">
        <f>IFERROR(VLOOKUP(E9446,BD!$L$2:$Q$244,2,0),0)</f>
        <v>0</v>
      </c>
      <c r="G9446" s="424"/>
      <c r="H9446" s="31">
        <f>+IFERROR(VLOOKUP(E9446,BD!$L$2:$Q$244,6,0),0)</f>
        <v>0</v>
      </c>
      <c r="I9446" s="626">
        <f>IFERROR(G9446*VLOOKUP($E9446,BD!$L$2:$Q$244,5,0),0)</f>
        <v>0</v>
      </c>
      <c r="J9446" s="3">
        <f t="shared" si="589"/>
        <v>1900</v>
      </c>
    </row>
    <row r="9447" spans="1:10" s="9" customFormat="1" x14ac:dyDescent="0.25">
      <c r="A9447" s="447"/>
      <c r="B9447" s="55" t="str">
        <f t="shared" si="586"/>
        <v>ENERO</v>
      </c>
      <c r="C9447" s="55">
        <f t="shared" si="587"/>
        <v>1</v>
      </c>
      <c r="D9447" s="3" t="str">
        <f t="shared" si="588"/>
        <v>SÁBADO</v>
      </c>
      <c r="E9447" s="427"/>
      <c r="F9447" s="31">
        <f>IFERROR(VLOOKUP(E9447,BD!$L$2:$Q$244,2,0),0)</f>
        <v>0</v>
      </c>
      <c r="G9447" s="424"/>
      <c r="H9447" s="31">
        <f>+IFERROR(VLOOKUP(E9447,BD!$L$2:$Q$244,6,0),0)</f>
        <v>0</v>
      </c>
      <c r="I9447" s="626">
        <f>IFERROR(G9447*VLOOKUP($E9447,BD!$L$2:$Q$244,5,0),0)</f>
        <v>0</v>
      </c>
      <c r="J9447" s="3">
        <f t="shared" si="589"/>
        <v>1900</v>
      </c>
    </row>
    <row r="9448" spans="1:10" s="9" customFormat="1" x14ac:dyDescent="0.25">
      <c r="A9448" s="447"/>
      <c r="B9448" s="55" t="str">
        <f t="shared" si="586"/>
        <v>ENERO</v>
      </c>
      <c r="C9448" s="55">
        <f t="shared" si="587"/>
        <v>1</v>
      </c>
      <c r="D9448" s="3" t="str">
        <f t="shared" si="588"/>
        <v>SÁBADO</v>
      </c>
      <c r="E9448" s="427"/>
      <c r="F9448" s="31">
        <f>IFERROR(VLOOKUP(E9448,BD!$L$2:$Q$244,2,0),0)</f>
        <v>0</v>
      </c>
      <c r="G9448" s="424"/>
      <c r="H9448" s="31">
        <f>+IFERROR(VLOOKUP(E9448,BD!$L$2:$Q$244,6,0),0)</f>
        <v>0</v>
      </c>
      <c r="I9448" s="626">
        <f>IFERROR(G9448*VLOOKUP($E9448,BD!$L$2:$Q$244,5,0),0)</f>
        <v>0</v>
      </c>
      <c r="J9448" s="3">
        <f t="shared" si="589"/>
        <v>1900</v>
      </c>
    </row>
    <row r="9449" spans="1:10" s="9" customFormat="1" x14ac:dyDescent="0.25">
      <c r="A9449" s="447"/>
      <c r="B9449" s="55" t="str">
        <f t="shared" si="586"/>
        <v>ENERO</v>
      </c>
      <c r="C9449" s="55">
        <f t="shared" si="587"/>
        <v>1</v>
      </c>
      <c r="D9449" s="3" t="str">
        <f t="shared" si="588"/>
        <v>SÁBADO</v>
      </c>
      <c r="E9449" s="427"/>
      <c r="F9449" s="31">
        <f>IFERROR(VLOOKUP(E9449,BD!$L$2:$Q$244,2,0),0)</f>
        <v>0</v>
      </c>
      <c r="G9449" s="424"/>
      <c r="H9449" s="31">
        <f>+IFERROR(VLOOKUP(E9449,BD!$L$2:$Q$244,6,0),0)</f>
        <v>0</v>
      </c>
      <c r="I9449" s="626">
        <f>IFERROR(G9449*VLOOKUP($E9449,BD!$L$2:$Q$244,5,0),0)</f>
        <v>0</v>
      </c>
      <c r="J9449" s="3">
        <f t="shared" si="589"/>
        <v>1900</v>
      </c>
    </row>
    <row r="9450" spans="1:10" s="9" customFormat="1" x14ac:dyDescent="0.25">
      <c r="A9450" s="447"/>
      <c r="B9450" s="55" t="str">
        <f t="shared" si="586"/>
        <v>ENERO</v>
      </c>
      <c r="C9450" s="55">
        <f t="shared" si="587"/>
        <v>1</v>
      </c>
      <c r="D9450" s="3" t="str">
        <f t="shared" si="588"/>
        <v>SÁBADO</v>
      </c>
      <c r="E9450" s="427"/>
      <c r="F9450" s="31">
        <f>IFERROR(VLOOKUP(E9450,BD!$L$2:$Q$244,2,0),0)</f>
        <v>0</v>
      </c>
      <c r="G9450" s="424"/>
      <c r="H9450" s="31">
        <f>+IFERROR(VLOOKUP(E9450,BD!$L$2:$Q$244,6,0),0)</f>
        <v>0</v>
      </c>
      <c r="I9450" s="626">
        <f>IFERROR(G9450*VLOOKUP($E9450,BD!$L$2:$Q$244,5,0),0)</f>
        <v>0</v>
      </c>
      <c r="J9450" s="3">
        <f t="shared" si="589"/>
        <v>1900</v>
      </c>
    </row>
    <row r="9451" spans="1:10" s="9" customFormat="1" x14ac:dyDescent="0.25">
      <c r="A9451" s="447"/>
      <c r="B9451" s="55" t="str">
        <f t="shared" si="586"/>
        <v>ENERO</v>
      </c>
      <c r="C9451" s="55">
        <f t="shared" si="587"/>
        <v>1</v>
      </c>
      <c r="D9451" s="3" t="str">
        <f t="shared" si="588"/>
        <v>SÁBADO</v>
      </c>
      <c r="E9451" s="427"/>
      <c r="F9451" s="31">
        <f>IFERROR(VLOOKUP(E9451,BD!$L$2:$Q$244,2,0),0)</f>
        <v>0</v>
      </c>
      <c r="G9451" s="424"/>
      <c r="H9451" s="31">
        <f>+IFERROR(VLOOKUP(E9451,BD!$L$2:$Q$244,6,0),0)</f>
        <v>0</v>
      </c>
      <c r="I9451" s="626">
        <f>IFERROR(G9451*VLOOKUP($E9451,BD!$L$2:$Q$244,5,0),0)</f>
        <v>0</v>
      </c>
      <c r="J9451" s="3">
        <f t="shared" si="589"/>
        <v>1900</v>
      </c>
    </row>
    <row r="9452" spans="1:10" s="9" customFormat="1" x14ac:dyDescent="0.25">
      <c r="A9452" s="447"/>
      <c r="B9452" s="55" t="str">
        <f t="shared" si="586"/>
        <v>ENERO</v>
      </c>
      <c r="C9452" s="55">
        <f t="shared" si="587"/>
        <v>1</v>
      </c>
      <c r="D9452" s="3" t="str">
        <f t="shared" si="588"/>
        <v>SÁBADO</v>
      </c>
      <c r="E9452" s="427"/>
      <c r="F9452" s="31">
        <f>IFERROR(VLOOKUP(E9452,BD!$L$2:$Q$244,2,0),0)</f>
        <v>0</v>
      </c>
      <c r="G9452" s="424"/>
      <c r="H9452" s="31">
        <f>+IFERROR(VLOOKUP(E9452,BD!$L$2:$Q$244,6,0),0)</f>
        <v>0</v>
      </c>
      <c r="I9452" s="626">
        <f>IFERROR(G9452*VLOOKUP($E9452,BD!$L$2:$Q$244,5,0),0)</f>
        <v>0</v>
      </c>
      <c r="J9452" s="3">
        <f t="shared" si="589"/>
        <v>1900</v>
      </c>
    </row>
    <row r="9453" spans="1:10" s="9" customFormat="1" x14ac:dyDescent="0.25">
      <c r="A9453" s="447"/>
      <c r="B9453" s="55" t="str">
        <f t="shared" si="586"/>
        <v>ENERO</v>
      </c>
      <c r="C9453" s="55">
        <f t="shared" si="587"/>
        <v>1</v>
      </c>
      <c r="D9453" s="3" t="str">
        <f t="shared" si="588"/>
        <v>SÁBADO</v>
      </c>
      <c r="E9453" s="427"/>
      <c r="F9453" s="31">
        <f>IFERROR(VLOOKUP(E9453,BD!$L$2:$Q$244,2,0),0)</f>
        <v>0</v>
      </c>
      <c r="G9453" s="424"/>
      <c r="H9453" s="31">
        <f>+IFERROR(VLOOKUP(E9453,BD!$L$2:$Q$244,6,0),0)</f>
        <v>0</v>
      </c>
      <c r="I9453" s="626">
        <f>IFERROR(G9453*VLOOKUP($E9453,BD!$L$2:$Q$244,5,0),0)</f>
        <v>0</v>
      </c>
      <c r="J9453" s="3">
        <f t="shared" si="589"/>
        <v>1900</v>
      </c>
    </row>
    <row r="9454" spans="1:10" s="9" customFormat="1" x14ac:dyDescent="0.25">
      <c r="A9454" s="447"/>
      <c r="B9454" s="55" t="str">
        <f t="shared" si="586"/>
        <v>ENERO</v>
      </c>
      <c r="C9454" s="55">
        <f t="shared" si="587"/>
        <v>1</v>
      </c>
      <c r="D9454" s="3" t="str">
        <f t="shared" si="588"/>
        <v>SÁBADO</v>
      </c>
      <c r="E9454" s="427"/>
      <c r="F9454" s="31">
        <f>IFERROR(VLOOKUP(E9454,BD!$L$2:$Q$244,2,0),0)</f>
        <v>0</v>
      </c>
      <c r="G9454" s="424"/>
      <c r="H9454" s="31">
        <f>+IFERROR(VLOOKUP(E9454,BD!$L$2:$Q$244,6,0),0)</f>
        <v>0</v>
      </c>
      <c r="I9454" s="626">
        <f>IFERROR(G9454*VLOOKUP($E9454,BD!$L$2:$Q$244,5,0),0)</f>
        <v>0</v>
      </c>
      <c r="J9454" s="3">
        <f t="shared" si="589"/>
        <v>1900</v>
      </c>
    </row>
    <row r="9455" spans="1:10" s="9" customFormat="1" x14ac:dyDescent="0.25">
      <c r="A9455" s="447"/>
      <c r="B9455" s="55" t="str">
        <f t="shared" si="586"/>
        <v>ENERO</v>
      </c>
      <c r="C9455" s="55">
        <f t="shared" si="587"/>
        <v>1</v>
      </c>
      <c r="D9455" s="3" t="str">
        <f t="shared" si="588"/>
        <v>SÁBADO</v>
      </c>
      <c r="E9455" s="427"/>
      <c r="F9455" s="31">
        <f>IFERROR(VLOOKUP(E9455,BD!$L$2:$Q$244,2,0),0)</f>
        <v>0</v>
      </c>
      <c r="G9455" s="424"/>
      <c r="H9455" s="31">
        <f>+IFERROR(VLOOKUP(E9455,BD!$L$2:$Q$244,6,0),0)</f>
        <v>0</v>
      </c>
      <c r="I9455" s="626">
        <f>IFERROR(G9455*VLOOKUP($E9455,BD!$L$2:$Q$244,5,0),0)</f>
        <v>0</v>
      </c>
      <c r="J9455" s="3">
        <f t="shared" si="589"/>
        <v>1900</v>
      </c>
    </row>
    <row r="9456" spans="1:10" s="9" customFormat="1" x14ac:dyDescent="0.25">
      <c r="A9456" s="447"/>
      <c r="B9456" s="55" t="str">
        <f t="shared" si="586"/>
        <v>ENERO</v>
      </c>
      <c r="C9456" s="55">
        <f t="shared" si="587"/>
        <v>1</v>
      </c>
      <c r="D9456" s="3" t="str">
        <f t="shared" si="588"/>
        <v>SÁBADO</v>
      </c>
      <c r="E9456" s="427"/>
      <c r="F9456" s="31">
        <f>IFERROR(VLOOKUP(E9456,BD!$L$2:$Q$244,2,0),0)</f>
        <v>0</v>
      </c>
      <c r="G9456" s="424"/>
      <c r="H9456" s="31">
        <f>+IFERROR(VLOOKUP(E9456,BD!$L$2:$Q$244,6,0),0)</f>
        <v>0</v>
      </c>
      <c r="I9456" s="626">
        <f>IFERROR(G9456*VLOOKUP($E9456,BD!$L$2:$Q$244,5,0),0)</f>
        <v>0</v>
      </c>
      <c r="J9456" s="3">
        <f t="shared" si="589"/>
        <v>1900</v>
      </c>
    </row>
    <row r="9457" spans="1:10" s="9" customFormat="1" x14ac:dyDescent="0.25">
      <c r="A9457" s="447"/>
      <c r="B9457" s="55" t="str">
        <f t="shared" si="586"/>
        <v>ENERO</v>
      </c>
      <c r="C9457" s="55">
        <f t="shared" si="587"/>
        <v>1</v>
      </c>
      <c r="D9457" s="3" t="str">
        <f t="shared" si="588"/>
        <v>SÁBADO</v>
      </c>
      <c r="E9457" s="427"/>
      <c r="F9457" s="31">
        <f>IFERROR(VLOOKUP(E9457,BD!$L$2:$Q$244,2,0),0)</f>
        <v>0</v>
      </c>
      <c r="G9457" s="424"/>
      <c r="H9457" s="31">
        <f>+IFERROR(VLOOKUP(E9457,BD!$L$2:$Q$244,6,0),0)</f>
        <v>0</v>
      </c>
      <c r="I9457" s="626">
        <f>IFERROR(G9457*VLOOKUP($E9457,BD!$L$2:$Q$244,5,0),0)</f>
        <v>0</v>
      </c>
      <c r="J9457" s="3">
        <f t="shared" si="589"/>
        <v>1900</v>
      </c>
    </row>
    <row r="9458" spans="1:10" s="9" customFormat="1" x14ac:dyDescent="0.25">
      <c r="A9458" s="447"/>
      <c r="B9458" s="55" t="str">
        <f t="shared" si="586"/>
        <v>ENERO</v>
      </c>
      <c r="C9458" s="55">
        <f t="shared" si="587"/>
        <v>1</v>
      </c>
      <c r="D9458" s="3" t="str">
        <f t="shared" si="588"/>
        <v>SÁBADO</v>
      </c>
      <c r="E9458" s="427"/>
      <c r="F9458" s="31">
        <f>IFERROR(VLOOKUP(E9458,BD!$L$2:$Q$244,2,0),0)</f>
        <v>0</v>
      </c>
      <c r="G9458" s="424"/>
      <c r="H9458" s="31">
        <f>+IFERROR(VLOOKUP(E9458,BD!$L$2:$Q$244,6,0),0)</f>
        <v>0</v>
      </c>
      <c r="I9458" s="626">
        <f>IFERROR(G9458*VLOOKUP($E9458,BD!$L$2:$Q$244,5,0),0)</f>
        <v>0</v>
      </c>
      <c r="J9458" s="3">
        <f t="shared" si="589"/>
        <v>1900</v>
      </c>
    </row>
    <row r="9459" spans="1:10" s="9" customFormat="1" x14ac:dyDescent="0.25">
      <c r="A9459" s="447"/>
      <c r="B9459" s="55" t="str">
        <f t="shared" si="586"/>
        <v>ENERO</v>
      </c>
      <c r="C9459" s="55">
        <f t="shared" si="587"/>
        <v>1</v>
      </c>
      <c r="D9459" s="3" t="str">
        <f t="shared" si="588"/>
        <v>SÁBADO</v>
      </c>
      <c r="E9459" s="427"/>
      <c r="F9459" s="31">
        <f>IFERROR(VLOOKUP(E9459,BD!$L$2:$Q$244,2,0),0)</f>
        <v>0</v>
      </c>
      <c r="G9459" s="424"/>
      <c r="H9459" s="31">
        <f>+IFERROR(VLOOKUP(E9459,BD!$L$2:$Q$244,6,0),0)</f>
        <v>0</v>
      </c>
      <c r="I9459" s="626">
        <f>IFERROR(G9459*VLOOKUP($E9459,BD!$L$2:$Q$244,5,0),0)</f>
        <v>0</v>
      </c>
      <c r="J9459" s="3">
        <f t="shared" si="589"/>
        <v>1900</v>
      </c>
    </row>
    <row r="9460" spans="1:10" s="9" customFormat="1" x14ac:dyDescent="0.25">
      <c r="A9460" s="447"/>
      <c r="B9460" s="55" t="str">
        <f t="shared" si="586"/>
        <v>ENERO</v>
      </c>
      <c r="C9460" s="55">
        <f t="shared" si="587"/>
        <v>1</v>
      </c>
      <c r="D9460" s="3" t="str">
        <f t="shared" si="588"/>
        <v>SÁBADO</v>
      </c>
      <c r="E9460" s="427"/>
      <c r="F9460" s="31">
        <f>IFERROR(VLOOKUP(E9460,BD!$L$2:$Q$244,2,0),0)</f>
        <v>0</v>
      </c>
      <c r="G9460" s="424"/>
      <c r="H9460" s="31">
        <f>+IFERROR(VLOOKUP(E9460,BD!$L$2:$Q$244,6,0),0)</f>
        <v>0</v>
      </c>
      <c r="I9460" s="626">
        <f>IFERROR(G9460*VLOOKUP($E9460,BD!$L$2:$Q$244,5,0),0)</f>
        <v>0</v>
      </c>
      <c r="J9460" s="3">
        <f t="shared" si="589"/>
        <v>1900</v>
      </c>
    </row>
    <row r="9461" spans="1:10" s="9" customFormat="1" x14ac:dyDescent="0.25">
      <c r="A9461" s="447"/>
      <c r="B9461" s="55" t="str">
        <f t="shared" si="586"/>
        <v>ENERO</v>
      </c>
      <c r="C9461" s="55">
        <f t="shared" si="587"/>
        <v>1</v>
      </c>
      <c r="D9461" s="3" t="str">
        <f t="shared" si="588"/>
        <v>SÁBADO</v>
      </c>
      <c r="E9461" s="427"/>
      <c r="F9461" s="31">
        <f>IFERROR(VLOOKUP(E9461,BD!$L$2:$Q$244,2,0),0)</f>
        <v>0</v>
      </c>
      <c r="G9461" s="424"/>
      <c r="H9461" s="31">
        <f>+IFERROR(VLOOKUP(E9461,BD!$L$2:$Q$244,6,0),0)</f>
        <v>0</v>
      </c>
      <c r="I9461" s="626">
        <f>IFERROR(G9461*VLOOKUP($E9461,BD!$L$2:$Q$244,5,0),0)</f>
        <v>0</v>
      </c>
      <c r="J9461" s="3">
        <f t="shared" si="589"/>
        <v>1900</v>
      </c>
    </row>
    <row r="9462" spans="1:10" s="9" customFormat="1" x14ac:dyDescent="0.25">
      <c r="A9462" s="447"/>
      <c r="B9462" s="55" t="str">
        <f t="shared" si="586"/>
        <v>ENERO</v>
      </c>
      <c r="C9462" s="55">
        <f t="shared" si="587"/>
        <v>1</v>
      </c>
      <c r="D9462" s="3" t="str">
        <f t="shared" si="588"/>
        <v>SÁBADO</v>
      </c>
      <c r="E9462" s="427"/>
      <c r="F9462" s="31">
        <f>IFERROR(VLOOKUP(E9462,BD!$L$2:$Q$244,2,0),0)</f>
        <v>0</v>
      </c>
      <c r="G9462" s="424"/>
      <c r="H9462" s="31">
        <f>+IFERROR(VLOOKUP(E9462,BD!$L$2:$Q$244,6,0),0)</f>
        <v>0</v>
      </c>
      <c r="I9462" s="626">
        <f>IFERROR(G9462*VLOOKUP($E9462,BD!$L$2:$Q$244,5,0),0)</f>
        <v>0</v>
      </c>
      <c r="J9462" s="3">
        <f t="shared" si="589"/>
        <v>1900</v>
      </c>
    </row>
    <row r="9463" spans="1:10" s="9" customFormat="1" x14ac:dyDescent="0.25">
      <c r="A9463" s="447"/>
      <c r="B9463" s="55" t="str">
        <f t="shared" si="586"/>
        <v>ENERO</v>
      </c>
      <c r="C9463" s="55">
        <f t="shared" si="587"/>
        <v>1</v>
      </c>
      <c r="D9463" s="3" t="str">
        <f t="shared" si="588"/>
        <v>SÁBADO</v>
      </c>
      <c r="E9463" s="427"/>
      <c r="F9463" s="31">
        <f>IFERROR(VLOOKUP(E9463,BD!$L$2:$Q$244,2,0),0)</f>
        <v>0</v>
      </c>
      <c r="G9463" s="424"/>
      <c r="H9463" s="31">
        <f>+IFERROR(VLOOKUP(E9463,BD!$L$2:$Q$244,6,0),0)</f>
        <v>0</v>
      </c>
      <c r="I9463" s="626">
        <f>IFERROR(G9463*VLOOKUP($E9463,BD!$L$2:$Q$244,5,0),0)</f>
        <v>0</v>
      </c>
      <c r="J9463" s="3">
        <f t="shared" si="589"/>
        <v>1900</v>
      </c>
    </row>
    <row r="9464" spans="1:10" s="9" customFormat="1" x14ac:dyDescent="0.25">
      <c r="A9464" s="447"/>
      <c r="B9464" s="55" t="str">
        <f t="shared" si="586"/>
        <v>ENERO</v>
      </c>
      <c r="C9464" s="55">
        <f t="shared" si="587"/>
        <v>1</v>
      </c>
      <c r="D9464" s="3" t="str">
        <f t="shared" si="588"/>
        <v>SÁBADO</v>
      </c>
      <c r="E9464" s="427"/>
      <c r="F9464" s="31">
        <f>IFERROR(VLOOKUP(E9464,BD!$L$2:$Q$244,2,0),0)</f>
        <v>0</v>
      </c>
      <c r="G9464" s="424"/>
      <c r="H9464" s="31">
        <f>+IFERROR(VLOOKUP(E9464,BD!$L$2:$Q$244,6,0),0)</f>
        <v>0</v>
      </c>
      <c r="I9464" s="626">
        <f>IFERROR(G9464*VLOOKUP($E9464,BD!$L$2:$Q$244,5,0),0)</f>
        <v>0</v>
      </c>
      <c r="J9464" s="3">
        <f t="shared" si="589"/>
        <v>1900</v>
      </c>
    </row>
    <row r="9465" spans="1:10" s="9" customFormat="1" x14ac:dyDescent="0.25">
      <c r="A9465" s="447"/>
      <c r="B9465" s="55" t="str">
        <f t="shared" si="586"/>
        <v>ENERO</v>
      </c>
      <c r="C9465" s="55">
        <f t="shared" si="587"/>
        <v>1</v>
      </c>
      <c r="D9465" s="3" t="str">
        <f t="shared" si="588"/>
        <v>SÁBADO</v>
      </c>
      <c r="E9465" s="427"/>
      <c r="F9465" s="31">
        <f>IFERROR(VLOOKUP(E9465,BD!$L$2:$Q$244,2,0),0)</f>
        <v>0</v>
      </c>
      <c r="G9465" s="425"/>
      <c r="H9465" s="31">
        <f>+IFERROR(VLOOKUP(E9465,BD!$L$2:$Q$244,6,0),0)</f>
        <v>0</v>
      </c>
      <c r="I9465" s="626">
        <f>IFERROR(G9465*VLOOKUP($E9465,BD!$L$2:$Q$244,5,0),0)</f>
        <v>0</v>
      </c>
      <c r="J9465" s="3">
        <f t="shared" si="589"/>
        <v>1900</v>
      </c>
    </row>
    <row r="9466" spans="1:10" s="9" customFormat="1" x14ac:dyDescent="0.25">
      <c r="A9466" s="447"/>
      <c r="B9466" s="55" t="str">
        <f t="shared" si="586"/>
        <v>ENERO</v>
      </c>
      <c r="C9466" s="55">
        <f t="shared" si="587"/>
        <v>1</v>
      </c>
      <c r="D9466" s="3" t="str">
        <f t="shared" si="588"/>
        <v>SÁBADO</v>
      </c>
      <c r="E9466" s="427"/>
      <c r="F9466" s="31">
        <f>IFERROR(VLOOKUP(E9466,BD!$L$2:$Q$244,2,0),0)</f>
        <v>0</v>
      </c>
      <c r="G9466" s="425"/>
      <c r="H9466" s="31">
        <f>+IFERROR(VLOOKUP(E9466,BD!$L$2:$Q$244,6,0),0)</f>
        <v>0</v>
      </c>
      <c r="I9466" s="626">
        <f>IFERROR(G9466*VLOOKUP($E9466,BD!$L$2:$Q$244,5,0),0)</f>
        <v>0</v>
      </c>
      <c r="J9466" s="3">
        <f t="shared" si="589"/>
        <v>1900</v>
      </c>
    </row>
    <row r="9467" spans="1:10" s="9" customFormat="1" x14ac:dyDescent="0.25">
      <c r="A9467" s="447"/>
      <c r="B9467" s="55" t="str">
        <f t="shared" si="586"/>
        <v>ENERO</v>
      </c>
      <c r="C9467" s="55">
        <f t="shared" si="587"/>
        <v>1</v>
      </c>
      <c r="D9467" s="3" t="str">
        <f t="shared" si="588"/>
        <v>SÁBADO</v>
      </c>
      <c r="E9467" s="427"/>
      <c r="F9467" s="31">
        <f>IFERROR(VLOOKUP(E9467,BD!$L$2:$Q$244,2,0),0)</f>
        <v>0</v>
      </c>
      <c r="G9467" s="424"/>
      <c r="H9467" s="31">
        <f>+IFERROR(VLOOKUP(E9467,BD!$L$2:$Q$244,6,0),0)</f>
        <v>0</v>
      </c>
      <c r="I9467" s="626">
        <f>IFERROR(G9467*VLOOKUP($E9467,BD!$L$2:$Q$244,5,0),0)</f>
        <v>0</v>
      </c>
      <c r="J9467" s="3">
        <f t="shared" si="589"/>
        <v>1900</v>
      </c>
    </row>
    <row r="9468" spans="1:10" s="9" customFormat="1" x14ac:dyDescent="0.25">
      <c r="A9468" s="447"/>
      <c r="B9468" s="55" t="str">
        <f t="shared" ref="B9468:B9531" si="590">UPPER(TEXT(A9468,"MMMM"))</f>
        <v>ENERO</v>
      </c>
      <c r="C9468" s="55">
        <f t="shared" ref="C9468:C9531" si="591">WEEKNUM(A9468,16)</f>
        <v>1</v>
      </c>
      <c r="D9468" s="3" t="str">
        <f t="shared" ref="D9468:D9531" si="592">UPPER(TEXT(A9468,"DDDD"))</f>
        <v>SÁBADO</v>
      </c>
      <c r="E9468" s="427"/>
      <c r="F9468" s="31">
        <f>IFERROR(VLOOKUP(E9468,BD!$L$2:$Q$244,2,0),0)</f>
        <v>0</v>
      </c>
      <c r="G9468" s="424"/>
      <c r="H9468" s="31">
        <f>+IFERROR(VLOOKUP(E9468,BD!$L$2:$Q$244,6,0),0)</f>
        <v>0</v>
      </c>
      <c r="I9468" s="626">
        <f>IFERROR(G9468*VLOOKUP($E9468,BD!$L$2:$Q$244,5,0),0)</f>
        <v>0</v>
      </c>
      <c r="J9468" s="3">
        <f t="shared" ref="J9468:J9531" si="593">+YEAR(A9468)</f>
        <v>1900</v>
      </c>
    </row>
    <row r="9469" spans="1:10" s="9" customFormat="1" x14ac:dyDescent="0.25">
      <c r="A9469" s="447"/>
      <c r="B9469" s="55" t="str">
        <f t="shared" si="590"/>
        <v>ENERO</v>
      </c>
      <c r="C9469" s="55">
        <f t="shared" si="591"/>
        <v>1</v>
      </c>
      <c r="D9469" s="3" t="str">
        <f t="shared" si="592"/>
        <v>SÁBADO</v>
      </c>
      <c r="E9469" s="427"/>
      <c r="F9469" s="31">
        <f>IFERROR(VLOOKUP(E9469,BD!$L$2:$Q$244,2,0),0)</f>
        <v>0</v>
      </c>
      <c r="G9469" s="424"/>
      <c r="H9469" s="31">
        <f>+IFERROR(VLOOKUP(E9469,BD!$L$2:$Q$244,6,0),0)</f>
        <v>0</v>
      </c>
      <c r="I9469" s="626">
        <f>IFERROR(G9469*VLOOKUP($E9469,BD!$L$2:$Q$244,5,0),0)</f>
        <v>0</v>
      </c>
      <c r="J9469" s="3">
        <f t="shared" si="593"/>
        <v>1900</v>
      </c>
    </row>
    <row r="9470" spans="1:10" s="9" customFormat="1" x14ac:dyDescent="0.25">
      <c r="A9470" s="447"/>
      <c r="B9470" s="55" t="str">
        <f t="shared" si="590"/>
        <v>ENERO</v>
      </c>
      <c r="C9470" s="55">
        <f t="shared" si="591"/>
        <v>1</v>
      </c>
      <c r="D9470" s="3" t="str">
        <f t="shared" si="592"/>
        <v>SÁBADO</v>
      </c>
      <c r="E9470" s="427"/>
      <c r="F9470" s="31">
        <f>IFERROR(VLOOKUP(E9470,BD!$L$2:$Q$244,2,0),0)</f>
        <v>0</v>
      </c>
      <c r="G9470" s="424"/>
      <c r="H9470" s="31">
        <f>+IFERROR(VLOOKUP(E9470,BD!$L$2:$Q$244,6,0),0)</f>
        <v>0</v>
      </c>
      <c r="I9470" s="626">
        <f>IFERROR(G9470*VLOOKUP($E9470,BD!$L$2:$Q$244,5,0),0)</f>
        <v>0</v>
      </c>
      <c r="J9470" s="3">
        <f t="shared" si="593"/>
        <v>1900</v>
      </c>
    </row>
    <row r="9471" spans="1:10" s="9" customFormat="1" x14ac:dyDescent="0.25">
      <c r="A9471" s="447"/>
      <c r="B9471" s="55" t="str">
        <f t="shared" si="590"/>
        <v>ENERO</v>
      </c>
      <c r="C9471" s="55">
        <f t="shared" si="591"/>
        <v>1</v>
      </c>
      <c r="D9471" s="3" t="str">
        <f t="shared" si="592"/>
        <v>SÁBADO</v>
      </c>
      <c r="E9471" s="427"/>
      <c r="F9471" s="31">
        <f>IFERROR(VLOOKUP(E9471,BD!$L$2:$Q$244,2,0),0)</f>
        <v>0</v>
      </c>
      <c r="G9471" s="424"/>
      <c r="H9471" s="31">
        <f>+IFERROR(VLOOKUP(E9471,BD!$L$2:$Q$244,6,0),0)</f>
        <v>0</v>
      </c>
      <c r="I9471" s="626">
        <f>IFERROR(G9471*VLOOKUP($E9471,BD!$L$2:$Q$244,5,0),0)</f>
        <v>0</v>
      </c>
      <c r="J9471" s="3">
        <f t="shared" si="593"/>
        <v>1900</v>
      </c>
    </row>
    <row r="9472" spans="1:10" s="9" customFormat="1" x14ac:dyDescent="0.25">
      <c r="A9472" s="447"/>
      <c r="B9472" s="55" t="str">
        <f t="shared" si="590"/>
        <v>ENERO</v>
      </c>
      <c r="C9472" s="55">
        <f t="shared" si="591"/>
        <v>1</v>
      </c>
      <c r="D9472" s="3" t="str">
        <f t="shared" si="592"/>
        <v>SÁBADO</v>
      </c>
      <c r="E9472" s="427"/>
      <c r="F9472" s="31">
        <f>IFERROR(VLOOKUP(E9472,BD!$L$2:$Q$244,2,0),0)</f>
        <v>0</v>
      </c>
      <c r="G9472" s="425"/>
      <c r="H9472" s="31">
        <f>+IFERROR(VLOOKUP(E9472,BD!$L$2:$Q$244,6,0),0)</f>
        <v>0</v>
      </c>
      <c r="I9472" s="626">
        <f>IFERROR(G9472*VLOOKUP($E9472,BD!$L$2:$Q$244,5,0),0)</f>
        <v>0</v>
      </c>
      <c r="J9472" s="3">
        <f t="shared" si="593"/>
        <v>1900</v>
      </c>
    </row>
    <row r="9473" spans="1:10" s="9" customFormat="1" x14ac:dyDescent="0.25">
      <c r="A9473" s="447"/>
      <c r="B9473" s="55" t="str">
        <f t="shared" si="590"/>
        <v>ENERO</v>
      </c>
      <c r="C9473" s="55">
        <f t="shared" si="591"/>
        <v>1</v>
      </c>
      <c r="D9473" s="3" t="str">
        <f t="shared" si="592"/>
        <v>SÁBADO</v>
      </c>
      <c r="E9473" s="427"/>
      <c r="F9473" s="31">
        <f>IFERROR(VLOOKUP(E9473,BD!$L$2:$Q$244,2,0),0)</f>
        <v>0</v>
      </c>
      <c r="G9473" s="424"/>
      <c r="H9473" s="31">
        <f>+IFERROR(VLOOKUP(E9473,BD!$L$2:$Q$244,6,0),0)</f>
        <v>0</v>
      </c>
      <c r="I9473" s="626">
        <f>IFERROR(G9473*VLOOKUP($E9473,BD!$L$2:$Q$244,5,0),0)</f>
        <v>0</v>
      </c>
      <c r="J9473" s="3">
        <f t="shared" si="593"/>
        <v>1900</v>
      </c>
    </row>
    <row r="9474" spans="1:10" s="9" customFormat="1" x14ac:dyDescent="0.25">
      <c r="A9474" s="447"/>
      <c r="B9474" s="55" t="str">
        <f t="shared" si="590"/>
        <v>ENERO</v>
      </c>
      <c r="C9474" s="55">
        <f t="shared" si="591"/>
        <v>1</v>
      </c>
      <c r="D9474" s="3" t="str">
        <f t="shared" si="592"/>
        <v>SÁBADO</v>
      </c>
      <c r="E9474" s="427"/>
      <c r="F9474" s="31">
        <f>IFERROR(VLOOKUP(E9474,BD!$L$2:$Q$244,2,0),0)</f>
        <v>0</v>
      </c>
      <c r="G9474" s="424"/>
      <c r="H9474" s="31">
        <f>+IFERROR(VLOOKUP(E9474,BD!$L$2:$Q$244,6,0),0)</f>
        <v>0</v>
      </c>
      <c r="I9474" s="626">
        <f>IFERROR(G9474*VLOOKUP($E9474,BD!$L$2:$Q$244,5,0),0)</f>
        <v>0</v>
      </c>
      <c r="J9474" s="3">
        <f t="shared" si="593"/>
        <v>1900</v>
      </c>
    </row>
    <row r="9475" spans="1:10" s="9" customFormat="1" x14ac:dyDescent="0.25">
      <c r="A9475" s="447"/>
      <c r="B9475" s="55" t="str">
        <f t="shared" si="590"/>
        <v>ENERO</v>
      </c>
      <c r="C9475" s="55">
        <f t="shared" si="591"/>
        <v>1</v>
      </c>
      <c r="D9475" s="3" t="str">
        <f t="shared" si="592"/>
        <v>SÁBADO</v>
      </c>
      <c r="E9475" s="427"/>
      <c r="F9475" s="31">
        <f>IFERROR(VLOOKUP(E9475,BD!$L$2:$Q$244,2,0),0)</f>
        <v>0</v>
      </c>
      <c r="G9475" s="424"/>
      <c r="H9475" s="31">
        <f>+IFERROR(VLOOKUP(E9475,BD!$L$2:$Q$244,6,0),0)</f>
        <v>0</v>
      </c>
      <c r="I9475" s="626">
        <f>IFERROR(G9475*VLOOKUP($E9475,BD!$L$2:$Q$244,5,0),0)</f>
        <v>0</v>
      </c>
      <c r="J9475" s="3">
        <f t="shared" si="593"/>
        <v>1900</v>
      </c>
    </row>
    <row r="9476" spans="1:10" s="9" customFormat="1" x14ac:dyDescent="0.25">
      <c r="A9476" s="447"/>
      <c r="B9476" s="55" t="str">
        <f t="shared" si="590"/>
        <v>ENERO</v>
      </c>
      <c r="C9476" s="55">
        <f t="shared" si="591"/>
        <v>1</v>
      </c>
      <c r="D9476" s="3" t="str">
        <f t="shared" si="592"/>
        <v>SÁBADO</v>
      </c>
      <c r="E9476" s="427"/>
      <c r="F9476" s="31">
        <f>IFERROR(VLOOKUP(E9476,BD!$L$2:$Q$244,2,0),0)</f>
        <v>0</v>
      </c>
      <c r="G9476" s="424"/>
      <c r="H9476" s="31">
        <f>+IFERROR(VLOOKUP(E9476,BD!$L$2:$Q$244,6,0),0)</f>
        <v>0</v>
      </c>
      <c r="I9476" s="626">
        <f>IFERROR(G9476*VLOOKUP($E9476,BD!$L$2:$Q$244,5,0),0)</f>
        <v>0</v>
      </c>
      <c r="J9476" s="3">
        <f t="shared" si="593"/>
        <v>1900</v>
      </c>
    </row>
    <row r="9477" spans="1:10" s="9" customFormat="1" x14ac:dyDescent="0.25">
      <c r="A9477" s="447"/>
      <c r="B9477" s="55" t="str">
        <f t="shared" si="590"/>
        <v>ENERO</v>
      </c>
      <c r="C9477" s="55">
        <f t="shared" si="591"/>
        <v>1</v>
      </c>
      <c r="D9477" s="3" t="str">
        <f t="shared" si="592"/>
        <v>SÁBADO</v>
      </c>
      <c r="E9477" s="427"/>
      <c r="F9477" s="31">
        <f>IFERROR(VLOOKUP(E9477,BD!$L$2:$Q$244,2,0),0)</f>
        <v>0</v>
      </c>
      <c r="G9477" s="424"/>
      <c r="H9477" s="31">
        <f>+IFERROR(VLOOKUP(E9477,BD!$L$2:$Q$244,6,0),0)</f>
        <v>0</v>
      </c>
      <c r="I9477" s="626">
        <f>IFERROR(G9477*VLOOKUP($E9477,BD!$L$2:$Q$244,5,0),0)</f>
        <v>0</v>
      </c>
      <c r="J9477" s="3">
        <f t="shared" si="593"/>
        <v>1900</v>
      </c>
    </row>
    <row r="9478" spans="1:10" s="9" customFormat="1" x14ac:dyDescent="0.25">
      <c r="A9478" s="447"/>
      <c r="B9478" s="55" t="str">
        <f t="shared" si="590"/>
        <v>ENERO</v>
      </c>
      <c r="C9478" s="55">
        <f t="shared" si="591"/>
        <v>1</v>
      </c>
      <c r="D9478" s="3" t="str">
        <f t="shared" si="592"/>
        <v>SÁBADO</v>
      </c>
      <c r="E9478" s="427"/>
      <c r="F9478" s="31">
        <f>IFERROR(VLOOKUP(E9478,BD!$L$2:$Q$244,2,0),0)</f>
        <v>0</v>
      </c>
      <c r="G9478" s="424"/>
      <c r="H9478" s="31">
        <f>+IFERROR(VLOOKUP(E9478,BD!$L$2:$Q$244,6,0),0)</f>
        <v>0</v>
      </c>
      <c r="I9478" s="626">
        <f>IFERROR(G9478*VLOOKUP($E9478,BD!$L$2:$Q$244,5,0),0)</f>
        <v>0</v>
      </c>
      <c r="J9478" s="3">
        <f t="shared" si="593"/>
        <v>1900</v>
      </c>
    </row>
    <row r="9479" spans="1:10" s="9" customFormat="1" x14ac:dyDescent="0.25">
      <c r="A9479" s="447"/>
      <c r="B9479" s="55" t="str">
        <f t="shared" si="590"/>
        <v>ENERO</v>
      </c>
      <c r="C9479" s="55">
        <f t="shared" si="591"/>
        <v>1</v>
      </c>
      <c r="D9479" s="3" t="str">
        <f t="shared" si="592"/>
        <v>SÁBADO</v>
      </c>
      <c r="E9479" s="427"/>
      <c r="F9479" s="31">
        <f>IFERROR(VLOOKUP(E9479,BD!$L$2:$Q$244,2,0),0)</f>
        <v>0</v>
      </c>
      <c r="G9479" s="424"/>
      <c r="H9479" s="31">
        <f>+IFERROR(VLOOKUP(E9479,BD!$L$2:$Q$244,6,0),0)</f>
        <v>0</v>
      </c>
      <c r="I9479" s="626">
        <f>IFERROR(G9479*VLOOKUP($E9479,BD!$L$2:$Q$244,5,0),0)</f>
        <v>0</v>
      </c>
      <c r="J9479" s="3">
        <f t="shared" si="593"/>
        <v>1900</v>
      </c>
    </row>
    <row r="9480" spans="1:10" s="9" customFormat="1" x14ac:dyDescent="0.25">
      <c r="A9480" s="447"/>
      <c r="B9480" s="55" t="str">
        <f t="shared" si="590"/>
        <v>ENERO</v>
      </c>
      <c r="C9480" s="55">
        <f t="shared" si="591"/>
        <v>1</v>
      </c>
      <c r="D9480" s="3" t="str">
        <f t="shared" si="592"/>
        <v>SÁBADO</v>
      </c>
      <c r="E9480" s="427"/>
      <c r="F9480" s="31">
        <f>IFERROR(VLOOKUP(E9480,BD!$L$2:$Q$244,2,0),0)</f>
        <v>0</v>
      </c>
      <c r="G9480" s="424"/>
      <c r="H9480" s="31">
        <f>+IFERROR(VLOOKUP(E9480,BD!$L$2:$Q$244,6,0),0)</f>
        <v>0</v>
      </c>
      <c r="I9480" s="626">
        <f>IFERROR(G9480*VLOOKUP($E9480,BD!$L$2:$Q$244,5,0),0)</f>
        <v>0</v>
      </c>
      <c r="J9480" s="3">
        <f t="shared" si="593"/>
        <v>1900</v>
      </c>
    </row>
    <row r="9481" spans="1:10" s="9" customFormat="1" x14ac:dyDescent="0.25">
      <c r="A9481" s="447"/>
      <c r="B9481" s="55" t="str">
        <f t="shared" si="590"/>
        <v>ENERO</v>
      </c>
      <c r="C9481" s="55">
        <f t="shared" si="591"/>
        <v>1</v>
      </c>
      <c r="D9481" s="3" t="str">
        <f t="shared" si="592"/>
        <v>SÁBADO</v>
      </c>
      <c r="E9481" s="427"/>
      <c r="F9481" s="31">
        <f>IFERROR(VLOOKUP(E9481,BD!$L$2:$Q$244,2,0),0)</f>
        <v>0</v>
      </c>
      <c r="G9481" s="424"/>
      <c r="H9481" s="31">
        <f>+IFERROR(VLOOKUP(E9481,BD!$L$2:$Q$244,6,0),0)</f>
        <v>0</v>
      </c>
      <c r="I9481" s="626">
        <f>IFERROR(G9481*VLOOKUP($E9481,BD!$L$2:$Q$244,5,0),0)</f>
        <v>0</v>
      </c>
      <c r="J9481" s="3">
        <f t="shared" si="593"/>
        <v>1900</v>
      </c>
    </row>
    <row r="9482" spans="1:10" s="9" customFormat="1" x14ac:dyDescent="0.25">
      <c r="A9482" s="447"/>
      <c r="B9482" s="55" t="str">
        <f t="shared" si="590"/>
        <v>ENERO</v>
      </c>
      <c r="C9482" s="55">
        <f t="shared" si="591"/>
        <v>1</v>
      </c>
      <c r="D9482" s="3" t="str">
        <f t="shared" si="592"/>
        <v>SÁBADO</v>
      </c>
      <c r="E9482" s="427"/>
      <c r="F9482" s="31">
        <f>IFERROR(VLOOKUP(E9482,BD!$L$2:$Q$244,2,0),0)</f>
        <v>0</v>
      </c>
      <c r="G9482" s="425"/>
      <c r="H9482" s="31">
        <f>+IFERROR(VLOOKUP(E9482,BD!$L$2:$Q$244,6,0),0)</f>
        <v>0</v>
      </c>
      <c r="I9482" s="626">
        <f>IFERROR(G9482*VLOOKUP($E9482,BD!$L$2:$Q$244,5,0),0)</f>
        <v>0</v>
      </c>
      <c r="J9482" s="3">
        <f t="shared" si="593"/>
        <v>1900</v>
      </c>
    </row>
    <row r="9483" spans="1:10" s="9" customFormat="1" x14ac:dyDescent="0.25">
      <c r="A9483" s="447"/>
      <c r="B9483" s="55" t="str">
        <f t="shared" si="590"/>
        <v>ENERO</v>
      </c>
      <c r="C9483" s="55">
        <f t="shared" si="591"/>
        <v>1</v>
      </c>
      <c r="D9483" s="3" t="str">
        <f t="shared" si="592"/>
        <v>SÁBADO</v>
      </c>
      <c r="E9483" s="427"/>
      <c r="F9483" s="31">
        <f>IFERROR(VLOOKUP(E9483,BD!$L$2:$Q$244,2,0),0)</f>
        <v>0</v>
      </c>
      <c r="G9483" s="424"/>
      <c r="H9483" s="31">
        <f>+IFERROR(VLOOKUP(E9483,BD!$L$2:$Q$244,6,0),0)</f>
        <v>0</v>
      </c>
      <c r="I9483" s="626">
        <f>IFERROR(G9483*VLOOKUP($E9483,BD!$L$2:$Q$244,5,0),0)</f>
        <v>0</v>
      </c>
      <c r="J9483" s="3">
        <f t="shared" si="593"/>
        <v>1900</v>
      </c>
    </row>
    <row r="9484" spans="1:10" s="9" customFormat="1" x14ac:dyDescent="0.25">
      <c r="A9484" s="447"/>
      <c r="B9484" s="55" t="str">
        <f t="shared" si="590"/>
        <v>ENERO</v>
      </c>
      <c r="C9484" s="55">
        <f t="shared" si="591"/>
        <v>1</v>
      </c>
      <c r="D9484" s="3" t="str">
        <f t="shared" si="592"/>
        <v>SÁBADO</v>
      </c>
      <c r="E9484" s="427"/>
      <c r="F9484" s="31">
        <f>IFERROR(VLOOKUP(E9484,BD!$L$2:$Q$244,2,0),0)</f>
        <v>0</v>
      </c>
      <c r="G9484" s="424"/>
      <c r="H9484" s="31">
        <f>+IFERROR(VLOOKUP(E9484,BD!$L$2:$Q$244,6,0),0)</f>
        <v>0</v>
      </c>
      <c r="I9484" s="626">
        <f>IFERROR(G9484*VLOOKUP($E9484,BD!$L$2:$Q$244,5,0),0)</f>
        <v>0</v>
      </c>
      <c r="J9484" s="3">
        <f t="shared" si="593"/>
        <v>1900</v>
      </c>
    </row>
    <row r="9485" spans="1:10" s="9" customFormat="1" x14ac:dyDescent="0.25">
      <c r="A9485" s="447"/>
      <c r="B9485" s="55" t="str">
        <f t="shared" si="590"/>
        <v>ENERO</v>
      </c>
      <c r="C9485" s="55">
        <f t="shared" si="591"/>
        <v>1</v>
      </c>
      <c r="D9485" s="3" t="str">
        <f t="shared" si="592"/>
        <v>SÁBADO</v>
      </c>
      <c r="E9485" s="427"/>
      <c r="F9485" s="31">
        <f>IFERROR(VLOOKUP(E9485,BD!$L$2:$Q$244,2,0),0)</f>
        <v>0</v>
      </c>
      <c r="G9485" s="424"/>
      <c r="H9485" s="31">
        <f>+IFERROR(VLOOKUP(E9485,BD!$L$2:$Q$244,6,0),0)</f>
        <v>0</v>
      </c>
      <c r="I9485" s="626">
        <f>IFERROR(G9485*VLOOKUP($E9485,BD!$L$2:$Q$244,5,0),0)</f>
        <v>0</v>
      </c>
      <c r="J9485" s="3">
        <f t="shared" si="593"/>
        <v>1900</v>
      </c>
    </row>
    <row r="9486" spans="1:10" s="9" customFormat="1" x14ac:dyDescent="0.25">
      <c r="A9486" s="447"/>
      <c r="B9486" s="55" t="str">
        <f t="shared" si="590"/>
        <v>ENERO</v>
      </c>
      <c r="C9486" s="55">
        <f t="shared" si="591"/>
        <v>1</v>
      </c>
      <c r="D9486" s="3" t="str">
        <f t="shared" si="592"/>
        <v>SÁBADO</v>
      </c>
      <c r="E9486" s="427"/>
      <c r="F9486" s="31">
        <f>IFERROR(VLOOKUP(E9486,BD!$L$2:$Q$244,2,0),0)</f>
        <v>0</v>
      </c>
      <c r="G9486" s="424"/>
      <c r="H9486" s="31">
        <f>+IFERROR(VLOOKUP(E9486,BD!$L$2:$Q$244,6,0),0)</f>
        <v>0</v>
      </c>
      <c r="I9486" s="626">
        <f>IFERROR(G9486*VLOOKUP($E9486,BD!$L$2:$Q$244,5,0),0)</f>
        <v>0</v>
      </c>
      <c r="J9486" s="3">
        <f t="shared" si="593"/>
        <v>1900</v>
      </c>
    </row>
    <row r="9487" spans="1:10" s="9" customFormat="1" x14ac:dyDescent="0.25">
      <c r="A9487" s="447"/>
      <c r="B9487" s="55" t="str">
        <f t="shared" si="590"/>
        <v>ENERO</v>
      </c>
      <c r="C9487" s="55">
        <f t="shared" si="591"/>
        <v>1</v>
      </c>
      <c r="D9487" s="3" t="str">
        <f t="shared" si="592"/>
        <v>SÁBADO</v>
      </c>
      <c r="E9487" s="427"/>
      <c r="F9487" s="31">
        <f>IFERROR(VLOOKUP(E9487,BD!$L$2:$Q$244,2,0),0)</f>
        <v>0</v>
      </c>
      <c r="G9487" s="424"/>
      <c r="H9487" s="31">
        <f>+IFERROR(VLOOKUP(E9487,BD!$L$2:$Q$244,6,0),0)</f>
        <v>0</v>
      </c>
      <c r="I9487" s="626">
        <f>IFERROR(G9487*VLOOKUP($E9487,BD!$L$2:$Q$244,5,0),0)</f>
        <v>0</v>
      </c>
      <c r="J9487" s="3">
        <f t="shared" si="593"/>
        <v>1900</v>
      </c>
    </row>
    <row r="9488" spans="1:10" s="9" customFormat="1" x14ac:dyDescent="0.25">
      <c r="A9488" s="447"/>
      <c r="B9488" s="55" t="str">
        <f t="shared" si="590"/>
        <v>ENERO</v>
      </c>
      <c r="C9488" s="55">
        <f t="shared" si="591"/>
        <v>1</v>
      </c>
      <c r="D9488" s="3" t="str">
        <f t="shared" si="592"/>
        <v>SÁBADO</v>
      </c>
      <c r="E9488" s="427"/>
      <c r="F9488" s="31">
        <f>IFERROR(VLOOKUP(E9488,BD!$L$2:$Q$244,2,0),0)</f>
        <v>0</v>
      </c>
      <c r="G9488" s="424"/>
      <c r="H9488" s="31">
        <f>+IFERROR(VLOOKUP(E9488,BD!$L$2:$Q$244,6,0),0)</f>
        <v>0</v>
      </c>
      <c r="I9488" s="626">
        <f>IFERROR(G9488*VLOOKUP($E9488,BD!$L$2:$Q$244,5,0),0)</f>
        <v>0</v>
      </c>
      <c r="J9488" s="3">
        <f t="shared" si="593"/>
        <v>1900</v>
      </c>
    </row>
    <row r="9489" spans="1:10" s="9" customFormat="1" x14ac:dyDescent="0.25">
      <c r="A9489" s="447"/>
      <c r="B9489" s="55" t="str">
        <f t="shared" si="590"/>
        <v>ENERO</v>
      </c>
      <c r="C9489" s="55">
        <f t="shared" si="591"/>
        <v>1</v>
      </c>
      <c r="D9489" s="3" t="str">
        <f t="shared" si="592"/>
        <v>SÁBADO</v>
      </c>
      <c r="E9489" s="427"/>
      <c r="F9489" s="31">
        <f>IFERROR(VLOOKUP(E9489,BD!$L$2:$Q$244,2,0),0)</f>
        <v>0</v>
      </c>
      <c r="G9489" s="424"/>
      <c r="H9489" s="31">
        <f>+IFERROR(VLOOKUP(E9489,BD!$L$2:$Q$244,6,0),0)</f>
        <v>0</v>
      </c>
      <c r="I9489" s="626">
        <f>IFERROR(G9489*VLOOKUP($E9489,BD!$L$2:$Q$244,5,0),0)</f>
        <v>0</v>
      </c>
      <c r="J9489" s="3">
        <f t="shared" si="593"/>
        <v>1900</v>
      </c>
    </row>
    <row r="9490" spans="1:10" s="9" customFormat="1" x14ac:dyDescent="0.25">
      <c r="A9490" s="447"/>
      <c r="B9490" s="55" t="str">
        <f t="shared" si="590"/>
        <v>ENERO</v>
      </c>
      <c r="C9490" s="55">
        <f t="shared" si="591"/>
        <v>1</v>
      </c>
      <c r="D9490" s="3" t="str">
        <f t="shared" si="592"/>
        <v>SÁBADO</v>
      </c>
      <c r="E9490" s="427"/>
      <c r="F9490" s="31">
        <f>IFERROR(VLOOKUP(E9490,BD!$L$2:$Q$244,2,0),0)</f>
        <v>0</v>
      </c>
      <c r="G9490" s="424"/>
      <c r="H9490" s="31">
        <f>+IFERROR(VLOOKUP(E9490,BD!$L$2:$Q$244,6,0),0)</f>
        <v>0</v>
      </c>
      <c r="I9490" s="626">
        <f>IFERROR(G9490*VLOOKUP($E9490,BD!$L$2:$Q$244,5,0),0)</f>
        <v>0</v>
      </c>
      <c r="J9490" s="3">
        <f t="shared" si="593"/>
        <v>1900</v>
      </c>
    </row>
    <row r="9491" spans="1:10" s="9" customFormat="1" x14ac:dyDescent="0.25">
      <c r="A9491" s="447"/>
      <c r="B9491" s="55" t="str">
        <f t="shared" si="590"/>
        <v>ENERO</v>
      </c>
      <c r="C9491" s="55">
        <f t="shared" si="591"/>
        <v>1</v>
      </c>
      <c r="D9491" s="3" t="str">
        <f t="shared" si="592"/>
        <v>SÁBADO</v>
      </c>
      <c r="E9491" s="427"/>
      <c r="F9491" s="31">
        <f>IFERROR(VLOOKUP(E9491,BD!$L$2:$Q$244,2,0),0)</f>
        <v>0</v>
      </c>
      <c r="G9491" s="424"/>
      <c r="H9491" s="31">
        <f>+IFERROR(VLOOKUP(E9491,BD!$L$2:$Q$244,6,0),0)</f>
        <v>0</v>
      </c>
      <c r="I9491" s="626">
        <f>IFERROR(G9491*VLOOKUP($E9491,BD!$L$2:$Q$244,5,0),0)</f>
        <v>0</v>
      </c>
      <c r="J9491" s="3">
        <f t="shared" si="593"/>
        <v>1900</v>
      </c>
    </row>
    <row r="9492" spans="1:10" s="9" customFormat="1" x14ac:dyDescent="0.25">
      <c r="A9492" s="447"/>
      <c r="B9492" s="55" t="str">
        <f t="shared" si="590"/>
        <v>ENERO</v>
      </c>
      <c r="C9492" s="55">
        <f t="shared" si="591"/>
        <v>1</v>
      </c>
      <c r="D9492" s="3" t="str">
        <f t="shared" si="592"/>
        <v>SÁBADO</v>
      </c>
      <c r="E9492" s="427"/>
      <c r="F9492" s="31">
        <f>IFERROR(VLOOKUP(E9492,BD!$L$2:$Q$244,2,0),0)</f>
        <v>0</v>
      </c>
      <c r="G9492" s="424"/>
      <c r="H9492" s="31">
        <f>+IFERROR(VLOOKUP(E9492,BD!$L$2:$Q$244,6,0),0)</f>
        <v>0</v>
      </c>
      <c r="I9492" s="626">
        <f>IFERROR(G9492*VLOOKUP($E9492,BD!$L$2:$Q$244,5,0),0)</f>
        <v>0</v>
      </c>
      <c r="J9492" s="3">
        <f t="shared" si="593"/>
        <v>1900</v>
      </c>
    </row>
    <row r="9493" spans="1:10" s="9" customFormat="1" x14ac:dyDescent="0.25">
      <c r="A9493" s="447"/>
      <c r="B9493" s="55" t="str">
        <f t="shared" si="590"/>
        <v>ENERO</v>
      </c>
      <c r="C9493" s="55">
        <f t="shared" si="591"/>
        <v>1</v>
      </c>
      <c r="D9493" s="3" t="str">
        <f t="shared" si="592"/>
        <v>SÁBADO</v>
      </c>
      <c r="E9493" s="427"/>
      <c r="F9493" s="31">
        <f>IFERROR(VLOOKUP(E9493,BD!$L$2:$Q$244,2,0),0)</f>
        <v>0</v>
      </c>
      <c r="G9493" s="424"/>
      <c r="H9493" s="31">
        <f>+IFERROR(VLOOKUP(E9493,BD!$L$2:$Q$244,6,0),0)</f>
        <v>0</v>
      </c>
      <c r="I9493" s="626">
        <f>IFERROR(G9493*VLOOKUP($E9493,BD!$L$2:$Q$244,5,0),0)</f>
        <v>0</v>
      </c>
      <c r="J9493" s="3">
        <f t="shared" si="593"/>
        <v>1900</v>
      </c>
    </row>
    <row r="9494" spans="1:10" s="9" customFormat="1" x14ac:dyDescent="0.25">
      <c r="A9494" s="447"/>
      <c r="B9494" s="55" t="str">
        <f t="shared" si="590"/>
        <v>ENERO</v>
      </c>
      <c r="C9494" s="55">
        <f t="shared" si="591"/>
        <v>1</v>
      </c>
      <c r="D9494" s="3" t="str">
        <f t="shared" si="592"/>
        <v>SÁBADO</v>
      </c>
      <c r="E9494" s="427"/>
      <c r="F9494" s="31">
        <f>IFERROR(VLOOKUP(E9494,BD!$L$2:$Q$244,2,0),0)</f>
        <v>0</v>
      </c>
      <c r="G9494" s="424"/>
      <c r="H9494" s="31">
        <f>+IFERROR(VLOOKUP(E9494,BD!$L$2:$Q$244,6,0),0)</f>
        <v>0</v>
      </c>
      <c r="I9494" s="626">
        <f>IFERROR(G9494*VLOOKUP($E9494,BD!$L$2:$Q$244,5,0),0)</f>
        <v>0</v>
      </c>
      <c r="J9494" s="3">
        <f t="shared" si="593"/>
        <v>1900</v>
      </c>
    </row>
    <row r="9495" spans="1:10" s="9" customFormat="1" x14ac:dyDescent="0.25">
      <c r="A9495" s="447"/>
      <c r="B9495" s="55" t="str">
        <f t="shared" si="590"/>
        <v>ENERO</v>
      </c>
      <c r="C9495" s="55">
        <f t="shared" si="591"/>
        <v>1</v>
      </c>
      <c r="D9495" s="3" t="str">
        <f t="shared" si="592"/>
        <v>SÁBADO</v>
      </c>
      <c r="E9495" s="427"/>
      <c r="F9495" s="31">
        <f>IFERROR(VLOOKUP(E9495,BD!$L$2:$Q$244,2,0),0)</f>
        <v>0</v>
      </c>
      <c r="G9495" s="424"/>
      <c r="H9495" s="31">
        <f>+IFERROR(VLOOKUP(E9495,BD!$L$2:$Q$244,6,0),0)</f>
        <v>0</v>
      </c>
      <c r="I9495" s="626">
        <f>IFERROR(G9495*VLOOKUP($E9495,BD!$L$2:$Q$244,5,0),0)</f>
        <v>0</v>
      </c>
      <c r="J9495" s="3">
        <f t="shared" si="593"/>
        <v>1900</v>
      </c>
    </row>
    <row r="9496" spans="1:10" s="9" customFormat="1" x14ac:dyDescent="0.25">
      <c r="A9496" s="447"/>
      <c r="B9496" s="55" t="str">
        <f t="shared" si="590"/>
        <v>ENERO</v>
      </c>
      <c r="C9496" s="55">
        <f t="shared" si="591"/>
        <v>1</v>
      </c>
      <c r="D9496" s="3" t="str">
        <f t="shared" si="592"/>
        <v>SÁBADO</v>
      </c>
      <c r="E9496" s="427"/>
      <c r="F9496" s="31">
        <f>IFERROR(VLOOKUP(E9496,BD!$L$2:$Q$244,2,0),0)</f>
        <v>0</v>
      </c>
      <c r="G9496" s="424"/>
      <c r="H9496" s="31">
        <f>+IFERROR(VLOOKUP(E9496,BD!$L$2:$Q$244,6,0),0)</f>
        <v>0</v>
      </c>
      <c r="I9496" s="626">
        <f>IFERROR(G9496*VLOOKUP($E9496,BD!$L$2:$Q$244,5,0),0)</f>
        <v>0</v>
      </c>
      <c r="J9496" s="3">
        <f t="shared" si="593"/>
        <v>1900</v>
      </c>
    </row>
    <row r="9497" spans="1:10" s="9" customFormat="1" x14ac:dyDescent="0.25">
      <c r="A9497" s="447"/>
      <c r="B9497" s="55" t="str">
        <f t="shared" si="590"/>
        <v>ENERO</v>
      </c>
      <c r="C9497" s="55">
        <f t="shared" si="591"/>
        <v>1</v>
      </c>
      <c r="D9497" s="3" t="str">
        <f t="shared" si="592"/>
        <v>SÁBADO</v>
      </c>
      <c r="E9497" s="427"/>
      <c r="F9497" s="31">
        <f>IFERROR(VLOOKUP(E9497,BD!$L$2:$Q$244,2,0),0)</f>
        <v>0</v>
      </c>
      <c r="G9497" s="424"/>
      <c r="H9497" s="31">
        <f>+IFERROR(VLOOKUP(E9497,BD!$L$2:$Q$244,6,0),0)</f>
        <v>0</v>
      </c>
      <c r="I9497" s="626">
        <f>IFERROR(G9497*VLOOKUP($E9497,BD!$L$2:$Q$244,5,0),0)</f>
        <v>0</v>
      </c>
      <c r="J9497" s="3">
        <f t="shared" si="593"/>
        <v>1900</v>
      </c>
    </row>
    <row r="9498" spans="1:10" s="9" customFormat="1" x14ac:dyDescent="0.25">
      <c r="A9498" s="447"/>
      <c r="B9498" s="55" t="str">
        <f t="shared" si="590"/>
        <v>ENERO</v>
      </c>
      <c r="C9498" s="55">
        <f t="shared" si="591"/>
        <v>1</v>
      </c>
      <c r="D9498" s="3" t="str">
        <f t="shared" si="592"/>
        <v>SÁBADO</v>
      </c>
      <c r="E9498" s="427"/>
      <c r="F9498" s="31">
        <f>IFERROR(VLOOKUP(E9498,BD!$L$2:$Q$244,2,0),0)</f>
        <v>0</v>
      </c>
      <c r="G9498" s="424"/>
      <c r="H9498" s="31">
        <f>+IFERROR(VLOOKUP(E9498,BD!$L$2:$Q$244,6,0),0)</f>
        <v>0</v>
      </c>
      <c r="I9498" s="626">
        <f>IFERROR(G9498*VLOOKUP($E9498,BD!$L$2:$Q$244,5,0),0)</f>
        <v>0</v>
      </c>
      <c r="J9498" s="3">
        <f t="shared" si="593"/>
        <v>1900</v>
      </c>
    </row>
    <row r="9499" spans="1:10" s="9" customFormat="1" x14ac:dyDescent="0.25">
      <c r="A9499" s="447"/>
      <c r="B9499" s="55" t="str">
        <f t="shared" si="590"/>
        <v>ENERO</v>
      </c>
      <c r="C9499" s="55">
        <f t="shared" si="591"/>
        <v>1</v>
      </c>
      <c r="D9499" s="3" t="str">
        <f t="shared" si="592"/>
        <v>SÁBADO</v>
      </c>
      <c r="E9499" s="427"/>
      <c r="F9499" s="31">
        <f>IFERROR(VLOOKUP(E9499,BD!$L$2:$Q$244,2,0),0)</f>
        <v>0</v>
      </c>
      <c r="G9499" s="424"/>
      <c r="H9499" s="31">
        <f>+IFERROR(VLOOKUP(E9499,BD!$L$2:$Q$244,6,0),0)</f>
        <v>0</v>
      </c>
      <c r="I9499" s="626">
        <f>IFERROR(G9499*VLOOKUP($E9499,BD!$L$2:$Q$244,5,0),0)</f>
        <v>0</v>
      </c>
      <c r="J9499" s="3">
        <f t="shared" si="593"/>
        <v>1900</v>
      </c>
    </row>
    <row r="9500" spans="1:10" s="9" customFormat="1" x14ac:dyDescent="0.25">
      <c r="A9500" s="447"/>
      <c r="B9500" s="55" t="str">
        <f t="shared" si="590"/>
        <v>ENERO</v>
      </c>
      <c r="C9500" s="55">
        <f t="shared" si="591"/>
        <v>1</v>
      </c>
      <c r="D9500" s="3" t="str">
        <f t="shared" si="592"/>
        <v>SÁBADO</v>
      </c>
      <c r="E9500" s="427"/>
      <c r="F9500" s="31">
        <f>IFERROR(VLOOKUP(E9500,BD!$L$2:$Q$244,2,0),0)</f>
        <v>0</v>
      </c>
      <c r="G9500" s="424"/>
      <c r="H9500" s="31">
        <f>+IFERROR(VLOOKUP(E9500,BD!$L$2:$Q$244,6,0),0)</f>
        <v>0</v>
      </c>
      <c r="I9500" s="626">
        <f>IFERROR(G9500*VLOOKUP($E9500,BD!$L$2:$Q$244,5,0),0)</f>
        <v>0</v>
      </c>
      <c r="J9500" s="3">
        <f t="shared" si="593"/>
        <v>1900</v>
      </c>
    </row>
    <row r="9501" spans="1:10" s="9" customFormat="1" x14ac:dyDescent="0.25">
      <c r="A9501" s="447"/>
      <c r="B9501" s="55" t="str">
        <f t="shared" si="590"/>
        <v>ENERO</v>
      </c>
      <c r="C9501" s="55">
        <f t="shared" si="591"/>
        <v>1</v>
      </c>
      <c r="D9501" s="3" t="str">
        <f t="shared" si="592"/>
        <v>SÁBADO</v>
      </c>
      <c r="E9501" s="427"/>
      <c r="F9501" s="31">
        <f>IFERROR(VLOOKUP(E9501,BD!$L$2:$Q$244,2,0),0)</f>
        <v>0</v>
      </c>
      <c r="G9501" s="424"/>
      <c r="H9501" s="31">
        <f>+IFERROR(VLOOKUP(E9501,BD!$L$2:$Q$244,6,0),0)</f>
        <v>0</v>
      </c>
      <c r="I9501" s="626">
        <f>IFERROR(G9501*VLOOKUP($E9501,BD!$L$2:$Q$244,5,0),0)</f>
        <v>0</v>
      </c>
      <c r="J9501" s="3">
        <f t="shared" si="593"/>
        <v>1900</v>
      </c>
    </row>
    <row r="9502" spans="1:10" s="9" customFormat="1" x14ac:dyDescent="0.25">
      <c r="A9502" s="447"/>
      <c r="B9502" s="55" t="str">
        <f t="shared" si="590"/>
        <v>ENERO</v>
      </c>
      <c r="C9502" s="55">
        <f t="shared" si="591"/>
        <v>1</v>
      </c>
      <c r="D9502" s="3" t="str">
        <f t="shared" si="592"/>
        <v>SÁBADO</v>
      </c>
      <c r="E9502" s="427"/>
      <c r="F9502" s="31">
        <f>IFERROR(VLOOKUP(E9502,BD!$L$2:$Q$244,2,0),0)</f>
        <v>0</v>
      </c>
      <c r="G9502" s="424"/>
      <c r="H9502" s="31">
        <f>+IFERROR(VLOOKUP(E9502,BD!$L$2:$Q$244,6,0),0)</f>
        <v>0</v>
      </c>
      <c r="I9502" s="626">
        <f>IFERROR(G9502*VLOOKUP($E9502,BD!$L$2:$Q$244,5,0),0)</f>
        <v>0</v>
      </c>
      <c r="J9502" s="3">
        <f t="shared" si="593"/>
        <v>1900</v>
      </c>
    </row>
    <row r="9503" spans="1:10" s="9" customFormat="1" x14ac:dyDescent="0.25">
      <c r="A9503" s="447"/>
      <c r="B9503" s="55" t="str">
        <f t="shared" si="590"/>
        <v>ENERO</v>
      </c>
      <c r="C9503" s="55">
        <f t="shared" si="591"/>
        <v>1</v>
      </c>
      <c r="D9503" s="3" t="str">
        <f t="shared" si="592"/>
        <v>SÁBADO</v>
      </c>
      <c r="E9503" s="427"/>
      <c r="F9503" s="31">
        <f>IFERROR(VLOOKUP(E9503,BD!$L$2:$Q$244,2,0),0)</f>
        <v>0</v>
      </c>
      <c r="G9503" s="424"/>
      <c r="H9503" s="31">
        <f>+IFERROR(VLOOKUP(E9503,BD!$L$2:$Q$244,6,0),0)</f>
        <v>0</v>
      </c>
      <c r="I9503" s="626">
        <f>IFERROR(G9503*VLOOKUP($E9503,BD!$L$2:$Q$244,5,0),0)</f>
        <v>0</v>
      </c>
      <c r="J9503" s="3">
        <f t="shared" si="593"/>
        <v>1900</v>
      </c>
    </row>
    <row r="9504" spans="1:10" s="9" customFormat="1" x14ac:dyDescent="0.25">
      <c r="A9504" s="447"/>
      <c r="B9504" s="55" t="str">
        <f t="shared" si="590"/>
        <v>ENERO</v>
      </c>
      <c r="C9504" s="55">
        <f t="shared" si="591"/>
        <v>1</v>
      </c>
      <c r="D9504" s="3" t="str">
        <f t="shared" si="592"/>
        <v>SÁBADO</v>
      </c>
      <c r="E9504" s="427"/>
      <c r="F9504" s="31">
        <f>IFERROR(VLOOKUP(E9504,BD!$L$2:$Q$244,2,0),0)</f>
        <v>0</v>
      </c>
      <c r="G9504" s="424"/>
      <c r="H9504" s="31">
        <f>+IFERROR(VLOOKUP(E9504,BD!$L$2:$Q$244,6,0),0)</f>
        <v>0</v>
      </c>
      <c r="I9504" s="626">
        <f>IFERROR(G9504*VLOOKUP($E9504,BD!$L$2:$Q$244,5,0),0)</f>
        <v>0</v>
      </c>
      <c r="J9504" s="3">
        <f t="shared" si="593"/>
        <v>1900</v>
      </c>
    </row>
    <row r="9505" spans="1:10" s="9" customFormat="1" x14ac:dyDescent="0.25">
      <c r="A9505" s="447"/>
      <c r="B9505" s="55" t="str">
        <f t="shared" si="590"/>
        <v>ENERO</v>
      </c>
      <c r="C9505" s="55">
        <f t="shared" si="591"/>
        <v>1</v>
      </c>
      <c r="D9505" s="3" t="str">
        <f t="shared" si="592"/>
        <v>SÁBADO</v>
      </c>
      <c r="E9505" s="427"/>
      <c r="F9505" s="31">
        <f>IFERROR(VLOOKUP(E9505,BD!$L$2:$Q$244,2,0),0)</f>
        <v>0</v>
      </c>
      <c r="G9505" s="424"/>
      <c r="H9505" s="31">
        <f>+IFERROR(VLOOKUP(E9505,BD!$L$2:$Q$244,6,0),0)</f>
        <v>0</v>
      </c>
      <c r="I9505" s="626">
        <f>IFERROR(G9505*VLOOKUP($E9505,BD!$L$2:$Q$244,5,0),0)</f>
        <v>0</v>
      </c>
      <c r="J9505" s="3">
        <f t="shared" si="593"/>
        <v>1900</v>
      </c>
    </row>
    <row r="9506" spans="1:10" s="9" customFormat="1" x14ac:dyDescent="0.25">
      <c r="A9506" s="447"/>
      <c r="B9506" s="55" t="str">
        <f t="shared" si="590"/>
        <v>ENERO</v>
      </c>
      <c r="C9506" s="55">
        <f t="shared" si="591"/>
        <v>1</v>
      </c>
      <c r="D9506" s="3" t="str">
        <f t="shared" si="592"/>
        <v>SÁBADO</v>
      </c>
      <c r="E9506" s="427"/>
      <c r="F9506" s="31">
        <f>IFERROR(VLOOKUP(E9506,BD!$L$2:$Q$244,2,0),0)</f>
        <v>0</v>
      </c>
      <c r="G9506" s="424"/>
      <c r="H9506" s="31">
        <f>+IFERROR(VLOOKUP(E9506,BD!$L$2:$Q$244,6,0),0)</f>
        <v>0</v>
      </c>
      <c r="I9506" s="626">
        <f>IFERROR(G9506*VLOOKUP($E9506,BD!$L$2:$Q$244,5,0),0)</f>
        <v>0</v>
      </c>
      <c r="J9506" s="3">
        <f t="shared" si="593"/>
        <v>1900</v>
      </c>
    </row>
    <row r="9507" spans="1:10" s="9" customFormat="1" x14ac:dyDescent="0.25">
      <c r="A9507" s="447"/>
      <c r="B9507" s="55" t="str">
        <f t="shared" si="590"/>
        <v>ENERO</v>
      </c>
      <c r="C9507" s="55">
        <f t="shared" si="591"/>
        <v>1</v>
      </c>
      <c r="D9507" s="3" t="str">
        <f t="shared" si="592"/>
        <v>SÁBADO</v>
      </c>
      <c r="E9507" s="427"/>
      <c r="F9507" s="31">
        <f>IFERROR(VLOOKUP(E9507,BD!$L$2:$Q$244,2,0),0)</f>
        <v>0</v>
      </c>
      <c r="G9507" s="424"/>
      <c r="H9507" s="31">
        <f>+IFERROR(VLOOKUP(E9507,BD!$L$2:$Q$244,6,0),0)</f>
        <v>0</v>
      </c>
      <c r="I9507" s="626">
        <f>IFERROR(G9507*VLOOKUP($E9507,BD!$L$2:$Q$244,5,0),0)</f>
        <v>0</v>
      </c>
      <c r="J9507" s="3">
        <f t="shared" si="593"/>
        <v>1900</v>
      </c>
    </row>
    <row r="9508" spans="1:10" s="9" customFormat="1" x14ac:dyDescent="0.25">
      <c r="A9508" s="447"/>
      <c r="B9508" s="55" t="str">
        <f t="shared" si="590"/>
        <v>ENERO</v>
      </c>
      <c r="C9508" s="55">
        <f t="shared" si="591"/>
        <v>1</v>
      </c>
      <c r="D9508" s="3" t="str">
        <f t="shared" si="592"/>
        <v>SÁBADO</v>
      </c>
      <c r="E9508" s="427"/>
      <c r="F9508" s="31">
        <f>IFERROR(VLOOKUP(E9508,BD!$L$2:$Q$244,2,0),0)</f>
        <v>0</v>
      </c>
      <c r="G9508" s="424"/>
      <c r="H9508" s="31">
        <f>+IFERROR(VLOOKUP(E9508,BD!$L$2:$Q$244,6,0),0)</f>
        <v>0</v>
      </c>
      <c r="I9508" s="626">
        <f>IFERROR(G9508*VLOOKUP($E9508,BD!$L$2:$Q$244,5,0),0)</f>
        <v>0</v>
      </c>
      <c r="J9508" s="3">
        <f t="shared" si="593"/>
        <v>1900</v>
      </c>
    </row>
    <row r="9509" spans="1:10" s="9" customFormat="1" x14ac:dyDescent="0.25">
      <c r="A9509" s="447"/>
      <c r="B9509" s="55" t="str">
        <f t="shared" si="590"/>
        <v>ENERO</v>
      </c>
      <c r="C9509" s="55">
        <f t="shared" si="591"/>
        <v>1</v>
      </c>
      <c r="D9509" s="3" t="str">
        <f t="shared" si="592"/>
        <v>SÁBADO</v>
      </c>
      <c r="E9509" s="427"/>
      <c r="F9509" s="31">
        <f>IFERROR(VLOOKUP(E9509,BD!$L$2:$Q$244,2,0),0)</f>
        <v>0</v>
      </c>
      <c r="G9509" s="424"/>
      <c r="H9509" s="31">
        <f>+IFERROR(VLOOKUP(E9509,BD!$L$2:$Q$244,6,0),0)</f>
        <v>0</v>
      </c>
      <c r="I9509" s="626">
        <f>IFERROR(G9509*VLOOKUP($E9509,BD!$L$2:$Q$244,5,0),0)</f>
        <v>0</v>
      </c>
      <c r="J9509" s="3">
        <f t="shared" si="593"/>
        <v>1900</v>
      </c>
    </row>
    <row r="9510" spans="1:10" s="9" customFormat="1" x14ac:dyDescent="0.25">
      <c r="A9510" s="447"/>
      <c r="B9510" s="55" t="str">
        <f t="shared" si="590"/>
        <v>ENERO</v>
      </c>
      <c r="C9510" s="55">
        <f t="shared" si="591"/>
        <v>1</v>
      </c>
      <c r="D9510" s="3" t="str">
        <f t="shared" si="592"/>
        <v>SÁBADO</v>
      </c>
      <c r="E9510" s="427"/>
      <c r="F9510" s="31">
        <f>IFERROR(VLOOKUP(E9510,BD!$L$2:$Q$244,2,0),0)</f>
        <v>0</v>
      </c>
      <c r="G9510" s="424"/>
      <c r="H9510" s="31">
        <f>+IFERROR(VLOOKUP(E9510,BD!$L$2:$Q$244,6,0),0)</f>
        <v>0</v>
      </c>
      <c r="I9510" s="626">
        <f>IFERROR(G9510*VLOOKUP($E9510,BD!$L$2:$Q$244,5,0),0)</f>
        <v>0</v>
      </c>
      <c r="J9510" s="3">
        <f t="shared" si="593"/>
        <v>1900</v>
      </c>
    </row>
    <row r="9511" spans="1:10" s="9" customFormat="1" x14ac:dyDescent="0.25">
      <c r="A9511" s="447"/>
      <c r="B9511" s="55" t="str">
        <f t="shared" si="590"/>
        <v>ENERO</v>
      </c>
      <c r="C9511" s="55">
        <f t="shared" si="591"/>
        <v>1</v>
      </c>
      <c r="D9511" s="3" t="str">
        <f t="shared" si="592"/>
        <v>SÁBADO</v>
      </c>
      <c r="E9511" s="427"/>
      <c r="F9511" s="31">
        <f>IFERROR(VLOOKUP(E9511,BD!$L$2:$Q$244,2,0),0)</f>
        <v>0</v>
      </c>
      <c r="G9511" s="424"/>
      <c r="H9511" s="31">
        <f>+IFERROR(VLOOKUP(E9511,BD!$L$2:$Q$244,6,0),0)</f>
        <v>0</v>
      </c>
      <c r="I9511" s="626">
        <f>IFERROR(G9511*VLOOKUP($E9511,BD!$L$2:$Q$244,5,0),0)</f>
        <v>0</v>
      </c>
      <c r="J9511" s="3">
        <f t="shared" si="593"/>
        <v>1900</v>
      </c>
    </row>
    <row r="9512" spans="1:10" s="9" customFormat="1" x14ac:dyDescent="0.25">
      <c r="A9512" s="447"/>
      <c r="B9512" s="55" t="str">
        <f t="shared" si="590"/>
        <v>ENERO</v>
      </c>
      <c r="C9512" s="55">
        <f t="shared" si="591"/>
        <v>1</v>
      </c>
      <c r="D9512" s="3" t="str">
        <f t="shared" si="592"/>
        <v>SÁBADO</v>
      </c>
      <c r="E9512" s="427"/>
      <c r="F9512" s="31">
        <f>IFERROR(VLOOKUP(E9512,BD!$L$2:$Q$244,2,0),0)</f>
        <v>0</v>
      </c>
      <c r="G9512" s="424"/>
      <c r="H9512" s="31">
        <f>+IFERROR(VLOOKUP(E9512,BD!$L$2:$Q$244,6,0),0)</f>
        <v>0</v>
      </c>
      <c r="I9512" s="626">
        <f>IFERROR(G9512*VLOOKUP($E9512,BD!$L$2:$Q$244,5,0),0)</f>
        <v>0</v>
      </c>
      <c r="J9512" s="3">
        <f t="shared" si="593"/>
        <v>1900</v>
      </c>
    </row>
    <row r="9513" spans="1:10" s="9" customFormat="1" x14ac:dyDescent="0.25">
      <c r="A9513" s="447"/>
      <c r="B9513" s="55" t="str">
        <f t="shared" si="590"/>
        <v>ENERO</v>
      </c>
      <c r="C9513" s="55">
        <f t="shared" si="591"/>
        <v>1</v>
      </c>
      <c r="D9513" s="3" t="str">
        <f t="shared" si="592"/>
        <v>SÁBADO</v>
      </c>
      <c r="E9513" s="427"/>
      <c r="F9513" s="31">
        <f>IFERROR(VLOOKUP(E9513,BD!$L$2:$Q$244,2,0),0)</f>
        <v>0</v>
      </c>
      <c r="G9513" s="424"/>
      <c r="H9513" s="31">
        <f>+IFERROR(VLOOKUP(E9513,BD!$L$2:$Q$244,6,0),0)</f>
        <v>0</v>
      </c>
      <c r="I9513" s="626">
        <f>IFERROR(G9513*VLOOKUP($E9513,BD!$L$2:$Q$244,5,0),0)</f>
        <v>0</v>
      </c>
      <c r="J9513" s="3">
        <f t="shared" si="593"/>
        <v>1900</v>
      </c>
    </row>
    <row r="9514" spans="1:10" s="9" customFormat="1" x14ac:dyDescent="0.25">
      <c r="A9514" s="447"/>
      <c r="B9514" s="55" t="str">
        <f t="shared" si="590"/>
        <v>ENERO</v>
      </c>
      <c r="C9514" s="55">
        <f t="shared" si="591"/>
        <v>1</v>
      </c>
      <c r="D9514" s="3" t="str">
        <f t="shared" si="592"/>
        <v>SÁBADO</v>
      </c>
      <c r="E9514" s="427"/>
      <c r="F9514" s="31">
        <f>IFERROR(VLOOKUP(E9514,BD!$L$2:$Q$244,2,0),0)</f>
        <v>0</v>
      </c>
      <c r="G9514" s="424"/>
      <c r="H9514" s="31">
        <f>+IFERROR(VLOOKUP(E9514,BD!$L$2:$Q$244,6,0),0)</f>
        <v>0</v>
      </c>
      <c r="I9514" s="626">
        <f>IFERROR(G9514*VLOOKUP($E9514,BD!$L$2:$Q$244,5,0),0)</f>
        <v>0</v>
      </c>
      <c r="J9514" s="3">
        <f t="shared" si="593"/>
        <v>1900</v>
      </c>
    </row>
    <row r="9515" spans="1:10" s="9" customFormat="1" x14ac:dyDescent="0.25">
      <c r="A9515" s="447"/>
      <c r="B9515" s="55" t="str">
        <f t="shared" si="590"/>
        <v>ENERO</v>
      </c>
      <c r="C9515" s="55">
        <f t="shared" si="591"/>
        <v>1</v>
      </c>
      <c r="D9515" s="3" t="str">
        <f t="shared" si="592"/>
        <v>SÁBADO</v>
      </c>
      <c r="E9515" s="427"/>
      <c r="F9515" s="31">
        <f>IFERROR(VLOOKUP(E9515,BD!$L$2:$Q$244,2,0),0)</f>
        <v>0</v>
      </c>
      <c r="G9515" s="424"/>
      <c r="H9515" s="31">
        <f>+IFERROR(VLOOKUP(E9515,BD!$L$2:$Q$244,6,0),0)</f>
        <v>0</v>
      </c>
      <c r="I9515" s="626">
        <f>IFERROR(G9515*VLOOKUP($E9515,BD!$L$2:$Q$244,5,0),0)</f>
        <v>0</v>
      </c>
      <c r="J9515" s="3">
        <f t="shared" si="593"/>
        <v>1900</v>
      </c>
    </row>
    <row r="9516" spans="1:10" s="9" customFormat="1" x14ac:dyDescent="0.25">
      <c r="A9516" s="447"/>
      <c r="B9516" s="55" t="str">
        <f t="shared" si="590"/>
        <v>ENERO</v>
      </c>
      <c r="C9516" s="55">
        <f t="shared" si="591"/>
        <v>1</v>
      </c>
      <c r="D9516" s="3" t="str">
        <f t="shared" si="592"/>
        <v>SÁBADO</v>
      </c>
      <c r="E9516" s="427"/>
      <c r="F9516" s="31">
        <f>IFERROR(VLOOKUP(E9516,BD!$L$2:$Q$244,2,0),0)</f>
        <v>0</v>
      </c>
      <c r="G9516" s="424"/>
      <c r="H9516" s="31">
        <f>+IFERROR(VLOOKUP(E9516,BD!$L$2:$Q$244,6,0),0)</f>
        <v>0</v>
      </c>
      <c r="I9516" s="626">
        <f>IFERROR(G9516*VLOOKUP($E9516,BD!$L$2:$Q$244,5,0),0)</f>
        <v>0</v>
      </c>
      <c r="J9516" s="3">
        <f t="shared" si="593"/>
        <v>1900</v>
      </c>
    </row>
    <row r="9517" spans="1:10" s="9" customFormat="1" x14ac:dyDescent="0.25">
      <c r="A9517" s="447"/>
      <c r="B9517" s="55" t="str">
        <f t="shared" si="590"/>
        <v>ENERO</v>
      </c>
      <c r="C9517" s="55">
        <f t="shared" si="591"/>
        <v>1</v>
      </c>
      <c r="D9517" s="3" t="str">
        <f t="shared" si="592"/>
        <v>SÁBADO</v>
      </c>
      <c r="E9517" s="427"/>
      <c r="F9517" s="31">
        <f>IFERROR(VLOOKUP(E9517,BD!$L$2:$Q$244,2,0),0)</f>
        <v>0</v>
      </c>
      <c r="G9517" s="424"/>
      <c r="H9517" s="31">
        <f>+IFERROR(VLOOKUP(E9517,BD!$L$2:$Q$244,6,0),0)</f>
        <v>0</v>
      </c>
      <c r="I9517" s="626">
        <f>IFERROR(G9517*VLOOKUP($E9517,BD!$L$2:$Q$244,5,0),0)</f>
        <v>0</v>
      </c>
      <c r="J9517" s="3">
        <f t="shared" si="593"/>
        <v>1900</v>
      </c>
    </row>
    <row r="9518" spans="1:10" s="9" customFormat="1" x14ac:dyDescent="0.25">
      <c r="A9518" s="447"/>
      <c r="B9518" s="55" t="str">
        <f t="shared" si="590"/>
        <v>ENERO</v>
      </c>
      <c r="C9518" s="55">
        <f t="shared" si="591"/>
        <v>1</v>
      </c>
      <c r="D9518" s="3" t="str">
        <f t="shared" si="592"/>
        <v>SÁBADO</v>
      </c>
      <c r="E9518" s="427"/>
      <c r="F9518" s="31">
        <f>IFERROR(VLOOKUP(E9518,BD!$L$2:$Q$244,2,0),0)</f>
        <v>0</v>
      </c>
      <c r="G9518" s="424"/>
      <c r="H9518" s="31">
        <f>+IFERROR(VLOOKUP(E9518,BD!$L$2:$Q$244,6,0),0)</f>
        <v>0</v>
      </c>
      <c r="I9518" s="626">
        <f>IFERROR(G9518*VLOOKUP($E9518,BD!$L$2:$Q$244,5,0),0)</f>
        <v>0</v>
      </c>
      <c r="J9518" s="3">
        <f t="shared" si="593"/>
        <v>1900</v>
      </c>
    </row>
    <row r="9519" spans="1:10" s="9" customFormat="1" x14ac:dyDescent="0.25">
      <c r="A9519" s="447"/>
      <c r="B9519" s="55" t="str">
        <f t="shared" si="590"/>
        <v>ENERO</v>
      </c>
      <c r="C9519" s="55">
        <f t="shared" si="591"/>
        <v>1</v>
      </c>
      <c r="D9519" s="3" t="str">
        <f t="shared" si="592"/>
        <v>SÁBADO</v>
      </c>
      <c r="E9519" s="427"/>
      <c r="F9519" s="31">
        <f>IFERROR(VLOOKUP(E9519,BD!$L$2:$Q$244,2,0),0)</f>
        <v>0</v>
      </c>
      <c r="G9519" s="424"/>
      <c r="H9519" s="31">
        <f>+IFERROR(VLOOKUP(E9519,BD!$L$2:$Q$244,6,0),0)</f>
        <v>0</v>
      </c>
      <c r="I9519" s="626">
        <f>IFERROR(G9519*VLOOKUP($E9519,BD!$L$2:$Q$244,5,0),0)</f>
        <v>0</v>
      </c>
      <c r="J9519" s="3">
        <f t="shared" si="593"/>
        <v>1900</v>
      </c>
    </row>
    <row r="9520" spans="1:10" s="9" customFormat="1" x14ac:dyDescent="0.25">
      <c r="A9520" s="447"/>
      <c r="B9520" s="55" t="str">
        <f t="shared" si="590"/>
        <v>ENERO</v>
      </c>
      <c r="C9520" s="55">
        <f t="shared" si="591"/>
        <v>1</v>
      </c>
      <c r="D9520" s="3" t="str">
        <f t="shared" si="592"/>
        <v>SÁBADO</v>
      </c>
      <c r="E9520" s="427"/>
      <c r="F9520" s="31">
        <f>IFERROR(VLOOKUP(E9520,BD!$L$2:$Q$244,2,0),0)</f>
        <v>0</v>
      </c>
      <c r="G9520" s="424"/>
      <c r="H9520" s="31">
        <f>+IFERROR(VLOOKUP(E9520,BD!$L$2:$Q$244,6,0),0)</f>
        <v>0</v>
      </c>
      <c r="I9520" s="626">
        <f>IFERROR(G9520*VLOOKUP($E9520,BD!$L$2:$Q$244,5,0),0)</f>
        <v>0</v>
      </c>
      <c r="J9520" s="3">
        <f t="shared" si="593"/>
        <v>1900</v>
      </c>
    </row>
    <row r="9521" spans="1:10" s="9" customFormat="1" x14ac:dyDescent="0.25">
      <c r="A9521" s="447"/>
      <c r="B9521" s="55" t="str">
        <f t="shared" si="590"/>
        <v>ENERO</v>
      </c>
      <c r="C9521" s="55">
        <f t="shared" si="591"/>
        <v>1</v>
      </c>
      <c r="D9521" s="3" t="str">
        <f t="shared" si="592"/>
        <v>SÁBADO</v>
      </c>
      <c r="E9521" s="427"/>
      <c r="F9521" s="31">
        <f>IFERROR(VLOOKUP(E9521,BD!$L$2:$Q$244,2,0),0)</f>
        <v>0</v>
      </c>
      <c r="G9521" s="424"/>
      <c r="H9521" s="31">
        <f>+IFERROR(VLOOKUP(E9521,BD!$L$2:$Q$244,6,0),0)</f>
        <v>0</v>
      </c>
      <c r="I9521" s="626">
        <f>IFERROR(G9521*VLOOKUP($E9521,BD!$L$2:$Q$244,5,0),0)</f>
        <v>0</v>
      </c>
      <c r="J9521" s="3">
        <f t="shared" si="593"/>
        <v>1900</v>
      </c>
    </row>
    <row r="9522" spans="1:10" s="9" customFormat="1" x14ac:dyDescent="0.25">
      <c r="A9522" s="447"/>
      <c r="B9522" s="55" t="str">
        <f t="shared" si="590"/>
        <v>ENERO</v>
      </c>
      <c r="C9522" s="55">
        <f t="shared" si="591"/>
        <v>1</v>
      </c>
      <c r="D9522" s="3" t="str">
        <f t="shared" si="592"/>
        <v>SÁBADO</v>
      </c>
      <c r="E9522" s="427"/>
      <c r="F9522" s="31">
        <f>IFERROR(VLOOKUP(E9522,BD!$L$2:$Q$244,2,0),0)</f>
        <v>0</v>
      </c>
      <c r="G9522" s="424"/>
      <c r="H9522" s="31">
        <f>+IFERROR(VLOOKUP(E9522,BD!$L$2:$Q$244,6,0),0)</f>
        <v>0</v>
      </c>
      <c r="I9522" s="626">
        <f>IFERROR(G9522*VLOOKUP($E9522,BD!$L$2:$Q$244,5,0),0)</f>
        <v>0</v>
      </c>
      <c r="J9522" s="3">
        <f t="shared" si="593"/>
        <v>1900</v>
      </c>
    </row>
    <row r="9523" spans="1:10" s="9" customFormat="1" x14ac:dyDescent="0.25">
      <c r="A9523" s="447"/>
      <c r="B9523" s="55" t="str">
        <f t="shared" si="590"/>
        <v>ENERO</v>
      </c>
      <c r="C9523" s="55">
        <f t="shared" si="591"/>
        <v>1</v>
      </c>
      <c r="D9523" s="3" t="str">
        <f t="shared" si="592"/>
        <v>SÁBADO</v>
      </c>
      <c r="E9523" s="427"/>
      <c r="F9523" s="31">
        <f>IFERROR(VLOOKUP(E9523,BD!$L$2:$Q$244,2,0),0)</f>
        <v>0</v>
      </c>
      <c r="G9523" s="424"/>
      <c r="H9523" s="31">
        <f>+IFERROR(VLOOKUP(E9523,BD!$L$2:$Q$244,6,0),0)</f>
        <v>0</v>
      </c>
      <c r="I9523" s="626">
        <f>IFERROR(G9523*VLOOKUP($E9523,BD!$L$2:$Q$244,5,0),0)</f>
        <v>0</v>
      </c>
      <c r="J9523" s="3">
        <f t="shared" si="593"/>
        <v>1900</v>
      </c>
    </row>
    <row r="9524" spans="1:10" s="9" customFormat="1" x14ac:dyDescent="0.25">
      <c r="A9524" s="447"/>
      <c r="B9524" s="55" t="str">
        <f t="shared" si="590"/>
        <v>ENERO</v>
      </c>
      <c r="C9524" s="55">
        <f t="shared" si="591"/>
        <v>1</v>
      </c>
      <c r="D9524" s="3" t="str">
        <f t="shared" si="592"/>
        <v>SÁBADO</v>
      </c>
      <c r="E9524" s="427"/>
      <c r="F9524" s="31">
        <f>IFERROR(VLOOKUP(E9524,BD!$L$2:$Q$244,2,0),0)</f>
        <v>0</v>
      </c>
      <c r="G9524" s="424"/>
      <c r="H9524" s="31">
        <f>+IFERROR(VLOOKUP(E9524,BD!$L$2:$Q$244,6,0),0)</f>
        <v>0</v>
      </c>
      <c r="I9524" s="626">
        <f>IFERROR(G9524*VLOOKUP($E9524,BD!$L$2:$Q$244,5,0),0)</f>
        <v>0</v>
      </c>
      <c r="J9524" s="3">
        <f t="shared" si="593"/>
        <v>1900</v>
      </c>
    </row>
    <row r="9525" spans="1:10" s="9" customFormat="1" x14ac:dyDescent="0.25">
      <c r="A9525" s="447"/>
      <c r="B9525" s="55" t="str">
        <f t="shared" si="590"/>
        <v>ENERO</v>
      </c>
      <c r="C9525" s="55">
        <f t="shared" si="591"/>
        <v>1</v>
      </c>
      <c r="D9525" s="3" t="str">
        <f t="shared" si="592"/>
        <v>SÁBADO</v>
      </c>
      <c r="E9525" s="427"/>
      <c r="F9525" s="31">
        <f>IFERROR(VLOOKUP(E9525,BD!$L$2:$Q$244,2,0),0)</f>
        <v>0</v>
      </c>
      <c r="G9525" s="424"/>
      <c r="H9525" s="31">
        <f>+IFERROR(VLOOKUP(E9525,BD!$L$2:$Q$244,6,0),0)</f>
        <v>0</v>
      </c>
      <c r="I9525" s="626">
        <f>IFERROR(G9525*VLOOKUP($E9525,BD!$L$2:$Q$244,5,0),0)</f>
        <v>0</v>
      </c>
      <c r="J9525" s="3">
        <f t="shared" si="593"/>
        <v>1900</v>
      </c>
    </row>
    <row r="9526" spans="1:10" s="9" customFormat="1" x14ac:dyDescent="0.25">
      <c r="A9526" s="447"/>
      <c r="B9526" s="55" t="str">
        <f t="shared" si="590"/>
        <v>ENERO</v>
      </c>
      <c r="C9526" s="55">
        <f t="shared" si="591"/>
        <v>1</v>
      </c>
      <c r="D9526" s="3" t="str">
        <f t="shared" si="592"/>
        <v>SÁBADO</v>
      </c>
      <c r="E9526" s="427"/>
      <c r="F9526" s="31">
        <f>IFERROR(VLOOKUP(E9526,BD!$L$2:$Q$244,2,0),0)</f>
        <v>0</v>
      </c>
      <c r="G9526" s="424"/>
      <c r="H9526" s="31">
        <f>+IFERROR(VLOOKUP(E9526,BD!$L$2:$Q$244,6,0),0)</f>
        <v>0</v>
      </c>
      <c r="I9526" s="626">
        <f>IFERROR(G9526*VLOOKUP($E9526,BD!$L$2:$Q$244,5,0),0)</f>
        <v>0</v>
      </c>
      <c r="J9526" s="3">
        <f t="shared" si="593"/>
        <v>1900</v>
      </c>
    </row>
    <row r="9527" spans="1:10" s="9" customFormat="1" x14ac:dyDescent="0.25">
      <c r="A9527" s="447"/>
      <c r="B9527" s="55" t="str">
        <f t="shared" si="590"/>
        <v>ENERO</v>
      </c>
      <c r="C9527" s="55">
        <f t="shared" si="591"/>
        <v>1</v>
      </c>
      <c r="D9527" s="3" t="str">
        <f t="shared" si="592"/>
        <v>SÁBADO</v>
      </c>
      <c r="E9527" s="427"/>
      <c r="F9527" s="31">
        <f>IFERROR(VLOOKUP(E9527,BD!$L$2:$Q$244,2,0),0)</f>
        <v>0</v>
      </c>
      <c r="G9527" s="424"/>
      <c r="H9527" s="31">
        <f>+IFERROR(VLOOKUP(E9527,BD!$L$2:$Q$244,6,0),0)</f>
        <v>0</v>
      </c>
      <c r="I9527" s="626">
        <f>IFERROR(G9527*VLOOKUP($E9527,BD!$L$2:$Q$244,5,0),0)</f>
        <v>0</v>
      </c>
      <c r="J9527" s="3">
        <f t="shared" si="593"/>
        <v>1900</v>
      </c>
    </row>
    <row r="9528" spans="1:10" s="9" customFormat="1" x14ac:dyDescent="0.25">
      <c r="A9528" s="447"/>
      <c r="B9528" s="55" t="str">
        <f t="shared" si="590"/>
        <v>ENERO</v>
      </c>
      <c r="C9528" s="55">
        <f t="shared" si="591"/>
        <v>1</v>
      </c>
      <c r="D9528" s="3" t="str">
        <f t="shared" si="592"/>
        <v>SÁBADO</v>
      </c>
      <c r="E9528" s="427"/>
      <c r="F9528" s="31">
        <f>IFERROR(VLOOKUP(E9528,BD!$L$2:$Q$244,2,0),0)</f>
        <v>0</v>
      </c>
      <c r="G9528" s="424"/>
      <c r="H9528" s="31">
        <f>+IFERROR(VLOOKUP(E9528,BD!$L$2:$Q$244,6,0),0)</f>
        <v>0</v>
      </c>
      <c r="I9528" s="626">
        <f>IFERROR(G9528*VLOOKUP($E9528,BD!$L$2:$Q$244,5,0),0)</f>
        <v>0</v>
      </c>
      <c r="J9528" s="3">
        <f t="shared" si="593"/>
        <v>1900</v>
      </c>
    </row>
    <row r="9529" spans="1:10" s="9" customFormat="1" x14ac:dyDescent="0.25">
      <c r="A9529" s="447"/>
      <c r="B9529" s="55" t="str">
        <f t="shared" si="590"/>
        <v>ENERO</v>
      </c>
      <c r="C9529" s="55">
        <f t="shared" si="591"/>
        <v>1</v>
      </c>
      <c r="D9529" s="3" t="str">
        <f t="shared" si="592"/>
        <v>SÁBADO</v>
      </c>
      <c r="E9529" s="427"/>
      <c r="F9529" s="31">
        <f>IFERROR(VLOOKUP(E9529,BD!$L$2:$Q$244,2,0),0)</f>
        <v>0</v>
      </c>
      <c r="G9529" s="424"/>
      <c r="H9529" s="31">
        <f>+IFERROR(VLOOKUP(E9529,BD!$L$2:$Q$244,6,0),0)</f>
        <v>0</v>
      </c>
      <c r="I9529" s="626">
        <f>IFERROR(G9529*VLOOKUP($E9529,BD!$L$2:$Q$244,5,0),0)</f>
        <v>0</v>
      </c>
      <c r="J9529" s="3">
        <f t="shared" si="593"/>
        <v>1900</v>
      </c>
    </row>
    <row r="9530" spans="1:10" s="9" customFormat="1" x14ac:dyDescent="0.25">
      <c r="A9530" s="447"/>
      <c r="B9530" s="55" t="str">
        <f t="shared" si="590"/>
        <v>ENERO</v>
      </c>
      <c r="C9530" s="55">
        <f t="shared" si="591"/>
        <v>1</v>
      </c>
      <c r="D9530" s="3" t="str">
        <f t="shared" si="592"/>
        <v>SÁBADO</v>
      </c>
      <c r="E9530" s="427"/>
      <c r="F9530" s="31">
        <f>IFERROR(VLOOKUP(E9530,BD!$L$2:$Q$244,2,0),0)</f>
        <v>0</v>
      </c>
      <c r="G9530" s="424"/>
      <c r="H9530" s="31">
        <f>+IFERROR(VLOOKUP(E9530,BD!$L$2:$Q$244,6,0),0)</f>
        <v>0</v>
      </c>
      <c r="I9530" s="626">
        <f>IFERROR(G9530*VLOOKUP($E9530,BD!$L$2:$Q$244,5,0),0)</f>
        <v>0</v>
      </c>
      <c r="J9530" s="3">
        <f t="shared" si="593"/>
        <v>1900</v>
      </c>
    </row>
    <row r="9531" spans="1:10" s="9" customFormat="1" x14ac:dyDescent="0.25">
      <c r="A9531" s="447"/>
      <c r="B9531" s="55" t="str">
        <f t="shared" si="590"/>
        <v>ENERO</v>
      </c>
      <c r="C9531" s="55">
        <f t="shared" si="591"/>
        <v>1</v>
      </c>
      <c r="D9531" s="3" t="str">
        <f t="shared" si="592"/>
        <v>SÁBADO</v>
      </c>
      <c r="E9531" s="427"/>
      <c r="F9531" s="31">
        <f>IFERROR(VLOOKUP(E9531,BD!$L$2:$Q$244,2,0),0)</f>
        <v>0</v>
      </c>
      <c r="G9531" s="424"/>
      <c r="H9531" s="31">
        <f>+IFERROR(VLOOKUP(E9531,BD!$L$2:$Q$244,6,0),0)</f>
        <v>0</v>
      </c>
      <c r="I9531" s="626">
        <f>IFERROR(G9531*VLOOKUP($E9531,BD!$L$2:$Q$244,5,0),0)</f>
        <v>0</v>
      </c>
      <c r="J9531" s="3">
        <f t="shared" si="593"/>
        <v>1900</v>
      </c>
    </row>
    <row r="9532" spans="1:10" s="9" customFormat="1" x14ac:dyDescent="0.25">
      <c r="A9532" s="447"/>
      <c r="B9532" s="55" t="str">
        <f t="shared" ref="B9532:B9595" si="594">UPPER(TEXT(A9532,"MMMM"))</f>
        <v>ENERO</v>
      </c>
      <c r="C9532" s="55">
        <f t="shared" ref="C9532:C9595" si="595">WEEKNUM(A9532,16)</f>
        <v>1</v>
      </c>
      <c r="D9532" s="3" t="str">
        <f t="shared" ref="D9532:D9595" si="596">UPPER(TEXT(A9532,"DDDD"))</f>
        <v>SÁBADO</v>
      </c>
      <c r="E9532" s="427"/>
      <c r="F9532" s="31">
        <f>IFERROR(VLOOKUP(E9532,BD!$L$2:$Q$244,2,0),0)</f>
        <v>0</v>
      </c>
      <c r="G9532" s="424"/>
      <c r="H9532" s="31">
        <f>+IFERROR(VLOOKUP(E9532,BD!$L$2:$Q$244,6,0),0)</f>
        <v>0</v>
      </c>
      <c r="I9532" s="626">
        <f>IFERROR(G9532*VLOOKUP($E9532,BD!$L$2:$Q$244,5,0),0)</f>
        <v>0</v>
      </c>
      <c r="J9532" s="3">
        <f t="shared" ref="J9532:J9595" si="597">+YEAR(A9532)</f>
        <v>1900</v>
      </c>
    </row>
    <row r="9533" spans="1:10" s="9" customFormat="1" x14ac:dyDescent="0.25">
      <c r="A9533" s="447"/>
      <c r="B9533" s="55" t="str">
        <f t="shared" si="594"/>
        <v>ENERO</v>
      </c>
      <c r="C9533" s="55">
        <f t="shared" si="595"/>
        <v>1</v>
      </c>
      <c r="D9533" s="3" t="str">
        <f t="shared" si="596"/>
        <v>SÁBADO</v>
      </c>
      <c r="E9533" s="427"/>
      <c r="F9533" s="31">
        <f>IFERROR(VLOOKUP(E9533,BD!$L$2:$Q$244,2,0),0)</f>
        <v>0</v>
      </c>
      <c r="G9533" s="424"/>
      <c r="H9533" s="31">
        <f>+IFERROR(VLOOKUP(E9533,BD!$L$2:$Q$244,6,0),0)</f>
        <v>0</v>
      </c>
      <c r="I9533" s="626">
        <f>IFERROR(G9533*VLOOKUP($E9533,BD!$L$2:$Q$244,5,0),0)</f>
        <v>0</v>
      </c>
      <c r="J9533" s="3">
        <f t="shared" si="597"/>
        <v>1900</v>
      </c>
    </row>
    <row r="9534" spans="1:10" s="9" customFormat="1" x14ac:dyDescent="0.25">
      <c r="A9534" s="447"/>
      <c r="B9534" s="55" t="str">
        <f t="shared" si="594"/>
        <v>ENERO</v>
      </c>
      <c r="C9534" s="55">
        <f t="shared" si="595"/>
        <v>1</v>
      </c>
      <c r="D9534" s="3" t="str">
        <f t="shared" si="596"/>
        <v>SÁBADO</v>
      </c>
      <c r="E9534" s="427"/>
      <c r="F9534" s="31">
        <f>IFERROR(VLOOKUP(E9534,BD!$L$2:$Q$244,2,0),0)</f>
        <v>0</v>
      </c>
      <c r="G9534" s="424"/>
      <c r="H9534" s="31">
        <f>+IFERROR(VLOOKUP(E9534,BD!$L$2:$Q$244,6,0),0)</f>
        <v>0</v>
      </c>
      <c r="I9534" s="626">
        <f>IFERROR(G9534*VLOOKUP($E9534,BD!$L$2:$Q$244,5,0),0)</f>
        <v>0</v>
      </c>
      <c r="J9534" s="3">
        <f t="shared" si="597"/>
        <v>1900</v>
      </c>
    </row>
    <row r="9535" spans="1:10" s="9" customFormat="1" x14ac:dyDescent="0.25">
      <c r="A9535" s="447"/>
      <c r="B9535" s="55" t="str">
        <f t="shared" si="594"/>
        <v>ENERO</v>
      </c>
      <c r="C9535" s="55">
        <f t="shared" si="595"/>
        <v>1</v>
      </c>
      <c r="D9535" s="3" t="str">
        <f t="shared" si="596"/>
        <v>SÁBADO</v>
      </c>
      <c r="E9535" s="427"/>
      <c r="F9535" s="31">
        <f>IFERROR(VLOOKUP(E9535,BD!$L$2:$Q$244,2,0),0)</f>
        <v>0</v>
      </c>
      <c r="G9535" s="424"/>
      <c r="H9535" s="31">
        <f>+IFERROR(VLOOKUP(E9535,BD!$L$2:$Q$244,6,0),0)</f>
        <v>0</v>
      </c>
      <c r="I9535" s="626">
        <f>IFERROR(G9535*VLOOKUP($E9535,BD!$L$2:$Q$244,5,0),0)</f>
        <v>0</v>
      </c>
      <c r="J9535" s="3">
        <f t="shared" si="597"/>
        <v>1900</v>
      </c>
    </row>
    <row r="9536" spans="1:10" s="9" customFormat="1" x14ac:dyDescent="0.25">
      <c r="A9536" s="447"/>
      <c r="B9536" s="55" t="str">
        <f t="shared" si="594"/>
        <v>ENERO</v>
      </c>
      <c r="C9536" s="55">
        <f t="shared" si="595"/>
        <v>1</v>
      </c>
      <c r="D9536" s="3" t="str">
        <f t="shared" si="596"/>
        <v>SÁBADO</v>
      </c>
      <c r="E9536" s="427"/>
      <c r="F9536" s="31">
        <f>IFERROR(VLOOKUP(E9536,BD!$L$2:$Q$244,2,0),0)</f>
        <v>0</v>
      </c>
      <c r="G9536" s="424"/>
      <c r="H9536" s="31">
        <f>+IFERROR(VLOOKUP(E9536,BD!$L$2:$Q$244,6,0),0)</f>
        <v>0</v>
      </c>
      <c r="I9536" s="626">
        <f>IFERROR(G9536*VLOOKUP($E9536,BD!$L$2:$Q$244,5,0),0)</f>
        <v>0</v>
      </c>
      <c r="J9536" s="3">
        <f t="shared" si="597"/>
        <v>1900</v>
      </c>
    </row>
    <row r="9537" spans="1:10" s="9" customFormat="1" x14ac:dyDescent="0.25">
      <c r="A9537" s="447"/>
      <c r="B9537" s="55" t="str">
        <f t="shared" si="594"/>
        <v>ENERO</v>
      </c>
      <c r="C9537" s="55">
        <f t="shared" si="595"/>
        <v>1</v>
      </c>
      <c r="D9537" s="3" t="str">
        <f t="shared" si="596"/>
        <v>SÁBADO</v>
      </c>
      <c r="E9537" s="427"/>
      <c r="F9537" s="31">
        <f>IFERROR(VLOOKUP(E9537,BD!$L$2:$Q$244,2,0),0)</f>
        <v>0</v>
      </c>
      <c r="G9537" s="424"/>
      <c r="H9537" s="31">
        <f>+IFERROR(VLOOKUP(E9537,BD!$L$2:$Q$244,6,0),0)</f>
        <v>0</v>
      </c>
      <c r="I9537" s="626">
        <f>IFERROR(G9537*VLOOKUP($E9537,BD!$L$2:$Q$244,5,0),0)</f>
        <v>0</v>
      </c>
      <c r="J9537" s="3">
        <f t="shared" si="597"/>
        <v>1900</v>
      </c>
    </row>
    <row r="9538" spans="1:10" s="9" customFormat="1" x14ac:dyDescent="0.25">
      <c r="A9538" s="447"/>
      <c r="B9538" s="55" t="str">
        <f t="shared" si="594"/>
        <v>ENERO</v>
      </c>
      <c r="C9538" s="55">
        <f t="shared" si="595"/>
        <v>1</v>
      </c>
      <c r="D9538" s="3" t="str">
        <f t="shared" si="596"/>
        <v>SÁBADO</v>
      </c>
      <c r="E9538" s="427"/>
      <c r="F9538" s="31">
        <f>IFERROR(VLOOKUP(E9538,BD!$L$2:$Q$244,2,0),0)</f>
        <v>0</v>
      </c>
      <c r="G9538" s="424"/>
      <c r="H9538" s="31">
        <f>+IFERROR(VLOOKUP(E9538,BD!$L$2:$Q$244,6,0),0)</f>
        <v>0</v>
      </c>
      <c r="I9538" s="626">
        <f>IFERROR(G9538*VLOOKUP($E9538,BD!$L$2:$Q$244,5,0),0)</f>
        <v>0</v>
      </c>
      <c r="J9538" s="3">
        <f t="shared" si="597"/>
        <v>1900</v>
      </c>
    </row>
    <row r="9539" spans="1:10" s="9" customFormat="1" x14ac:dyDescent="0.25">
      <c r="A9539" s="447"/>
      <c r="B9539" s="55" t="str">
        <f t="shared" si="594"/>
        <v>ENERO</v>
      </c>
      <c r="C9539" s="55">
        <f t="shared" si="595"/>
        <v>1</v>
      </c>
      <c r="D9539" s="3" t="str">
        <f t="shared" si="596"/>
        <v>SÁBADO</v>
      </c>
      <c r="E9539" s="427"/>
      <c r="F9539" s="31">
        <f>IFERROR(VLOOKUP(E9539,BD!$L$2:$Q$244,2,0),0)</f>
        <v>0</v>
      </c>
      <c r="G9539" s="424"/>
      <c r="H9539" s="31">
        <f>+IFERROR(VLOOKUP(E9539,BD!$L$2:$Q$244,6,0),0)</f>
        <v>0</v>
      </c>
      <c r="I9539" s="626">
        <f>IFERROR(G9539*VLOOKUP($E9539,BD!$L$2:$Q$244,5,0),0)</f>
        <v>0</v>
      </c>
      <c r="J9539" s="3">
        <f t="shared" si="597"/>
        <v>1900</v>
      </c>
    </row>
    <row r="9540" spans="1:10" s="9" customFormat="1" x14ac:dyDescent="0.25">
      <c r="A9540" s="447"/>
      <c r="B9540" s="55" t="str">
        <f t="shared" si="594"/>
        <v>ENERO</v>
      </c>
      <c r="C9540" s="55">
        <f t="shared" si="595"/>
        <v>1</v>
      </c>
      <c r="D9540" s="3" t="str">
        <f t="shared" si="596"/>
        <v>SÁBADO</v>
      </c>
      <c r="E9540" s="427"/>
      <c r="F9540" s="31">
        <f>IFERROR(VLOOKUP(E9540,BD!$L$2:$Q$244,2,0),0)</f>
        <v>0</v>
      </c>
      <c r="G9540" s="424"/>
      <c r="H9540" s="31">
        <f>+IFERROR(VLOOKUP(E9540,BD!$L$2:$Q$244,6,0),0)</f>
        <v>0</v>
      </c>
      <c r="I9540" s="626">
        <f>IFERROR(G9540*VLOOKUP($E9540,BD!$L$2:$Q$244,5,0),0)</f>
        <v>0</v>
      </c>
      <c r="J9540" s="3">
        <f t="shared" si="597"/>
        <v>1900</v>
      </c>
    </row>
    <row r="9541" spans="1:10" s="9" customFormat="1" x14ac:dyDescent="0.25">
      <c r="A9541" s="447"/>
      <c r="B9541" s="55" t="str">
        <f t="shared" si="594"/>
        <v>ENERO</v>
      </c>
      <c r="C9541" s="55">
        <f t="shared" si="595"/>
        <v>1</v>
      </c>
      <c r="D9541" s="3" t="str">
        <f t="shared" si="596"/>
        <v>SÁBADO</v>
      </c>
      <c r="E9541" s="427"/>
      <c r="F9541" s="31">
        <f>IFERROR(VLOOKUP(E9541,BD!$L$2:$Q$244,2,0),0)</f>
        <v>0</v>
      </c>
      <c r="G9541" s="424"/>
      <c r="H9541" s="31">
        <f>+IFERROR(VLOOKUP(E9541,BD!$L$2:$Q$244,6,0),0)</f>
        <v>0</v>
      </c>
      <c r="I9541" s="626">
        <f>IFERROR(G9541*VLOOKUP($E9541,BD!$L$2:$Q$244,5,0),0)</f>
        <v>0</v>
      </c>
      <c r="J9541" s="3">
        <f t="shared" si="597"/>
        <v>1900</v>
      </c>
    </row>
    <row r="9542" spans="1:10" s="9" customFormat="1" x14ac:dyDescent="0.25">
      <c r="A9542" s="447"/>
      <c r="B9542" s="55" t="str">
        <f t="shared" si="594"/>
        <v>ENERO</v>
      </c>
      <c r="C9542" s="55">
        <f t="shared" si="595"/>
        <v>1</v>
      </c>
      <c r="D9542" s="3" t="str">
        <f t="shared" si="596"/>
        <v>SÁBADO</v>
      </c>
      <c r="E9542" s="427"/>
      <c r="F9542" s="31">
        <f>IFERROR(VLOOKUP(E9542,BD!$L$2:$Q$244,2,0),0)</f>
        <v>0</v>
      </c>
      <c r="G9542" s="424"/>
      <c r="H9542" s="31">
        <f>+IFERROR(VLOOKUP(E9542,BD!$L$2:$Q$244,6,0),0)</f>
        <v>0</v>
      </c>
      <c r="I9542" s="626">
        <f>IFERROR(G9542*VLOOKUP($E9542,BD!$L$2:$Q$244,5,0),0)</f>
        <v>0</v>
      </c>
      <c r="J9542" s="3">
        <f t="shared" si="597"/>
        <v>1900</v>
      </c>
    </row>
    <row r="9543" spans="1:10" s="9" customFormat="1" x14ac:dyDescent="0.25">
      <c r="A9543" s="447"/>
      <c r="B9543" s="55" t="str">
        <f t="shared" si="594"/>
        <v>ENERO</v>
      </c>
      <c r="C9543" s="55">
        <f t="shared" si="595"/>
        <v>1</v>
      </c>
      <c r="D9543" s="3" t="str">
        <f t="shared" si="596"/>
        <v>SÁBADO</v>
      </c>
      <c r="E9543" s="427"/>
      <c r="F9543" s="31">
        <f>IFERROR(VLOOKUP(E9543,BD!$L$2:$Q$244,2,0),0)</f>
        <v>0</v>
      </c>
      <c r="G9543" s="424"/>
      <c r="H9543" s="31">
        <f>+IFERROR(VLOOKUP(E9543,BD!$L$2:$Q$244,6,0),0)</f>
        <v>0</v>
      </c>
      <c r="I9543" s="626">
        <f>IFERROR(G9543*VLOOKUP($E9543,BD!$L$2:$Q$244,5,0),0)</f>
        <v>0</v>
      </c>
      <c r="J9543" s="3">
        <f t="shared" si="597"/>
        <v>1900</v>
      </c>
    </row>
    <row r="9544" spans="1:10" s="9" customFormat="1" x14ac:dyDescent="0.25">
      <c r="A9544" s="447"/>
      <c r="B9544" s="55" t="str">
        <f t="shared" si="594"/>
        <v>ENERO</v>
      </c>
      <c r="C9544" s="55">
        <f t="shared" si="595"/>
        <v>1</v>
      </c>
      <c r="D9544" s="3" t="str">
        <f t="shared" si="596"/>
        <v>SÁBADO</v>
      </c>
      <c r="E9544" s="427"/>
      <c r="F9544" s="31">
        <f>IFERROR(VLOOKUP(E9544,BD!$L$2:$Q$244,2,0),0)</f>
        <v>0</v>
      </c>
      <c r="G9544" s="424"/>
      <c r="H9544" s="31">
        <f>+IFERROR(VLOOKUP(E9544,BD!$L$2:$Q$244,6,0),0)</f>
        <v>0</v>
      </c>
      <c r="I9544" s="626">
        <f>IFERROR(G9544*VLOOKUP($E9544,BD!$L$2:$Q$244,5,0),0)</f>
        <v>0</v>
      </c>
      <c r="J9544" s="3">
        <f t="shared" si="597"/>
        <v>1900</v>
      </c>
    </row>
    <row r="9545" spans="1:10" s="9" customFormat="1" x14ac:dyDescent="0.25">
      <c r="A9545" s="447"/>
      <c r="B9545" s="55" t="str">
        <f t="shared" si="594"/>
        <v>ENERO</v>
      </c>
      <c r="C9545" s="55">
        <f t="shared" si="595"/>
        <v>1</v>
      </c>
      <c r="D9545" s="3" t="str">
        <f t="shared" si="596"/>
        <v>SÁBADO</v>
      </c>
      <c r="E9545" s="427"/>
      <c r="F9545" s="31">
        <f>IFERROR(VLOOKUP(E9545,BD!$L$2:$Q$244,2,0),0)</f>
        <v>0</v>
      </c>
      <c r="G9545" s="424"/>
      <c r="H9545" s="31">
        <f>+IFERROR(VLOOKUP(E9545,BD!$L$2:$Q$244,6,0),0)</f>
        <v>0</v>
      </c>
      <c r="I9545" s="626">
        <f>IFERROR(G9545*VLOOKUP($E9545,BD!$L$2:$Q$244,5,0),0)</f>
        <v>0</v>
      </c>
      <c r="J9545" s="3">
        <f t="shared" si="597"/>
        <v>1900</v>
      </c>
    </row>
    <row r="9546" spans="1:10" s="9" customFormat="1" x14ac:dyDescent="0.25">
      <c r="A9546" s="447"/>
      <c r="B9546" s="55" t="str">
        <f t="shared" si="594"/>
        <v>ENERO</v>
      </c>
      <c r="C9546" s="55">
        <f t="shared" si="595"/>
        <v>1</v>
      </c>
      <c r="D9546" s="3" t="str">
        <f t="shared" si="596"/>
        <v>SÁBADO</v>
      </c>
      <c r="E9546" s="427"/>
      <c r="F9546" s="31">
        <f>IFERROR(VLOOKUP(E9546,BD!$L$2:$Q$244,2,0),0)</f>
        <v>0</v>
      </c>
      <c r="G9546" s="424"/>
      <c r="H9546" s="31">
        <f>+IFERROR(VLOOKUP(E9546,BD!$L$2:$Q$244,6,0),0)</f>
        <v>0</v>
      </c>
      <c r="I9546" s="626">
        <f>IFERROR(G9546*VLOOKUP($E9546,BD!$L$2:$Q$244,5,0),0)</f>
        <v>0</v>
      </c>
      <c r="J9546" s="3">
        <f t="shared" si="597"/>
        <v>1900</v>
      </c>
    </row>
    <row r="9547" spans="1:10" s="9" customFormat="1" x14ac:dyDescent="0.25">
      <c r="A9547" s="447"/>
      <c r="B9547" s="55" t="str">
        <f t="shared" si="594"/>
        <v>ENERO</v>
      </c>
      <c r="C9547" s="55">
        <f t="shared" si="595"/>
        <v>1</v>
      </c>
      <c r="D9547" s="3" t="str">
        <f t="shared" si="596"/>
        <v>SÁBADO</v>
      </c>
      <c r="E9547" s="427"/>
      <c r="F9547" s="31">
        <f>IFERROR(VLOOKUP(E9547,BD!$L$2:$Q$244,2,0),0)</f>
        <v>0</v>
      </c>
      <c r="G9547" s="424"/>
      <c r="H9547" s="31">
        <f>+IFERROR(VLOOKUP(E9547,BD!$L$2:$Q$244,6,0),0)</f>
        <v>0</v>
      </c>
      <c r="I9547" s="626">
        <f>IFERROR(G9547*VLOOKUP($E9547,BD!$L$2:$Q$244,5,0),0)</f>
        <v>0</v>
      </c>
      <c r="J9547" s="3">
        <f t="shared" si="597"/>
        <v>1900</v>
      </c>
    </row>
    <row r="9548" spans="1:10" s="9" customFormat="1" x14ac:dyDescent="0.25">
      <c r="A9548" s="447"/>
      <c r="B9548" s="55" t="str">
        <f t="shared" si="594"/>
        <v>ENERO</v>
      </c>
      <c r="C9548" s="55">
        <f t="shared" si="595"/>
        <v>1</v>
      </c>
      <c r="D9548" s="3" t="str">
        <f t="shared" si="596"/>
        <v>SÁBADO</v>
      </c>
      <c r="E9548" s="427"/>
      <c r="F9548" s="31">
        <f>IFERROR(VLOOKUP(E9548,BD!$L$2:$Q$244,2,0),0)</f>
        <v>0</v>
      </c>
      <c r="G9548" s="424"/>
      <c r="H9548" s="31">
        <f>+IFERROR(VLOOKUP(E9548,BD!$L$2:$Q$244,6,0),0)</f>
        <v>0</v>
      </c>
      <c r="I9548" s="626">
        <f>IFERROR(G9548*VLOOKUP($E9548,BD!$L$2:$Q$244,5,0),0)</f>
        <v>0</v>
      </c>
      <c r="J9548" s="3">
        <f t="shared" si="597"/>
        <v>1900</v>
      </c>
    </row>
    <row r="9549" spans="1:10" s="9" customFormat="1" x14ac:dyDescent="0.25">
      <c r="A9549" s="447"/>
      <c r="B9549" s="55" t="str">
        <f t="shared" si="594"/>
        <v>ENERO</v>
      </c>
      <c r="C9549" s="55">
        <f t="shared" si="595"/>
        <v>1</v>
      </c>
      <c r="D9549" s="3" t="str">
        <f t="shared" si="596"/>
        <v>SÁBADO</v>
      </c>
      <c r="E9549" s="427"/>
      <c r="F9549" s="31">
        <f>IFERROR(VLOOKUP(E9549,BD!$L$2:$Q$244,2,0),0)</f>
        <v>0</v>
      </c>
      <c r="G9549" s="424"/>
      <c r="H9549" s="31">
        <f>+IFERROR(VLOOKUP(E9549,BD!$L$2:$Q$244,6,0),0)</f>
        <v>0</v>
      </c>
      <c r="I9549" s="626">
        <f>IFERROR(G9549*VLOOKUP($E9549,BD!$L$2:$Q$244,5,0),0)</f>
        <v>0</v>
      </c>
      <c r="J9549" s="3">
        <f t="shared" si="597"/>
        <v>1900</v>
      </c>
    </row>
    <row r="9550" spans="1:10" s="9" customFormat="1" x14ac:dyDescent="0.25">
      <c r="A9550" s="447"/>
      <c r="B9550" s="55" t="str">
        <f t="shared" si="594"/>
        <v>ENERO</v>
      </c>
      <c r="C9550" s="55">
        <f t="shared" si="595"/>
        <v>1</v>
      </c>
      <c r="D9550" s="3" t="str">
        <f t="shared" si="596"/>
        <v>SÁBADO</v>
      </c>
      <c r="E9550" s="427"/>
      <c r="F9550" s="31">
        <f>IFERROR(VLOOKUP(E9550,BD!$L$2:$Q$244,2,0),0)</f>
        <v>0</v>
      </c>
      <c r="G9550" s="424"/>
      <c r="H9550" s="31">
        <f>+IFERROR(VLOOKUP(E9550,BD!$L$2:$Q$244,6,0),0)</f>
        <v>0</v>
      </c>
      <c r="I9550" s="626">
        <f>IFERROR(G9550*VLOOKUP($E9550,BD!$L$2:$Q$244,5,0),0)</f>
        <v>0</v>
      </c>
      <c r="J9550" s="3">
        <f t="shared" si="597"/>
        <v>1900</v>
      </c>
    </row>
    <row r="9551" spans="1:10" s="9" customFormat="1" x14ac:dyDescent="0.25">
      <c r="A9551" s="447"/>
      <c r="B9551" s="55" t="str">
        <f t="shared" si="594"/>
        <v>ENERO</v>
      </c>
      <c r="C9551" s="55">
        <f t="shared" si="595"/>
        <v>1</v>
      </c>
      <c r="D9551" s="3" t="str">
        <f t="shared" si="596"/>
        <v>SÁBADO</v>
      </c>
      <c r="E9551" s="427"/>
      <c r="F9551" s="31">
        <f>IFERROR(VLOOKUP(E9551,BD!$L$2:$Q$244,2,0),0)</f>
        <v>0</v>
      </c>
      <c r="G9551" s="424"/>
      <c r="H9551" s="31">
        <f>+IFERROR(VLOOKUP(E9551,BD!$L$2:$Q$244,6,0),0)</f>
        <v>0</v>
      </c>
      <c r="I9551" s="626">
        <f>IFERROR(G9551*VLOOKUP($E9551,BD!$L$2:$Q$244,5,0),0)</f>
        <v>0</v>
      </c>
      <c r="J9551" s="3">
        <f t="shared" si="597"/>
        <v>1900</v>
      </c>
    </row>
    <row r="9552" spans="1:10" s="9" customFormat="1" x14ac:dyDescent="0.25">
      <c r="A9552" s="447"/>
      <c r="B9552" s="55" t="str">
        <f t="shared" si="594"/>
        <v>ENERO</v>
      </c>
      <c r="C9552" s="55">
        <f t="shared" si="595"/>
        <v>1</v>
      </c>
      <c r="D9552" s="3" t="str">
        <f t="shared" si="596"/>
        <v>SÁBADO</v>
      </c>
      <c r="E9552" s="427"/>
      <c r="F9552" s="31">
        <f>IFERROR(VLOOKUP(E9552,BD!$L$2:$Q$244,2,0),0)</f>
        <v>0</v>
      </c>
      <c r="G9552" s="424"/>
      <c r="H9552" s="31">
        <f>+IFERROR(VLOOKUP(E9552,BD!$L$2:$Q$244,6,0),0)</f>
        <v>0</v>
      </c>
      <c r="I9552" s="626">
        <f>IFERROR(G9552*VLOOKUP($E9552,BD!$L$2:$Q$244,5,0),0)</f>
        <v>0</v>
      </c>
      <c r="J9552" s="3">
        <f t="shared" si="597"/>
        <v>1900</v>
      </c>
    </row>
    <row r="9553" spans="1:10" s="9" customFormat="1" x14ac:dyDescent="0.25">
      <c r="A9553" s="447"/>
      <c r="B9553" s="55" t="str">
        <f t="shared" si="594"/>
        <v>ENERO</v>
      </c>
      <c r="C9553" s="55">
        <f t="shared" si="595"/>
        <v>1</v>
      </c>
      <c r="D9553" s="3" t="str">
        <f t="shared" si="596"/>
        <v>SÁBADO</v>
      </c>
      <c r="E9553" s="427"/>
      <c r="F9553" s="31">
        <f>IFERROR(VLOOKUP(E9553,BD!$L$2:$Q$244,2,0),0)</f>
        <v>0</v>
      </c>
      <c r="G9553" s="424"/>
      <c r="H9553" s="31">
        <f>+IFERROR(VLOOKUP(E9553,BD!$L$2:$Q$244,6,0),0)</f>
        <v>0</v>
      </c>
      <c r="I9553" s="626">
        <f>IFERROR(G9553*VLOOKUP($E9553,BD!$L$2:$Q$244,5,0),0)</f>
        <v>0</v>
      </c>
      <c r="J9553" s="3">
        <f t="shared" si="597"/>
        <v>1900</v>
      </c>
    </row>
    <row r="9554" spans="1:10" s="9" customFormat="1" x14ac:dyDescent="0.25">
      <c r="A9554" s="447"/>
      <c r="B9554" s="55" t="str">
        <f t="shared" si="594"/>
        <v>ENERO</v>
      </c>
      <c r="C9554" s="55">
        <f t="shared" si="595"/>
        <v>1</v>
      </c>
      <c r="D9554" s="3" t="str">
        <f t="shared" si="596"/>
        <v>SÁBADO</v>
      </c>
      <c r="E9554" s="427"/>
      <c r="F9554" s="31">
        <f>IFERROR(VLOOKUP(E9554,BD!$L$2:$Q$244,2,0),0)</f>
        <v>0</v>
      </c>
      <c r="G9554" s="424"/>
      <c r="H9554" s="31">
        <f>+IFERROR(VLOOKUP(E9554,BD!$L$2:$Q$244,6,0),0)</f>
        <v>0</v>
      </c>
      <c r="I9554" s="626">
        <f>IFERROR(G9554*VLOOKUP($E9554,BD!$L$2:$Q$244,5,0),0)</f>
        <v>0</v>
      </c>
      <c r="J9554" s="3">
        <f t="shared" si="597"/>
        <v>1900</v>
      </c>
    </row>
    <row r="9555" spans="1:10" s="9" customFormat="1" x14ac:dyDescent="0.25">
      <c r="A9555" s="447"/>
      <c r="B9555" s="55" t="str">
        <f t="shared" si="594"/>
        <v>ENERO</v>
      </c>
      <c r="C9555" s="55">
        <f t="shared" si="595"/>
        <v>1</v>
      </c>
      <c r="D9555" s="3" t="str">
        <f t="shared" si="596"/>
        <v>SÁBADO</v>
      </c>
      <c r="E9555" s="427"/>
      <c r="F9555" s="31">
        <f>IFERROR(VLOOKUP(E9555,BD!$L$2:$Q$244,2,0),0)</f>
        <v>0</v>
      </c>
      <c r="G9555" s="424"/>
      <c r="H9555" s="31">
        <f>+IFERROR(VLOOKUP(E9555,BD!$L$2:$Q$244,6,0),0)</f>
        <v>0</v>
      </c>
      <c r="I9555" s="626">
        <f>IFERROR(G9555*VLOOKUP($E9555,BD!$L$2:$Q$244,5,0),0)</f>
        <v>0</v>
      </c>
      <c r="J9555" s="3">
        <f t="shared" si="597"/>
        <v>1900</v>
      </c>
    </row>
    <row r="9556" spans="1:10" s="9" customFormat="1" x14ac:dyDescent="0.25">
      <c r="A9556" s="447"/>
      <c r="B9556" s="55" t="str">
        <f t="shared" si="594"/>
        <v>ENERO</v>
      </c>
      <c r="C9556" s="55">
        <f t="shared" si="595"/>
        <v>1</v>
      </c>
      <c r="D9556" s="3" t="str">
        <f t="shared" si="596"/>
        <v>SÁBADO</v>
      </c>
      <c r="E9556" s="427"/>
      <c r="F9556" s="31">
        <f>IFERROR(VLOOKUP(E9556,BD!$L$2:$Q$244,2,0),0)</f>
        <v>0</v>
      </c>
      <c r="G9556" s="424"/>
      <c r="H9556" s="31">
        <f>+IFERROR(VLOOKUP(E9556,BD!$L$2:$Q$244,6,0),0)</f>
        <v>0</v>
      </c>
      <c r="I9556" s="626">
        <f>IFERROR(G9556*VLOOKUP($E9556,BD!$L$2:$Q$244,5,0),0)</f>
        <v>0</v>
      </c>
      <c r="J9556" s="3">
        <f t="shared" si="597"/>
        <v>1900</v>
      </c>
    </row>
    <row r="9557" spans="1:10" s="9" customFormat="1" x14ac:dyDescent="0.25">
      <c r="A9557" s="447"/>
      <c r="B9557" s="55" t="str">
        <f t="shared" si="594"/>
        <v>ENERO</v>
      </c>
      <c r="C9557" s="55">
        <f t="shared" si="595"/>
        <v>1</v>
      </c>
      <c r="D9557" s="3" t="str">
        <f t="shared" si="596"/>
        <v>SÁBADO</v>
      </c>
      <c r="E9557" s="427"/>
      <c r="F9557" s="31">
        <f>IFERROR(VLOOKUP(E9557,BD!$L$2:$Q$244,2,0),0)</f>
        <v>0</v>
      </c>
      <c r="G9557" s="424"/>
      <c r="H9557" s="31">
        <f>+IFERROR(VLOOKUP(E9557,BD!$L$2:$Q$244,6,0),0)</f>
        <v>0</v>
      </c>
      <c r="I9557" s="626">
        <f>IFERROR(G9557*VLOOKUP($E9557,BD!$L$2:$Q$244,5,0),0)</f>
        <v>0</v>
      </c>
      <c r="J9557" s="3">
        <f t="shared" si="597"/>
        <v>1900</v>
      </c>
    </row>
    <row r="9558" spans="1:10" s="9" customFormat="1" x14ac:dyDescent="0.25">
      <c r="A9558" s="447"/>
      <c r="B9558" s="55" t="str">
        <f t="shared" si="594"/>
        <v>ENERO</v>
      </c>
      <c r="C9558" s="55">
        <f t="shared" si="595"/>
        <v>1</v>
      </c>
      <c r="D9558" s="3" t="str">
        <f t="shared" si="596"/>
        <v>SÁBADO</v>
      </c>
      <c r="E9558" s="427"/>
      <c r="F9558" s="31">
        <f>IFERROR(VLOOKUP(E9558,BD!$L$2:$Q$244,2,0),0)</f>
        <v>0</v>
      </c>
      <c r="G9558" s="424"/>
      <c r="H9558" s="31">
        <f>+IFERROR(VLOOKUP(E9558,BD!$L$2:$Q$244,6,0),0)</f>
        <v>0</v>
      </c>
      <c r="I9558" s="626">
        <f>IFERROR(G9558*VLOOKUP($E9558,BD!$L$2:$Q$244,5,0),0)</f>
        <v>0</v>
      </c>
      <c r="J9558" s="3">
        <f t="shared" si="597"/>
        <v>1900</v>
      </c>
    </row>
    <row r="9559" spans="1:10" s="9" customFormat="1" x14ac:dyDescent="0.25">
      <c r="A9559" s="447"/>
      <c r="B9559" s="55" t="str">
        <f t="shared" si="594"/>
        <v>ENERO</v>
      </c>
      <c r="C9559" s="55">
        <f t="shared" si="595"/>
        <v>1</v>
      </c>
      <c r="D9559" s="3" t="str">
        <f t="shared" si="596"/>
        <v>SÁBADO</v>
      </c>
      <c r="E9559" s="427"/>
      <c r="F9559" s="31">
        <f>IFERROR(VLOOKUP(E9559,BD!$L$2:$Q$244,2,0),0)</f>
        <v>0</v>
      </c>
      <c r="G9559" s="424"/>
      <c r="H9559" s="31">
        <f>+IFERROR(VLOOKUP(E9559,BD!$L$2:$Q$244,6,0),0)</f>
        <v>0</v>
      </c>
      <c r="I9559" s="626">
        <f>IFERROR(G9559*VLOOKUP($E9559,BD!$L$2:$Q$244,5,0),0)</f>
        <v>0</v>
      </c>
      <c r="J9559" s="3">
        <f t="shared" si="597"/>
        <v>1900</v>
      </c>
    </row>
    <row r="9560" spans="1:10" s="9" customFormat="1" x14ac:dyDescent="0.25">
      <c r="A9560" s="447"/>
      <c r="B9560" s="55" t="str">
        <f t="shared" si="594"/>
        <v>ENERO</v>
      </c>
      <c r="C9560" s="55">
        <f t="shared" si="595"/>
        <v>1</v>
      </c>
      <c r="D9560" s="3" t="str">
        <f t="shared" si="596"/>
        <v>SÁBADO</v>
      </c>
      <c r="E9560" s="427"/>
      <c r="F9560" s="31">
        <f>IFERROR(VLOOKUP(E9560,BD!$L$2:$Q$244,2,0),0)</f>
        <v>0</v>
      </c>
      <c r="G9560" s="424"/>
      <c r="H9560" s="31">
        <f>+IFERROR(VLOOKUP(E9560,BD!$L$2:$Q$244,6,0),0)</f>
        <v>0</v>
      </c>
      <c r="I9560" s="626">
        <f>IFERROR(G9560*VLOOKUP($E9560,BD!$L$2:$Q$244,5,0),0)</f>
        <v>0</v>
      </c>
      <c r="J9560" s="3">
        <f t="shared" si="597"/>
        <v>1900</v>
      </c>
    </row>
    <row r="9561" spans="1:10" s="9" customFormat="1" x14ac:dyDescent="0.25">
      <c r="A9561" s="447"/>
      <c r="B9561" s="55" t="str">
        <f t="shared" si="594"/>
        <v>ENERO</v>
      </c>
      <c r="C9561" s="55">
        <f t="shared" si="595"/>
        <v>1</v>
      </c>
      <c r="D9561" s="3" t="str">
        <f t="shared" si="596"/>
        <v>SÁBADO</v>
      </c>
      <c r="E9561" s="427"/>
      <c r="F9561" s="31">
        <f>IFERROR(VLOOKUP(E9561,BD!$L$2:$Q$244,2,0),0)</f>
        <v>0</v>
      </c>
      <c r="G9561" s="424"/>
      <c r="H9561" s="31">
        <f>+IFERROR(VLOOKUP(E9561,BD!$L$2:$Q$244,6,0),0)</f>
        <v>0</v>
      </c>
      <c r="I9561" s="626">
        <f>IFERROR(G9561*VLOOKUP($E9561,BD!$L$2:$Q$244,5,0),0)</f>
        <v>0</v>
      </c>
      <c r="J9561" s="3">
        <f t="shared" si="597"/>
        <v>1900</v>
      </c>
    </row>
    <row r="9562" spans="1:10" s="9" customFormat="1" x14ac:dyDescent="0.25">
      <c r="A9562" s="447"/>
      <c r="B9562" s="55" t="str">
        <f t="shared" si="594"/>
        <v>ENERO</v>
      </c>
      <c r="C9562" s="55">
        <f t="shared" si="595"/>
        <v>1</v>
      </c>
      <c r="D9562" s="3" t="str">
        <f t="shared" si="596"/>
        <v>SÁBADO</v>
      </c>
      <c r="E9562" s="427"/>
      <c r="F9562" s="31">
        <f>IFERROR(VLOOKUP(E9562,BD!$L$2:$Q$244,2,0),0)</f>
        <v>0</v>
      </c>
      <c r="G9562" s="424"/>
      <c r="H9562" s="31">
        <f>+IFERROR(VLOOKUP(E9562,BD!$L$2:$Q$244,6,0),0)</f>
        <v>0</v>
      </c>
      <c r="I9562" s="626">
        <f>IFERROR(G9562*VLOOKUP($E9562,BD!$L$2:$Q$244,5,0),0)</f>
        <v>0</v>
      </c>
      <c r="J9562" s="3">
        <f t="shared" si="597"/>
        <v>1900</v>
      </c>
    </row>
    <row r="9563" spans="1:10" s="9" customFormat="1" x14ac:dyDescent="0.25">
      <c r="A9563" s="447"/>
      <c r="B9563" s="55" t="str">
        <f t="shared" si="594"/>
        <v>ENERO</v>
      </c>
      <c r="C9563" s="55">
        <f t="shared" si="595"/>
        <v>1</v>
      </c>
      <c r="D9563" s="3" t="str">
        <f t="shared" si="596"/>
        <v>SÁBADO</v>
      </c>
      <c r="E9563" s="427"/>
      <c r="F9563" s="31">
        <f>IFERROR(VLOOKUP(E9563,BD!$L$2:$Q$244,2,0),0)</f>
        <v>0</v>
      </c>
      <c r="G9563" s="424"/>
      <c r="H9563" s="31">
        <f>+IFERROR(VLOOKUP(E9563,BD!$L$2:$Q$244,6,0),0)</f>
        <v>0</v>
      </c>
      <c r="I9563" s="626">
        <f>IFERROR(G9563*VLOOKUP($E9563,BD!$L$2:$Q$244,5,0),0)</f>
        <v>0</v>
      </c>
      <c r="J9563" s="3">
        <f t="shared" si="597"/>
        <v>1900</v>
      </c>
    </row>
    <row r="9564" spans="1:10" s="9" customFormat="1" x14ac:dyDescent="0.25">
      <c r="A9564" s="447"/>
      <c r="B9564" s="55" t="str">
        <f t="shared" si="594"/>
        <v>ENERO</v>
      </c>
      <c r="C9564" s="55">
        <f t="shared" si="595"/>
        <v>1</v>
      </c>
      <c r="D9564" s="3" t="str">
        <f t="shared" si="596"/>
        <v>SÁBADO</v>
      </c>
      <c r="E9564" s="427"/>
      <c r="F9564" s="31">
        <f>IFERROR(VLOOKUP(E9564,BD!$L$2:$Q$244,2,0),0)</f>
        <v>0</v>
      </c>
      <c r="G9564" s="424"/>
      <c r="H9564" s="31">
        <f>+IFERROR(VLOOKUP(E9564,BD!$L$2:$Q$244,6,0),0)</f>
        <v>0</v>
      </c>
      <c r="I9564" s="626">
        <f>IFERROR(G9564*VLOOKUP($E9564,BD!$L$2:$Q$244,5,0),0)</f>
        <v>0</v>
      </c>
      <c r="J9564" s="3">
        <f t="shared" si="597"/>
        <v>1900</v>
      </c>
    </row>
    <row r="9565" spans="1:10" s="9" customFormat="1" x14ac:dyDescent="0.25">
      <c r="A9565" s="447"/>
      <c r="B9565" s="55" t="str">
        <f t="shared" si="594"/>
        <v>ENERO</v>
      </c>
      <c r="C9565" s="55">
        <f t="shared" si="595"/>
        <v>1</v>
      </c>
      <c r="D9565" s="3" t="str">
        <f t="shared" si="596"/>
        <v>SÁBADO</v>
      </c>
      <c r="E9565" s="427"/>
      <c r="F9565" s="31">
        <f>IFERROR(VLOOKUP(E9565,BD!$L$2:$Q$244,2,0),0)</f>
        <v>0</v>
      </c>
      <c r="G9565" s="424"/>
      <c r="H9565" s="31">
        <f>+IFERROR(VLOOKUP(E9565,BD!$L$2:$Q$244,6,0),0)</f>
        <v>0</v>
      </c>
      <c r="I9565" s="626">
        <f>IFERROR(G9565*VLOOKUP($E9565,BD!$L$2:$Q$244,5,0),0)</f>
        <v>0</v>
      </c>
      <c r="J9565" s="3">
        <f t="shared" si="597"/>
        <v>1900</v>
      </c>
    </row>
    <row r="9566" spans="1:10" s="9" customFormat="1" x14ac:dyDescent="0.25">
      <c r="A9566" s="447"/>
      <c r="B9566" s="55" t="str">
        <f t="shared" si="594"/>
        <v>ENERO</v>
      </c>
      <c r="C9566" s="55">
        <f t="shared" si="595"/>
        <v>1</v>
      </c>
      <c r="D9566" s="3" t="str">
        <f t="shared" si="596"/>
        <v>SÁBADO</v>
      </c>
      <c r="E9566" s="427"/>
      <c r="F9566" s="31">
        <f>IFERROR(VLOOKUP(E9566,BD!$L$2:$Q$244,2,0),0)</f>
        <v>0</v>
      </c>
      <c r="G9566" s="424"/>
      <c r="H9566" s="31">
        <f>+IFERROR(VLOOKUP(E9566,BD!$L$2:$Q$244,6,0),0)</f>
        <v>0</v>
      </c>
      <c r="I9566" s="626">
        <f>IFERROR(G9566*VLOOKUP($E9566,BD!$L$2:$Q$244,5,0),0)</f>
        <v>0</v>
      </c>
      <c r="J9566" s="3">
        <f t="shared" si="597"/>
        <v>1900</v>
      </c>
    </row>
    <row r="9567" spans="1:10" s="9" customFormat="1" x14ac:dyDescent="0.25">
      <c r="A9567" s="447"/>
      <c r="B9567" s="55" t="str">
        <f t="shared" si="594"/>
        <v>ENERO</v>
      </c>
      <c r="C9567" s="55">
        <f t="shared" si="595"/>
        <v>1</v>
      </c>
      <c r="D9567" s="3" t="str">
        <f t="shared" si="596"/>
        <v>SÁBADO</v>
      </c>
      <c r="E9567" s="427"/>
      <c r="F9567" s="31">
        <f>IFERROR(VLOOKUP(E9567,BD!$L$2:$Q$244,2,0),0)</f>
        <v>0</v>
      </c>
      <c r="G9567" s="424"/>
      <c r="H9567" s="31">
        <f>+IFERROR(VLOOKUP(E9567,BD!$L$2:$Q$244,6,0),0)</f>
        <v>0</v>
      </c>
      <c r="I9567" s="626">
        <f>IFERROR(G9567*VLOOKUP($E9567,BD!$L$2:$Q$244,5,0),0)</f>
        <v>0</v>
      </c>
      <c r="J9567" s="3">
        <f t="shared" si="597"/>
        <v>1900</v>
      </c>
    </row>
    <row r="9568" spans="1:10" s="9" customFormat="1" x14ac:dyDescent="0.25">
      <c r="A9568" s="447"/>
      <c r="B9568" s="55" t="str">
        <f t="shared" si="594"/>
        <v>ENERO</v>
      </c>
      <c r="C9568" s="55">
        <f t="shared" si="595"/>
        <v>1</v>
      </c>
      <c r="D9568" s="3" t="str">
        <f t="shared" si="596"/>
        <v>SÁBADO</v>
      </c>
      <c r="E9568" s="427"/>
      <c r="F9568" s="31">
        <f>IFERROR(VLOOKUP(E9568,BD!$L$2:$Q$244,2,0),0)</f>
        <v>0</v>
      </c>
      <c r="G9568" s="424"/>
      <c r="H9568" s="31">
        <f>+IFERROR(VLOOKUP(E9568,BD!$L$2:$Q$244,6,0),0)</f>
        <v>0</v>
      </c>
      <c r="I9568" s="626">
        <f>IFERROR(G9568*VLOOKUP($E9568,BD!$L$2:$Q$244,5,0),0)</f>
        <v>0</v>
      </c>
      <c r="J9568" s="3">
        <f t="shared" si="597"/>
        <v>1900</v>
      </c>
    </row>
    <row r="9569" spans="1:10" s="9" customFormat="1" x14ac:dyDescent="0.25">
      <c r="A9569" s="447"/>
      <c r="B9569" s="55" t="str">
        <f t="shared" si="594"/>
        <v>ENERO</v>
      </c>
      <c r="C9569" s="55">
        <f t="shared" si="595"/>
        <v>1</v>
      </c>
      <c r="D9569" s="3" t="str">
        <f t="shared" si="596"/>
        <v>SÁBADO</v>
      </c>
      <c r="E9569" s="427"/>
      <c r="F9569" s="31">
        <f>IFERROR(VLOOKUP(E9569,BD!$L$2:$Q$244,2,0),0)</f>
        <v>0</v>
      </c>
      <c r="G9569" s="424"/>
      <c r="H9569" s="31">
        <f>+IFERROR(VLOOKUP(E9569,BD!$L$2:$Q$244,6,0),0)</f>
        <v>0</v>
      </c>
      <c r="I9569" s="626">
        <f>IFERROR(G9569*VLOOKUP($E9569,BD!$L$2:$Q$244,5,0),0)</f>
        <v>0</v>
      </c>
      <c r="J9569" s="3">
        <f t="shared" si="597"/>
        <v>1900</v>
      </c>
    </row>
    <row r="9570" spans="1:10" s="9" customFormat="1" x14ac:dyDescent="0.25">
      <c r="A9570" s="447"/>
      <c r="B9570" s="55" t="str">
        <f t="shared" si="594"/>
        <v>ENERO</v>
      </c>
      <c r="C9570" s="55">
        <f t="shared" si="595"/>
        <v>1</v>
      </c>
      <c r="D9570" s="3" t="str">
        <f t="shared" si="596"/>
        <v>SÁBADO</v>
      </c>
      <c r="E9570" s="427"/>
      <c r="F9570" s="31">
        <f>IFERROR(VLOOKUP(E9570,BD!$L$2:$Q$244,2,0),0)</f>
        <v>0</v>
      </c>
      <c r="G9570" s="424"/>
      <c r="H9570" s="31">
        <f>+IFERROR(VLOOKUP(E9570,BD!$L$2:$Q$244,6,0),0)</f>
        <v>0</v>
      </c>
      <c r="I9570" s="626">
        <f>IFERROR(G9570*VLOOKUP($E9570,BD!$L$2:$Q$244,5,0),0)</f>
        <v>0</v>
      </c>
      <c r="J9570" s="3">
        <f t="shared" si="597"/>
        <v>1900</v>
      </c>
    </row>
    <row r="9571" spans="1:10" s="9" customFormat="1" x14ac:dyDescent="0.25">
      <c r="A9571" s="447"/>
      <c r="B9571" s="55" t="str">
        <f t="shared" si="594"/>
        <v>ENERO</v>
      </c>
      <c r="C9571" s="55">
        <f t="shared" si="595"/>
        <v>1</v>
      </c>
      <c r="D9571" s="3" t="str">
        <f t="shared" si="596"/>
        <v>SÁBADO</v>
      </c>
      <c r="E9571" s="427"/>
      <c r="F9571" s="31">
        <f>IFERROR(VLOOKUP(E9571,BD!$L$2:$Q$244,2,0),0)</f>
        <v>0</v>
      </c>
      <c r="G9571" s="424"/>
      <c r="H9571" s="31">
        <f>+IFERROR(VLOOKUP(E9571,BD!$L$2:$Q$244,6,0),0)</f>
        <v>0</v>
      </c>
      <c r="I9571" s="626">
        <f>IFERROR(G9571*VLOOKUP($E9571,BD!$L$2:$Q$244,5,0),0)</f>
        <v>0</v>
      </c>
      <c r="J9571" s="3">
        <f t="shared" si="597"/>
        <v>1900</v>
      </c>
    </row>
    <row r="9572" spans="1:10" s="9" customFormat="1" x14ac:dyDescent="0.25">
      <c r="A9572" s="447"/>
      <c r="B9572" s="55" t="str">
        <f t="shared" si="594"/>
        <v>ENERO</v>
      </c>
      <c r="C9572" s="55">
        <f t="shared" si="595"/>
        <v>1</v>
      </c>
      <c r="D9572" s="3" t="str">
        <f t="shared" si="596"/>
        <v>SÁBADO</v>
      </c>
      <c r="E9572" s="427"/>
      <c r="F9572" s="31">
        <f>IFERROR(VLOOKUP(E9572,BD!$L$2:$Q$244,2,0),0)</f>
        <v>0</v>
      </c>
      <c r="G9572" s="424"/>
      <c r="H9572" s="31">
        <f>+IFERROR(VLOOKUP(E9572,BD!$L$2:$Q$244,6,0),0)</f>
        <v>0</v>
      </c>
      <c r="I9572" s="626">
        <f>IFERROR(G9572*VLOOKUP($E9572,BD!$L$2:$Q$244,5,0),0)</f>
        <v>0</v>
      </c>
      <c r="J9572" s="3">
        <f t="shared" si="597"/>
        <v>1900</v>
      </c>
    </row>
    <row r="9573" spans="1:10" s="9" customFormat="1" x14ac:dyDescent="0.25">
      <c r="A9573" s="447"/>
      <c r="B9573" s="55" t="str">
        <f t="shared" si="594"/>
        <v>ENERO</v>
      </c>
      <c r="C9573" s="55">
        <f t="shared" si="595"/>
        <v>1</v>
      </c>
      <c r="D9573" s="3" t="str">
        <f t="shared" si="596"/>
        <v>SÁBADO</v>
      </c>
      <c r="E9573" s="427"/>
      <c r="F9573" s="31">
        <f>IFERROR(VLOOKUP(E9573,BD!$L$2:$Q$244,2,0),0)</f>
        <v>0</v>
      </c>
      <c r="G9573" s="424"/>
      <c r="H9573" s="31">
        <f>+IFERROR(VLOOKUP(E9573,BD!$L$2:$Q$244,6,0),0)</f>
        <v>0</v>
      </c>
      <c r="I9573" s="626">
        <f>IFERROR(G9573*VLOOKUP($E9573,BD!$L$2:$Q$244,5,0),0)</f>
        <v>0</v>
      </c>
      <c r="J9573" s="3">
        <f t="shared" si="597"/>
        <v>1900</v>
      </c>
    </row>
    <row r="9574" spans="1:10" s="9" customFormat="1" x14ac:dyDescent="0.25">
      <c r="A9574" s="447"/>
      <c r="B9574" s="55" t="str">
        <f t="shared" si="594"/>
        <v>ENERO</v>
      </c>
      <c r="C9574" s="55">
        <f t="shared" si="595"/>
        <v>1</v>
      </c>
      <c r="D9574" s="3" t="str">
        <f t="shared" si="596"/>
        <v>SÁBADO</v>
      </c>
      <c r="E9574" s="427"/>
      <c r="F9574" s="31">
        <f>IFERROR(VLOOKUP(E9574,BD!$L$2:$Q$244,2,0),0)</f>
        <v>0</v>
      </c>
      <c r="G9574" s="425"/>
      <c r="H9574" s="31">
        <f>+IFERROR(VLOOKUP(E9574,BD!$L$2:$Q$244,6,0),0)</f>
        <v>0</v>
      </c>
      <c r="I9574" s="626">
        <f>IFERROR(G9574*VLOOKUP($E9574,BD!$L$2:$Q$244,5,0),0)</f>
        <v>0</v>
      </c>
      <c r="J9574" s="3">
        <f t="shared" si="597"/>
        <v>1900</v>
      </c>
    </row>
    <row r="9575" spans="1:10" s="9" customFormat="1" x14ac:dyDescent="0.25">
      <c r="A9575" s="447"/>
      <c r="B9575" s="55" t="str">
        <f t="shared" si="594"/>
        <v>ENERO</v>
      </c>
      <c r="C9575" s="55">
        <f t="shared" si="595"/>
        <v>1</v>
      </c>
      <c r="D9575" s="3" t="str">
        <f t="shared" si="596"/>
        <v>SÁBADO</v>
      </c>
      <c r="E9575" s="427"/>
      <c r="F9575" s="31">
        <f>IFERROR(VLOOKUP(E9575,BD!$L$2:$Q$244,2,0),0)</f>
        <v>0</v>
      </c>
      <c r="G9575" s="424"/>
      <c r="H9575" s="31">
        <f>+IFERROR(VLOOKUP(E9575,BD!$L$2:$Q$244,6,0),0)</f>
        <v>0</v>
      </c>
      <c r="I9575" s="626">
        <f>IFERROR(G9575*VLOOKUP($E9575,BD!$L$2:$Q$244,5,0),0)</f>
        <v>0</v>
      </c>
      <c r="J9575" s="3">
        <f t="shared" si="597"/>
        <v>1900</v>
      </c>
    </row>
    <row r="9576" spans="1:10" s="9" customFormat="1" x14ac:dyDescent="0.25">
      <c r="A9576" s="447"/>
      <c r="B9576" s="55" t="str">
        <f t="shared" si="594"/>
        <v>ENERO</v>
      </c>
      <c r="C9576" s="55">
        <f t="shared" si="595"/>
        <v>1</v>
      </c>
      <c r="D9576" s="3" t="str">
        <f t="shared" si="596"/>
        <v>SÁBADO</v>
      </c>
      <c r="E9576" s="427"/>
      <c r="F9576" s="31">
        <f>IFERROR(VLOOKUP(E9576,BD!$L$2:$Q$244,2,0),0)</f>
        <v>0</v>
      </c>
      <c r="G9576" s="424"/>
      <c r="H9576" s="31">
        <f>+IFERROR(VLOOKUP(E9576,BD!$L$2:$Q$244,6,0),0)</f>
        <v>0</v>
      </c>
      <c r="I9576" s="626">
        <f>IFERROR(G9576*VLOOKUP($E9576,BD!$L$2:$Q$244,5,0),0)</f>
        <v>0</v>
      </c>
      <c r="J9576" s="3">
        <f t="shared" si="597"/>
        <v>1900</v>
      </c>
    </row>
    <row r="9577" spans="1:10" s="9" customFormat="1" x14ac:dyDescent="0.25">
      <c r="A9577" s="447"/>
      <c r="B9577" s="55" t="str">
        <f t="shared" si="594"/>
        <v>ENERO</v>
      </c>
      <c r="C9577" s="55">
        <f t="shared" si="595"/>
        <v>1</v>
      </c>
      <c r="D9577" s="3" t="str">
        <f t="shared" si="596"/>
        <v>SÁBADO</v>
      </c>
      <c r="E9577" s="427"/>
      <c r="F9577" s="31">
        <f>IFERROR(VLOOKUP(E9577,BD!$L$2:$Q$244,2,0),0)</f>
        <v>0</v>
      </c>
      <c r="G9577" s="425"/>
      <c r="H9577" s="31">
        <f>+IFERROR(VLOOKUP(E9577,BD!$L$2:$Q$244,6,0),0)</f>
        <v>0</v>
      </c>
      <c r="I9577" s="626">
        <f>IFERROR(G9577*VLOOKUP($E9577,BD!$L$2:$Q$244,5,0),0)</f>
        <v>0</v>
      </c>
      <c r="J9577" s="3">
        <f t="shared" si="597"/>
        <v>1900</v>
      </c>
    </row>
    <row r="9578" spans="1:10" s="9" customFormat="1" x14ac:dyDescent="0.25">
      <c r="A9578" s="447"/>
      <c r="B9578" s="55" t="str">
        <f t="shared" si="594"/>
        <v>ENERO</v>
      </c>
      <c r="C9578" s="55">
        <f t="shared" si="595"/>
        <v>1</v>
      </c>
      <c r="D9578" s="3" t="str">
        <f t="shared" si="596"/>
        <v>SÁBADO</v>
      </c>
      <c r="E9578" s="427"/>
      <c r="F9578" s="31">
        <f>IFERROR(VLOOKUP(E9578,BD!$L$2:$Q$244,2,0),0)</f>
        <v>0</v>
      </c>
      <c r="G9578" s="424"/>
      <c r="H9578" s="31">
        <f>+IFERROR(VLOOKUP(E9578,BD!$L$2:$Q$244,6,0),0)</f>
        <v>0</v>
      </c>
      <c r="I9578" s="626">
        <f>IFERROR(G9578*VLOOKUP($E9578,BD!$L$2:$Q$244,5,0),0)</f>
        <v>0</v>
      </c>
      <c r="J9578" s="3">
        <f t="shared" si="597"/>
        <v>1900</v>
      </c>
    </row>
    <row r="9579" spans="1:10" s="9" customFormat="1" x14ac:dyDescent="0.25">
      <c r="A9579" s="447"/>
      <c r="B9579" s="55" t="str">
        <f t="shared" si="594"/>
        <v>ENERO</v>
      </c>
      <c r="C9579" s="55">
        <f t="shared" si="595"/>
        <v>1</v>
      </c>
      <c r="D9579" s="3" t="str">
        <f t="shared" si="596"/>
        <v>SÁBADO</v>
      </c>
      <c r="E9579" s="427"/>
      <c r="F9579" s="31">
        <f>IFERROR(VLOOKUP(E9579,BD!$L$2:$Q$244,2,0),0)</f>
        <v>0</v>
      </c>
      <c r="G9579" s="424"/>
      <c r="H9579" s="31">
        <f>+IFERROR(VLOOKUP(E9579,BD!$L$2:$Q$244,6,0),0)</f>
        <v>0</v>
      </c>
      <c r="I9579" s="626">
        <f>IFERROR(G9579*VLOOKUP($E9579,BD!$L$2:$Q$244,5,0),0)</f>
        <v>0</v>
      </c>
      <c r="J9579" s="3">
        <f t="shared" si="597"/>
        <v>1900</v>
      </c>
    </row>
    <row r="9580" spans="1:10" s="9" customFormat="1" x14ac:dyDescent="0.25">
      <c r="A9580" s="447"/>
      <c r="B9580" s="55" t="str">
        <f t="shared" si="594"/>
        <v>ENERO</v>
      </c>
      <c r="C9580" s="55">
        <f t="shared" si="595"/>
        <v>1</v>
      </c>
      <c r="D9580" s="3" t="str">
        <f t="shared" si="596"/>
        <v>SÁBADO</v>
      </c>
      <c r="E9580" s="427"/>
      <c r="F9580" s="31">
        <f>IFERROR(VLOOKUP(E9580,BD!$L$2:$Q$244,2,0),0)</f>
        <v>0</v>
      </c>
      <c r="G9580" s="424"/>
      <c r="H9580" s="31">
        <f>+IFERROR(VLOOKUP(E9580,BD!$L$2:$Q$244,6,0),0)</f>
        <v>0</v>
      </c>
      <c r="I9580" s="626">
        <f>IFERROR(G9580*VLOOKUP($E9580,BD!$L$2:$Q$244,5,0),0)</f>
        <v>0</v>
      </c>
      <c r="J9580" s="3">
        <f t="shared" si="597"/>
        <v>1900</v>
      </c>
    </row>
    <row r="9581" spans="1:10" s="9" customFormat="1" x14ac:dyDescent="0.25">
      <c r="A9581" s="447"/>
      <c r="B9581" s="55" t="str">
        <f t="shared" si="594"/>
        <v>ENERO</v>
      </c>
      <c r="C9581" s="55">
        <f t="shared" si="595"/>
        <v>1</v>
      </c>
      <c r="D9581" s="3" t="str">
        <f t="shared" si="596"/>
        <v>SÁBADO</v>
      </c>
      <c r="E9581" s="427"/>
      <c r="F9581" s="31">
        <f>IFERROR(VLOOKUP(E9581,BD!$L$2:$Q$244,2,0),0)</f>
        <v>0</v>
      </c>
      <c r="G9581" s="424"/>
      <c r="H9581" s="31">
        <f>+IFERROR(VLOOKUP(E9581,BD!$L$2:$Q$244,6,0),0)</f>
        <v>0</v>
      </c>
      <c r="I9581" s="626">
        <f>IFERROR(G9581*VLOOKUP($E9581,BD!$L$2:$Q$244,5,0),0)</f>
        <v>0</v>
      </c>
      <c r="J9581" s="3">
        <f t="shared" si="597"/>
        <v>1900</v>
      </c>
    </row>
    <row r="9582" spans="1:10" s="9" customFormat="1" x14ac:dyDescent="0.25">
      <c r="A9582" s="447"/>
      <c r="B9582" s="55" t="str">
        <f t="shared" si="594"/>
        <v>ENERO</v>
      </c>
      <c r="C9582" s="55">
        <f t="shared" si="595"/>
        <v>1</v>
      </c>
      <c r="D9582" s="3" t="str">
        <f t="shared" si="596"/>
        <v>SÁBADO</v>
      </c>
      <c r="E9582" s="427"/>
      <c r="F9582" s="31">
        <f>IFERROR(VLOOKUP(E9582,BD!$L$2:$Q$244,2,0),0)</f>
        <v>0</v>
      </c>
      <c r="G9582" s="424"/>
      <c r="H9582" s="31">
        <f>+IFERROR(VLOOKUP(E9582,BD!$L$2:$Q$244,6,0),0)</f>
        <v>0</v>
      </c>
      <c r="I9582" s="626">
        <f>IFERROR(G9582*VLOOKUP($E9582,BD!$L$2:$Q$244,5,0),0)</f>
        <v>0</v>
      </c>
      <c r="J9582" s="3">
        <f t="shared" si="597"/>
        <v>1900</v>
      </c>
    </row>
    <row r="9583" spans="1:10" s="9" customFormat="1" x14ac:dyDescent="0.25">
      <c r="A9583" s="447"/>
      <c r="B9583" s="55" t="str">
        <f t="shared" si="594"/>
        <v>ENERO</v>
      </c>
      <c r="C9583" s="55">
        <f t="shared" si="595"/>
        <v>1</v>
      </c>
      <c r="D9583" s="3" t="str">
        <f t="shared" si="596"/>
        <v>SÁBADO</v>
      </c>
      <c r="E9583" s="427"/>
      <c r="F9583" s="31">
        <f>IFERROR(VLOOKUP(E9583,BD!$L$2:$Q$244,2,0),0)</f>
        <v>0</v>
      </c>
      <c r="G9583" s="424"/>
      <c r="H9583" s="31">
        <f>+IFERROR(VLOOKUP(E9583,BD!$L$2:$Q$244,6,0),0)</f>
        <v>0</v>
      </c>
      <c r="I9583" s="626">
        <f>IFERROR(G9583*VLOOKUP($E9583,BD!$L$2:$Q$244,5,0),0)</f>
        <v>0</v>
      </c>
      <c r="J9583" s="3">
        <f t="shared" si="597"/>
        <v>1900</v>
      </c>
    </row>
    <row r="9584" spans="1:10" s="9" customFormat="1" x14ac:dyDescent="0.25">
      <c r="A9584" s="447"/>
      <c r="B9584" s="55" t="str">
        <f t="shared" si="594"/>
        <v>ENERO</v>
      </c>
      <c r="C9584" s="55">
        <f t="shared" si="595"/>
        <v>1</v>
      </c>
      <c r="D9584" s="3" t="str">
        <f t="shared" si="596"/>
        <v>SÁBADO</v>
      </c>
      <c r="E9584" s="427"/>
      <c r="F9584" s="31">
        <f>IFERROR(VLOOKUP(E9584,BD!$L$2:$Q$244,2,0),0)</f>
        <v>0</v>
      </c>
      <c r="G9584" s="424"/>
      <c r="H9584" s="31">
        <f>+IFERROR(VLOOKUP(E9584,BD!$L$2:$Q$244,6,0),0)</f>
        <v>0</v>
      </c>
      <c r="I9584" s="626">
        <f>IFERROR(G9584*VLOOKUP($E9584,BD!$L$2:$Q$244,5,0),0)</f>
        <v>0</v>
      </c>
      <c r="J9584" s="3">
        <f t="shared" si="597"/>
        <v>1900</v>
      </c>
    </row>
    <row r="9585" spans="1:10" s="9" customFormat="1" x14ac:dyDescent="0.25">
      <c r="A9585" s="447"/>
      <c r="B9585" s="55" t="str">
        <f t="shared" si="594"/>
        <v>ENERO</v>
      </c>
      <c r="C9585" s="55">
        <f t="shared" si="595"/>
        <v>1</v>
      </c>
      <c r="D9585" s="3" t="str">
        <f t="shared" si="596"/>
        <v>SÁBADO</v>
      </c>
      <c r="E9585" s="427"/>
      <c r="F9585" s="31">
        <f>IFERROR(VLOOKUP(E9585,BD!$L$2:$Q$244,2,0),0)</f>
        <v>0</v>
      </c>
      <c r="G9585" s="424"/>
      <c r="H9585" s="31">
        <f>+IFERROR(VLOOKUP(E9585,BD!$L$2:$Q$244,6,0),0)</f>
        <v>0</v>
      </c>
      <c r="I9585" s="626">
        <f>IFERROR(G9585*VLOOKUP($E9585,BD!$L$2:$Q$244,5,0),0)</f>
        <v>0</v>
      </c>
      <c r="J9585" s="3">
        <f t="shared" si="597"/>
        <v>1900</v>
      </c>
    </row>
    <row r="9586" spans="1:10" s="9" customFormat="1" x14ac:dyDescent="0.25">
      <c r="A9586" s="447"/>
      <c r="B9586" s="55" t="str">
        <f t="shared" si="594"/>
        <v>ENERO</v>
      </c>
      <c r="C9586" s="55">
        <f t="shared" si="595"/>
        <v>1</v>
      </c>
      <c r="D9586" s="3" t="str">
        <f t="shared" si="596"/>
        <v>SÁBADO</v>
      </c>
      <c r="E9586" s="427"/>
      <c r="F9586" s="31">
        <f>IFERROR(VLOOKUP(E9586,BD!$L$2:$Q$244,2,0),0)</f>
        <v>0</v>
      </c>
      <c r="G9586" s="424"/>
      <c r="H9586" s="31">
        <f>+IFERROR(VLOOKUP(E9586,BD!$L$2:$Q$244,6,0),0)</f>
        <v>0</v>
      </c>
      <c r="I9586" s="626">
        <f>IFERROR(G9586*VLOOKUP($E9586,BD!$L$2:$Q$244,5,0),0)</f>
        <v>0</v>
      </c>
      <c r="J9586" s="3">
        <f t="shared" si="597"/>
        <v>1900</v>
      </c>
    </row>
    <row r="9587" spans="1:10" s="9" customFormat="1" x14ac:dyDescent="0.25">
      <c r="A9587" s="447"/>
      <c r="B9587" s="55" t="str">
        <f t="shared" si="594"/>
        <v>ENERO</v>
      </c>
      <c r="C9587" s="55">
        <f t="shared" si="595"/>
        <v>1</v>
      </c>
      <c r="D9587" s="3" t="str">
        <f t="shared" si="596"/>
        <v>SÁBADO</v>
      </c>
      <c r="E9587" s="427"/>
      <c r="F9587" s="31">
        <f>IFERROR(VLOOKUP(E9587,BD!$L$2:$Q$244,2,0),0)</f>
        <v>0</v>
      </c>
      <c r="G9587" s="425"/>
      <c r="H9587" s="31">
        <f>+IFERROR(VLOOKUP(E9587,BD!$L$2:$Q$244,6,0),0)</f>
        <v>0</v>
      </c>
      <c r="I9587" s="626">
        <f>IFERROR(G9587*VLOOKUP($E9587,BD!$L$2:$Q$244,5,0),0)</f>
        <v>0</v>
      </c>
      <c r="J9587" s="3">
        <f t="shared" si="597"/>
        <v>1900</v>
      </c>
    </row>
    <row r="9588" spans="1:10" s="9" customFormat="1" x14ac:dyDescent="0.25">
      <c r="A9588" s="447"/>
      <c r="B9588" s="55" t="str">
        <f t="shared" si="594"/>
        <v>ENERO</v>
      </c>
      <c r="C9588" s="55">
        <f t="shared" si="595"/>
        <v>1</v>
      </c>
      <c r="D9588" s="3" t="str">
        <f t="shared" si="596"/>
        <v>SÁBADO</v>
      </c>
      <c r="E9588" s="427"/>
      <c r="F9588" s="31">
        <f>IFERROR(VLOOKUP(E9588,BD!$L$2:$Q$244,2,0),0)</f>
        <v>0</v>
      </c>
      <c r="G9588" s="424"/>
      <c r="H9588" s="31">
        <f>+IFERROR(VLOOKUP(E9588,BD!$L$2:$Q$244,6,0),0)</f>
        <v>0</v>
      </c>
      <c r="I9588" s="626">
        <f>IFERROR(G9588*VLOOKUP($E9588,BD!$L$2:$Q$244,5,0),0)</f>
        <v>0</v>
      </c>
      <c r="J9588" s="3">
        <f t="shared" si="597"/>
        <v>1900</v>
      </c>
    </row>
    <row r="9589" spans="1:10" s="9" customFormat="1" x14ac:dyDescent="0.25">
      <c r="A9589" s="447"/>
      <c r="B9589" s="55" t="str">
        <f t="shared" si="594"/>
        <v>ENERO</v>
      </c>
      <c r="C9589" s="55">
        <f t="shared" si="595"/>
        <v>1</v>
      </c>
      <c r="D9589" s="3" t="str">
        <f t="shared" si="596"/>
        <v>SÁBADO</v>
      </c>
      <c r="E9589" s="427"/>
      <c r="F9589" s="31">
        <f>IFERROR(VLOOKUP(E9589,BD!$L$2:$Q$244,2,0),0)</f>
        <v>0</v>
      </c>
      <c r="G9589" s="424"/>
      <c r="H9589" s="31">
        <f>+IFERROR(VLOOKUP(E9589,BD!$L$2:$Q$244,6,0),0)</f>
        <v>0</v>
      </c>
      <c r="I9589" s="626">
        <f>IFERROR(G9589*VLOOKUP($E9589,BD!$L$2:$Q$244,5,0),0)</f>
        <v>0</v>
      </c>
      <c r="J9589" s="3">
        <f t="shared" si="597"/>
        <v>1900</v>
      </c>
    </row>
    <row r="9590" spans="1:10" s="9" customFormat="1" x14ac:dyDescent="0.25">
      <c r="A9590" s="447"/>
      <c r="B9590" s="55" t="str">
        <f t="shared" si="594"/>
        <v>ENERO</v>
      </c>
      <c r="C9590" s="55">
        <f t="shared" si="595"/>
        <v>1</v>
      </c>
      <c r="D9590" s="3" t="str">
        <f t="shared" si="596"/>
        <v>SÁBADO</v>
      </c>
      <c r="E9590" s="427"/>
      <c r="F9590" s="31">
        <f>IFERROR(VLOOKUP(E9590,BD!$L$2:$Q$244,2,0),0)</f>
        <v>0</v>
      </c>
      <c r="G9590" s="424"/>
      <c r="H9590" s="31">
        <f>+IFERROR(VLOOKUP(E9590,BD!$L$2:$Q$244,6,0),0)</f>
        <v>0</v>
      </c>
      <c r="I9590" s="626">
        <f>IFERROR(G9590*VLOOKUP($E9590,BD!$L$2:$Q$244,5,0),0)</f>
        <v>0</v>
      </c>
      <c r="J9590" s="3">
        <f t="shared" si="597"/>
        <v>1900</v>
      </c>
    </row>
    <row r="9591" spans="1:10" s="9" customFormat="1" x14ac:dyDescent="0.25">
      <c r="A9591" s="447"/>
      <c r="B9591" s="55" t="str">
        <f t="shared" si="594"/>
        <v>ENERO</v>
      </c>
      <c r="C9591" s="55">
        <f t="shared" si="595"/>
        <v>1</v>
      </c>
      <c r="D9591" s="3" t="str">
        <f t="shared" si="596"/>
        <v>SÁBADO</v>
      </c>
      <c r="E9591" s="427"/>
      <c r="F9591" s="31">
        <f>IFERROR(VLOOKUP(E9591,BD!$L$2:$Q$244,2,0),0)</f>
        <v>0</v>
      </c>
      <c r="G9591" s="424"/>
      <c r="H9591" s="31">
        <f>+IFERROR(VLOOKUP(E9591,BD!$L$2:$Q$244,6,0),0)</f>
        <v>0</v>
      </c>
      <c r="I9591" s="626">
        <f>IFERROR(G9591*VLOOKUP($E9591,BD!$L$2:$Q$244,5,0),0)</f>
        <v>0</v>
      </c>
      <c r="J9591" s="3">
        <f t="shared" si="597"/>
        <v>1900</v>
      </c>
    </row>
    <row r="9592" spans="1:10" s="9" customFormat="1" x14ac:dyDescent="0.25">
      <c r="A9592" s="447"/>
      <c r="B9592" s="55" t="str">
        <f t="shared" si="594"/>
        <v>ENERO</v>
      </c>
      <c r="C9592" s="55">
        <f t="shared" si="595"/>
        <v>1</v>
      </c>
      <c r="D9592" s="3" t="str">
        <f t="shared" si="596"/>
        <v>SÁBADO</v>
      </c>
      <c r="E9592" s="427"/>
      <c r="F9592" s="31">
        <f>IFERROR(VLOOKUP(E9592,BD!$L$2:$Q$244,2,0),0)</f>
        <v>0</v>
      </c>
      <c r="G9592" s="424"/>
      <c r="H9592" s="31">
        <f>+IFERROR(VLOOKUP(E9592,BD!$L$2:$Q$244,6,0),0)</f>
        <v>0</v>
      </c>
      <c r="I9592" s="626">
        <f>IFERROR(G9592*VLOOKUP($E9592,BD!$L$2:$Q$244,5,0),0)</f>
        <v>0</v>
      </c>
      <c r="J9592" s="3">
        <f t="shared" si="597"/>
        <v>1900</v>
      </c>
    </row>
    <row r="9593" spans="1:10" s="9" customFormat="1" x14ac:dyDescent="0.25">
      <c r="A9593" s="447"/>
      <c r="B9593" s="55" t="str">
        <f t="shared" si="594"/>
        <v>ENERO</v>
      </c>
      <c r="C9593" s="55">
        <f t="shared" si="595"/>
        <v>1</v>
      </c>
      <c r="D9593" s="3" t="str">
        <f t="shared" si="596"/>
        <v>SÁBADO</v>
      </c>
      <c r="E9593" s="427"/>
      <c r="F9593" s="31">
        <f>IFERROR(VLOOKUP(E9593,BD!$L$2:$Q$244,2,0),0)</f>
        <v>0</v>
      </c>
      <c r="G9593" s="424"/>
      <c r="H9593" s="31">
        <f>+IFERROR(VLOOKUP(E9593,BD!$L$2:$Q$244,6,0),0)</f>
        <v>0</v>
      </c>
      <c r="I9593" s="626">
        <f>IFERROR(G9593*VLOOKUP($E9593,BD!$L$2:$Q$244,5,0),0)</f>
        <v>0</v>
      </c>
      <c r="J9593" s="3">
        <f t="shared" si="597"/>
        <v>1900</v>
      </c>
    </row>
    <row r="9594" spans="1:10" s="9" customFormat="1" x14ac:dyDescent="0.25">
      <c r="A9594" s="447"/>
      <c r="B9594" s="55" t="str">
        <f t="shared" si="594"/>
        <v>ENERO</v>
      </c>
      <c r="C9594" s="55">
        <f t="shared" si="595"/>
        <v>1</v>
      </c>
      <c r="D9594" s="3" t="str">
        <f t="shared" si="596"/>
        <v>SÁBADO</v>
      </c>
      <c r="E9594" s="427"/>
      <c r="F9594" s="31">
        <f>IFERROR(VLOOKUP(E9594,BD!$L$2:$Q$244,2,0),0)</f>
        <v>0</v>
      </c>
      <c r="G9594" s="424"/>
      <c r="H9594" s="31">
        <f>+IFERROR(VLOOKUP(E9594,BD!$L$2:$Q$244,6,0),0)</f>
        <v>0</v>
      </c>
      <c r="I9594" s="626">
        <f>IFERROR(G9594*VLOOKUP($E9594,BD!$L$2:$Q$244,5,0),0)</f>
        <v>0</v>
      </c>
      <c r="J9594" s="3">
        <f t="shared" si="597"/>
        <v>1900</v>
      </c>
    </row>
    <row r="9595" spans="1:10" s="9" customFormat="1" x14ac:dyDescent="0.25">
      <c r="A9595" s="447"/>
      <c r="B9595" s="55" t="str">
        <f t="shared" si="594"/>
        <v>ENERO</v>
      </c>
      <c r="C9595" s="55">
        <f t="shared" si="595"/>
        <v>1</v>
      </c>
      <c r="D9595" s="3" t="str">
        <f t="shared" si="596"/>
        <v>SÁBADO</v>
      </c>
      <c r="E9595" s="427"/>
      <c r="F9595" s="31">
        <f>IFERROR(VLOOKUP(E9595,BD!$L$2:$Q$244,2,0),0)</f>
        <v>0</v>
      </c>
      <c r="G9595" s="424"/>
      <c r="H9595" s="31">
        <f>+IFERROR(VLOOKUP(E9595,BD!$L$2:$Q$244,6,0),0)</f>
        <v>0</v>
      </c>
      <c r="I9595" s="626">
        <f>IFERROR(G9595*VLOOKUP($E9595,BD!$L$2:$Q$244,5,0),0)</f>
        <v>0</v>
      </c>
      <c r="J9595" s="3">
        <f t="shared" si="597"/>
        <v>1900</v>
      </c>
    </row>
    <row r="9596" spans="1:10" s="9" customFormat="1" x14ac:dyDescent="0.25">
      <c r="A9596" s="447"/>
      <c r="B9596" s="55" t="str">
        <f t="shared" ref="B9596:B9659" si="598">UPPER(TEXT(A9596,"MMMM"))</f>
        <v>ENERO</v>
      </c>
      <c r="C9596" s="55">
        <f t="shared" ref="C9596:C9659" si="599">WEEKNUM(A9596,16)</f>
        <v>1</v>
      </c>
      <c r="D9596" s="3" t="str">
        <f t="shared" ref="D9596:D9659" si="600">UPPER(TEXT(A9596,"DDDD"))</f>
        <v>SÁBADO</v>
      </c>
      <c r="E9596" s="427"/>
      <c r="F9596" s="31">
        <f>IFERROR(VLOOKUP(E9596,BD!$L$2:$Q$244,2,0),0)</f>
        <v>0</v>
      </c>
      <c r="G9596" s="424"/>
      <c r="H9596" s="31">
        <f>+IFERROR(VLOOKUP(E9596,BD!$L$2:$Q$244,6,0),0)</f>
        <v>0</v>
      </c>
      <c r="I9596" s="626">
        <f>IFERROR(G9596*VLOOKUP($E9596,BD!$L$2:$Q$244,5,0),0)</f>
        <v>0</v>
      </c>
      <c r="J9596" s="3">
        <f t="shared" ref="J9596:J9659" si="601">+YEAR(A9596)</f>
        <v>1900</v>
      </c>
    </row>
    <row r="9597" spans="1:10" s="9" customFormat="1" x14ac:dyDescent="0.25">
      <c r="A9597" s="447"/>
      <c r="B9597" s="55" t="str">
        <f t="shared" si="598"/>
        <v>ENERO</v>
      </c>
      <c r="C9597" s="55">
        <f t="shared" si="599"/>
        <v>1</v>
      </c>
      <c r="D9597" s="3" t="str">
        <f t="shared" si="600"/>
        <v>SÁBADO</v>
      </c>
      <c r="E9597" s="427"/>
      <c r="F9597" s="31">
        <f>IFERROR(VLOOKUP(E9597,BD!$L$2:$Q$244,2,0),0)</f>
        <v>0</v>
      </c>
      <c r="G9597" s="424"/>
      <c r="H9597" s="31">
        <f>+IFERROR(VLOOKUP(E9597,BD!$L$2:$Q$244,6,0),0)</f>
        <v>0</v>
      </c>
      <c r="I9597" s="626">
        <f>IFERROR(G9597*VLOOKUP($E9597,BD!$L$2:$Q$244,5,0),0)</f>
        <v>0</v>
      </c>
      <c r="J9597" s="3">
        <f t="shared" si="601"/>
        <v>1900</v>
      </c>
    </row>
    <row r="9598" spans="1:10" s="9" customFormat="1" x14ac:dyDescent="0.25">
      <c r="A9598" s="447"/>
      <c r="B9598" s="55" t="str">
        <f t="shared" si="598"/>
        <v>ENERO</v>
      </c>
      <c r="C9598" s="55">
        <f t="shared" si="599"/>
        <v>1</v>
      </c>
      <c r="D9598" s="3" t="str">
        <f t="shared" si="600"/>
        <v>SÁBADO</v>
      </c>
      <c r="E9598" s="427"/>
      <c r="F9598" s="31">
        <f>IFERROR(VLOOKUP(E9598,BD!$L$2:$Q$244,2,0),0)</f>
        <v>0</v>
      </c>
      <c r="G9598" s="424"/>
      <c r="H9598" s="31">
        <f>+IFERROR(VLOOKUP(E9598,BD!$L$2:$Q$244,6,0),0)</f>
        <v>0</v>
      </c>
      <c r="I9598" s="626">
        <f>IFERROR(G9598*VLOOKUP($E9598,BD!$L$2:$Q$244,5,0),0)</f>
        <v>0</v>
      </c>
      <c r="J9598" s="3">
        <f t="shared" si="601"/>
        <v>1900</v>
      </c>
    </row>
    <row r="9599" spans="1:10" s="9" customFormat="1" x14ac:dyDescent="0.25">
      <c r="A9599" s="447"/>
      <c r="B9599" s="55" t="str">
        <f t="shared" si="598"/>
        <v>ENERO</v>
      </c>
      <c r="C9599" s="55">
        <f t="shared" si="599"/>
        <v>1</v>
      </c>
      <c r="D9599" s="3" t="str">
        <f t="shared" si="600"/>
        <v>SÁBADO</v>
      </c>
      <c r="E9599" s="427"/>
      <c r="F9599" s="31">
        <f>IFERROR(VLOOKUP(E9599,BD!$L$2:$Q$244,2,0),0)</f>
        <v>0</v>
      </c>
      <c r="G9599" s="424"/>
      <c r="H9599" s="31">
        <f>+IFERROR(VLOOKUP(E9599,BD!$L$2:$Q$244,6,0),0)</f>
        <v>0</v>
      </c>
      <c r="I9599" s="626">
        <f>IFERROR(G9599*VLOOKUP($E9599,BD!$L$2:$Q$244,5,0),0)</f>
        <v>0</v>
      </c>
      <c r="J9599" s="3">
        <f t="shared" si="601"/>
        <v>1900</v>
      </c>
    </row>
    <row r="9600" spans="1:10" s="9" customFormat="1" x14ac:dyDescent="0.25">
      <c r="A9600" s="447"/>
      <c r="B9600" s="55" t="str">
        <f t="shared" si="598"/>
        <v>ENERO</v>
      </c>
      <c r="C9600" s="55">
        <f t="shared" si="599"/>
        <v>1</v>
      </c>
      <c r="D9600" s="3" t="str">
        <f t="shared" si="600"/>
        <v>SÁBADO</v>
      </c>
      <c r="E9600" s="427"/>
      <c r="F9600" s="31">
        <f>IFERROR(VLOOKUP(E9600,BD!$L$2:$Q$244,2,0),0)</f>
        <v>0</v>
      </c>
      <c r="G9600" s="424"/>
      <c r="H9600" s="31">
        <f>+IFERROR(VLOOKUP(E9600,BD!$L$2:$Q$244,6,0),0)</f>
        <v>0</v>
      </c>
      <c r="I9600" s="626">
        <f>IFERROR(G9600*VLOOKUP($E9600,BD!$L$2:$Q$244,5,0),0)</f>
        <v>0</v>
      </c>
      <c r="J9600" s="3">
        <f t="shared" si="601"/>
        <v>1900</v>
      </c>
    </row>
    <row r="9601" spans="1:10" s="9" customFormat="1" x14ac:dyDescent="0.25">
      <c r="A9601" s="447"/>
      <c r="B9601" s="55" t="str">
        <f t="shared" si="598"/>
        <v>ENERO</v>
      </c>
      <c r="C9601" s="55">
        <f t="shared" si="599"/>
        <v>1</v>
      </c>
      <c r="D9601" s="3" t="str">
        <f t="shared" si="600"/>
        <v>SÁBADO</v>
      </c>
      <c r="E9601" s="427"/>
      <c r="F9601" s="31">
        <f>IFERROR(VLOOKUP(E9601,BD!$L$2:$Q$244,2,0),0)</f>
        <v>0</v>
      </c>
      <c r="G9601" s="424"/>
      <c r="H9601" s="31">
        <f>+IFERROR(VLOOKUP(E9601,BD!$L$2:$Q$244,6,0),0)</f>
        <v>0</v>
      </c>
      <c r="I9601" s="626">
        <f>IFERROR(G9601*VLOOKUP($E9601,BD!$L$2:$Q$244,5,0),0)</f>
        <v>0</v>
      </c>
      <c r="J9601" s="3">
        <f t="shared" si="601"/>
        <v>1900</v>
      </c>
    </row>
    <row r="9602" spans="1:10" s="9" customFormat="1" x14ac:dyDescent="0.25">
      <c r="A9602" s="447"/>
      <c r="B9602" s="55" t="str">
        <f t="shared" si="598"/>
        <v>ENERO</v>
      </c>
      <c r="C9602" s="55">
        <f t="shared" si="599"/>
        <v>1</v>
      </c>
      <c r="D9602" s="3" t="str">
        <f t="shared" si="600"/>
        <v>SÁBADO</v>
      </c>
      <c r="E9602" s="427"/>
      <c r="F9602" s="31">
        <f>IFERROR(VLOOKUP(E9602,BD!$L$2:$Q$244,2,0),0)</f>
        <v>0</v>
      </c>
      <c r="G9602" s="424"/>
      <c r="H9602" s="31">
        <f>+IFERROR(VLOOKUP(E9602,BD!$L$2:$Q$244,6,0),0)</f>
        <v>0</v>
      </c>
      <c r="I9602" s="626">
        <f>IFERROR(G9602*VLOOKUP($E9602,BD!$L$2:$Q$244,5,0),0)</f>
        <v>0</v>
      </c>
      <c r="J9602" s="3">
        <f t="shared" si="601"/>
        <v>1900</v>
      </c>
    </row>
    <row r="9603" spans="1:10" s="9" customFormat="1" x14ac:dyDescent="0.25">
      <c r="A9603" s="447"/>
      <c r="B9603" s="55" t="str">
        <f t="shared" si="598"/>
        <v>ENERO</v>
      </c>
      <c r="C9603" s="55">
        <f t="shared" si="599"/>
        <v>1</v>
      </c>
      <c r="D9603" s="3" t="str">
        <f t="shared" si="600"/>
        <v>SÁBADO</v>
      </c>
      <c r="E9603" s="427"/>
      <c r="F9603" s="31">
        <f>IFERROR(VLOOKUP(E9603,BD!$L$2:$Q$244,2,0),0)</f>
        <v>0</v>
      </c>
      <c r="G9603" s="424"/>
      <c r="H9603" s="31">
        <f>+IFERROR(VLOOKUP(E9603,BD!$L$2:$Q$244,6,0),0)</f>
        <v>0</v>
      </c>
      <c r="I9603" s="626">
        <f>IFERROR(G9603*VLOOKUP($E9603,BD!$L$2:$Q$244,5,0),0)</f>
        <v>0</v>
      </c>
      <c r="J9603" s="3">
        <f t="shared" si="601"/>
        <v>1900</v>
      </c>
    </row>
    <row r="9604" spans="1:10" s="9" customFormat="1" x14ac:dyDescent="0.25">
      <c r="A9604" s="447"/>
      <c r="B9604" s="55" t="str">
        <f t="shared" si="598"/>
        <v>ENERO</v>
      </c>
      <c r="C9604" s="55">
        <f t="shared" si="599"/>
        <v>1</v>
      </c>
      <c r="D9604" s="3" t="str">
        <f t="shared" si="600"/>
        <v>SÁBADO</v>
      </c>
      <c r="E9604" s="427"/>
      <c r="F9604" s="31">
        <f>IFERROR(VLOOKUP(E9604,BD!$L$2:$Q$244,2,0),0)</f>
        <v>0</v>
      </c>
      <c r="G9604" s="424"/>
      <c r="H9604" s="31">
        <f>+IFERROR(VLOOKUP(E9604,BD!$L$2:$Q$244,6,0),0)</f>
        <v>0</v>
      </c>
      <c r="I9604" s="626">
        <f>IFERROR(G9604*VLOOKUP($E9604,BD!$L$2:$Q$244,5,0),0)</f>
        <v>0</v>
      </c>
      <c r="J9604" s="3">
        <f t="shared" si="601"/>
        <v>1900</v>
      </c>
    </row>
    <row r="9605" spans="1:10" s="9" customFormat="1" x14ac:dyDescent="0.25">
      <c r="A9605" s="447"/>
      <c r="B9605" s="55" t="str">
        <f t="shared" si="598"/>
        <v>ENERO</v>
      </c>
      <c r="C9605" s="55">
        <f t="shared" si="599"/>
        <v>1</v>
      </c>
      <c r="D9605" s="3" t="str">
        <f t="shared" si="600"/>
        <v>SÁBADO</v>
      </c>
      <c r="E9605" s="427"/>
      <c r="F9605" s="31">
        <f>IFERROR(VLOOKUP(E9605,BD!$L$2:$Q$244,2,0),0)</f>
        <v>0</v>
      </c>
      <c r="G9605" s="424"/>
      <c r="H9605" s="31">
        <f>+IFERROR(VLOOKUP(E9605,BD!$L$2:$Q$244,6,0),0)</f>
        <v>0</v>
      </c>
      <c r="I9605" s="626">
        <f>IFERROR(G9605*VLOOKUP($E9605,BD!$L$2:$Q$244,5,0),0)</f>
        <v>0</v>
      </c>
      <c r="J9605" s="3">
        <f t="shared" si="601"/>
        <v>1900</v>
      </c>
    </row>
    <row r="9606" spans="1:10" s="9" customFormat="1" x14ac:dyDescent="0.25">
      <c r="A9606" s="447"/>
      <c r="B9606" s="55" t="str">
        <f t="shared" si="598"/>
        <v>ENERO</v>
      </c>
      <c r="C9606" s="55">
        <f t="shared" si="599"/>
        <v>1</v>
      </c>
      <c r="D9606" s="3" t="str">
        <f t="shared" si="600"/>
        <v>SÁBADO</v>
      </c>
      <c r="E9606" s="427"/>
      <c r="F9606" s="31">
        <f>IFERROR(VLOOKUP(E9606,BD!$L$2:$Q$244,2,0),0)</f>
        <v>0</v>
      </c>
      <c r="G9606" s="424"/>
      <c r="H9606" s="31">
        <f>+IFERROR(VLOOKUP(E9606,BD!$L$2:$Q$244,6,0),0)</f>
        <v>0</v>
      </c>
      <c r="I9606" s="626">
        <f>IFERROR(G9606*VLOOKUP($E9606,BD!$L$2:$Q$244,5,0),0)</f>
        <v>0</v>
      </c>
      <c r="J9606" s="3">
        <f t="shared" si="601"/>
        <v>1900</v>
      </c>
    </row>
    <row r="9607" spans="1:10" s="9" customFormat="1" x14ac:dyDescent="0.25">
      <c r="A9607" s="447"/>
      <c r="B9607" s="55" t="str">
        <f t="shared" si="598"/>
        <v>ENERO</v>
      </c>
      <c r="C9607" s="55">
        <f t="shared" si="599"/>
        <v>1</v>
      </c>
      <c r="D9607" s="3" t="str">
        <f t="shared" si="600"/>
        <v>SÁBADO</v>
      </c>
      <c r="E9607" s="427"/>
      <c r="F9607" s="31">
        <f>IFERROR(VLOOKUP(E9607,BD!$L$2:$Q$244,2,0),0)</f>
        <v>0</v>
      </c>
      <c r="G9607" s="424"/>
      <c r="H9607" s="31">
        <f>+IFERROR(VLOOKUP(E9607,BD!$L$2:$Q$244,6,0),0)</f>
        <v>0</v>
      </c>
      <c r="I9607" s="626">
        <f>IFERROR(G9607*VLOOKUP($E9607,BD!$L$2:$Q$244,5,0),0)</f>
        <v>0</v>
      </c>
      <c r="J9607" s="3">
        <f t="shared" si="601"/>
        <v>1900</v>
      </c>
    </row>
    <row r="9608" spans="1:10" s="9" customFormat="1" x14ac:dyDescent="0.25">
      <c r="A9608" s="447"/>
      <c r="B9608" s="55" t="str">
        <f t="shared" si="598"/>
        <v>ENERO</v>
      </c>
      <c r="C9608" s="55">
        <f t="shared" si="599"/>
        <v>1</v>
      </c>
      <c r="D9608" s="3" t="str">
        <f t="shared" si="600"/>
        <v>SÁBADO</v>
      </c>
      <c r="E9608" s="427"/>
      <c r="F9608" s="31">
        <f>IFERROR(VLOOKUP(E9608,BD!$L$2:$Q$244,2,0),0)</f>
        <v>0</v>
      </c>
      <c r="G9608" s="424"/>
      <c r="H9608" s="31">
        <f>+IFERROR(VLOOKUP(E9608,BD!$L$2:$Q$244,6,0),0)</f>
        <v>0</v>
      </c>
      <c r="I9608" s="626">
        <f>IFERROR(G9608*VLOOKUP($E9608,BD!$L$2:$Q$244,5,0),0)</f>
        <v>0</v>
      </c>
      <c r="J9608" s="3">
        <f t="shared" si="601"/>
        <v>1900</v>
      </c>
    </row>
    <row r="9609" spans="1:10" s="9" customFormat="1" x14ac:dyDescent="0.25">
      <c r="A9609" s="447"/>
      <c r="B9609" s="55" t="str">
        <f t="shared" si="598"/>
        <v>ENERO</v>
      </c>
      <c r="C9609" s="55">
        <f t="shared" si="599"/>
        <v>1</v>
      </c>
      <c r="D9609" s="3" t="str">
        <f t="shared" si="600"/>
        <v>SÁBADO</v>
      </c>
      <c r="E9609" s="427"/>
      <c r="F9609" s="31">
        <f>IFERROR(VLOOKUP(E9609,BD!$L$2:$Q$244,2,0),0)</f>
        <v>0</v>
      </c>
      <c r="G9609" s="424"/>
      <c r="H9609" s="31">
        <f>+IFERROR(VLOOKUP(E9609,BD!$L$2:$Q$244,6,0),0)</f>
        <v>0</v>
      </c>
      <c r="I9609" s="626">
        <f>IFERROR(G9609*VLOOKUP($E9609,BD!$L$2:$Q$244,5,0),0)</f>
        <v>0</v>
      </c>
      <c r="J9609" s="3">
        <f t="shared" si="601"/>
        <v>1900</v>
      </c>
    </row>
    <row r="9610" spans="1:10" s="9" customFormat="1" x14ac:dyDescent="0.25">
      <c r="A9610" s="447"/>
      <c r="B9610" s="55" t="str">
        <f t="shared" si="598"/>
        <v>ENERO</v>
      </c>
      <c r="C9610" s="55">
        <f t="shared" si="599"/>
        <v>1</v>
      </c>
      <c r="D9610" s="3" t="str">
        <f t="shared" si="600"/>
        <v>SÁBADO</v>
      </c>
      <c r="E9610" s="427"/>
      <c r="F9610" s="31">
        <f>IFERROR(VLOOKUP(E9610,BD!$L$2:$Q$244,2,0),0)</f>
        <v>0</v>
      </c>
      <c r="G9610" s="424"/>
      <c r="H9610" s="31">
        <f>+IFERROR(VLOOKUP(E9610,BD!$L$2:$Q$244,6,0),0)</f>
        <v>0</v>
      </c>
      <c r="I9610" s="626">
        <f>IFERROR(G9610*VLOOKUP($E9610,BD!$L$2:$Q$244,5,0),0)</f>
        <v>0</v>
      </c>
      <c r="J9610" s="3">
        <f t="shared" si="601"/>
        <v>1900</v>
      </c>
    </row>
    <row r="9611" spans="1:10" s="9" customFormat="1" x14ac:dyDescent="0.25">
      <c r="A9611" s="447"/>
      <c r="B9611" s="55" t="str">
        <f t="shared" si="598"/>
        <v>ENERO</v>
      </c>
      <c r="C9611" s="55">
        <f t="shared" si="599"/>
        <v>1</v>
      </c>
      <c r="D9611" s="3" t="str">
        <f t="shared" si="600"/>
        <v>SÁBADO</v>
      </c>
      <c r="E9611" s="427"/>
      <c r="F9611" s="31">
        <f>IFERROR(VLOOKUP(E9611,BD!$L$2:$Q$244,2,0),0)</f>
        <v>0</v>
      </c>
      <c r="G9611" s="424"/>
      <c r="H9611" s="31">
        <f>+IFERROR(VLOOKUP(E9611,BD!$L$2:$Q$244,6,0),0)</f>
        <v>0</v>
      </c>
      <c r="I9611" s="626">
        <f>IFERROR(G9611*VLOOKUP($E9611,BD!$L$2:$Q$244,5,0),0)</f>
        <v>0</v>
      </c>
      <c r="J9611" s="3">
        <f t="shared" si="601"/>
        <v>1900</v>
      </c>
    </row>
    <row r="9612" spans="1:10" s="9" customFormat="1" x14ac:dyDescent="0.25">
      <c r="A9612" s="447"/>
      <c r="B9612" s="55" t="str">
        <f t="shared" si="598"/>
        <v>ENERO</v>
      </c>
      <c r="C9612" s="55">
        <f t="shared" si="599"/>
        <v>1</v>
      </c>
      <c r="D9612" s="3" t="str">
        <f t="shared" si="600"/>
        <v>SÁBADO</v>
      </c>
      <c r="E9612" s="427"/>
      <c r="F9612" s="31">
        <f>IFERROR(VLOOKUP(E9612,BD!$L$2:$Q$244,2,0),0)</f>
        <v>0</v>
      </c>
      <c r="G9612" s="424"/>
      <c r="H9612" s="31">
        <f>+IFERROR(VLOOKUP(E9612,BD!$L$2:$Q$244,6,0),0)</f>
        <v>0</v>
      </c>
      <c r="I9612" s="626">
        <f>IFERROR(G9612*VLOOKUP($E9612,BD!$L$2:$Q$244,5,0),0)</f>
        <v>0</v>
      </c>
      <c r="J9612" s="3">
        <f t="shared" si="601"/>
        <v>1900</v>
      </c>
    </row>
    <row r="9613" spans="1:10" s="9" customFormat="1" x14ac:dyDescent="0.25">
      <c r="A9613" s="447"/>
      <c r="B9613" s="55" t="str">
        <f t="shared" si="598"/>
        <v>ENERO</v>
      </c>
      <c r="C9613" s="55">
        <f t="shared" si="599"/>
        <v>1</v>
      </c>
      <c r="D9613" s="3" t="str">
        <f t="shared" si="600"/>
        <v>SÁBADO</v>
      </c>
      <c r="E9613" s="427"/>
      <c r="F9613" s="31">
        <f>IFERROR(VLOOKUP(E9613,BD!$L$2:$Q$244,2,0),0)</f>
        <v>0</v>
      </c>
      <c r="G9613" s="424"/>
      <c r="H9613" s="31">
        <f>+IFERROR(VLOOKUP(E9613,BD!$L$2:$Q$244,6,0),0)</f>
        <v>0</v>
      </c>
      <c r="I9613" s="626">
        <f>IFERROR(G9613*VLOOKUP($E9613,BD!$L$2:$Q$244,5,0),0)</f>
        <v>0</v>
      </c>
      <c r="J9613" s="3">
        <f t="shared" si="601"/>
        <v>1900</v>
      </c>
    </row>
    <row r="9614" spans="1:10" s="9" customFormat="1" x14ac:dyDescent="0.25">
      <c r="A9614" s="447"/>
      <c r="B9614" s="55" t="str">
        <f t="shared" si="598"/>
        <v>ENERO</v>
      </c>
      <c r="C9614" s="55">
        <f t="shared" si="599"/>
        <v>1</v>
      </c>
      <c r="D9614" s="3" t="str">
        <f t="shared" si="600"/>
        <v>SÁBADO</v>
      </c>
      <c r="E9614" s="427"/>
      <c r="F9614" s="31">
        <f>IFERROR(VLOOKUP(E9614,BD!$L$2:$Q$244,2,0),0)</f>
        <v>0</v>
      </c>
      <c r="G9614" s="424"/>
      <c r="H9614" s="31">
        <f>+IFERROR(VLOOKUP(E9614,BD!$L$2:$Q$244,6,0),0)</f>
        <v>0</v>
      </c>
      <c r="I9614" s="626">
        <f>IFERROR(G9614*VLOOKUP($E9614,BD!$L$2:$Q$244,5,0),0)</f>
        <v>0</v>
      </c>
      <c r="J9614" s="3">
        <f t="shared" si="601"/>
        <v>1900</v>
      </c>
    </row>
    <row r="9615" spans="1:10" s="9" customFormat="1" x14ac:dyDescent="0.25">
      <c r="A9615" s="447"/>
      <c r="B9615" s="55" t="str">
        <f t="shared" si="598"/>
        <v>ENERO</v>
      </c>
      <c r="C9615" s="55">
        <f t="shared" si="599"/>
        <v>1</v>
      </c>
      <c r="D9615" s="3" t="str">
        <f t="shared" si="600"/>
        <v>SÁBADO</v>
      </c>
      <c r="E9615" s="427"/>
      <c r="F9615" s="31">
        <f>IFERROR(VLOOKUP(E9615,BD!$L$2:$Q$244,2,0),0)</f>
        <v>0</v>
      </c>
      <c r="G9615" s="424"/>
      <c r="H9615" s="31">
        <f>+IFERROR(VLOOKUP(E9615,BD!$L$2:$Q$244,6,0),0)</f>
        <v>0</v>
      </c>
      <c r="I9615" s="626">
        <f>IFERROR(G9615*VLOOKUP($E9615,BD!$L$2:$Q$244,5,0),0)</f>
        <v>0</v>
      </c>
      <c r="J9615" s="3">
        <f t="shared" si="601"/>
        <v>1900</v>
      </c>
    </row>
    <row r="9616" spans="1:10" s="9" customFormat="1" x14ac:dyDescent="0.25">
      <c r="A9616" s="447"/>
      <c r="B9616" s="55" t="str">
        <f t="shared" si="598"/>
        <v>ENERO</v>
      </c>
      <c r="C9616" s="55">
        <f t="shared" si="599"/>
        <v>1</v>
      </c>
      <c r="D9616" s="3" t="str">
        <f t="shared" si="600"/>
        <v>SÁBADO</v>
      </c>
      <c r="E9616" s="427"/>
      <c r="F9616" s="31">
        <f>IFERROR(VLOOKUP(E9616,BD!$L$2:$Q$244,2,0),0)</f>
        <v>0</v>
      </c>
      <c r="G9616" s="424"/>
      <c r="H9616" s="31">
        <f>+IFERROR(VLOOKUP(E9616,BD!$L$2:$Q$244,6,0),0)</f>
        <v>0</v>
      </c>
      <c r="I9616" s="626">
        <f>IFERROR(G9616*VLOOKUP($E9616,BD!$L$2:$Q$244,5,0),0)</f>
        <v>0</v>
      </c>
      <c r="J9616" s="3">
        <f t="shared" si="601"/>
        <v>1900</v>
      </c>
    </row>
    <row r="9617" spans="1:10" s="9" customFormat="1" x14ac:dyDescent="0.25">
      <c r="A9617" s="447"/>
      <c r="B9617" s="55" t="str">
        <f t="shared" si="598"/>
        <v>ENERO</v>
      </c>
      <c r="C9617" s="55">
        <f t="shared" si="599"/>
        <v>1</v>
      </c>
      <c r="D9617" s="3" t="str">
        <f t="shared" si="600"/>
        <v>SÁBADO</v>
      </c>
      <c r="E9617" s="427"/>
      <c r="F9617" s="31">
        <f>IFERROR(VLOOKUP(E9617,BD!$L$2:$Q$244,2,0),0)</f>
        <v>0</v>
      </c>
      <c r="G9617" s="424"/>
      <c r="H9617" s="31">
        <f>+IFERROR(VLOOKUP(E9617,BD!$L$2:$Q$244,6,0),0)</f>
        <v>0</v>
      </c>
      <c r="I9617" s="626">
        <f>IFERROR(G9617*VLOOKUP($E9617,BD!$L$2:$Q$244,5,0),0)</f>
        <v>0</v>
      </c>
      <c r="J9617" s="3">
        <f t="shared" si="601"/>
        <v>1900</v>
      </c>
    </row>
    <row r="9618" spans="1:10" s="9" customFormat="1" x14ac:dyDescent="0.25">
      <c r="A9618" s="447"/>
      <c r="B9618" s="55" t="str">
        <f t="shared" si="598"/>
        <v>ENERO</v>
      </c>
      <c r="C9618" s="55">
        <f t="shared" si="599"/>
        <v>1</v>
      </c>
      <c r="D9618" s="3" t="str">
        <f t="shared" si="600"/>
        <v>SÁBADO</v>
      </c>
      <c r="E9618" s="427"/>
      <c r="F9618" s="31">
        <f>IFERROR(VLOOKUP(E9618,BD!$L$2:$Q$244,2,0),0)</f>
        <v>0</v>
      </c>
      <c r="G9618" s="424"/>
      <c r="H9618" s="31">
        <f>+IFERROR(VLOOKUP(E9618,BD!$L$2:$Q$244,6,0),0)</f>
        <v>0</v>
      </c>
      <c r="I9618" s="626">
        <f>IFERROR(G9618*VLOOKUP($E9618,BD!$L$2:$Q$244,5,0),0)</f>
        <v>0</v>
      </c>
      <c r="J9618" s="3">
        <f t="shared" si="601"/>
        <v>1900</v>
      </c>
    </row>
    <row r="9619" spans="1:10" s="9" customFormat="1" x14ac:dyDescent="0.25">
      <c r="A9619" s="447"/>
      <c r="B9619" s="55" t="str">
        <f t="shared" si="598"/>
        <v>ENERO</v>
      </c>
      <c r="C9619" s="55">
        <f t="shared" si="599"/>
        <v>1</v>
      </c>
      <c r="D9619" s="3" t="str">
        <f t="shared" si="600"/>
        <v>SÁBADO</v>
      </c>
      <c r="E9619" s="427"/>
      <c r="F9619" s="31">
        <f>IFERROR(VLOOKUP(E9619,BD!$L$2:$Q$244,2,0),0)</f>
        <v>0</v>
      </c>
      <c r="G9619" s="424"/>
      <c r="H9619" s="31">
        <f>+IFERROR(VLOOKUP(E9619,BD!$L$2:$Q$244,6,0),0)</f>
        <v>0</v>
      </c>
      <c r="I9619" s="626">
        <f>IFERROR(G9619*VLOOKUP($E9619,BD!$L$2:$Q$244,5,0),0)</f>
        <v>0</v>
      </c>
      <c r="J9619" s="3">
        <f t="shared" si="601"/>
        <v>1900</v>
      </c>
    </row>
    <row r="9620" spans="1:10" s="9" customFormat="1" x14ac:dyDescent="0.25">
      <c r="A9620" s="447"/>
      <c r="B9620" s="55" t="str">
        <f t="shared" si="598"/>
        <v>ENERO</v>
      </c>
      <c r="C9620" s="55">
        <f t="shared" si="599"/>
        <v>1</v>
      </c>
      <c r="D9620" s="3" t="str">
        <f t="shared" si="600"/>
        <v>SÁBADO</v>
      </c>
      <c r="E9620" s="427"/>
      <c r="F9620" s="31">
        <f>IFERROR(VLOOKUP(E9620,BD!$L$2:$Q$244,2,0),0)</f>
        <v>0</v>
      </c>
      <c r="G9620" s="424"/>
      <c r="H9620" s="31">
        <f>+IFERROR(VLOOKUP(E9620,BD!$L$2:$Q$244,6,0),0)</f>
        <v>0</v>
      </c>
      <c r="I9620" s="626">
        <f>IFERROR(G9620*VLOOKUP($E9620,BD!$L$2:$Q$244,5,0),0)</f>
        <v>0</v>
      </c>
      <c r="J9620" s="3">
        <f t="shared" si="601"/>
        <v>1900</v>
      </c>
    </row>
    <row r="9621" spans="1:10" s="9" customFormat="1" x14ac:dyDescent="0.25">
      <c r="A9621" s="447"/>
      <c r="B9621" s="55" t="str">
        <f t="shared" si="598"/>
        <v>ENERO</v>
      </c>
      <c r="C9621" s="55">
        <f t="shared" si="599"/>
        <v>1</v>
      </c>
      <c r="D9621" s="3" t="str">
        <f t="shared" si="600"/>
        <v>SÁBADO</v>
      </c>
      <c r="E9621" s="427"/>
      <c r="F9621" s="31">
        <f>IFERROR(VLOOKUP(E9621,BD!$L$2:$Q$244,2,0),0)</f>
        <v>0</v>
      </c>
      <c r="G9621" s="424"/>
      <c r="H9621" s="31">
        <f>+IFERROR(VLOOKUP(E9621,BD!$L$2:$Q$244,6,0),0)</f>
        <v>0</v>
      </c>
      <c r="I9621" s="626">
        <f>IFERROR(G9621*VLOOKUP($E9621,BD!$L$2:$Q$244,5,0),0)</f>
        <v>0</v>
      </c>
      <c r="J9621" s="3">
        <f t="shared" si="601"/>
        <v>1900</v>
      </c>
    </row>
    <row r="9622" spans="1:10" s="9" customFormat="1" x14ac:dyDescent="0.25">
      <c r="A9622" s="447"/>
      <c r="B9622" s="55" t="str">
        <f t="shared" si="598"/>
        <v>ENERO</v>
      </c>
      <c r="C9622" s="55">
        <f t="shared" si="599"/>
        <v>1</v>
      </c>
      <c r="D9622" s="3" t="str">
        <f t="shared" si="600"/>
        <v>SÁBADO</v>
      </c>
      <c r="E9622" s="427"/>
      <c r="F9622" s="31">
        <f>IFERROR(VLOOKUP(E9622,BD!$L$2:$Q$244,2,0),0)</f>
        <v>0</v>
      </c>
      <c r="G9622" s="424"/>
      <c r="H9622" s="31">
        <f>+IFERROR(VLOOKUP(E9622,BD!$L$2:$Q$244,6,0),0)</f>
        <v>0</v>
      </c>
      <c r="I9622" s="626">
        <f>IFERROR(G9622*VLOOKUP($E9622,BD!$L$2:$Q$244,5,0),0)</f>
        <v>0</v>
      </c>
      <c r="J9622" s="3">
        <f t="shared" si="601"/>
        <v>1900</v>
      </c>
    </row>
    <row r="9623" spans="1:10" s="9" customFormat="1" x14ac:dyDescent="0.25">
      <c r="A9623" s="447"/>
      <c r="B9623" s="55" t="str">
        <f t="shared" si="598"/>
        <v>ENERO</v>
      </c>
      <c r="C9623" s="55">
        <f t="shared" si="599"/>
        <v>1</v>
      </c>
      <c r="D9623" s="3" t="str">
        <f t="shared" si="600"/>
        <v>SÁBADO</v>
      </c>
      <c r="E9623" s="427"/>
      <c r="F9623" s="31">
        <f>IFERROR(VLOOKUP(E9623,BD!$L$2:$Q$244,2,0),0)</f>
        <v>0</v>
      </c>
      <c r="G9623" s="424"/>
      <c r="H9623" s="31">
        <f>+IFERROR(VLOOKUP(E9623,BD!$L$2:$Q$244,6,0),0)</f>
        <v>0</v>
      </c>
      <c r="I9623" s="626">
        <f>IFERROR(G9623*VLOOKUP($E9623,BD!$L$2:$Q$244,5,0),0)</f>
        <v>0</v>
      </c>
      <c r="J9623" s="3">
        <f t="shared" si="601"/>
        <v>1900</v>
      </c>
    </row>
    <row r="9624" spans="1:10" s="9" customFormat="1" x14ac:dyDescent="0.25">
      <c r="A9624" s="447"/>
      <c r="B9624" s="55" t="str">
        <f t="shared" si="598"/>
        <v>ENERO</v>
      </c>
      <c r="C9624" s="55">
        <f t="shared" si="599"/>
        <v>1</v>
      </c>
      <c r="D9624" s="3" t="str">
        <f t="shared" si="600"/>
        <v>SÁBADO</v>
      </c>
      <c r="E9624" s="427"/>
      <c r="F9624" s="31">
        <f>IFERROR(VLOOKUP(E9624,BD!$L$2:$Q$244,2,0),0)</f>
        <v>0</v>
      </c>
      <c r="G9624" s="424"/>
      <c r="H9624" s="31">
        <f>+IFERROR(VLOOKUP(E9624,BD!$L$2:$Q$244,6,0),0)</f>
        <v>0</v>
      </c>
      <c r="I9624" s="626">
        <f>IFERROR(G9624*VLOOKUP($E9624,BD!$L$2:$Q$244,5,0),0)</f>
        <v>0</v>
      </c>
      <c r="J9624" s="3">
        <f t="shared" si="601"/>
        <v>1900</v>
      </c>
    </row>
    <row r="9625" spans="1:10" s="9" customFormat="1" x14ac:dyDescent="0.25">
      <c r="A9625" s="447"/>
      <c r="B9625" s="55" t="str">
        <f t="shared" si="598"/>
        <v>ENERO</v>
      </c>
      <c r="C9625" s="55">
        <f t="shared" si="599"/>
        <v>1</v>
      </c>
      <c r="D9625" s="3" t="str">
        <f t="shared" si="600"/>
        <v>SÁBADO</v>
      </c>
      <c r="E9625" s="427"/>
      <c r="F9625" s="31">
        <f>IFERROR(VLOOKUP(E9625,BD!$L$2:$Q$244,2,0),0)</f>
        <v>0</v>
      </c>
      <c r="G9625" s="424"/>
      <c r="H9625" s="31">
        <f>+IFERROR(VLOOKUP(E9625,BD!$L$2:$Q$244,6,0),0)</f>
        <v>0</v>
      </c>
      <c r="I9625" s="626">
        <f>IFERROR(G9625*VLOOKUP($E9625,BD!$L$2:$Q$244,5,0),0)</f>
        <v>0</v>
      </c>
      <c r="J9625" s="3">
        <f t="shared" si="601"/>
        <v>1900</v>
      </c>
    </row>
    <row r="9626" spans="1:10" s="9" customFormat="1" x14ac:dyDescent="0.25">
      <c r="A9626" s="447"/>
      <c r="B9626" s="55" t="str">
        <f t="shared" si="598"/>
        <v>ENERO</v>
      </c>
      <c r="C9626" s="55">
        <f t="shared" si="599"/>
        <v>1</v>
      </c>
      <c r="D9626" s="3" t="str">
        <f t="shared" si="600"/>
        <v>SÁBADO</v>
      </c>
      <c r="E9626" s="427"/>
      <c r="F9626" s="31">
        <f>IFERROR(VLOOKUP(E9626,BD!$L$2:$Q$244,2,0),0)</f>
        <v>0</v>
      </c>
      <c r="G9626" s="424"/>
      <c r="H9626" s="31">
        <f>+IFERROR(VLOOKUP(E9626,BD!$L$2:$Q$244,6,0),0)</f>
        <v>0</v>
      </c>
      <c r="I9626" s="626">
        <f>IFERROR(G9626*VLOOKUP($E9626,BD!$L$2:$Q$244,5,0),0)</f>
        <v>0</v>
      </c>
      <c r="J9626" s="3">
        <f t="shared" si="601"/>
        <v>1900</v>
      </c>
    </row>
    <row r="9627" spans="1:10" s="9" customFormat="1" x14ac:dyDescent="0.25">
      <c r="A9627" s="447"/>
      <c r="B9627" s="55" t="str">
        <f t="shared" si="598"/>
        <v>ENERO</v>
      </c>
      <c r="C9627" s="55">
        <f t="shared" si="599"/>
        <v>1</v>
      </c>
      <c r="D9627" s="3" t="str">
        <f t="shared" si="600"/>
        <v>SÁBADO</v>
      </c>
      <c r="E9627" s="427"/>
      <c r="F9627" s="31">
        <f>IFERROR(VLOOKUP(E9627,BD!$L$2:$Q$244,2,0),0)</f>
        <v>0</v>
      </c>
      <c r="G9627" s="424"/>
      <c r="H9627" s="31">
        <f>+IFERROR(VLOOKUP(E9627,BD!$L$2:$Q$244,6,0),0)</f>
        <v>0</v>
      </c>
      <c r="I9627" s="626">
        <f>IFERROR(G9627*VLOOKUP($E9627,BD!$L$2:$Q$244,5,0),0)</f>
        <v>0</v>
      </c>
      <c r="J9627" s="3">
        <f t="shared" si="601"/>
        <v>1900</v>
      </c>
    </row>
    <row r="9628" spans="1:10" s="9" customFormat="1" x14ac:dyDescent="0.25">
      <c r="A9628" s="447"/>
      <c r="B9628" s="55" t="str">
        <f t="shared" si="598"/>
        <v>ENERO</v>
      </c>
      <c r="C9628" s="55">
        <f t="shared" si="599"/>
        <v>1</v>
      </c>
      <c r="D9628" s="3" t="str">
        <f t="shared" si="600"/>
        <v>SÁBADO</v>
      </c>
      <c r="E9628" s="427"/>
      <c r="F9628" s="31">
        <f>IFERROR(VLOOKUP(E9628,BD!$L$2:$Q$244,2,0),0)</f>
        <v>0</v>
      </c>
      <c r="G9628" s="424"/>
      <c r="H9628" s="31">
        <f>+IFERROR(VLOOKUP(E9628,BD!$L$2:$Q$244,6,0),0)</f>
        <v>0</v>
      </c>
      <c r="I9628" s="626">
        <f>IFERROR(G9628*VLOOKUP($E9628,BD!$L$2:$Q$244,5,0),0)</f>
        <v>0</v>
      </c>
      <c r="J9628" s="3">
        <f t="shared" si="601"/>
        <v>1900</v>
      </c>
    </row>
    <row r="9629" spans="1:10" s="9" customFormat="1" x14ac:dyDescent="0.25">
      <c r="A9629" s="447"/>
      <c r="B9629" s="55" t="str">
        <f t="shared" si="598"/>
        <v>ENERO</v>
      </c>
      <c r="C9629" s="55">
        <f t="shared" si="599"/>
        <v>1</v>
      </c>
      <c r="D9629" s="3" t="str">
        <f t="shared" si="600"/>
        <v>SÁBADO</v>
      </c>
      <c r="E9629" s="427"/>
      <c r="F9629" s="31">
        <f>IFERROR(VLOOKUP(E9629,BD!$L$2:$Q$244,2,0),0)</f>
        <v>0</v>
      </c>
      <c r="G9629" s="424"/>
      <c r="H9629" s="31">
        <f>+IFERROR(VLOOKUP(E9629,BD!$L$2:$Q$244,6,0),0)</f>
        <v>0</v>
      </c>
      <c r="I9629" s="626">
        <f>IFERROR(G9629*VLOOKUP($E9629,BD!$L$2:$Q$244,5,0),0)</f>
        <v>0</v>
      </c>
      <c r="J9629" s="3">
        <f t="shared" si="601"/>
        <v>1900</v>
      </c>
    </row>
    <row r="9630" spans="1:10" s="9" customFormat="1" x14ac:dyDescent="0.25">
      <c r="A9630" s="447"/>
      <c r="B9630" s="55" t="str">
        <f t="shared" si="598"/>
        <v>ENERO</v>
      </c>
      <c r="C9630" s="55">
        <f t="shared" si="599"/>
        <v>1</v>
      </c>
      <c r="D9630" s="3" t="str">
        <f t="shared" si="600"/>
        <v>SÁBADO</v>
      </c>
      <c r="E9630" s="427"/>
      <c r="F9630" s="31">
        <f>IFERROR(VLOOKUP(E9630,BD!$L$2:$Q$244,2,0),0)</f>
        <v>0</v>
      </c>
      <c r="G9630" s="424"/>
      <c r="H9630" s="31">
        <f>+IFERROR(VLOOKUP(E9630,BD!$L$2:$Q$244,6,0),0)</f>
        <v>0</v>
      </c>
      <c r="I9630" s="626">
        <f>IFERROR(G9630*VLOOKUP($E9630,BD!$L$2:$Q$244,5,0),0)</f>
        <v>0</v>
      </c>
      <c r="J9630" s="3">
        <f t="shared" si="601"/>
        <v>1900</v>
      </c>
    </row>
    <row r="9631" spans="1:10" s="9" customFormat="1" x14ac:dyDescent="0.25">
      <c r="A9631" s="447"/>
      <c r="B9631" s="55" t="str">
        <f t="shared" si="598"/>
        <v>ENERO</v>
      </c>
      <c r="C9631" s="55">
        <f t="shared" si="599"/>
        <v>1</v>
      </c>
      <c r="D9631" s="3" t="str">
        <f t="shared" si="600"/>
        <v>SÁBADO</v>
      </c>
      <c r="E9631" s="427"/>
      <c r="F9631" s="31">
        <f>IFERROR(VLOOKUP(E9631,BD!$L$2:$Q$244,2,0),0)</f>
        <v>0</v>
      </c>
      <c r="G9631" s="424"/>
      <c r="H9631" s="31">
        <f>+IFERROR(VLOOKUP(E9631,BD!$L$2:$Q$244,6,0),0)</f>
        <v>0</v>
      </c>
      <c r="I9631" s="626">
        <f>IFERROR(G9631*VLOOKUP($E9631,BD!$L$2:$Q$244,5,0),0)</f>
        <v>0</v>
      </c>
      <c r="J9631" s="3">
        <f t="shared" si="601"/>
        <v>1900</v>
      </c>
    </row>
    <row r="9632" spans="1:10" s="9" customFormat="1" x14ac:dyDescent="0.25">
      <c r="A9632" s="447"/>
      <c r="B9632" s="55" t="str">
        <f t="shared" si="598"/>
        <v>ENERO</v>
      </c>
      <c r="C9632" s="55">
        <f t="shared" si="599"/>
        <v>1</v>
      </c>
      <c r="D9632" s="3" t="str">
        <f t="shared" si="600"/>
        <v>SÁBADO</v>
      </c>
      <c r="E9632" s="427"/>
      <c r="F9632" s="31">
        <f>IFERROR(VLOOKUP(E9632,BD!$L$2:$Q$244,2,0),0)</f>
        <v>0</v>
      </c>
      <c r="G9632" s="424"/>
      <c r="H9632" s="31">
        <f>+IFERROR(VLOOKUP(E9632,BD!$L$2:$Q$244,6,0),0)</f>
        <v>0</v>
      </c>
      <c r="I9632" s="626">
        <f>IFERROR(G9632*VLOOKUP($E9632,BD!$L$2:$Q$244,5,0),0)</f>
        <v>0</v>
      </c>
      <c r="J9632" s="3">
        <f t="shared" si="601"/>
        <v>1900</v>
      </c>
    </row>
    <row r="9633" spans="1:10" s="9" customFormat="1" x14ac:dyDescent="0.25">
      <c r="A9633" s="447"/>
      <c r="B9633" s="55" t="str">
        <f t="shared" si="598"/>
        <v>ENERO</v>
      </c>
      <c r="C9633" s="55">
        <f t="shared" si="599"/>
        <v>1</v>
      </c>
      <c r="D9633" s="3" t="str">
        <f t="shared" si="600"/>
        <v>SÁBADO</v>
      </c>
      <c r="E9633" s="427"/>
      <c r="F9633" s="31">
        <f>IFERROR(VLOOKUP(E9633,BD!$L$2:$Q$244,2,0),0)</f>
        <v>0</v>
      </c>
      <c r="G9633" s="424"/>
      <c r="H9633" s="31">
        <f>+IFERROR(VLOOKUP(E9633,BD!$L$2:$Q$244,6,0),0)</f>
        <v>0</v>
      </c>
      <c r="I9633" s="626">
        <f>IFERROR(G9633*VLOOKUP($E9633,BD!$L$2:$Q$244,5,0),0)</f>
        <v>0</v>
      </c>
      <c r="J9633" s="3">
        <f t="shared" si="601"/>
        <v>1900</v>
      </c>
    </row>
    <row r="9634" spans="1:10" s="9" customFormat="1" x14ac:dyDescent="0.25">
      <c r="A9634" s="447"/>
      <c r="B9634" s="55" t="str">
        <f t="shared" si="598"/>
        <v>ENERO</v>
      </c>
      <c r="C9634" s="55">
        <f t="shared" si="599"/>
        <v>1</v>
      </c>
      <c r="D9634" s="3" t="str">
        <f t="shared" si="600"/>
        <v>SÁBADO</v>
      </c>
      <c r="E9634" s="427"/>
      <c r="F9634" s="31">
        <f>IFERROR(VLOOKUP(E9634,BD!$L$2:$Q$244,2,0),0)</f>
        <v>0</v>
      </c>
      <c r="G9634" s="424"/>
      <c r="H9634" s="31">
        <f>+IFERROR(VLOOKUP(E9634,BD!$L$2:$Q$244,6,0),0)</f>
        <v>0</v>
      </c>
      <c r="I9634" s="626">
        <f>IFERROR(G9634*VLOOKUP($E9634,BD!$L$2:$Q$244,5,0),0)</f>
        <v>0</v>
      </c>
      <c r="J9634" s="3">
        <f t="shared" si="601"/>
        <v>1900</v>
      </c>
    </row>
    <row r="9635" spans="1:10" s="9" customFormat="1" x14ac:dyDescent="0.25">
      <c r="A9635" s="447"/>
      <c r="B9635" s="55" t="str">
        <f t="shared" si="598"/>
        <v>ENERO</v>
      </c>
      <c r="C9635" s="55">
        <f t="shared" si="599"/>
        <v>1</v>
      </c>
      <c r="D9635" s="3" t="str">
        <f t="shared" si="600"/>
        <v>SÁBADO</v>
      </c>
      <c r="E9635" s="427"/>
      <c r="F9635" s="31">
        <f>IFERROR(VLOOKUP(E9635,BD!$L$2:$Q$244,2,0),0)</f>
        <v>0</v>
      </c>
      <c r="G9635" s="424"/>
      <c r="H9635" s="31">
        <f>+IFERROR(VLOOKUP(E9635,BD!$L$2:$Q$244,6,0),0)</f>
        <v>0</v>
      </c>
      <c r="I9635" s="626">
        <f>IFERROR(G9635*VLOOKUP($E9635,BD!$L$2:$Q$244,5,0),0)</f>
        <v>0</v>
      </c>
      <c r="J9635" s="3">
        <f t="shared" si="601"/>
        <v>1900</v>
      </c>
    </row>
    <row r="9636" spans="1:10" s="9" customFormat="1" x14ac:dyDescent="0.25">
      <c r="A9636" s="447"/>
      <c r="B9636" s="55" t="str">
        <f t="shared" si="598"/>
        <v>ENERO</v>
      </c>
      <c r="C9636" s="55">
        <f t="shared" si="599"/>
        <v>1</v>
      </c>
      <c r="D9636" s="3" t="str">
        <f t="shared" si="600"/>
        <v>SÁBADO</v>
      </c>
      <c r="E9636" s="427"/>
      <c r="F9636" s="31">
        <f>IFERROR(VLOOKUP(E9636,BD!$L$2:$Q$244,2,0),0)</f>
        <v>0</v>
      </c>
      <c r="G9636" s="424"/>
      <c r="H9636" s="31">
        <f>+IFERROR(VLOOKUP(E9636,BD!$L$2:$Q$244,6,0),0)</f>
        <v>0</v>
      </c>
      <c r="I9636" s="626">
        <f>IFERROR(G9636*VLOOKUP($E9636,BD!$L$2:$Q$244,5,0),0)</f>
        <v>0</v>
      </c>
      <c r="J9636" s="3">
        <f t="shared" si="601"/>
        <v>1900</v>
      </c>
    </row>
    <row r="9637" spans="1:10" s="9" customFormat="1" x14ac:dyDescent="0.25">
      <c r="A9637" s="447"/>
      <c r="B9637" s="55" t="str">
        <f t="shared" si="598"/>
        <v>ENERO</v>
      </c>
      <c r="C9637" s="55">
        <f t="shared" si="599"/>
        <v>1</v>
      </c>
      <c r="D9637" s="3" t="str">
        <f t="shared" si="600"/>
        <v>SÁBADO</v>
      </c>
      <c r="E9637" s="427"/>
      <c r="F9637" s="31">
        <f>IFERROR(VLOOKUP(E9637,BD!$L$2:$Q$244,2,0),0)</f>
        <v>0</v>
      </c>
      <c r="G9637" s="424"/>
      <c r="H9637" s="31">
        <f>+IFERROR(VLOOKUP(E9637,BD!$L$2:$Q$244,6,0),0)</f>
        <v>0</v>
      </c>
      <c r="I9637" s="626">
        <f>IFERROR(G9637*VLOOKUP($E9637,BD!$L$2:$Q$244,5,0),0)</f>
        <v>0</v>
      </c>
      <c r="J9637" s="3">
        <f t="shared" si="601"/>
        <v>1900</v>
      </c>
    </row>
    <row r="9638" spans="1:10" s="9" customFormat="1" x14ac:dyDescent="0.25">
      <c r="A9638" s="447"/>
      <c r="B9638" s="55" t="str">
        <f t="shared" si="598"/>
        <v>ENERO</v>
      </c>
      <c r="C9638" s="55">
        <f t="shared" si="599"/>
        <v>1</v>
      </c>
      <c r="D9638" s="3" t="str">
        <f t="shared" si="600"/>
        <v>SÁBADO</v>
      </c>
      <c r="E9638" s="427"/>
      <c r="F9638" s="31">
        <f>IFERROR(VLOOKUP(E9638,BD!$L$2:$Q$244,2,0),0)</f>
        <v>0</v>
      </c>
      <c r="G9638" s="424"/>
      <c r="H9638" s="31">
        <f>+IFERROR(VLOOKUP(E9638,BD!$L$2:$Q$244,6,0),0)</f>
        <v>0</v>
      </c>
      <c r="I9638" s="626">
        <f>IFERROR(G9638*VLOOKUP($E9638,BD!$L$2:$Q$244,5,0),0)</f>
        <v>0</v>
      </c>
      <c r="J9638" s="3">
        <f t="shared" si="601"/>
        <v>1900</v>
      </c>
    </row>
    <row r="9639" spans="1:10" s="9" customFormat="1" x14ac:dyDescent="0.25">
      <c r="A9639" s="447"/>
      <c r="B9639" s="55" t="str">
        <f t="shared" si="598"/>
        <v>ENERO</v>
      </c>
      <c r="C9639" s="55">
        <f t="shared" si="599"/>
        <v>1</v>
      </c>
      <c r="D9639" s="3" t="str">
        <f t="shared" si="600"/>
        <v>SÁBADO</v>
      </c>
      <c r="E9639" s="427"/>
      <c r="F9639" s="31">
        <f>IFERROR(VLOOKUP(E9639,BD!$L$2:$Q$244,2,0),0)</f>
        <v>0</v>
      </c>
      <c r="G9639" s="424"/>
      <c r="H9639" s="31">
        <f>+IFERROR(VLOOKUP(E9639,BD!$L$2:$Q$244,6,0),0)</f>
        <v>0</v>
      </c>
      <c r="I9639" s="626">
        <f>IFERROR(G9639*VLOOKUP($E9639,BD!$L$2:$Q$244,5,0),0)</f>
        <v>0</v>
      </c>
      <c r="J9639" s="3">
        <f t="shared" si="601"/>
        <v>1900</v>
      </c>
    </row>
    <row r="9640" spans="1:10" s="9" customFormat="1" x14ac:dyDescent="0.25">
      <c r="A9640" s="447"/>
      <c r="B9640" s="55" t="str">
        <f t="shared" si="598"/>
        <v>ENERO</v>
      </c>
      <c r="C9640" s="55">
        <f t="shared" si="599"/>
        <v>1</v>
      </c>
      <c r="D9640" s="3" t="str">
        <f t="shared" si="600"/>
        <v>SÁBADO</v>
      </c>
      <c r="E9640" s="427"/>
      <c r="F9640" s="31">
        <f>IFERROR(VLOOKUP(E9640,BD!$L$2:$Q$244,2,0),0)</f>
        <v>0</v>
      </c>
      <c r="G9640" s="424"/>
      <c r="H9640" s="31">
        <f>+IFERROR(VLOOKUP(E9640,BD!$L$2:$Q$244,6,0),0)</f>
        <v>0</v>
      </c>
      <c r="I9640" s="626">
        <f>IFERROR(G9640*VLOOKUP($E9640,BD!$L$2:$Q$244,5,0),0)</f>
        <v>0</v>
      </c>
      <c r="J9640" s="3">
        <f t="shared" si="601"/>
        <v>1900</v>
      </c>
    </row>
    <row r="9641" spans="1:10" s="9" customFormat="1" x14ac:dyDescent="0.25">
      <c r="A9641" s="447"/>
      <c r="B9641" s="55" t="str">
        <f t="shared" si="598"/>
        <v>ENERO</v>
      </c>
      <c r="C9641" s="55">
        <f t="shared" si="599"/>
        <v>1</v>
      </c>
      <c r="D9641" s="3" t="str">
        <f t="shared" si="600"/>
        <v>SÁBADO</v>
      </c>
      <c r="E9641" s="427"/>
      <c r="F9641" s="31">
        <f>IFERROR(VLOOKUP(E9641,BD!$L$2:$Q$244,2,0),0)</f>
        <v>0</v>
      </c>
      <c r="G9641" s="424"/>
      <c r="H9641" s="31">
        <f>+IFERROR(VLOOKUP(E9641,BD!$L$2:$Q$244,6,0),0)</f>
        <v>0</v>
      </c>
      <c r="I9641" s="626">
        <f>IFERROR(G9641*VLOOKUP($E9641,BD!$L$2:$Q$244,5,0),0)</f>
        <v>0</v>
      </c>
      <c r="J9641" s="3">
        <f t="shared" si="601"/>
        <v>1900</v>
      </c>
    </row>
    <row r="9642" spans="1:10" s="9" customFormat="1" x14ac:dyDescent="0.25">
      <c r="A9642" s="447"/>
      <c r="B9642" s="55" t="str">
        <f t="shared" si="598"/>
        <v>ENERO</v>
      </c>
      <c r="C9642" s="55">
        <f t="shared" si="599"/>
        <v>1</v>
      </c>
      <c r="D9642" s="3" t="str">
        <f t="shared" si="600"/>
        <v>SÁBADO</v>
      </c>
      <c r="E9642" s="427"/>
      <c r="F9642" s="31">
        <f>IFERROR(VLOOKUP(E9642,BD!$L$2:$Q$244,2,0),0)</f>
        <v>0</v>
      </c>
      <c r="G9642" s="424"/>
      <c r="H9642" s="31">
        <f>+IFERROR(VLOOKUP(E9642,BD!$L$2:$Q$244,6,0),0)</f>
        <v>0</v>
      </c>
      <c r="I9642" s="626">
        <f>IFERROR(G9642*VLOOKUP($E9642,BD!$L$2:$Q$244,5,0),0)</f>
        <v>0</v>
      </c>
      <c r="J9642" s="3">
        <f t="shared" si="601"/>
        <v>1900</v>
      </c>
    </row>
    <row r="9643" spans="1:10" s="9" customFormat="1" x14ac:dyDescent="0.25">
      <c r="A9643" s="447"/>
      <c r="B9643" s="55" t="str">
        <f t="shared" si="598"/>
        <v>ENERO</v>
      </c>
      <c r="C9643" s="55">
        <f t="shared" si="599"/>
        <v>1</v>
      </c>
      <c r="D9643" s="3" t="str">
        <f t="shared" si="600"/>
        <v>SÁBADO</v>
      </c>
      <c r="E9643" s="427"/>
      <c r="F9643" s="31">
        <f>IFERROR(VLOOKUP(E9643,BD!$L$2:$Q$244,2,0),0)</f>
        <v>0</v>
      </c>
      <c r="G9643" s="424"/>
      <c r="H9643" s="31">
        <f>+IFERROR(VLOOKUP(E9643,BD!$L$2:$Q$244,6,0),0)</f>
        <v>0</v>
      </c>
      <c r="I9643" s="626">
        <f>IFERROR(G9643*VLOOKUP($E9643,BD!$L$2:$Q$244,5,0),0)</f>
        <v>0</v>
      </c>
      <c r="J9643" s="3">
        <f t="shared" si="601"/>
        <v>1900</v>
      </c>
    </row>
    <row r="9644" spans="1:10" s="9" customFormat="1" x14ac:dyDescent="0.25">
      <c r="A9644" s="447"/>
      <c r="B9644" s="55" t="str">
        <f t="shared" si="598"/>
        <v>ENERO</v>
      </c>
      <c r="C9644" s="55">
        <f t="shared" si="599"/>
        <v>1</v>
      </c>
      <c r="D9644" s="3" t="str">
        <f t="shared" si="600"/>
        <v>SÁBADO</v>
      </c>
      <c r="E9644" s="427"/>
      <c r="F9644" s="31">
        <f>IFERROR(VLOOKUP(E9644,BD!$L$2:$Q$244,2,0),0)</f>
        <v>0</v>
      </c>
      <c r="G9644" s="424"/>
      <c r="H9644" s="31">
        <f>+IFERROR(VLOOKUP(E9644,BD!$L$2:$Q$244,6,0),0)</f>
        <v>0</v>
      </c>
      <c r="I9644" s="626">
        <f>IFERROR(G9644*VLOOKUP($E9644,BD!$L$2:$Q$244,5,0),0)</f>
        <v>0</v>
      </c>
      <c r="J9644" s="3">
        <f t="shared" si="601"/>
        <v>1900</v>
      </c>
    </row>
    <row r="9645" spans="1:10" s="9" customFormat="1" x14ac:dyDescent="0.25">
      <c r="A9645" s="447"/>
      <c r="B9645" s="55" t="str">
        <f t="shared" si="598"/>
        <v>ENERO</v>
      </c>
      <c r="C9645" s="55">
        <f t="shared" si="599"/>
        <v>1</v>
      </c>
      <c r="D9645" s="3" t="str">
        <f t="shared" si="600"/>
        <v>SÁBADO</v>
      </c>
      <c r="E9645" s="427"/>
      <c r="F9645" s="31">
        <f>IFERROR(VLOOKUP(E9645,BD!$L$2:$Q$244,2,0),0)</f>
        <v>0</v>
      </c>
      <c r="G9645" s="424"/>
      <c r="H9645" s="31">
        <f>+IFERROR(VLOOKUP(E9645,BD!$L$2:$Q$244,6,0),0)</f>
        <v>0</v>
      </c>
      <c r="I9645" s="626">
        <f>IFERROR(G9645*VLOOKUP($E9645,BD!$L$2:$Q$244,5,0),0)</f>
        <v>0</v>
      </c>
      <c r="J9645" s="3">
        <f t="shared" si="601"/>
        <v>1900</v>
      </c>
    </row>
    <row r="9646" spans="1:10" s="9" customFormat="1" x14ac:dyDescent="0.25">
      <c r="A9646" s="447"/>
      <c r="B9646" s="55" t="str">
        <f t="shared" si="598"/>
        <v>ENERO</v>
      </c>
      <c r="C9646" s="55">
        <f t="shared" si="599"/>
        <v>1</v>
      </c>
      <c r="D9646" s="3" t="str">
        <f t="shared" si="600"/>
        <v>SÁBADO</v>
      </c>
      <c r="E9646" s="427"/>
      <c r="F9646" s="31">
        <f>IFERROR(VLOOKUP(E9646,BD!$L$2:$Q$244,2,0),0)</f>
        <v>0</v>
      </c>
      <c r="G9646" s="424"/>
      <c r="H9646" s="31">
        <f>+IFERROR(VLOOKUP(E9646,BD!$L$2:$Q$244,6,0),0)</f>
        <v>0</v>
      </c>
      <c r="I9646" s="626">
        <f>IFERROR(G9646*VLOOKUP($E9646,BD!$L$2:$Q$244,5,0),0)</f>
        <v>0</v>
      </c>
      <c r="J9646" s="3">
        <f t="shared" si="601"/>
        <v>1900</v>
      </c>
    </row>
    <row r="9647" spans="1:10" s="9" customFormat="1" x14ac:dyDescent="0.25">
      <c r="A9647" s="447"/>
      <c r="B9647" s="55" t="str">
        <f t="shared" si="598"/>
        <v>ENERO</v>
      </c>
      <c r="C9647" s="55">
        <f t="shared" si="599"/>
        <v>1</v>
      </c>
      <c r="D9647" s="3" t="str">
        <f t="shared" si="600"/>
        <v>SÁBADO</v>
      </c>
      <c r="E9647" s="427"/>
      <c r="F9647" s="31">
        <f>IFERROR(VLOOKUP(E9647,BD!$L$2:$Q$244,2,0),0)</f>
        <v>0</v>
      </c>
      <c r="G9647" s="424"/>
      <c r="H9647" s="31">
        <f>+IFERROR(VLOOKUP(E9647,BD!$L$2:$Q$244,6,0),0)</f>
        <v>0</v>
      </c>
      <c r="I9647" s="626">
        <f>IFERROR(G9647*VLOOKUP($E9647,BD!$L$2:$Q$244,5,0),0)</f>
        <v>0</v>
      </c>
      <c r="J9647" s="3">
        <f t="shared" si="601"/>
        <v>1900</v>
      </c>
    </row>
    <row r="9648" spans="1:10" s="9" customFormat="1" x14ac:dyDescent="0.25">
      <c r="A9648" s="447"/>
      <c r="B9648" s="55" t="str">
        <f t="shared" si="598"/>
        <v>ENERO</v>
      </c>
      <c r="C9648" s="55">
        <f t="shared" si="599"/>
        <v>1</v>
      </c>
      <c r="D9648" s="3" t="str">
        <f t="shared" si="600"/>
        <v>SÁBADO</v>
      </c>
      <c r="E9648" s="427"/>
      <c r="F9648" s="31">
        <f>IFERROR(VLOOKUP(E9648,BD!$L$2:$Q$244,2,0),0)</f>
        <v>0</v>
      </c>
      <c r="G9648" s="424"/>
      <c r="H9648" s="31">
        <f>+IFERROR(VLOOKUP(E9648,BD!$L$2:$Q$244,6,0),0)</f>
        <v>0</v>
      </c>
      <c r="I9648" s="626">
        <f>IFERROR(G9648*VLOOKUP($E9648,BD!$L$2:$Q$244,5,0),0)</f>
        <v>0</v>
      </c>
      <c r="J9648" s="3">
        <f t="shared" si="601"/>
        <v>1900</v>
      </c>
    </row>
    <row r="9649" spans="1:10" s="9" customFormat="1" x14ac:dyDescent="0.25">
      <c r="A9649" s="447"/>
      <c r="B9649" s="55" t="str">
        <f t="shared" si="598"/>
        <v>ENERO</v>
      </c>
      <c r="C9649" s="55">
        <f t="shared" si="599"/>
        <v>1</v>
      </c>
      <c r="D9649" s="3" t="str">
        <f t="shared" si="600"/>
        <v>SÁBADO</v>
      </c>
      <c r="E9649" s="427"/>
      <c r="F9649" s="31">
        <f>IFERROR(VLOOKUP(E9649,BD!$L$2:$Q$244,2,0),0)</f>
        <v>0</v>
      </c>
      <c r="G9649" s="424"/>
      <c r="H9649" s="31">
        <f>+IFERROR(VLOOKUP(E9649,BD!$L$2:$Q$244,6,0),0)</f>
        <v>0</v>
      </c>
      <c r="I9649" s="626">
        <f>IFERROR(G9649*VLOOKUP($E9649,BD!$L$2:$Q$244,5,0),0)</f>
        <v>0</v>
      </c>
      <c r="J9649" s="3">
        <f t="shared" si="601"/>
        <v>1900</v>
      </c>
    </row>
    <row r="9650" spans="1:10" s="9" customFormat="1" x14ac:dyDescent="0.25">
      <c r="A9650" s="447"/>
      <c r="B9650" s="55" t="str">
        <f t="shared" si="598"/>
        <v>ENERO</v>
      </c>
      <c r="C9650" s="55">
        <f t="shared" si="599"/>
        <v>1</v>
      </c>
      <c r="D9650" s="3" t="str">
        <f t="shared" si="600"/>
        <v>SÁBADO</v>
      </c>
      <c r="E9650" s="427"/>
      <c r="F9650" s="31">
        <f>IFERROR(VLOOKUP(E9650,BD!$L$2:$Q$244,2,0),0)</f>
        <v>0</v>
      </c>
      <c r="G9650" s="424"/>
      <c r="H9650" s="31">
        <f>+IFERROR(VLOOKUP(E9650,BD!$L$2:$Q$244,6,0),0)</f>
        <v>0</v>
      </c>
      <c r="I9650" s="626">
        <f>IFERROR(G9650*VLOOKUP($E9650,BD!$L$2:$Q$244,5,0),0)</f>
        <v>0</v>
      </c>
      <c r="J9650" s="3">
        <f t="shared" si="601"/>
        <v>1900</v>
      </c>
    </row>
    <row r="9651" spans="1:10" s="9" customFormat="1" x14ac:dyDescent="0.25">
      <c r="A9651" s="447"/>
      <c r="B9651" s="55" t="str">
        <f t="shared" si="598"/>
        <v>ENERO</v>
      </c>
      <c r="C9651" s="55">
        <f t="shared" si="599"/>
        <v>1</v>
      </c>
      <c r="D9651" s="3" t="str">
        <f t="shared" si="600"/>
        <v>SÁBADO</v>
      </c>
      <c r="E9651" s="427"/>
      <c r="F9651" s="31">
        <f>IFERROR(VLOOKUP(E9651,BD!$L$2:$Q$244,2,0),0)</f>
        <v>0</v>
      </c>
      <c r="G9651" s="424"/>
      <c r="H9651" s="31">
        <f>+IFERROR(VLOOKUP(E9651,BD!$L$2:$Q$244,6,0),0)</f>
        <v>0</v>
      </c>
      <c r="I9651" s="626">
        <f>IFERROR(G9651*VLOOKUP($E9651,BD!$L$2:$Q$244,5,0),0)</f>
        <v>0</v>
      </c>
      <c r="J9651" s="3">
        <f t="shared" si="601"/>
        <v>1900</v>
      </c>
    </row>
    <row r="9652" spans="1:10" s="9" customFormat="1" x14ac:dyDescent="0.25">
      <c r="A9652" s="447"/>
      <c r="B9652" s="55" t="str">
        <f t="shared" si="598"/>
        <v>ENERO</v>
      </c>
      <c r="C9652" s="55">
        <f t="shared" si="599"/>
        <v>1</v>
      </c>
      <c r="D9652" s="3" t="str">
        <f t="shared" si="600"/>
        <v>SÁBADO</v>
      </c>
      <c r="E9652" s="427"/>
      <c r="F9652" s="31">
        <f>IFERROR(VLOOKUP(E9652,BD!$L$2:$Q$244,2,0),0)</f>
        <v>0</v>
      </c>
      <c r="G9652" s="424"/>
      <c r="H9652" s="31">
        <f>+IFERROR(VLOOKUP(E9652,BD!$L$2:$Q$244,6,0),0)</f>
        <v>0</v>
      </c>
      <c r="I9652" s="626">
        <f>IFERROR(G9652*VLOOKUP($E9652,BD!$L$2:$Q$244,5,0),0)</f>
        <v>0</v>
      </c>
      <c r="J9652" s="3">
        <f t="shared" si="601"/>
        <v>1900</v>
      </c>
    </row>
    <row r="9653" spans="1:10" s="9" customFormat="1" x14ac:dyDescent="0.25">
      <c r="A9653" s="447"/>
      <c r="B9653" s="55" t="str">
        <f t="shared" si="598"/>
        <v>ENERO</v>
      </c>
      <c r="C9653" s="55">
        <f t="shared" si="599"/>
        <v>1</v>
      </c>
      <c r="D9653" s="3" t="str">
        <f t="shared" si="600"/>
        <v>SÁBADO</v>
      </c>
      <c r="E9653" s="427"/>
      <c r="F9653" s="31">
        <f>IFERROR(VLOOKUP(E9653,BD!$L$2:$Q$244,2,0),0)</f>
        <v>0</v>
      </c>
      <c r="G9653" s="424"/>
      <c r="H9653" s="31">
        <f>+IFERROR(VLOOKUP(E9653,BD!$L$2:$Q$244,6,0),0)</f>
        <v>0</v>
      </c>
      <c r="I9653" s="626">
        <f>IFERROR(G9653*VLOOKUP($E9653,BD!$L$2:$Q$244,5,0),0)</f>
        <v>0</v>
      </c>
      <c r="J9653" s="3">
        <f t="shared" si="601"/>
        <v>1900</v>
      </c>
    </row>
    <row r="9654" spans="1:10" s="9" customFormat="1" x14ac:dyDescent="0.25">
      <c r="A9654" s="447"/>
      <c r="B9654" s="55" t="str">
        <f t="shared" si="598"/>
        <v>ENERO</v>
      </c>
      <c r="C9654" s="55">
        <f t="shared" si="599"/>
        <v>1</v>
      </c>
      <c r="D9654" s="3" t="str">
        <f t="shared" si="600"/>
        <v>SÁBADO</v>
      </c>
      <c r="E9654" s="427"/>
      <c r="F9654" s="31">
        <f>IFERROR(VLOOKUP(E9654,BD!$L$2:$Q$244,2,0),0)</f>
        <v>0</v>
      </c>
      <c r="G9654" s="424"/>
      <c r="H9654" s="31">
        <f>+IFERROR(VLOOKUP(E9654,BD!$L$2:$Q$244,6,0),0)</f>
        <v>0</v>
      </c>
      <c r="I9654" s="626">
        <f>IFERROR(G9654*VLOOKUP($E9654,BD!$L$2:$Q$244,5,0),0)</f>
        <v>0</v>
      </c>
      <c r="J9654" s="3">
        <f t="shared" si="601"/>
        <v>1900</v>
      </c>
    </row>
    <row r="9655" spans="1:10" s="9" customFormat="1" x14ac:dyDescent="0.25">
      <c r="A9655" s="447"/>
      <c r="B9655" s="55" t="str">
        <f t="shared" si="598"/>
        <v>ENERO</v>
      </c>
      <c r="C9655" s="55">
        <f t="shared" si="599"/>
        <v>1</v>
      </c>
      <c r="D9655" s="3" t="str">
        <f t="shared" si="600"/>
        <v>SÁBADO</v>
      </c>
      <c r="E9655" s="427"/>
      <c r="F9655" s="31">
        <f>IFERROR(VLOOKUP(E9655,BD!$L$2:$Q$244,2,0),0)</f>
        <v>0</v>
      </c>
      <c r="G9655" s="424"/>
      <c r="H9655" s="31">
        <f>+IFERROR(VLOOKUP(E9655,BD!$L$2:$Q$244,6,0),0)</f>
        <v>0</v>
      </c>
      <c r="I9655" s="626">
        <f>IFERROR(G9655*VLOOKUP($E9655,BD!$L$2:$Q$244,5,0),0)</f>
        <v>0</v>
      </c>
      <c r="J9655" s="3">
        <f t="shared" si="601"/>
        <v>1900</v>
      </c>
    </row>
    <row r="9656" spans="1:10" s="9" customFormat="1" x14ac:dyDescent="0.25">
      <c r="A9656" s="447"/>
      <c r="B9656" s="55" t="str">
        <f t="shared" si="598"/>
        <v>ENERO</v>
      </c>
      <c r="C9656" s="55">
        <f t="shared" si="599"/>
        <v>1</v>
      </c>
      <c r="D9656" s="3" t="str">
        <f t="shared" si="600"/>
        <v>SÁBADO</v>
      </c>
      <c r="E9656" s="427"/>
      <c r="F9656" s="31">
        <f>IFERROR(VLOOKUP(E9656,BD!$L$2:$Q$244,2,0),0)</f>
        <v>0</v>
      </c>
      <c r="G9656" s="424"/>
      <c r="H9656" s="31">
        <f>+IFERROR(VLOOKUP(E9656,BD!$L$2:$Q$244,6,0),0)</f>
        <v>0</v>
      </c>
      <c r="I9656" s="626">
        <f>IFERROR(G9656*VLOOKUP($E9656,BD!$L$2:$Q$244,5,0),0)</f>
        <v>0</v>
      </c>
      <c r="J9656" s="3">
        <f t="shared" si="601"/>
        <v>1900</v>
      </c>
    </row>
    <row r="9657" spans="1:10" s="9" customFormat="1" x14ac:dyDescent="0.25">
      <c r="A9657" s="447"/>
      <c r="B9657" s="55" t="str">
        <f t="shared" si="598"/>
        <v>ENERO</v>
      </c>
      <c r="C9657" s="55">
        <f t="shared" si="599"/>
        <v>1</v>
      </c>
      <c r="D9657" s="3" t="str">
        <f t="shared" si="600"/>
        <v>SÁBADO</v>
      </c>
      <c r="E9657" s="427"/>
      <c r="F9657" s="31">
        <f>IFERROR(VLOOKUP(E9657,BD!$L$2:$Q$244,2,0),0)</f>
        <v>0</v>
      </c>
      <c r="G9657" s="424"/>
      <c r="H9657" s="31">
        <f>+IFERROR(VLOOKUP(E9657,BD!$L$2:$Q$244,6,0),0)</f>
        <v>0</v>
      </c>
      <c r="I9657" s="626">
        <f>IFERROR(G9657*VLOOKUP($E9657,BD!$L$2:$Q$244,5,0),0)</f>
        <v>0</v>
      </c>
      <c r="J9657" s="3">
        <f t="shared" si="601"/>
        <v>1900</v>
      </c>
    </row>
    <row r="9658" spans="1:10" s="9" customFormat="1" x14ac:dyDescent="0.25">
      <c r="A9658" s="447"/>
      <c r="B9658" s="55" t="str">
        <f t="shared" si="598"/>
        <v>ENERO</v>
      </c>
      <c r="C9658" s="55">
        <f t="shared" si="599"/>
        <v>1</v>
      </c>
      <c r="D9658" s="3" t="str">
        <f t="shared" si="600"/>
        <v>SÁBADO</v>
      </c>
      <c r="E9658" s="427"/>
      <c r="F9658" s="31">
        <f>IFERROR(VLOOKUP(E9658,BD!$L$2:$Q$244,2,0),0)</f>
        <v>0</v>
      </c>
      <c r="G9658" s="424"/>
      <c r="H9658" s="31">
        <f>+IFERROR(VLOOKUP(E9658,BD!$L$2:$Q$244,6,0),0)</f>
        <v>0</v>
      </c>
      <c r="I9658" s="626">
        <f>IFERROR(G9658*VLOOKUP($E9658,BD!$L$2:$Q$244,5,0),0)</f>
        <v>0</v>
      </c>
      <c r="J9658" s="3">
        <f t="shared" si="601"/>
        <v>1900</v>
      </c>
    </row>
    <row r="9659" spans="1:10" s="9" customFormat="1" x14ac:dyDescent="0.25">
      <c r="A9659" s="447"/>
      <c r="B9659" s="55" t="str">
        <f t="shared" si="598"/>
        <v>ENERO</v>
      </c>
      <c r="C9659" s="55">
        <f t="shared" si="599"/>
        <v>1</v>
      </c>
      <c r="D9659" s="3" t="str">
        <f t="shared" si="600"/>
        <v>SÁBADO</v>
      </c>
      <c r="E9659" s="427"/>
      <c r="F9659" s="31">
        <f>IFERROR(VLOOKUP(E9659,BD!$L$2:$Q$244,2,0),0)</f>
        <v>0</v>
      </c>
      <c r="G9659" s="424"/>
      <c r="H9659" s="31">
        <f>+IFERROR(VLOOKUP(E9659,BD!$L$2:$Q$244,6,0),0)</f>
        <v>0</v>
      </c>
      <c r="I9659" s="626">
        <f>IFERROR(G9659*VLOOKUP($E9659,BD!$L$2:$Q$244,5,0),0)</f>
        <v>0</v>
      </c>
      <c r="J9659" s="3">
        <f t="shared" si="601"/>
        <v>1900</v>
      </c>
    </row>
    <row r="9660" spans="1:10" s="9" customFormat="1" x14ac:dyDescent="0.25">
      <c r="A9660" s="447"/>
      <c r="B9660" s="55" t="str">
        <f t="shared" ref="B9660:B9723" si="602">UPPER(TEXT(A9660,"MMMM"))</f>
        <v>ENERO</v>
      </c>
      <c r="C9660" s="55">
        <f t="shared" ref="C9660:C9723" si="603">WEEKNUM(A9660,16)</f>
        <v>1</v>
      </c>
      <c r="D9660" s="3" t="str">
        <f t="shared" ref="D9660:D9723" si="604">UPPER(TEXT(A9660,"DDDD"))</f>
        <v>SÁBADO</v>
      </c>
      <c r="E9660" s="427"/>
      <c r="F9660" s="31">
        <f>IFERROR(VLOOKUP(E9660,BD!$L$2:$Q$244,2,0),0)</f>
        <v>0</v>
      </c>
      <c r="G9660" s="424"/>
      <c r="H9660" s="31">
        <f>+IFERROR(VLOOKUP(E9660,BD!$L$2:$Q$244,6,0),0)</f>
        <v>0</v>
      </c>
      <c r="I9660" s="626">
        <f>IFERROR(G9660*VLOOKUP($E9660,BD!$L$2:$Q$244,5,0),0)</f>
        <v>0</v>
      </c>
      <c r="J9660" s="3">
        <f t="shared" ref="J9660:J9723" si="605">+YEAR(A9660)</f>
        <v>1900</v>
      </c>
    </row>
    <row r="9661" spans="1:10" s="9" customFormat="1" x14ac:dyDescent="0.25">
      <c r="A9661" s="447"/>
      <c r="B9661" s="55" t="str">
        <f t="shared" si="602"/>
        <v>ENERO</v>
      </c>
      <c r="C9661" s="55">
        <f t="shared" si="603"/>
        <v>1</v>
      </c>
      <c r="D9661" s="3" t="str">
        <f t="shared" si="604"/>
        <v>SÁBADO</v>
      </c>
      <c r="E9661" s="427"/>
      <c r="F9661" s="31">
        <f>IFERROR(VLOOKUP(E9661,BD!$L$2:$Q$244,2,0),0)</f>
        <v>0</v>
      </c>
      <c r="G9661" s="424"/>
      <c r="H9661" s="31">
        <f>+IFERROR(VLOOKUP(E9661,BD!$L$2:$Q$244,6,0),0)</f>
        <v>0</v>
      </c>
      <c r="I9661" s="626">
        <f>IFERROR(G9661*VLOOKUP($E9661,BD!$L$2:$Q$244,5,0),0)</f>
        <v>0</v>
      </c>
      <c r="J9661" s="3">
        <f t="shared" si="605"/>
        <v>1900</v>
      </c>
    </row>
    <row r="9662" spans="1:10" s="9" customFormat="1" x14ac:dyDescent="0.25">
      <c r="A9662" s="447"/>
      <c r="B9662" s="55" t="str">
        <f t="shared" si="602"/>
        <v>ENERO</v>
      </c>
      <c r="C9662" s="55">
        <f t="shared" si="603"/>
        <v>1</v>
      </c>
      <c r="D9662" s="3" t="str">
        <f t="shared" si="604"/>
        <v>SÁBADO</v>
      </c>
      <c r="E9662" s="427"/>
      <c r="F9662" s="31">
        <f>IFERROR(VLOOKUP(E9662,BD!$L$2:$Q$244,2,0),0)</f>
        <v>0</v>
      </c>
      <c r="G9662" s="424"/>
      <c r="H9662" s="31">
        <f>+IFERROR(VLOOKUP(E9662,BD!$L$2:$Q$244,6,0),0)</f>
        <v>0</v>
      </c>
      <c r="I9662" s="626">
        <f>IFERROR(G9662*VLOOKUP($E9662,BD!$L$2:$Q$244,5,0),0)</f>
        <v>0</v>
      </c>
      <c r="J9662" s="3">
        <f t="shared" si="605"/>
        <v>1900</v>
      </c>
    </row>
    <row r="9663" spans="1:10" s="9" customFormat="1" x14ac:dyDescent="0.25">
      <c r="A9663" s="447"/>
      <c r="B9663" s="55" t="str">
        <f t="shared" si="602"/>
        <v>ENERO</v>
      </c>
      <c r="C9663" s="55">
        <f t="shared" si="603"/>
        <v>1</v>
      </c>
      <c r="D9663" s="3" t="str">
        <f t="shared" si="604"/>
        <v>SÁBADO</v>
      </c>
      <c r="E9663" s="427"/>
      <c r="F9663" s="31">
        <f>IFERROR(VLOOKUP(E9663,BD!$L$2:$Q$244,2,0),0)</f>
        <v>0</v>
      </c>
      <c r="G9663" s="424"/>
      <c r="H9663" s="31">
        <f>+IFERROR(VLOOKUP(E9663,BD!$L$2:$Q$244,6,0),0)</f>
        <v>0</v>
      </c>
      <c r="I9663" s="626">
        <f>IFERROR(G9663*VLOOKUP($E9663,BD!$L$2:$Q$244,5,0),0)</f>
        <v>0</v>
      </c>
      <c r="J9663" s="3">
        <f t="shared" si="605"/>
        <v>1900</v>
      </c>
    </row>
    <row r="9664" spans="1:10" s="9" customFormat="1" x14ac:dyDescent="0.25">
      <c r="A9664" s="447"/>
      <c r="B9664" s="55" t="str">
        <f t="shared" si="602"/>
        <v>ENERO</v>
      </c>
      <c r="C9664" s="55">
        <f t="shared" si="603"/>
        <v>1</v>
      </c>
      <c r="D9664" s="3" t="str">
        <f t="shared" si="604"/>
        <v>SÁBADO</v>
      </c>
      <c r="E9664" s="427"/>
      <c r="F9664" s="31">
        <f>IFERROR(VLOOKUP(E9664,BD!$L$2:$Q$244,2,0),0)</f>
        <v>0</v>
      </c>
      <c r="G9664" s="424"/>
      <c r="H9664" s="31">
        <f>+IFERROR(VLOOKUP(E9664,BD!$L$2:$Q$244,6,0),0)</f>
        <v>0</v>
      </c>
      <c r="I9664" s="626">
        <f>IFERROR(G9664*VLOOKUP($E9664,BD!$L$2:$Q$244,5,0),0)</f>
        <v>0</v>
      </c>
      <c r="J9664" s="3">
        <f t="shared" si="605"/>
        <v>1900</v>
      </c>
    </row>
    <row r="9665" spans="1:10" s="9" customFormat="1" x14ac:dyDescent="0.25">
      <c r="A9665" s="447"/>
      <c r="B9665" s="55" t="str">
        <f t="shared" si="602"/>
        <v>ENERO</v>
      </c>
      <c r="C9665" s="55">
        <f t="shared" si="603"/>
        <v>1</v>
      </c>
      <c r="D9665" s="3" t="str">
        <f t="shared" si="604"/>
        <v>SÁBADO</v>
      </c>
      <c r="E9665" s="427"/>
      <c r="F9665" s="31">
        <f>IFERROR(VLOOKUP(E9665,BD!$L$2:$Q$244,2,0),0)</f>
        <v>0</v>
      </c>
      <c r="G9665" s="424"/>
      <c r="H9665" s="31">
        <f>+IFERROR(VLOOKUP(E9665,BD!$L$2:$Q$244,6,0),0)</f>
        <v>0</v>
      </c>
      <c r="I9665" s="626">
        <f>IFERROR(G9665*VLOOKUP($E9665,BD!$L$2:$Q$244,5,0),0)</f>
        <v>0</v>
      </c>
      <c r="J9665" s="3">
        <f t="shared" si="605"/>
        <v>1900</v>
      </c>
    </row>
    <row r="9666" spans="1:10" s="9" customFormat="1" x14ac:dyDescent="0.25">
      <c r="A9666" s="447"/>
      <c r="B9666" s="55" t="str">
        <f t="shared" si="602"/>
        <v>ENERO</v>
      </c>
      <c r="C9666" s="55">
        <f t="shared" si="603"/>
        <v>1</v>
      </c>
      <c r="D9666" s="3" t="str">
        <f t="shared" si="604"/>
        <v>SÁBADO</v>
      </c>
      <c r="E9666" s="427"/>
      <c r="F9666" s="31">
        <f>IFERROR(VLOOKUP(E9666,BD!$L$2:$Q$244,2,0),0)</f>
        <v>0</v>
      </c>
      <c r="G9666" s="424"/>
      <c r="H9666" s="31">
        <f>+IFERROR(VLOOKUP(E9666,BD!$L$2:$Q$244,6,0),0)</f>
        <v>0</v>
      </c>
      <c r="I9666" s="626">
        <f>IFERROR(G9666*VLOOKUP($E9666,BD!$L$2:$Q$244,5,0),0)</f>
        <v>0</v>
      </c>
      <c r="J9666" s="3">
        <f t="shared" si="605"/>
        <v>1900</v>
      </c>
    </row>
    <row r="9667" spans="1:10" s="9" customFormat="1" x14ac:dyDescent="0.25">
      <c r="A9667" s="447"/>
      <c r="B9667" s="55" t="str">
        <f t="shared" si="602"/>
        <v>ENERO</v>
      </c>
      <c r="C9667" s="55">
        <f t="shared" si="603"/>
        <v>1</v>
      </c>
      <c r="D9667" s="3" t="str">
        <f t="shared" si="604"/>
        <v>SÁBADO</v>
      </c>
      <c r="E9667" s="427"/>
      <c r="F9667" s="31">
        <f>IFERROR(VLOOKUP(E9667,BD!$L$2:$Q$244,2,0),0)</f>
        <v>0</v>
      </c>
      <c r="G9667" s="424"/>
      <c r="H9667" s="31">
        <f>+IFERROR(VLOOKUP(E9667,BD!$L$2:$Q$244,6,0),0)</f>
        <v>0</v>
      </c>
      <c r="I9667" s="626">
        <f>IFERROR(G9667*VLOOKUP($E9667,BD!$L$2:$Q$244,5,0),0)</f>
        <v>0</v>
      </c>
      <c r="J9667" s="3">
        <f t="shared" si="605"/>
        <v>1900</v>
      </c>
    </row>
    <row r="9668" spans="1:10" s="9" customFormat="1" x14ac:dyDescent="0.25">
      <c r="A9668" s="447"/>
      <c r="B9668" s="55" t="str">
        <f t="shared" si="602"/>
        <v>ENERO</v>
      </c>
      <c r="C9668" s="55">
        <f t="shared" si="603"/>
        <v>1</v>
      </c>
      <c r="D9668" s="3" t="str">
        <f t="shared" si="604"/>
        <v>SÁBADO</v>
      </c>
      <c r="E9668" s="427"/>
      <c r="F9668" s="31">
        <f>IFERROR(VLOOKUP(E9668,BD!$L$2:$Q$244,2,0),0)</f>
        <v>0</v>
      </c>
      <c r="G9668" s="424"/>
      <c r="H9668" s="31">
        <f>+IFERROR(VLOOKUP(E9668,BD!$L$2:$Q$244,6,0),0)</f>
        <v>0</v>
      </c>
      <c r="I9668" s="626">
        <f>IFERROR(G9668*VLOOKUP($E9668,BD!$L$2:$Q$244,5,0),0)</f>
        <v>0</v>
      </c>
      <c r="J9668" s="3">
        <f t="shared" si="605"/>
        <v>1900</v>
      </c>
    </row>
    <row r="9669" spans="1:10" s="9" customFormat="1" x14ac:dyDescent="0.25">
      <c r="A9669" s="447"/>
      <c r="B9669" s="55" t="str">
        <f t="shared" si="602"/>
        <v>ENERO</v>
      </c>
      <c r="C9669" s="55">
        <f t="shared" si="603"/>
        <v>1</v>
      </c>
      <c r="D9669" s="3" t="str">
        <f t="shared" si="604"/>
        <v>SÁBADO</v>
      </c>
      <c r="E9669" s="427"/>
      <c r="F9669" s="31">
        <f>IFERROR(VLOOKUP(E9669,BD!$L$2:$Q$244,2,0),0)</f>
        <v>0</v>
      </c>
      <c r="G9669" s="424"/>
      <c r="H9669" s="31">
        <f>+IFERROR(VLOOKUP(E9669,BD!$L$2:$Q$244,6,0),0)</f>
        <v>0</v>
      </c>
      <c r="I9669" s="626">
        <f>IFERROR(G9669*VLOOKUP($E9669,BD!$L$2:$Q$244,5,0),0)</f>
        <v>0</v>
      </c>
      <c r="J9669" s="3">
        <f t="shared" si="605"/>
        <v>1900</v>
      </c>
    </row>
    <row r="9670" spans="1:10" s="9" customFormat="1" x14ac:dyDescent="0.25">
      <c r="A9670" s="447"/>
      <c r="B9670" s="55" t="str">
        <f t="shared" si="602"/>
        <v>ENERO</v>
      </c>
      <c r="C9670" s="55">
        <f t="shared" si="603"/>
        <v>1</v>
      </c>
      <c r="D9670" s="3" t="str">
        <f t="shared" si="604"/>
        <v>SÁBADO</v>
      </c>
      <c r="E9670" s="427"/>
      <c r="F9670" s="31">
        <f>IFERROR(VLOOKUP(E9670,BD!$L$2:$Q$244,2,0),0)</f>
        <v>0</v>
      </c>
      <c r="G9670" s="424"/>
      <c r="H9670" s="31">
        <f>+IFERROR(VLOOKUP(E9670,BD!$L$2:$Q$244,6,0),0)</f>
        <v>0</v>
      </c>
      <c r="I9670" s="626">
        <f>IFERROR(G9670*VLOOKUP($E9670,BD!$L$2:$Q$244,5,0),0)</f>
        <v>0</v>
      </c>
      <c r="J9670" s="3">
        <f t="shared" si="605"/>
        <v>1900</v>
      </c>
    </row>
    <row r="9671" spans="1:10" s="9" customFormat="1" x14ac:dyDescent="0.25">
      <c r="A9671" s="447"/>
      <c r="B9671" s="55" t="str">
        <f t="shared" si="602"/>
        <v>ENERO</v>
      </c>
      <c r="C9671" s="55">
        <f t="shared" si="603"/>
        <v>1</v>
      </c>
      <c r="D9671" s="3" t="str">
        <f t="shared" si="604"/>
        <v>SÁBADO</v>
      </c>
      <c r="E9671" s="427"/>
      <c r="F9671" s="31">
        <f>IFERROR(VLOOKUP(E9671,BD!$L$2:$Q$244,2,0),0)</f>
        <v>0</v>
      </c>
      <c r="G9671" s="424"/>
      <c r="H9671" s="31">
        <f>+IFERROR(VLOOKUP(E9671,BD!$L$2:$Q$244,6,0),0)</f>
        <v>0</v>
      </c>
      <c r="I9671" s="626">
        <f>IFERROR(G9671*VLOOKUP($E9671,BD!$L$2:$Q$244,5,0),0)</f>
        <v>0</v>
      </c>
      <c r="J9671" s="3">
        <f t="shared" si="605"/>
        <v>1900</v>
      </c>
    </row>
    <row r="9672" spans="1:10" s="9" customFormat="1" x14ac:dyDescent="0.25">
      <c r="A9672" s="447"/>
      <c r="B9672" s="55" t="str">
        <f t="shared" si="602"/>
        <v>ENERO</v>
      </c>
      <c r="C9672" s="55">
        <f t="shared" si="603"/>
        <v>1</v>
      </c>
      <c r="D9672" s="3" t="str">
        <f t="shared" si="604"/>
        <v>SÁBADO</v>
      </c>
      <c r="E9672" s="427"/>
      <c r="F9672" s="31">
        <f>IFERROR(VLOOKUP(E9672,BD!$L$2:$Q$244,2,0),0)</f>
        <v>0</v>
      </c>
      <c r="G9672" s="424"/>
      <c r="H9672" s="31">
        <f>+IFERROR(VLOOKUP(E9672,BD!$L$2:$Q$244,6,0),0)</f>
        <v>0</v>
      </c>
      <c r="I9672" s="626">
        <f>IFERROR(G9672*VLOOKUP($E9672,BD!$L$2:$Q$244,5,0),0)</f>
        <v>0</v>
      </c>
      <c r="J9672" s="3">
        <f t="shared" si="605"/>
        <v>1900</v>
      </c>
    </row>
    <row r="9673" spans="1:10" s="9" customFormat="1" x14ac:dyDescent="0.25">
      <c r="A9673" s="447"/>
      <c r="B9673" s="55" t="str">
        <f t="shared" si="602"/>
        <v>ENERO</v>
      </c>
      <c r="C9673" s="55">
        <f t="shared" si="603"/>
        <v>1</v>
      </c>
      <c r="D9673" s="3" t="str">
        <f t="shared" si="604"/>
        <v>SÁBADO</v>
      </c>
      <c r="E9673" s="427"/>
      <c r="F9673" s="31">
        <f>IFERROR(VLOOKUP(E9673,BD!$L$2:$Q$244,2,0),0)</f>
        <v>0</v>
      </c>
      <c r="G9673" s="424"/>
      <c r="H9673" s="31">
        <f>+IFERROR(VLOOKUP(E9673,BD!$L$2:$Q$244,6,0),0)</f>
        <v>0</v>
      </c>
      <c r="I9673" s="626">
        <f>IFERROR(G9673*VLOOKUP($E9673,BD!$L$2:$Q$244,5,0),0)</f>
        <v>0</v>
      </c>
      <c r="J9673" s="3">
        <f t="shared" si="605"/>
        <v>1900</v>
      </c>
    </row>
    <row r="9674" spans="1:10" s="9" customFormat="1" x14ac:dyDescent="0.25">
      <c r="A9674" s="447"/>
      <c r="B9674" s="55" t="str">
        <f t="shared" si="602"/>
        <v>ENERO</v>
      </c>
      <c r="C9674" s="55">
        <f t="shared" si="603"/>
        <v>1</v>
      </c>
      <c r="D9674" s="3" t="str">
        <f t="shared" si="604"/>
        <v>SÁBADO</v>
      </c>
      <c r="E9674" s="427"/>
      <c r="F9674" s="31">
        <f>IFERROR(VLOOKUP(E9674,BD!$L$2:$Q$244,2,0),0)</f>
        <v>0</v>
      </c>
      <c r="G9674" s="424"/>
      <c r="H9674" s="31">
        <f>+IFERROR(VLOOKUP(E9674,BD!$L$2:$Q$244,6,0),0)</f>
        <v>0</v>
      </c>
      <c r="I9674" s="626">
        <f>IFERROR(G9674*VLOOKUP($E9674,BD!$L$2:$Q$244,5,0),0)</f>
        <v>0</v>
      </c>
      <c r="J9674" s="3">
        <f t="shared" si="605"/>
        <v>1900</v>
      </c>
    </row>
    <row r="9675" spans="1:10" s="9" customFormat="1" x14ac:dyDescent="0.25">
      <c r="A9675" s="447"/>
      <c r="B9675" s="55" t="str">
        <f t="shared" si="602"/>
        <v>ENERO</v>
      </c>
      <c r="C9675" s="55">
        <f t="shared" si="603"/>
        <v>1</v>
      </c>
      <c r="D9675" s="3" t="str">
        <f t="shared" si="604"/>
        <v>SÁBADO</v>
      </c>
      <c r="E9675" s="427"/>
      <c r="F9675" s="31">
        <f>IFERROR(VLOOKUP(E9675,BD!$L$2:$Q$244,2,0),0)</f>
        <v>0</v>
      </c>
      <c r="G9675" s="424"/>
      <c r="H9675" s="31">
        <f>+IFERROR(VLOOKUP(E9675,BD!$L$2:$Q$244,6,0),0)</f>
        <v>0</v>
      </c>
      <c r="I9675" s="626">
        <f>IFERROR(G9675*VLOOKUP($E9675,BD!$L$2:$Q$244,5,0),0)</f>
        <v>0</v>
      </c>
      <c r="J9675" s="3">
        <f t="shared" si="605"/>
        <v>1900</v>
      </c>
    </row>
    <row r="9676" spans="1:10" s="9" customFormat="1" x14ac:dyDescent="0.25">
      <c r="A9676" s="447"/>
      <c r="B9676" s="55" t="str">
        <f t="shared" si="602"/>
        <v>ENERO</v>
      </c>
      <c r="C9676" s="55">
        <f t="shared" si="603"/>
        <v>1</v>
      </c>
      <c r="D9676" s="3" t="str">
        <f t="shared" si="604"/>
        <v>SÁBADO</v>
      </c>
      <c r="E9676" s="427"/>
      <c r="F9676" s="31">
        <f>IFERROR(VLOOKUP(E9676,BD!$L$2:$Q$244,2,0),0)</f>
        <v>0</v>
      </c>
      <c r="G9676" s="424"/>
      <c r="H9676" s="31">
        <f>+IFERROR(VLOOKUP(E9676,BD!$L$2:$Q$244,6,0),0)</f>
        <v>0</v>
      </c>
      <c r="I9676" s="626">
        <f>IFERROR(G9676*VLOOKUP($E9676,BD!$L$2:$Q$244,5,0),0)</f>
        <v>0</v>
      </c>
      <c r="J9676" s="3">
        <f t="shared" si="605"/>
        <v>1900</v>
      </c>
    </row>
    <row r="9677" spans="1:10" s="9" customFormat="1" x14ac:dyDescent="0.25">
      <c r="A9677" s="447"/>
      <c r="B9677" s="55" t="str">
        <f t="shared" si="602"/>
        <v>ENERO</v>
      </c>
      <c r="C9677" s="55">
        <f t="shared" si="603"/>
        <v>1</v>
      </c>
      <c r="D9677" s="3" t="str">
        <f t="shared" si="604"/>
        <v>SÁBADO</v>
      </c>
      <c r="E9677" s="427"/>
      <c r="F9677" s="31">
        <f>IFERROR(VLOOKUP(E9677,BD!$L$2:$Q$244,2,0),0)</f>
        <v>0</v>
      </c>
      <c r="G9677" s="424"/>
      <c r="H9677" s="31">
        <f>+IFERROR(VLOOKUP(E9677,BD!$L$2:$Q$244,6,0),0)</f>
        <v>0</v>
      </c>
      <c r="I9677" s="626">
        <f>IFERROR(G9677*VLOOKUP($E9677,BD!$L$2:$Q$244,5,0),0)</f>
        <v>0</v>
      </c>
      <c r="J9677" s="3">
        <f t="shared" si="605"/>
        <v>1900</v>
      </c>
    </row>
    <row r="9678" spans="1:10" s="9" customFormat="1" x14ac:dyDescent="0.25">
      <c r="A9678" s="447"/>
      <c r="B9678" s="55" t="str">
        <f t="shared" si="602"/>
        <v>ENERO</v>
      </c>
      <c r="C9678" s="55">
        <f t="shared" si="603"/>
        <v>1</v>
      </c>
      <c r="D9678" s="3" t="str">
        <f t="shared" si="604"/>
        <v>SÁBADO</v>
      </c>
      <c r="E9678" s="427"/>
      <c r="F9678" s="31">
        <f>IFERROR(VLOOKUP(E9678,BD!$L$2:$Q$244,2,0),0)</f>
        <v>0</v>
      </c>
      <c r="G9678" s="424"/>
      <c r="H9678" s="31">
        <f>+IFERROR(VLOOKUP(E9678,BD!$L$2:$Q$244,6,0),0)</f>
        <v>0</v>
      </c>
      <c r="I9678" s="626">
        <f>IFERROR(G9678*VLOOKUP($E9678,BD!$L$2:$Q$244,5,0),0)</f>
        <v>0</v>
      </c>
      <c r="J9678" s="3">
        <f t="shared" si="605"/>
        <v>1900</v>
      </c>
    </row>
    <row r="9679" spans="1:10" s="9" customFormat="1" x14ac:dyDescent="0.25">
      <c r="A9679" s="447"/>
      <c r="B9679" s="55" t="str">
        <f t="shared" si="602"/>
        <v>ENERO</v>
      </c>
      <c r="C9679" s="55">
        <f t="shared" si="603"/>
        <v>1</v>
      </c>
      <c r="D9679" s="3" t="str">
        <f t="shared" si="604"/>
        <v>SÁBADO</v>
      </c>
      <c r="E9679" s="427"/>
      <c r="F9679" s="31">
        <f>IFERROR(VLOOKUP(E9679,BD!$L$2:$Q$244,2,0),0)</f>
        <v>0</v>
      </c>
      <c r="G9679" s="424"/>
      <c r="H9679" s="31">
        <f>+IFERROR(VLOOKUP(E9679,BD!$L$2:$Q$244,6,0),0)</f>
        <v>0</v>
      </c>
      <c r="I9679" s="626">
        <f>IFERROR(G9679*VLOOKUP($E9679,BD!$L$2:$Q$244,5,0),0)</f>
        <v>0</v>
      </c>
      <c r="J9679" s="3">
        <f t="shared" si="605"/>
        <v>1900</v>
      </c>
    </row>
    <row r="9680" spans="1:10" s="9" customFormat="1" x14ac:dyDescent="0.25">
      <c r="A9680" s="447"/>
      <c r="B9680" s="55" t="str">
        <f t="shared" si="602"/>
        <v>ENERO</v>
      </c>
      <c r="C9680" s="55">
        <f t="shared" si="603"/>
        <v>1</v>
      </c>
      <c r="D9680" s="3" t="str">
        <f t="shared" si="604"/>
        <v>SÁBADO</v>
      </c>
      <c r="E9680" s="427"/>
      <c r="F9680" s="31">
        <f>IFERROR(VLOOKUP(E9680,BD!$L$2:$Q$244,2,0),0)</f>
        <v>0</v>
      </c>
      <c r="G9680" s="424"/>
      <c r="H9680" s="31">
        <f>+IFERROR(VLOOKUP(E9680,BD!$L$2:$Q$244,6,0),0)</f>
        <v>0</v>
      </c>
      <c r="I9680" s="626">
        <f>IFERROR(G9680*VLOOKUP($E9680,BD!$L$2:$Q$244,5,0),0)</f>
        <v>0</v>
      </c>
      <c r="J9680" s="3">
        <f t="shared" si="605"/>
        <v>1900</v>
      </c>
    </row>
    <row r="9681" spans="1:10" s="9" customFormat="1" x14ac:dyDescent="0.25">
      <c r="A9681" s="447"/>
      <c r="B9681" s="55" t="str">
        <f t="shared" si="602"/>
        <v>ENERO</v>
      </c>
      <c r="C9681" s="55">
        <f t="shared" si="603"/>
        <v>1</v>
      </c>
      <c r="D9681" s="3" t="str">
        <f t="shared" si="604"/>
        <v>SÁBADO</v>
      </c>
      <c r="E9681" s="427"/>
      <c r="F9681" s="31">
        <f>IFERROR(VLOOKUP(E9681,BD!$L$2:$Q$244,2,0),0)</f>
        <v>0</v>
      </c>
      <c r="G9681" s="424"/>
      <c r="H9681" s="31">
        <f>+IFERROR(VLOOKUP(E9681,BD!$L$2:$Q$244,6,0),0)</f>
        <v>0</v>
      </c>
      <c r="I9681" s="626">
        <f>IFERROR(G9681*VLOOKUP($E9681,BD!$L$2:$Q$244,5,0),0)</f>
        <v>0</v>
      </c>
      <c r="J9681" s="3">
        <f t="shared" si="605"/>
        <v>1900</v>
      </c>
    </row>
    <row r="9682" spans="1:10" s="9" customFormat="1" x14ac:dyDescent="0.25">
      <c r="A9682" s="447"/>
      <c r="B9682" s="55" t="str">
        <f t="shared" si="602"/>
        <v>ENERO</v>
      </c>
      <c r="C9682" s="55">
        <f t="shared" si="603"/>
        <v>1</v>
      </c>
      <c r="D9682" s="3" t="str">
        <f t="shared" si="604"/>
        <v>SÁBADO</v>
      </c>
      <c r="E9682" s="427"/>
      <c r="F9682" s="31">
        <f>IFERROR(VLOOKUP(E9682,BD!$L$2:$Q$244,2,0),0)</f>
        <v>0</v>
      </c>
      <c r="G9682" s="424"/>
      <c r="H9682" s="31">
        <f>+IFERROR(VLOOKUP(E9682,BD!$L$2:$Q$244,6,0),0)</f>
        <v>0</v>
      </c>
      <c r="I9682" s="626">
        <f>IFERROR(G9682*VLOOKUP($E9682,BD!$L$2:$Q$244,5,0),0)</f>
        <v>0</v>
      </c>
      <c r="J9682" s="3">
        <f t="shared" si="605"/>
        <v>1900</v>
      </c>
    </row>
    <row r="9683" spans="1:10" s="9" customFormat="1" x14ac:dyDescent="0.25">
      <c r="A9683" s="447"/>
      <c r="B9683" s="55" t="str">
        <f t="shared" si="602"/>
        <v>ENERO</v>
      </c>
      <c r="C9683" s="55">
        <f t="shared" si="603"/>
        <v>1</v>
      </c>
      <c r="D9683" s="3" t="str">
        <f t="shared" si="604"/>
        <v>SÁBADO</v>
      </c>
      <c r="E9683" s="427"/>
      <c r="F9683" s="31">
        <f>IFERROR(VLOOKUP(E9683,BD!$L$2:$Q$244,2,0),0)</f>
        <v>0</v>
      </c>
      <c r="G9683" s="424"/>
      <c r="H9683" s="31">
        <f>+IFERROR(VLOOKUP(E9683,BD!$L$2:$Q$244,6,0),0)</f>
        <v>0</v>
      </c>
      <c r="I9683" s="626">
        <f>IFERROR(G9683*VLOOKUP($E9683,BD!$L$2:$Q$244,5,0),0)</f>
        <v>0</v>
      </c>
      <c r="J9683" s="3">
        <f t="shared" si="605"/>
        <v>1900</v>
      </c>
    </row>
    <row r="9684" spans="1:10" s="9" customFormat="1" x14ac:dyDescent="0.25">
      <c r="A9684" s="447"/>
      <c r="B9684" s="55" t="str">
        <f t="shared" si="602"/>
        <v>ENERO</v>
      </c>
      <c r="C9684" s="55">
        <f t="shared" si="603"/>
        <v>1</v>
      </c>
      <c r="D9684" s="3" t="str">
        <f t="shared" si="604"/>
        <v>SÁBADO</v>
      </c>
      <c r="E9684" s="427"/>
      <c r="F9684" s="31">
        <f>IFERROR(VLOOKUP(E9684,BD!$L$2:$Q$244,2,0),0)</f>
        <v>0</v>
      </c>
      <c r="G9684" s="424"/>
      <c r="H9684" s="31">
        <f>+IFERROR(VLOOKUP(E9684,BD!$L$2:$Q$244,6,0),0)</f>
        <v>0</v>
      </c>
      <c r="I9684" s="626">
        <f>IFERROR(G9684*VLOOKUP($E9684,BD!$L$2:$Q$244,5,0),0)</f>
        <v>0</v>
      </c>
      <c r="J9684" s="3">
        <f t="shared" si="605"/>
        <v>1900</v>
      </c>
    </row>
    <row r="9685" spans="1:10" s="9" customFormat="1" x14ac:dyDescent="0.25">
      <c r="A9685" s="447"/>
      <c r="B9685" s="55" t="str">
        <f t="shared" si="602"/>
        <v>ENERO</v>
      </c>
      <c r="C9685" s="55">
        <f t="shared" si="603"/>
        <v>1</v>
      </c>
      <c r="D9685" s="3" t="str">
        <f t="shared" si="604"/>
        <v>SÁBADO</v>
      </c>
      <c r="E9685" s="427"/>
      <c r="F9685" s="31">
        <f>IFERROR(VLOOKUP(E9685,BD!$L$2:$Q$244,2,0),0)</f>
        <v>0</v>
      </c>
      <c r="G9685" s="424"/>
      <c r="H9685" s="31">
        <f>+IFERROR(VLOOKUP(E9685,BD!$L$2:$Q$244,6,0),0)</f>
        <v>0</v>
      </c>
      <c r="I9685" s="626">
        <f>IFERROR(G9685*VLOOKUP($E9685,BD!$L$2:$Q$244,5,0),0)</f>
        <v>0</v>
      </c>
      <c r="J9685" s="3">
        <f t="shared" si="605"/>
        <v>1900</v>
      </c>
    </row>
    <row r="9686" spans="1:10" s="9" customFormat="1" x14ac:dyDescent="0.25">
      <c r="A9686" s="447"/>
      <c r="B9686" s="55" t="str">
        <f t="shared" si="602"/>
        <v>ENERO</v>
      </c>
      <c r="C9686" s="55">
        <f t="shared" si="603"/>
        <v>1</v>
      </c>
      <c r="D9686" s="3" t="str">
        <f t="shared" si="604"/>
        <v>SÁBADO</v>
      </c>
      <c r="E9686" s="427"/>
      <c r="F9686" s="31">
        <f>IFERROR(VLOOKUP(E9686,BD!$L$2:$Q$244,2,0),0)</f>
        <v>0</v>
      </c>
      <c r="G9686" s="424"/>
      <c r="H9686" s="31">
        <f>+IFERROR(VLOOKUP(E9686,BD!$L$2:$Q$244,6,0),0)</f>
        <v>0</v>
      </c>
      <c r="I9686" s="626">
        <f>IFERROR(G9686*VLOOKUP($E9686,BD!$L$2:$Q$244,5,0),0)</f>
        <v>0</v>
      </c>
      <c r="J9686" s="3">
        <f t="shared" si="605"/>
        <v>1900</v>
      </c>
    </row>
    <row r="9687" spans="1:10" s="9" customFormat="1" x14ac:dyDescent="0.25">
      <c r="A9687" s="447"/>
      <c r="B9687" s="55" t="str">
        <f t="shared" si="602"/>
        <v>ENERO</v>
      </c>
      <c r="C9687" s="55">
        <f t="shared" si="603"/>
        <v>1</v>
      </c>
      <c r="D9687" s="3" t="str">
        <f t="shared" si="604"/>
        <v>SÁBADO</v>
      </c>
      <c r="E9687" s="427"/>
      <c r="F9687" s="31">
        <f>IFERROR(VLOOKUP(E9687,BD!$L$2:$Q$244,2,0),0)</f>
        <v>0</v>
      </c>
      <c r="G9687" s="424"/>
      <c r="H9687" s="31">
        <f>+IFERROR(VLOOKUP(E9687,BD!$L$2:$Q$244,6,0),0)</f>
        <v>0</v>
      </c>
      <c r="I9687" s="626">
        <f>IFERROR(G9687*VLOOKUP($E9687,BD!$L$2:$Q$244,5,0),0)</f>
        <v>0</v>
      </c>
      <c r="J9687" s="3">
        <f t="shared" si="605"/>
        <v>1900</v>
      </c>
    </row>
    <row r="9688" spans="1:10" s="9" customFormat="1" x14ac:dyDescent="0.25">
      <c r="A9688" s="447"/>
      <c r="B9688" s="55" t="str">
        <f t="shared" si="602"/>
        <v>ENERO</v>
      </c>
      <c r="C9688" s="55">
        <f t="shared" si="603"/>
        <v>1</v>
      </c>
      <c r="D9688" s="3" t="str">
        <f t="shared" si="604"/>
        <v>SÁBADO</v>
      </c>
      <c r="E9688" s="427"/>
      <c r="F9688" s="31">
        <f>IFERROR(VLOOKUP(E9688,BD!$L$2:$Q$244,2,0),0)</f>
        <v>0</v>
      </c>
      <c r="G9688" s="424"/>
      <c r="H9688" s="31">
        <f>+IFERROR(VLOOKUP(E9688,BD!$L$2:$Q$244,6,0),0)</f>
        <v>0</v>
      </c>
      <c r="I9688" s="626">
        <f>IFERROR(G9688*VLOOKUP($E9688,BD!$L$2:$Q$244,5,0),0)</f>
        <v>0</v>
      </c>
      <c r="J9688" s="3">
        <f t="shared" si="605"/>
        <v>1900</v>
      </c>
    </row>
    <row r="9689" spans="1:10" s="9" customFormat="1" x14ac:dyDescent="0.25">
      <c r="A9689" s="447"/>
      <c r="B9689" s="55" t="str">
        <f t="shared" si="602"/>
        <v>ENERO</v>
      </c>
      <c r="C9689" s="55">
        <f t="shared" si="603"/>
        <v>1</v>
      </c>
      <c r="D9689" s="3" t="str">
        <f t="shared" si="604"/>
        <v>SÁBADO</v>
      </c>
      <c r="E9689" s="427"/>
      <c r="F9689" s="31">
        <f>IFERROR(VLOOKUP(E9689,BD!$L$2:$Q$244,2,0),0)</f>
        <v>0</v>
      </c>
      <c r="G9689" s="424"/>
      <c r="H9689" s="31">
        <f>+IFERROR(VLOOKUP(E9689,BD!$L$2:$Q$244,6,0),0)</f>
        <v>0</v>
      </c>
      <c r="I9689" s="626">
        <f>IFERROR(G9689*VLOOKUP($E9689,BD!$L$2:$Q$244,5,0),0)</f>
        <v>0</v>
      </c>
      <c r="J9689" s="3">
        <f t="shared" si="605"/>
        <v>1900</v>
      </c>
    </row>
    <row r="9690" spans="1:10" s="9" customFormat="1" x14ac:dyDescent="0.25">
      <c r="A9690" s="447"/>
      <c r="B9690" s="55" t="str">
        <f t="shared" si="602"/>
        <v>ENERO</v>
      </c>
      <c r="C9690" s="55">
        <f t="shared" si="603"/>
        <v>1</v>
      </c>
      <c r="D9690" s="3" t="str">
        <f t="shared" si="604"/>
        <v>SÁBADO</v>
      </c>
      <c r="E9690" s="427"/>
      <c r="F9690" s="31">
        <f>IFERROR(VLOOKUP(E9690,BD!$L$2:$Q$244,2,0),0)</f>
        <v>0</v>
      </c>
      <c r="G9690" s="424"/>
      <c r="H9690" s="31">
        <f>+IFERROR(VLOOKUP(E9690,BD!$L$2:$Q$244,6,0),0)</f>
        <v>0</v>
      </c>
      <c r="I9690" s="626">
        <f>IFERROR(G9690*VLOOKUP($E9690,BD!$L$2:$Q$244,5,0),0)</f>
        <v>0</v>
      </c>
      <c r="J9690" s="3">
        <f t="shared" si="605"/>
        <v>1900</v>
      </c>
    </row>
    <row r="9691" spans="1:10" s="9" customFormat="1" x14ac:dyDescent="0.25">
      <c r="A9691" s="447"/>
      <c r="B9691" s="55" t="str">
        <f t="shared" si="602"/>
        <v>ENERO</v>
      </c>
      <c r="C9691" s="55">
        <f t="shared" si="603"/>
        <v>1</v>
      </c>
      <c r="D9691" s="3" t="str">
        <f t="shared" si="604"/>
        <v>SÁBADO</v>
      </c>
      <c r="E9691" s="427"/>
      <c r="F9691" s="31">
        <f>IFERROR(VLOOKUP(E9691,BD!$L$2:$Q$244,2,0),0)</f>
        <v>0</v>
      </c>
      <c r="G9691" s="424"/>
      <c r="H9691" s="31">
        <f>+IFERROR(VLOOKUP(E9691,BD!$L$2:$Q$244,6,0),0)</f>
        <v>0</v>
      </c>
      <c r="I9691" s="626">
        <f>IFERROR(G9691*VLOOKUP($E9691,BD!$L$2:$Q$244,5,0),0)</f>
        <v>0</v>
      </c>
      <c r="J9691" s="3">
        <f t="shared" si="605"/>
        <v>1900</v>
      </c>
    </row>
    <row r="9692" spans="1:10" s="9" customFormat="1" x14ac:dyDescent="0.25">
      <c r="A9692" s="447"/>
      <c r="B9692" s="55" t="str">
        <f t="shared" si="602"/>
        <v>ENERO</v>
      </c>
      <c r="C9692" s="55">
        <f t="shared" si="603"/>
        <v>1</v>
      </c>
      <c r="D9692" s="3" t="str">
        <f t="shared" si="604"/>
        <v>SÁBADO</v>
      </c>
      <c r="E9692" s="427"/>
      <c r="F9692" s="31">
        <f>IFERROR(VLOOKUP(E9692,BD!$L$2:$Q$244,2,0),0)</f>
        <v>0</v>
      </c>
      <c r="G9692" s="424"/>
      <c r="H9692" s="31">
        <f>+IFERROR(VLOOKUP(E9692,BD!$L$2:$Q$244,6,0),0)</f>
        <v>0</v>
      </c>
      <c r="I9692" s="626">
        <f>IFERROR(G9692*VLOOKUP($E9692,BD!$L$2:$Q$244,5,0),0)</f>
        <v>0</v>
      </c>
      <c r="J9692" s="3">
        <f t="shared" si="605"/>
        <v>1900</v>
      </c>
    </row>
    <row r="9693" spans="1:10" s="9" customFormat="1" x14ac:dyDescent="0.25">
      <c r="A9693" s="447"/>
      <c r="B9693" s="55" t="str">
        <f t="shared" si="602"/>
        <v>ENERO</v>
      </c>
      <c r="C9693" s="55">
        <f t="shared" si="603"/>
        <v>1</v>
      </c>
      <c r="D9693" s="3" t="str">
        <f t="shared" si="604"/>
        <v>SÁBADO</v>
      </c>
      <c r="E9693" s="427"/>
      <c r="F9693" s="31">
        <f>IFERROR(VLOOKUP(E9693,BD!$L$2:$Q$244,2,0),0)</f>
        <v>0</v>
      </c>
      <c r="G9693" s="424"/>
      <c r="H9693" s="31">
        <f>+IFERROR(VLOOKUP(E9693,BD!$L$2:$Q$244,6,0),0)</f>
        <v>0</v>
      </c>
      <c r="I9693" s="626">
        <f>IFERROR(G9693*VLOOKUP($E9693,BD!$L$2:$Q$244,5,0),0)</f>
        <v>0</v>
      </c>
      <c r="J9693" s="3">
        <f t="shared" si="605"/>
        <v>1900</v>
      </c>
    </row>
    <row r="9694" spans="1:10" s="9" customFormat="1" x14ac:dyDescent="0.25">
      <c r="A9694" s="447"/>
      <c r="B9694" s="55" t="str">
        <f t="shared" si="602"/>
        <v>ENERO</v>
      </c>
      <c r="C9694" s="55">
        <f t="shared" si="603"/>
        <v>1</v>
      </c>
      <c r="D9694" s="3" t="str">
        <f t="shared" si="604"/>
        <v>SÁBADO</v>
      </c>
      <c r="E9694" s="427"/>
      <c r="F9694" s="31">
        <f>IFERROR(VLOOKUP(E9694,BD!$L$2:$Q$244,2,0),0)</f>
        <v>0</v>
      </c>
      <c r="G9694" s="424"/>
      <c r="H9694" s="31">
        <f>+IFERROR(VLOOKUP(E9694,BD!$L$2:$Q$244,6,0),0)</f>
        <v>0</v>
      </c>
      <c r="I9694" s="626">
        <f>IFERROR(G9694*VLOOKUP($E9694,BD!$L$2:$Q$244,5,0),0)</f>
        <v>0</v>
      </c>
      <c r="J9694" s="3">
        <f t="shared" si="605"/>
        <v>1900</v>
      </c>
    </row>
    <row r="9695" spans="1:10" s="9" customFormat="1" x14ac:dyDescent="0.25">
      <c r="A9695" s="447"/>
      <c r="B9695" s="55" t="str">
        <f t="shared" si="602"/>
        <v>ENERO</v>
      </c>
      <c r="C9695" s="55">
        <f t="shared" si="603"/>
        <v>1</v>
      </c>
      <c r="D9695" s="3" t="str">
        <f t="shared" si="604"/>
        <v>SÁBADO</v>
      </c>
      <c r="E9695" s="427"/>
      <c r="F9695" s="31">
        <f>IFERROR(VLOOKUP(E9695,BD!$L$2:$Q$244,2,0),0)</f>
        <v>0</v>
      </c>
      <c r="G9695" s="424"/>
      <c r="H9695" s="31">
        <f>+IFERROR(VLOOKUP(E9695,BD!$L$2:$Q$244,6,0),0)</f>
        <v>0</v>
      </c>
      <c r="I9695" s="626">
        <f>IFERROR(G9695*VLOOKUP($E9695,BD!$L$2:$Q$244,5,0),0)</f>
        <v>0</v>
      </c>
      <c r="J9695" s="3">
        <f t="shared" si="605"/>
        <v>1900</v>
      </c>
    </row>
    <row r="9696" spans="1:10" s="9" customFormat="1" x14ac:dyDescent="0.25">
      <c r="A9696" s="447"/>
      <c r="B9696" s="55" t="str">
        <f t="shared" si="602"/>
        <v>ENERO</v>
      </c>
      <c r="C9696" s="55">
        <f t="shared" si="603"/>
        <v>1</v>
      </c>
      <c r="D9696" s="3" t="str">
        <f t="shared" si="604"/>
        <v>SÁBADO</v>
      </c>
      <c r="E9696" s="427"/>
      <c r="F9696" s="31">
        <f>IFERROR(VLOOKUP(E9696,BD!$L$2:$Q$244,2,0),0)</f>
        <v>0</v>
      </c>
      <c r="G9696" s="424"/>
      <c r="H9696" s="31">
        <f>+IFERROR(VLOOKUP(E9696,BD!$L$2:$Q$244,6,0),0)</f>
        <v>0</v>
      </c>
      <c r="I9696" s="626">
        <f>IFERROR(G9696*VLOOKUP($E9696,BD!$L$2:$Q$244,5,0),0)</f>
        <v>0</v>
      </c>
      <c r="J9696" s="3">
        <f t="shared" si="605"/>
        <v>1900</v>
      </c>
    </row>
    <row r="9697" spans="1:10" s="9" customFormat="1" x14ac:dyDescent="0.25">
      <c r="A9697" s="447"/>
      <c r="B9697" s="55" t="str">
        <f t="shared" si="602"/>
        <v>ENERO</v>
      </c>
      <c r="C9697" s="55">
        <f t="shared" si="603"/>
        <v>1</v>
      </c>
      <c r="D9697" s="3" t="str">
        <f t="shared" si="604"/>
        <v>SÁBADO</v>
      </c>
      <c r="E9697" s="427"/>
      <c r="F9697" s="31">
        <f>IFERROR(VLOOKUP(E9697,BD!$L$2:$Q$244,2,0),0)</f>
        <v>0</v>
      </c>
      <c r="G9697" s="424"/>
      <c r="H9697" s="31">
        <f>+IFERROR(VLOOKUP(E9697,BD!$L$2:$Q$244,6,0),0)</f>
        <v>0</v>
      </c>
      <c r="I9697" s="626">
        <f>IFERROR(G9697*VLOOKUP($E9697,BD!$L$2:$Q$244,5,0),0)</f>
        <v>0</v>
      </c>
      <c r="J9697" s="3">
        <f t="shared" si="605"/>
        <v>1900</v>
      </c>
    </row>
    <row r="9698" spans="1:10" s="9" customFormat="1" x14ac:dyDescent="0.25">
      <c r="A9698" s="447"/>
      <c r="B9698" s="55" t="str">
        <f t="shared" si="602"/>
        <v>ENERO</v>
      </c>
      <c r="C9698" s="55">
        <f t="shared" si="603"/>
        <v>1</v>
      </c>
      <c r="D9698" s="3" t="str">
        <f t="shared" si="604"/>
        <v>SÁBADO</v>
      </c>
      <c r="E9698" s="427"/>
      <c r="F9698" s="31">
        <f>IFERROR(VLOOKUP(E9698,BD!$L$2:$Q$244,2,0),0)</f>
        <v>0</v>
      </c>
      <c r="G9698" s="424"/>
      <c r="H9698" s="31">
        <f>+IFERROR(VLOOKUP(E9698,BD!$L$2:$Q$244,6,0),0)</f>
        <v>0</v>
      </c>
      <c r="I9698" s="626">
        <f>IFERROR(G9698*VLOOKUP($E9698,BD!$L$2:$Q$244,5,0),0)</f>
        <v>0</v>
      </c>
      <c r="J9698" s="3">
        <f t="shared" si="605"/>
        <v>1900</v>
      </c>
    </row>
    <row r="9699" spans="1:10" s="9" customFormat="1" x14ac:dyDescent="0.25">
      <c r="A9699" s="447"/>
      <c r="B9699" s="55" t="str">
        <f t="shared" si="602"/>
        <v>ENERO</v>
      </c>
      <c r="C9699" s="55">
        <f t="shared" si="603"/>
        <v>1</v>
      </c>
      <c r="D9699" s="3" t="str">
        <f t="shared" si="604"/>
        <v>SÁBADO</v>
      </c>
      <c r="E9699" s="427"/>
      <c r="F9699" s="31">
        <f>IFERROR(VLOOKUP(E9699,BD!$L$2:$Q$244,2,0),0)</f>
        <v>0</v>
      </c>
      <c r="G9699" s="424"/>
      <c r="H9699" s="31">
        <f>+IFERROR(VLOOKUP(E9699,BD!$L$2:$Q$244,6,0),0)</f>
        <v>0</v>
      </c>
      <c r="I9699" s="626">
        <f>IFERROR(G9699*VLOOKUP($E9699,BD!$L$2:$Q$244,5,0),0)</f>
        <v>0</v>
      </c>
      <c r="J9699" s="3">
        <f t="shared" si="605"/>
        <v>1900</v>
      </c>
    </row>
    <row r="9700" spans="1:10" s="9" customFormat="1" x14ac:dyDescent="0.25">
      <c r="A9700" s="447"/>
      <c r="B9700" s="55" t="str">
        <f t="shared" si="602"/>
        <v>ENERO</v>
      </c>
      <c r="C9700" s="55">
        <f t="shared" si="603"/>
        <v>1</v>
      </c>
      <c r="D9700" s="3" t="str">
        <f t="shared" si="604"/>
        <v>SÁBADO</v>
      </c>
      <c r="E9700" s="427"/>
      <c r="F9700" s="31">
        <f>IFERROR(VLOOKUP(E9700,BD!$L$2:$Q$244,2,0),0)</f>
        <v>0</v>
      </c>
      <c r="G9700" s="424"/>
      <c r="H9700" s="31">
        <f>+IFERROR(VLOOKUP(E9700,BD!$L$2:$Q$244,6,0),0)</f>
        <v>0</v>
      </c>
      <c r="I9700" s="626">
        <f>IFERROR(G9700*VLOOKUP($E9700,BD!$L$2:$Q$244,5,0),0)</f>
        <v>0</v>
      </c>
      <c r="J9700" s="3">
        <f t="shared" si="605"/>
        <v>1900</v>
      </c>
    </row>
    <row r="9701" spans="1:10" s="9" customFormat="1" x14ac:dyDescent="0.25">
      <c r="A9701" s="447"/>
      <c r="B9701" s="55" t="str">
        <f t="shared" si="602"/>
        <v>ENERO</v>
      </c>
      <c r="C9701" s="55">
        <f t="shared" si="603"/>
        <v>1</v>
      </c>
      <c r="D9701" s="3" t="str">
        <f t="shared" si="604"/>
        <v>SÁBADO</v>
      </c>
      <c r="E9701" s="427"/>
      <c r="F9701" s="31">
        <f>IFERROR(VLOOKUP(E9701,BD!$L$2:$Q$244,2,0),0)</f>
        <v>0</v>
      </c>
      <c r="G9701" s="424"/>
      <c r="H9701" s="31">
        <f>+IFERROR(VLOOKUP(E9701,BD!$L$2:$Q$244,6,0),0)</f>
        <v>0</v>
      </c>
      <c r="I9701" s="626">
        <f>IFERROR(G9701*VLOOKUP($E9701,BD!$L$2:$Q$244,5,0),0)</f>
        <v>0</v>
      </c>
      <c r="J9701" s="3">
        <f t="shared" si="605"/>
        <v>1900</v>
      </c>
    </row>
    <row r="9702" spans="1:10" s="9" customFormat="1" x14ac:dyDescent="0.25">
      <c r="A9702" s="447"/>
      <c r="B9702" s="55" t="str">
        <f t="shared" si="602"/>
        <v>ENERO</v>
      </c>
      <c r="C9702" s="55">
        <f t="shared" si="603"/>
        <v>1</v>
      </c>
      <c r="D9702" s="3" t="str">
        <f t="shared" si="604"/>
        <v>SÁBADO</v>
      </c>
      <c r="E9702" s="427"/>
      <c r="F9702" s="31">
        <f>IFERROR(VLOOKUP(E9702,BD!$L$2:$Q$244,2,0),0)</f>
        <v>0</v>
      </c>
      <c r="G9702" s="424"/>
      <c r="H9702" s="31">
        <f>+IFERROR(VLOOKUP(E9702,BD!$L$2:$Q$244,6,0),0)</f>
        <v>0</v>
      </c>
      <c r="I9702" s="626">
        <f>IFERROR(G9702*VLOOKUP($E9702,BD!$L$2:$Q$244,5,0),0)</f>
        <v>0</v>
      </c>
      <c r="J9702" s="3">
        <f t="shared" si="605"/>
        <v>1900</v>
      </c>
    </row>
    <row r="9703" spans="1:10" s="9" customFormat="1" x14ac:dyDescent="0.25">
      <c r="A9703" s="447"/>
      <c r="B9703" s="55" t="str">
        <f t="shared" si="602"/>
        <v>ENERO</v>
      </c>
      <c r="C9703" s="55">
        <f t="shared" si="603"/>
        <v>1</v>
      </c>
      <c r="D9703" s="3" t="str">
        <f t="shared" si="604"/>
        <v>SÁBADO</v>
      </c>
      <c r="E9703" s="427"/>
      <c r="F9703" s="31">
        <f>IFERROR(VLOOKUP(E9703,BD!$L$2:$Q$244,2,0),0)</f>
        <v>0</v>
      </c>
      <c r="G9703" s="424"/>
      <c r="H9703" s="31">
        <f>+IFERROR(VLOOKUP(E9703,BD!$L$2:$Q$244,6,0),0)</f>
        <v>0</v>
      </c>
      <c r="I9703" s="626">
        <f>IFERROR(G9703*VLOOKUP($E9703,BD!$L$2:$Q$244,5,0),0)</f>
        <v>0</v>
      </c>
      <c r="J9703" s="3">
        <f t="shared" si="605"/>
        <v>1900</v>
      </c>
    </row>
    <row r="9704" spans="1:10" s="9" customFormat="1" x14ac:dyDescent="0.25">
      <c r="A9704" s="447"/>
      <c r="B9704" s="55" t="str">
        <f t="shared" si="602"/>
        <v>ENERO</v>
      </c>
      <c r="C9704" s="55">
        <f t="shared" si="603"/>
        <v>1</v>
      </c>
      <c r="D9704" s="3" t="str">
        <f t="shared" si="604"/>
        <v>SÁBADO</v>
      </c>
      <c r="E9704" s="427"/>
      <c r="F9704" s="31">
        <f>IFERROR(VLOOKUP(E9704,BD!$L$2:$Q$244,2,0),0)</f>
        <v>0</v>
      </c>
      <c r="G9704" s="424"/>
      <c r="H9704" s="31">
        <f>+IFERROR(VLOOKUP(E9704,BD!$L$2:$Q$244,6,0),0)</f>
        <v>0</v>
      </c>
      <c r="I9704" s="626">
        <f>IFERROR(G9704*VLOOKUP($E9704,BD!$L$2:$Q$244,5,0),0)</f>
        <v>0</v>
      </c>
      <c r="J9704" s="3">
        <f t="shared" si="605"/>
        <v>1900</v>
      </c>
    </row>
    <row r="9705" spans="1:10" s="9" customFormat="1" x14ac:dyDescent="0.25">
      <c r="A9705" s="447"/>
      <c r="B9705" s="55" t="str">
        <f t="shared" si="602"/>
        <v>ENERO</v>
      </c>
      <c r="C9705" s="55">
        <f t="shared" si="603"/>
        <v>1</v>
      </c>
      <c r="D9705" s="3" t="str">
        <f t="shared" si="604"/>
        <v>SÁBADO</v>
      </c>
      <c r="E9705" s="427"/>
      <c r="F9705" s="31">
        <f>IFERROR(VLOOKUP(E9705,BD!$L$2:$Q$244,2,0),0)</f>
        <v>0</v>
      </c>
      <c r="G9705" s="424"/>
      <c r="H9705" s="31">
        <f>+IFERROR(VLOOKUP(E9705,BD!$L$2:$Q$244,6,0),0)</f>
        <v>0</v>
      </c>
      <c r="I9705" s="626">
        <f>IFERROR(G9705*VLOOKUP($E9705,BD!$L$2:$Q$244,5,0),0)</f>
        <v>0</v>
      </c>
      <c r="J9705" s="3">
        <f t="shared" si="605"/>
        <v>1900</v>
      </c>
    </row>
    <row r="9706" spans="1:10" s="9" customFormat="1" x14ac:dyDescent="0.25">
      <c r="A9706" s="447"/>
      <c r="B9706" s="55" t="str">
        <f t="shared" si="602"/>
        <v>ENERO</v>
      </c>
      <c r="C9706" s="55">
        <f t="shared" si="603"/>
        <v>1</v>
      </c>
      <c r="D9706" s="3" t="str">
        <f t="shared" si="604"/>
        <v>SÁBADO</v>
      </c>
      <c r="E9706" s="427"/>
      <c r="F9706" s="31">
        <f>IFERROR(VLOOKUP(E9706,BD!$L$2:$Q$244,2,0),0)</f>
        <v>0</v>
      </c>
      <c r="G9706" s="424"/>
      <c r="H9706" s="31">
        <f>+IFERROR(VLOOKUP(E9706,BD!$L$2:$Q$244,6,0),0)</f>
        <v>0</v>
      </c>
      <c r="I9706" s="626">
        <f>IFERROR(G9706*VLOOKUP($E9706,BD!$L$2:$Q$244,5,0),0)</f>
        <v>0</v>
      </c>
      <c r="J9706" s="3">
        <f t="shared" si="605"/>
        <v>1900</v>
      </c>
    </row>
    <row r="9707" spans="1:10" s="9" customFormat="1" x14ac:dyDescent="0.25">
      <c r="A9707" s="447"/>
      <c r="B9707" s="55" t="str">
        <f t="shared" si="602"/>
        <v>ENERO</v>
      </c>
      <c r="C9707" s="55">
        <f t="shared" si="603"/>
        <v>1</v>
      </c>
      <c r="D9707" s="3" t="str">
        <f t="shared" si="604"/>
        <v>SÁBADO</v>
      </c>
      <c r="E9707" s="427"/>
      <c r="F9707" s="31">
        <f>IFERROR(VLOOKUP(E9707,BD!$L$2:$Q$244,2,0),0)</f>
        <v>0</v>
      </c>
      <c r="G9707" s="424"/>
      <c r="H9707" s="31">
        <f>+IFERROR(VLOOKUP(E9707,BD!$L$2:$Q$244,6,0),0)</f>
        <v>0</v>
      </c>
      <c r="I9707" s="626">
        <f>IFERROR(G9707*VLOOKUP($E9707,BD!$L$2:$Q$244,5,0),0)</f>
        <v>0</v>
      </c>
      <c r="J9707" s="3">
        <f t="shared" si="605"/>
        <v>1900</v>
      </c>
    </row>
    <row r="9708" spans="1:10" s="9" customFormat="1" x14ac:dyDescent="0.25">
      <c r="A9708" s="447"/>
      <c r="B9708" s="55" t="str">
        <f t="shared" si="602"/>
        <v>ENERO</v>
      </c>
      <c r="C9708" s="55">
        <f t="shared" si="603"/>
        <v>1</v>
      </c>
      <c r="D9708" s="3" t="str">
        <f t="shared" si="604"/>
        <v>SÁBADO</v>
      </c>
      <c r="E9708" s="427"/>
      <c r="F9708" s="31">
        <f>IFERROR(VLOOKUP(E9708,BD!$L$2:$Q$244,2,0),0)</f>
        <v>0</v>
      </c>
      <c r="G9708" s="424"/>
      <c r="H9708" s="31">
        <f>+IFERROR(VLOOKUP(E9708,BD!$L$2:$Q$244,6,0),0)</f>
        <v>0</v>
      </c>
      <c r="I9708" s="626">
        <f>IFERROR(G9708*VLOOKUP($E9708,BD!$L$2:$Q$244,5,0),0)</f>
        <v>0</v>
      </c>
      <c r="J9708" s="3">
        <f t="shared" si="605"/>
        <v>1900</v>
      </c>
    </row>
    <row r="9709" spans="1:10" s="9" customFormat="1" x14ac:dyDescent="0.25">
      <c r="A9709" s="447"/>
      <c r="B9709" s="55" t="str">
        <f t="shared" si="602"/>
        <v>ENERO</v>
      </c>
      <c r="C9709" s="55">
        <f t="shared" si="603"/>
        <v>1</v>
      </c>
      <c r="D9709" s="3" t="str">
        <f t="shared" si="604"/>
        <v>SÁBADO</v>
      </c>
      <c r="E9709" s="427"/>
      <c r="F9709" s="31">
        <f>IFERROR(VLOOKUP(E9709,BD!$L$2:$Q$244,2,0),0)</f>
        <v>0</v>
      </c>
      <c r="G9709" s="424"/>
      <c r="H9709" s="31">
        <f>+IFERROR(VLOOKUP(E9709,BD!$L$2:$Q$244,6,0),0)</f>
        <v>0</v>
      </c>
      <c r="I9709" s="626">
        <f>IFERROR(G9709*VLOOKUP($E9709,BD!$L$2:$Q$244,5,0),0)</f>
        <v>0</v>
      </c>
      <c r="J9709" s="3">
        <f t="shared" si="605"/>
        <v>1900</v>
      </c>
    </row>
    <row r="9710" spans="1:10" s="9" customFormat="1" x14ac:dyDescent="0.25">
      <c r="A9710" s="447"/>
      <c r="B9710" s="55" t="str">
        <f t="shared" si="602"/>
        <v>ENERO</v>
      </c>
      <c r="C9710" s="55">
        <f t="shared" si="603"/>
        <v>1</v>
      </c>
      <c r="D9710" s="3" t="str">
        <f t="shared" si="604"/>
        <v>SÁBADO</v>
      </c>
      <c r="E9710" s="427"/>
      <c r="F9710" s="31">
        <f>IFERROR(VLOOKUP(E9710,BD!$L$2:$Q$244,2,0),0)</f>
        <v>0</v>
      </c>
      <c r="G9710" s="424"/>
      <c r="H9710" s="31">
        <f>+IFERROR(VLOOKUP(E9710,BD!$L$2:$Q$244,6,0),0)</f>
        <v>0</v>
      </c>
      <c r="I9710" s="626">
        <f>IFERROR(G9710*VLOOKUP($E9710,BD!$L$2:$Q$244,5,0),0)</f>
        <v>0</v>
      </c>
      <c r="J9710" s="3">
        <f t="shared" si="605"/>
        <v>1900</v>
      </c>
    </row>
    <row r="9711" spans="1:10" s="9" customFormat="1" x14ac:dyDescent="0.25">
      <c r="A9711" s="447"/>
      <c r="B9711" s="55" t="str">
        <f t="shared" si="602"/>
        <v>ENERO</v>
      </c>
      <c r="C9711" s="55">
        <f t="shared" si="603"/>
        <v>1</v>
      </c>
      <c r="D9711" s="3" t="str">
        <f t="shared" si="604"/>
        <v>SÁBADO</v>
      </c>
      <c r="E9711" s="427"/>
      <c r="F9711" s="31">
        <f>IFERROR(VLOOKUP(E9711,BD!$L$2:$Q$244,2,0),0)</f>
        <v>0</v>
      </c>
      <c r="G9711" s="424"/>
      <c r="H9711" s="31">
        <f>+IFERROR(VLOOKUP(E9711,BD!$L$2:$Q$244,6,0),0)</f>
        <v>0</v>
      </c>
      <c r="I9711" s="626">
        <f>IFERROR(G9711*VLOOKUP($E9711,BD!$L$2:$Q$244,5,0),0)</f>
        <v>0</v>
      </c>
      <c r="J9711" s="3">
        <f t="shared" si="605"/>
        <v>1900</v>
      </c>
    </row>
    <row r="9712" spans="1:10" s="9" customFormat="1" x14ac:dyDescent="0.25">
      <c r="A9712" s="447"/>
      <c r="B9712" s="55" t="str">
        <f t="shared" si="602"/>
        <v>ENERO</v>
      </c>
      <c r="C9712" s="55">
        <f t="shared" si="603"/>
        <v>1</v>
      </c>
      <c r="D9712" s="3" t="str">
        <f t="shared" si="604"/>
        <v>SÁBADO</v>
      </c>
      <c r="E9712" s="427"/>
      <c r="F9712" s="31">
        <f>IFERROR(VLOOKUP(E9712,BD!$L$2:$Q$244,2,0),0)</f>
        <v>0</v>
      </c>
      <c r="G9712" s="424"/>
      <c r="H9712" s="31">
        <f>+IFERROR(VLOOKUP(E9712,BD!$L$2:$Q$244,6,0),0)</f>
        <v>0</v>
      </c>
      <c r="I9712" s="626">
        <f>IFERROR(G9712*VLOOKUP($E9712,BD!$L$2:$Q$244,5,0),0)</f>
        <v>0</v>
      </c>
      <c r="J9712" s="3">
        <f t="shared" si="605"/>
        <v>1900</v>
      </c>
    </row>
    <row r="9713" spans="1:10" s="9" customFormat="1" x14ac:dyDescent="0.25">
      <c r="A9713" s="447"/>
      <c r="B9713" s="55" t="str">
        <f t="shared" si="602"/>
        <v>ENERO</v>
      </c>
      <c r="C9713" s="55">
        <f t="shared" si="603"/>
        <v>1</v>
      </c>
      <c r="D9713" s="3" t="str">
        <f t="shared" si="604"/>
        <v>SÁBADO</v>
      </c>
      <c r="E9713" s="427"/>
      <c r="F9713" s="31">
        <f>IFERROR(VLOOKUP(E9713,BD!$L$2:$Q$244,2,0),0)</f>
        <v>0</v>
      </c>
      <c r="G9713" s="424"/>
      <c r="H9713" s="31">
        <f>+IFERROR(VLOOKUP(E9713,BD!$L$2:$Q$244,6,0),0)</f>
        <v>0</v>
      </c>
      <c r="I9713" s="626">
        <f>IFERROR(G9713*VLOOKUP($E9713,BD!$L$2:$Q$244,5,0),0)</f>
        <v>0</v>
      </c>
      <c r="J9713" s="3">
        <f t="shared" si="605"/>
        <v>1900</v>
      </c>
    </row>
    <row r="9714" spans="1:10" s="9" customFormat="1" x14ac:dyDescent="0.25">
      <c r="A9714" s="447"/>
      <c r="B9714" s="55" t="str">
        <f t="shared" si="602"/>
        <v>ENERO</v>
      </c>
      <c r="C9714" s="55">
        <f t="shared" si="603"/>
        <v>1</v>
      </c>
      <c r="D9714" s="3" t="str">
        <f t="shared" si="604"/>
        <v>SÁBADO</v>
      </c>
      <c r="E9714" s="427"/>
      <c r="F9714" s="31">
        <f>IFERROR(VLOOKUP(E9714,BD!$L$2:$Q$244,2,0),0)</f>
        <v>0</v>
      </c>
      <c r="G9714" s="424"/>
      <c r="H9714" s="31">
        <f>+IFERROR(VLOOKUP(E9714,BD!$L$2:$Q$244,6,0),0)</f>
        <v>0</v>
      </c>
      <c r="I9714" s="626">
        <f>IFERROR(G9714*VLOOKUP($E9714,BD!$L$2:$Q$244,5,0),0)</f>
        <v>0</v>
      </c>
      <c r="J9714" s="3">
        <f t="shared" si="605"/>
        <v>1900</v>
      </c>
    </row>
    <row r="9715" spans="1:10" s="9" customFormat="1" x14ac:dyDescent="0.25">
      <c r="A9715" s="447"/>
      <c r="B9715" s="55" t="str">
        <f t="shared" si="602"/>
        <v>ENERO</v>
      </c>
      <c r="C9715" s="55">
        <f t="shared" si="603"/>
        <v>1</v>
      </c>
      <c r="D9715" s="3" t="str">
        <f t="shared" si="604"/>
        <v>SÁBADO</v>
      </c>
      <c r="E9715" s="427"/>
      <c r="F9715" s="31">
        <f>IFERROR(VLOOKUP(E9715,BD!$L$2:$Q$244,2,0),0)</f>
        <v>0</v>
      </c>
      <c r="G9715" s="424"/>
      <c r="H9715" s="31">
        <f>+IFERROR(VLOOKUP(E9715,BD!$L$2:$Q$244,6,0),0)</f>
        <v>0</v>
      </c>
      <c r="I9715" s="626">
        <f>IFERROR(G9715*VLOOKUP($E9715,BD!$L$2:$Q$244,5,0),0)</f>
        <v>0</v>
      </c>
      <c r="J9715" s="3">
        <f t="shared" si="605"/>
        <v>1900</v>
      </c>
    </row>
    <row r="9716" spans="1:10" s="9" customFormat="1" x14ac:dyDescent="0.25">
      <c r="A9716" s="447"/>
      <c r="B9716" s="55" t="str">
        <f t="shared" si="602"/>
        <v>ENERO</v>
      </c>
      <c r="C9716" s="55">
        <f t="shared" si="603"/>
        <v>1</v>
      </c>
      <c r="D9716" s="3" t="str">
        <f t="shared" si="604"/>
        <v>SÁBADO</v>
      </c>
      <c r="E9716" s="427"/>
      <c r="F9716" s="31">
        <f>IFERROR(VLOOKUP(E9716,BD!$L$2:$Q$244,2,0),0)</f>
        <v>0</v>
      </c>
      <c r="G9716" s="424"/>
      <c r="H9716" s="31">
        <f>+IFERROR(VLOOKUP(E9716,BD!$L$2:$Q$244,6,0),0)</f>
        <v>0</v>
      </c>
      <c r="I9716" s="626">
        <f>IFERROR(G9716*VLOOKUP($E9716,BD!$L$2:$Q$244,5,0),0)</f>
        <v>0</v>
      </c>
      <c r="J9716" s="3">
        <f t="shared" si="605"/>
        <v>1900</v>
      </c>
    </row>
    <row r="9717" spans="1:10" s="9" customFormat="1" x14ac:dyDescent="0.25">
      <c r="A9717" s="447"/>
      <c r="B9717" s="55" t="str">
        <f t="shared" si="602"/>
        <v>ENERO</v>
      </c>
      <c r="C9717" s="55">
        <f t="shared" si="603"/>
        <v>1</v>
      </c>
      <c r="D9717" s="3" t="str">
        <f t="shared" si="604"/>
        <v>SÁBADO</v>
      </c>
      <c r="E9717" s="427"/>
      <c r="F9717" s="31">
        <f>IFERROR(VLOOKUP(E9717,BD!$L$2:$Q$244,2,0),0)</f>
        <v>0</v>
      </c>
      <c r="G9717" s="424"/>
      <c r="H9717" s="31">
        <f>+IFERROR(VLOOKUP(E9717,BD!$L$2:$Q$244,6,0),0)</f>
        <v>0</v>
      </c>
      <c r="I9717" s="626">
        <f>IFERROR(G9717*VLOOKUP($E9717,BD!$L$2:$Q$244,5,0),0)</f>
        <v>0</v>
      </c>
      <c r="J9717" s="3">
        <f t="shared" si="605"/>
        <v>1900</v>
      </c>
    </row>
    <row r="9718" spans="1:10" s="9" customFormat="1" x14ac:dyDescent="0.25">
      <c r="A9718" s="447"/>
      <c r="B9718" s="55" t="str">
        <f t="shared" si="602"/>
        <v>ENERO</v>
      </c>
      <c r="C9718" s="55">
        <f t="shared" si="603"/>
        <v>1</v>
      </c>
      <c r="D9718" s="3" t="str">
        <f t="shared" si="604"/>
        <v>SÁBADO</v>
      </c>
      <c r="E9718" s="427"/>
      <c r="F9718" s="31">
        <f>IFERROR(VLOOKUP(E9718,BD!$L$2:$Q$244,2,0),0)</f>
        <v>0</v>
      </c>
      <c r="G9718" s="424"/>
      <c r="H9718" s="31">
        <f>+IFERROR(VLOOKUP(E9718,BD!$L$2:$Q$244,6,0),0)</f>
        <v>0</v>
      </c>
      <c r="I9718" s="626">
        <f>IFERROR(G9718*VLOOKUP($E9718,BD!$L$2:$Q$244,5,0),0)</f>
        <v>0</v>
      </c>
      <c r="J9718" s="3">
        <f t="shared" si="605"/>
        <v>1900</v>
      </c>
    </row>
    <row r="9719" spans="1:10" s="9" customFormat="1" x14ac:dyDescent="0.25">
      <c r="A9719" s="447"/>
      <c r="B9719" s="55" t="str">
        <f t="shared" si="602"/>
        <v>ENERO</v>
      </c>
      <c r="C9719" s="55">
        <f t="shared" si="603"/>
        <v>1</v>
      </c>
      <c r="D9719" s="3" t="str">
        <f t="shared" si="604"/>
        <v>SÁBADO</v>
      </c>
      <c r="E9719" s="427"/>
      <c r="F9719" s="31">
        <f>IFERROR(VLOOKUP(E9719,BD!$L$2:$Q$244,2,0),0)</f>
        <v>0</v>
      </c>
      <c r="G9719" s="424"/>
      <c r="H9719" s="31">
        <f>+IFERROR(VLOOKUP(E9719,BD!$L$2:$Q$244,6,0),0)</f>
        <v>0</v>
      </c>
      <c r="I9719" s="626">
        <f>IFERROR(G9719*VLOOKUP($E9719,BD!$L$2:$Q$244,5,0),0)</f>
        <v>0</v>
      </c>
      <c r="J9719" s="3">
        <f t="shared" si="605"/>
        <v>1900</v>
      </c>
    </row>
    <row r="9720" spans="1:10" s="9" customFormat="1" x14ac:dyDescent="0.25">
      <c r="A9720" s="447"/>
      <c r="B9720" s="55" t="str">
        <f t="shared" si="602"/>
        <v>ENERO</v>
      </c>
      <c r="C9720" s="55">
        <f t="shared" si="603"/>
        <v>1</v>
      </c>
      <c r="D9720" s="3" t="str">
        <f t="shared" si="604"/>
        <v>SÁBADO</v>
      </c>
      <c r="E9720" s="427"/>
      <c r="F9720" s="31">
        <f>IFERROR(VLOOKUP(E9720,BD!$L$2:$Q$244,2,0),0)</f>
        <v>0</v>
      </c>
      <c r="G9720" s="424"/>
      <c r="H9720" s="31">
        <f>+IFERROR(VLOOKUP(E9720,BD!$L$2:$Q$244,6,0),0)</f>
        <v>0</v>
      </c>
      <c r="I9720" s="626">
        <f>IFERROR(G9720*VLOOKUP($E9720,BD!$L$2:$Q$244,5,0),0)</f>
        <v>0</v>
      </c>
      <c r="J9720" s="3">
        <f t="shared" si="605"/>
        <v>1900</v>
      </c>
    </row>
    <row r="9721" spans="1:10" s="9" customFormat="1" x14ac:dyDescent="0.25">
      <c r="A9721" s="447"/>
      <c r="B9721" s="55" t="str">
        <f t="shared" si="602"/>
        <v>ENERO</v>
      </c>
      <c r="C9721" s="55">
        <f t="shared" si="603"/>
        <v>1</v>
      </c>
      <c r="D9721" s="3" t="str">
        <f t="shared" si="604"/>
        <v>SÁBADO</v>
      </c>
      <c r="E9721" s="427"/>
      <c r="F9721" s="31">
        <f>IFERROR(VLOOKUP(E9721,BD!$L$2:$Q$244,2,0),0)</f>
        <v>0</v>
      </c>
      <c r="G9721" s="424"/>
      <c r="H9721" s="31">
        <f>+IFERROR(VLOOKUP(E9721,BD!$L$2:$Q$244,6,0),0)</f>
        <v>0</v>
      </c>
      <c r="I9721" s="626">
        <f>IFERROR(G9721*VLOOKUP($E9721,BD!$L$2:$Q$244,5,0),0)</f>
        <v>0</v>
      </c>
      <c r="J9721" s="3">
        <f t="shared" si="605"/>
        <v>1900</v>
      </c>
    </row>
    <row r="9722" spans="1:10" s="9" customFormat="1" x14ac:dyDescent="0.25">
      <c r="A9722" s="447"/>
      <c r="B9722" s="55" t="str">
        <f t="shared" si="602"/>
        <v>ENERO</v>
      </c>
      <c r="C9722" s="55">
        <f t="shared" si="603"/>
        <v>1</v>
      </c>
      <c r="D9722" s="3" t="str">
        <f t="shared" si="604"/>
        <v>SÁBADO</v>
      </c>
      <c r="E9722" s="427"/>
      <c r="F9722" s="31">
        <f>IFERROR(VLOOKUP(E9722,BD!$L$2:$Q$244,2,0),0)</f>
        <v>0</v>
      </c>
      <c r="G9722" s="424"/>
      <c r="H9722" s="31">
        <f>+IFERROR(VLOOKUP(E9722,BD!$L$2:$Q$244,6,0),0)</f>
        <v>0</v>
      </c>
      <c r="I9722" s="626">
        <f>IFERROR(G9722*VLOOKUP($E9722,BD!$L$2:$Q$244,5,0),0)</f>
        <v>0</v>
      </c>
      <c r="J9722" s="3">
        <f t="shared" si="605"/>
        <v>1900</v>
      </c>
    </row>
    <row r="9723" spans="1:10" s="9" customFormat="1" x14ac:dyDescent="0.25">
      <c r="A9723" s="447"/>
      <c r="B9723" s="55" t="str">
        <f t="shared" si="602"/>
        <v>ENERO</v>
      </c>
      <c r="C9723" s="55">
        <f t="shared" si="603"/>
        <v>1</v>
      </c>
      <c r="D9723" s="3" t="str">
        <f t="shared" si="604"/>
        <v>SÁBADO</v>
      </c>
      <c r="E9723" s="427"/>
      <c r="F9723" s="31">
        <f>IFERROR(VLOOKUP(E9723,BD!$L$2:$Q$244,2,0),0)</f>
        <v>0</v>
      </c>
      <c r="G9723" s="424"/>
      <c r="H9723" s="31">
        <f>+IFERROR(VLOOKUP(E9723,BD!$L$2:$Q$244,6,0),0)</f>
        <v>0</v>
      </c>
      <c r="I9723" s="626">
        <f>IFERROR(G9723*VLOOKUP($E9723,BD!$L$2:$Q$244,5,0),0)</f>
        <v>0</v>
      </c>
      <c r="J9723" s="3">
        <f t="shared" si="605"/>
        <v>1900</v>
      </c>
    </row>
    <row r="9724" spans="1:10" s="9" customFormat="1" x14ac:dyDescent="0.25">
      <c r="A9724" s="447"/>
      <c r="B9724" s="55" t="str">
        <f t="shared" ref="B9724:B9787" si="606">UPPER(TEXT(A9724,"MMMM"))</f>
        <v>ENERO</v>
      </c>
      <c r="C9724" s="55">
        <f t="shared" ref="C9724:C9787" si="607">WEEKNUM(A9724,16)</f>
        <v>1</v>
      </c>
      <c r="D9724" s="3" t="str">
        <f t="shared" ref="D9724:D9787" si="608">UPPER(TEXT(A9724,"DDDD"))</f>
        <v>SÁBADO</v>
      </c>
      <c r="E9724" s="427"/>
      <c r="F9724" s="31">
        <f>IFERROR(VLOOKUP(E9724,BD!$L$2:$Q$244,2,0),0)</f>
        <v>0</v>
      </c>
      <c r="G9724" s="424"/>
      <c r="H9724" s="31">
        <f>+IFERROR(VLOOKUP(E9724,BD!$L$2:$Q$244,6,0),0)</f>
        <v>0</v>
      </c>
      <c r="I9724" s="626">
        <f>IFERROR(G9724*VLOOKUP($E9724,BD!$L$2:$Q$244,5,0),0)</f>
        <v>0</v>
      </c>
      <c r="J9724" s="3">
        <f t="shared" ref="J9724:J9787" si="609">+YEAR(A9724)</f>
        <v>1900</v>
      </c>
    </row>
    <row r="9725" spans="1:10" s="9" customFormat="1" x14ac:dyDescent="0.25">
      <c r="A9725" s="447"/>
      <c r="B9725" s="55" t="str">
        <f t="shared" si="606"/>
        <v>ENERO</v>
      </c>
      <c r="C9725" s="55">
        <f t="shared" si="607"/>
        <v>1</v>
      </c>
      <c r="D9725" s="3" t="str">
        <f t="shared" si="608"/>
        <v>SÁBADO</v>
      </c>
      <c r="E9725" s="427"/>
      <c r="F9725" s="31">
        <f>IFERROR(VLOOKUP(E9725,BD!$L$2:$Q$244,2,0),0)</f>
        <v>0</v>
      </c>
      <c r="G9725" s="424"/>
      <c r="H9725" s="31">
        <f>+IFERROR(VLOOKUP(E9725,BD!$L$2:$Q$244,6,0),0)</f>
        <v>0</v>
      </c>
      <c r="I9725" s="626">
        <f>IFERROR(G9725*VLOOKUP($E9725,BD!$L$2:$Q$244,5,0),0)</f>
        <v>0</v>
      </c>
      <c r="J9725" s="3">
        <f t="shared" si="609"/>
        <v>1900</v>
      </c>
    </row>
    <row r="9726" spans="1:10" s="9" customFormat="1" x14ac:dyDescent="0.25">
      <c r="A9726" s="447"/>
      <c r="B9726" s="55" t="str">
        <f t="shared" si="606"/>
        <v>ENERO</v>
      </c>
      <c r="C9726" s="55">
        <f t="shared" si="607"/>
        <v>1</v>
      </c>
      <c r="D9726" s="3" t="str">
        <f t="shared" si="608"/>
        <v>SÁBADO</v>
      </c>
      <c r="E9726" s="427"/>
      <c r="F9726" s="31">
        <f>IFERROR(VLOOKUP(E9726,BD!$L$2:$Q$244,2,0),0)</f>
        <v>0</v>
      </c>
      <c r="G9726" s="424"/>
      <c r="H9726" s="31">
        <f>+IFERROR(VLOOKUP(E9726,BD!$L$2:$Q$244,6,0),0)</f>
        <v>0</v>
      </c>
      <c r="I9726" s="626">
        <f>IFERROR(G9726*VLOOKUP($E9726,BD!$L$2:$Q$244,5,0),0)</f>
        <v>0</v>
      </c>
      <c r="J9726" s="3">
        <f t="shared" si="609"/>
        <v>1900</v>
      </c>
    </row>
    <row r="9727" spans="1:10" s="9" customFormat="1" x14ac:dyDescent="0.25">
      <c r="A9727" s="447"/>
      <c r="B9727" s="55" t="str">
        <f t="shared" si="606"/>
        <v>ENERO</v>
      </c>
      <c r="C9727" s="55">
        <f t="shared" si="607"/>
        <v>1</v>
      </c>
      <c r="D9727" s="3" t="str">
        <f t="shared" si="608"/>
        <v>SÁBADO</v>
      </c>
      <c r="E9727" s="427"/>
      <c r="F9727" s="31">
        <f>IFERROR(VLOOKUP(E9727,BD!$L$2:$Q$244,2,0),0)</f>
        <v>0</v>
      </c>
      <c r="G9727" s="424"/>
      <c r="H9727" s="31">
        <f>+IFERROR(VLOOKUP(E9727,BD!$L$2:$Q$244,6,0),0)</f>
        <v>0</v>
      </c>
      <c r="I9727" s="626">
        <f>IFERROR(G9727*VLOOKUP($E9727,BD!$L$2:$Q$244,5,0),0)</f>
        <v>0</v>
      </c>
      <c r="J9727" s="3">
        <f t="shared" si="609"/>
        <v>1900</v>
      </c>
    </row>
    <row r="9728" spans="1:10" s="9" customFormat="1" x14ac:dyDescent="0.25">
      <c r="A9728" s="447"/>
      <c r="B9728" s="55" t="str">
        <f t="shared" si="606"/>
        <v>ENERO</v>
      </c>
      <c r="C9728" s="55">
        <f t="shared" si="607"/>
        <v>1</v>
      </c>
      <c r="D9728" s="3" t="str">
        <f t="shared" si="608"/>
        <v>SÁBADO</v>
      </c>
      <c r="E9728" s="427"/>
      <c r="F9728" s="31">
        <f>IFERROR(VLOOKUP(E9728,BD!$L$2:$Q$244,2,0),0)</f>
        <v>0</v>
      </c>
      <c r="G9728" s="424"/>
      <c r="H9728" s="31">
        <f>+IFERROR(VLOOKUP(E9728,BD!$L$2:$Q$244,6,0),0)</f>
        <v>0</v>
      </c>
      <c r="I9728" s="626">
        <f>IFERROR(G9728*VLOOKUP($E9728,BD!$L$2:$Q$244,5,0),0)</f>
        <v>0</v>
      </c>
      <c r="J9728" s="3">
        <f t="shared" si="609"/>
        <v>1900</v>
      </c>
    </row>
    <row r="9729" spans="1:10" s="9" customFormat="1" x14ac:dyDescent="0.25">
      <c r="A9729" s="447"/>
      <c r="B9729" s="55" t="str">
        <f t="shared" si="606"/>
        <v>ENERO</v>
      </c>
      <c r="C9729" s="55">
        <f t="shared" si="607"/>
        <v>1</v>
      </c>
      <c r="D9729" s="3" t="str">
        <f t="shared" si="608"/>
        <v>SÁBADO</v>
      </c>
      <c r="E9729" s="427"/>
      <c r="F9729" s="31">
        <f>IFERROR(VLOOKUP(E9729,BD!$L$2:$Q$244,2,0),0)</f>
        <v>0</v>
      </c>
      <c r="G9729" s="424"/>
      <c r="H9729" s="31">
        <f>+IFERROR(VLOOKUP(E9729,BD!$L$2:$Q$244,6,0),0)</f>
        <v>0</v>
      </c>
      <c r="I9729" s="626">
        <f>IFERROR(G9729*VLOOKUP($E9729,BD!$L$2:$Q$244,5,0),0)</f>
        <v>0</v>
      </c>
      <c r="J9729" s="3">
        <f t="shared" si="609"/>
        <v>1900</v>
      </c>
    </row>
    <row r="9730" spans="1:10" s="9" customFormat="1" x14ac:dyDescent="0.25">
      <c r="A9730" s="447"/>
      <c r="B9730" s="55" t="str">
        <f t="shared" si="606"/>
        <v>ENERO</v>
      </c>
      <c r="C9730" s="55">
        <f t="shared" si="607"/>
        <v>1</v>
      </c>
      <c r="D9730" s="3" t="str">
        <f t="shared" si="608"/>
        <v>SÁBADO</v>
      </c>
      <c r="E9730" s="427"/>
      <c r="F9730" s="31">
        <f>IFERROR(VLOOKUP(E9730,BD!$L$2:$Q$244,2,0),0)</f>
        <v>0</v>
      </c>
      <c r="G9730" s="424"/>
      <c r="H9730" s="31">
        <f>+IFERROR(VLOOKUP(E9730,BD!$L$2:$Q$244,6,0),0)</f>
        <v>0</v>
      </c>
      <c r="I9730" s="626">
        <f>IFERROR(G9730*VLOOKUP($E9730,BD!$L$2:$Q$244,5,0),0)</f>
        <v>0</v>
      </c>
      <c r="J9730" s="3">
        <f t="shared" si="609"/>
        <v>1900</v>
      </c>
    </row>
    <row r="9731" spans="1:10" s="9" customFormat="1" x14ac:dyDescent="0.25">
      <c r="A9731" s="447"/>
      <c r="B9731" s="55" t="str">
        <f t="shared" si="606"/>
        <v>ENERO</v>
      </c>
      <c r="C9731" s="55">
        <f t="shared" si="607"/>
        <v>1</v>
      </c>
      <c r="D9731" s="3" t="str">
        <f t="shared" si="608"/>
        <v>SÁBADO</v>
      </c>
      <c r="E9731" s="427"/>
      <c r="F9731" s="31">
        <f>IFERROR(VLOOKUP(E9731,BD!$L$2:$Q$244,2,0),0)</f>
        <v>0</v>
      </c>
      <c r="G9731" s="424"/>
      <c r="H9731" s="31">
        <f>+IFERROR(VLOOKUP(E9731,BD!$L$2:$Q$244,6,0),0)</f>
        <v>0</v>
      </c>
      <c r="I9731" s="626">
        <f>IFERROR(G9731*VLOOKUP($E9731,BD!$L$2:$Q$244,5,0),0)</f>
        <v>0</v>
      </c>
      <c r="J9731" s="3">
        <f t="shared" si="609"/>
        <v>1900</v>
      </c>
    </row>
    <row r="9732" spans="1:10" s="9" customFormat="1" x14ac:dyDescent="0.25">
      <c r="A9732" s="447"/>
      <c r="B9732" s="55" t="str">
        <f t="shared" si="606"/>
        <v>ENERO</v>
      </c>
      <c r="C9732" s="55">
        <f t="shared" si="607"/>
        <v>1</v>
      </c>
      <c r="D9732" s="3" t="str">
        <f t="shared" si="608"/>
        <v>SÁBADO</v>
      </c>
      <c r="E9732" s="427"/>
      <c r="F9732" s="31">
        <f>IFERROR(VLOOKUP(E9732,BD!$L$2:$Q$244,2,0),0)</f>
        <v>0</v>
      </c>
      <c r="G9732" s="424"/>
      <c r="H9732" s="31">
        <f>+IFERROR(VLOOKUP(E9732,BD!$L$2:$Q$244,6,0),0)</f>
        <v>0</v>
      </c>
      <c r="I9732" s="626">
        <f>IFERROR(G9732*VLOOKUP($E9732,BD!$L$2:$Q$244,5,0),0)</f>
        <v>0</v>
      </c>
      <c r="J9732" s="3">
        <f t="shared" si="609"/>
        <v>1900</v>
      </c>
    </row>
    <row r="9733" spans="1:10" s="9" customFormat="1" x14ac:dyDescent="0.25">
      <c r="A9733" s="447"/>
      <c r="B9733" s="55" t="str">
        <f t="shared" si="606"/>
        <v>ENERO</v>
      </c>
      <c r="C9733" s="55">
        <f t="shared" si="607"/>
        <v>1</v>
      </c>
      <c r="D9733" s="3" t="str">
        <f t="shared" si="608"/>
        <v>SÁBADO</v>
      </c>
      <c r="E9733" s="427"/>
      <c r="F9733" s="31">
        <f>IFERROR(VLOOKUP(E9733,BD!$L$2:$Q$244,2,0),0)</f>
        <v>0</v>
      </c>
      <c r="G9733" s="424"/>
      <c r="H9733" s="31">
        <f>+IFERROR(VLOOKUP(E9733,BD!$L$2:$Q$244,6,0),0)</f>
        <v>0</v>
      </c>
      <c r="I9733" s="626">
        <f>IFERROR(G9733*VLOOKUP($E9733,BD!$L$2:$Q$244,5,0),0)</f>
        <v>0</v>
      </c>
      <c r="J9733" s="3">
        <f t="shared" si="609"/>
        <v>1900</v>
      </c>
    </row>
    <row r="9734" spans="1:10" s="9" customFormat="1" x14ac:dyDescent="0.25">
      <c r="A9734" s="447"/>
      <c r="B9734" s="55" t="str">
        <f t="shared" si="606"/>
        <v>ENERO</v>
      </c>
      <c r="C9734" s="55">
        <f t="shared" si="607"/>
        <v>1</v>
      </c>
      <c r="D9734" s="3" t="str">
        <f t="shared" si="608"/>
        <v>SÁBADO</v>
      </c>
      <c r="E9734" s="427"/>
      <c r="F9734" s="31">
        <f>IFERROR(VLOOKUP(E9734,BD!$L$2:$Q$244,2,0),0)</f>
        <v>0</v>
      </c>
      <c r="G9734" s="424"/>
      <c r="H9734" s="31">
        <f>+IFERROR(VLOOKUP(E9734,BD!$L$2:$Q$244,6,0),0)</f>
        <v>0</v>
      </c>
      <c r="I9734" s="626">
        <f>IFERROR(G9734*VLOOKUP($E9734,BD!$L$2:$Q$244,5,0),0)</f>
        <v>0</v>
      </c>
      <c r="J9734" s="3">
        <f t="shared" si="609"/>
        <v>1900</v>
      </c>
    </row>
    <row r="9735" spans="1:10" s="9" customFormat="1" x14ac:dyDescent="0.25">
      <c r="A9735" s="447"/>
      <c r="B9735" s="55" t="str">
        <f t="shared" si="606"/>
        <v>ENERO</v>
      </c>
      <c r="C9735" s="55">
        <f t="shared" si="607"/>
        <v>1</v>
      </c>
      <c r="D9735" s="3" t="str">
        <f t="shared" si="608"/>
        <v>SÁBADO</v>
      </c>
      <c r="E9735" s="427"/>
      <c r="F9735" s="31">
        <f>IFERROR(VLOOKUP(E9735,BD!$L$2:$Q$244,2,0),0)</f>
        <v>0</v>
      </c>
      <c r="G9735" s="424"/>
      <c r="H9735" s="31">
        <f>+IFERROR(VLOOKUP(E9735,BD!$L$2:$Q$244,6,0),0)</f>
        <v>0</v>
      </c>
      <c r="I9735" s="626">
        <f>IFERROR(G9735*VLOOKUP($E9735,BD!$L$2:$Q$244,5,0),0)</f>
        <v>0</v>
      </c>
      <c r="J9735" s="3">
        <f t="shared" si="609"/>
        <v>1900</v>
      </c>
    </row>
    <row r="9736" spans="1:10" s="9" customFormat="1" x14ac:dyDescent="0.25">
      <c r="A9736" s="447"/>
      <c r="B9736" s="55" t="str">
        <f t="shared" si="606"/>
        <v>ENERO</v>
      </c>
      <c r="C9736" s="55">
        <f t="shared" si="607"/>
        <v>1</v>
      </c>
      <c r="D9736" s="3" t="str">
        <f t="shared" si="608"/>
        <v>SÁBADO</v>
      </c>
      <c r="E9736" s="427"/>
      <c r="F9736" s="31">
        <f>IFERROR(VLOOKUP(E9736,BD!$L$2:$Q$244,2,0),0)</f>
        <v>0</v>
      </c>
      <c r="G9736" s="424"/>
      <c r="H9736" s="31">
        <f>+IFERROR(VLOOKUP(E9736,BD!$L$2:$Q$244,6,0),0)</f>
        <v>0</v>
      </c>
      <c r="I9736" s="626">
        <f>IFERROR(G9736*VLOOKUP($E9736,BD!$L$2:$Q$244,5,0),0)</f>
        <v>0</v>
      </c>
      <c r="J9736" s="3">
        <f t="shared" si="609"/>
        <v>1900</v>
      </c>
    </row>
    <row r="9737" spans="1:10" s="9" customFormat="1" x14ac:dyDescent="0.25">
      <c r="A9737" s="447"/>
      <c r="B9737" s="55" t="str">
        <f t="shared" si="606"/>
        <v>ENERO</v>
      </c>
      <c r="C9737" s="55">
        <f t="shared" si="607"/>
        <v>1</v>
      </c>
      <c r="D9737" s="3" t="str">
        <f t="shared" si="608"/>
        <v>SÁBADO</v>
      </c>
      <c r="E9737" s="427"/>
      <c r="F9737" s="31">
        <f>IFERROR(VLOOKUP(E9737,BD!$L$2:$Q$244,2,0),0)</f>
        <v>0</v>
      </c>
      <c r="G9737" s="424"/>
      <c r="H9737" s="31">
        <f>+IFERROR(VLOOKUP(E9737,BD!$L$2:$Q$244,6,0),0)</f>
        <v>0</v>
      </c>
      <c r="I9737" s="626">
        <f>IFERROR(G9737*VLOOKUP($E9737,BD!$L$2:$Q$244,5,0),0)</f>
        <v>0</v>
      </c>
      <c r="J9737" s="3">
        <f t="shared" si="609"/>
        <v>1900</v>
      </c>
    </row>
    <row r="9738" spans="1:10" s="9" customFormat="1" x14ac:dyDescent="0.25">
      <c r="A9738" s="447"/>
      <c r="B9738" s="55" t="str">
        <f t="shared" si="606"/>
        <v>ENERO</v>
      </c>
      <c r="C9738" s="55">
        <f t="shared" si="607"/>
        <v>1</v>
      </c>
      <c r="D9738" s="3" t="str">
        <f t="shared" si="608"/>
        <v>SÁBADO</v>
      </c>
      <c r="E9738" s="427"/>
      <c r="F9738" s="31">
        <f>IFERROR(VLOOKUP(E9738,BD!$L$2:$Q$244,2,0),0)</f>
        <v>0</v>
      </c>
      <c r="G9738" s="424"/>
      <c r="H9738" s="31">
        <f>+IFERROR(VLOOKUP(E9738,BD!$L$2:$Q$244,6,0),0)</f>
        <v>0</v>
      </c>
      <c r="I9738" s="626">
        <f>IFERROR(G9738*VLOOKUP($E9738,BD!$L$2:$Q$244,5,0),0)</f>
        <v>0</v>
      </c>
      <c r="J9738" s="3">
        <f t="shared" si="609"/>
        <v>1900</v>
      </c>
    </row>
    <row r="9739" spans="1:10" s="9" customFormat="1" x14ac:dyDescent="0.25">
      <c r="A9739" s="447"/>
      <c r="B9739" s="55" t="str">
        <f t="shared" si="606"/>
        <v>ENERO</v>
      </c>
      <c r="C9739" s="55">
        <f t="shared" si="607"/>
        <v>1</v>
      </c>
      <c r="D9739" s="3" t="str">
        <f t="shared" si="608"/>
        <v>SÁBADO</v>
      </c>
      <c r="E9739" s="427"/>
      <c r="F9739" s="31">
        <f>IFERROR(VLOOKUP(E9739,BD!$L$2:$Q$244,2,0),0)</f>
        <v>0</v>
      </c>
      <c r="G9739" s="424"/>
      <c r="H9739" s="31">
        <f>+IFERROR(VLOOKUP(E9739,BD!$L$2:$Q$244,6,0),0)</f>
        <v>0</v>
      </c>
      <c r="I9739" s="626">
        <f>IFERROR(G9739*VLOOKUP($E9739,BD!$L$2:$Q$244,5,0),0)</f>
        <v>0</v>
      </c>
      <c r="J9739" s="3">
        <f t="shared" si="609"/>
        <v>1900</v>
      </c>
    </row>
    <row r="9740" spans="1:10" s="9" customFormat="1" x14ac:dyDescent="0.25">
      <c r="A9740" s="447"/>
      <c r="B9740" s="55" t="str">
        <f t="shared" si="606"/>
        <v>ENERO</v>
      </c>
      <c r="C9740" s="55">
        <f t="shared" si="607"/>
        <v>1</v>
      </c>
      <c r="D9740" s="3" t="str">
        <f t="shared" si="608"/>
        <v>SÁBADO</v>
      </c>
      <c r="E9740" s="427"/>
      <c r="F9740" s="31">
        <f>IFERROR(VLOOKUP(E9740,BD!$L$2:$Q$244,2,0),0)</f>
        <v>0</v>
      </c>
      <c r="G9740" s="424"/>
      <c r="H9740" s="31">
        <f>+IFERROR(VLOOKUP(E9740,BD!$L$2:$Q$244,6,0),0)</f>
        <v>0</v>
      </c>
      <c r="I9740" s="626">
        <f>IFERROR(G9740*VLOOKUP($E9740,BD!$L$2:$Q$244,5,0),0)</f>
        <v>0</v>
      </c>
      <c r="J9740" s="3">
        <f t="shared" si="609"/>
        <v>1900</v>
      </c>
    </row>
    <row r="9741" spans="1:10" s="9" customFormat="1" x14ac:dyDescent="0.25">
      <c r="A9741" s="447"/>
      <c r="B9741" s="55" t="str">
        <f t="shared" si="606"/>
        <v>ENERO</v>
      </c>
      <c r="C9741" s="55">
        <f t="shared" si="607"/>
        <v>1</v>
      </c>
      <c r="D9741" s="3" t="str">
        <f t="shared" si="608"/>
        <v>SÁBADO</v>
      </c>
      <c r="E9741" s="427"/>
      <c r="F9741" s="31">
        <f>IFERROR(VLOOKUP(E9741,BD!$L$2:$Q$244,2,0),0)</f>
        <v>0</v>
      </c>
      <c r="G9741" s="424"/>
      <c r="H9741" s="31">
        <f>+IFERROR(VLOOKUP(E9741,BD!$L$2:$Q$244,6,0),0)</f>
        <v>0</v>
      </c>
      <c r="I9741" s="626">
        <f>IFERROR(G9741*VLOOKUP($E9741,BD!$L$2:$Q$244,5,0),0)</f>
        <v>0</v>
      </c>
      <c r="J9741" s="3">
        <f t="shared" si="609"/>
        <v>1900</v>
      </c>
    </row>
    <row r="9742" spans="1:10" s="9" customFormat="1" x14ac:dyDescent="0.25">
      <c r="A9742" s="447"/>
      <c r="B9742" s="55" t="str">
        <f t="shared" si="606"/>
        <v>ENERO</v>
      </c>
      <c r="C9742" s="55">
        <f t="shared" si="607"/>
        <v>1</v>
      </c>
      <c r="D9742" s="3" t="str">
        <f t="shared" si="608"/>
        <v>SÁBADO</v>
      </c>
      <c r="E9742" s="427"/>
      <c r="F9742" s="31">
        <f>IFERROR(VLOOKUP(E9742,BD!$L$2:$Q$244,2,0),0)</f>
        <v>0</v>
      </c>
      <c r="G9742" s="424"/>
      <c r="H9742" s="31">
        <f>+IFERROR(VLOOKUP(E9742,BD!$L$2:$Q$244,6,0),0)</f>
        <v>0</v>
      </c>
      <c r="I9742" s="626">
        <f>IFERROR(G9742*VLOOKUP($E9742,BD!$L$2:$Q$244,5,0),0)</f>
        <v>0</v>
      </c>
      <c r="J9742" s="3">
        <f t="shared" si="609"/>
        <v>1900</v>
      </c>
    </row>
    <row r="9743" spans="1:10" s="9" customFormat="1" x14ac:dyDescent="0.25">
      <c r="A9743" s="447"/>
      <c r="B9743" s="55" t="str">
        <f t="shared" si="606"/>
        <v>ENERO</v>
      </c>
      <c r="C9743" s="55">
        <f t="shared" si="607"/>
        <v>1</v>
      </c>
      <c r="D9743" s="3" t="str">
        <f t="shared" si="608"/>
        <v>SÁBADO</v>
      </c>
      <c r="E9743" s="427"/>
      <c r="F9743" s="31">
        <f>IFERROR(VLOOKUP(E9743,BD!$L$2:$Q$244,2,0),0)</f>
        <v>0</v>
      </c>
      <c r="G9743" s="424"/>
      <c r="H9743" s="31">
        <f>+IFERROR(VLOOKUP(E9743,BD!$L$2:$Q$244,6,0),0)</f>
        <v>0</v>
      </c>
      <c r="I9743" s="626">
        <f>IFERROR(G9743*VLOOKUP($E9743,BD!$L$2:$Q$244,5,0),0)</f>
        <v>0</v>
      </c>
      <c r="J9743" s="3">
        <f t="shared" si="609"/>
        <v>1900</v>
      </c>
    </row>
    <row r="9744" spans="1:10" s="9" customFormat="1" x14ac:dyDescent="0.25">
      <c r="A9744" s="447"/>
      <c r="B9744" s="55" t="str">
        <f t="shared" si="606"/>
        <v>ENERO</v>
      </c>
      <c r="C9744" s="55">
        <f t="shared" si="607"/>
        <v>1</v>
      </c>
      <c r="D9744" s="3" t="str">
        <f t="shared" si="608"/>
        <v>SÁBADO</v>
      </c>
      <c r="E9744" s="427"/>
      <c r="F9744" s="31">
        <f>IFERROR(VLOOKUP(E9744,BD!$L$2:$Q$244,2,0),0)</f>
        <v>0</v>
      </c>
      <c r="G9744" s="424"/>
      <c r="H9744" s="31">
        <f>+IFERROR(VLOOKUP(E9744,BD!$L$2:$Q$244,6,0),0)</f>
        <v>0</v>
      </c>
      <c r="I9744" s="626">
        <f>IFERROR(G9744*VLOOKUP($E9744,BD!$L$2:$Q$244,5,0),0)</f>
        <v>0</v>
      </c>
      <c r="J9744" s="3">
        <f t="shared" si="609"/>
        <v>1900</v>
      </c>
    </row>
    <row r="9745" spans="1:10" s="9" customFormat="1" x14ac:dyDescent="0.25">
      <c r="A9745" s="447"/>
      <c r="B9745" s="55" t="str">
        <f t="shared" si="606"/>
        <v>ENERO</v>
      </c>
      <c r="C9745" s="55">
        <f t="shared" si="607"/>
        <v>1</v>
      </c>
      <c r="D9745" s="3" t="str">
        <f t="shared" si="608"/>
        <v>SÁBADO</v>
      </c>
      <c r="E9745" s="427"/>
      <c r="F9745" s="31">
        <f>IFERROR(VLOOKUP(E9745,BD!$L$2:$Q$244,2,0),0)</f>
        <v>0</v>
      </c>
      <c r="G9745" s="424"/>
      <c r="H9745" s="31">
        <f>+IFERROR(VLOOKUP(E9745,BD!$L$2:$Q$244,6,0),0)</f>
        <v>0</v>
      </c>
      <c r="I9745" s="626">
        <f>IFERROR(G9745*VLOOKUP($E9745,BD!$L$2:$Q$244,5,0),0)</f>
        <v>0</v>
      </c>
      <c r="J9745" s="3">
        <f t="shared" si="609"/>
        <v>1900</v>
      </c>
    </row>
    <row r="9746" spans="1:10" s="9" customFormat="1" x14ac:dyDescent="0.25">
      <c r="A9746" s="447"/>
      <c r="B9746" s="55" t="str">
        <f t="shared" si="606"/>
        <v>ENERO</v>
      </c>
      <c r="C9746" s="55">
        <f t="shared" si="607"/>
        <v>1</v>
      </c>
      <c r="D9746" s="3" t="str">
        <f t="shared" si="608"/>
        <v>SÁBADO</v>
      </c>
      <c r="E9746" s="427"/>
      <c r="F9746" s="31">
        <f>IFERROR(VLOOKUP(E9746,BD!$L$2:$Q$244,2,0),0)</f>
        <v>0</v>
      </c>
      <c r="G9746" s="424"/>
      <c r="H9746" s="31">
        <f>+IFERROR(VLOOKUP(E9746,BD!$L$2:$Q$244,6,0),0)</f>
        <v>0</v>
      </c>
      <c r="I9746" s="626">
        <f>IFERROR(G9746*VLOOKUP($E9746,BD!$L$2:$Q$244,5,0),0)</f>
        <v>0</v>
      </c>
      <c r="J9746" s="3">
        <f t="shared" si="609"/>
        <v>1900</v>
      </c>
    </row>
    <row r="9747" spans="1:10" s="9" customFormat="1" x14ac:dyDescent="0.25">
      <c r="A9747" s="447"/>
      <c r="B9747" s="55" t="str">
        <f t="shared" si="606"/>
        <v>ENERO</v>
      </c>
      <c r="C9747" s="55">
        <f t="shared" si="607"/>
        <v>1</v>
      </c>
      <c r="D9747" s="3" t="str">
        <f t="shared" si="608"/>
        <v>SÁBADO</v>
      </c>
      <c r="E9747" s="427"/>
      <c r="F9747" s="31">
        <f>IFERROR(VLOOKUP(E9747,BD!$L$2:$Q$244,2,0),0)</f>
        <v>0</v>
      </c>
      <c r="G9747" s="424"/>
      <c r="H9747" s="31">
        <f>+IFERROR(VLOOKUP(E9747,BD!$L$2:$Q$244,6,0),0)</f>
        <v>0</v>
      </c>
      <c r="I9747" s="626">
        <f>IFERROR(G9747*VLOOKUP($E9747,BD!$L$2:$Q$244,5,0),0)</f>
        <v>0</v>
      </c>
      <c r="J9747" s="3">
        <f t="shared" si="609"/>
        <v>1900</v>
      </c>
    </row>
    <row r="9748" spans="1:10" s="9" customFormat="1" x14ac:dyDescent="0.25">
      <c r="A9748" s="447"/>
      <c r="B9748" s="55" t="str">
        <f t="shared" si="606"/>
        <v>ENERO</v>
      </c>
      <c r="C9748" s="55">
        <f t="shared" si="607"/>
        <v>1</v>
      </c>
      <c r="D9748" s="3" t="str">
        <f t="shared" si="608"/>
        <v>SÁBADO</v>
      </c>
      <c r="E9748" s="427"/>
      <c r="F9748" s="31">
        <f>IFERROR(VLOOKUP(E9748,BD!$L$2:$Q$244,2,0),0)</f>
        <v>0</v>
      </c>
      <c r="G9748" s="424"/>
      <c r="H9748" s="31">
        <f>+IFERROR(VLOOKUP(E9748,BD!$L$2:$Q$244,6,0),0)</f>
        <v>0</v>
      </c>
      <c r="I9748" s="626">
        <f>IFERROR(G9748*VLOOKUP($E9748,BD!$L$2:$Q$244,5,0),0)</f>
        <v>0</v>
      </c>
      <c r="J9748" s="3">
        <f t="shared" si="609"/>
        <v>1900</v>
      </c>
    </row>
    <row r="9749" spans="1:10" s="9" customFormat="1" x14ac:dyDescent="0.25">
      <c r="A9749" s="447"/>
      <c r="B9749" s="55" t="str">
        <f t="shared" si="606"/>
        <v>ENERO</v>
      </c>
      <c r="C9749" s="55">
        <f t="shared" si="607"/>
        <v>1</v>
      </c>
      <c r="D9749" s="3" t="str">
        <f t="shared" si="608"/>
        <v>SÁBADO</v>
      </c>
      <c r="E9749" s="427"/>
      <c r="F9749" s="31">
        <f>IFERROR(VLOOKUP(E9749,BD!$L$2:$Q$244,2,0),0)</f>
        <v>0</v>
      </c>
      <c r="G9749" s="424"/>
      <c r="H9749" s="31">
        <f>+IFERROR(VLOOKUP(E9749,BD!$L$2:$Q$244,6,0),0)</f>
        <v>0</v>
      </c>
      <c r="I9749" s="626">
        <f>IFERROR(G9749*VLOOKUP($E9749,BD!$L$2:$Q$244,5,0),0)</f>
        <v>0</v>
      </c>
      <c r="J9749" s="3">
        <f t="shared" si="609"/>
        <v>1900</v>
      </c>
    </row>
    <row r="9750" spans="1:10" s="9" customFormat="1" x14ac:dyDescent="0.25">
      <c r="A9750" s="447"/>
      <c r="B9750" s="55" t="str">
        <f t="shared" si="606"/>
        <v>ENERO</v>
      </c>
      <c r="C9750" s="55">
        <f t="shared" si="607"/>
        <v>1</v>
      </c>
      <c r="D9750" s="3" t="str">
        <f t="shared" si="608"/>
        <v>SÁBADO</v>
      </c>
      <c r="E9750" s="427"/>
      <c r="F9750" s="31">
        <f>IFERROR(VLOOKUP(E9750,BD!$L$2:$Q$244,2,0),0)</f>
        <v>0</v>
      </c>
      <c r="G9750" s="424"/>
      <c r="H9750" s="31">
        <f>+IFERROR(VLOOKUP(E9750,BD!$L$2:$Q$244,6,0),0)</f>
        <v>0</v>
      </c>
      <c r="I9750" s="626">
        <f>IFERROR(G9750*VLOOKUP($E9750,BD!$L$2:$Q$244,5,0),0)</f>
        <v>0</v>
      </c>
      <c r="J9750" s="3">
        <f t="shared" si="609"/>
        <v>1900</v>
      </c>
    </row>
    <row r="9751" spans="1:10" s="9" customFormat="1" x14ac:dyDescent="0.25">
      <c r="A9751" s="447"/>
      <c r="B9751" s="55" t="str">
        <f t="shared" si="606"/>
        <v>ENERO</v>
      </c>
      <c r="C9751" s="55">
        <f t="shared" si="607"/>
        <v>1</v>
      </c>
      <c r="D9751" s="3" t="str">
        <f t="shared" si="608"/>
        <v>SÁBADO</v>
      </c>
      <c r="E9751" s="427"/>
      <c r="F9751" s="31">
        <f>IFERROR(VLOOKUP(E9751,BD!$L$2:$Q$244,2,0),0)</f>
        <v>0</v>
      </c>
      <c r="G9751" s="424"/>
      <c r="H9751" s="31">
        <f>+IFERROR(VLOOKUP(E9751,BD!$L$2:$Q$244,6,0),0)</f>
        <v>0</v>
      </c>
      <c r="I9751" s="626">
        <f>IFERROR(G9751*VLOOKUP($E9751,BD!$L$2:$Q$244,5,0),0)</f>
        <v>0</v>
      </c>
      <c r="J9751" s="3">
        <f t="shared" si="609"/>
        <v>1900</v>
      </c>
    </row>
    <row r="9752" spans="1:10" s="9" customFormat="1" x14ac:dyDescent="0.25">
      <c r="A9752" s="447"/>
      <c r="B9752" s="55" t="str">
        <f t="shared" si="606"/>
        <v>ENERO</v>
      </c>
      <c r="C9752" s="55">
        <f t="shared" si="607"/>
        <v>1</v>
      </c>
      <c r="D9752" s="3" t="str">
        <f t="shared" si="608"/>
        <v>SÁBADO</v>
      </c>
      <c r="E9752" s="427"/>
      <c r="F9752" s="31">
        <f>IFERROR(VLOOKUP(E9752,BD!$L$2:$Q$244,2,0),0)</f>
        <v>0</v>
      </c>
      <c r="G9752" s="424"/>
      <c r="H9752" s="31">
        <f>+IFERROR(VLOOKUP(E9752,BD!$L$2:$Q$244,6,0),0)</f>
        <v>0</v>
      </c>
      <c r="I9752" s="626">
        <f>IFERROR(G9752*VLOOKUP($E9752,BD!$L$2:$Q$244,5,0),0)</f>
        <v>0</v>
      </c>
      <c r="J9752" s="3">
        <f t="shared" si="609"/>
        <v>1900</v>
      </c>
    </row>
    <row r="9753" spans="1:10" s="9" customFormat="1" x14ac:dyDescent="0.25">
      <c r="A9753" s="447"/>
      <c r="B9753" s="55" t="str">
        <f t="shared" si="606"/>
        <v>ENERO</v>
      </c>
      <c r="C9753" s="55">
        <f t="shared" si="607"/>
        <v>1</v>
      </c>
      <c r="D9753" s="3" t="str">
        <f t="shared" si="608"/>
        <v>SÁBADO</v>
      </c>
      <c r="E9753" s="427"/>
      <c r="F9753" s="31">
        <f>IFERROR(VLOOKUP(E9753,BD!$L$2:$Q$244,2,0),0)</f>
        <v>0</v>
      </c>
      <c r="G9753" s="424"/>
      <c r="H9753" s="31">
        <f>+IFERROR(VLOOKUP(E9753,BD!$L$2:$Q$244,6,0),0)</f>
        <v>0</v>
      </c>
      <c r="I9753" s="626">
        <f>IFERROR(G9753*VLOOKUP($E9753,BD!$L$2:$Q$244,5,0),0)</f>
        <v>0</v>
      </c>
      <c r="J9753" s="3">
        <f t="shared" si="609"/>
        <v>1900</v>
      </c>
    </row>
    <row r="9754" spans="1:10" s="9" customFormat="1" x14ac:dyDescent="0.25">
      <c r="A9754" s="447"/>
      <c r="B9754" s="55" t="str">
        <f t="shared" si="606"/>
        <v>ENERO</v>
      </c>
      <c r="C9754" s="55">
        <f t="shared" si="607"/>
        <v>1</v>
      </c>
      <c r="D9754" s="3" t="str">
        <f t="shared" si="608"/>
        <v>SÁBADO</v>
      </c>
      <c r="E9754" s="427"/>
      <c r="F9754" s="31">
        <f>IFERROR(VLOOKUP(E9754,BD!$L$2:$Q$244,2,0),0)</f>
        <v>0</v>
      </c>
      <c r="G9754" s="424"/>
      <c r="H9754" s="31">
        <f>+IFERROR(VLOOKUP(E9754,BD!$L$2:$Q$244,6,0),0)</f>
        <v>0</v>
      </c>
      <c r="I9754" s="626">
        <f>IFERROR(G9754*VLOOKUP($E9754,BD!$L$2:$Q$244,5,0),0)</f>
        <v>0</v>
      </c>
      <c r="J9754" s="3">
        <f t="shared" si="609"/>
        <v>1900</v>
      </c>
    </row>
    <row r="9755" spans="1:10" s="9" customFormat="1" x14ac:dyDescent="0.25">
      <c r="A9755" s="447"/>
      <c r="B9755" s="55" t="str">
        <f t="shared" si="606"/>
        <v>ENERO</v>
      </c>
      <c r="C9755" s="55">
        <f t="shared" si="607"/>
        <v>1</v>
      </c>
      <c r="D9755" s="3" t="str">
        <f t="shared" si="608"/>
        <v>SÁBADO</v>
      </c>
      <c r="E9755" s="427"/>
      <c r="F9755" s="31">
        <f>IFERROR(VLOOKUP(E9755,BD!$L$2:$Q$244,2,0),0)</f>
        <v>0</v>
      </c>
      <c r="G9755" s="424"/>
      <c r="H9755" s="31">
        <f>+IFERROR(VLOOKUP(E9755,BD!$L$2:$Q$244,6,0),0)</f>
        <v>0</v>
      </c>
      <c r="I9755" s="626">
        <f>IFERROR(G9755*VLOOKUP($E9755,BD!$L$2:$Q$244,5,0),0)</f>
        <v>0</v>
      </c>
      <c r="J9755" s="3">
        <f t="shared" si="609"/>
        <v>1900</v>
      </c>
    </row>
    <row r="9756" spans="1:10" s="9" customFormat="1" x14ac:dyDescent="0.25">
      <c r="A9756" s="447"/>
      <c r="B9756" s="55" t="str">
        <f t="shared" si="606"/>
        <v>ENERO</v>
      </c>
      <c r="C9756" s="55">
        <f t="shared" si="607"/>
        <v>1</v>
      </c>
      <c r="D9756" s="3" t="str">
        <f t="shared" si="608"/>
        <v>SÁBADO</v>
      </c>
      <c r="E9756" s="427"/>
      <c r="F9756" s="31">
        <f>IFERROR(VLOOKUP(E9756,BD!$L$2:$Q$244,2,0),0)</f>
        <v>0</v>
      </c>
      <c r="G9756" s="424"/>
      <c r="H9756" s="31">
        <f>+IFERROR(VLOOKUP(E9756,BD!$L$2:$Q$244,6,0),0)</f>
        <v>0</v>
      </c>
      <c r="I9756" s="626">
        <f>IFERROR(G9756*VLOOKUP($E9756,BD!$L$2:$Q$244,5,0),0)</f>
        <v>0</v>
      </c>
      <c r="J9756" s="3">
        <f t="shared" si="609"/>
        <v>1900</v>
      </c>
    </row>
    <row r="9757" spans="1:10" s="9" customFormat="1" x14ac:dyDescent="0.25">
      <c r="A9757" s="447"/>
      <c r="B9757" s="55" t="str">
        <f t="shared" si="606"/>
        <v>ENERO</v>
      </c>
      <c r="C9757" s="55">
        <f t="shared" si="607"/>
        <v>1</v>
      </c>
      <c r="D9757" s="3" t="str">
        <f t="shared" si="608"/>
        <v>SÁBADO</v>
      </c>
      <c r="E9757" s="427"/>
      <c r="F9757" s="31">
        <f>IFERROR(VLOOKUP(E9757,BD!$L$2:$Q$244,2,0),0)</f>
        <v>0</v>
      </c>
      <c r="G9757" s="424"/>
      <c r="H9757" s="31">
        <f>+IFERROR(VLOOKUP(E9757,BD!$L$2:$Q$244,6,0),0)</f>
        <v>0</v>
      </c>
      <c r="I9757" s="626">
        <f>IFERROR(G9757*VLOOKUP($E9757,BD!$L$2:$Q$244,5,0),0)</f>
        <v>0</v>
      </c>
      <c r="J9757" s="3">
        <f t="shared" si="609"/>
        <v>1900</v>
      </c>
    </row>
    <row r="9758" spans="1:10" s="9" customFormat="1" x14ac:dyDescent="0.25">
      <c r="A9758" s="447"/>
      <c r="B9758" s="55" t="str">
        <f t="shared" si="606"/>
        <v>ENERO</v>
      </c>
      <c r="C9758" s="55">
        <f t="shared" si="607"/>
        <v>1</v>
      </c>
      <c r="D9758" s="3" t="str">
        <f t="shared" si="608"/>
        <v>SÁBADO</v>
      </c>
      <c r="E9758" s="427"/>
      <c r="F9758" s="31">
        <f>IFERROR(VLOOKUP(E9758,BD!$L$2:$Q$244,2,0),0)</f>
        <v>0</v>
      </c>
      <c r="G9758" s="424"/>
      <c r="H9758" s="31">
        <f>+IFERROR(VLOOKUP(E9758,BD!$L$2:$Q$244,6,0),0)</f>
        <v>0</v>
      </c>
      <c r="I9758" s="626">
        <f>IFERROR(G9758*VLOOKUP($E9758,BD!$L$2:$Q$244,5,0),0)</f>
        <v>0</v>
      </c>
      <c r="J9758" s="3">
        <f t="shared" si="609"/>
        <v>1900</v>
      </c>
    </row>
    <row r="9759" spans="1:10" s="9" customFormat="1" x14ac:dyDescent="0.25">
      <c r="A9759" s="447"/>
      <c r="B9759" s="55" t="str">
        <f t="shared" si="606"/>
        <v>ENERO</v>
      </c>
      <c r="C9759" s="55">
        <f t="shared" si="607"/>
        <v>1</v>
      </c>
      <c r="D9759" s="3" t="str">
        <f t="shared" si="608"/>
        <v>SÁBADO</v>
      </c>
      <c r="E9759" s="427"/>
      <c r="F9759" s="31">
        <f>IFERROR(VLOOKUP(E9759,BD!$L$2:$Q$244,2,0),0)</f>
        <v>0</v>
      </c>
      <c r="G9759" s="424"/>
      <c r="H9759" s="31">
        <f>+IFERROR(VLOOKUP(E9759,BD!$L$2:$Q$244,6,0),0)</f>
        <v>0</v>
      </c>
      <c r="I9759" s="626">
        <f>IFERROR(G9759*VLOOKUP($E9759,BD!$L$2:$Q$244,5,0),0)</f>
        <v>0</v>
      </c>
      <c r="J9759" s="3">
        <f t="shared" si="609"/>
        <v>1900</v>
      </c>
    </row>
    <row r="9760" spans="1:10" s="9" customFormat="1" x14ac:dyDescent="0.25">
      <c r="A9760" s="447"/>
      <c r="B9760" s="55" t="str">
        <f t="shared" si="606"/>
        <v>ENERO</v>
      </c>
      <c r="C9760" s="55">
        <f t="shared" si="607"/>
        <v>1</v>
      </c>
      <c r="D9760" s="3" t="str">
        <f t="shared" si="608"/>
        <v>SÁBADO</v>
      </c>
      <c r="E9760" s="427"/>
      <c r="F9760" s="31">
        <f>IFERROR(VLOOKUP(E9760,BD!$L$2:$Q$244,2,0),0)</f>
        <v>0</v>
      </c>
      <c r="G9760" s="424"/>
      <c r="H9760" s="31">
        <f>+IFERROR(VLOOKUP(E9760,BD!$L$2:$Q$244,6,0),0)</f>
        <v>0</v>
      </c>
      <c r="I9760" s="626">
        <f>IFERROR(G9760*VLOOKUP($E9760,BD!$L$2:$Q$244,5,0),0)</f>
        <v>0</v>
      </c>
      <c r="J9760" s="3">
        <f t="shared" si="609"/>
        <v>1900</v>
      </c>
    </row>
    <row r="9761" spans="1:10" s="9" customFormat="1" x14ac:dyDescent="0.25">
      <c r="A9761" s="447"/>
      <c r="B9761" s="55" t="str">
        <f t="shared" si="606"/>
        <v>ENERO</v>
      </c>
      <c r="C9761" s="55">
        <f t="shared" si="607"/>
        <v>1</v>
      </c>
      <c r="D9761" s="3" t="str">
        <f t="shared" si="608"/>
        <v>SÁBADO</v>
      </c>
      <c r="E9761" s="427"/>
      <c r="F9761" s="31">
        <f>IFERROR(VLOOKUP(E9761,BD!$L$2:$Q$244,2,0),0)</f>
        <v>0</v>
      </c>
      <c r="G9761" s="424"/>
      <c r="H9761" s="31">
        <f>+IFERROR(VLOOKUP(E9761,BD!$L$2:$Q$244,6,0),0)</f>
        <v>0</v>
      </c>
      <c r="I9761" s="626">
        <f>IFERROR(G9761*VLOOKUP($E9761,BD!$L$2:$Q$244,5,0),0)</f>
        <v>0</v>
      </c>
      <c r="J9761" s="3">
        <f t="shared" si="609"/>
        <v>1900</v>
      </c>
    </row>
    <row r="9762" spans="1:10" s="9" customFormat="1" x14ac:dyDescent="0.25">
      <c r="A9762" s="447"/>
      <c r="B9762" s="55" t="str">
        <f t="shared" si="606"/>
        <v>ENERO</v>
      </c>
      <c r="C9762" s="55">
        <f t="shared" si="607"/>
        <v>1</v>
      </c>
      <c r="D9762" s="3" t="str">
        <f t="shared" si="608"/>
        <v>SÁBADO</v>
      </c>
      <c r="E9762" s="427"/>
      <c r="F9762" s="31">
        <f>IFERROR(VLOOKUP(E9762,BD!$L$2:$Q$244,2,0),0)</f>
        <v>0</v>
      </c>
      <c r="G9762" s="424"/>
      <c r="H9762" s="31">
        <f>+IFERROR(VLOOKUP(E9762,BD!$L$2:$Q$244,6,0),0)</f>
        <v>0</v>
      </c>
      <c r="I9762" s="626">
        <f>IFERROR(G9762*VLOOKUP($E9762,BD!$L$2:$Q$244,5,0),0)</f>
        <v>0</v>
      </c>
      <c r="J9762" s="3">
        <f t="shared" si="609"/>
        <v>1900</v>
      </c>
    </row>
    <row r="9763" spans="1:10" s="9" customFormat="1" x14ac:dyDescent="0.25">
      <c r="A9763" s="447"/>
      <c r="B9763" s="55" t="str">
        <f t="shared" si="606"/>
        <v>ENERO</v>
      </c>
      <c r="C9763" s="55">
        <f t="shared" si="607"/>
        <v>1</v>
      </c>
      <c r="D9763" s="3" t="str">
        <f t="shared" si="608"/>
        <v>SÁBADO</v>
      </c>
      <c r="E9763" s="427"/>
      <c r="F9763" s="31">
        <f>IFERROR(VLOOKUP(E9763,BD!$L$2:$Q$244,2,0),0)</f>
        <v>0</v>
      </c>
      <c r="G9763" s="424"/>
      <c r="H9763" s="31">
        <f>+IFERROR(VLOOKUP(E9763,BD!$L$2:$Q$244,6,0),0)</f>
        <v>0</v>
      </c>
      <c r="I9763" s="626">
        <f>IFERROR(G9763*VLOOKUP($E9763,BD!$L$2:$Q$244,5,0),0)</f>
        <v>0</v>
      </c>
      <c r="J9763" s="3">
        <f t="shared" si="609"/>
        <v>1900</v>
      </c>
    </row>
    <row r="9764" spans="1:10" s="9" customFormat="1" x14ac:dyDescent="0.25">
      <c r="A9764" s="447"/>
      <c r="B9764" s="55" t="str">
        <f t="shared" si="606"/>
        <v>ENERO</v>
      </c>
      <c r="C9764" s="55">
        <f t="shared" si="607"/>
        <v>1</v>
      </c>
      <c r="D9764" s="3" t="str">
        <f t="shared" si="608"/>
        <v>SÁBADO</v>
      </c>
      <c r="E9764" s="427"/>
      <c r="F9764" s="31">
        <f>IFERROR(VLOOKUP(E9764,BD!$L$2:$Q$244,2,0),0)</f>
        <v>0</v>
      </c>
      <c r="G9764" s="424"/>
      <c r="H9764" s="31">
        <f>+IFERROR(VLOOKUP(E9764,BD!$L$2:$Q$244,6,0),0)</f>
        <v>0</v>
      </c>
      <c r="I9764" s="626">
        <f>IFERROR(G9764*VLOOKUP($E9764,BD!$L$2:$Q$244,5,0),0)</f>
        <v>0</v>
      </c>
      <c r="J9764" s="3">
        <f t="shared" si="609"/>
        <v>1900</v>
      </c>
    </row>
    <row r="9765" spans="1:10" s="9" customFormat="1" x14ac:dyDescent="0.25">
      <c r="A9765" s="447"/>
      <c r="B9765" s="55" t="str">
        <f t="shared" si="606"/>
        <v>ENERO</v>
      </c>
      <c r="C9765" s="55">
        <f t="shared" si="607"/>
        <v>1</v>
      </c>
      <c r="D9765" s="3" t="str">
        <f t="shared" si="608"/>
        <v>SÁBADO</v>
      </c>
      <c r="E9765" s="427"/>
      <c r="F9765" s="31">
        <f>IFERROR(VLOOKUP(E9765,BD!$L$2:$Q$244,2,0),0)</f>
        <v>0</v>
      </c>
      <c r="G9765" s="424"/>
      <c r="H9765" s="31">
        <f>+IFERROR(VLOOKUP(E9765,BD!$L$2:$Q$244,6,0),0)</f>
        <v>0</v>
      </c>
      <c r="I9765" s="626">
        <f>IFERROR(G9765*VLOOKUP($E9765,BD!$L$2:$Q$244,5,0),0)</f>
        <v>0</v>
      </c>
      <c r="J9765" s="3">
        <f t="shared" si="609"/>
        <v>1900</v>
      </c>
    </row>
    <row r="9766" spans="1:10" s="9" customFormat="1" x14ac:dyDescent="0.25">
      <c r="A9766" s="447"/>
      <c r="B9766" s="55" t="str">
        <f t="shared" si="606"/>
        <v>ENERO</v>
      </c>
      <c r="C9766" s="55">
        <f t="shared" si="607"/>
        <v>1</v>
      </c>
      <c r="D9766" s="3" t="str">
        <f t="shared" si="608"/>
        <v>SÁBADO</v>
      </c>
      <c r="E9766" s="427"/>
      <c r="F9766" s="31">
        <f>IFERROR(VLOOKUP(E9766,BD!$L$2:$Q$244,2,0),0)</f>
        <v>0</v>
      </c>
      <c r="G9766" s="424"/>
      <c r="H9766" s="31">
        <f>+IFERROR(VLOOKUP(E9766,BD!$L$2:$Q$244,6,0),0)</f>
        <v>0</v>
      </c>
      <c r="I9766" s="626">
        <f>IFERROR(G9766*VLOOKUP($E9766,BD!$L$2:$Q$244,5,0),0)</f>
        <v>0</v>
      </c>
      <c r="J9766" s="3">
        <f t="shared" si="609"/>
        <v>1900</v>
      </c>
    </row>
    <row r="9767" spans="1:10" s="9" customFormat="1" x14ac:dyDescent="0.25">
      <c r="A9767" s="447"/>
      <c r="B9767" s="55" t="str">
        <f t="shared" si="606"/>
        <v>ENERO</v>
      </c>
      <c r="C9767" s="55">
        <f t="shared" si="607"/>
        <v>1</v>
      </c>
      <c r="D9767" s="3" t="str">
        <f t="shared" si="608"/>
        <v>SÁBADO</v>
      </c>
      <c r="E9767" s="427"/>
      <c r="F9767" s="31">
        <f>IFERROR(VLOOKUP(E9767,BD!$L$2:$Q$244,2,0),0)</f>
        <v>0</v>
      </c>
      <c r="G9767" s="424"/>
      <c r="H9767" s="31">
        <f>+IFERROR(VLOOKUP(E9767,BD!$L$2:$Q$244,6,0),0)</f>
        <v>0</v>
      </c>
      <c r="I9767" s="626">
        <f>IFERROR(G9767*VLOOKUP($E9767,BD!$L$2:$Q$244,5,0),0)</f>
        <v>0</v>
      </c>
      <c r="J9767" s="3">
        <f t="shared" si="609"/>
        <v>1900</v>
      </c>
    </row>
    <row r="9768" spans="1:10" s="9" customFormat="1" x14ac:dyDescent="0.25">
      <c r="A9768" s="447"/>
      <c r="B9768" s="55" t="str">
        <f t="shared" si="606"/>
        <v>ENERO</v>
      </c>
      <c r="C9768" s="55">
        <f t="shared" si="607"/>
        <v>1</v>
      </c>
      <c r="D9768" s="3" t="str">
        <f t="shared" si="608"/>
        <v>SÁBADO</v>
      </c>
      <c r="E9768" s="427"/>
      <c r="F9768" s="31">
        <f>IFERROR(VLOOKUP(E9768,BD!$L$2:$Q$244,2,0),0)</f>
        <v>0</v>
      </c>
      <c r="G9768" s="424"/>
      <c r="H9768" s="31">
        <f>+IFERROR(VLOOKUP(E9768,BD!$L$2:$Q$244,6,0),0)</f>
        <v>0</v>
      </c>
      <c r="I9768" s="626">
        <f>IFERROR(G9768*VLOOKUP($E9768,BD!$L$2:$Q$244,5,0),0)</f>
        <v>0</v>
      </c>
      <c r="J9768" s="3">
        <f t="shared" si="609"/>
        <v>1900</v>
      </c>
    </row>
    <row r="9769" spans="1:10" s="9" customFormat="1" x14ac:dyDescent="0.25">
      <c r="A9769" s="447"/>
      <c r="B9769" s="55" t="str">
        <f t="shared" si="606"/>
        <v>ENERO</v>
      </c>
      <c r="C9769" s="55">
        <f t="shared" si="607"/>
        <v>1</v>
      </c>
      <c r="D9769" s="3" t="str">
        <f t="shared" si="608"/>
        <v>SÁBADO</v>
      </c>
      <c r="E9769" s="427"/>
      <c r="F9769" s="31">
        <f>IFERROR(VLOOKUP(E9769,BD!$L$2:$Q$244,2,0),0)</f>
        <v>0</v>
      </c>
      <c r="G9769" s="424"/>
      <c r="H9769" s="31">
        <f>+IFERROR(VLOOKUP(E9769,BD!$L$2:$Q$244,6,0),0)</f>
        <v>0</v>
      </c>
      <c r="I9769" s="626">
        <f>IFERROR(G9769*VLOOKUP($E9769,BD!$L$2:$Q$244,5,0),0)</f>
        <v>0</v>
      </c>
      <c r="J9769" s="3">
        <f t="shared" si="609"/>
        <v>1900</v>
      </c>
    </row>
    <row r="9770" spans="1:10" s="9" customFormat="1" x14ac:dyDescent="0.25">
      <c r="A9770" s="447"/>
      <c r="B9770" s="55" t="str">
        <f t="shared" si="606"/>
        <v>ENERO</v>
      </c>
      <c r="C9770" s="55">
        <f t="shared" si="607"/>
        <v>1</v>
      </c>
      <c r="D9770" s="3" t="str">
        <f t="shared" si="608"/>
        <v>SÁBADO</v>
      </c>
      <c r="E9770" s="427"/>
      <c r="F9770" s="31">
        <f>IFERROR(VLOOKUP(E9770,BD!$L$2:$Q$244,2,0),0)</f>
        <v>0</v>
      </c>
      <c r="G9770" s="424"/>
      <c r="H9770" s="31">
        <f>+IFERROR(VLOOKUP(E9770,BD!$L$2:$Q$244,6,0),0)</f>
        <v>0</v>
      </c>
      <c r="I9770" s="626">
        <f>IFERROR(G9770*VLOOKUP($E9770,BD!$L$2:$Q$244,5,0),0)</f>
        <v>0</v>
      </c>
      <c r="J9770" s="3">
        <f t="shared" si="609"/>
        <v>1900</v>
      </c>
    </row>
    <row r="9771" spans="1:10" s="9" customFormat="1" x14ac:dyDescent="0.25">
      <c r="A9771" s="447"/>
      <c r="B9771" s="55" t="str">
        <f t="shared" si="606"/>
        <v>ENERO</v>
      </c>
      <c r="C9771" s="55">
        <f t="shared" si="607"/>
        <v>1</v>
      </c>
      <c r="D9771" s="3" t="str">
        <f t="shared" si="608"/>
        <v>SÁBADO</v>
      </c>
      <c r="E9771" s="427"/>
      <c r="F9771" s="31">
        <f>IFERROR(VLOOKUP(E9771,BD!$L$2:$Q$244,2,0),0)</f>
        <v>0</v>
      </c>
      <c r="G9771" s="424"/>
      <c r="H9771" s="31">
        <f>+IFERROR(VLOOKUP(E9771,BD!$L$2:$Q$244,6,0),0)</f>
        <v>0</v>
      </c>
      <c r="I9771" s="626">
        <f>IFERROR(G9771*VLOOKUP($E9771,BD!$L$2:$Q$244,5,0),0)</f>
        <v>0</v>
      </c>
      <c r="J9771" s="3">
        <f t="shared" si="609"/>
        <v>1900</v>
      </c>
    </row>
    <row r="9772" spans="1:10" s="9" customFormat="1" x14ac:dyDescent="0.25">
      <c r="A9772" s="447"/>
      <c r="B9772" s="55" t="str">
        <f t="shared" si="606"/>
        <v>ENERO</v>
      </c>
      <c r="C9772" s="55">
        <f t="shared" si="607"/>
        <v>1</v>
      </c>
      <c r="D9772" s="3" t="str">
        <f t="shared" si="608"/>
        <v>SÁBADO</v>
      </c>
      <c r="E9772" s="427"/>
      <c r="F9772" s="31">
        <f>IFERROR(VLOOKUP(E9772,BD!$L$2:$Q$244,2,0),0)</f>
        <v>0</v>
      </c>
      <c r="G9772" s="424"/>
      <c r="H9772" s="31">
        <f>+IFERROR(VLOOKUP(E9772,BD!$L$2:$Q$244,6,0),0)</f>
        <v>0</v>
      </c>
      <c r="I9772" s="626">
        <f>IFERROR(G9772*VLOOKUP($E9772,BD!$L$2:$Q$244,5,0),0)</f>
        <v>0</v>
      </c>
      <c r="J9772" s="3">
        <f t="shared" si="609"/>
        <v>1900</v>
      </c>
    </row>
    <row r="9773" spans="1:10" s="9" customFormat="1" x14ac:dyDescent="0.25">
      <c r="A9773" s="447"/>
      <c r="B9773" s="55" t="str">
        <f t="shared" si="606"/>
        <v>ENERO</v>
      </c>
      <c r="C9773" s="55">
        <f t="shared" si="607"/>
        <v>1</v>
      </c>
      <c r="D9773" s="3" t="str">
        <f t="shared" si="608"/>
        <v>SÁBADO</v>
      </c>
      <c r="E9773" s="427"/>
      <c r="F9773" s="31">
        <f>IFERROR(VLOOKUP(E9773,BD!$L$2:$Q$244,2,0),0)</f>
        <v>0</v>
      </c>
      <c r="G9773" s="424"/>
      <c r="H9773" s="31">
        <f>+IFERROR(VLOOKUP(E9773,BD!$L$2:$Q$244,6,0),0)</f>
        <v>0</v>
      </c>
      <c r="I9773" s="626">
        <f>IFERROR(G9773*VLOOKUP($E9773,BD!$L$2:$Q$244,5,0),0)</f>
        <v>0</v>
      </c>
      <c r="J9773" s="3">
        <f t="shared" si="609"/>
        <v>1900</v>
      </c>
    </row>
    <row r="9774" spans="1:10" s="9" customFormat="1" x14ac:dyDescent="0.25">
      <c r="A9774" s="447"/>
      <c r="B9774" s="55" t="str">
        <f t="shared" si="606"/>
        <v>ENERO</v>
      </c>
      <c r="C9774" s="55">
        <f t="shared" si="607"/>
        <v>1</v>
      </c>
      <c r="D9774" s="3" t="str">
        <f t="shared" si="608"/>
        <v>SÁBADO</v>
      </c>
      <c r="E9774" s="427"/>
      <c r="F9774" s="31">
        <f>IFERROR(VLOOKUP(E9774,BD!$L$2:$Q$244,2,0),0)</f>
        <v>0</v>
      </c>
      <c r="G9774" s="424"/>
      <c r="H9774" s="31">
        <f>+IFERROR(VLOOKUP(E9774,BD!$L$2:$Q$244,6,0),0)</f>
        <v>0</v>
      </c>
      <c r="I9774" s="626">
        <f>IFERROR(G9774*VLOOKUP($E9774,BD!$L$2:$Q$244,5,0),0)</f>
        <v>0</v>
      </c>
      <c r="J9774" s="3">
        <f t="shared" si="609"/>
        <v>1900</v>
      </c>
    </row>
    <row r="9775" spans="1:10" s="9" customFormat="1" x14ac:dyDescent="0.25">
      <c r="A9775" s="447"/>
      <c r="B9775" s="55" t="str">
        <f t="shared" si="606"/>
        <v>ENERO</v>
      </c>
      <c r="C9775" s="55">
        <f t="shared" si="607"/>
        <v>1</v>
      </c>
      <c r="D9775" s="3" t="str">
        <f t="shared" si="608"/>
        <v>SÁBADO</v>
      </c>
      <c r="E9775" s="427"/>
      <c r="F9775" s="31">
        <f>IFERROR(VLOOKUP(E9775,BD!$L$2:$Q$244,2,0),0)</f>
        <v>0</v>
      </c>
      <c r="G9775" s="424"/>
      <c r="H9775" s="31">
        <f>+IFERROR(VLOOKUP(E9775,BD!$L$2:$Q$244,6,0),0)</f>
        <v>0</v>
      </c>
      <c r="I9775" s="626">
        <f>IFERROR(G9775*VLOOKUP($E9775,BD!$L$2:$Q$244,5,0),0)</f>
        <v>0</v>
      </c>
      <c r="J9775" s="3">
        <f t="shared" si="609"/>
        <v>1900</v>
      </c>
    </row>
    <row r="9776" spans="1:10" s="9" customFormat="1" x14ac:dyDescent="0.25">
      <c r="A9776" s="447"/>
      <c r="B9776" s="55" t="str">
        <f t="shared" si="606"/>
        <v>ENERO</v>
      </c>
      <c r="C9776" s="55">
        <f t="shared" si="607"/>
        <v>1</v>
      </c>
      <c r="D9776" s="3" t="str">
        <f t="shared" si="608"/>
        <v>SÁBADO</v>
      </c>
      <c r="E9776" s="427"/>
      <c r="F9776" s="31">
        <f>IFERROR(VLOOKUP(E9776,BD!$L$2:$Q$244,2,0),0)</f>
        <v>0</v>
      </c>
      <c r="G9776" s="424"/>
      <c r="H9776" s="31">
        <f>+IFERROR(VLOOKUP(E9776,BD!$L$2:$Q$244,6,0),0)</f>
        <v>0</v>
      </c>
      <c r="I9776" s="626">
        <f>IFERROR(G9776*VLOOKUP($E9776,BD!$L$2:$Q$244,5,0),0)</f>
        <v>0</v>
      </c>
      <c r="J9776" s="3">
        <f t="shared" si="609"/>
        <v>1900</v>
      </c>
    </row>
    <row r="9777" spans="1:10" s="9" customFormat="1" x14ac:dyDescent="0.25">
      <c r="A9777" s="447"/>
      <c r="B9777" s="55" t="str">
        <f t="shared" si="606"/>
        <v>ENERO</v>
      </c>
      <c r="C9777" s="55">
        <f t="shared" si="607"/>
        <v>1</v>
      </c>
      <c r="D9777" s="3" t="str">
        <f t="shared" si="608"/>
        <v>SÁBADO</v>
      </c>
      <c r="E9777" s="427"/>
      <c r="F9777" s="31">
        <f>IFERROR(VLOOKUP(E9777,BD!$L$2:$Q$244,2,0),0)</f>
        <v>0</v>
      </c>
      <c r="G9777" s="424"/>
      <c r="H9777" s="31">
        <f>+IFERROR(VLOOKUP(E9777,BD!$L$2:$Q$244,6,0),0)</f>
        <v>0</v>
      </c>
      <c r="I9777" s="626">
        <f>IFERROR(G9777*VLOOKUP($E9777,BD!$L$2:$Q$244,5,0),0)</f>
        <v>0</v>
      </c>
      <c r="J9777" s="3">
        <f t="shared" si="609"/>
        <v>1900</v>
      </c>
    </row>
    <row r="9778" spans="1:10" s="9" customFormat="1" x14ac:dyDescent="0.25">
      <c r="A9778" s="447"/>
      <c r="B9778" s="55" t="str">
        <f t="shared" si="606"/>
        <v>ENERO</v>
      </c>
      <c r="C9778" s="55">
        <f t="shared" si="607"/>
        <v>1</v>
      </c>
      <c r="D9778" s="3" t="str">
        <f t="shared" si="608"/>
        <v>SÁBADO</v>
      </c>
      <c r="E9778" s="427"/>
      <c r="F9778" s="31">
        <f>IFERROR(VLOOKUP(E9778,BD!$L$2:$Q$244,2,0),0)</f>
        <v>0</v>
      </c>
      <c r="G9778" s="424"/>
      <c r="H9778" s="31">
        <f>+IFERROR(VLOOKUP(E9778,BD!$L$2:$Q$244,6,0),0)</f>
        <v>0</v>
      </c>
      <c r="I9778" s="626">
        <f>IFERROR(G9778*VLOOKUP($E9778,BD!$L$2:$Q$244,5,0),0)</f>
        <v>0</v>
      </c>
      <c r="J9778" s="3">
        <f t="shared" si="609"/>
        <v>1900</v>
      </c>
    </row>
    <row r="9779" spans="1:10" s="9" customFormat="1" x14ac:dyDescent="0.25">
      <c r="A9779" s="447"/>
      <c r="B9779" s="55" t="str">
        <f t="shared" si="606"/>
        <v>ENERO</v>
      </c>
      <c r="C9779" s="55">
        <f t="shared" si="607"/>
        <v>1</v>
      </c>
      <c r="D9779" s="3" t="str">
        <f t="shared" si="608"/>
        <v>SÁBADO</v>
      </c>
      <c r="E9779" s="427"/>
      <c r="F9779" s="31">
        <f>IFERROR(VLOOKUP(E9779,BD!$L$2:$Q$244,2,0),0)</f>
        <v>0</v>
      </c>
      <c r="G9779" s="424"/>
      <c r="H9779" s="31">
        <f>+IFERROR(VLOOKUP(E9779,BD!$L$2:$Q$244,6,0),0)</f>
        <v>0</v>
      </c>
      <c r="I9779" s="626">
        <f>IFERROR(G9779*VLOOKUP($E9779,BD!$L$2:$Q$244,5,0),0)</f>
        <v>0</v>
      </c>
      <c r="J9779" s="3">
        <f t="shared" si="609"/>
        <v>1900</v>
      </c>
    </row>
    <row r="9780" spans="1:10" s="9" customFormat="1" x14ac:dyDescent="0.25">
      <c r="A9780" s="447"/>
      <c r="B9780" s="55" t="str">
        <f t="shared" si="606"/>
        <v>ENERO</v>
      </c>
      <c r="C9780" s="55">
        <f t="shared" si="607"/>
        <v>1</v>
      </c>
      <c r="D9780" s="3" t="str">
        <f t="shared" si="608"/>
        <v>SÁBADO</v>
      </c>
      <c r="E9780" s="427"/>
      <c r="F9780" s="31">
        <f>IFERROR(VLOOKUP(E9780,BD!$L$2:$Q$244,2,0),0)</f>
        <v>0</v>
      </c>
      <c r="G9780" s="424"/>
      <c r="H9780" s="31">
        <f>+IFERROR(VLOOKUP(E9780,BD!$L$2:$Q$244,6,0),0)</f>
        <v>0</v>
      </c>
      <c r="I9780" s="626">
        <f>IFERROR(G9780*VLOOKUP($E9780,BD!$L$2:$Q$244,5,0),0)</f>
        <v>0</v>
      </c>
      <c r="J9780" s="3">
        <f t="shared" si="609"/>
        <v>1900</v>
      </c>
    </row>
    <row r="9781" spans="1:10" s="9" customFormat="1" x14ac:dyDescent="0.25">
      <c r="A9781" s="447"/>
      <c r="B9781" s="55" t="str">
        <f t="shared" si="606"/>
        <v>ENERO</v>
      </c>
      <c r="C9781" s="55">
        <f t="shared" si="607"/>
        <v>1</v>
      </c>
      <c r="D9781" s="3" t="str">
        <f t="shared" si="608"/>
        <v>SÁBADO</v>
      </c>
      <c r="E9781" s="427"/>
      <c r="F9781" s="31">
        <f>IFERROR(VLOOKUP(E9781,BD!$L$2:$Q$244,2,0),0)</f>
        <v>0</v>
      </c>
      <c r="G9781" s="424"/>
      <c r="H9781" s="31">
        <f>+IFERROR(VLOOKUP(E9781,BD!$L$2:$Q$244,6,0),0)</f>
        <v>0</v>
      </c>
      <c r="I9781" s="626">
        <f>IFERROR(G9781*VLOOKUP($E9781,BD!$L$2:$Q$244,5,0),0)</f>
        <v>0</v>
      </c>
      <c r="J9781" s="3">
        <f t="shared" si="609"/>
        <v>1900</v>
      </c>
    </row>
    <row r="9782" spans="1:10" s="9" customFormat="1" x14ac:dyDescent="0.25">
      <c r="A9782" s="447"/>
      <c r="B9782" s="55" t="str">
        <f t="shared" si="606"/>
        <v>ENERO</v>
      </c>
      <c r="C9782" s="55">
        <f t="shared" si="607"/>
        <v>1</v>
      </c>
      <c r="D9782" s="3" t="str">
        <f t="shared" si="608"/>
        <v>SÁBADO</v>
      </c>
      <c r="E9782" s="427"/>
      <c r="F9782" s="31">
        <f>IFERROR(VLOOKUP(E9782,BD!$L$2:$Q$244,2,0),0)</f>
        <v>0</v>
      </c>
      <c r="G9782" s="424"/>
      <c r="H9782" s="31">
        <f>+IFERROR(VLOOKUP(E9782,BD!$L$2:$Q$244,6,0),0)</f>
        <v>0</v>
      </c>
      <c r="I9782" s="626">
        <f>IFERROR(G9782*VLOOKUP($E9782,BD!$L$2:$Q$244,5,0),0)</f>
        <v>0</v>
      </c>
      <c r="J9782" s="3">
        <f t="shared" si="609"/>
        <v>1900</v>
      </c>
    </row>
    <row r="9783" spans="1:10" s="9" customFormat="1" x14ac:dyDescent="0.25">
      <c r="A9783" s="447"/>
      <c r="B9783" s="55" t="str">
        <f t="shared" si="606"/>
        <v>ENERO</v>
      </c>
      <c r="C9783" s="55">
        <f t="shared" si="607"/>
        <v>1</v>
      </c>
      <c r="D9783" s="3" t="str">
        <f t="shared" si="608"/>
        <v>SÁBADO</v>
      </c>
      <c r="E9783" s="427"/>
      <c r="F9783" s="31">
        <f>IFERROR(VLOOKUP(E9783,BD!$L$2:$Q$244,2,0),0)</f>
        <v>0</v>
      </c>
      <c r="G9783" s="424"/>
      <c r="H9783" s="31">
        <f>+IFERROR(VLOOKUP(E9783,BD!$L$2:$Q$244,6,0),0)</f>
        <v>0</v>
      </c>
      <c r="I9783" s="626">
        <f>IFERROR(G9783*VLOOKUP($E9783,BD!$L$2:$Q$244,5,0),0)</f>
        <v>0</v>
      </c>
      <c r="J9783" s="3">
        <f t="shared" si="609"/>
        <v>1900</v>
      </c>
    </row>
    <row r="9784" spans="1:10" s="9" customFormat="1" x14ac:dyDescent="0.25">
      <c r="A9784" s="447"/>
      <c r="B9784" s="55" t="str">
        <f t="shared" si="606"/>
        <v>ENERO</v>
      </c>
      <c r="C9784" s="55">
        <f t="shared" si="607"/>
        <v>1</v>
      </c>
      <c r="D9784" s="3" t="str">
        <f t="shared" si="608"/>
        <v>SÁBADO</v>
      </c>
      <c r="E9784" s="427"/>
      <c r="F9784" s="31">
        <f>IFERROR(VLOOKUP(E9784,BD!$L$2:$Q$244,2,0),0)</f>
        <v>0</v>
      </c>
      <c r="G9784" s="424"/>
      <c r="H9784" s="31">
        <f>+IFERROR(VLOOKUP(E9784,BD!$L$2:$Q$244,6,0),0)</f>
        <v>0</v>
      </c>
      <c r="I9784" s="626">
        <f>IFERROR(G9784*VLOOKUP($E9784,BD!$L$2:$Q$244,5,0),0)</f>
        <v>0</v>
      </c>
      <c r="J9784" s="3">
        <f t="shared" si="609"/>
        <v>1900</v>
      </c>
    </row>
    <row r="9785" spans="1:10" s="9" customFormat="1" x14ac:dyDescent="0.25">
      <c r="A9785" s="447"/>
      <c r="B9785" s="55" t="str">
        <f t="shared" si="606"/>
        <v>ENERO</v>
      </c>
      <c r="C9785" s="55">
        <f t="shared" si="607"/>
        <v>1</v>
      </c>
      <c r="D9785" s="3" t="str">
        <f t="shared" si="608"/>
        <v>SÁBADO</v>
      </c>
      <c r="E9785" s="427"/>
      <c r="F9785" s="31">
        <f>IFERROR(VLOOKUP(E9785,BD!$L$2:$Q$244,2,0),0)</f>
        <v>0</v>
      </c>
      <c r="G9785" s="424"/>
      <c r="H9785" s="31">
        <f>+IFERROR(VLOOKUP(E9785,BD!$L$2:$Q$244,6,0),0)</f>
        <v>0</v>
      </c>
      <c r="I9785" s="626">
        <f>IFERROR(G9785*VLOOKUP($E9785,BD!$L$2:$Q$244,5,0),0)</f>
        <v>0</v>
      </c>
      <c r="J9785" s="3">
        <f t="shared" si="609"/>
        <v>1900</v>
      </c>
    </row>
    <row r="9786" spans="1:10" s="9" customFormat="1" x14ac:dyDescent="0.25">
      <c r="A9786" s="447"/>
      <c r="B9786" s="55" t="str">
        <f t="shared" si="606"/>
        <v>ENERO</v>
      </c>
      <c r="C9786" s="55">
        <f t="shared" si="607"/>
        <v>1</v>
      </c>
      <c r="D9786" s="3" t="str">
        <f t="shared" si="608"/>
        <v>SÁBADO</v>
      </c>
      <c r="E9786" s="427"/>
      <c r="F9786" s="31">
        <f>IFERROR(VLOOKUP(E9786,BD!$L$2:$Q$244,2,0),0)</f>
        <v>0</v>
      </c>
      <c r="G9786" s="424"/>
      <c r="H9786" s="31">
        <f>+IFERROR(VLOOKUP(E9786,BD!$L$2:$Q$244,6,0),0)</f>
        <v>0</v>
      </c>
      <c r="I9786" s="626">
        <f>IFERROR(G9786*VLOOKUP($E9786,BD!$L$2:$Q$244,5,0),0)</f>
        <v>0</v>
      </c>
      <c r="J9786" s="3">
        <f t="shared" si="609"/>
        <v>1900</v>
      </c>
    </row>
    <row r="9787" spans="1:10" s="9" customFormat="1" x14ac:dyDescent="0.25">
      <c r="A9787" s="447"/>
      <c r="B9787" s="55" t="str">
        <f t="shared" si="606"/>
        <v>ENERO</v>
      </c>
      <c r="C9787" s="55">
        <f t="shared" si="607"/>
        <v>1</v>
      </c>
      <c r="D9787" s="3" t="str">
        <f t="shared" si="608"/>
        <v>SÁBADO</v>
      </c>
      <c r="E9787" s="427"/>
      <c r="F9787" s="31">
        <f>IFERROR(VLOOKUP(E9787,BD!$L$2:$Q$244,2,0),0)</f>
        <v>0</v>
      </c>
      <c r="G9787" s="424"/>
      <c r="H9787" s="31">
        <f>+IFERROR(VLOOKUP(E9787,BD!$L$2:$Q$244,6,0),0)</f>
        <v>0</v>
      </c>
      <c r="I9787" s="626">
        <f>IFERROR(G9787*VLOOKUP($E9787,BD!$L$2:$Q$244,5,0),0)</f>
        <v>0</v>
      </c>
      <c r="J9787" s="3">
        <f t="shared" si="609"/>
        <v>1900</v>
      </c>
    </row>
    <row r="9788" spans="1:10" s="9" customFormat="1" x14ac:dyDescent="0.25">
      <c r="A9788" s="447"/>
      <c r="B9788" s="55" t="str">
        <f t="shared" ref="B9788:B9851" si="610">UPPER(TEXT(A9788,"MMMM"))</f>
        <v>ENERO</v>
      </c>
      <c r="C9788" s="55">
        <f t="shared" ref="C9788:C9851" si="611">WEEKNUM(A9788,16)</f>
        <v>1</v>
      </c>
      <c r="D9788" s="3" t="str">
        <f t="shared" ref="D9788:D9851" si="612">UPPER(TEXT(A9788,"DDDD"))</f>
        <v>SÁBADO</v>
      </c>
      <c r="E9788" s="427"/>
      <c r="F9788" s="31">
        <f>IFERROR(VLOOKUP(E9788,BD!$L$2:$Q$244,2,0),0)</f>
        <v>0</v>
      </c>
      <c r="G9788" s="424"/>
      <c r="H9788" s="31">
        <f>+IFERROR(VLOOKUP(E9788,BD!$L$2:$Q$244,6,0),0)</f>
        <v>0</v>
      </c>
      <c r="I9788" s="626">
        <f>IFERROR(G9788*VLOOKUP($E9788,BD!$L$2:$Q$244,5,0),0)</f>
        <v>0</v>
      </c>
      <c r="J9788" s="3">
        <f t="shared" ref="J9788:J9851" si="613">+YEAR(A9788)</f>
        <v>1900</v>
      </c>
    </row>
    <row r="9789" spans="1:10" s="9" customFormat="1" x14ac:dyDescent="0.25">
      <c r="A9789" s="447"/>
      <c r="B9789" s="55" t="str">
        <f t="shared" si="610"/>
        <v>ENERO</v>
      </c>
      <c r="C9789" s="55">
        <f t="shared" si="611"/>
        <v>1</v>
      </c>
      <c r="D9789" s="3" t="str">
        <f t="shared" si="612"/>
        <v>SÁBADO</v>
      </c>
      <c r="E9789" s="427"/>
      <c r="F9789" s="31">
        <f>IFERROR(VLOOKUP(E9789,BD!$L$2:$Q$244,2,0),0)</f>
        <v>0</v>
      </c>
      <c r="G9789" s="424"/>
      <c r="H9789" s="31">
        <f>+IFERROR(VLOOKUP(E9789,BD!$L$2:$Q$244,6,0),0)</f>
        <v>0</v>
      </c>
      <c r="I9789" s="626">
        <f>IFERROR(G9789*VLOOKUP($E9789,BD!$L$2:$Q$244,5,0),0)</f>
        <v>0</v>
      </c>
      <c r="J9789" s="3">
        <f t="shared" si="613"/>
        <v>1900</v>
      </c>
    </row>
    <row r="9790" spans="1:10" s="9" customFormat="1" x14ac:dyDescent="0.25">
      <c r="A9790" s="447"/>
      <c r="B9790" s="55" t="str">
        <f t="shared" si="610"/>
        <v>ENERO</v>
      </c>
      <c r="C9790" s="55">
        <f t="shared" si="611"/>
        <v>1</v>
      </c>
      <c r="D9790" s="3" t="str">
        <f t="shared" si="612"/>
        <v>SÁBADO</v>
      </c>
      <c r="E9790" s="427"/>
      <c r="F9790" s="31">
        <f>IFERROR(VLOOKUP(E9790,BD!$L$2:$Q$244,2,0),0)</f>
        <v>0</v>
      </c>
      <c r="G9790" s="424"/>
      <c r="H9790" s="31">
        <f>+IFERROR(VLOOKUP(E9790,BD!$L$2:$Q$244,6,0),0)</f>
        <v>0</v>
      </c>
      <c r="I9790" s="626">
        <f>IFERROR(G9790*VLOOKUP($E9790,BD!$L$2:$Q$244,5,0),0)</f>
        <v>0</v>
      </c>
      <c r="J9790" s="3">
        <f t="shared" si="613"/>
        <v>1900</v>
      </c>
    </row>
    <row r="9791" spans="1:10" s="9" customFormat="1" x14ac:dyDescent="0.25">
      <c r="A9791" s="447"/>
      <c r="B9791" s="55" t="str">
        <f t="shared" si="610"/>
        <v>ENERO</v>
      </c>
      <c r="C9791" s="55">
        <f t="shared" si="611"/>
        <v>1</v>
      </c>
      <c r="D9791" s="3" t="str">
        <f t="shared" si="612"/>
        <v>SÁBADO</v>
      </c>
      <c r="E9791" s="427"/>
      <c r="F9791" s="31">
        <f>IFERROR(VLOOKUP(E9791,BD!$L$2:$Q$244,2,0),0)</f>
        <v>0</v>
      </c>
      <c r="G9791" s="424"/>
      <c r="H9791" s="31">
        <f>+IFERROR(VLOOKUP(E9791,BD!$L$2:$Q$244,6,0),0)</f>
        <v>0</v>
      </c>
      <c r="I9791" s="626">
        <f>IFERROR(G9791*VLOOKUP($E9791,BD!$L$2:$Q$244,5,0),0)</f>
        <v>0</v>
      </c>
      <c r="J9791" s="3">
        <f t="shared" si="613"/>
        <v>1900</v>
      </c>
    </row>
    <row r="9792" spans="1:10" s="9" customFormat="1" x14ac:dyDescent="0.25">
      <c r="A9792" s="447"/>
      <c r="B9792" s="55" t="str">
        <f t="shared" si="610"/>
        <v>ENERO</v>
      </c>
      <c r="C9792" s="55">
        <f t="shared" si="611"/>
        <v>1</v>
      </c>
      <c r="D9792" s="3" t="str">
        <f t="shared" si="612"/>
        <v>SÁBADO</v>
      </c>
      <c r="E9792" s="427"/>
      <c r="F9792" s="31">
        <f>IFERROR(VLOOKUP(E9792,BD!$L$2:$Q$244,2,0),0)</f>
        <v>0</v>
      </c>
      <c r="G9792" s="424"/>
      <c r="H9792" s="31">
        <f>+IFERROR(VLOOKUP(E9792,BD!$L$2:$Q$244,6,0),0)</f>
        <v>0</v>
      </c>
      <c r="I9792" s="626">
        <f>IFERROR(G9792*VLOOKUP($E9792,BD!$L$2:$Q$244,5,0),0)</f>
        <v>0</v>
      </c>
      <c r="J9792" s="3">
        <f t="shared" si="613"/>
        <v>1900</v>
      </c>
    </row>
    <row r="9793" spans="1:10" s="9" customFormat="1" x14ac:dyDescent="0.25">
      <c r="A9793" s="447"/>
      <c r="B9793" s="55" t="str">
        <f t="shared" si="610"/>
        <v>ENERO</v>
      </c>
      <c r="C9793" s="55">
        <f t="shared" si="611"/>
        <v>1</v>
      </c>
      <c r="D9793" s="3" t="str">
        <f t="shared" si="612"/>
        <v>SÁBADO</v>
      </c>
      <c r="E9793" s="427"/>
      <c r="F9793" s="31">
        <f>IFERROR(VLOOKUP(E9793,BD!$L$2:$Q$244,2,0),0)</f>
        <v>0</v>
      </c>
      <c r="G9793" s="424"/>
      <c r="H9793" s="31">
        <f>+IFERROR(VLOOKUP(E9793,BD!$L$2:$Q$244,6,0),0)</f>
        <v>0</v>
      </c>
      <c r="I9793" s="626">
        <f>IFERROR(G9793*VLOOKUP($E9793,BD!$L$2:$Q$244,5,0),0)</f>
        <v>0</v>
      </c>
      <c r="J9793" s="3">
        <f t="shared" si="613"/>
        <v>1900</v>
      </c>
    </row>
    <row r="9794" spans="1:10" s="9" customFormat="1" x14ac:dyDescent="0.25">
      <c r="A9794" s="447"/>
      <c r="B9794" s="55" t="str">
        <f t="shared" si="610"/>
        <v>ENERO</v>
      </c>
      <c r="C9794" s="55">
        <f t="shared" si="611"/>
        <v>1</v>
      </c>
      <c r="D9794" s="3" t="str">
        <f t="shared" si="612"/>
        <v>SÁBADO</v>
      </c>
      <c r="E9794" s="427"/>
      <c r="F9794" s="31">
        <f>IFERROR(VLOOKUP(E9794,BD!$L$2:$Q$244,2,0),0)</f>
        <v>0</v>
      </c>
      <c r="G9794" s="424"/>
      <c r="H9794" s="31">
        <f>+IFERROR(VLOOKUP(E9794,BD!$L$2:$Q$244,6,0),0)</f>
        <v>0</v>
      </c>
      <c r="I9794" s="626">
        <f>IFERROR(G9794*VLOOKUP($E9794,BD!$L$2:$Q$244,5,0),0)</f>
        <v>0</v>
      </c>
      <c r="J9794" s="3">
        <f t="shared" si="613"/>
        <v>1900</v>
      </c>
    </row>
    <row r="9795" spans="1:10" s="9" customFormat="1" x14ac:dyDescent="0.25">
      <c r="A9795" s="447"/>
      <c r="B9795" s="55" t="str">
        <f t="shared" si="610"/>
        <v>ENERO</v>
      </c>
      <c r="C9795" s="55">
        <f t="shared" si="611"/>
        <v>1</v>
      </c>
      <c r="D9795" s="3" t="str">
        <f t="shared" si="612"/>
        <v>SÁBADO</v>
      </c>
      <c r="E9795" s="427"/>
      <c r="F9795" s="31">
        <f>IFERROR(VLOOKUP(E9795,BD!$L$2:$Q$244,2,0),0)</f>
        <v>0</v>
      </c>
      <c r="G9795" s="424"/>
      <c r="H9795" s="31">
        <f>+IFERROR(VLOOKUP(E9795,BD!$L$2:$Q$244,6,0),0)</f>
        <v>0</v>
      </c>
      <c r="I9795" s="626">
        <f>IFERROR(G9795*VLOOKUP($E9795,BD!$L$2:$Q$244,5,0),0)</f>
        <v>0</v>
      </c>
      <c r="J9795" s="3">
        <f t="shared" si="613"/>
        <v>1900</v>
      </c>
    </row>
    <row r="9796" spans="1:10" s="9" customFormat="1" x14ac:dyDescent="0.25">
      <c r="A9796" s="447"/>
      <c r="B9796" s="55" t="str">
        <f t="shared" si="610"/>
        <v>ENERO</v>
      </c>
      <c r="C9796" s="55">
        <f t="shared" si="611"/>
        <v>1</v>
      </c>
      <c r="D9796" s="3" t="str">
        <f t="shared" si="612"/>
        <v>SÁBADO</v>
      </c>
      <c r="E9796" s="427"/>
      <c r="F9796" s="31">
        <f>IFERROR(VLOOKUP(E9796,BD!$L$2:$Q$244,2,0),0)</f>
        <v>0</v>
      </c>
      <c r="G9796" s="424"/>
      <c r="H9796" s="31">
        <f>+IFERROR(VLOOKUP(E9796,BD!$L$2:$Q$244,6,0),0)</f>
        <v>0</v>
      </c>
      <c r="I9796" s="626">
        <f>IFERROR(G9796*VLOOKUP($E9796,BD!$L$2:$Q$244,5,0),0)</f>
        <v>0</v>
      </c>
      <c r="J9796" s="3">
        <f t="shared" si="613"/>
        <v>1900</v>
      </c>
    </row>
    <row r="9797" spans="1:10" s="9" customFormat="1" x14ac:dyDescent="0.25">
      <c r="A9797" s="447"/>
      <c r="B9797" s="55" t="str">
        <f t="shared" si="610"/>
        <v>ENERO</v>
      </c>
      <c r="C9797" s="55">
        <f t="shared" si="611"/>
        <v>1</v>
      </c>
      <c r="D9797" s="3" t="str">
        <f t="shared" si="612"/>
        <v>SÁBADO</v>
      </c>
      <c r="E9797" s="427"/>
      <c r="F9797" s="31">
        <f>IFERROR(VLOOKUP(E9797,BD!$L$2:$Q$244,2,0),0)</f>
        <v>0</v>
      </c>
      <c r="G9797" s="424"/>
      <c r="H9797" s="31">
        <f>+IFERROR(VLOOKUP(E9797,BD!$L$2:$Q$244,6,0),0)</f>
        <v>0</v>
      </c>
      <c r="I9797" s="626">
        <f>IFERROR(G9797*VLOOKUP($E9797,BD!$L$2:$Q$244,5,0),0)</f>
        <v>0</v>
      </c>
      <c r="J9797" s="3">
        <f t="shared" si="613"/>
        <v>1900</v>
      </c>
    </row>
    <row r="9798" spans="1:10" s="9" customFormat="1" x14ac:dyDescent="0.25">
      <c r="A9798" s="447"/>
      <c r="B9798" s="55" t="str">
        <f t="shared" si="610"/>
        <v>ENERO</v>
      </c>
      <c r="C9798" s="55">
        <f t="shared" si="611"/>
        <v>1</v>
      </c>
      <c r="D9798" s="3" t="str">
        <f t="shared" si="612"/>
        <v>SÁBADO</v>
      </c>
      <c r="E9798" s="427"/>
      <c r="F9798" s="31">
        <f>IFERROR(VLOOKUP(E9798,BD!$L$2:$Q$244,2,0),0)</f>
        <v>0</v>
      </c>
      <c r="G9798" s="424"/>
      <c r="H9798" s="31">
        <f>+IFERROR(VLOOKUP(E9798,BD!$L$2:$Q$244,6,0),0)</f>
        <v>0</v>
      </c>
      <c r="I9798" s="626">
        <f>IFERROR(G9798*VLOOKUP($E9798,BD!$L$2:$Q$244,5,0),0)</f>
        <v>0</v>
      </c>
      <c r="J9798" s="3">
        <f t="shared" si="613"/>
        <v>1900</v>
      </c>
    </row>
    <row r="9799" spans="1:10" s="9" customFormat="1" x14ac:dyDescent="0.25">
      <c r="A9799" s="447"/>
      <c r="B9799" s="55" t="str">
        <f t="shared" si="610"/>
        <v>ENERO</v>
      </c>
      <c r="C9799" s="55">
        <f t="shared" si="611"/>
        <v>1</v>
      </c>
      <c r="D9799" s="3" t="str">
        <f t="shared" si="612"/>
        <v>SÁBADO</v>
      </c>
      <c r="E9799" s="427"/>
      <c r="F9799" s="31">
        <f>IFERROR(VLOOKUP(E9799,BD!$L$2:$Q$244,2,0),0)</f>
        <v>0</v>
      </c>
      <c r="G9799" s="424"/>
      <c r="H9799" s="31">
        <f>+IFERROR(VLOOKUP(E9799,BD!$L$2:$Q$244,6,0),0)</f>
        <v>0</v>
      </c>
      <c r="I9799" s="626">
        <f>IFERROR(G9799*VLOOKUP($E9799,BD!$L$2:$Q$244,5,0),0)</f>
        <v>0</v>
      </c>
      <c r="J9799" s="3">
        <f t="shared" si="613"/>
        <v>1900</v>
      </c>
    </row>
    <row r="9800" spans="1:10" s="9" customFormat="1" x14ac:dyDescent="0.25">
      <c r="A9800" s="447"/>
      <c r="B9800" s="55" t="str">
        <f t="shared" si="610"/>
        <v>ENERO</v>
      </c>
      <c r="C9800" s="55">
        <f t="shared" si="611"/>
        <v>1</v>
      </c>
      <c r="D9800" s="3" t="str">
        <f t="shared" si="612"/>
        <v>SÁBADO</v>
      </c>
      <c r="E9800" s="427"/>
      <c r="F9800" s="31">
        <f>IFERROR(VLOOKUP(E9800,BD!$L$2:$Q$244,2,0),0)</f>
        <v>0</v>
      </c>
      <c r="G9800" s="424"/>
      <c r="H9800" s="31">
        <f>+IFERROR(VLOOKUP(E9800,BD!$L$2:$Q$244,6,0),0)</f>
        <v>0</v>
      </c>
      <c r="I9800" s="626">
        <f>IFERROR(G9800*VLOOKUP($E9800,BD!$L$2:$Q$244,5,0),0)</f>
        <v>0</v>
      </c>
      <c r="J9800" s="3">
        <f t="shared" si="613"/>
        <v>1900</v>
      </c>
    </row>
    <row r="9801" spans="1:10" s="9" customFormat="1" x14ac:dyDescent="0.25">
      <c r="A9801" s="447"/>
      <c r="B9801" s="55" t="str">
        <f t="shared" si="610"/>
        <v>ENERO</v>
      </c>
      <c r="C9801" s="55">
        <f t="shared" si="611"/>
        <v>1</v>
      </c>
      <c r="D9801" s="3" t="str">
        <f t="shared" si="612"/>
        <v>SÁBADO</v>
      </c>
      <c r="E9801" s="427"/>
      <c r="F9801" s="31">
        <f>IFERROR(VLOOKUP(E9801,BD!$L$2:$Q$244,2,0),0)</f>
        <v>0</v>
      </c>
      <c r="G9801" s="424"/>
      <c r="H9801" s="31">
        <f>+IFERROR(VLOOKUP(E9801,BD!$L$2:$Q$244,6,0),0)</f>
        <v>0</v>
      </c>
      <c r="I9801" s="626">
        <f>IFERROR(G9801*VLOOKUP($E9801,BD!$L$2:$Q$244,5,0),0)</f>
        <v>0</v>
      </c>
      <c r="J9801" s="3">
        <f t="shared" si="613"/>
        <v>1900</v>
      </c>
    </row>
    <row r="9802" spans="1:10" s="9" customFormat="1" x14ac:dyDescent="0.25">
      <c r="A9802" s="447"/>
      <c r="B9802" s="55" t="str">
        <f t="shared" si="610"/>
        <v>ENERO</v>
      </c>
      <c r="C9802" s="55">
        <f t="shared" si="611"/>
        <v>1</v>
      </c>
      <c r="D9802" s="3" t="str">
        <f t="shared" si="612"/>
        <v>SÁBADO</v>
      </c>
      <c r="E9802" s="427"/>
      <c r="F9802" s="31">
        <f>IFERROR(VLOOKUP(E9802,BD!$L$2:$Q$244,2,0),0)</f>
        <v>0</v>
      </c>
      <c r="G9802" s="424"/>
      <c r="H9802" s="31">
        <f>+IFERROR(VLOOKUP(E9802,BD!$L$2:$Q$244,6,0),0)</f>
        <v>0</v>
      </c>
      <c r="I9802" s="626">
        <f>IFERROR(G9802*VLOOKUP($E9802,BD!$L$2:$Q$244,5,0),0)</f>
        <v>0</v>
      </c>
      <c r="J9802" s="3">
        <f t="shared" si="613"/>
        <v>1900</v>
      </c>
    </row>
    <row r="9803" spans="1:10" s="9" customFormat="1" x14ac:dyDescent="0.25">
      <c r="A9803" s="447"/>
      <c r="B9803" s="55" t="str">
        <f t="shared" si="610"/>
        <v>ENERO</v>
      </c>
      <c r="C9803" s="55">
        <f t="shared" si="611"/>
        <v>1</v>
      </c>
      <c r="D9803" s="3" t="str">
        <f t="shared" si="612"/>
        <v>SÁBADO</v>
      </c>
      <c r="E9803" s="427"/>
      <c r="F9803" s="31">
        <f>IFERROR(VLOOKUP(E9803,BD!$L$2:$Q$244,2,0),0)</f>
        <v>0</v>
      </c>
      <c r="G9803" s="424"/>
      <c r="H9803" s="31">
        <f>+IFERROR(VLOOKUP(E9803,BD!$L$2:$Q$244,6,0),0)</f>
        <v>0</v>
      </c>
      <c r="I9803" s="626">
        <f>IFERROR(G9803*VLOOKUP($E9803,BD!$L$2:$Q$244,5,0),0)</f>
        <v>0</v>
      </c>
      <c r="J9803" s="3">
        <f t="shared" si="613"/>
        <v>1900</v>
      </c>
    </row>
    <row r="9804" spans="1:10" s="9" customFormat="1" x14ac:dyDescent="0.25">
      <c r="A9804" s="447"/>
      <c r="B9804" s="55" t="str">
        <f t="shared" si="610"/>
        <v>ENERO</v>
      </c>
      <c r="C9804" s="55">
        <f t="shared" si="611"/>
        <v>1</v>
      </c>
      <c r="D9804" s="3" t="str">
        <f t="shared" si="612"/>
        <v>SÁBADO</v>
      </c>
      <c r="E9804" s="427"/>
      <c r="F9804" s="31">
        <f>IFERROR(VLOOKUP(E9804,BD!$L$2:$Q$244,2,0),0)</f>
        <v>0</v>
      </c>
      <c r="G9804" s="424"/>
      <c r="H9804" s="31">
        <f>+IFERROR(VLOOKUP(E9804,BD!$L$2:$Q$244,6,0),0)</f>
        <v>0</v>
      </c>
      <c r="I9804" s="626">
        <f>IFERROR(G9804*VLOOKUP($E9804,BD!$L$2:$Q$244,5,0),0)</f>
        <v>0</v>
      </c>
      <c r="J9804" s="3">
        <f t="shared" si="613"/>
        <v>1900</v>
      </c>
    </row>
    <row r="9805" spans="1:10" s="9" customFormat="1" x14ac:dyDescent="0.25">
      <c r="A9805" s="447"/>
      <c r="B9805" s="55" t="str">
        <f t="shared" si="610"/>
        <v>ENERO</v>
      </c>
      <c r="C9805" s="55">
        <f t="shared" si="611"/>
        <v>1</v>
      </c>
      <c r="D9805" s="3" t="str">
        <f t="shared" si="612"/>
        <v>SÁBADO</v>
      </c>
      <c r="E9805" s="427"/>
      <c r="F9805" s="31">
        <f>IFERROR(VLOOKUP(E9805,BD!$L$2:$Q$244,2,0),0)</f>
        <v>0</v>
      </c>
      <c r="G9805" s="424"/>
      <c r="H9805" s="31">
        <f>+IFERROR(VLOOKUP(E9805,BD!$L$2:$Q$244,6,0),0)</f>
        <v>0</v>
      </c>
      <c r="I9805" s="626">
        <f>IFERROR(G9805*VLOOKUP($E9805,BD!$L$2:$Q$244,5,0),0)</f>
        <v>0</v>
      </c>
      <c r="J9805" s="3">
        <f t="shared" si="613"/>
        <v>1900</v>
      </c>
    </row>
    <row r="9806" spans="1:10" s="9" customFormat="1" x14ac:dyDescent="0.25">
      <c r="A9806" s="447"/>
      <c r="B9806" s="55" t="str">
        <f t="shared" si="610"/>
        <v>ENERO</v>
      </c>
      <c r="C9806" s="55">
        <f t="shared" si="611"/>
        <v>1</v>
      </c>
      <c r="D9806" s="3" t="str">
        <f t="shared" si="612"/>
        <v>SÁBADO</v>
      </c>
      <c r="E9806" s="427"/>
      <c r="F9806" s="31">
        <f>IFERROR(VLOOKUP(E9806,BD!$L$2:$Q$244,2,0),0)</f>
        <v>0</v>
      </c>
      <c r="G9806" s="424"/>
      <c r="H9806" s="31">
        <f>+IFERROR(VLOOKUP(E9806,BD!$L$2:$Q$244,6,0),0)</f>
        <v>0</v>
      </c>
      <c r="I9806" s="626">
        <f>IFERROR(G9806*VLOOKUP($E9806,BD!$L$2:$Q$244,5,0),0)</f>
        <v>0</v>
      </c>
      <c r="J9806" s="3">
        <f t="shared" si="613"/>
        <v>1900</v>
      </c>
    </row>
    <row r="9807" spans="1:10" s="9" customFormat="1" x14ac:dyDescent="0.25">
      <c r="A9807" s="447"/>
      <c r="B9807" s="55" t="str">
        <f t="shared" si="610"/>
        <v>ENERO</v>
      </c>
      <c r="C9807" s="55">
        <f t="shared" si="611"/>
        <v>1</v>
      </c>
      <c r="D9807" s="3" t="str">
        <f t="shared" si="612"/>
        <v>SÁBADO</v>
      </c>
      <c r="E9807" s="427"/>
      <c r="F9807" s="31">
        <f>IFERROR(VLOOKUP(E9807,BD!$L$2:$Q$244,2,0),0)</f>
        <v>0</v>
      </c>
      <c r="G9807" s="424"/>
      <c r="H9807" s="31">
        <f>+IFERROR(VLOOKUP(E9807,BD!$L$2:$Q$244,6,0),0)</f>
        <v>0</v>
      </c>
      <c r="I9807" s="626">
        <f>IFERROR(G9807*VLOOKUP($E9807,BD!$L$2:$Q$244,5,0),0)</f>
        <v>0</v>
      </c>
      <c r="J9807" s="3">
        <f t="shared" si="613"/>
        <v>1900</v>
      </c>
    </row>
    <row r="9808" spans="1:10" s="9" customFormat="1" x14ac:dyDescent="0.25">
      <c r="A9808" s="447"/>
      <c r="B9808" s="55" t="str">
        <f t="shared" si="610"/>
        <v>ENERO</v>
      </c>
      <c r="C9808" s="55">
        <f t="shared" si="611"/>
        <v>1</v>
      </c>
      <c r="D9808" s="3" t="str">
        <f t="shared" si="612"/>
        <v>SÁBADO</v>
      </c>
      <c r="E9808" s="427"/>
      <c r="F9808" s="31">
        <f>IFERROR(VLOOKUP(E9808,BD!$L$2:$Q$244,2,0),0)</f>
        <v>0</v>
      </c>
      <c r="G9808" s="424"/>
      <c r="H9808" s="31">
        <f>+IFERROR(VLOOKUP(E9808,BD!$L$2:$Q$244,6,0),0)</f>
        <v>0</v>
      </c>
      <c r="I9808" s="626">
        <f>IFERROR(G9808*VLOOKUP($E9808,BD!$L$2:$Q$244,5,0),0)</f>
        <v>0</v>
      </c>
      <c r="J9808" s="3">
        <f t="shared" si="613"/>
        <v>1900</v>
      </c>
    </row>
    <row r="9809" spans="1:10" s="9" customFormat="1" x14ac:dyDescent="0.25">
      <c r="A9809" s="447"/>
      <c r="B9809" s="55" t="str">
        <f t="shared" si="610"/>
        <v>ENERO</v>
      </c>
      <c r="C9809" s="55">
        <f t="shared" si="611"/>
        <v>1</v>
      </c>
      <c r="D9809" s="3" t="str">
        <f t="shared" si="612"/>
        <v>SÁBADO</v>
      </c>
      <c r="E9809" s="427"/>
      <c r="F9809" s="31">
        <f>IFERROR(VLOOKUP(E9809,BD!$L$2:$Q$244,2,0),0)</f>
        <v>0</v>
      </c>
      <c r="G9809" s="424"/>
      <c r="H9809" s="31">
        <f>+IFERROR(VLOOKUP(E9809,BD!$L$2:$Q$244,6,0),0)</f>
        <v>0</v>
      </c>
      <c r="I9809" s="626">
        <f>IFERROR(G9809*VLOOKUP($E9809,BD!$L$2:$Q$244,5,0),0)</f>
        <v>0</v>
      </c>
      <c r="J9809" s="3">
        <f t="shared" si="613"/>
        <v>1900</v>
      </c>
    </row>
    <row r="9810" spans="1:10" s="9" customFormat="1" x14ac:dyDescent="0.25">
      <c r="A9810" s="447"/>
      <c r="B9810" s="55" t="str">
        <f t="shared" si="610"/>
        <v>ENERO</v>
      </c>
      <c r="C9810" s="55">
        <f t="shared" si="611"/>
        <v>1</v>
      </c>
      <c r="D9810" s="3" t="str">
        <f t="shared" si="612"/>
        <v>SÁBADO</v>
      </c>
      <c r="E9810" s="427"/>
      <c r="F9810" s="31">
        <f>IFERROR(VLOOKUP(E9810,BD!$L$2:$Q$244,2,0),0)</f>
        <v>0</v>
      </c>
      <c r="G9810" s="424"/>
      <c r="H9810" s="31">
        <f>+IFERROR(VLOOKUP(E9810,BD!$L$2:$Q$244,6,0),0)</f>
        <v>0</v>
      </c>
      <c r="I9810" s="626">
        <f>IFERROR(G9810*VLOOKUP($E9810,BD!$L$2:$Q$244,5,0),0)</f>
        <v>0</v>
      </c>
      <c r="J9810" s="3">
        <f t="shared" si="613"/>
        <v>1900</v>
      </c>
    </row>
    <row r="9811" spans="1:10" s="9" customFormat="1" x14ac:dyDescent="0.25">
      <c r="A9811" s="447"/>
      <c r="B9811" s="55" t="str">
        <f t="shared" si="610"/>
        <v>ENERO</v>
      </c>
      <c r="C9811" s="55">
        <f t="shared" si="611"/>
        <v>1</v>
      </c>
      <c r="D9811" s="3" t="str">
        <f t="shared" si="612"/>
        <v>SÁBADO</v>
      </c>
      <c r="E9811" s="427"/>
      <c r="F9811" s="31">
        <f>IFERROR(VLOOKUP(E9811,BD!$L$2:$Q$244,2,0),0)</f>
        <v>0</v>
      </c>
      <c r="G9811" s="424"/>
      <c r="H9811" s="31">
        <f>+IFERROR(VLOOKUP(E9811,BD!$L$2:$Q$244,6,0),0)</f>
        <v>0</v>
      </c>
      <c r="I9811" s="626">
        <f>IFERROR(G9811*VLOOKUP($E9811,BD!$L$2:$Q$244,5,0),0)</f>
        <v>0</v>
      </c>
      <c r="J9811" s="3">
        <f t="shared" si="613"/>
        <v>1900</v>
      </c>
    </row>
    <row r="9812" spans="1:10" s="9" customFormat="1" x14ac:dyDescent="0.25">
      <c r="A9812" s="447"/>
      <c r="B9812" s="55" t="str">
        <f t="shared" si="610"/>
        <v>ENERO</v>
      </c>
      <c r="C9812" s="55">
        <f t="shared" si="611"/>
        <v>1</v>
      </c>
      <c r="D9812" s="3" t="str">
        <f t="shared" si="612"/>
        <v>SÁBADO</v>
      </c>
      <c r="E9812" s="427"/>
      <c r="F9812" s="31">
        <f>IFERROR(VLOOKUP(E9812,BD!$L$2:$Q$244,2,0),0)</f>
        <v>0</v>
      </c>
      <c r="G9812" s="424"/>
      <c r="H9812" s="31">
        <f>+IFERROR(VLOOKUP(E9812,BD!$L$2:$Q$244,6,0),0)</f>
        <v>0</v>
      </c>
      <c r="I9812" s="626">
        <f>IFERROR(G9812*VLOOKUP($E9812,BD!$L$2:$Q$244,5,0),0)</f>
        <v>0</v>
      </c>
      <c r="J9812" s="3">
        <f t="shared" si="613"/>
        <v>1900</v>
      </c>
    </row>
    <row r="9813" spans="1:10" s="9" customFormat="1" x14ac:dyDescent="0.25">
      <c r="A9813" s="447"/>
      <c r="B9813" s="55" t="str">
        <f t="shared" si="610"/>
        <v>ENERO</v>
      </c>
      <c r="C9813" s="55">
        <f t="shared" si="611"/>
        <v>1</v>
      </c>
      <c r="D9813" s="3" t="str">
        <f t="shared" si="612"/>
        <v>SÁBADO</v>
      </c>
      <c r="E9813" s="427"/>
      <c r="F9813" s="31">
        <f>IFERROR(VLOOKUP(E9813,BD!$L$2:$Q$244,2,0),0)</f>
        <v>0</v>
      </c>
      <c r="G9813" s="424"/>
      <c r="H9813" s="31">
        <f>+IFERROR(VLOOKUP(E9813,BD!$L$2:$Q$244,6,0),0)</f>
        <v>0</v>
      </c>
      <c r="I9813" s="626">
        <f>IFERROR(G9813*VLOOKUP($E9813,BD!$L$2:$Q$244,5,0),0)</f>
        <v>0</v>
      </c>
      <c r="J9813" s="3">
        <f t="shared" si="613"/>
        <v>1900</v>
      </c>
    </row>
    <row r="9814" spans="1:10" s="9" customFormat="1" x14ac:dyDescent="0.25">
      <c r="A9814" s="447"/>
      <c r="B9814" s="55" t="str">
        <f t="shared" si="610"/>
        <v>ENERO</v>
      </c>
      <c r="C9814" s="55">
        <f t="shared" si="611"/>
        <v>1</v>
      </c>
      <c r="D9814" s="3" t="str">
        <f t="shared" si="612"/>
        <v>SÁBADO</v>
      </c>
      <c r="E9814" s="427"/>
      <c r="F9814" s="31">
        <f>IFERROR(VLOOKUP(E9814,BD!$L$2:$Q$244,2,0),0)</f>
        <v>0</v>
      </c>
      <c r="G9814" s="424"/>
      <c r="H9814" s="31">
        <f>+IFERROR(VLOOKUP(E9814,BD!$L$2:$Q$244,6,0),0)</f>
        <v>0</v>
      </c>
      <c r="I9814" s="626">
        <f>IFERROR(G9814*VLOOKUP($E9814,BD!$L$2:$Q$244,5,0),0)</f>
        <v>0</v>
      </c>
      <c r="J9814" s="3">
        <f t="shared" si="613"/>
        <v>1900</v>
      </c>
    </row>
    <row r="9815" spans="1:10" s="9" customFormat="1" x14ac:dyDescent="0.25">
      <c r="A9815" s="447"/>
      <c r="B9815" s="55" t="str">
        <f t="shared" si="610"/>
        <v>ENERO</v>
      </c>
      <c r="C9815" s="55">
        <f t="shared" si="611"/>
        <v>1</v>
      </c>
      <c r="D9815" s="3" t="str">
        <f t="shared" si="612"/>
        <v>SÁBADO</v>
      </c>
      <c r="E9815" s="427"/>
      <c r="F9815" s="31">
        <f>IFERROR(VLOOKUP(E9815,BD!$L$2:$Q$244,2,0),0)</f>
        <v>0</v>
      </c>
      <c r="G9815" s="424"/>
      <c r="H9815" s="31">
        <f>+IFERROR(VLOOKUP(E9815,BD!$L$2:$Q$244,6,0),0)</f>
        <v>0</v>
      </c>
      <c r="I9815" s="626">
        <f>IFERROR(G9815*VLOOKUP($E9815,BD!$L$2:$Q$244,5,0),0)</f>
        <v>0</v>
      </c>
      <c r="J9815" s="3">
        <f t="shared" si="613"/>
        <v>1900</v>
      </c>
    </row>
    <row r="9816" spans="1:10" s="9" customFormat="1" x14ac:dyDescent="0.25">
      <c r="A9816" s="447"/>
      <c r="B9816" s="55" t="str">
        <f t="shared" si="610"/>
        <v>ENERO</v>
      </c>
      <c r="C9816" s="55">
        <f t="shared" si="611"/>
        <v>1</v>
      </c>
      <c r="D9816" s="3" t="str">
        <f t="shared" si="612"/>
        <v>SÁBADO</v>
      </c>
      <c r="E9816" s="427"/>
      <c r="F9816" s="31">
        <f>IFERROR(VLOOKUP(E9816,BD!$L$2:$Q$244,2,0),0)</f>
        <v>0</v>
      </c>
      <c r="G9816" s="424"/>
      <c r="H9816" s="31">
        <f>+IFERROR(VLOOKUP(E9816,BD!$L$2:$Q$244,6,0),0)</f>
        <v>0</v>
      </c>
      <c r="I9816" s="626">
        <f>IFERROR(G9816*VLOOKUP($E9816,BD!$L$2:$Q$244,5,0),0)</f>
        <v>0</v>
      </c>
      <c r="J9816" s="3">
        <f t="shared" si="613"/>
        <v>1900</v>
      </c>
    </row>
    <row r="9817" spans="1:10" s="9" customFormat="1" x14ac:dyDescent="0.25">
      <c r="A9817" s="447"/>
      <c r="B9817" s="55" t="str">
        <f t="shared" si="610"/>
        <v>ENERO</v>
      </c>
      <c r="C9817" s="55">
        <f t="shared" si="611"/>
        <v>1</v>
      </c>
      <c r="D9817" s="3" t="str">
        <f t="shared" si="612"/>
        <v>SÁBADO</v>
      </c>
      <c r="E9817" s="427"/>
      <c r="F9817" s="31">
        <f>IFERROR(VLOOKUP(E9817,BD!$L$2:$Q$244,2,0),0)</f>
        <v>0</v>
      </c>
      <c r="G9817" s="424"/>
      <c r="H9817" s="31">
        <f>+IFERROR(VLOOKUP(E9817,BD!$L$2:$Q$244,6,0),0)</f>
        <v>0</v>
      </c>
      <c r="I9817" s="626">
        <f>IFERROR(G9817*VLOOKUP($E9817,BD!$L$2:$Q$244,5,0),0)</f>
        <v>0</v>
      </c>
      <c r="J9817" s="3">
        <f t="shared" si="613"/>
        <v>1900</v>
      </c>
    </row>
    <row r="9818" spans="1:10" s="9" customFormat="1" x14ac:dyDescent="0.25">
      <c r="A9818" s="447"/>
      <c r="B9818" s="55" t="str">
        <f t="shared" si="610"/>
        <v>ENERO</v>
      </c>
      <c r="C9818" s="55">
        <f t="shared" si="611"/>
        <v>1</v>
      </c>
      <c r="D9818" s="3" t="str">
        <f t="shared" si="612"/>
        <v>SÁBADO</v>
      </c>
      <c r="E9818" s="427"/>
      <c r="F9818" s="31">
        <f>IFERROR(VLOOKUP(E9818,BD!$L$2:$Q$244,2,0),0)</f>
        <v>0</v>
      </c>
      <c r="G9818" s="424"/>
      <c r="H9818" s="31">
        <f>+IFERROR(VLOOKUP(E9818,BD!$L$2:$Q$244,6,0),0)</f>
        <v>0</v>
      </c>
      <c r="I9818" s="626">
        <f>IFERROR(G9818*VLOOKUP($E9818,BD!$L$2:$Q$244,5,0),0)</f>
        <v>0</v>
      </c>
      <c r="J9818" s="3">
        <f t="shared" si="613"/>
        <v>1900</v>
      </c>
    </row>
    <row r="9819" spans="1:10" s="9" customFormat="1" x14ac:dyDescent="0.25">
      <c r="A9819" s="447"/>
      <c r="B9819" s="55" t="str">
        <f t="shared" si="610"/>
        <v>ENERO</v>
      </c>
      <c r="C9819" s="55">
        <f t="shared" si="611"/>
        <v>1</v>
      </c>
      <c r="D9819" s="3" t="str">
        <f t="shared" si="612"/>
        <v>SÁBADO</v>
      </c>
      <c r="E9819" s="427"/>
      <c r="F9819" s="31">
        <f>IFERROR(VLOOKUP(E9819,BD!$L$2:$Q$244,2,0),0)</f>
        <v>0</v>
      </c>
      <c r="G9819" s="424"/>
      <c r="H9819" s="31">
        <f>+IFERROR(VLOOKUP(E9819,BD!$L$2:$Q$244,6,0),0)</f>
        <v>0</v>
      </c>
      <c r="I9819" s="626">
        <f>IFERROR(G9819*VLOOKUP($E9819,BD!$L$2:$Q$244,5,0),0)</f>
        <v>0</v>
      </c>
      <c r="J9819" s="3">
        <f t="shared" si="613"/>
        <v>1900</v>
      </c>
    </row>
    <row r="9820" spans="1:10" s="9" customFormat="1" x14ac:dyDescent="0.25">
      <c r="A9820" s="447"/>
      <c r="B9820" s="55" t="str">
        <f t="shared" si="610"/>
        <v>ENERO</v>
      </c>
      <c r="C9820" s="55">
        <f t="shared" si="611"/>
        <v>1</v>
      </c>
      <c r="D9820" s="3" t="str">
        <f t="shared" si="612"/>
        <v>SÁBADO</v>
      </c>
      <c r="E9820" s="427"/>
      <c r="F9820" s="31">
        <f>IFERROR(VLOOKUP(E9820,BD!$L$2:$Q$244,2,0),0)</f>
        <v>0</v>
      </c>
      <c r="G9820" s="424"/>
      <c r="H9820" s="31">
        <f>+IFERROR(VLOOKUP(E9820,BD!$L$2:$Q$244,6,0),0)</f>
        <v>0</v>
      </c>
      <c r="I9820" s="626">
        <f>IFERROR(G9820*VLOOKUP($E9820,BD!$L$2:$Q$244,5,0),0)</f>
        <v>0</v>
      </c>
      <c r="J9820" s="3">
        <f t="shared" si="613"/>
        <v>1900</v>
      </c>
    </row>
    <row r="9821" spans="1:10" s="9" customFormat="1" x14ac:dyDescent="0.25">
      <c r="A9821" s="447"/>
      <c r="B9821" s="55" t="str">
        <f t="shared" si="610"/>
        <v>ENERO</v>
      </c>
      <c r="C9821" s="55">
        <f t="shared" si="611"/>
        <v>1</v>
      </c>
      <c r="D9821" s="3" t="str">
        <f t="shared" si="612"/>
        <v>SÁBADO</v>
      </c>
      <c r="E9821" s="427"/>
      <c r="F9821" s="31">
        <f>IFERROR(VLOOKUP(E9821,BD!$L$2:$Q$244,2,0),0)</f>
        <v>0</v>
      </c>
      <c r="G9821" s="424"/>
      <c r="H9821" s="31">
        <f>+IFERROR(VLOOKUP(E9821,BD!$L$2:$Q$244,6,0),0)</f>
        <v>0</v>
      </c>
      <c r="I9821" s="626">
        <f>IFERROR(G9821*VLOOKUP($E9821,BD!$L$2:$Q$244,5,0),0)</f>
        <v>0</v>
      </c>
      <c r="J9821" s="3">
        <f t="shared" si="613"/>
        <v>1900</v>
      </c>
    </row>
    <row r="9822" spans="1:10" s="9" customFormat="1" x14ac:dyDescent="0.25">
      <c r="A9822" s="447"/>
      <c r="B9822" s="55" t="str">
        <f t="shared" si="610"/>
        <v>ENERO</v>
      </c>
      <c r="C9822" s="55">
        <f t="shared" si="611"/>
        <v>1</v>
      </c>
      <c r="D9822" s="3" t="str">
        <f t="shared" si="612"/>
        <v>SÁBADO</v>
      </c>
      <c r="E9822" s="427"/>
      <c r="F9822" s="31">
        <f>IFERROR(VLOOKUP(E9822,BD!$L$2:$Q$244,2,0),0)</f>
        <v>0</v>
      </c>
      <c r="G9822" s="424"/>
      <c r="H9822" s="31">
        <f>+IFERROR(VLOOKUP(E9822,BD!$L$2:$Q$244,6,0),0)</f>
        <v>0</v>
      </c>
      <c r="I9822" s="626">
        <f>IFERROR(G9822*VLOOKUP($E9822,BD!$L$2:$Q$244,5,0),0)</f>
        <v>0</v>
      </c>
      <c r="J9822" s="3">
        <f t="shared" si="613"/>
        <v>1900</v>
      </c>
    </row>
    <row r="9823" spans="1:10" s="9" customFormat="1" x14ac:dyDescent="0.25">
      <c r="A9823" s="447"/>
      <c r="B9823" s="55" t="str">
        <f t="shared" si="610"/>
        <v>ENERO</v>
      </c>
      <c r="C9823" s="55">
        <f t="shared" si="611"/>
        <v>1</v>
      </c>
      <c r="D9823" s="3" t="str">
        <f t="shared" si="612"/>
        <v>SÁBADO</v>
      </c>
      <c r="E9823" s="427"/>
      <c r="F9823" s="31">
        <f>IFERROR(VLOOKUP(E9823,BD!$L$2:$Q$244,2,0),0)</f>
        <v>0</v>
      </c>
      <c r="G9823" s="424"/>
      <c r="H9823" s="31">
        <f>+IFERROR(VLOOKUP(E9823,BD!$L$2:$Q$244,6,0),0)</f>
        <v>0</v>
      </c>
      <c r="I9823" s="626">
        <f>IFERROR(G9823*VLOOKUP($E9823,BD!$L$2:$Q$244,5,0),0)</f>
        <v>0</v>
      </c>
      <c r="J9823" s="3">
        <f t="shared" si="613"/>
        <v>1900</v>
      </c>
    </row>
    <row r="9824" spans="1:10" s="9" customFormat="1" x14ac:dyDescent="0.25">
      <c r="A9824" s="447"/>
      <c r="B9824" s="55" t="str">
        <f t="shared" si="610"/>
        <v>ENERO</v>
      </c>
      <c r="C9824" s="55">
        <f t="shared" si="611"/>
        <v>1</v>
      </c>
      <c r="D9824" s="3" t="str">
        <f t="shared" si="612"/>
        <v>SÁBADO</v>
      </c>
      <c r="E9824" s="427"/>
      <c r="F9824" s="31">
        <f>IFERROR(VLOOKUP(E9824,BD!$L$2:$Q$244,2,0),0)</f>
        <v>0</v>
      </c>
      <c r="G9824" s="424"/>
      <c r="H9824" s="31">
        <f>+IFERROR(VLOOKUP(E9824,BD!$L$2:$Q$244,6,0),0)</f>
        <v>0</v>
      </c>
      <c r="I9824" s="626">
        <f>IFERROR(G9824*VLOOKUP($E9824,BD!$L$2:$Q$244,5,0),0)</f>
        <v>0</v>
      </c>
      <c r="J9824" s="3">
        <f t="shared" si="613"/>
        <v>1900</v>
      </c>
    </row>
    <row r="9825" spans="1:10" s="9" customFormat="1" x14ac:dyDescent="0.25">
      <c r="A9825" s="447"/>
      <c r="B9825" s="55" t="str">
        <f t="shared" si="610"/>
        <v>ENERO</v>
      </c>
      <c r="C9825" s="55">
        <f t="shared" si="611"/>
        <v>1</v>
      </c>
      <c r="D9825" s="3" t="str">
        <f t="shared" si="612"/>
        <v>SÁBADO</v>
      </c>
      <c r="E9825" s="427"/>
      <c r="F9825" s="31">
        <f>IFERROR(VLOOKUP(E9825,BD!$L$2:$Q$244,2,0),0)</f>
        <v>0</v>
      </c>
      <c r="G9825" s="424"/>
      <c r="H9825" s="31">
        <f>+IFERROR(VLOOKUP(E9825,BD!$L$2:$Q$244,6,0),0)</f>
        <v>0</v>
      </c>
      <c r="I9825" s="626">
        <f>IFERROR(G9825*VLOOKUP($E9825,BD!$L$2:$Q$244,5,0),0)</f>
        <v>0</v>
      </c>
      <c r="J9825" s="3">
        <f t="shared" si="613"/>
        <v>1900</v>
      </c>
    </row>
    <row r="9826" spans="1:10" s="9" customFormat="1" x14ac:dyDescent="0.25">
      <c r="A9826" s="447"/>
      <c r="B9826" s="55" t="str">
        <f t="shared" si="610"/>
        <v>ENERO</v>
      </c>
      <c r="C9826" s="55">
        <f t="shared" si="611"/>
        <v>1</v>
      </c>
      <c r="D9826" s="3" t="str">
        <f t="shared" si="612"/>
        <v>SÁBADO</v>
      </c>
      <c r="E9826" s="427"/>
      <c r="F9826" s="31">
        <f>IFERROR(VLOOKUP(E9826,BD!$L$2:$Q$244,2,0),0)</f>
        <v>0</v>
      </c>
      <c r="G9826" s="424"/>
      <c r="H9826" s="31">
        <f>+IFERROR(VLOOKUP(E9826,BD!$L$2:$Q$244,6,0),0)</f>
        <v>0</v>
      </c>
      <c r="I9826" s="626">
        <f>IFERROR(G9826*VLOOKUP($E9826,BD!$L$2:$Q$244,5,0),0)</f>
        <v>0</v>
      </c>
      <c r="J9826" s="3">
        <f t="shared" si="613"/>
        <v>1900</v>
      </c>
    </row>
    <row r="9827" spans="1:10" s="9" customFormat="1" x14ac:dyDescent="0.25">
      <c r="A9827" s="447"/>
      <c r="B9827" s="55" t="str">
        <f t="shared" si="610"/>
        <v>ENERO</v>
      </c>
      <c r="C9827" s="55">
        <f t="shared" si="611"/>
        <v>1</v>
      </c>
      <c r="D9827" s="3" t="str">
        <f t="shared" si="612"/>
        <v>SÁBADO</v>
      </c>
      <c r="E9827" s="427"/>
      <c r="F9827" s="31">
        <f>IFERROR(VLOOKUP(E9827,BD!$L$2:$Q$244,2,0),0)</f>
        <v>0</v>
      </c>
      <c r="G9827" s="424"/>
      <c r="H9827" s="31">
        <f>+IFERROR(VLOOKUP(E9827,BD!$L$2:$Q$244,6,0),0)</f>
        <v>0</v>
      </c>
      <c r="I9827" s="626">
        <f>IFERROR(G9827*VLOOKUP($E9827,BD!$L$2:$Q$244,5,0),0)</f>
        <v>0</v>
      </c>
      <c r="J9827" s="3">
        <f t="shared" si="613"/>
        <v>1900</v>
      </c>
    </row>
    <row r="9828" spans="1:10" s="9" customFormat="1" x14ac:dyDescent="0.25">
      <c r="A9828" s="447"/>
      <c r="B9828" s="55" t="str">
        <f t="shared" si="610"/>
        <v>ENERO</v>
      </c>
      <c r="C9828" s="55">
        <f t="shared" si="611"/>
        <v>1</v>
      </c>
      <c r="D9828" s="3" t="str">
        <f t="shared" si="612"/>
        <v>SÁBADO</v>
      </c>
      <c r="E9828" s="427"/>
      <c r="F9828" s="31">
        <f>IFERROR(VLOOKUP(E9828,BD!$L$2:$Q$244,2,0),0)</f>
        <v>0</v>
      </c>
      <c r="G9828" s="424"/>
      <c r="H9828" s="31">
        <f>+IFERROR(VLOOKUP(E9828,BD!$L$2:$Q$244,6,0),0)</f>
        <v>0</v>
      </c>
      <c r="I9828" s="626">
        <f>IFERROR(G9828*VLOOKUP($E9828,BD!$L$2:$Q$244,5,0),0)</f>
        <v>0</v>
      </c>
      <c r="J9828" s="3">
        <f t="shared" si="613"/>
        <v>1900</v>
      </c>
    </row>
    <row r="9829" spans="1:10" s="9" customFormat="1" x14ac:dyDescent="0.25">
      <c r="A9829" s="447"/>
      <c r="B9829" s="55" t="str">
        <f t="shared" si="610"/>
        <v>ENERO</v>
      </c>
      <c r="C9829" s="55">
        <f t="shared" si="611"/>
        <v>1</v>
      </c>
      <c r="D9829" s="3" t="str">
        <f t="shared" si="612"/>
        <v>SÁBADO</v>
      </c>
      <c r="E9829" s="427"/>
      <c r="F9829" s="31">
        <f>IFERROR(VLOOKUP(E9829,BD!$L$2:$Q$244,2,0),0)</f>
        <v>0</v>
      </c>
      <c r="G9829" s="424"/>
      <c r="H9829" s="31">
        <f>+IFERROR(VLOOKUP(E9829,BD!$L$2:$Q$244,6,0),0)</f>
        <v>0</v>
      </c>
      <c r="I9829" s="626">
        <f>IFERROR(G9829*VLOOKUP($E9829,BD!$L$2:$Q$244,5,0),0)</f>
        <v>0</v>
      </c>
      <c r="J9829" s="3">
        <f t="shared" si="613"/>
        <v>1900</v>
      </c>
    </row>
    <row r="9830" spans="1:10" s="9" customFormat="1" x14ac:dyDescent="0.25">
      <c r="A9830" s="447"/>
      <c r="B9830" s="55" t="str">
        <f t="shared" si="610"/>
        <v>ENERO</v>
      </c>
      <c r="C9830" s="55">
        <f t="shared" si="611"/>
        <v>1</v>
      </c>
      <c r="D9830" s="3" t="str">
        <f t="shared" si="612"/>
        <v>SÁBADO</v>
      </c>
      <c r="E9830" s="427"/>
      <c r="F9830" s="31">
        <f>IFERROR(VLOOKUP(E9830,BD!$L$2:$Q$244,2,0),0)</f>
        <v>0</v>
      </c>
      <c r="G9830" s="424"/>
      <c r="H9830" s="31">
        <f>+IFERROR(VLOOKUP(E9830,BD!$L$2:$Q$244,6,0),0)</f>
        <v>0</v>
      </c>
      <c r="I9830" s="626">
        <f>IFERROR(G9830*VLOOKUP($E9830,BD!$L$2:$Q$244,5,0),0)</f>
        <v>0</v>
      </c>
      <c r="J9830" s="3">
        <f t="shared" si="613"/>
        <v>1900</v>
      </c>
    </row>
    <row r="9831" spans="1:10" s="9" customFormat="1" x14ac:dyDescent="0.25">
      <c r="A9831" s="447"/>
      <c r="B9831" s="55" t="str">
        <f t="shared" si="610"/>
        <v>ENERO</v>
      </c>
      <c r="C9831" s="55">
        <f t="shared" si="611"/>
        <v>1</v>
      </c>
      <c r="D9831" s="3" t="str">
        <f t="shared" si="612"/>
        <v>SÁBADO</v>
      </c>
      <c r="E9831" s="427"/>
      <c r="F9831" s="31">
        <f>IFERROR(VLOOKUP(E9831,BD!$L$2:$Q$244,2,0),0)</f>
        <v>0</v>
      </c>
      <c r="G9831" s="424"/>
      <c r="H9831" s="31">
        <f>+IFERROR(VLOOKUP(E9831,BD!$L$2:$Q$244,6,0),0)</f>
        <v>0</v>
      </c>
      <c r="I9831" s="626">
        <f>IFERROR(G9831*VLOOKUP($E9831,BD!$L$2:$Q$244,5,0),0)</f>
        <v>0</v>
      </c>
      <c r="J9831" s="3">
        <f t="shared" si="613"/>
        <v>1900</v>
      </c>
    </row>
    <row r="9832" spans="1:10" s="9" customFormat="1" x14ac:dyDescent="0.25">
      <c r="A9832" s="447"/>
      <c r="B9832" s="55" t="str">
        <f t="shared" si="610"/>
        <v>ENERO</v>
      </c>
      <c r="C9832" s="55">
        <f t="shared" si="611"/>
        <v>1</v>
      </c>
      <c r="D9832" s="3" t="str">
        <f t="shared" si="612"/>
        <v>SÁBADO</v>
      </c>
      <c r="E9832" s="427"/>
      <c r="F9832" s="31">
        <f>IFERROR(VLOOKUP(E9832,BD!$L$2:$Q$244,2,0),0)</f>
        <v>0</v>
      </c>
      <c r="G9832" s="424"/>
      <c r="H9832" s="31">
        <f>+IFERROR(VLOOKUP(E9832,BD!$L$2:$Q$244,6,0),0)</f>
        <v>0</v>
      </c>
      <c r="I9832" s="626">
        <f>IFERROR(G9832*VLOOKUP($E9832,BD!$L$2:$Q$244,5,0),0)</f>
        <v>0</v>
      </c>
      <c r="J9832" s="3">
        <f t="shared" si="613"/>
        <v>1900</v>
      </c>
    </row>
    <row r="9833" spans="1:10" s="9" customFormat="1" x14ac:dyDescent="0.25">
      <c r="A9833" s="447"/>
      <c r="B9833" s="55" t="str">
        <f t="shared" si="610"/>
        <v>ENERO</v>
      </c>
      <c r="C9833" s="55">
        <f t="shared" si="611"/>
        <v>1</v>
      </c>
      <c r="D9833" s="3" t="str">
        <f t="shared" si="612"/>
        <v>SÁBADO</v>
      </c>
      <c r="E9833" s="427"/>
      <c r="F9833" s="31">
        <f>IFERROR(VLOOKUP(E9833,BD!$L$2:$Q$244,2,0),0)</f>
        <v>0</v>
      </c>
      <c r="G9833" s="424"/>
      <c r="H9833" s="31">
        <f>+IFERROR(VLOOKUP(E9833,BD!$L$2:$Q$244,6,0),0)</f>
        <v>0</v>
      </c>
      <c r="I9833" s="626">
        <f>IFERROR(G9833*VLOOKUP($E9833,BD!$L$2:$Q$244,5,0),0)</f>
        <v>0</v>
      </c>
      <c r="J9833" s="3">
        <f t="shared" si="613"/>
        <v>1900</v>
      </c>
    </row>
    <row r="9834" spans="1:10" s="9" customFormat="1" x14ac:dyDescent="0.25">
      <c r="A9834" s="447"/>
      <c r="B9834" s="55" t="str">
        <f t="shared" si="610"/>
        <v>ENERO</v>
      </c>
      <c r="C9834" s="55">
        <f t="shared" si="611"/>
        <v>1</v>
      </c>
      <c r="D9834" s="3" t="str">
        <f t="shared" si="612"/>
        <v>SÁBADO</v>
      </c>
      <c r="E9834" s="427"/>
      <c r="F9834" s="31">
        <f>IFERROR(VLOOKUP(E9834,BD!$L$2:$Q$244,2,0),0)</f>
        <v>0</v>
      </c>
      <c r="G9834" s="424"/>
      <c r="H9834" s="31">
        <f>+IFERROR(VLOOKUP(E9834,BD!$L$2:$Q$244,6,0),0)</f>
        <v>0</v>
      </c>
      <c r="I9834" s="626">
        <f>IFERROR(G9834*VLOOKUP($E9834,BD!$L$2:$Q$244,5,0),0)</f>
        <v>0</v>
      </c>
      <c r="J9834" s="3">
        <f t="shared" si="613"/>
        <v>1900</v>
      </c>
    </row>
    <row r="9835" spans="1:10" s="9" customFormat="1" x14ac:dyDescent="0.25">
      <c r="A9835" s="447"/>
      <c r="B9835" s="55" t="str">
        <f t="shared" si="610"/>
        <v>ENERO</v>
      </c>
      <c r="C9835" s="55">
        <f t="shared" si="611"/>
        <v>1</v>
      </c>
      <c r="D9835" s="3" t="str">
        <f t="shared" si="612"/>
        <v>SÁBADO</v>
      </c>
      <c r="E9835" s="427"/>
      <c r="F9835" s="31">
        <f>IFERROR(VLOOKUP(E9835,BD!$L$2:$Q$244,2,0),0)</f>
        <v>0</v>
      </c>
      <c r="G9835" s="424"/>
      <c r="H9835" s="31">
        <f>+IFERROR(VLOOKUP(E9835,BD!$L$2:$Q$244,6,0),0)</f>
        <v>0</v>
      </c>
      <c r="I9835" s="626">
        <f>IFERROR(G9835*VLOOKUP($E9835,BD!$L$2:$Q$244,5,0),0)</f>
        <v>0</v>
      </c>
      <c r="J9835" s="3">
        <f t="shared" si="613"/>
        <v>1900</v>
      </c>
    </row>
    <row r="9836" spans="1:10" s="9" customFormat="1" x14ac:dyDescent="0.25">
      <c r="A9836" s="447"/>
      <c r="B9836" s="55" t="str">
        <f t="shared" si="610"/>
        <v>ENERO</v>
      </c>
      <c r="C9836" s="55">
        <f t="shared" si="611"/>
        <v>1</v>
      </c>
      <c r="D9836" s="3" t="str">
        <f t="shared" si="612"/>
        <v>SÁBADO</v>
      </c>
      <c r="E9836" s="427"/>
      <c r="F9836" s="31">
        <f>IFERROR(VLOOKUP(E9836,BD!$L$2:$Q$244,2,0),0)</f>
        <v>0</v>
      </c>
      <c r="G9836" s="424"/>
      <c r="H9836" s="31">
        <f>+IFERROR(VLOOKUP(E9836,BD!$L$2:$Q$244,6,0),0)</f>
        <v>0</v>
      </c>
      <c r="I9836" s="626">
        <f>IFERROR(G9836*VLOOKUP($E9836,BD!$L$2:$Q$244,5,0),0)</f>
        <v>0</v>
      </c>
      <c r="J9836" s="3">
        <f t="shared" si="613"/>
        <v>1900</v>
      </c>
    </row>
    <row r="9837" spans="1:10" s="9" customFormat="1" x14ac:dyDescent="0.25">
      <c r="A9837" s="447"/>
      <c r="B9837" s="55" t="str">
        <f t="shared" si="610"/>
        <v>ENERO</v>
      </c>
      <c r="C9837" s="55">
        <f t="shared" si="611"/>
        <v>1</v>
      </c>
      <c r="D9837" s="3" t="str">
        <f t="shared" si="612"/>
        <v>SÁBADO</v>
      </c>
      <c r="E9837" s="427"/>
      <c r="F9837" s="31">
        <f>IFERROR(VLOOKUP(E9837,BD!$L$2:$Q$244,2,0),0)</f>
        <v>0</v>
      </c>
      <c r="G9837" s="424"/>
      <c r="H9837" s="31">
        <f>+IFERROR(VLOOKUP(E9837,BD!$L$2:$Q$244,6,0),0)</f>
        <v>0</v>
      </c>
      <c r="I9837" s="626">
        <f>IFERROR(G9837*VLOOKUP($E9837,BD!$L$2:$Q$244,5,0),0)</f>
        <v>0</v>
      </c>
      <c r="J9837" s="3">
        <f t="shared" si="613"/>
        <v>1900</v>
      </c>
    </row>
    <row r="9838" spans="1:10" s="9" customFormat="1" x14ac:dyDescent="0.25">
      <c r="A9838" s="447"/>
      <c r="B9838" s="55" t="str">
        <f t="shared" si="610"/>
        <v>ENERO</v>
      </c>
      <c r="C9838" s="55">
        <f t="shared" si="611"/>
        <v>1</v>
      </c>
      <c r="D9838" s="3" t="str">
        <f t="shared" si="612"/>
        <v>SÁBADO</v>
      </c>
      <c r="E9838" s="427"/>
      <c r="F9838" s="31">
        <f>IFERROR(VLOOKUP(E9838,BD!$L$2:$Q$244,2,0),0)</f>
        <v>0</v>
      </c>
      <c r="G9838" s="424"/>
      <c r="H9838" s="31">
        <f>+IFERROR(VLOOKUP(E9838,BD!$L$2:$Q$244,6,0),0)</f>
        <v>0</v>
      </c>
      <c r="I9838" s="626">
        <f>IFERROR(G9838*VLOOKUP($E9838,BD!$L$2:$Q$244,5,0),0)</f>
        <v>0</v>
      </c>
      <c r="J9838" s="3">
        <f t="shared" si="613"/>
        <v>1900</v>
      </c>
    </row>
    <row r="9839" spans="1:10" s="9" customFormat="1" x14ac:dyDescent="0.25">
      <c r="A9839" s="447"/>
      <c r="B9839" s="55" t="str">
        <f t="shared" si="610"/>
        <v>ENERO</v>
      </c>
      <c r="C9839" s="55">
        <f t="shared" si="611"/>
        <v>1</v>
      </c>
      <c r="D9839" s="3" t="str">
        <f t="shared" si="612"/>
        <v>SÁBADO</v>
      </c>
      <c r="E9839" s="427"/>
      <c r="F9839" s="31">
        <f>IFERROR(VLOOKUP(E9839,BD!$L$2:$Q$244,2,0),0)</f>
        <v>0</v>
      </c>
      <c r="G9839" s="424"/>
      <c r="H9839" s="31">
        <f>+IFERROR(VLOOKUP(E9839,BD!$L$2:$Q$244,6,0),0)</f>
        <v>0</v>
      </c>
      <c r="I9839" s="626">
        <f>IFERROR(G9839*VLOOKUP($E9839,BD!$L$2:$Q$244,5,0),0)</f>
        <v>0</v>
      </c>
      <c r="J9839" s="3">
        <f t="shared" si="613"/>
        <v>1900</v>
      </c>
    </row>
    <row r="9840" spans="1:10" s="9" customFormat="1" x14ac:dyDescent="0.25">
      <c r="A9840" s="447"/>
      <c r="B9840" s="55" t="str">
        <f t="shared" si="610"/>
        <v>ENERO</v>
      </c>
      <c r="C9840" s="55">
        <f t="shared" si="611"/>
        <v>1</v>
      </c>
      <c r="D9840" s="3" t="str">
        <f t="shared" si="612"/>
        <v>SÁBADO</v>
      </c>
      <c r="E9840" s="427"/>
      <c r="F9840" s="31">
        <f>IFERROR(VLOOKUP(E9840,BD!$L$2:$Q$244,2,0),0)</f>
        <v>0</v>
      </c>
      <c r="G9840" s="424"/>
      <c r="H9840" s="31">
        <f>+IFERROR(VLOOKUP(E9840,BD!$L$2:$Q$244,6,0),0)</f>
        <v>0</v>
      </c>
      <c r="I9840" s="626">
        <f>IFERROR(G9840*VLOOKUP($E9840,BD!$L$2:$Q$244,5,0),0)</f>
        <v>0</v>
      </c>
      <c r="J9840" s="3">
        <f t="shared" si="613"/>
        <v>1900</v>
      </c>
    </row>
    <row r="9841" spans="1:10" s="9" customFormat="1" x14ac:dyDescent="0.25">
      <c r="A9841" s="447"/>
      <c r="B9841" s="55" t="str">
        <f t="shared" si="610"/>
        <v>ENERO</v>
      </c>
      <c r="C9841" s="55">
        <f t="shared" si="611"/>
        <v>1</v>
      </c>
      <c r="D9841" s="3" t="str">
        <f t="shared" si="612"/>
        <v>SÁBADO</v>
      </c>
      <c r="E9841" s="427"/>
      <c r="F9841" s="31">
        <f>IFERROR(VLOOKUP(E9841,BD!$L$2:$Q$244,2,0),0)</f>
        <v>0</v>
      </c>
      <c r="G9841" s="424"/>
      <c r="H9841" s="31">
        <f>+IFERROR(VLOOKUP(E9841,BD!$L$2:$Q$244,6,0),0)</f>
        <v>0</v>
      </c>
      <c r="I9841" s="626">
        <f>IFERROR(G9841*VLOOKUP($E9841,BD!$L$2:$Q$244,5,0),0)</f>
        <v>0</v>
      </c>
      <c r="J9841" s="3">
        <f t="shared" si="613"/>
        <v>1900</v>
      </c>
    </row>
    <row r="9842" spans="1:10" s="9" customFormat="1" x14ac:dyDescent="0.25">
      <c r="A9842" s="447"/>
      <c r="B9842" s="55" t="str">
        <f t="shared" si="610"/>
        <v>ENERO</v>
      </c>
      <c r="C9842" s="55">
        <f t="shared" si="611"/>
        <v>1</v>
      </c>
      <c r="D9842" s="3" t="str">
        <f t="shared" si="612"/>
        <v>SÁBADO</v>
      </c>
      <c r="E9842" s="427"/>
      <c r="F9842" s="31">
        <f>IFERROR(VLOOKUP(E9842,BD!$L$2:$Q$244,2,0),0)</f>
        <v>0</v>
      </c>
      <c r="G9842" s="424"/>
      <c r="H9842" s="31">
        <f>+IFERROR(VLOOKUP(E9842,BD!$L$2:$Q$244,6,0),0)</f>
        <v>0</v>
      </c>
      <c r="I9842" s="626">
        <f>IFERROR(G9842*VLOOKUP($E9842,BD!$L$2:$Q$244,5,0),0)</f>
        <v>0</v>
      </c>
      <c r="J9842" s="3">
        <f t="shared" si="613"/>
        <v>1900</v>
      </c>
    </row>
    <row r="9843" spans="1:10" s="9" customFormat="1" x14ac:dyDescent="0.25">
      <c r="A9843" s="447"/>
      <c r="B9843" s="55" t="str">
        <f t="shared" si="610"/>
        <v>ENERO</v>
      </c>
      <c r="C9843" s="55">
        <f t="shared" si="611"/>
        <v>1</v>
      </c>
      <c r="D9843" s="3" t="str">
        <f t="shared" si="612"/>
        <v>SÁBADO</v>
      </c>
      <c r="E9843" s="427"/>
      <c r="F9843" s="31">
        <f>IFERROR(VLOOKUP(E9843,BD!$L$2:$Q$244,2,0),0)</f>
        <v>0</v>
      </c>
      <c r="G9843" s="424"/>
      <c r="H9843" s="31">
        <f>+IFERROR(VLOOKUP(E9843,BD!$L$2:$Q$244,6,0),0)</f>
        <v>0</v>
      </c>
      <c r="I9843" s="626">
        <f>IFERROR(G9843*VLOOKUP($E9843,BD!$L$2:$Q$244,5,0),0)</f>
        <v>0</v>
      </c>
      <c r="J9843" s="3">
        <f t="shared" si="613"/>
        <v>1900</v>
      </c>
    </row>
    <row r="9844" spans="1:10" s="9" customFormat="1" x14ac:dyDescent="0.25">
      <c r="A9844" s="447"/>
      <c r="B9844" s="55" t="str">
        <f t="shared" si="610"/>
        <v>ENERO</v>
      </c>
      <c r="C9844" s="55">
        <f t="shared" si="611"/>
        <v>1</v>
      </c>
      <c r="D9844" s="3" t="str">
        <f t="shared" si="612"/>
        <v>SÁBADO</v>
      </c>
      <c r="E9844" s="427"/>
      <c r="F9844" s="31">
        <f>IFERROR(VLOOKUP(E9844,BD!$L$2:$Q$244,2,0),0)</f>
        <v>0</v>
      </c>
      <c r="G9844" s="424"/>
      <c r="H9844" s="31">
        <f>+IFERROR(VLOOKUP(E9844,BD!$L$2:$Q$244,6,0),0)</f>
        <v>0</v>
      </c>
      <c r="I9844" s="626">
        <f>IFERROR(G9844*VLOOKUP($E9844,BD!$L$2:$Q$244,5,0),0)</f>
        <v>0</v>
      </c>
      <c r="J9844" s="3">
        <f t="shared" si="613"/>
        <v>1900</v>
      </c>
    </row>
    <row r="9845" spans="1:10" s="9" customFormat="1" x14ac:dyDescent="0.25">
      <c r="A9845" s="447"/>
      <c r="B9845" s="55" t="str">
        <f t="shared" si="610"/>
        <v>ENERO</v>
      </c>
      <c r="C9845" s="55">
        <f t="shared" si="611"/>
        <v>1</v>
      </c>
      <c r="D9845" s="3" t="str">
        <f t="shared" si="612"/>
        <v>SÁBADO</v>
      </c>
      <c r="E9845" s="427"/>
      <c r="F9845" s="31">
        <f>IFERROR(VLOOKUP(E9845,BD!$L$2:$Q$244,2,0),0)</f>
        <v>0</v>
      </c>
      <c r="G9845" s="424"/>
      <c r="H9845" s="31">
        <f>+IFERROR(VLOOKUP(E9845,BD!$L$2:$Q$244,6,0),0)</f>
        <v>0</v>
      </c>
      <c r="I9845" s="626">
        <f>IFERROR(G9845*VLOOKUP($E9845,BD!$L$2:$Q$244,5,0),0)</f>
        <v>0</v>
      </c>
      <c r="J9845" s="3">
        <f t="shared" si="613"/>
        <v>1900</v>
      </c>
    </row>
    <row r="9846" spans="1:10" s="9" customFormat="1" x14ac:dyDescent="0.25">
      <c r="A9846" s="447"/>
      <c r="B9846" s="55" t="str">
        <f t="shared" si="610"/>
        <v>ENERO</v>
      </c>
      <c r="C9846" s="55">
        <f t="shared" si="611"/>
        <v>1</v>
      </c>
      <c r="D9846" s="3" t="str">
        <f t="shared" si="612"/>
        <v>SÁBADO</v>
      </c>
      <c r="E9846" s="427"/>
      <c r="F9846" s="31">
        <f>IFERROR(VLOOKUP(E9846,BD!$L$2:$Q$244,2,0),0)</f>
        <v>0</v>
      </c>
      <c r="G9846" s="424"/>
      <c r="H9846" s="31">
        <f>+IFERROR(VLOOKUP(E9846,BD!$L$2:$Q$244,6,0),0)</f>
        <v>0</v>
      </c>
      <c r="I9846" s="626">
        <f>IFERROR(G9846*VLOOKUP($E9846,BD!$L$2:$Q$244,5,0),0)</f>
        <v>0</v>
      </c>
      <c r="J9846" s="3">
        <f t="shared" si="613"/>
        <v>1900</v>
      </c>
    </row>
    <row r="9847" spans="1:10" s="9" customFormat="1" x14ac:dyDescent="0.25">
      <c r="A9847" s="447"/>
      <c r="B9847" s="55" t="str">
        <f t="shared" si="610"/>
        <v>ENERO</v>
      </c>
      <c r="C9847" s="55">
        <f t="shared" si="611"/>
        <v>1</v>
      </c>
      <c r="D9847" s="3" t="str">
        <f t="shared" si="612"/>
        <v>SÁBADO</v>
      </c>
      <c r="E9847" s="427"/>
      <c r="F9847" s="31">
        <f>IFERROR(VLOOKUP(E9847,BD!$L$2:$Q$244,2,0),0)</f>
        <v>0</v>
      </c>
      <c r="G9847" s="424"/>
      <c r="H9847" s="31">
        <f>+IFERROR(VLOOKUP(E9847,BD!$L$2:$Q$244,6,0),0)</f>
        <v>0</v>
      </c>
      <c r="I9847" s="626">
        <f>IFERROR(G9847*VLOOKUP($E9847,BD!$L$2:$Q$244,5,0),0)</f>
        <v>0</v>
      </c>
      <c r="J9847" s="3">
        <f t="shared" si="613"/>
        <v>1900</v>
      </c>
    </row>
    <row r="9848" spans="1:10" s="9" customFormat="1" x14ac:dyDescent="0.25">
      <c r="A9848" s="447"/>
      <c r="B9848" s="55" t="str">
        <f t="shared" si="610"/>
        <v>ENERO</v>
      </c>
      <c r="C9848" s="55">
        <f t="shared" si="611"/>
        <v>1</v>
      </c>
      <c r="D9848" s="3" t="str">
        <f t="shared" si="612"/>
        <v>SÁBADO</v>
      </c>
      <c r="E9848" s="427"/>
      <c r="F9848" s="31">
        <f>IFERROR(VLOOKUP(E9848,BD!$L$2:$Q$244,2,0),0)</f>
        <v>0</v>
      </c>
      <c r="G9848" s="424"/>
      <c r="H9848" s="31">
        <f>+IFERROR(VLOOKUP(E9848,BD!$L$2:$Q$244,6,0),0)</f>
        <v>0</v>
      </c>
      <c r="I9848" s="626">
        <f>IFERROR(G9848*VLOOKUP($E9848,BD!$L$2:$Q$244,5,0),0)</f>
        <v>0</v>
      </c>
      <c r="J9848" s="3">
        <f t="shared" si="613"/>
        <v>1900</v>
      </c>
    </row>
    <row r="9849" spans="1:10" s="9" customFormat="1" x14ac:dyDescent="0.25">
      <c r="A9849" s="447"/>
      <c r="B9849" s="55" t="str">
        <f t="shared" si="610"/>
        <v>ENERO</v>
      </c>
      <c r="C9849" s="55">
        <f t="shared" si="611"/>
        <v>1</v>
      </c>
      <c r="D9849" s="3" t="str">
        <f t="shared" si="612"/>
        <v>SÁBADO</v>
      </c>
      <c r="E9849" s="427"/>
      <c r="F9849" s="31">
        <f>IFERROR(VLOOKUP(E9849,BD!$L$2:$Q$244,2,0),0)</f>
        <v>0</v>
      </c>
      <c r="G9849" s="424"/>
      <c r="H9849" s="31">
        <f>+IFERROR(VLOOKUP(E9849,BD!$L$2:$Q$244,6,0),0)</f>
        <v>0</v>
      </c>
      <c r="I9849" s="626">
        <f>IFERROR(G9849*VLOOKUP($E9849,BD!$L$2:$Q$244,5,0),0)</f>
        <v>0</v>
      </c>
      <c r="J9849" s="3">
        <f t="shared" si="613"/>
        <v>1900</v>
      </c>
    </row>
    <row r="9850" spans="1:10" s="9" customFormat="1" x14ac:dyDescent="0.25">
      <c r="A9850" s="447"/>
      <c r="B9850" s="55" t="str">
        <f t="shared" si="610"/>
        <v>ENERO</v>
      </c>
      <c r="C9850" s="55">
        <f t="shared" si="611"/>
        <v>1</v>
      </c>
      <c r="D9850" s="3" t="str">
        <f t="shared" si="612"/>
        <v>SÁBADO</v>
      </c>
      <c r="E9850" s="427"/>
      <c r="F9850" s="31">
        <f>IFERROR(VLOOKUP(E9850,BD!$L$2:$Q$244,2,0),0)</f>
        <v>0</v>
      </c>
      <c r="G9850" s="424"/>
      <c r="H9850" s="31">
        <f>+IFERROR(VLOOKUP(E9850,BD!$L$2:$Q$244,6,0),0)</f>
        <v>0</v>
      </c>
      <c r="I9850" s="626">
        <f>IFERROR(G9850*VLOOKUP($E9850,BD!$L$2:$Q$244,5,0),0)</f>
        <v>0</v>
      </c>
      <c r="J9850" s="3">
        <f t="shared" si="613"/>
        <v>1900</v>
      </c>
    </row>
    <row r="9851" spans="1:10" s="9" customFormat="1" x14ac:dyDescent="0.25">
      <c r="A9851" s="447"/>
      <c r="B9851" s="55" t="str">
        <f t="shared" si="610"/>
        <v>ENERO</v>
      </c>
      <c r="C9851" s="55">
        <f t="shared" si="611"/>
        <v>1</v>
      </c>
      <c r="D9851" s="3" t="str">
        <f t="shared" si="612"/>
        <v>SÁBADO</v>
      </c>
      <c r="E9851" s="427"/>
      <c r="F9851" s="31">
        <f>IFERROR(VLOOKUP(E9851,BD!$L$2:$Q$244,2,0),0)</f>
        <v>0</v>
      </c>
      <c r="G9851" s="424"/>
      <c r="H9851" s="31">
        <f>+IFERROR(VLOOKUP(E9851,BD!$L$2:$Q$244,6,0),0)</f>
        <v>0</v>
      </c>
      <c r="I9851" s="626">
        <f>IFERROR(G9851*VLOOKUP($E9851,BD!$L$2:$Q$244,5,0),0)</f>
        <v>0</v>
      </c>
      <c r="J9851" s="3">
        <f t="shared" si="613"/>
        <v>1900</v>
      </c>
    </row>
    <row r="9852" spans="1:10" s="9" customFormat="1" x14ac:dyDescent="0.25">
      <c r="A9852" s="447"/>
      <c r="B9852" s="55" t="str">
        <f t="shared" ref="B9852:B9915" si="614">UPPER(TEXT(A9852,"MMMM"))</f>
        <v>ENERO</v>
      </c>
      <c r="C9852" s="55">
        <f t="shared" ref="C9852:C9915" si="615">WEEKNUM(A9852,16)</f>
        <v>1</v>
      </c>
      <c r="D9852" s="3" t="str">
        <f t="shared" ref="D9852:D9915" si="616">UPPER(TEXT(A9852,"DDDD"))</f>
        <v>SÁBADO</v>
      </c>
      <c r="E9852" s="427"/>
      <c r="F9852" s="31">
        <f>IFERROR(VLOOKUP(E9852,BD!$L$2:$Q$244,2,0),0)</f>
        <v>0</v>
      </c>
      <c r="G9852" s="424"/>
      <c r="H9852" s="31">
        <f>+IFERROR(VLOOKUP(E9852,BD!$L$2:$Q$244,6,0),0)</f>
        <v>0</v>
      </c>
      <c r="I9852" s="626">
        <f>IFERROR(G9852*VLOOKUP($E9852,BD!$L$2:$Q$244,5,0),0)</f>
        <v>0</v>
      </c>
      <c r="J9852" s="3">
        <f t="shared" ref="J9852:J9915" si="617">+YEAR(A9852)</f>
        <v>1900</v>
      </c>
    </row>
    <row r="9853" spans="1:10" s="9" customFormat="1" x14ac:dyDescent="0.25">
      <c r="A9853" s="447"/>
      <c r="B9853" s="55" t="str">
        <f t="shared" si="614"/>
        <v>ENERO</v>
      </c>
      <c r="C9853" s="55">
        <f t="shared" si="615"/>
        <v>1</v>
      </c>
      <c r="D9853" s="3" t="str">
        <f t="shared" si="616"/>
        <v>SÁBADO</v>
      </c>
      <c r="E9853" s="427"/>
      <c r="F9853" s="31">
        <f>IFERROR(VLOOKUP(E9853,BD!$L$2:$Q$244,2,0),0)</f>
        <v>0</v>
      </c>
      <c r="G9853" s="424"/>
      <c r="H9853" s="31">
        <f>+IFERROR(VLOOKUP(E9853,BD!$L$2:$Q$244,6,0),0)</f>
        <v>0</v>
      </c>
      <c r="I9853" s="626">
        <f>IFERROR(G9853*VLOOKUP($E9853,BD!$L$2:$Q$244,5,0),0)</f>
        <v>0</v>
      </c>
      <c r="J9853" s="3">
        <f t="shared" si="617"/>
        <v>1900</v>
      </c>
    </row>
    <row r="9854" spans="1:10" s="9" customFormat="1" x14ac:dyDescent="0.25">
      <c r="A9854" s="447"/>
      <c r="B9854" s="55" t="str">
        <f t="shared" si="614"/>
        <v>ENERO</v>
      </c>
      <c r="C9854" s="55">
        <f t="shared" si="615"/>
        <v>1</v>
      </c>
      <c r="D9854" s="3" t="str">
        <f t="shared" si="616"/>
        <v>SÁBADO</v>
      </c>
      <c r="E9854" s="427"/>
      <c r="F9854" s="31">
        <f>IFERROR(VLOOKUP(E9854,BD!$L$2:$Q$244,2,0),0)</f>
        <v>0</v>
      </c>
      <c r="G9854" s="424"/>
      <c r="H9854" s="31">
        <f>+IFERROR(VLOOKUP(E9854,BD!$L$2:$Q$244,6,0),0)</f>
        <v>0</v>
      </c>
      <c r="I9854" s="626">
        <f>IFERROR(G9854*VLOOKUP($E9854,BD!$L$2:$Q$244,5,0),0)</f>
        <v>0</v>
      </c>
      <c r="J9854" s="3">
        <f t="shared" si="617"/>
        <v>1900</v>
      </c>
    </row>
    <row r="9855" spans="1:10" s="9" customFormat="1" x14ac:dyDescent="0.25">
      <c r="A9855" s="447"/>
      <c r="B9855" s="55" t="str">
        <f t="shared" si="614"/>
        <v>ENERO</v>
      </c>
      <c r="C9855" s="55">
        <f t="shared" si="615"/>
        <v>1</v>
      </c>
      <c r="D9855" s="3" t="str">
        <f t="shared" si="616"/>
        <v>SÁBADO</v>
      </c>
      <c r="E9855" s="427"/>
      <c r="F9855" s="31">
        <f>IFERROR(VLOOKUP(E9855,BD!$L$2:$Q$244,2,0),0)</f>
        <v>0</v>
      </c>
      <c r="G9855" s="424"/>
      <c r="H9855" s="31">
        <f>+IFERROR(VLOOKUP(E9855,BD!$L$2:$Q$244,6,0),0)</f>
        <v>0</v>
      </c>
      <c r="I9855" s="626">
        <f>IFERROR(G9855*VLOOKUP($E9855,BD!$L$2:$Q$244,5,0),0)</f>
        <v>0</v>
      </c>
      <c r="J9855" s="3">
        <f t="shared" si="617"/>
        <v>1900</v>
      </c>
    </row>
    <row r="9856" spans="1:10" s="9" customFormat="1" x14ac:dyDescent="0.25">
      <c r="A9856" s="447"/>
      <c r="B9856" s="55" t="str">
        <f t="shared" si="614"/>
        <v>ENERO</v>
      </c>
      <c r="C9856" s="55">
        <f t="shared" si="615"/>
        <v>1</v>
      </c>
      <c r="D9856" s="3" t="str">
        <f t="shared" si="616"/>
        <v>SÁBADO</v>
      </c>
      <c r="E9856" s="427"/>
      <c r="F9856" s="31">
        <f>IFERROR(VLOOKUP(E9856,BD!$L$2:$Q$244,2,0),0)</f>
        <v>0</v>
      </c>
      <c r="G9856" s="424"/>
      <c r="H9856" s="31">
        <f>+IFERROR(VLOOKUP(E9856,BD!$L$2:$Q$244,6,0),0)</f>
        <v>0</v>
      </c>
      <c r="I9856" s="626">
        <f>IFERROR(G9856*VLOOKUP($E9856,BD!$L$2:$Q$244,5,0),0)</f>
        <v>0</v>
      </c>
      <c r="J9856" s="3">
        <f t="shared" si="617"/>
        <v>1900</v>
      </c>
    </row>
    <row r="9857" spans="1:10" s="9" customFormat="1" x14ac:dyDescent="0.25">
      <c r="A9857" s="447"/>
      <c r="B9857" s="55" t="str">
        <f t="shared" si="614"/>
        <v>ENERO</v>
      </c>
      <c r="C9857" s="55">
        <f t="shared" si="615"/>
        <v>1</v>
      </c>
      <c r="D9857" s="3" t="str">
        <f t="shared" si="616"/>
        <v>SÁBADO</v>
      </c>
      <c r="E9857" s="427"/>
      <c r="F9857" s="31">
        <f>IFERROR(VLOOKUP(E9857,BD!$L$2:$Q$244,2,0),0)</f>
        <v>0</v>
      </c>
      <c r="G9857" s="424"/>
      <c r="H9857" s="31">
        <f>+IFERROR(VLOOKUP(E9857,BD!$L$2:$Q$244,6,0),0)</f>
        <v>0</v>
      </c>
      <c r="I9857" s="626">
        <f>IFERROR(G9857*VLOOKUP($E9857,BD!$L$2:$Q$244,5,0),0)</f>
        <v>0</v>
      </c>
      <c r="J9857" s="3">
        <f t="shared" si="617"/>
        <v>1900</v>
      </c>
    </row>
    <row r="9858" spans="1:10" s="9" customFormat="1" x14ac:dyDescent="0.25">
      <c r="A9858" s="447"/>
      <c r="B9858" s="55" t="str">
        <f t="shared" si="614"/>
        <v>ENERO</v>
      </c>
      <c r="C9858" s="55">
        <f t="shared" si="615"/>
        <v>1</v>
      </c>
      <c r="D9858" s="3" t="str">
        <f t="shared" si="616"/>
        <v>SÁBADO</v>
      </c>
      <c r="E9858" s="427"/>
      <c r="F9858" s="31">
        <f>IFERROR(VLOOKUP(E9858,BD!$L$2:$Q$244,2,0),0)</f>
        <v>0</v>
      </c>
      <c r="G9858" s="424"/>
      <c r="H9858" s="31">
        <f>+IFERROR(VLOOKUP(E9858,BD!$L$2:$Q$244,6,0),0)</f>
        <v>0</v>
      </c>
      <c r="I9858" s="626">
        <f>IFERROR(G9858*VLOOKUP($E9858,BD!$L$2:$Q$244,5,0),0)</f>
        <v>0</v>
      </c>
      <c r="J9858" s="3">
        <f t="shared" si="617"/>
        <v>1900</v>
      </c>
    </row>
    <row r="9859" spans="1:10" s="9" customFormat="1" x14ac:dyDescent="0.25">
      <c r="A9859" s="447"/>
      <c r="B9859" s="55" t="str">
        <f t="shared" si="614"/>
        <v>ENERO</v>
      </c>
      <c r="C9859" s="55">
        <f t="shared" si="615"/>
        <v>1</v>
      </c>
      <c r="D9859" s="3" t="str">
        <f t="shared" si="616"/>
        <v>SÁBADO</v>
      </c>
      <c r="E9859" s="427"/>
      <c r="F9859" s="31">
        <f>IFERROR(VLOOKUP(E9859,BD!$L$2:$Q$244,2,0),0)</f>
        <v>0</v>
      </c>
      <c r="G9859" s="424"/>
      <c r="H9859" s="31">
        <f>+IFERROR(VLOOKUP(E9859,BD!$L$2:$Q$244,6,0),0)</f>
        <v>0</v>
      </c>
      <c r="I9859" s="626">
        <f>IFERROR(G9859*VLOOKUP($E9859,BD!$L$2:$Q$244,5,0),0)</f>
        <v>0</v>
      </c>
      <c r="J9859" s="3">
        <f t="shared" si="617"/>
        <v>1900</v>
      </c>
    </row>
    <row r="9860" spans="1:10" s="9" customFormat="1" x14ac:dyDescent="0.25">
      <c r="A9860" s="447"/>
      <c r="B9860" s="55" t="str">
        <f t="shared" si="614"/>
        <v>ENERO</v>
      </c>
      <c r="C9860" s="55">
        <f t="shared" si="615"/>
        <v>1</v>
      </c>
      <c r="D9860" s="3" t="str">
        <f t="shared" si="616"/>
        <v>SÁBADO</v>
      </c>
      <c r="E9860" s="427"/>
      <c r="F9860" s="31">
        <f>IFERROR(VLOOKUP(E9860,BD!$L$2:$Q$244,2,0),0)</f>
        <v>0</v>
      </c>
      <c r="G9860" s="424"/>
      <c r="H9860" s="31">
        <f>+IFERROR(VLOOKUP(E9860,BD!$L$2:$Q$244,6,0),0)</f>
        <v>0</v>
      </c>
      <c r="I9860" s="626">
        <f>IFERROR(G9860*VLOOKUP($E9860,BD!$L$2:$Q$244,5,0),0)</f>
        <v>0</v>
      </c>
      <c r="J9860" s="3">
        <f t="shared" si="617"/>
        <v>1900</v>
      </c>
    </row>
    <row r="9861" spans="1:10" s="9" customFormat="1" x14ac:dyDescent="0.25">
      <c r="A9861" s="447"/>
      <c r="B9861" s="55" t="str">
        <f t="shared" si="614"/>
        <v>ENERO</v>
      </c>
      <c r="C9861" s="55">
        <f t="shared" si="615"/>
        <v>1</v>
      </c>
      <c r="D9861" s="3" t="str">
        <f t="shared" si="616"/>
        <v>SÁBADO</v>
      </c>
      <c r="E9861" s="427"/>
      <c r="F9861" s="31">
        <f>IFERROR(VLOOKUP(E9861,BD!$L$2:$Q$244,2,0),0)</f>
        <v>0</v>
      </c>
      <c r="G9861" s="424"/>
      <c r="H9861" s="31">
        <f>+IFERROR(VLOOKUP(E9861,BD!$L$2:$Q$244,6,0),0)</f>
        <v>0</v>
      </c>
      <c r="I9861" s="626">
        <f>IFERROR(G9861*VLOOKUP($E9861,BD!$L$2:$Q$244,5,0),0)</f>
        <v>0</v>
      </c>
      <c r="J9861" s="3">
        <f t="shared" si="617"/>
        <v>1900</v>
      </c>
    </row>
    <row r="9862" spans="1:10" s="9" customFormat="1" x14ac:dyDescent="0.25">
      <c r="A9862" s="447"/>
      <c r="B9862" s="55" t="str">
        <f t="shared" si="614"/>
        <v>ENERO</v>
      </c>
      <c r="C9862" s="55">
        <f t="shared" si="615"/>
        <v>1</v>
      </c>
      <c r="D9862" s="3" t="str">
        <f t="shared" si="616"/>
        <v>SÁBADO</v>
      </c>
      <c r="E9862" s="427"/>
      <c r="F9862" s="31">
        <f>IFERROR(VLOOKUP(E9862,BD!$L$2:$Q$244,2,0),0)</f>
        <v>0</v>
      </c>
      <c r="G9862" s="424"/>
      <c r="H9862" s="31">
        <f>+IFERROR(VLOOKUP(E9862,BD!$L$2:$Q$244,6,0),0)</f>
        <v>0</v>
      </c>
      <c r="I9862" s="626">
        <f>IFERROR(G9862*VLOOKUP($E9862,BD!$L$2:$Q$244,5,0),0)</f>
        <v>0</v>
      </c>
      <c r="J9862" s="3">
        <f t="shared" si="617"/>
        <v>1900</v>
      </c>
    </row>
    <row r="9863" spans="1:10" s="9" customFormat="1" x14ac:dyDescent="0.25">
      <c r="A9863" s="447"/>
      <c r="B9863" s="55" t="str">
        <f t="shared" si="614"/>
        <v>ENERO</v>
      </c>
      <c r="C9863" s="55">
        <f t="shared" si="615"/>
        <v>1</v>
      </c>
      <c r="D9863" s="3" t="str">
        <f t="shared" si="616"/>
        <v>SÁBADO</v>
      </c>
      <c r="E9863" s="427"/>
      <c r="F9863" s="31">
        <f>IFERROR(VLOOKUP(E9863,BD!$L$2:$Q$244,2,0),0)</f>
        <v>0</v>
      </c>
      <c r="G9863" s="424"/>
      <c r="H9863" s="31">
        <f>+IFERROR(VLOOKUP(E9863,BD!$L$2:$Q$244,6,0),0)</f>
        <v>0</v>
      </c>
      <c r="I9863" s="626">
        <f>IFERROR(G9863*VLOOKUP($E9863,BD!$L$2:$Q$244,5,0),0)</f>
        <v>0</v>
      </c>
      <c r="J9863" s="3">
        <f t="shared" si="617"/>
        <v>1900</v>
      </c>
    </row>
    <row r="9864" spans="1:10" s="9" customFormat="1" x14ac:dyDescent="0.25">
      <c r="A9864" s="447"/>
      <c r="B9864" s="55" t="str">
        <f t="shared" si="614"/>
        <v>ENERO</v>
      </c>
      <c r="C9864" s="55">
        <f t="shared" si="615"/>
        <v>1</v>
      </c>
      <c r="D9864" s="3" t="str">
        <f t="shared" si="616"/>
        <v>SÁBADO</v>
      </c>
      <c r="E9864" s="427"/>
      <c r="F9864" s="31">
        <f>IFERROR(VLOOKUP(E9864,BD!$L$2:$Q$244,2,0),0)</f>
        <v>0</v>
      </c>
      <c r="G9864" s="424"/>
      <c r="H9864" s="31">
        <f>+IFERROR(VLOOKUP(E9864,BD!$L$2:$Q$244,6,0),0)</f>
        <v>0</v>
      </c>
      <c r="I9864" s="626">
        <f>IFERROR(G9864*VLOOKUP($E9864,BD!$L$2:$Q$244,5,0),0)</f>
        <v>0</v>
      </c>
      <c r="J9864" s="3">
        <f t="shared" si="617"/>
        <v>1900</v>
      </c>
    </row>
    <row r="9865" spans="1:10" s="9" customFormat="1" x14ac:dyDescent="0.25">
      <c r="A9865" s="447"/>
      <c r="B9865" s="55" t="str">
        <f t="shared" si="614"/>
        <v>ENERO</v>
      </c>
      <c r="C9865" s="55">
        <f t="shared" si="615"/>
        <v>1</v>
      </c>
      <c r="D9865" s="3" t="str">
        <f t="shared" si="616"/>
        <v>SÁBADO</v>
      </c>
      <c r="E9865" s="427"/>
      <c r="F9865" s="31">
        <f>IFERROR(VLOOKUP(E9865,BD!$L$2:$Q$244,2,0),0)</f>
        <v>0</v>
      </c>
      <c r="G9865" s="424"/>
      <c r="H9865" s="31">
        <f>+IFERROR(VLOOKUP(E9865,BD!$L$2:$Q$244,6,0),0)</f>
        <v>0</v>
      </c>
      <c r="I9865" s="626">
        <f>IFERROR(G9865*VLOOKUP($E9865,BD!$L$2:$Q$244,5,0),0)</f>
        <v>0</v>
      </c>
      <c r="J9865" s="3">
        <f t="shared" si="617"/>
        <v>1900</v>
      </c>
    </row>
    <row r="9866" spans="1:10" s="9" customFormat="1" x14ac:dyDescent="0.25">
      <c r="A9866" s="447"/>
      <c r="B9866" s="55" t="str">
        <f t="shared" si="614"/>
        <v>ENERO</v>
      </c>
      <c r="C9866" s="55">
        <f t="shared" si="615"/>
        <v>1</v>
      </c>
      <c r="D9866" s="3" t="str">
        <f t="shared" si="616"/>
        <v>SÁBADO</v>
      </c>
      <c r="E9866" s="427"/>
      <c r="F9866" s="31">
        <f>IFERROR(VLOOKUP(E9866,BD!$L$2:$Q$244,2,0),0)</f>
        <v>0</v>
      </c>
      <c r="G9866" s="424"/>
      <c r="H9866" s="31">
        <f>+IFERROR(VLOOKUP(E9866,BD!$L$2:$Q$244,6,0),0)</f>
        <v>0</v>
      </c>
      <c r="I9866" s="626">
        <f>IFERROR(G9866*VLOOKUP($E9866,BD!$L$2:$Q$244,5,0),0)</f>
        <v>0</v>
      </c>
      <c r="J9866" s="3">
        <f t="shared" si="617"/>
        <v>1900</v>
      </c>
    </row>
    <row r="9867" spans="1:10" s="9" customFormat="1" x14ac:dyDescent="0.25">
      <c r="A9867" s="447"/>
      <c r="B9867" s="55" t="str">
        <f t="shared" si="614"/>
        <v>ENERO</v>
      </c>
      <c r="C9867" s="55">
        <f t="shared" si="615"/>
        <v>1</v>
      </c>
      <c r="D9867" s="3" t="str">
        <f t="shared" si="616"/>
        <v>SÁBADO</v>
      </c>
      <c r="E9867" s="427"/>
      <c r="F9867" s="31">
        <f>IFERROR(VLOOKUP(E9867,BD!$L$2:$Q$244,2,0),0)</f>
        <v>0</v>
      </c>
      <c r="G9867" s="424"/>
      <c r="H9867" s="31">
        <f>+IFERROR(VLOOKUP(E9867,BD!$L$2:$Q$244,6,0),0)</f>
        <v>0</v>
      </c>
      <c r="I9867" s="626">
        <f>IFERROR(G9867*VLOOKUP($E9867,BD!$L$2:$Q$244,5,0),0)</f>
        <v>0</v>
      </c>
      <c r="J9867" s="3">
        <f t="shared" si="617"/>
        <v>1900</v>
      </c>
    </row>
    <row r="9868" spans="1:10" s="9" customFormat="1" x14ac:dyDescent="0.25">
      <c r="A9868" s="447"/>
      <c r="B9868" s="55" t="str">
        <f t="shared" si="614"/>
        <v>ENERO</v>
      </c>
      <c r="C9868" s="55">
        <f t="shared" si="615"/>
        <v>1</v>
      </c>
      <c r="D9868" s="3" t="str">
        <f t="shared" si="616"/>
        <v>SÁBADO</v>
      </c>
      <c r="E9868" s="427"/>
      <c r="F9868" s="31">
        <f>IFERROR(VLOOKUP(E9868,BD!$L$2:$Q$244,2,0),0)</f>
        <v>0</v>
      </c>
      <c r="G9868" s="424"/>
      <c r="H9868" s="31">
        <f>+IFERROR(VLOOKUP(E9868,BD!$L$2:$Q$244,6,0),0)</f>
        <v>0</v>
      </c>
      <c r="I9868" s="626">
        <f>IFERROR(G9868*VLOOKUP($E9868,BD!$L$2:$Q$244,5,0),0)</f>
        <v>0</v>
      </c>
      <c r="J9868" s="3">
        <f t="shared" si="617"/>
        <v>1900</v>
      </c>
    </row>
    <row r="9869" spans="1:10" s="9" customFormat="1" x14ac:dyDescent="0.25">
      <c r="A9869" s="447"/>
      <c r="B9869" s="55" t="str">
        <f t="shared" si="614"/>
        <v>ENERO</v>
      </c>
      <c r="C9869" s="55">
        <f t="shared" si="615"/>
        <v>1</v>
      </c>
      <c r="D9869" s="3" t="str">
        <f t="shared" si="616"/>
        <v>SÁBADO</v>
      </c>
      <c r="E9869" s="427"/>
      <c r="F9869" s="31">
        <f>IFERROR(VLOOKUP(E9869,BD!$L$2:$Q$244,2,0),0)</f>
        <v>0</v>
      </c>
      <c r="G9869" s="424"/>
      <c r="H9869" s="31">
        <f>+IFERROR(VLOOKUP(E9869,BD!$L$2:$Q$244,6,0),0)</f>
        <v>0</v>
      </c>
      <c r="I9869" s="626">
        <f>IFERROR(G9869*VLOOKUP($E9869,BD!$L$2:$Q$244,5,0),0)</f>
        <v>0</v>
      </c>
      <c r="J9869" s="3">
        <f t="shared" si="617"/>
        <v>1900</v>
      </c>
    </row>
    <row r="9870" spans="1:10" s="9" customFormat="1" x14ac:dyDescent="0.25">
      <c r="A9870" s="447"/>
      <c r="B9870" s="55" t="str">
        <f t="shared" si="614"/>
        <v>ENERO</v>
      </c>
      <c r="C9870" s="55">
        <f t="shared" si="615"/>
        <v>1</v>
      </c>
      <c r="D9870" s="3" t="str">
        <f t="shared" si="616"/>
        <v>SÁBADO</v>
      </c>
      <c r="E9870" s="427"/>
      <c r="F9870" s="31">
        <f>IFERROR(VLOOKUP(E9870,BD!$L$2:$Q$244,2,0),0)</f>
        <v>0</v>
      </c>
      <c r="G9870" s="424"/>
      <c r="H9870" s="31">
        <f>+IFERROR(VLOOKUP(E9870,BD!$L$2:$Q$244,6,0),0)</f>
        <v>0</v>
      </c>
      <c r="I9870" s="626">
        <f>IFERROR(G9870*VLOOKUP($E9870,BD!$L$2:$Q$244,5,0),0)</f>
        <v>0</v>
      </c>
      <c r="J9870" s="3">
        <f t="shared" si="617"/>
        <v>1900</v>
      </c>
    </row>
    <row r="9871" spans="1:10" s="9" customFormat="1" x14ac:dyDescent="0.25">
      <c r="A9871" s="447"/>
      <c r="B9871" s="55" t="str">
        <f t="shared" si="614"/>
        <v>ENERO</v>
      </c>
      <c r="C9871" s="55">
        <f t="shared" si="615"/>
        <v>1</v>
      </c>
      <c r="D9871" s="3" t="str">
        <f t="shared" si="616"/>
        <v>SÁBADO</v>
      </c>
      <c r="E9871" s="427"/>
      <c r="F9871" s="31">
        <f>IFERROR(VLOOKUP(E9871,BD!$L$2:$Q$244,2,0),0)</f>
        <v>0</v>
      </c>
      <c r="G9871" s="424"/>
      <c r="H9871" s="31">
        <f>+IFERROR(VLOOKUP(E9871,BD!$L$2:$Q$244,6,0),0)</f>
        <v>0</v>
      </c>
      <c r="I9871" s="626">
        <f>IFERROR(G9871*VLOOKUP($E9871,BD!$L$2:$Q$244,5,0),0)</f>
        <v>0</v>
      </c>
      <c r="J9871" s="3">
        <f t="shared" si="617"/>
        <v>1900</v>
      </c>
    </row>
    <row r="9872" spans="1:10" s="9" customFormat="1" x14ac:dyDescent="0.25">
      <c r="A9872" s="447"/>
      <c r="B9872" s="55" t="str">
        <f t="shared" si="614"/>
        <v>ENERO</v>
      </c>
      <c r="C9872" s="55">
        <f t="shared" si="615"/>
        <v>1</v>
      </c>
      <c r="D9872" s="3" t="str">
        <f t="shared" si="616"/>
        <v>SÁBADO</v>
      </c>
      <c r="E9872" s="427"/>
      <c r="F9872" s="31">
        <f>IFERROR(VLOOKUP(E9872,BD!$L$2:$Q$244,2,0),0)</f>
        <v>0</v>
      </c>
      <c r="G9872" s="424"/>
      <c r="H9872" s="31">
        <f>+IFERROR(VLOOKUP(E9872,BD!$L$2:$Q$244,6,0),0)</f>
        <v>0</v>
      </c>
      <c r="I9872" s="626">
        <f>IFERROR(G9872*VLOOKUP($E9872,BD!$L$2:$Q$244,5,0),0)</f>
        <v>0</v>
      </c>
      <c r="J9872" s="3">
        <f t="shared" si="617"/>
        <v>1900</v>
      </c>
    </row>
    <row r="9873" spans="1:10" s="9" customFormat="1" x14ac:dyDescent="0.25">
      <c r="A9873" s="447"/>
      <c r="B9873" s="55" t="str">
        <f t="shared" si="614"/>
        <v>ENERO</v>
      </c>
      <c r="C9873" s="55">
        <f t="shared" si="615"/>
        <v>1</v>
      </c>
      <c r="D9873" s="3" t="str">
        <f t="shared" si="616"/>
        <v>SÁBADO</v>
      </c>
      <c r="E9873" s="427"/>
      <c r="F9873" s="31">
        <f>IFERROR(VLOOKUP(E9873,BD!$L$2:$Q$244,2,0),0)</f>
        <v>0</v>
      </c>
      <c r="G9873" s="424"/>
      <c r="H9873" s="31">
        <f>+IFERROR(VLOOKUP(E9873,BD!$L$2:$Q$244,6,0),0)</f>
        <v>0</v>
      </c>
      <c r="I9873" s="626">
        <f>IFERROR(G9873*VLOOKUP($E9873,BD!$L$2:$Q$244,5,0),0)</f>
        <v>0</v>
      </c>
      <c r="J9873" s="3">
        <f t="shared" si="617"/>
        <v>1900</v>
      </c>
    </row>
    <row r="9874" spans="1:10" s="9" customFormat="1" x14ac:dyDescent="0.25">
      <c r="A9874" s="447"/>
      <c r="B9874" s="55" t="str">
        <f t="shared" si="614"/>
        <v>ENERO</v>
      </c>
      <c r="C9874" s="55">
        <f t="shared" si="615"/>
        <v>1</v>
      </c>
      <c r="D9874" s="3" t="str">
        <f t="shared" si="616"/>
        <v>SÁBADO</v>
      </c>
      <c r="E9874" s="427"/>
      <c r="F9874" s="31">
        <f>IFERROR(VLOOKUP(E9874,BD!$L$2:$Q$244,2,0),0)</f>
        <v>0</v>
      </c>
      <c r="G9874" s="424"/>
      <c r="H9874" s="31">
        <f>+IFERROR(VLOOKUP(E9874,BD!$L$2:$Q$244,6,0),0)</f>
        <v>0</v>
      </c>
      <c r="I9874" s="626">
        <f>IFERROR(G9874*VLOOKUP($E9874,BD!$L$2:$Q$244,5,0),0)</f>
        <v>0</v>
      </c>
      <c r="J9874" s="3">
        <f t="shared" si="617"/>
        <v>1900</v>
      </c>
    </row>
    <row r="9875" spans="1:10" s="9" customFormat="1" x14ac:dyDescent="0.25">
      <c r="A9875" s="447"/>
      <c r="B9875" s="55" t="str">
        <f t="shared" si="614"/>
        <v>ENERO</v>
      </c>
      <c r="C9875" s="55">
        <f t="shared" si="615"/>
        <v>1</v>
      </c>
      <c r="D9875" s="3" t="str">
        <f t="shared" si="616"/>
        <v>SÁBADO</v>
      </c>
      <c r="E9875" s="427"/>
      <c r="F9875" s="31">
        <f>IFERROR(VLOOKUP(E9875,BD!$L$2:$Q$244,2,0),0)</f>
        <v>0</v>
      </c>
      <c r="G9875" s="424"/>
      <c r="H9875" s="31">
        <f>+IFERROR(VLOOKUP(E9875,BD!$L$2:$Q$244,6,0),0)</f>
        <v>0</v>
      </c>
      <c r="I9875" s="626">
        <f>IFERROR(G9875*VLOOKUP($E9875,BD!$L$2:$Q$244,5,0),0)</f>
        <v>0</v>
      </c>
      <c r="J9875" s="3">
        <f t="shared" si="617"/>
        <v>1900</v>
      </c>
    </row>
    <row r="9876" spans="1:10" s="9" customFormat="1" x14ac:dyDescent="0.25">
      <c r="A9876" s="447"/>
      <c r="B9876" s="55" t="str">
        <f t="shared" si="614"/>
        <v>ENERO</v>
      </c>
      <c r="C9876" s="55">
        <f t="shared" si="615"/>
        <v>1</v>
      </c>
      <c r="D9876" s="3" t="str">
        <f t="shared" si="616"/>
        <v>SÁBADO</v>
      </c>
      <c r="E9876" s="427"/>
      <c r="F9876" s="31">
        <f>IFERROR(VLOOKUP(E9876,BD!$L$2:$Q$244,2,0),0)</f>
        <v>0</v>
      </c>
      <c r="G9876" s="424"/>
      <c r="H9876" s="31">
        <f>+IFERROR(VLOOKUP(E9876,BD!$L$2:$Q$244,6,0),0)</f>
        <v>0</v>
      </c>
      <c r="I9876" s="626">
        <f>IFERROR(G9876*VLOOKUP($E9876,BD!$L$2:$Q$244,5,0),0)</f>
        <v>0</v>
      </c>
      <c r="J9876" s="3">
        <f t="shared" si="617"/>
        <v>1900</v>
      </c>
    </row>
    <row r="9877" spans="1:10" s="9" customFormat="1" x14ac:dyDescent="0.25">
      <c r="A9877" s="447"/>
      <c r="B9877" s="55" t="str">
        <f t="shared" si="614"/>
        <v>ENERO</v>
      </c>
      <c r="C9877" s="55">
        <f t="shared" si="615"/>
        <v>1</v>
      </c>
      <c r="D9877" s="3" t="str">
        <f t="shared" si="616"/>
        <v>SÁBADO</v>
      </c>
      <c r="E9877" s="427"/>
      <c r="F9877" s="31">
        <f>IFERROR(VLOOKUP(E9877,BD!$L$2:$Q$244,2,0),0)</f>
        <v>0</v>
      </c>
      <c r="G9877" s="424"/>
      <c r="H9877" s="31">
        <f>+IFERROR(VLOOKUP(E9877,BD!$L$2:$Q$244,6,0),0)</f>
        <v>0</v>
      </c>
      <c r="I9877" s="626">
        <f>IFERROR(G9877*VLOOKUP($E9877,BD!$L$2:$Q$244,5,0),0)</f>
        <v>0</v>
      </c>
      <c r="J9877" s="3">
        <f t="shared" si="617"/>
        <v>1900</v>
      </c>
    </row>
    <row r="9878" spans="1:10" s="9" customFormat="1" x14ac:dyDescent="0.25">
      <c r="A9878" s="447"/>
      <c r="B9878" s="55" t="str">
        <f t="shared" si="614"/>
        <v>ENERO</v>
      </c>
      <c r="C9878" s="55">
        <f t="shared" si="615"/>
        <v>1</v>
      </c>
      <c r="D9878" s="3" t="str">
        <f t="shared" si="616"/>
        <v>SÁBADO</v>
      </c>
      <c r="E9878" s="427"/>
      <c r="F9878" s="31">
        <f>IFERROR(VLOOKUP(E9878,BD!$L$2:$Q$244,2,0),0)</f>
        <v>0</v>
      </c>
      <c r="G9878" s="424"/>
      <c r="H9878" s="31">
        <f>+IFERROR(VLOOKUP(E9878,BD!$L$2:$Q$244,6,0),0)</f>
        <v>0</v>
      </c>
      <c r="I9878" s="626">
        <f>IFERROR(G9878*VLOOKUP($E9878,BD!$L$2:$Q$244,5,0),0)</f>
        <v>0</v>
      </c>
      <c r="J9878" s="3">
        <f t="shared" si="617"/>
        <v>1900</v>
      </c>
    </row>
    <row r="9879" spans="1:10" s="9" customFormat="1" x14ac:dyDescent="0.25">
      <c r="A9879" s="447"/>
      <c r="B9879" s="55" t="str">
        <f t="shared" si="614"/>
        <v>ENERO</v>
      </c>
      <c r="C9879" s="55">
        <f t="shared" si="615"/>
        <v>1</v>
      </c>
      <c r="D9879" s="3" t="str">
        <f t="shared" si="616"/>
        <v>SÁBADO</v>
      </c>
      <c r="E9879" s="427"/>
      <c r="F9879" s="31">
        <f>IFERROR(VLOOKUP(E9879,BD!$L$2:$Q$244,2,0),0)</f>
        <v>0</v>
      </c>
      <c r="G9879" s="424"/>
      <c r="H9879" s="31">
        <f>+IFERROR(VLOOKUP(E9879,BD!$L$2:$Q$244,6,0),0)</f>
        <v>0</v>
      </c>
      <c r="I9879" s="626">
        <f>IFERROR(G9879*VLOOKUP($E9879,BD!$L$2:$Q$244,5,0),0)</f>
        <v>0</v>
      </c>
      <c r="J9879" s="3">
        <f t="shared" si="617"/>
        <v>1900</v>
      </c>
    </row>
    <row r="9880" spans="1:10" s="9" customFormat="1" x14ac:dyDescent="0.25">
      <c r="A9880" s="447"/>
      <c r="B9880" s="55" t="str">
        <f t="shared" si="614"/>
        <v>ENERO</v>
      </c>
      <c r="C9880" s="55">
        <f t="shared" si="615"/>
        <v>1</v>
      </c>
      <c r="D9880" s="3" t="str">
        <f t="shared" si="616"/>
        <v>SÁBADO</v>
      </c>
      <c r="E9880" s="427"/>
      <c r="F9880" s="31">
        <f>IFERROR(VLOOKUP(E9880,BD!$L$2:$Q$244,2,0),0)</f>
        <v>0</v>
      </c>
      <c r="G9880" s="424"/>
      <c r="H9880" s="31">
        <f>+IFERROR(VLOOKUP(E9880,BD!$L$2:$Q$244,6,0),0)</f>
        <v>0</v>
      </c>
      <c r="I9880" s="626">
        <f>IFERROR(G9880*VLOOKUP($E9880,BD!$L$2:$Q$244,5,0),0)</f>
        <v>0</v>
      </c>
      <c r="J9880" s="3">
        <f t="shared" si="617"/>
        <v>1900</v>
      </c>
    </row>
    <row r="9881" spans="1:10" s="9" customFormat="1" x14ac:dyDescent="0.25">
      <c r="A9881" s="447"/>
      <c r="B9881" s="55" t="str">
        <f t="shared" si="614"/>
        <v>ENERO</v>
      </c>
      <c r="C9881" s="55">
        <f t="shared" si="615"/>
        <v>1</v>
      </c>
      <c r="D9881" s="3" t="str">
        <f t="shared" si="616"/>
        <v>SÁBADO</v>
      </c>
      <c r="E9881" s="427"/>
      <c r="F9881" s="31">
        <f>IFERROR(VLOOKUP(E9881,BD!$L$2:$Q$244,2,0),0)</f>
        <v>0</v>
      </c>
      <c r="G9881" s="424"/>
      <c r="H9881" s="31">
        <f>+IFERROR(VLOOKUP(E9881,BD!$L$2:$Q$244,6,0),0)</f>
        <v>0</v>
      </c>
      <c r="I9881" s="626">
        <f>IFERROR(G9881*VLOOKUP($E9881,BD!$L$2:$Q$244,5,0),0)</f>
        <v>0</v>
      </c>
      <c r="J9881" s="3">
        <f t="shared" si="617"/>
        <v>1900</v>
      </c>
    </row>
    <row r="9882" spans="1:10" s="9" customFormat="1" x14ac:dyDescent="0.25">
      <c r="A9882" s="447"/>
      <c r="B9882" s="55" t="str">
        <f t="shared" si="614"/>
        <v>ENERO</v>
      </c>
      <c r="C9882" s="55">
        <f t="shared" si="615"/>
        <v>1</v>
      </c>
      <c r="D9882" s="3" t="str">
        <f t="shared" si="616"/>
        <v>SÁBADO</v>
      </c>
      <c r="E9882" s="427"/>
      <c r="F9882" s="31">
        <f>IFERROR(VLOOKUP(E9882,BD!$L$2:$Q$244,2,0),0)</f>
        <v>0</v>
      </c>
      <c r="G9882" s="424"/>
      <c r="H9882" s="31">
        <f>+IFERROR(VLOOKUP(E9882,BD!$L$2:$Q$244,6,0),0)</f>
        <v>0</v>
      </c>
      <c r="I9882" s="626">
        <f>IFERROR(G9882*VLOOKUP($E9882,BD!$L$2:$Q$244,5,0),0)</f>
        <v>0</v>
      </c>
      <c r="J9882" s="3">
        <f t="shared" si="617"/>
        <v>1900</v>
      </c>
    </row>
    <row r="9883" spans="1:10" s="9" customFormat="1" x14ac:dyDescent="0.25">
      <c r="A9883" s="447"/>
      <c r="B9883" s="55" t="str">
        <f t="shared" si="614"/>
        <v>ENERO</v>
      </c>
      <c r="C9883" s="55">
        <f t="shared" si="615"/>
        <v>1</v>
      </c>
      <c r="D9883" s="3" t="str">
        <f t="shared" si="616"/>
        <v>SÁBADO</v>
      </c>
      <c r="E9883" s="427"/>
      <c r="F9883" s="31">
        <f>IFERROR(VLOOKUP(E9883,BD!$L$2:$Q$244,2,0),0)</f>
        <v>0</v>
      </c>
      <c r="G9883" s="424"/>
      <c r="H9883" s="31">
        <f>+IFERROR(VLOOKUP(E9883,BD!$L$2:$Q$244,6,0),0)</f>
        <v>0</v>
      </c>
      <c r="I9883" s="626">
        <f>IFERROR(G9883*VLOOKUP($E9883,BD!$L$2:$Q$244,5,0),0)</f>
        <v>0</v>
      </c>
      <c r="J9883" s="3">
        <f t="shared" si="617"/>
        <v>1900</v>
      </c>
    </row>
    <row r="9884" spans="1:10" s="9" customFormat="1" x14ac:dyDescent="0.25">
      <c r="A9884" s="447"/>
      <c r="B9884" s="55" t="str">
        <f t="shared" si="614"/>
        <v>ENERO</v>
      </c>
      <c r="C9884" s="55">
        <f t="shared" si="615"/>
        <v>1</v>
      </c>
      <c r="D9884" s="3" t="str">
        <f t="shared" si="616"/>
        <v>SÁBADO</v>
      </c>
      <c r="E9884" s="427"/>
      <c r="F9884" s="31">
        <f>IFERROR(VLOOKUP(E9884,BD!$L$2:$Q$244,2,0),0)</f>
        <v>0</v>
      </c>
      <c r="G9884" s="424"/>
      <c r="H9884" s="31">
        <f>+IFERROR(VLOOKUP(E9884,BD!$L$2:$Q$244,6,0),0)</f>
        <v>0</v>
      </c>
      <c r="I9884" s="626">
        <f>IFERROR(G9884*VLOOKUP($E9884,BD!$L$2:$Q$244,5,0),0)</f>
        <v>0</v>
      </c>
      <c r="J9884" s="3">
        <f t="shared" si="617"/>
        <v>1900</v>
      </c>
    </row>
    <row r="9885" spans="1:10" s="9" customFormat="1" x14ac:dyDescent="0.25">
      <c r="A9885" s="447"/>
      <c r="B9885" s="55" t="str">
        <f t="shared" si="614"/>
        <v>ENERO</v>
      </c>
      <c r="C9885" s="55">
        <f t="shared" si="615"/>
        <v>1</v>
      </c>
      <c r="D9885" s="3" t="str">
        <f t="shared" si="616"/>
        <v>SÁBADO</v>
      </c>
      <c r="E9885" s="427"/>
      <c r="F9885" s="31">
        <f>IFERROR(VLOOKUP(E9885,BD!$L$2:$Q$244,2,0),0)</f>
        <v>0</v>
      </c>
      <c r="G9885" s="424"/>
      <c r="H9885" s="31">
        <f>+IFERROR(VLOOKUP(E9885,BD!$L$2:$Q$244,6,0),0)</f>
        <v>0</v>
      </c>
      <c r="I9885" s="626">
        <f>IFERROR(G9885*VLOOKUP($E9885,BD!$L$2:$Q$244,5,0),0)</f>
        <v>0</v>
      </c>
      <c r="J9885" s="3">
        <f t="shared" si="617"/>
        <v>1900</v>
      </c>
    </row>
    <row r="9886" spans="1:10" s="9" customFormat="1" x14ac:dyDescent="0.25">
      <c r="A9886" s="447"/>
      <c r="B9886" s="55" t="str">
        <f t="shared" si="614"/>
        <v>ENERO</v>
      </c>
      <c r="C9886" s="55">
        <f t="shared" si="615"/>
        <v>1</v>
      </c>
      <c r="D9886" s="3" t="str">
        <f t="shared" si="616"/>
        <v>SÁBADO</v>
      </c>
      <c r="E9886" s="427"/>
      <c r="F9886" s="31">
        <f>IFERROR(VLOOKUP(E9886,BD!$L$2:$Q$244,2,0),0)</f>
        <v>0</v>
      </c>
      <c r="G9886" s="424"/>
      <c r="H9886" s="31">
        <f>+IFERROR(VLOOKUP(E9886,BD!$L$2:$Q$244,6,0),0)</f>
        <v>0</v>
      </c>
      <c r="I9886" s="626">
        <f>IFERROR(G9886*VLOOKUP($E9886,BD!$L$2:$Q$244,5,0),0)</f>
        <v>0</v>
      </c>
      <c r="J9886" s="3">
        <f t="shared" si="617"/>
        <v>1900</v>
      </c>
    </row>
    <row r="9887" spans="1:10" s="9" customFormat="1" x14ac:dyDescent="0.25">
      <c r="A9887" s="447"/>
      <c r="B9887" s="55" t="str">
        <f t="shared" si="614"/>
        <v>ENERO</v>
      </c>
      <c r="C9887" s="55">
        <f t="shared" si="615"/>
        <v>1</v>
      </c>
      <c r="D9887" s="3" t="str">
        <f t="shared" si="616"/>
        <v>SÁBADO</v>
      </c>
      <c r="E9887" s="427"/>
      <c r="F9887" s="31">
        <f>IFERROR(VLOOKUP(E9887,BD!$L$2:$Q$244,2,0),0)</f>
        <v>0</v>
      </c>
      <c r="G9887" s="424"/>
      <c r="H9887" s="31">
        <f>+IFERROR(VLOOKUP(E9887,BD!$L$2:$Q$244,6,0),0)</f>
        <v>0</v>
      </c>
      <c r="I9887" s="626">
        <f>IFERROR(G9887*VLOOKUP($E9887,BD!$L$2:$Q$244,5,0),0)</f>
        <v>0</v>
      </c>
      <c r="J9887" s="3">
        <f t="shared" si="617"/>
        <v>1900</v>
      </c>
    </row>
    <row r="9888" spans="1:10" s="9" customFormat="1" x14ac:dyDescent="0.25">
      <c r="A9888" s="447"/>
      <c r="B9888" s="55" t="str">
        <f t="shared" si="614"/>
        <v>ENERO</v>
      </c>
      <c r="C9888" s="55">
        <f t="shared" si="615"/>
        <v>1</v>
      </c>
      <c r="D9888" s="3" t="str">
        <f t="shared" si="616"/>
        <v>SÁBADO</v>
      </c>
      <c r="E9888" s="427"/>
      <c r="F9888" s="31">
        <f>IFERROR(VLOOKUP(E9888,BD!$L$2:$Q$244,2,0),0)</f>
        <v>0</v>
      </c>
      <c r="G9888" s="425"/>
      <c r="H9888" s="31">
        <f>+IFERROR(VLOOKUP(E9888,BD!$L$2:$Q$244,6,0),0)</f>
        <v>0</v>
      </c>
      <c r="I9888" s="626">
        <f>IFERROR(G9888*VLOOKUP($E9888,BD!$L$2:$Q$244,5,0),0)</f>
        <v>0</v>
      </c>
      <c r="J9888" s="3">
        <f t="shared" si="617"/>
        <v>1900</v>
      </c>
    </row>
    <row r="9889" spans="1:10" s="9" customFormat="1" x14ac:dyDescent="0.25">
      <c r="A9889" s="447"/>
      <c r="B9889" s="55" t="str">
        <f t="shared" si="614"/>
        <v>ENERO</v>
      </c>
      <c r="C9889" s="55">
        <f t="shared" si="615"/>
        <v>1</v>
      </c>
      <c r="D9889" s="3" t="str">
        <f t="shared" si="616"/>
        <v>SÁBADO</v>
      </c>
      <c r="E9889" s="427"/>
      <c r="F9889" s="31">
        <f>IFERROR(VLOOKUP(E9889,BD!$L$2:$Q$244,2,0),0)</f>
        <v>0</v>
      </c>
      <c r="G9889" s="424"/>
      <c r="H9889" s="31">
        <f>+IFERROR(VLOOKUP(E9889,BD!$L$2:$Q$244,6,0),0)</f>
        <v>0</v>
      </c>
      <c r="I9889" s="626">
        <f>IFERROR(G9889*VLOOKUP($E9889,BD!$L$2:$Q$244,5,0),0)</f>
        <v>0</v>
      </c>
      <c r="J9889" s="3">
        <f t="shared" si="617"/>
        <v>1900</v>
      </c>
    </row>
    <row r="9890" spans="1:10" s="9" customFormat="1" x14ac:dyDescent="0.25">
      <c r="A9890" s="447"/>
      <c r="B9890" s="55" t="str">
        <f t="shared" si="614"/>
        <v>ENERO</v>
      </c>
      <c r="C9890" s="55">
        <f t="shared" si="615"/>
        <v>1</v>
      </c>
      <c r="D9890" s="3" t="str">
        <f t="shared" si="616"/>
        <v>SÁBADO</v>
      </c>
      <c r="E9890" s="427"/>
      <c r="F9890" s="31">
        <f>IFERROR(VLOOKUP(E9890,BD!$L$2:$Q$244,2,0),0)</f>
        <v>0</v>
      </c>
      <c r="G9890" s="424"/>
      <c r="H9890" s="31">
        <f>+IFERROR(VLOOKUP(E9890,BD!$L$2:$Q$244,6,0),0)</f>
        <v>0</v>
      </c>
      <c r="I9890" s="626">
        <f>IFERROR(G9890*VLOOKUP($E9890,BD!$L$2:$Q$244,5,0),0)</f>
        <v>0</v>
      </c>
      <c r="J9890" s="3">
        <f t="shared" si="617"/>
        <v>1900</v>
      </c>
    </row>
    <row r="9891" spans="1:10" s="9" customFormat="1" x14ac:dyDescent="0.25">
      <c r="A9891" s="447"/>
      <c r="B9891" s="55" t="str">
        <f t="shared" si="614"/>
        <v>ENERO</v>
      </c>
      <c r="C9891" s="55">
        <f t="shared" si="615"/>
        <v>1</v>
      </c>
      <c r="D9891" s="3" t="str">
        <f t="shared" si="616"/>
        <v>SÁBADO</v>
      </c>
      <c r="E9891" s="427"/>
      <c r="F9891" s="31">
        <f>IFERROR(VLOOKUP(E9891,BD!$L$2:$Q$244,2,0),0)</f>
        <v>0</v>
      </c>
      <c r="G9891" s="424"/>
      <c r="H9891" s="31">
        <f>+IFERROR(VLOOKUP(E9891,BD!$L$2:$Q$244,6,0),0)</f>
        <v>0</v>
      </c>
      <c r="I9891" s="626">
        <f>IFERROR(G9891*VLOOKUP($E9891,BD!$L$2:$Q$244,5,0),0)</f>
        <v>0</v>
      </c>
      <c r="J9891" s="3">
        <f t="shared" si="617"/>
        <v>1900</v>
      </c>
    </row>
    <row r="9892" spans="1:10" s="9" customFormat="1" x14ac:dyDescent="0.25">
      <c r="A9892" s="447"/>
      <c r="B9892" s="55" t="str">
        <f t="shared" si="614"/>
        <v>ENERO</v>
      </c>
      <c r="C9892" s="55">
        <f t="shared" si="615"/>
        <v>1</v>
      </c>
      <c r="D9892" s="3" t="str">
        <f t="shared" si="616"/>
        <v>SÁBADO</v>
      </c>
      <c r="E9892" s="427"/>
      <c r="F9892" s="31">
        <f>IFERROR(VLOOKUP(E9892,BD!$L$2:$Q$244,2,0),0)</f>
        <v>0</v>
      </c>
      <c r="G9892" s="424"/>
      <c r="H9892" s="31">
        <f>+IFERROR(VLOOKUP(E9892,BD!$L$2:$Q$244,6,0),0)</f>
        <v>0</v>
      </c>
      <c r="I9892" s="626">
        <f>IFERROR(G9892*VLOOKUP($E9892,BD!$L$2:$Q$244,5,0),0)</f>
        <v>0</v>
      </c>
      <c r="J9892" s="3">
        <f t="shared" si="617"/>
        <v>1900</v>
      </c>
    </row>
    <row r="9893" spans="1:10" s="9" customFormat="1" x14ac:dyDescent="0.25">
      <c r="A9893" s="447"/>
      <c r="B9893" s="55" t="str">
        <f t="shared" si="614"/>
        <v>ENERO</v>
      </c>
      <c r="C9893" s="55">
        <f t="shared" si="615"/>
        <v>1</v>
      </c>
      <c r="D9893" s="3" t="str">
        <f t="shared" si="616"/>
        <v>SÁBADO</v>
      </c>
      <c r="E9893" s="427"/>
      <c r="F9893" s="31">
        <f>IFERROR(VLOOKUP(E9893,BD!$L$2:$Q$244,2,0),0)</f>
        <v>0</v>
      </c>
      <c r="G9893" s="424"/>
      <c r="H9893" s="31">
        <f>+IFERROR(VLOOKUP(E9893,BD!$L$2:$Q$244,6,0),0)</f>
        <v>0</v>
      </c>
      <c r="I9893" s="626">
        <f>IFERROR(G9893*VLOOKUP($E9893,BD!$L$2:$Q$244,5,0),0)</f>
        <v>0</v>
      </c>
      <c r="J9893" s="3">
        <f t="shared" si="617"/>
        <v>1900</v>
      </c>
    </row>
    <row r="9894" spans="1:10" s="9" customFormat="1" x14ac:dyDescent="0.25">
      <c r="A9894" s="447"/>
      <c r="B9894" s="55" t="str">
        <f t="shared" si="614"/>
        <v>ENERO</v>
      </c>
      <c r="C9894" s="55">
        <f t="shared" si="615"/>
        <v>1</v>
      </c>
      <c r="D9894" s="3" t="str">
        <f t="shared" si="616"/>
        <v>SÁBADO</v>
      </c>
      <c r="E9894" s="427"/>
      <c r="F9894" s="31">
        <f>IFERROR(VLOOKUP(E9894,BD!$L$2:$Q$244,2,0),0)</f>
        <v>0</v>
      </c>
      <c r="G9894" s="424"/>
      <c r="H9894" s="31">
        <f>+IFERROR(VLOOKUP(E9894,BD!$L$2:$Q$244,6,0),0)</f>
        <v>0</v>
      </c>
      <c r="I9894" s="626">
        <f>IFERROR(G9894*VLOOKUP($E9894,BD!$L$2:$Q$244,5,0),0)</f>
        <v>0</v>
      </c>
      <c r="J9894" s="3">
        <f t="shared" si="617"/>
        <v>1900</v>
      </c>
    </row>
    <row r="9895" spans="1:10" s="9" customFormat="1" x14ac:dyDescent="0.25">
      <c r="A9895" s="447"/>
      <c r="B9895" s="55" t="str">
        <f t="shared" si="614"/>
        <v>ENERO</v>
      </c>
      <c r="C9895" s="55">
        <f t="shared" si="615"/>
        <v>1</v>
      </c>
      <c r="D9895" s="3" t="str">
        <f t="shared" si="616"/>
        <v>SÁBADO</v>
      </c>
      <c r="E9895" s="427"/>
      <c r="F9895" s="31">
        <f>IFERROR(VLOOKUP(E9895,BD!$L$2:$Q$244,2,0),0)</f>
        <v>0</v>
      </c>
      <c r="G9895" s="424"/>
      <c r="H9895" s="31">
        <f>+IFERROR(VLOOKUP(E9895,BD!$L$2:$Q$244,6,0),0)</f>
        <v>0</v>
      </c>
      <c r="I9895" s="626">
        <f>IFERROR(G9895*VLOOKUP($E9895,BD!$L$2:$Q$244,5,0),0)</f>
        <v>0</v>
      </c>
      <c r="J9895" s="3">
        <f t="shared" si="617"/>
        <v>1900</v>
      </c>
    </row>
    <row r="9896" spans="1:10" s="9" customFormat="1" x14ac:dyDescent="0.25">
      <c r="A9896" s="447"/>
      <c r="B9896" s="55" t="str">
        <f t="shared" si="614"/>
        <v>ENERO</v>
      </c>
      <c r="C9896" s="55">
        <f t="shared" si="615"/>
        <v>1</v>
      </c>
      <c r="D9896" s="3" t="str">
        <f t="shared" si="616"/>
        <v>SÁBADO</v>
      </c>
      <c r="E9896" s="427"/>
      <c r="F9896" s="31">
        <f>IFERROR(VLOOKUP(E9896,BD!$L$2:$Q$244,2,0),0)</f>
        <v>0</v>
      </c>
      <c r="G9896" s="424"/>
      <c r="H9896" s="31">
        <f>+IFERROR(VLOOKUP(E9896,BD!$L$2:$Q$244,6,0),0)</f>
        <v>0</v>
      </c>
      <c r="I9896" s="626">
        <f>IFERROR(G9896*VLOOKUP($E9896,BD!$L$2:$Q$244,5,0),0)</f>
        <v>0</v>
      </c>
      <c r="J9896" s="3">
        <f t="shared" si="617"/>
        <v>1900</v>
      </c>
    </row>
    <row r="9897" spans="1:10" s="9" customFormat="1" x14ac:dyDescent="0.25">
      <c r="A9897" s="447"/>
      <c r="B9897" s="55" t="str">
        <f t="shared" si="614"/>
        <v>ENERO</v>
      </c>
      <c r="C9897" s="55">
        <f t="shared" si="615"/>
        <v>1</v>
      </c>
      <c r="D9897" s="3" t="str">
        <f t="shared" si="616"/>
        <v>SÁBADO</v>
      </c>
      <c r="E9897" s="427"/>
      <c r="F9897" s="31">
        <f>IFERROR(VLOOKUP(E9897,BD!$L$2:$Q$244,2,0),0)</f>
        <v>0</v>
      </c>
      <c r="G9897" s="424"/>
      <c r="H9897" s="31">
        <f>+IFERROR(VLOOKUP(E9897,BD!$L$2:$Q$244,6,0),0)</f>
        <v>0</v>
      </c>
      <c r="I9897" s="626">
        <f>IFERROR(G9897*VLOOKUP($E9897,BD!$L$2:$Q$244,5,0),0)</f>
        <v>0</v>
      </c>
      <c r="J9897" s="3">
        <f t="shared" si="617"/>
        <v>1900</v>
      </c>
    </row>
    <row r="9898" spans="1:10" s="9" customFormat="1" x14ac:dyDescent="0.25">
      <c r="A9898" s="447"/>
      <c r="B9898" s="55" t="str">
        <f t="shared" si="614"/>
        <v>ENERO</v>
      </c>
      <c r="C9898" s="55">
        <f t="shared" si="615"/>
        <v>1</v>
      </c>
      <c r="D9898" s="3" t="str">
        <f t="shared" si="616"/>
        <v>SÁBADO</v>
      </c>
      <c r="E9898" s="427"/>
      <c r="F9898" s="31">
        <f>IFERROR(VLOOKUP(E9898,BD!$L$2:$Q$244,2,0),0)</f>
        <v>0</v>
      </c>
      <c r="G9898" s="424"/>
      <c r="H9898" s="31">
        <f>+IFERROR(VLOOKUP(E9898,BD!$L$2:$Q$244,6,0),0)</f>
        <v>0</v>
      </c>
      <c r="I9898" s="626">
        <f>IFERROR(G9898*VLOOKUP($E9898,BD!$L$2:$Q$244,5,0),0)</f>
        <v>0</v>
      </c>
      <c r="J9898" s="3">
        <f t="shared" si="617"/>
        <v>1900</v>
      </c>
    </row>
    <row r="9899" spans="1:10" s="9" customFormat="1" x14ac:dyDescent="0.25">
      <c r="A9899" s="447"/>
      <c r="B9899" s="55" t="str">
        <f t="shared" si="614"/>
        <v>ENERO</v>
      </c>
      <c r="C9899" s="55">
        <f t="shared" si="615"/>
        <v>1</v>
      </c>
      <c r="D9899" s="3" t="str">
        <f t="shared" si="616"/>
        <v>SÁBADO</v>
      </c>
      <c r="E9899" s="427"/>
      <c r="F9899" s="31">
        <f>IFERROR(VLOOKUP(E9899,BD!$L$2:$Q$244,2,0),0)</f>
        <v>0</v>
      </c>
      <c r="G9899" s="424"/>
      <c r="H9899" s="31">
        <f>+IFERROR(VLOOKUP(E9899,BD!$L$2:$Q$244,6,0),0)</f>
        <v>0</v>
      </c>
      <c r="I9899" s="626">
        <f>IFERROR(G9899*VLOOKUP($E9899,BD!$L$2:$Q$244,5,0),0)</f>
        <v>0</v>
      </c>
      <c r="J9899" s="3">
        <f t="shared" si="617"/>
        <v>1900</v>
      </c>
    </row>
    <row r="9900" spans="1:10" s="9" customFormat="1" x14ac:dyDescent="0.25">
      <c r="A9900" s="447"/>
      <c r="B9900" s="55" t="str">
        <f t="shared" si="614"/>
        <v>ENERO</v>
      </c>
      <c r="C9900" s="55">
        <f t="shared" si="615"/>
        <v>1</v>
      </c>
      <c r="D9900" s="3" t="str">
        <f t="shared" si="616"/>
        <v>SÁBADO</v>
      </c>
      <c r="E9900" s="427"/>
      <c r="F9900" s="31">
        <f>IFERROR(VLOOKUP(E9900,BD!$L$2:$Q$244,2,0),0)</f>
        <v>0</v>
      </c>
      <c r="G9900" s="424"/>
      <c r="H9900" s="31">
        <f>+IFERROR(VLOOKUP(E9900,BD!$L$2:$Q$244,6,0),0)</f>
        <v>0</v>
      </c>
      <c r="I9900" s="626">
        <f>IFERROR(G9900*VLOOKUP($E9900,BD!$L$2:$Q$244,5,0),0)</f>
        <v>0</v>
      </c>
      <c r="J9900" s="3">
        <f t="shared" si="617"/>
        <v>1900</v>
      </c>
    </row>
    <row r="9901" spans="1:10" s="9" customFormat="1" x14ac:dyDescent="0.25">
      <c r="A9901" s="447"/>
      <c r="B9901" s="55" t="str">
        <f t="shared" si="614"/>
        <v>ENERO</v>
      </c>
      <c r="C9901" s="55">
        <f t="shared" si="615"/>
        <v>1</v>
      </c>
      <c r="D9901" s="3" t="str">
        <f t="shared" si="616"/>
        <v>SÁBADO</v>
      </c>
      <c r="E9901" s="427"/>
      <c r="F9901" s="31">
        <f>IFERROR(VLOOKUP(E9901,BD!$L$2:$Q$244,2,0),0)</f>
        <v>0</v>
      </c>
      <c r="G9901" s="424"/>
      <c r="H9901" s="31">
        <f>+IFERROR(VLOOKUP(E9901,BD!$L$2:$Q$244,6,0),0)</f>
        <v>0</v>
      </c>
      <c r="I9901" s="626">
        <f>IFERROR(G9901*VLOOKUP($E9901,BD!$L$2:$Q$244,5,0),0)</f>
        <v>0</v>
      </c>
      <c r="J9901" s="3">
        <f t="shared" si="617"/>
        <v>1900</v>
      </c>
    </row>
    <row r="9902" spans="1:10" s="9" customFormat="1" x14ac:dyDescent="0.25">
      <c r="A9902" s="447"/>
      <c r="B9902" s="55" t="str">
        <f t="shared" si="614"/>
        <v>ENERO</v>
      </c>
      <c r="C9902" s="55">
        <f t="shared" si="615"/>
        <v>1</v>
      </c>
      <c r="D9902" s="3" t="str">
        <f t="shared" si="616"/>
        <v>SÁBADO</v>
      </c>
      <c r="E9902" s="427"/>
      <c r="F9902" s="31">
        <f>IFERROR(VLOOKUP(E9902,BD!$L$2:$Q$244,2,0),0)</f>
        <v>0</v>
      </c>
      <c r="G9902" s="424"/>
      <c r="H9902" s="31">
        <f>+IFERROR(VLOOKUP(E9902,BD!$L$2:$Q$244,6,0),0)</f>
        <v>0</v>
      </c>
      <c r="I9902" s="626">
        <f>IFERROR(G9902*VLOOKUP($E9902,BD!$L$2:$Q$244,5,0),0)</f>
        <v>0</v>
      </c>
      <c r="J9902" s="3">
        <f t="shared" si="617"/>
        <v>1900</v>
      </c>
    </row>
    <row r="9903" spans="1:10" s="9" customFormat="1" x14ac:dyDescent="0.25">
      <c r="A9903" s="447"/>
      <c r="B9903" s="55" t="str">
        <f t="shared" si="614"/>
        <v>ENERO</v>
      </c>
      <c r="C9903" s="55">
        <f t="shared" si="615"/>
        <v>1</v>
      </c>
      <c r="D9903" s="3" t="str">
        <f t="shared" si="616"/>
        <v>SÁBADO</v>
      </c>
      <c r="E9903" s="427"/>
      <c r="F9903" s="31">
        <f>IFERROR(VLOOKUP(E9903,BD!$L$2:$Q$244,2,0),0)</f>
        <v>0</v>
      </c>
      <c r="G9903" s="424"/>
      <c r="H9903" s="31">
        <f>+IFERROR(VLOOKUP(E9903,BD!$L$2:$Q$244,6,0),0)</f>
        <v>0</v>
      </c>
      <c r="I9903" s="626">
        <f>IFERROR(G9903*VLOOKUP($E9903,BD!$L$2:$Q$244,5,0),0)</f>
        <v>0</v>
      </c>
      <c r="J9903" s="3">
        <f t="shared" si="617"/>
        <v>1900</v>
      </c>
    </row>
    <row r="9904" spans="1:10" s="9" customFormat="1" x14ac:dyDescent="0.25">
      <c r="A9904" s="447"/>
      <c r="B9904" s="55" t="str">
        <f t="shared" si="614"/>
        <v>ENERO</v>
      </c>
      <c r="C9904" s="55">
        <f t="shared" si="615"/>
        <v>1</v>
      </c>
      <c r="D9904" s="3" t="str">
        <f t="shared" si="616"/>
        <v>SÁBADO</v>
      </c>
      <c r="E9904" s="427"/>
      <c r="F9904" s="31">
        <f>IFERROR(VLOOKUP(E9904,BD!$L$2:$Q$244,2,0),0)</f>
        <v>0</v>
      </c>
      <c r="G9904" s="424"/>
      <c r="H9904" s="31">
        <f>+IFERROR(VLOOKUP(E9904,BD!$L$2:$Q$244,6,0),0)</f>
        <v>0</v>
      </c>
      <c r="I9904" s="626">
        <f>IFERROR(G9904*VLOOKUP($E9904,BD!$L$2:$Q$244,5,0),0)</f>
        <v>0</v>
      </c>
      <c r="J9904" s="3">
        <f t="shared" si="617"/>
        <v>1900</v>
      </c>
    </row>
    <row r="9905" spans="1:10" s="9" customFormat="1" x14ac:dyDescent="0.25">
      <c r="A9905" s="447"/>
      <c r="B9905" s="55" t="str">
        <f t="shared" si="614"/>
        <v>ENERO</v>
      </c>
      <c r="C9905" s="55">
        <f t="shared" si="615"/>
        <v>1</v>
      </c>
      <c r="D9905" s="3" t="str">
        <f t="shared" si="616"/>
        <v>SÁBADO</v>
      </c>
      <c r="E9905" s="427"/>
      <c r="F9905" s="31">
        <f>IFERROR(VLOOKUP(E9905,BD!$L$2:$Q$244,2,0),0)</f>
        <v>0</v>
      </c>
      <c r="G9905" s="424"/>
      <c r="H9905" s="31">
        <f>+IFERROR(VLOOKUP(E9905,BD!$L$2:$Q$244,6,0),0)</f>
        <v>0</v>
      </c>
      <c r="I9905" s="626">
        <f>IFERROR(G9905*VLOOKUP($E9905,BD!$L$2:$Q$244,5,0),0)</f>
        <v>0</v>
      </c>
      <c r="J9905" s="3">
        <f t="shared" si="617"/>
        <v>1900</v>
      </c>
    </row>
    <row r="9906" spans="1:10" s="9" customFormat="1" x14ac:dyDescent="0.25">
      <c r="A9906" s="447"/>
      <c r="B9906" s="55" t="str">
        <f t="shared" si="614"/>
        <v>ENERO</v>
      </c>
      <c r="C9906" s="55">
        <f t="shared" si="615"/>
        <v>1</v>
      </c>
      <c r="D9906" s="3" t="str">
        <f t="shared" si="616"/>
        <v>SÁBADO</v>
      </c>
      <c r="E9906" s="427"/>
      <c r="F9906" s="31">
        <f>IFERROR(VLOOKUP(E9906,BD!$L$2:$Q$244,2,0),0)</f>
        <v>0</v>
      </c>
      <c r="G9906" s="424"/>
      <c r="H9906" s="31">
        <f>+IFERROR(VLOOKUP(E9906,BD!$L$2:$Q$244,6,0),0)</f>
        <v>0</v>
      </c>
      <c r="I9906" s="626">
        <f>IFERROR(G9906*VLOOKUP($E9906,BD!$L$2:$Q$244,5,0),0)</f>
        <v>0</v>
      </c>
      <c r="J9906" s="3">
        <f t="shared" si="617"/>
        <v>1900</v>
      </c>
    </row>
    <row r="9907" spans="1:10" s="9" customFormat="1" x14ac:dyDescent="0.25">
      <c r="A9907" s="447"/>
      <c r="B9907" s="55" t="str">
        <f t="shared" si="614"/>
        <v>ENERO</v>
      </c>
      <c r="C9907" s="55">
        <f t="shared" si="615"/>
        <v>1</v>
      </c>
      <c r="D9907" s="3" t="str">
        <f t="shared" si="616"/>
        <v>SÁBADO</v>
      </c>
      <c r="E9907" s="427"/>
      <c r="F9907" s="31">
        <f>IFERROR(VLOOKUP(E9907,BD!$L$2:$Q$244,2,0),0)</f>
        <v>0</v>
      </c>
      <c r="G9907" s="424"/>
      <c r="H9907" s="31">
        <f>+IFERROR(VLOOKUP(E9907,BD!$L$2:$Q$244,6,0),0)</f>
        <v>0</v>
      </c>
      <c r="I9907" s="626">
        <f>IFERROR(G9907*VLOOKUP($E9907,BD!$L$2:$Q$244,5,0),0)</f>
        <v>0</v>
      </c>
      <c r="J9907" s="3">
        <f t="shared" si="617"/>
        <v>1900</v>
      </c>
    </row>
    <row r="9908" spans="1:10" s="9" customFormat="1" x14ac:dyDescent="0.25">
      <c r="A9908" s="447"/>
      <c r="B9908" s="55" t="str">
        <f t="shared" si="614"/>
        <v>ENERO</v>
      </c>
      <c r="C9908" s="55">
        <f t="shared" si="615"/>
        <v>1</v>
      </c>
      <c r="D9908" s="3" t="str">
        <f t="shared" si="616"/>
        <v>SÁBADO</v>
      </c>
      <c r="E9908" s="427"/>
      <c r="F9908" s="31">
        <f>IFERROR(VLOOKUP(E9908,BD!$L$2:$Q$244,2,0),0)</f>
        <v>0</v>
      </c>
      <c r="G9908" s="424"/>
      <c r="H9908" s="31">
        <f>+IFERROR(VLOOKUP(E9908,BD!$L$2:$Q$244,6,0),0)</f>
        <v>0</v>
      </c>
      <c r="I9908" s="626">
        <f>IFERROR(G9908*VLOOKUP($E9908,BD!$L$2:$Q$244,5,0),0)</f>
        <v>0</v>
      </c>
      <c r="J9908" s="3">
        <f t="shared" si="617"/>
        <v>1900</v>
      </c>
    </row>
    <row r="9909" spans="1:10" s="9" customFormat="1" x14ac:dyDescent="0.25">
      <c r="A9909" s="447"/>
      <c r="B9909" s="55" t="str">
        <f t="shared" si="614"/>
        <v>ENERO</v>
      </c>
      <c r="C9909" s="55">
        <f t="shared" si="615"/>
        <v>1</v>
      </c>
      <c r="D9909" s="3" t="str">
        <f t="shared" si="616"/>
        <v>SÁBADO</v>
      </c>
      <c r="E9909" s="427"/>
      <c r="F9909" s="31">
        <f>IFERROR(VLOOKUP(E9909,BD!$L$2:$Q$244,2,0),0)</f>
        <v>0</v>
      </c>
      <c r="G9909" s="424"/>
      <c r="H9909" s="31">
        <f>+IFERROR(VLOOKUP(E9909,BD!$L$2:$Q$244,6,0),0)</f>
        <v>0</v>
      </c>
      <c r="I9909" s="626">
        <f>IFERROR(G9909*VLOOKUP($E9909,BD!$L$2:$Q$244,5,0),0)</f>
        <v>0</v>
      </c>
      <c r="J9909" s="3">
        <f t="shared" si="617"/>
        <v>1900</v>
      </c>
    </row>
    <row r="9910" spans="1:10" s="9" customFormat="1" x14ac:dyDescent="0.25">
      <c r="A9910" s="447"/>
      <c r="B9910" s="55" t="str">
        <f t="shared" si="614"/>
        <v>ENERO</v>
      </c>
      <c r="C9910" s="55">
        <f t="shared" si="615"/>
        <v>1</v>
      </c>
      <c r="D9910" s="3" t="str">
        <f t="shared" si="616"/>
        <v>SÁBADO</v>
      </c>
      <c r="E9910" s="427"/>
      <c r="F9910" s="31">
        <f>IFERROR(VLOOKUP(E9910,BD!$L$2:$Q$244,2,0),0)</f>
        <v>0</v>
      </c>
      <c r="G9910" s="424"/>
      <c r="H9910" s="31">
        <f>+IFERROR(VLOOKUP(E9910,BD!$L$2:$Q$244,6,0),0)</f>
        <v>0</v>
      </c>
      <c r="I9910" s="626">
        <f>IFERROR(G9910*VLOOKUP($E9910,BD!$L$2:$Q$244,5,0),0)</f>
        <v>0</v>
      </c>
      <c r="J9910" s="3">
        <f t="shared" si="617"/>
        <v>1900</v>
      </c>
    </row>
    <row r="9911" spans="1:10" s="9" customFormat="1" x14ac:dyDescent="0.25">
      <c r="A9911" s="447"/>
      <c r="B9911" s="55" t="str">
        <f t="shared" si="614"/>
        <v>ENERO</v>
      </c>
      <c r="C9911" s="55">
        <f t="shared" si="615"/>
        <v>1</v>
      </c>
      <c r="D9911" s="3" t="str">
        <f t="shared" si="616"/>
        <v>SÁBADO</v>
      </c>
      <c r="E9911" s="427"/>
      <c r="F9911" s="31">
        <f>IFERROR(VLOOKUP(E9911,BD!$L$2:$Q$244,2,0),0)</f>
        <v>0</v>
      </c>
      <c r="G9911" s="424"/>
      <c r="H9911" s="31">
        <f>+IFERROR(VLOOKUP(E9911,BD!$L$2:$Q$244,6,0),0)</f>
        <v>0</v>
      </c>
      <c r="I9911" s="626">
        <f>IFERROR(G9911*VLOOKUP($E9911,BD!$L$2:$Q$244,5,0),0)</f>
        <v>0</v>
      </c>
      <c r="J9911" s="3">
        <f t="shared" si="617"/>
        <v>1900</v>
      </c>
    </row>
    <row r="9912" spans="1:10" s="9" customFormat="1" x14ac:dyDescent="0.25">
      <c r="A9912" s="447"/>
      <c r="B9912" s="55" t="str">
        <f t="shared" si="614"/>
        <v>ENERO</v>
      </c>
      <c r="C9912" s="55">
        <f t="shared" si="615"/>
        <v>1</v>
      </c>
      <c r="D9912" s="3" t="str">
        <f t="shared" si="616"/>
        <v>SÁBADO</v>
      </c>
      <c r="E9912" s="427"/>
      <c r="F9912" s="31">
        <f>IFERROR(VLOOKUP(E9912,BD!$L$2:$Q$244,2,0),0)</f>
        <v>0</v>
      </c>
      <c r="G9912" s="424"/>
      <c r="H9912" s="31">
        <f>+IFERROR(VLOOKUP(E9912,BD!$L$2:$Q$244,6,0),0)</f>
        <v>0</v>
      </c>
      <c r="I9912" s="626">
        <f>IFERROR(G9912*VLOOKUP($E9912,BD!$L$2:$Q$244,5,0),0)</f>
        <v>0</v>
      </c>
      <c r="J9912" s="3">
        <f t="shared" si="617"/>
        <v>1900</v>
      </c>
    </row>
    <row r="9913" spans="1:10" s="9" customFormat="1" x14ac:dyDescent="0.25">
      <c r="A9913" s="447"/>
      <c r="B9913" s="55" t="str">
        <f t="shared" si="614"/>
        <v>ENERO</v>
      </c>
      <c r="C9913" s="55">
        <f t="shared" si="615"/>
        <v>1</v>
      </c>
      <c r="D9913" s="3" t="str">
        <f t="shared" si="616"/>
        <v>SÁBADO</v>
      </c>
      <c r="E9913" s="427"/>
      <c r="F9913" s="31">
        <f>IFERROR(VLOOKUP(E9913,BD!$L$2:$Q$244,2,0),0)</f>
        <v>0</v>
      </c>
      <c r="G9913" s="424"/>
      <c r="H9913" s="31">
        <f>+IFERROR(VLOOKUP(E9913,BD!$L$2:$Q$244,6,0),0)</f>
        <v>0</v>
      </c>
      <c r="I9913" s="626">
        <f>IFERROR(G9913*VLOOKUP($E9913,BD!$L$2:$Q$244,5,0),0)</f>
        <v>0</v>
      </c>
      <c r="J9913" s="3">
        <f t="shared" si="617"/>
        <v>1900</v>
      </c>
    </row>
    <row r="9914" spans="1:10" s="9" customFormat="1" x14ac:dyDescent="0.25">
      <c r="A9914" s="447"/>
      <c r="B9914" s="55" t="str">
        <f t="shared" si="614"/>
        <v>ENERO</v>
      </c>
      <c r="C9914" s="55">
        <f t="shared" si="615"/>
        <v>1</v>
      </c>
      <c r="D9914" s="3" t="str">
        <f t="shared" si="616"/>
        <v>SÁBADO</v>
      </c>
      <c r="E9914" s="427"/>
      <c r="F9914" s="31">
        <f>IFERROR(VLOOKUP(E9914,BD!$L$2:$Q$244,2,0),0)</f>
        <v>0</v>
      </c>
      <c r="G9914" s="424"/>
      <c r="H9914" s="31">
        <f>+IFERROR(VLOOKUP(E9914,BD!$L$2:$Q$244,6,0),0)</f>
        <v>0</v>
      </c>
      <c r="I9914" s="626">
        <f>IFERROR(G9914*VLOOKUP($E9914,BD!$L$2:$Q$244,5,0),0)</f>
        <v>0</v>
      </c>
      <c r="J9914" s="3">
        <f t="shared" si="617"/>
        <v>1900</v>
      </c>
    </row>
    <row r="9915" spans="1:10" s="9" customFormat="1" x14ac:dyDescent="0.25">
      <c r="A9915" s="447"/>
      <c r="B9915" s="55" t="str">
        <f t="shared" si="614"/>
        <v>ENERO</v>
      </c>
      <c r="C9915" s="55">
        <f t="shared" si="615"/>
        <v>1</v>
      </c>
      <c r="D9915" s="3" t="str">
        <f t="shared" si="616"/>
        <v>SÁBADO</v>
      </c>
      <c r="E9915" s="427"/>
      <c r="F9915" s="31">
        <f>IFERROR(VLOOKUP(E9915,BD!$L$2:$Q$244,2,0),0)</f>
        <v>0</v>
      </c>
      <c r="G9915" s="424"/>
      <c r="H9915" s="31">
        <f>+IFERROR(VLOOKUP(E9915,BD!$L$2:$Q$244,6,0),0)</f>
        <v>0</v>
      </c>
      <c r="I9915" s="626">
        <f>IFERROR(G9915*VLOOKUP($E9915,BD!$L$2:$Q$244,5,0),0)</f>
        <v>0</v>
      </c>
      <c r="J9915" s="3">
        <f t="shared" si="617"/>
        <v>1900</v>
      </c>
    </row>
    <row r="9916" spans="1:10" s="9" customFormat="1" x14ac:dyDescent="0.25">
      <c r="A9916" s="447"/>
      <c r="B9916" s="55" t="str">
        <f t="shared" ref="B9916:B9979" si="618">UPPER(TEXT(A9916,"MMMM"))</f>
        <v>ENERO</v>
      </c>
      <c r="C9916" s="55">
        <f t="shared" ref="C9916:C9979" si="619">WEEKNUM(A9916,16)</f>
        <v>1</v>
      </c>
      <c r="D9916" s="3" t="str">
        <f t="shared" ref="D9916:D9979" si="620">UPPER(TEXT(A9916,"DDDD"))</f>
        <v>SÁBADO</v>
      </c>
      <c r="E9916" s="427"/>
      <c r="F9916" s="31">
        <f>IFERROR(VLOOKUP(E9916,BD!$L$2:$Q$244,2,0),0)</f>
        <v>0</v>
      </c>
      <c r="G9916" s="424"/>
      <c r="H9916" s="31">
        <f>+IFERROR(VLOOKUP(E9916,BD!$L$2:$Q$244,6,0),0)</f>
        <v>0</v>
      </c>
      <c r="I9916" s="626">
        <f>IFERROR(G9916*VLOOKUP($E9916,BD!$L$2:$Q$244,5,0),0)</f>
        <v>0</v>
      </c>
      <c r="J9916" s="3">
        <f t="shared" ref="J9916:J9979" si="621">+YEAR(A9916)</f>
        <v>1900</v>
      </c>
    </row>
    <row r="9917" spans="1:10" s="9" customFormat="1" x14ac:dyDescent="0.25">
      <c r="A9917" s="447"/>
      <c r="B9917" s="55" t="str">
        <f t="shared" si="618"/>
        <v>ENERO</v>
      </c>
      <c r="C9917" s="55">
        <f t="shared" si="619"/>
        <v>1</v>
      </c>
      <c r="D9917" s="3" t="str">
        <f t="shared" si="620"/>
        <v>SÁBADO</v>
      </c>
      <c r="E9917" s="427"/>
      <c r="F9917" s="31">
        <f>IFERROR(VLOOKUP(E9917,BD!$L$2:$Q$244,2,0),0)</f>
        <v>0</v>
      </c>
      <c r="G9917" s="424"/>
      <c r="H9917" s="31">
        <f>+IFERROR(VLOOKUP(E9917,BD!$L$2:$Q$244,6,0),0)</f>
        <v>0</v>
      </c>
      <c r="I9917" s="626">
        <f>IFERROR(G9917*VLOOKUP($E9917,BD!$L$2:$Q$244,5,0),0)</f>
        <v>0</v>
      </c>
      <c r="J9917" s="3">
        <f t="shared" si="621"/>
        <v>1900</v>
      </c>
    </row>
    <row r="9918" spans="1:10" s="9" customFormat="1" x14ac:dyDescent="0.25">
      <c r="A9918" s="447"/>
      <c r="B9918" s="55" t="str">
        <f t="shared" si="618"/>
        <v>ENERO</v>
      </c>
      <c r="C9918" s="55">
        <f t="shared" si="619"/>
        <v>1</v>
      </c>
      <c r="D9918" s="3" t="str">
        <f t="shared" si="620"/>
        <v>SÁBADO</v>
      </c>
      <c r="E9918" s="427"/>
      <c r="F9918" s="31">
        <f>IFERROR(VLOOKUP(E9918,BD!$L$2:$Q$244,2,0),0)</f>
        <v>0</v>
      </c>
      <c r="G9918" s="424"/>
      <c r="H9918" s="31">
        <f>+IFERROR(VLOOKUP(E9918,BD!$L$2:$Q$244,6,0),0)</f>
        <v>0</v>
      </c>
      <c r="I9918" s="626">
        <f>IFERROR(G9918*VLOOKUP($E9918,BD!$L$2:$Q$244,5,0),0)</f>
        <v>0</v>
      </c>
      <c r="J9918" s="3">
        <f t="shared" si="621"/>
        <v>1900</v>
      </c>
    </row>
    <row r="9919" spans="1:10" s="9" customFormat="1" x14ac:dyDescent="0.25">
      <c r="A9919" s="447"/>
      <c r="B9919" s="55" t="str">
        <f t="shared" si="618"/>
        <v>ENERO</v>
      </c>
      <c r="C9919" s="55">
        <f t="shared" si="619"/>
        <v>1</v>
      </c>
      <c r="D9919" s="3" t="str">
        <f t="shared" si="620"/>
        <v>SÁBADO</v>
      </c>
      <c r="E9919" s="427"/>
      <c r="F9919" s="31">
        <f>IFERROR(VLOOKUP(E9919,BD!$L$2:$Q$244,2,0),0)</f>
        <v>0</v>
      </c>
      <c r="G9919" s="424"/>
      <c r="H9919" s="31">
        <f>+IFERROR(VLOOKUP(E9919,BD!$L$2:$Q$244,6,0),0)</f>
        <v>0</v>
      </c>
      <c r="I9919" s="626">
        <f>IFERROR(G9919*VLOOKUP($E9919,BD!$L$2:$Q$244,5,0),0)</f>
        <v>0</v>
      </c>
      <c r="J9919" s="3">
        <f t="shared" si="621"/>
        <v>1900</v>
      </c>
    </row>
    <row r="9920" spans="1:10" s="9" customFormat="1" x14ac:dyDescent="0.25">
      <c r="A9920" s="447"/>
      <c r="B9920" s="55" t="str">
        <f t="shared" si="618"/>
        <v>ENERO</v>
      </c>
      <c r="C9920" s="55">
        <f t="shared" si="619"/>
        <v>1</v>
      </c>
      <c r="D9920" s="3" t="str">
        <f t="shared" si="620"/>
        <v>SÁBADO</v>
      </c>
      <c r="E9920" s="427"/>
      <c r="F9920" s="31">
        <f>IFERROR(VLOOKUP(E9920,BD!$L$2:$Q$244,2,0),0)</f>
        <v>0</v>
      </c>
      <c r="G9920" s="424"/>
      <c r="H9920" s="31">
        <f>+IFERROR(VLOOKUP(E9920,BD!$L$2:$Q$244,6,0),0)</f>
        <v>0</v>
      </c>
      <c r="I9920" s="626">
        <f>IFERROR(G9920*VLOOKUP($E9920,BD!$L$2:$Q$244,5,0),0)</f>
        <v>0</v>
      </c>
      <c r="J9920" s="3">
        <f t="shared" si="621"/>
        <v>1900</v>
      </c>
    </row>
    <row r="9921" spans="1:10" s="9" customFormat="1" x14ac:dyDescent="0.25">
      <c r="A9921" s="447"/>
      <c r="B9921" s="55" t="str">
        <f t="shared" si="618"/>
        <v>ENERO</v>
      </c>
      <c r="C9921" s="55">
        <f t="shared" si="619"/>
        <v>1</v>
      </c>
      <c r="D9921" s="3" t="str">
        <f t="shared" si="620"/>
        <v>SÁBADO</v>
      </c>
      <c r="E9921" s="427"/>
      <c r="F9921" s="31">
        <f>IFERROR(VLOOKUP(E9921,BD!$L$2:$Q$244,2,0),0)</f>
        <v>0</v>
      </c>
      <c r="G9921" s="424"/>
      <c r="H9921" s="31">
        <f>+IFERROR(VLOOKUP(E9921,BD!$L$2:$Q$244,6,0),0)</f>
        <v>0</v>
      </c>
      <c r="I9921" s="626">
        <f>IFERROR(G9921*VLOOKUP($E9921,BD!$L$2:$Q$244,5,0),0)</f>
        <v>0</v>
      </c>
      <c r="J9921" s="3">
        <f t="shared" si="621"/>
        <v>1900</v>
      </c>
    </row>
    <row r="9922" spans="1:10" s="9" customFormat="1" x14ac:dyDescent="0.25">
      <c r="A9922" s="447"/>
      <c r="B9922" s="55" t="str">
        <f t="shared" si="618"/>
        <v>ENERO</v>
      </c>
      <c r="C9922" s="55">
        <f t="shared" si="619"/>
        <v>1</v>
      </c>
      <c r="D9922" s="3" t="str">
        <f t="shared" si="620"/>
        <v>SÁBADO</v>
      </c>
      <c r="E9922" s="427"/>
      <c r="F9922" s="31">
        <f>IFERROR(VLOOKUP(E9922,BD!$L$2:$Q$244,2,0),0)</f>
        <v>0</v>
      </c>
      <c r="G9922" s="424"/>
      <c r="H9922" s="31">
        <f>+IFERROR(VLOOKUP(E9922,BD!$L$2:$Q$244,6,0),0)</f>
        <v>0</v>
      </c>
      <c r="I9922" s="626">
        <f>IFERROR(G9922*VLOOKUP($E9922,BD!$L$2:$Q$244,5,0),0)</f>
        <v>0</v>
      </c>
      <c r="J9922" s="3">
        <f t="shared" si="621"/>
        <v>1900</v>
      </c>
    </row>
    <row r="9923" spans="1:10" s="9" customFormat="1" x14ac:dyDescent="0.25">
      <c r="A9923" s="447"/>
      <c r="B9923" s="55" t="str">
        <f t="shared" si="618"/>
        <v>ENERO</v>
      </c>
      <c r="C9923" s="55">
        <f t="shared" si="619"/>
        <v>1</v>
      </c>
      <c r="D9923" s="3" t="str">
        <f t="shared" si="620"/>
        <v>SÁBADO</v>
      </c>
      <c r="E9923" s="427"/>
      <c r="F9923" s="31">
        <f>IFERROR(VLOOKUP(E9923,BD!$L$2:$Q$244,2,0),0)</f>
        <v>0</v>
      </c>
      <c r="G9923" s="424"/>
      <c r="H9923" s="31">
        <f>+IFERROR(VLOOKUP(E9923,BD!$L$2:$Q$244,6,0),0)</f>
        <v>0</v>
      </c>
      <c r="I9923" s="626">
        <f>IFERROR(G9923*VLOOKUP($E9923,BD!$L$2:$Q$244,5,0),0)</f>
        <v>0</v>
      </c>
      <c r="J9923" s="3">
        <f t="shared" si="621"/>
        <v>1900</v>
      </c>
    </row>
    <row r="9924" spans="1:10" s="9" customFormat="1" x14ac:dyDescent="0.25">
      <c r="A9924" s="447"/>
      <c r="B9924" s="55" t="str">
        <f t="shared" si="618"/>
        <v>ENERO</v>
      </c>
      <c r="C9924" s="55">
        <f t="shared" si="619"/>
        <v>1</v>
      </c>
      <c r="D9924" s="3" t="str">
        <f t="shared" si="620"/>
        <v>SÁBADO</v>
      </c>
      <c r="E9924" s="427"/>
      <c r="F9924" s="31">
        <f>IFERROR(VLOOKUP(E9924,BD!$L$2:$Q$244,2,0),0)</f>
        <v>0</v>
      </c>
      <c r="G9924" s="424"/>
      <c r="H9924" s="31">
        <f>+IFERROR(VLOOKUP(E9924,BD!$L$2:$Q$244,6,0),0)</f>
        <v>0</v>
      </c>
      <c r="I9924" s="626">
        <f>IFERROR(G9924*VLOOKUP($E9924,BD!$L$2:$Q$244,5,0),0)</f>
        <v>0</v>
      </c>
      <c r="J9924" s="3">
        <f t="shared" si="621"/>
        <v>1900</v>
      </c>
    </row>
    <row r="9925" spans="1:10" s="9" customFormat="1" x14ac:dyDescent="0.25">
      <c r="A9925" s="447"/>
      <c r="B9925" s="55" t="str">
        <f t="shared" si="618"/>
        <v>ENERO</v>
      </c>
      <c r="C9925" s="55">
        <f t="shared" si="619"/>
        <v>1</v>
      </c>
      <c r="D9925" s="3" t="str">
        <f t="shared" si="620"/>
        <v>SÁBADO</v>
      </c>
      <c r="E9925" s="427"/>
      <c r="F9925" s="31">
        <f>IFERROR(VLOOKUP(E9925,BD!$L$2:$Q$244,2,0),0)</f>
        <v>0</v>
      </c>
      <c r="G9925" s="424"/>
      <c r="H9925" s="31">
        <f>+IFERROR(VLOOKUP(E9925,BD!$L$2:$Q$244,6,0),0)</f>
        <v>0</v>
      </c>
      <c r="I9925" s="626">
        <f>IFERROR(G9925*VLOOKUP($E9925,BD!$L$2:$Q$244,5,0),0)</f>
        <v>0</v>
      </c>
      <c r="J9925" s="3">
        <f t="shared" si="621"/>
        <v>1900</v>
      </c>
    </row>
    <row r="9926" spans="1:10" s="9" customFormat="1" x14ac:dyDescent="0.25">
      <c r="A9926" s="447"/>
      <c r="B9926" s="55" t="str">
        <f t="shared" si="618"/>
        <v>ENERO</v>
      </c>
      <c r="C9926" s="55">
        <f t="shared" si="619"/>
        <v>1</v>
      </c>
      <c r="D9926" s="3" t="str">
        <f t="shared" si="620"/>
        <v>SÁBADO</v>
      </c>
      <c r="E9926" s="427"/>
      <c r="F9926" s="31">
        <f>IFERROR(VLOOKUP(E9926,BD!$L$2:$Q$244,2,0),0)</f>
        <v>0</v>
      </c>
      <c r="G9926" s="424"/>
      <c r="H9926" s="31">
        <f>+IFERROR(VLOOKUP(E9926,BD!$L$2:$Q$244,6,0),0)</f>
        <v>0</v>
      </c>
      <c r="I9926" s="626">
        <f>IFERROR(G9926*VLOOKUP($E9926,BD!$L$2:$Q$244,5,0),0)</f>
        <v>0</v>
      </c>
      <c r="J9926" s="3">
        <f t="shared" si="621"/>
        <v>1900</v>
      </c>
    </row>
    <row r="9927" spans="1:10" s="9" customFormat="1" x14ac:dyDescent="0.25">
      <c r="A9927" s="447"/>
      <c r="B9927" s="55" t="str">
        <f t="shared" si="618"/>
        <v>ENERO</v>
      </c>
      <c r="C9927" s="55">
        <f t="shared" si="619"/>
        <v>1</v>
      </c>
      <c r="D9927" s="3" t="str">
        <f t="shared" si="620"/>
        <v>SÁBADO</v>
      </c>
      <c r="E9927" s="427"/>
      <c r="F9927" s="31">
        <f>IFERROR(VLOOKUP(E9927,BD!$L$2:$Q$244,2,0),0)</f>
        <v>0</v>
      </c>
      <c r="G9927" s="424"/>
      <c r="H9927" s="31">
        <f>+IFERROR(VLOOKUP(E9927,BD!$L$2:$Q$244,6,0),0)</f>
        <v>0</v>
      </c>
      <c r="I9927" s="626">
        <f>IFERROR(G9927*VLOOKUP($E9927,BD!$L$2:$Q$244,5,0),0)</f>
        <v>0</v>
      </c>
      <c r="J9927" s="3">
        <f t="shared" si="621"/>
        <v>1900</v>
      </c>
    </row>
    <row r="9928" spans="1:10" s="9" customFormat="1" x14ac:dyDescent="0.25">
      <c r="A9928" s="447"/>
      <c r="B9928" s="55" t="str">
        <f t="shared" si="618"/>
        <v>ENERO</v>
      </c>
      <c r="C9928" s="55">
        <f t="shared" si="619"/>
        <v>1</v>
      </c>
      <c r="D9928" s="3" t="str">
        <f t="shared" si="620"/>
        <v>SÁBADO</v>
      </c>
      <c r="E9928" s="427"/>
      <c r="F9928" s="31">
        <f>IFERROR(VLOOKUP(E9928,BD!$L$2:$Q$244,2,0),0)</f>
        <v>0</v>
      </c>
      <c r="G9928" s="425"/>
      <c r="H9928" s="31">
        <f>+IFERROR(VLOOKUP(E9928,BD!$L$2:$Q$244,6,0),0)</f>
        <v>0</v>
      </c>
      <c r="I9928" s="626">
        <f>IFERROR(G9928*VLOOKUP($E9928,BD!$L$2:$Q$244,5,0),0)</f>
        <v>0</v>
      </c>
      <c r="J9928" s="3">
        <f t="shared" si="621"/>
        <v>1900</v>
      </c>
    </row>
    <row r="9929" spans="1:10" s="9" customFormat="1" x14ac:dyDescent="0.25">
      <c r="A9929" s="447"/>
      <c r="B9929" s="55" t="str">
        <f t="shared" si="618"/>
        <v>ENERO</v>
      </c>
      <c r="C9929" s="55">
        <f t="shared" si="619"/>
        <v>1</v>
      </c>
      <c r="D9929" s="3" t="str">
        <f t="shared" si="620"/>
        <v>SÁBADO</v>
      </c>
      <c r="E9929" s="427"/>
      <c r="F9929" s="31">
        <f>IFERROR(VLOOKUP(E9929,BD!$L$2:$Q$244,2,0),0)</f>
        <v>0</v>
      </c>
      <c r="G9929" s="424"/>
      <c r="H9929" s="31">
        <f>+IFERROR(VLOOKUP(E9929,BD!$L$2:$Q$244,6,0),0)</f>
        <v>0</v>
      </c>
      <c r="I9929" s="626">
        <f>IFERROR(G9929*VLOOKUP($E9929,BD!$L$2:$Q$244,5,0),0)</f>
        <v>0</v>
      </c>
      <c r="J9929" s="3">
        <f t="shared" si="621"/>
        <v>1900</v>
      </c>
    </row>
    <row r="9930" spans="1:10" s="9" customFormat="1" x14ac:dyDescent="0.25">
      <c r="A9930" s="447"/>
      <c r="B9930" s="55" t="str">
        <f t="shared" si="618"/>
        <v>ENERO</v>
      </c>
      <c r="C9930" s="55">
        <f t="shared" si="619"/>
        <v>1</v>
      </c>
      <c r="D9930" s="3" t="str">
        <f t="shared" si="620"/>
        <v>SÁBADO</v>
      </c>
      <c r="E9930" s="427"/>
      <c r="F9930" s="31">
        <f>IFERROR(VLOOKUP(E9930,BD!$L$2:$Q$244,2,0),0)</f>
        <v>0</v>
      </c>
      <c r="G9930" s="424"/>
      <c r="H9930" s="31">
        <f>+IFERROR(VLOOKUP(E9930,BD!$L$2:$Q$244,6,0),0)</f>
        <v>0</v>
      </c>
      <c r="I9930" s="626">
        <f>IFERROR(G9930*VLOOKUP($E9930,BD!$L$2:$Q$244,5,0),0)</f>
        <v>0</v>
      </c>
      <c r="J9930" s="3">
        <f t="shared" si="621"/>
        <v>1900</v>
      </c>
    </row>
    <row r="9931" spans="1:10" s="9" customFormat="1" x14ac:dyDescent="0.25">
      <c r="A9931" s="447"/>
      <c r="B9931" s="55" t="str">
        <f t="shared" si="618"/>
        <v>ENERO</v>
      </c>
      <c r="C9931" s="55">
        <f t="shared" si="619"/>
        <v>1</v>
      </c>
      <c r="D9931" s="3" t="str">
        <f t="shared" si="620"/>
        <v>SÁBADO</v>
      </c>
      <c r="E9931" s="427"/>
      <c r="F9931" s="31">
        <f>IFERROR(VLOOKUP(E9931,BD!$L$2:$Q$244,2,0),0)</f>
        <v>0</v>
      </c>
      <c r="G9931" s="424"/>
      <c r="H9931" s="31">
        <f>+IFERROR(VLOOKUP(E9931,BD!$L$2:$Q$244,6,0),0)</f>
        <v>0</v>
      </c>
      <c r="I9931" s="626">
        <f>IFERROR(G9931*VLOOKUP($E9931,BD!$L$2:$Q$244,5,0),0)</f>
        <v>0</v>
      </c>
      <c r="J9931" s="3">
        <f t="shared" si="621"/>
        <v>1900</v>
      </c>
    </row>
    <row r="9932" spans="1:10" s="9" customFormat="1" x14ac:dyDescent="0.25">
      <c r="A9932" s="447"/>
      <c r="B9932" s="55" t="str">
        <f t="shared" si="618"/>
        <v>ENERO</v>
      </c>
      <c r="C9932" s="55">
        <f t="shared" si="619"/>
        <v>1</v>
      </c>
      <c r="D9932" s="3" t="str">
        <f t="shared" si="620"/>
        <v>SÁBADO</v>
      </c>
      <c r="E9932" s="427"/>
      <c r="F9932" s="31">
        <f>IFERROR(VLOOKUP(E9932,BD!$L$2:$Q$244,2,0),0)</f>
        <v>0</v>
      </c>
      <c r="G9932" s="424"/>
      <c r="H9932" s="31">
        <f>+IFERROR(VLOOKUP(E9932,BD!$L$2:$Q$244,6,0),0)</f>
        <v>0</v>
      </c>
      <c r="I9932" s="626">
        <f>IFERROR(G9932*VLOOKUP($E9932,BD!$L$2:$Q$244,5,0),0)</f>
        <v>0</v>
      </c>
      <c r="J9932" s="3">
        <f t="shared" si="621"/>
        <v>1900</v>
      </c>
    </row>
    <row r="9933" spans="1:10" s="9" customFormat="1" x14ac:dyDescent="0.25">
      <c r="A9933" s="447"/>
      <c r="B9933" s="55" t="str">
        <f t="shared" si="618"/>
        <v>ENERO</v>
      </c>
      <c r="C9933" s="55">
        <f t="shared" si="619"/>
        <v>1</v>
      </c>
      <c r="D9933" s="3" t="str">
        <f t="shared" si="620"/>
        <v>SÁBADO</v>
      </c>
      <c r="E9933" s="427"/>
      <c r="F9933" s="31">
        <f>IFERROR(VLOOKUP(E9933,BD!$L$2:$Q$244,2,0),0)</f>
        <v>0</v>
      </c>
      <c r="G9933" s="424"/>
      <c r="H9933" s="31">
        <f>+IFERROR(VLOOKUP(E9933,BD!$L$2:$Q$244,6,0),0)</f>
        <v>0</v>
      </c>
      <c r="I9933" s="626">
        <f>IFERROR(G9933*VLOOKUP($E9933,BD!$L$2:$Q$244,5,0),0)</f>
        <v>0</v>
      </c>
      <c r="J9933" s="3">
        <f t="shared" si="621"/>
        <v>1900</v>
      </c>
    </row>
    <row r="9934" spans="1:10" s="9" customFormat="1" x14ac:dyDescent="0.25">
      <c r="A9934" s="447"/>
      <c r="B9934" s="55" t="str">
        <f t="shared" si="618"/>
        <v>ENERO</v>
      </c>
      <c r="C9934" s="55">
        <f t="shared" si="619"/>
        <v>1</v>
      </c>
      <c r="D9934" s="3" t="str">
        <f t="shared" si="620"/>
        <v>SÁBADO</v>
      </c>
      <c r="E9934" s="427"/>
      <c r="F9934" s="31">
        <f>IFERROR(VLOOKUP(E9934,BD!$L$2:$Q$244,2,0),0)</f>
        <v>0</v>
      </c>
      <c r="G9934" s="424"/>
      <c r="H9934" s="31">
        <f>+IFERROR(VLOOKUP(E9934,BD!$L$2:$Q$244,6,0),0)</f>
        <v>0</v>
      </c>
      <c r="I9934" s="626">
        <f>IFERROR(G9934*VLOOKUP($E9934,BD!$L$2:$Q$244,5,0),0)</f>
        <v>0</v>
      </c>
      <c r="J9934" s="3">
        <f t="shared" si="621"/>
        <v>1900</v>
      </c>
    </row>
    <row r="9935" spans="1:10" s="9" customFormat="1" x14ac:dyDescent="0.25">
      <c r="A9935" s="447"/>
      <c r="B9935" s="55" t="str">
        <f t="shared" si="618"/>
        <v>ENERO</v>
      </c>
      <c r="C9935" s="55">
        <f t="shared" si="619"/>
        <v>1</v>
      </c>
      <c r="D9935" s="3" t="str">
        <f t="shared" si="620"/>
        <v>SÁBADO</v>
      </c>
      <c r="E9935" s="427"/>
      <c r="F9935" s="31">
        <f>IFERROR(VLOOKUP(E9935,BD!$L$2:$Q$244,2,0),0)</f>
        <v>0</v>
      </c>
      <c r="G9935" s="424"/>
      <c r="H9935" s="31">
        <f>+IFERROR(VLOOKUP(E9935,BD!$L$2:$Q$244,6,0),0)</f>
        <v>0</v>
      </c>
      <c r="I9935" s="626">
        <f>IFERROR(G9935*VLOOKUP($E9935,BD!$L$2:$Q$244,5,0),0)</f>
        <v>0</v>
      </c>
      <c r="J9935" s="3">
        <f t="shared" si="621"/>
        <v>1900</v>
      </c>
    </row>
    <row r="9936" spans="1:10" s="9" customFormat="1" x14ac:dyDescent="0.25">
      <c r="A9936" s="447"/>
      <c r="B9936" s="55" t="str">
        <f t="shared" si="618"/>
        <v>ENERO</v>
      </c>
      <c r="C9936" s="55">
        <f t="shared" si="619"/>
        <v>1</v>
      </c>
      <c r="D9936" s="3" t="str">
        <f t="shared" si="620"/>
        <v>SÁBADO</v>
      </c>
      <c r="E9936" s="427"/>
      <c r="F9936" s="31">
        <f>IFERROR(VLOOKUP(E9936,BD!$L$2:$Q$244,2,0),0)</f>
        <v>0</v>
      </c>
      <c r="G9936" s="424"/>
      <c r="H9936" s="31">
        <f>+IFERROR(VLOOKUP(E9936,BD!$L$2:$Q$244,6,0),0)</f>
        <v>0</v>
      </c>
      <c r="I9936" s="626">
        <f>IFERROR(G9936*VLOOKUP($E9936,BD!$L$2:$Q$244,5,0),0)</f>
        <v>0</v>
      </c>
      <c r="J9936" s="3">
        <f t="shared" si="621"/>
        <v>1900</v>
      </c>
    </row>
    <row r="9937" spans="1:10" s="9" customFormat="1" x14ac:dyDescent="0.25">
      <c r="A9937" s="447"/>
      <c r="B9937" s="55" t="str">
        <f t="shared" si="618"/>
        <v>ENERO</v>
      </c>
      <c r="C9937" s="55">
        <f t="shared" si="619"/>
        <v>1</v>
      </c>
      <c r="D9937" s="3" t="str">
        <f t="shared" si="620"/>
        <v>SÁBADO</v>
      </c>
      <c r="E9937" s="427"/>
      <c r="F9937" s="31">
        <f>IFERROR(VLOOKUP(E9937,BD!$L$2:$Q$244,2,0),0)</f>
        <v>0</v>
      </c>
      <c r="G9937" s="424"/>
      <c r="H9937" s="31">
        <f>+IFERROR(VLOOKUP(E9937,BD!$L$2:$Q$244,6,0),0)</f>
        <v>0</v>
      </c>
      <c r="I9937" s="626">
        <f>IFERROR(G9937*VLOOKUP($E9937,BD!$L$2:$Q$244,5,0),0)</f>
        <v>0</v>
      </c>
      <c r="J9937" s="3">
        <f t="shared" si="621"/>
        <v>1900</v>
      </c>
    </row>
    <row r="9938" spans="1:10" s="9" customFormat="1" x14ac:dyDescent="0.25">
      <c r="A9938" s="447"/>
      <c r="B9938" s="55" t="str">
        <f t="shared" si="618"/>
        <v>ENERO</v>
      </c>
      <c r="C9938" s="55">
        <f t="shared" si="619"/>
        <v>1</v>
      </c>
      <c r="D9938" s="3" t="str">
        <f t="shared" si="620"/>
        <v>SÁBADO</v>
      </c>
      <c r="E9938" s="427"/>
      <c r="F9938" s="31">
        <f>IFERROR(VLOOKUP(E9938,BD!$L$2:$Q$244,2,0),0)</f>
        <v>0</v>
      </c>
      <c r="G9938" s="424"/>
      <c r="H9938" s="31">
        <f>+IFERROR(VLOOKUP(E9938,BD!$L$2:$Q$244,6,0),0)</f>
        <v>0</v>
      </c>
      <c r="I9938" s="626">
        <f>IFERROR(G9938*VLOOKUP($E9938,BD!$L$2:$Q$244,5,0),0)</f>
        <v>0</v>
      </c>
      <c r="J9938" s="3">
        <f t="shared" si="621"/>
        <v>1900</v>
      </c>
    </row>
    <row r="9939" spans="1:10" s="9" customFormat="1" x14ac:dyDescent="0.25">
      <c r="A9939" s="447"/>
      <c r="B9939" s="55" t="str">
        <f t="shared" si="618"/>
        <v>ENERO</v>
      </c>
      <c r="C9939" s="55">
        <f t="shared" si="619"/>
        <v>1</v>
      </c>
      <c r="D9939" s="3" t="str">
        <f t="shared" si="620"/>
        <v>SÁBADO</v>
      </c>
      <c r="E9939" s="427"/>
      <c r="F9939" s="31">
        <f>IFERROR(VLOOKUP(E9939,BD!$L$2:$Q$244,2,0),0)</f>
        <v>0</v>
      </c>
      <c r="G9939" s="424"/>
      <c r="H9939" s="31">
        <f>+IFERROR(VLOOKUP(E9939,BD!$L$2:$Q$244,6,0),0)</f>
        <v>0</v>
      </c>
      <c r="I9939" s="626">
        <f>IFERROR(G9939*VLOOKUP($E9939,BD!$L$2:$Q$244,5,0),0)</f>
        <v>0</v>
      </c>
      <c r="J9939" s="3">
        <f t="shared" si="621"/>
        <v>1900</v>
      </c>
    </row>
    <row r="9940" spans="1:10" s="9" customFormat="1" x14ac:dyDescent="0.25">
      <c r="A9940" s="447"/>
      <c r="B9940" s="55" t="str">
        <f t="shared" si="618"/>
        <v>ENERO</v>
      </c>
      <c r="C9940" s="55">
        <f t="shared" si="619"/>
        <v>1</v>
      </c>
      <c r="D9940" s="3" t="str">
        <f t="shared" si="620"/>
        <v>SÁBADO</v>
      </c>
      <c r="E9940" s="427"/>
      <c r="F9940" s="31">
        <f>IFERROR(VLOOKUP(E9940,BD!$L$2:$Q$244,2,0),0)</f>
        <v>0</v>
      </c>
      <c r="G9940" s="424"/>
      <c r="H9940" s="31">
        <f>+IFERROR(VLOOKUP(E9940,BD!$L$2:$Q$244,6,0),0)</f>
        <v>0</v>
      </c>
      <c r="I9940" s="626">
        <f>IFERROR(G9940*VLOOKUP($E9940,BD!$L$2:$Q$244,5,0),0)</f>
        <v>0</v>
      </c>
      <c r="J9940" s="3">
        <f t="shared" si="621"/>
        <v>1900</v>
      </c>
    </row>
    <row r="9941" spans="1:10" s="9" customFormat="1" x14ac:dyDescent="0.25">
      <c r="A9941" s="447"/>
      <c r="B9941" s="55" t="str">
        <f t="shared" si="618"/>
        <v>ENERO</v>
      </c>
      <c r="C9941" s="55">
        <f t="shared" si="619"/>
        <v>1</v>
      </c>
      <c r="D9941" s="3" t="str">
        <f t="shared" si="620"/>
        <v>SÁBADO</v>
      </c>
      <c r="E9941" s="427"/>
      <c r="F9941" s="31">
        <f>IFERROR(VLOOKUP(E9941,BD!$L$2:$Q$244,2,0),0)</f>
        <v>0</v>
      </c>
      <c r="G9941" s="424"/>
      <c r="H9941" s="31">
        <f>+IFERROR(VLOOKUP(E9941,BD!$L$2:$Q$244,6,0),0)</f>
        <v>0</v>
      </c>
      <c r="I9941" s="626">
        <f>IFERROR(G9941*VLOOKUP($E9941,BD!$L$2:$Q$244,5,0),0)</f>
        <v>0</v>
      </c>
      <c r="J9941" s="3">
        <f t="shared" si="621"/>
        <v>1900</v>
      </c>
    </row>
    <row r="9942" spans="1:10" s="9" customFormat="1" x14ac:dyDescent="0.25">
      <c r="A9942" s="447"/>
      <c r="B9942" s="55" t="str">
        <f t="shared" si="618"/>
        <v>ENERO</v>
      </c>
      <c r="C9942" s="55">
        <f t="shared" si="619"/>
        <v>1</v>
      </c>
      <c r="D9942" s="3" t="str">
        <f t="shared" si="620"/>
        <v>SÁBADO</v>
      </c>
      <c r="E9942" s="427"/>
      <c r="F9942" s="31">
        <f>IFERROR(VLOOKUP(E9942,BD!$L$2:$Q$244,2,0),0)</f>
        <v>0</v>
      </c>
      <c r="G9942" s="424"/>
      <c r="H9942" s="31">
        <f>+IFERROR(VLOOKUP(E9942,BD!$L$2:$Q$244,6,0),0)</f>
        <v>0</v>
      </c>
      <c r="I9942" s="626">
        <f>IFERROR(G9942*VLOOKUP($E9942,BD!$L$2:$Q$244,5,0),0)</f>
        <v>0</v>
      </c>
      <c r="J9942" s="3">
        <f t="shared" si="621"/>
        <v>1900</v>
      </c>
    </row>
    <row r="9943" spans="1:10" s="9" customFormat="1" x14ac:dyDescent="0.25">
      <c r="A9943" s="447"/>
      <c r="B9943" s="55" t="str">
        <f t="shared" si="618"/>
        <v>ENERO</v>
      </c>
      <c r="C9943" s="55">
        <f t="shared" si="619"/>
        <v>1</v>
      </c>
      <c r="D9943" s="3" t="str">
        <f t="shared" si="620"/>
        <v>SÁBADO</v>
      </c>
      <c r="E9943" s="427"/>
      <c r="F9943" s="31">
        <f>IFERROR(VLOOKUP(E9943,BD!$L$2:$Q$244,2,0),0)</f>
        <v>0</v>
      </c>
      <c r="G9943" s="424"/>
      <c r="H9943" s="31">
        <f>+IFERROR(VLOOKUP(E9943,BD!$L$2:$Q$244,6,0),0)</f>
        <v>0</v>
      </c>
      <c r="I9943" s="626">
        <f>IFERROR(G9943*VLOOKUP($E9943,BD!$L$2:$Q$244,5,0),0)</f>
        <v>0</v>
      </c>
      <c r="J9943" s="3">
        <f t="shared" si="621"/>
        <v>1900</v>
      </c>
    </row>
    <row r="9944" spans="1:10" s="9" customFormat="1" x14ac:dyDescent="0.25">
      <c r="A9944" s="447"/>
      <c r="B9944" s="55" t="str">
        <f t="shared" si="618"/>
        <v>ENERO</v>
      </c>
      <c r="C9944" s="55">
        <f t="shared" si="619"/>
        <v>1</v>
      </c>
      <c r="D9944" s="3" t="str">
        <f t="shared" si="620"/>
        <v>SÁBADO</v>
      </c>
      <c r="E9944" s="427"/>
      <c r="F9944" s="31">
        <f>IFERROR(VLOOKUP(E9944,BD!$L$2:$Q$244,2,0),0)</f>
        <v>0</v>
      </c>
      <c r="G9944" s="424"/>
      <c r="H9944" s="31">
        <f>+IFERROR(VLOOKUP(E9944,BD!$L$2:$Q$244,6,0),0)</f>
        <v>0</v>
      </c>
      <c r="I9944" s="626">
        <f>IFERROR(G9944*VLOOKUP($E9944,BD!$L$2:$Q$244,5,0),0)</f>
        <v>0</v>
      </c>
      <c r="J9944" s="3">
        <f t="shared" si="621"/>
        <v>1900</v>
      </c>
    </row>
    <row r="9945" spans="1:10" s="9" customFormat="1" x14ac:dyDescent="0.25">
      <c r="A9945" s="447"/>
      <c r="B9945" s="55" t="str">
        <f t="shared" si="618"/>
        <v>ENERO</v>
      </c>
      <c r="C9945" s="55">
        <f t="shared" si="619"/>
        <v>1</v>
      </c>
      <c r="D9945" s="3" t="str">
        <f t="shared" si="620"/>
        <v>SÁBADO</v>
      </c>
      <c r="E9945" s="427"/>
      <c r="F9945" s="31">
        <f>IFERROR(VLOOKUP(E9945,BD!$L$2:$Q$244,2,0),0)</f>
        <v>0</v>
      </c>
      <c r="G9945" s="424"/>
      <c r="H9945" s="31">
        <f>+IFERROR(VLOOKUP(E9945,BD!$L$2:$Q$244,6,0),0)</f>
        <v>0</v>
      </c>
      <c r="I9945" s="626">
        <f>IFERROR(G9945*VLOOKUP($E9945,BD!$L$2:$Q$244,5,0),0)</f>
        <v>0</v>
      </c>
      <c r="J9945" s="3">
        <f t="shared" si="621"/>
        <v>1900</v>
      </c>
    </row>
    <row r="9946" spans="1:10" s="9" customFormat="1" x14ac:dyDescent="0.25">
      <c r="A9946" s="447"/>
      <c r="B9946" s="55" t="str">
        <f t="shared" si="618"/>
        <v>ENERO</v>
      </c>
      <c r="C9946" s="55">
        <f t="shared" si="619"/>
        <v>1</v>
      </c>
      <c r="D9946" s="3" t="str">
        <f t="shared" si="620"/>
        <v>SÁBADO</v>
      </c>
      <c r="E9946" s="427"/>
      <c r="F9946" s="31">
        <f>IFERROR(VLOOKUP(E9946,BD!$L$2:$Q$244,2,0),0)</f>
        <v>0</v>
      </c>
      <c r="G9946" s="424"/>
      <c r="H9946" s="31">
        <f>+IFERROR(VLOOKUP(E9946,BD!$L$2:$Q$244,6,0),0)</f>
        <v>0</v>
      </c>
      <c r="I9946" s="626">
        <f>IFERROR(G9946*VLOOKUP($E9946,BD!$L$2:$Q$244,5,0),0)</f>
        <v>0</v>
      </c>
      <c r="J9946" s="3">
        <f t="shared" si="621"/>
        <v>1900</v>
      </c>
    </row>
    <row r="9947" spans="1:10" s="9" customFormat="1" x14ac:dyDescent="0.25">
      <c r="A9947" s="447"/>
      <c r="B9947" s="55" t="str">
        <f t="shared" si="618"/>
        <v>ENERO</v>
      </c>
      <c r="C9947" s="55">
        <f t="shared" si="619"/>
        <v>1</v>
      </c>
      <c r="D9947" s="3" t="str">
        <f t="shared" si="620"/>
        <v>SÁBADO</v>
      </c>
      <c r="E9947" s="427"/>
      <c r="F9947" s="31">
        <f>IFERROR(VLOOKUP(E9947,BD!$L$2:$Q$244,2,0),0)</f>
        <v>0</v>
      </c>
      <c r="G9947" s="424"/>
      <c r="H9947" s="31">
        <f>+IFERROR(VLOOKUP(E9947,BD!$L$2:$Q$244,6,0),0)</f>
        <v>0</v>
      </c>
      <c r="I9947" s="626">
        <f>IFERROR(G9947*VLOOKUP($E9947,BD!$L$2:$Q$244,5,0),0)</f>
        <v>0</v>
      </c>
      <c r="J9947" s="3">
        <f t="shared" si="621"/>
        <v>1900</v>
      </c>
    </row>
    <row r="9948" spans="1:10" s="9" customFormat="1" x14ac:dyDescent="0.25">
      <c r="A9948" s="447"/>
      <c r="B9948" s="55" t="str">
        <f t="shared" si="618"/>
        <v>ENERO</v>
      </c>
      <c r="C9948" s="55">
        <f t="shared" si="619"/>
        <v>1</v>
      </c>
      <c r="D9948" s="3" t="str">
        <f t="shared" si="620"/>
        <v>SÁBADO</v>
      </c>
      <c r="E9948" s="427"/>
      <c r="F9948" s="31">
        <f>IFERROR(VLOOKUP(E9948,BD!$L$2:$Q$244,2,0),0)</f>
        <v>0</v>
      </c>
      <c r="G9948" s="424"/>
      <c r="H9948" s="31">
        <f>+IFERROR(VLOOKUP(E9948,BD!$L$2:$Q$244,6,0),0)</f>
        <v>0</v>
      </c>
      <c r="I9948" s="626">
        <f>IFERROR(G9948*VLOOKUP($E9948,BD!$L$2:$Q$244,5,0),0)</f>
        <v>0</v>
      </c>
      <c r="J9948" s="3">
        <f t="shared" si="621"/>
        <v>1900</v>
      </c>
    </row>
    <row r="9949" spans="1:10" s="9" customFormat="1" x14ac:dyDescent="0.25">
      <c r="A9949" s="447"/>
      <c r="B9949" s="55" t="str">
        <f t="shared" si="618"/>
        <v>ENERO</v>
      </c>
      <c r="C9949" s="55">
        <f t="shared" si="619"/>
        <v>1</v>
      </c>
      <c r="D9949" s="3" t="str">
        <f t="shared" si="620"/>
        <v>SÁBADO</v>
      </c>
      <c r="E9949" s="427"/>
      <c r="F9949" s="31">
        <f>IFERROR(VLOOKUP(E9949,BD!$L$2:$Q$244,2,0),0)</f>
        <v>0</v>
      </c>
      <c r="G9949" s="424"/>
      <c r="H9949" s="31">
        <f>+IFERROR(VLOOKUP(E9949,BD!$L$2:$Q$244,6,0),0)</f>
        <v>0</v>
      </c>
      <c r="I9949" s="626">
        <f>IFERROR(G9949*VLOOKUP($E9949,BD!$L$2:$Q$244,5,0),0)</f>
        <v>0</v>
      </c>
      <c r="J9949" s="3">
        <f t="shared" si="621"/>
        <v>1900</v>
      </c>
    </row>
    <row r="9950" spans="1:10" s="9" customFormat="1" x14ac:dyDescent="0.25">
      <c r="A9950" s="447"/>
      <c r="B9950" s="55" t="str">
        <f t="shared" si="618"/>
        <v>ENERO</v>
      </c>
      <c r="C9950" s="55">
        <f t="shared" si="619"/>
        <v>1</v>
      </c>
      <c r="D9950" s="3" t="str">
        <f t="shared" si="620"/>
        <v>SÁBADO</v>
      </c>
      <c r="E9950" s="427"/>
      <c r="F9950" s="31">
        <f>IFERROR(VLOOKUP(E9950,BD!$L$2:$Q$244,2,0),0)</f>
        <v>0</v>
      </c>
      <c r="G9950" s="424"/>
      <c r="H9950" s="31">
        <f>+IFERROR(VLOOKUP(E9950,BD!$L$2:$Q$244,6,0),0)</f>
        <v>0</v>
      </c>
      <c r="I9950" s="626">
        <f>IFERROR(G9950*VLOOKUP($E9950,BD!$L$2:$Q$244,5,0),0)</f>
        <v>0</v>
      </c>
      <c r="J9950" s="3">
        <f t="shared" si="621"/>
        <v>1900</v>
      </c>
    </row>
    <row r="9951" spans="1:10" s="9" customFormat="1" x14ac:dyDescent="0.25">
      <c r="A9951" s="447"/>
      <c r="B9951" s="55" t="str">
        <f t="shared" si="618"/>
        <v>ENERO</v>
      </c>
      <c r="C9951" s="55">
        <f t="shared" si="619"/>
        <v>1</v>
      </c>
      <c r="D9951" s="3" t="str">
        <f t="shared" si="620"/>
        <v>SÁBADO</v>
      </c>
      <c r="E9951" s="427"/>
      <c r="F9951" s="31">
        <f>IFERROR(VLOOKUP(E9951,BD!$L$2:$Q$244,2,0),0)</f>
        <v>0</v>
      </c>
      <c r="G9951" s="424"/>
      <c r="H9951" s="31">
        <f>+IFERROR(VLOOKUP(E9951,BD!$L$2:$Q$244,6,0),0)</f>
        <v>0</v>
      </c>
      <c r="I9951" s="626">
        <f>IFERROR(G9951*VLOOKUP($E9951,BD!$L$2:$Q$244,5,0),0)</f>
        <v>0</v>
      </c>
      <c r="J9951" s="3">
        <f t="shared" si="621"/>
        <v>1900</v>
      </c>
    </row>
    <row r="9952" spans="1:10" s="9" customFormat="1" x14ac:dyDescent="0.25">
      <c r="A9952" s="447"/>
      <c r="B9952" s="55" t="str">
        <f t="shared" si="618"/>
        <v>ENERO</v>
      </c>
      <c r="C9952" s="55">
        <f t="shared" si="619"/>
        <v>1</v>
      </c>
      <c r="D9952" s="3" t="str">
        <f t="shared" si="620"/>
        <v>SÁBADO</v>
      </c>
      <c r="E9952" s="427"/>
      <c r="F9952" s="31">
        <f>IFERROR(VLOOKUP(E9952,BD!$L$2:$Q$244,2,0),0)</f>
        <v>0</v>
      </c>
      <c r="G9952" s="424"/>
      <c r="H9952" s="31">
        <f>+IFERROR(VLOOKUP(E9952,BD!$L$2:$Q$244,6,0),0)</f>
        <v>0</v>
      </c>
      <c r="I9952" s="626">
        <f>IFERROR(G9952*VLOOKUP($E9952,BD!$L$2:$Q$244,5,0),0)</f>
        <v>0</v>
      </c>
      <c r="J9952" s="3">
        <f t="shared" si="621"/>
        <v>1900</v>
      </c>
    </row>
    <row r="9953" spans="1:10" s="9" customFormat="1" x14ac:dyDescent="0.25">
      <c r="A9953" s="447"/>
      <c r="B9953" s="55" t="str">
        <f t="shared" si="618"/>
        <v>ENERO</v>
      </c>
      <c r="C9953" s="55">
        <f t="shared" si="619"/>
        <v>1</v>
      </c>
      <c r="D9953" s="3" t="str">
        <f t="shared" si="620"/>
        <v>SÁBADO</v>
      </c>
      <c r="E9953" s="427"/>
      <c r="F9953" s="31">
        <f>IFERROR(VLOOKUP(E9953,BD!$L$2:$Q$244,2,0),0)</f>
        <v>0</v>
      </c>
      <c r="G9953" s="424"/>
      <c r="H9953" s="31">
        <f>+IFERROR(VLOOKUP(E9953,BD!$L$2:$Q$244,6,0),0)</f>
        <v>0</v>
      </c>
      <c r="I9953" s="626">
        <f>IFERROR(G9953*VLOOKUP($E9953,BD!$L$2:$Q$244,5,0),0)</f>
        <v>0</v>
      </c>
      <c r="J9953" s="3">
        <f t="shared" si="621"/>
        <v>1900</v>
      </c>
    </row>
    <row r="9954" spans="1:10" s="9" customFormat="1" x14ac:dyDescent="0.25">
      <c r="A9954" s="447"/>
      <c r="B9954" s="55" t="str">
        <f t="shared" si="618"/>
        <v>ENERO</v>
      </c>
      <c r="C9954" s="55">
        <f t="shared" si="619"/>
        <v>1</v>
      </c>
      <c r="D9954" s="3" t="str">
        <f t="shared" si="620"/>
        <v>SÁBADO</v>
      </c>
      <c r="E9954" s="427"/>
      <c r="F9954" s="31">
        <f>IFERROR(VLOOKUP(E9954,BD!$L$2:$Q$244,2,0),0)</f>
        <v>0</v>
      </c>
      <c r="G9954" s="424"/>
      <c r="H9954" s="31">
        <f>+IFERROR(VLOOKUP(E9954,BD!$L$2:$Q$244,6,0),0)</f>
        <v>0</v>
      </c>
      <c r="I9954" s="626">
        <f>IFERROR(G9954*VLOOKUP($E9954,BD!$L$2:$Q$244,5,0),0)</f>
        <v>0</v>
      </c>
      <c r="J9954" s="3">
        <f t="shared" si="621"/>
        <v>1900</v>
      </c>
    </row>
    <row r="9955" spans="1:10" s="9" customFormat="1" x14ac:dyDescent="0.25">
      <c r="A9955" s="447"/>
      <c r="B9955" s="55" t="str">
        <f t="shared" si="618"/>
        <v>ENERO</v>
      </c>
      <c r="C9955" s="55">
        <f t="shared" si="619"/>
        <v>1</v>
      </c>
      <c r="D9955" s="3" t="str">
        <f t="shared" si="620"/>
        <v>SÁBADO</v>
      </c>
      <c r="E9955" s="427"/>
      <c r="F9955" s="31">
        <f>IFERROR(VLOOKUP(E9955,BD!$L$2:$Q$244,2,0),0)</f>
        <v>0</v>
      </c>
      <c r="G9955" s="424"/>
      <c r="H9955" s="31">
        <f>+IFERROR(VLOOKUP(E9955,BD!$L$2:$Q$244,6,0),0)</f>
        <v>0</v>
      </c>
      <c r="I9955" s="626">
        <f>IFERROR(G9955*VLOOKUP($E9955,BD!$L$2:$Q$244,5,0),0)</f>
        <v>0</v>
      </c>
      <c r="J9955" s="3">
        <f t="shared" si="621"/>
        <v>1900</v>
      </c>
    </row>
    <row r="9956" spans="1:10" s="9" customFormat="1" x14ac:dyDescent="0.25">
      <c r="A9956" s="447"/>
      <c r="B9956" s="55" t="str">
        <f t="shared" si="618"/>
        <v>ENERO</v>
      </c>
      <c r="C9956" s="55">
        <f t="shared" si="619"/>
        <v>1</v>
      </c>
      <c r="D9956" s="3" t="str">
        <f t="shared" si="620"/>
        <v>SÁBADO</v>
      </c>
      <c r="E9956" s="427"/>
      <c r="F9956" s="31">
        <f>IFERROR(VLOOKUP(E9956,BD!$L$2:$Q$244,2,0),0)</f>
        <v>0</v>
      </c>
      <c r="G9956" s="424"/>
      <c r="H9956" s="31">
        <f>+IFERROR(VLOOKUP(E9956,BD!$L$2:$Q$244,6,0),0)</f>
        <v>0</v>
      </c>
      <c r="I9956" s="626">
        <f>IFERROR(G9956*VLOOKUP($E9956,BD!$L$2:$Q$244,5,0),0)</f>
        <v>0</v>
      </c>
      <c r="J9956" s="3">
        <f t="shared" si="621"/>
        <v>1900</v>
      </c>
    </row>
    <row r="9957" spans="1:10" s="9" customFormat="1" x14ac:dyDescent="0.25">
      <c r="A9957" s="447"/>
      <c r="B9957" s="55" t="str">
        <f t="shared" si="618"/>
        <v>ENERO</v>
      </c>
      <c r="C9957" s="55">
        <f t="shared" si="619"/>
        <v>1</v>
      </c>
      <c r="D9957" s="3" t="str">
        <f t="shared" si="620"/>
        <v>SÁBADO</v>
      </c>
      <c r="E9957" s="427"/>
      <c r="F9957" s="31">
        <f>IFERROR(VLOOKUP(E9957,BD!$L$2:$Q$244,2,0),0)</f>
        <v>0</v>
      </c>
      <c r="G9957" s="424"/>
      <c r="H9957" s="31">
        <f>+IFERROR(VLOOKUP(E9957,BD!$L$2:$Q$244,6,0),0)</f>
        <v>0</v>
      </c>
      <c r="I9957" s="626">
        <f>IFERROR(G9957*VLOOKUP($E9957,BD!$L$2:$Q$244,5,0),0)</f>
        <v>0</v>
      </c>
      <c r="J9957" s="3">
        <f t="shared" si="621"/>
        <v>1900</v>
      </c>
    </row>
    <row r="9958" spans="1:10" s="9" customFormat="1" x14ac:dyDescent="0.25">
      <c r="A9958" s="447"/>
      <c r="B9958" s="55" t="str">
        <f t="shared" si="618"/>
        <v>ENERO</v>
      </c>
      <c r="C9958" s="55">
        <f t="shared" si="619"/>
        <v>1</v>
      </c>
      <c r="D9958" s="3" t="str">
        <f t="shared" si="620"/>
        <v>SÁBADO</v>
      </c>
      <c r="E9958" s="427"/>
      <c r="F9958" s="31">
        <f>IFERROR(VLOOKUP(E9958,BD!$L$2:$Q$244,2,0),0)</f>
        <v>0</v>
      </c>
      <c r="G9958" s="424"/>
      <c r="H9958" s="31">
        <f>+IFERROR(VLOOKUP(E9958,BD!$L$2:$Q$244,6,0),0)</f>
        <v>0</v>
      </c>
      <c r="I9958" s="626">
        <f>IFERROR(G9958*VLOOKUP($E9958,BD!$L$2:$Q$244,5,0),0)</f>
        <v>0</v>
      </c>
      <c r="J9958" s="3">
        <f t="shared" si="621"/>
        <v>1900</v>
      </c>
    </row>
    <row r="9959" spans="1:10" s="9" customFormat="1" x14ac:dyDescent="0.25">
      <c r="A9959" s="447"/>
      <c r="B9959" s="55" t="str">
        <f t="shared" si="618"/>
        <v>ENERO</v>
      </c>
      <c r="C9959" s="55">
        <f t="shared" si="619"/>
        <v>1</v>
      </c>
      <c r="D9959" s="3" t="str">
        <f t="shared" si="620"/>
        <v>SÁBADO</v>
      </c>
      <c r="E9959" s="427"/>
      <c r="F9959" s="31">
        <f>IFERROR(VLOOKUP(E9959,BD!$L$2:$Q$244,2,0),0)</f>
        <v>0</v>
      </c>
      <c r="G9959" s="424"/>
      <c r="H9959" s="31">
        <f>+IFERROR(VLOOKUP(E9959,BD!$L$2:$Q$244,6,0),0)</f>
        <v>0</v>
      </c>
      <c r="I9959" s="626">
        <f>IFERROR(G9959*VLOOKUP($E9959,BD!$L$2:$Q$244,5,0),0)</f>
        <v>0</v>
      </c>
      <c r="J9959" s="3">
        <f t="shared" si="621"/>
        <v>1900</v>
      </c>
    </row>
    <row r="9960" spans="1:10" s="9" customFormat="1" x14ac:dyDescent="0.25">
      <c r="A9960" s="447"/>
      <c r="B9960" s="55" t="str">
        <f t="shared" si="618"/>
        <v>ENERO</v>
      </c>
      <c r="C9960" s="55">
        <f t="shared" si="619"/>
        <v>1</v>
      </c>
      <c r="D9960" s="3" t="str">
        <f t="shared" si="620"/>
        <v>SÁBADO</v>
      </c>
      <c r="E9960" s="427"/>
      <c r="F9960" s="31">
        <f>IFERROR(VLOOKUP(E9960,BD!$L$2:$Q$244,2,0),0)</f>
        <v>0</v>
      </c>
      <c r="G9960" s="424"/>
      <c r="H9960" s="31">
        <f>+IFERROR(VLOOKUP(E9960,BD!$L$2:$Q$244,6,0),0)</f>
        <v>0</v>
      </c>
      <c r="I9960" s="626">
        <f>IFERROR(G9960*VLOOKUP($E9960,BD!$L$2:$Q$244,5,0),0)</f>
        <v>0</v>
      </c>
      <c r="J9960" s="3">
        <f t="shared" si="621"/>
        <v>1900</v>
      </c>
    </row>
    <row r="9961" spans="1:10" s="9" customFormat="1" x14ac:dyDescent="0.25">
      <c r="A9961" s="447"/>
      <c r="B9961" s="55" t="str">
        <f t="shared" si="618"/>
        <v>ENERO</v>
      </c>
      <c r="C9961" s="55">
        <f t="shared" si="619"/>
        <v>1</v>
      </c>
      <c r="D9961" s="3" t="str">
        <f t="shared" si="620"/>
        <v>SÁBADO</v>
      </c>
      <c r="E9961" s="427"/>
      <c r="F9961" s="31">
        <f>IFERROR(VLOOKUP(E9961,BD!$L$2:$Q$244,2,0),0)</f>
        <v>0</v>
      </c>
      <c r="G9961" s="424"/>
      <c r="H9961" s="31">
        <f>+IFERROR(VLOOKUP(E9961,BD!$L$2:$Q$244,6,0),0)</f>
        <v>0</v>
      </c>
      <c r="I9961" s="626">
        <f>IFERROR(G9961*VLOOKUP($E9961,BD!$L$2:$Q$244,5,0),0)</f>
        <v>0</v>
      </c>
      <c r="J9961" s="3">
        <f t="shared" si="621"/>
        <v>1900</v>
      </c>
    </row>
    <row r="9962" spans="1:10" s="9" customFormat="1" x14ac:dyDescent="0.25">
      <c r="A9962" s="447"/>
      <c r="B9962" s="55" t="str">
        <f t="shared" si="618"/>
        <v>ENERO</v>
      </c>
      <c r="C9962" s="55">
        <f t="shared" si="619"/>
        <v>1</v>
      </c>
      <c r="D9962" s="3" t="str">
        <f t="shared" si="620"/>
        <v>SÁBADO</v>
      </c>
      <c r="E9962" s="427"/>
      <c r="F9962" s="31">
        <f>IFERROR(VLOOKUP(E9962,BD!$L$2:$Q$244,2,0),0)</f>
        <v>0</v>
      </c>
      <c r="G9962" s="424"/>
      <c r="H9962" s="31">
        <f>+IFERROR(VLOOKUP(E9962,BD!$L$2:$Q$244,6,0),0)</f>
        <v>0</v>
      </c>
      <c r="I9962" s="626">
        <f>IFERROR(G9962*VLOOKUP($E9962,BD!$L$2:$Q$244,5,0),0)</f>
        <v>0</v>
      </c>
      <c r="J9962" s="3">
        <f t="shared" si="621"/>
        <v>1900</v>
      </c>
    </row>
    <row r="9963" spans="1:10" s="9" customFormat="1" x14ac:dyDescent="0.25">
      <c r="A9963" s="447"/>
      <c r="B9963" s="55" t="str">
        <f t="shared" si="618"/>
        <v>ENERO</v>
      </c>
      <c r="C9963" s="55">
        <f t="shared" si="619"/>
        <v>1</v>
      </c>
      <c r="D9963" s="3" t="str">
        <f t="shared" si="620"/>
        <v>SÁBADO</v>
      </c>
      <c r="E9963" s="427"/>
      <c r="F9963" s="31">
        <f>IFERROR(VLOOKUP(E9963,BD!$L$2:$Q$244,2,0),0)</f>
        <v>0</v>
      </c>
      <c r="G9963" s="424"/>
      <c r="H9963" s="31">
        <f>+IFERROR(VLOOKUP(E9963,BD!$L$2:$Q$244,6,0),0)</f>
        <v>0</v>
      </c>
      <c r="I9963" s="626">
        <f>IFERROR(G9963*VLOOKUP($E9963,BD!$L$2:$Q$244,5,0),0)</f>
        <v>0</v>
      </c>
      <c r="J9963" s="3">
        <f t="shared" si="621"/>
        <v>1900</v>
      </c>
    </row>
    <row r="9964" spans="1:10" s="9" customFormat="1" x14ac:dyDescent="0.25">
      <c r="A9964" s="447"/>
      <c r="B9964" s="55" t="str">
        <f t="shared" si="618"/>
        <v>ENERO</v>
      </c>
      <c r="C9964" s="55">
        <f t="shared" si="619"/>
        <v>1</v>
      </c>
      <c r="D9964" s="3" t="str">
        <f t="shared" si="620"/>
        <v>SÁBADO</v>
      </c>
      <c r="E9964" s="427"/>
      <c r="F9964" s="31">
        <f>IFERROR(VLOOKUP(E9964,BD!$L$2:$Q$244,2,0),0)</f>
        <v>0</v>
      </c>
      <c r="G9964" s="424"/>
      <c r="H9964" s="31">
        <f>+IFERROR(VLOOKUP(E9964,BD!$L$2:$Q$244,6,0),0)</f>
        <v>0</v>
      </c>
      <c r="I9964" s="626">
        <f>IFERROR(G9964*VLOOKUP($E9964,BD!$L$2:$Q$244,5,0),0)</f>
        <v>0</v>
      </c>
      <c r="J9964" s="3">
        <f t="shared" si="621"/>
        <v>1900</v>
      </c>
    </row>
    <row r="9965" spans="1:10" s="9" customFormat="1" x14ac:dyDescent="0.25">
      <c r="A9965" s="447"/>
      <c r="B9965" s="55" t="str">
        <f t="shared" si="618"/>
        <v>ENERO</v>
      </c>
      <c r="C9965" s="55">
        <f t="shared" si="619"/>
        <v>1</v>
      </c>
      <c r="D9965" s="3" t="str">
        <f t="shared" si="620"/>
        <v>SÁBADO</v>
      </c>
      <c r="E9965" s="427"/>
      <c r="F9965" s="31">
        <f>IFERROR(VLOOKUP(E9965,BD!$L$2:$Q$244,2,0),0)</f>
        <v>0</v>
      </c>
      <c r="G9965" s="424"/>
      <c r="H9965" s="31">
        <f>+IFERROR(VLOOKUP(E9965,BD!$L$2:$Q$244,6,0),0)</f>
        <v>0</v>
      </c>
      <c r="I9965" s="626">
        <f>IFERROR(G9965*VLOOKUP($E9965,BD!$L$2:$Q$244,5,0),0)</f>
        <v>0</v>
      </c>
      <c r="J9965" s="3">
        <f t="shared" si="621"/>
        <v>1900</v>
      </c>
    </row>
    <row r="9966" spans="1:10" s="9" customFormat="1" x14ac:dyDescent="0.25">
      <c r="A9966" s="447"/>
      <c r="B9966" s="55" t="str">
        <f t="shared" si="618"/>
        <v>ENERO</v>
      </c>
      <c r="C9966" s="55">
        <f t="shared" si="619"/>
        <v>1</v>
      </c>
      <c r="D9966" s="3" t="str">
        <f t="shared" si="620"/>
        <v>SÁBADO</v>
      </c>
      <c r="E9966" s="427"/>
      <c r="F9966" s="31">
        <f>IFERROR(VLOOKUP(E9966,BD!$L$2:$Q$244,2,0),0)</f>
        <v>0</v>
      </c>
      <c r="G9966" s="424"/>
      <c r="H9966" s="31">
        <f>+IFERROR(VLOOKUP(E9966,BD!$L$2:$Q$244,6,0),0)</f>
        <v>0</v>
      </c>
      <c r="I9966" s="626">
        <f>IFERROR(G9966*VLOOKUP($E9966,BD!$L$2:$Q$244,5,0),0)</f>
        <v>0</v>
      </c>
      <c r="J9966" s="3">
        <f t="shared" si="621"/>
        <v>1900</v>
      </c>
    </row>
    <row r="9967" spans="1:10" s="9" customFormat="1" x14ac:dyDescent="0.25">
      <c r="A9967" s="447"/>
      <c r="B9967" s="55" t="str">
        <f t="shared" si="618"/>
        <v>ENERO</v>
      </c>
      <c r="C9967" s="55">
        <f t="shared" si="619"/>
        <v>1</v>
      </c>
      <c r="D9967" s="3" t="str">
        <f t="shared" si="620"/>
        <v>SÁBADO</v>
      </c>
      <c r="E9967" s="427"/>
      <c r="F9967" s="31">
        <f>IFERROR(VLOOKUP(E9967,BD!$L$2:$Q$244,2,0),0)</f>
        <v>0</v>
      </c>
      <c r="G9967" s="424"/>
      <c r="H9967" s="31">
        <f>+IFERROR(VLOOKUP(E9967,BD!$L$2:$Q$244,6,0),0)</f>
        <v>0</v>
      </c>
      <c r="I9967" s="626">
        <f>IFERROR(G9967*VLOOKUP($E9967,BD!$L$2:$Q$244,5,0),0)</f>
        <v>0</v>
      </c>
      <c r="J9967" s="3">
        <f t="shared" si="621"/>
        <v>1900</v>
      </c>
    </row>
    <row r="9968" spans="1:10" s="9" customFormat="1" x14ac:dyDescent="0.25">
      <c r="A9968" s="447"/>
      <c r="B9968" s="55" t="str">
        <f t="shared" si="618"/>
        <v>ENERO</v>
      </c>
      <c r="C9968" s="55">
        <f t="shared" si="619"/>
        <v>1</v>
      </c>
      <c r="D9968" s="3" t="str">
        <f t="shared" si="620"/>
        <v>SÁBADO</v>
      </c>
      <c r="E9968" s="427"/>
      <c r="F9968" s="31">
        <f>IFERROR(VLOOKUP(E9968,BD!$L$2:$Q$244,2,0),0)</f>
        <v>0</v>
      </c>
      <c r="G9968" s="424"/>
      <c r="H9968" s="31">
        <f>+IFERROR(VLOOKUP(E9968,BD!$L$2:$Q$244,6,0),0)</f>
        <v>0</v>
      </c>
      <c r="I9968" s="626">
        <f>IFERROR(G9968*VLOOKUP($E9968,BD!$L$2:$Q$244,5,0),0)</f>
        <v>0</v>
      </c>
      <c r="J9968" s="3">
        <f t="shared" si="621"/>
        <v>1900</v>
      </c>
    </row>
    <row r="9969" spans="1:10" s="9" customFormat="1" x14ac:dyDescent="0.25">
      <c r="A9969" s="447"/>
      <c r="B9969" s="55" t="str">
        <f t="shared" si="618"/>
        <v>ENERO</v>
      </c>
      <c r="C9969" s="55">
        <f t="shared" si="619"/>
        <v>1</v>
      </c>
      <c r="D9969" s="3" t="str">
        <f t="shared" si="620"/>
        <v>SÁBADO</v>
      </c>
      <c r="E9969" s="427"/>
      <c r="F9969" s="31">
        <f>IFERROR(VLOOKUP(E9969,BD!$L$2:$Q$244,2,0),0)</f>
        <v>0</v>
      </c>
      <c r="G9969" s="424"/>
      <c r="H9969" s="31">
        <f>+IFERROR(VLOOKUP(E9969,BD!$L$2:$Q$244,6,0),0)</f>
        <v>0</v>
      </c>
      <c r="I9969" s="626">
        <f>IFERROR(G9969*VLOOKUP($E9969,BD!$L$2:$Q$244,5,0),0)</f>
        <v>0</v>
      </c>
      <c r="J9969" s="3">
        <f t="shared" si="621"/>
        <v>1900</v>
      </c>
    </row>
    <row r="9970" spans="1:10" s="9" customFormat="1" x14ac:dyDescent="0.25">
      <c r="A9970" s="447"/>
      <c r="B9970" s="55" t="str">
        <f t="shared" si="618"/>
        <v>ENERO</v>
      </c>
      <c r="C9970" s="55">
        <f t="shared" si="619"/>
        <v>1</v>
      </c>
      <c r="D9970" s="3" t="str">
        <f t="shared" si="620"/>
        <v>SÁBADO</v>
      </c>
      <c r="E9970" s="427"/>
      <c r="F9970" s="31">
        <f>IFERROR(VLOOKUP(E9970,BD!$L$2:$Q$244,2,0),0)</f>
        <v>0</v>
      </c>
      <c r="G9970" s="424"/>
      <c r="H9970" s="31">
        <f>+IFERROR(VLOOKUP(E9970,BD!$L$2:$Q$244,6,0),0)</f>
        <v>0</v>
      </c>
      <c r="I9970" s="626">
        <f>IFERROR(G9970*VLOOKUP($E9970,BD!$L$2:$Q$244,5,0),0)</f>
        <v>0</v>
      </c>
      <c r="J9970" s="3">
        <f t="shared" si="621"/>
        <v>1900</v>
      </c>
    </row>
    <row r="9971" spans="1:10" s="9" customFormat="1" x14ac:dyDescent="0.25">
      <c r="A9971" s="447"/>
      <c r="B9971" s="55" t="str">
        <f t="shared" si="618"/>
        <v>ENERO</v>
      </c>
      <c r="C9971" s="55">
        <f t="shared" si="619"/>
        <v>1</v>
      </c>
      <c r="D9971" s="3" t="str">
        <f t="shared" si="620"/>
        <v>SÁBADO</v>
      </c>
      <c r="E9971" s="427"/>
      <c r="F9971" s="31">
        <f>IFERROR(VLOOKUP(E9971,BD!$L$2:$Q$244,2,0),0)</f>
        <v>0</v>
      </c>
      <c r="G9971" s="424"/>
      <c r="H9971" s="31">
        <f>+IFERROR(VLOOKUP(E9971,BD!$L$2:$Q$244,6,0),0)</f>
        <v>0</v>
      </c>
      <c r="I9971" s="626">
        <f>IFERROR(G9971*VLOOKUP($E9971,BD!$L$2:$Q$244,5,0),0)</f>
        <v>0</v>
      </c>
      <c r="J9971" s="3">
        <f t="shared" si="621"/>
        <v>1900</v>
      </c>
    </row>
    <row r="9972" spans="1:10" s="9" customFormat="1" x14ac:dyDescent="0.25">
      <c r="A9972" s="447"/>
      <c r="B9972" s="55" t="str">
        <f t="shared" si="618"/>
        <v>ENERO</v>
      </c>
      <c r="C9972" s="55">
        <f t="shared" si="619"/>
        <v>1</v>
      </c>
      <c r="D9972" s="3" t="str">
        <f t="shared" si="620"/>
        <v>SÁBADO</v>
      </c>
      <c r="E9972" s="427"/>
      <c r="F9972" s="31">
        <f>IFERROR(VLOOKUP(E9972,BD!$L$2:$Q$244,2,0),0)</f>
        <v>0</v>
      </c>
      <c r="G9972" s="424"/>
      <c r="H9972" s="31">
        <f>+IFERROR(VLOOKUP(E9972,BD!$L$2:$Q$244,6,0),0)</f>
        <v>0</v>
      </c>
      <c r="I9972" s="626">
        <f>IFERROR(G9972*VLOOKUP($E9972,BD!$L$2:$Q$244,5,0),0)</f>
        <v>0</v>
      </c>
      <c r="J9972" s="3">
        <f t="shared" si="621"/>
        <v>1900</v>
      </c>
    </row>
    <row r="9973" spans="1:10" s="9" customFormat="1" x14ac:dyDescent="0.25">
      <c r="A9973" s="447"/>
      <c r="B9973" s="55" t="str">
        <f t="shared" si="618"/>
        <v>ENERO</v>
      </c>
      <c r="C9973" s="55">
        <f t="shared" si="619"/>
        <v>1</v>
      </c>
      <c r="D9973" s="3" t="str">
        <f t="shared" si="620"/>
        <v>SÁBADO</v>
      </c>
      <c r="E9973" s="427"/>
      <c r="F9973" s="31">
        <f>IFERROR(VLOOKUP(E9973,BD!$L$2:$Q$244,2,0),0)</f>
        <v>0</v>
      </c>
      <c r="G9973" s="424"/>
      <c r="H9973" s="31">
        <f>+IFERROR(VLOOKUP(E9973,BD!$L$2:$Q$244,6,0),0)</f>
        <v>0</v>
      </c>
      <c r="I9973" s="626">
        <f>IFERROR(G9973*VLOOKUP($E9973,BD!$L$2:$Q$244,5,0),0)</f>
        <v>0</v>
      </c>
      <c r="J9973" s="3">
        <f t="shared" si="621"/>
        <v>1900</v>
      </c>
    </row>
    <row r="9974" spans="1:10" s="9" customFormat="1" x14ac:dyDescent="0.25">
      <c r="A9974" s="447"/>
      <c r="B9974" s="55" t="str">
        <f t="shared" si="618"/>
        <v>ENERO</v>
      </c>
      <c r="C9974" s="55">
        <f t="shared" si="619"/>
        <v>1</v>
      </c>
      <c r="D9974" s="3" t="str">
        <f t="shared" si="620"/>
        <v>SÁBADO</v>
      </c>
      <c r="E9974" s="427"/>
      <c r="F9974" s="31">
        <f>IFERROR(VLOOKUP(E9974,BD!$L$2:$Q$244,2,0),0)</f>
        <v>0</v>
      </c>
      <c r="G9974" s="424"/>
      <c r="H9974" s="31">
        <f>+IFERROR(VLOOKUP(E9974,BD!$L$2:$Q$244,6,0),0)</f>
        <v>0</v>
      </c>
      <c r="I9974" s="626">
        <f>IFERROR(G9974*VLOOKUP($E9974,BD!$L$2:$Q$244,5,0),0)</f>
        <v>0</v>
      </c>
      <c r="J9974" s="3">
        <f t="shared" si="621"/>
        <v>1900</v>
      </c>
    </row>
    <row r="9975" spans="1:10" s="9" customFormat="1" x14ac:dyDescent="0.25">
      <c r="A9975" s="447"/>
      <c r="B9975" s="55" t="str">
        <f t="shared" si="618"/>
        <v>ENERO</v>
      </c>
      <c r="C9975" s="55">
        <f t="shared" si="619"/>
        <v>1</v>
      </c>
      <c r="D9975" s="3" t="str">
        <f t="shared" si="620"/>
        <v>SÁBADO</v>
      </c>
      <c r="E9975" s="427"/>
      <c r="F9975" s="31">
        <f>IFERROR(VLOOKUP(E9975,BD!$L$2:$Q$244,2,0),0)</f>
        <v>0</v>
      </c>
      <c r="G9975" s="424"/>
      <c r="H9975" s="31">
        <f>+IFERROR(VLOOKUP(E9975,BD!$L$2:$Q$244,6,0),0)</f>
        <v>0</v>
      </c>
      <c r="I9975" s="626">
        <f>IFERROR(G9975*VLOOKUP($E9975,BD!$L$2:$Q$244,5,0),0)</f>
        <v>0</v>
      </c>
      <c r="J9975" s="3">
        <f t="shared" si="621"/>
        <v>1900</v>
      </c>
    </row>
    <row r="9976" spans="1:10" s="9" customFormat="1" x14ac:dyDescent="0.25">
      <c r="A9976" s="447"/>
      <c r="B9976" s="55" t="str">
        <f t="shared" si="618"/>
        <v>ENERO</v>
      </c>
      <c r="C9976" s="55">
        <f t="shared" si="619"/>
        <v>1</v>
      </c>
      <c r="D9976" s="3" t="str">
        <f t="shared" si="620"/>
        <v>SÁBADO</v>
      </c>
      <c r="E9976" s="427"/>
      <c r="F9976" s="31">
        <f>IFERROR(VLOOKUP(E9976,BD!$L$2:$Q$244,2,0),0)</f>
        <v>0</v>
      </c>
      <c r="G9976" s="424"/>
      <c r="H9976" s="31">
        <f>+IFERROR(VLOOKUP(E9976,BD!$L$2:$Q$244,6,0),0)</f>
        <v>0</v>
      </c>
      <c r="I9976" s="626">
        <f>IFERROR(G9976*VLOOKUP($E9976,BD!$L$2:$Q$244,5,0),0)</f>
        <v>0</v>
      </c>
      <c r="J9976" s="3">
        <f t="shared" si="621"/>
        <v>1900</v>
      </c>
    </row>
    <row r="9977" spans="1:10" s="9" customFormat="1" x14ac:dyDescent="0.25">
      <c r="A9977" s="447"/>
      <c r="B9977" s="55" t="str">
        <f t="shared" si="618"/>
        <v>ENERO</v>
      </c>
      <c r="C9977" s="55">
        <f t="shared" si="619"/>
        <v>1</v>
      </c>
      <c r="D9977" s="3" t="str">
        <f t="shared" si="620"/>
        <v>SÁBADO</v>
      </c>
      <c r="E9977" s="427"/>
      <c r="F9977" s="31">
        <f>IFERROR(VLOOKUP(E9977,BD!$L$2:$Q$244,2,0),0)</f>
        <v>0</v>
      </c>
      <c r="G9977" s="424"/>
      <c r="H9977" s="31">
        <f>+IFERROR(VLOOKUP(E9977,BD!$L$2:$Q$244,6,0),0)</f>
        <v>0</v>
      </c>
      <c r="I9977" s="626">
        <f>IFERROR(G9977*VLOOKUP($E9977,BD!$L$2:$Q$244,5,0),0)</f>
        <v>0</v>
      </c>
      <c r="J9977" s="3">
        <f t="shared" si="621"/>
        <v>1900</v>
      </c>
    </row>
    <row r="9978" spans="1:10" s="9" customFormat="1" x14ac:dyDescent="0.25">
      <c r="A9978" s="447"/>
      <c r="B9978" s="55" t="str">
        <f t="shared" si="618"/>
        <v>ENERO</v>
      </c>
      <c r="C9978" s="55">
        <f t="shared" si="619"/>
        <v>1</v>
      </c>
      <c r="D9978" s="3" t="str">
        <f t="shared" si="620"/>
        <v>SÁBADO</v>
      </c>
      <c r="E9978" s="427"/>
      <c r="F9978" s="31">
        <f>IFERROR(VLOOKUP(E9978,BD!$L$2:$Q$244,2,0),0)</f>
        <v>0</v>
      </c>
      <c r="G9978" s="424"/>
      <c r="H9978" s="31">
        <f>+IFERROR(VLOOKUP(E9978,BD!$L$2:$Q$244,6,0),0)</f>
        <v>0</v>
      </c>
      <c r="I9978" s="626">
        <f>IFERROR(G9978*VLOOKUP($E9978,BD!$L$2:$Q$244,5,0),0)</f>
        <v>0</v>
      </c>
      <c r="J9978" s="3">
        <f t="shared" si="621"/>
        <v>1900</v>
      </c>
    </row>
    <row r="9979" spans="1:10" s="9" customFormat="1" x14ac:dyDescent="0.25">
      <c r="A9979" s="447"/>
      <c r="B9979" s="55" t="str">
        <f t="shared" si="618"/>
        <v>ENERO</v>
      </c>
      <c r="C9979" s="55">
        <f t="shared" si="619"/>
        <v>1</v>
      </c>
      <c r="D9979" s="3" t="str">
        <f t="shared" si="620"/>
        <v>SÁBADO</v>
      </c>
      <c r="E9979" s="427"/>
      <c r="F9979" s="31">
        <f>IFERROR(VLOOKUP(E9979,BD!$L$2:$Q$244,2,0),0)</f>
        <v>0</v>
      </c>
      <c r="G9979" s="424"/>
      <c r="H9979" s="31">
        <f>+IFERROR(VLOOKUP(E9979,BD!$L$2:$Q$244,6,0),0)</f>
        <v>0</v>
      </c>
      <c r="I9979" s="626">
        <f>IFERROR(G9979*VLOOKUP($E9979,BD!$L$2:$Q$244,5,0),0)</f>
        <v>0</v>
      </c>
      <c r="J9979" s="3">
        <f t="shared" si="621"/>
        <v>1900</v>
      </c>
    </row>
    <row r="9980" spans="1:10" s="9" customFormat="1" x14ac:dyDescent="0.25">
      <c r="A9980" s="447"/>
      <c r="B9980" s="55" t="str">
        <f t="shared" ref="B9980:B10043" si="622">UPPER(TEXT(A9980,"MMMM"))</f>
        <v>ENERO</v>
      </c>
      <c r="C9980" s="55">
        <f t="shared" ref="C9980:C10043" si="623">WEEKNUM(A9980,16)</f>
        <v>1</v>
      </c>
      <c r="D9980" s="3" t="str">
        <f t="shared" ref="D9980:D10043" si="624">UPPER(TEXT(A9980,"DDDD"))</f>
        <v>SÁBADO</v>
      </c>
      <c r="E9980" s="427"/>
      <c r="F9980" s="31">
        <f>IFERROR(VLOOKUP(E9980,BD!$L$2:$Q$244,2,0),0)</f>
        <v>0</v>
      </c>
      <c r="G9980" s="424"/>
      <c r="H9980" s="31">
        <f>+IFERROR(VLOOKUP(E9980,BD!$L$2:$Q$244,6,0),0)</f>
        <v>0</v>
      </c>
      <c r="I9980" s="626">
        <f>IFERROR(G9980*VLOOKUP($E9980,BD!$L$2:$Q$244,5,0),0)</f>
        <v>0</v>
      </c>
      <c r="J9980" s="3">
        <f t="shared" ref="J9980:J10043" si="625">+YEAR(A9980)</f>
        <v>1900</v>
      </c>
    </row>
    <row r="9981" spans="1:10" s="9" customFormat="1" x14ac:dyDescent="0.25">
      <c r="A9981" s="447"/>
      <c r="B9981" s="55" t="str">
        <f t="shared" si="622"/>
        <v>ENERO</v>
      </c>
      <c r="C9981" s="55">
        <f t="shared" si="623"/>
        <v>1</v>
      </c>
      <c r="D9981" s="3" t="str">
        <f t="shared" si="624"/>
        <v>SÁBADO</v>
      </c>
      <c r="E9981" s="427"/>
      <c r="F9981" s="31">
        <f>IFERROR(VLOOKUP(E9981,BD!$L$2:$Q$244,2,0),0)</f>
        <v>0</v>
      </c>
      <c r="G9981" s="424"/>
      <c r="H9981" s="31">
        <f>+IFERROR(VLOOKUP(E9981,BD!$L$2:$Q$244,6,0),0)</f>
        <v>0</v>
      </c>
      <c r="I9981" s="626">
        <f>IFERROR(G9981*VLOOKUP($E9981,BD!$L$2:$Q$244,5,0),0)</f>
        <v>0</v>
      </c>
      <c r="J9981" s="3">
        <f t="shared" si="625"/>
        <v>1900</v>
      </c>
    </row>
    <row r="9982" spans="1:10" s="9" customFormat="1" x14ac:dyDescent="0.25">
      <c r="A9982" s="447"/>
      <c r="B9982" s="55" t="str">
        <f t="shared" si="622"/>
        <v>ENERO</v>
      </c>
      <c r="C9982" s="55">
        <f t="shared" si="623"/>
        <v>1</v>
      </c>
      <c r="D9982" s="3" t="str">
        <f t="shared" si="624"/>
        <v>SÁBADO</v>
      </c>
      <c r="E9982" s="427"/>
      <c r="F9982" s="31">
        <f>IFERROR(VLOOKUP(E9982,BD!$L$2:$Q$244,2,0),0)</f>
        <v>0</v>
      </c>
      <c r="G9982" s="424"/>
      <c r="H9982" s="31">
        <f>+IFERROR(VLOOKUP(E9982,BD!$L$2:$Q$244,6,0),0)</f>
        <v>0</v>
      </c>
      <c r="I9982" s="626">
        <f>IFERROR(G9982*VLOOKUP($E9982,BD!$L$2:$Q$244,5,0),0)</f>
        <v>0</v>
      </c>
      <c r="J9982" s="3">
        <f t="shared" si="625"/>
        <v>1900</v>
      </c>
    </row>
    <row r="9983" spans="1:10" s="9" customFormat="1" x14ac:dyDescent="0.25">
      <c r="A9983" s="447"/>
      <c r="B9983" s="55" t="str">
        <f t="shared" si="622"/>
        <v>ENERO</v>
      </c>
      <c r="C9983" s="55">
        <f t="shared" si="623"/>
        <v>1</v>
      </c>
      <c r="D9983" s="3" t="str">
        <f t="shared" si="624"/>
        <v>SÁBADO</v>
      </c>
      <c r="E9983" s="427"/>
      <c r="F9983" s="31">
        <f>IFERROR(VLOOKUP(E9983,BD!$L$2:$Q$244,2,0),0)</f>
        <v>0</v>
      </c>
      <c r="G9983" s="424"/>
      <c r="H9983" s="31">
        <f>+IFERROR(VLOOKUP(E9983,BD!$L$2:$Q$244,6,0),0)</f>
        <v>0</v>
      </c>
      <c r="I9983" s="626">
        <f>IFERROR(G9983*VLOOKUP($E9983,BD!$L$2:$Q$244,5,0),0)</f>
        <v>0</v>
      </c>
      <c r="J9983" s="3">
        <f t="shared" si="625"/>
        <v>1900</v>
      </c>
    </row>
    <row r="9984" spans="1:10" s="9" customFormat="1" x14ac:dyDescent="0.25">
      <c r="A9984" s="447"/>
      <c r="B9984" s="55" t="str">
        <f t="shared" si="622"/>
        <v>ENERO</v>
      </c>
      <c r="C9984" s="55">
        <f t="shared" si="623"/>
        <v>1</v>
      </c>
      <c r="D9984" s="3" t="str">
        <f t="shared" si="624"/>
        <v>SÁBADO</v>
      </c>
      <c r="E9984" s="427"/>
      <c r="F9984" s="31">
        <f>IFERROR(VLOOKUP(E9984,BD!$L$2:$Q$244,2,0),0)</f>
        <v>0</v>
      </c>
      <c r="G9984" s="424"/>
      <c r="H9984" s="31">
        <f>+IFERROR(VLOOKUP(E9984,BD!$L$2:$Q$244,6,0),0)</f>
        <v>0</v>
      </c>
      <c r="I9984" s="626">
        <f>IFERROR(G9984*VLOOKUP($E9984,BD!$L$2:$Q$244,5,0),0)</f>
        <v>0</v>
      </c>
      <c r="J9984" s="3">
        <f t="shared" si="625"/>
        <v>1900</v>
      </c>
    </row>
    <row r="9985" spans="1:10" s="9" customFormat="1" x14ac:dyDescent="0.25">
      <c r="A9985" s="447"/>
      <c r="B9985" s="55" t="str">
        <f t="shared" si="622"/>
        <v>ENERO</v>
      </c>
      <c r="C9985" s="55">
        <f t="shared" si="623"/>
        <v>1</v>
      </c>
      <c r="D9985" s="3" t="str">
        <f t="shared" si="624"/>
        <v>SÁBADO</v>
      </c>
      <c r="E9985" s="427"/>
      <c r="F9985" s="31">
        <f>IFERROR(VLOOKUP(E9985,BD!$L$2:$Q$244,2,0),0)</f>
        <v>0</v>
      </c>
      <c r="G9985" s="424"/>
      <c r="H9985" s="31">
        <f>+IFERROR(VLOOKUP(E9985,BD!$L$2:$Q$244,6,0),0)</f>
        <v>0</v>
      </c>
      <c r="I9985" s="626">
        <f>IFERROR(G9985*VLOOKUP($E9985,BD!$L$2:$Q$244,5,0),0)</f>
        <v>0</v>
      </c>
      <c r="J9985" s="3">
        <f t="shared" si="625"/>
        <v>1900</v>
      </c>
    </row>
    <row r="9986" spans="1:10" s="9" customFormat="1" x14ac:dyDescent="0.25">
      <c r="A9986" s="447"/>
      <c r="B9986" s="55" t="str">
        <f t="shared" si="622"/>
        <v>ENERO</v>
      </c>
      <c r="C9986" s="55">
        <f t="shared" si="623"/>
        <v>1</v>
      </c>
      <c r="D9986" s="3" t="str">
        <f t="shared" si="624"/>
        <v>SÁBADO</v>
      </c>
      <c r="E9986" s="427"/>
      <c r="F9986" s="31">
        <f>IFERROR(VLOOKUP(E9986,BD!$L$2:$Q$244,2,0),0)</f>
        <v>0</v>
      </c>
      <c r="G9986" s="424"/>
      <c r="H9986" s="31">
        <f>+IFERROR(VLOOKUP(E9986,BD!$L$2:$Q$244,6,0),0)</f>
        <v>0</v>
      </c>
      <c r="I9986" s="626">
        <f>IFERROR(G9986*VLOOKUP($E9986,BD!$L$2:$Q$244,5,0),0)</f>
        <v>0</v>
      </c>
      <c r="J9986" s="3">
        <f t="shared" si="625"/>
        <v>1900</v>
      </c>
    </row>
    <row r="9987" spans="1:10" s="9" customFormat="1" x14ac:dyDescent="0.25">
      <c r="A9987" s="447"/>
      <c r="B9987" s="55" t="str">
        <f t="shared" si="622"/>
        <v>ENERO</v>
      </c>
      <c r="C9987" s="55">
        <f t="shared" si="623"/>
        <v>1</v>
      </c>
      <c r="D9987" s="3" t="str">
        <f t="shared" si="624"/>
        <v>SÁBADO</v>
      </c>
      <c r="E9987" s="427"/>
      <c r="F9987" s="31">
        <f>IFERROR(VLOOKUP(E9987,BD!$L$2:$Q$244,2,0),0)</f>
        <v>0</v>
      </c>
      <c r="G9987" s="424"/>
      <c r="H9987" s="31">
        <f>+IFERROR(VLOOKUP(E9987,BD!$L$2:$Q$244,6,0),0)</f>
        <v>0</v>
      </c>
      <c r="I9987" s="626">
        <f>IFERROR(G9987*VLOOKUP($E9987,BD!$L$2:$Q$244,5,0),0)</f>
        <v>0</v>
      </c>
      <c r="J9987" s="3">
        <f t="shared" si="625"/>
        <v>1900</v>
      </c>
    </row>
    <row r="9988" spans="1:10" s="9" customFormat="1" x14ac:dyDescent="0.25">
      <c r="A9988" s="447"/>
      <c r="B9988" s="55" t="str">
        <f t="shared" si="622"/>
        <v>ENERO</v>
      </c>
      <c r="C9988" s="55">
        <f t="shared" si="623"/>
        <v>1</v>
      </c>
      <c r="D9988" s="3" t="str">
        <f t="shared" si="624"/>
        <v>SÁBADO</v>
      </c>
      <c r="E9988" s="427"/>
      <c r="F9988" s="31">
        <f>IFERROR(VLOOKUP(E9988,BD!$L$2:$Q$244,2,0),0)</f>
        <v>0</v>
      </c>
      <c r="G9988" s="424"/>
      <c r="H9988" s="31">
        <f>+IFERROR(VLOOKUP(E9988,BD!$L$2:$Q$244,6,0),0)</f>
        <v>0</v>
      </c>
      <c r="I9988" s="626">
        <f>IFERROR(G9988*VLOOKUP($E9988,BD!$L$2:$Q$244,5,0),0)</f>
        <v>0</v>
      </c>
      <c r="J9988" s="3">
        <f t="shared" si="625"/>
        <v>1900</v>
      </c>
    </row>
    <row r="9989" spans="1:10" s="9" customFormat="1" x14ac:dyDescent="0.25">
      <c r="A9989" s="447"/>
      <c r="B9989" s="55" t="str">
        <f t="shared" si="622"/>
        <v>ENERO</v>
      </c>
      <c r="C9989" s="55">
        <f t="shared" si="623"/>
        <v>1</v>
      </c>
      <c r="D9989" s="3" t="str">
        <f t="shared" si="624"/>
        <v>SÁBADO</v>
      </c>
      <c r="E9989" s="427"/>
      <c r="F9989" s="31">
        <f>IFERROR(VLOOKUP(E9989,BD!$L$2:$Q$244,2,0),0)</f>
        <v>0</v>
      </c>
      <c r="G9989" s="424"/>
      <c r="H9989" s="31">
        <f>+IFERROR(VLOOKUP(E9989,BD!$L$2:$Q$244,6,0),0)</f>
        <v>0</v>
      </c>
      <c r="I9989" s="626">
        <f>IFERROR(G9989*VLOOKUP($E9989,BD!$L$2:$Q$244,5,0),0)</f>
        <v>0</v>
      </c>
      <c r="J9989" s="3">
        <f t="shared" si="625"/>
        <v>1900</v>
      </c>
    </row>
    <row r="9990" spans="1:10" s="9" customFormat="1" x14ac:dyDescent="0.25">
      <c r="A9990" s="447"/>
      <c r="B9990" s="55" t="str">
        <f t="shared" si="622"/>
        <v>ENERO</v>
      </c>
      <c r="C9990" s="55">
        <f t="shared" si="623"/>
        <v>1</v>
      </c>
      <c r="D9990" s="3" t="str">
        <f t="shared" si="624"/>
        <v>SÁBADO</v>
      </c>
      <c r="E9990" s="427"/>
      <c r="F9990" s="31">
        <f>IFERROR(VLOOKUP(E9990,BD!$L$2:$Q$244,2,0),0)</f>
        <v>0</v>
      </c>
      <c r="G9990" s="424"/>
      <c r="H9990" s="31">
        <f>+IFERROR(VLOOKUP(E9990,BD!$L$2:$Q$244,6,0),0)</f>
        <v>0</v>
      </c>
      <c r="I9990" s="626">
        <f>IFERROR(G9990*VLOOKUP($E9990,BD!$L$2:$Q$244,5,0),0)</f>
        <v>0</v>
      </c>
      <c r="J9990" s="3">
        <f t="shared" si="625"/>
        <v>1900</v>
      </c>
    </row>
    <row r="9991" spans="1:10" s="9" customFormat="1" x14ac:dyDescent="0.25">
      <c r="A9991" s="447"/>
      <c r="B9991" s="55" t="str">
        <f t="shared" si="622"/>
        <v>ENERO</v>
      </c>
      <c r="C9991" s="55">
        <f t="shared" si="623"/>
        <v>1</v>
      </c>
      <c r="D9991" s="3" t="str">
        <f t="shared" si="624"/>
        <v>SÁBADO</v>
      </c>
      <c r="E9991" s="427"/>
      <c r="F9991" s="31">
        <f>IFERROR(VLOOKUP(E9991,BD!$L$2:$Q$244,2,0),0)</f>
        <v>0</v>
      </c>
      <c r="G9991" s="424"/>
      <c r="H9991" s="31">
        <f>+IFERROR(VLOOKUP(E9991,BD!$L$2:$Q$244,6,0),0)</f>
        <v>0</v>
      </c>
      <c r="I9991" s="626">
        <f>IFERROR(G9991*VLOOKUP($E9991,BD!$L$2:$Q$244,5,0),0)</f>
        <v>0</v>
      </c>
      <c r="J9991" s="3">
        <f t="shared" si="625"/>
        <v>1900</v>
      </c>
    </row>
    <row r="9992" spans="1:10" s="9" customFormat="1" x14ac:dyDescent="0.25">
      <c r="A9992" s="447"/>
      <c r="B9992" s="55" t="str">
        <f t="shared" si="622"/>
        <v>ENERO</v>
      </c>
      <c r="C9992" s="55">
        <f t="shared" si="623"/>
        <v>1</v>
      </c>
      <c r="D9992" s="3" t="str">
        <f t="shared" si="624"/>
        <v>SÁBADO</v>
      </c>
      <c r="E9992" s="427"/>
      <c r="F9992" s="31">
        <f>IFERROR(VLOOKUP(E9992,BD!$L$2:$Q$244,2,0),0)</f>
        <v>0</v>
      </c>
      <c r="G9992" s="424"/>
      <c r="H9992" s="31">
        <f>+IFERROR(VLOOKUP(E9992,BD!$L$2:$Q$244,6,0),0)</f>
        <v>0</v>
      </c>
      <c r="I9992" s="626">
        <f>IFERROR(G9992*VLOOKUP($E9992,BD!$L$2:$Q$244,5,0),0)</f>
        <v>0</v>
      </c>
      <c r="J9992" s="3">
        <f t="shared" si="625"/>
        <v>1900</v>
      </c>
    </row>
    <row r="9993" spans="1:10" s="9" customFormat="1" x14ac:dyDescent="0.25">
      <c r="A9993" s="447"/>
      <c r="B9993" s="55" t="str">
        <f t="shared" si="622"/>
        <v>ENERO</v>
      </c>
      <c r="C9993" s="55">
        <f t="shared" si="623"/>
        <v>1</v>
      </c>
      <c r="D9993" s="3" t="str">
        <f t="shared" si="624"/>
        <v>SÁBADO</v>
      </c>
      <c r="E9993" s="427"/>
      <c r="F9993" s="31">
        <f>IFERROR(VLOOKUP(E9993,BD!$L$2:$Q$244,2,0),0)</f>
        <v>0</v>
      </c>
      <c r="G9993" s="424"/>
      <c r="H9993" s="31">
        <f>+IFERROR(VLOOKUP(E9993,BD!$L$2:$Q$244,6,0),0)</f>
        <v>0</v>
      </c>
      <c r="I9993" s="626">
        <f>IFERROR(G9993*VLOOKUP($E9993,BD!$L$2:$Q$244,5,0),0)</f>
        <v>0</v>
      </c>
      <c r="J9993" s="3">
        <f t="shared" si="625"/>
        <v>1900</v>
      </c>
    </row>
    <row r="9994" spans="1:10" s="9" customFormat="1" x14ac:dyDescent="0.25">
      <c r="A9994" s="447"/>
      <c r="B9994" s="55" t="str">
        <f t="shared" si="622"/>
        <v>ENERO</v>
      </c>
      <c r="C9994" s="55">
        <f t="shared" si="623"/>
        <v>1</v>
      </c>
      <c r="D9994" s="3" t="str">
        <f t="shared" si="624"/>
        <v>SÁBADO</v>
      </c>
      <c r="E9994" s="427"/>
      <c r="F9994" s="31">
        <f>IFERROR(VLOOKUP(E9994,BD!$L$2:$Q$244,2,0),0)</f>
        <v>0</v>
      </c>
      <c r="G9994" s="424"/>
      <c r="H9994" s="31">
        <f>+IFERROR(VLOOKUP(E9994,BD!$L$2:$Q$244,6,0),0)</f>
        <v>0</v>
      </c>
      <c r="I9994" s="626">
        <f>IFERROR(G9994*VLOOKUP($E9994,BD!$L$2:$Q$244,5,0),0)</f>
        <v>0</v>
      </c>
      <c r="J9994" s="3">
        <f t="shared" si="625"/>
        <v>1900</v>
      </c>
    </row>
    <row r="9995" spans="1:10" s="9" customFormat="1" x14ac:dyDescent="0.25">
      <c r="A9995" s="447"/>
      <c r="B9995" s="55" t="str">
        <f t="shared" si="622"/>
        <v>ENERO</v>
      </c>
      <c r="C9995" s="55">
        <f t="shared" si="623"/>
        <v>1</v>
      </c>
      <c r="D9995" s="3" t="str">
        <f t="shared" si="624"/>
        <v>SÁBADO</v>
      </c>
      <c r="E9995" s="427"/>
      <c r="F9995" s="31">
        <f>IFERROR(VLOOKUP(E9995,BD!$L$2:$Q$244,2,0),0)</f>
        <v>0</v>
      </c>
      <c r="G9995" s="424"/>
      <c r="H9995" s="31">
        <f>+IFERROR(VLOOKUP(E9995,BD!$L$2:$Q$244,6,0),0)</f>
        <v>0</v>
      </c>
      <c r="I9995" s="626">
        <f>IFERROR(G9995*VLOOKUP($E9995,BD!$L$2:$Q$244,5,0),0)</f>
        <v>0</v>
      </c>
      <c r="J9995" s="3">
        <f t="shared" si="625"/>
        <v>1900</v>
      </c>
    </row>
    <row r="9996" spans="1:10" s="9" customFormat="1" x14ac:dyDescent="0.25">
      <c r="A9996" s="447"/>
      <c r="B9996" s="55" t="str">
        <f t="shared" si="622"/>
        <v>ENERO</v>
      </c>
      <c r="C9996" s="55">
        <f t="shared" si="623"/>
        <v>1</v>
      </c>
      <c r="D9996" s="3" t="str">
        <f t="shared" si="624"/>
        <v>SÁBADO</v>
      </c>
      <c r="E9996" s="427"/>
      <c r="F9996" s="31">
        <f>IFERROR(VLOOKUP(E9996,BD!$L$2:$Q$244,2,0),0)</f>
        <v>0</v>
      </c>
      <c r="G9996" s="424"/>
      <c r="H9996" s="31">
        <f>+IFERROR(VLOOKUP(E9996,BD!$L$2:$Q$244,6,0),0)</f>
        <v>0</v>
      </c>
      <c r="I9996" s="626">
        <f>IFERROR(G9996*VLOOKUP($E9996,BD!$L$2:$Q$244,5,0),0)</f>
        <v>0</v>
      </c>
      <c r="J9996" s="3">
        <f t="shared" si="625"/>
        <v>1900</v>
      </c>
    </row>
    <row r="9997" spans="1:10" s="9" customFormat="1" x14ac:dyDescent="0.25">
      <c r="A9997" s="447"/>
      <c r="B9997" s="55" t="str">
        <f t="shared" si="622"/>
        <v>ENERO</v>
      </c>
      <c r="C9997" s="55">
        <f t="shared" si="623"/>
        <v>1</v>
      </c>
      <c r="D9997" s="3" t="str">
        <f t="shared" si="624"/>
        <v>SÁBADO</v>
      </c>
      <c r="E9997" s="427"/>
      <c r="F9997" s="31">
        <f>IFERROR(VLOOKUP(E9997,BD!$L$2:$Q$244,2,0),0)</f>
        <v>0</v>
      </c>
      <c r="G9997" s="424"/>
      <c r="H9997" s="31">
        <f>+IFERROR(VLOOKUP(E9997,BD!$L$2:$Q$244,6,0),0)</f>
        <v>0</v>
      </c>
      <c r="I9997" s="626">
        <f>IFERROR(G9997*VLOOKUP($E9997,BD!$L$2:$Q$244,5,0),0)</f>
        <v>0</v>
      </c>
      <c r="J9997" s="3">
        <f t="shared" si="625"/>
        <v>1900</v>
      </c>
    </row>
    <row r="9998" spans="1:10" s="9" customFormat="1" x14ac:dyDescent="0.25">
      <c r="A9998" s="447"/>
      <c r="B9998" s="55" t="str">
        <f t="shared" si="622"/>
        <v>ENERO</v>
      </c>
      <c r="C9998" s="55">
        <f t="shared" si="623"/>
        <v>1</v>
      </c>
      <c r="D9998" s="3" t="str">
        <f t="shared" si="624"/>
        <v>SÁBADO</v>
      </c>
      <c r="E9998" s="427"/>
      <c r="F9998" s="31">
        <f>IFERROR(VLOOKUP(E9998,BD!$L$2:$Q$244,2,0),0)</f>
        <v>0</v>
      </c>
      <c r="G9998" s="424"/>
      <c r="H9998" s="31">
        <f>+IFERROR(VLOOKUP(E9998,BD!$L$2:$Q$244,6,0),0)</f>
        <v>0</v>
      </c>
      <c r="I9998" s="626">
        <f>IFERROR(G9998*VLOOKUP($E9998,BD!$L$2:$Q$244,5,0),0)</f>
        <v>0</v>
      </c>
      <c r="J9998" s="3">
        <f t="shared" si="625"/>
        <v>1900</v>
      </c>
    </row>
    <row r="9999" spans="1:10" s="9" customFormat="1" x14ac:dyDescent="0.25">
      <c r="A9999" s="447"/>
      <c r="B9999" s="55" t="str">
        <f t="shared" si="622"/>
        <v>ENERO</v>
      </c>
      <c r="C9999" s="55">
        <f t="shared" si="623"/>
        <v>1</v>
      </c>
      <c r="D9999" s="3" t="str">
        <f t="shared" si="624"/>
        <v>SÁBADO</v>
      </c>
      <c r="E9999" s="427"/>
      <c r="F9999" s="31">
        <f>IFERROR(VLOOKUP(E9999,BD!$L$2:$Q$244,2,0),0)</f>
        <v>0</v>
      </c>
      <c r="G9999" s="424"/>
      <c r="H9999" s="31">
        <f>+IFERROR(VLOOKUP(E9999,BD!$L$2:$Q$244,6,0),0)</f>
        <v>0</v>
      </c>
      <c r="I9999" s="626">
        <f>IFERROR(G9999*VLOOKUP($E9999,BD!$L$2:$Q$244,5,0),0)</f>
        <v>0</v>
      </c>
      <c r="J9999" s="3">
        <f t="shared" si="625"/>
        <v>1900</v>
      </c>
    </row>
    <row r="10000" spans="1:10" s="9" customFormat="1" x14ac:dyDescent="0.25">
      <c r="A10000" s="447"/>
      <c r="B10000" s="55" t="str">
        <f t="shared" si="622"/>
        <v>ENERO</v>
      </c>
      <c r="C10000" s="55">
        <f t="shared" si="623"/>
        <v>1</v>
      </c>
      <c r="D10000" s="3" t="str">
        <f t="shared" si="624"/>
        <v>SÁBADO</v>
      </c>
      <c r="E10000" s="427"/>
      <c r="F10000" s="31">
        <f>IFERROR(VLOOKUP(E10000,BD!$L$2:$Q$244,2,0),0)</f>
        <v>0</v>
      </c>
      <c r="G10000" s="424"/>
      <c r="H10000" s="31">
        <f>+IFERROR(VLOOKUP(E10000,BD!$L$2:$Q$244,6,0),0)</f>
        <v>0</v>
      </c>
      <c r="I10000" s="626">
        <f>IFERROR(G10000*VLOOKUP($E10000,BD!$L$2:$Q$244,5,0),0)</f>
        <v>0</v>
      </c>
      <c r="J10000" s="3">
        <f t="shared" si="625"/>
        <v>1900</v>
      </c>
    </row>
    <row r="10001" spans="1:10" s="9" customFormat="1" x14ac:dyDescent="0.25">
      <c r="A10001" s="447"/>
      <c r="B10001" s="55" t="str">
        <f t="shared" si="622"/>
        <v>ENERO</v>
      </c>
      <c r="C10001" s="55">
        <f t="shared" si="623"/>
        <v>1</v>
      </c>
      <c r="D10001" s="3" t="str">
        <f t="shared" si="624"/>
        <v>SÁBADO</v>
      </c>
      <c r="E10001" s="427"/>
      <c r="F10001" s="31">
        <f>IFERROR(VLOOKUP(E10001,BD!$L$2:$Q$244,2,0),0)</f>
        <v>0</v>
      </c>
      <c r="G10001" s="424"/>
      <c r="H10001" s="31">
        <f>+IFERROR(VLOOKUP(E10001,BD!$L$2:$Q$244,6,0),0)</f>
        <v>0</v>
      </c>
      <c r="I10001" s="626">
        <f>IFERROR(G10001*VLOOKUP($E10001,BD!$L$2:$Q$244,5,0),0)</f>
        <v>0</v>
      </c>
      <c r="J10001" s="3">
        <f t="shared" si="625"/>
        <v>1900</v>
      </c>
    </row>
    <row r="10002" spans="1:10" s="9" customFormat="1" x14ac:dyDescent="0.25">
      <c r="A10002" s="447"/>
      <c r="B10002" s="55" t="str">
        <f t="shared" si="622"/>
        <v>ENERO</v>
      </c>
      <c r="C10002" s="55">
        <f t="shared" si="623"/>
        <v>1</v>
      </c>
      <c r="D10002" s="3" t="str">
        <f t="shared" si="624"/>
        <v>SÁBADO</v>
      </c>
      <c r="E10002" s="427"/>
      <c r="F10002" s="31">
        <f>IFERROR(VLOOKUP(E10002,BD!$L$2:$Q$244,2,0),0)</f>
        <v>0</v>
      </c>
      <c r="G10002" s="424"/>
      <c r="H10002" s="31">
        <f>+IFERROR(VLOOKUP(E10002,BD!$L$2:$Q$244,6,0),0)</f>
        <v>0</v>
      </c>
      <c r="I10002" s="626">
        <f>IFERROR(G10002*VLOOKUP($E10002,BD!$L$2:$Q$244,5,0),0)</f>
        <v>0</v>
      </c>
      <c r="J10002" s="3">
        <f t="shared" si="625"/>
        <v>1900</v>
      </c>
    </row>
    <row r="10003" spans="1:10" s="9" customFormat="1" x14ac:dyDescent="0.25">
      <c r="A10003" s="447"/>
      <c r="B10003" s="55" t="str">
        <f t="shared" si="622"/>
        <v>ENERO</v>
      </c>
      <c r="C10003" s="55">
        <f t="shared" si="623"/>
        <v>1</v>
      </c>
      <c r="D10003" s="3" t="str">
        <f t="shared" si="624"/>
        <v>SÁBADO</v>
      </c>
      <c r="E10003" s="427"/>
      <c r="F10003" s="31">
        <f>IFERROR(VLOOKUP(E10003,BD!$L$2:$Q$244,2,0),0)</f>
        <v>0</v>
      </c>
      <c r="G10003" s="424"/>
      <c r="H10003" s="31">
        <f>+IFERROR(VLOOKUP(E10003,BD!$L$2:$Q$244,6,0),0)</f>
        <v>0</v>
      </c>
      <c r="I10003" s="626">
        <f>IFERROR(G10003*VLOOKUP($E10003,BD!$L$2:$Q$244,5,0),0)</f>
        <v>0</v>
      </c>
      <c r="J10003" s="3">
        <f t="shared" si="625"/>
        <v>1900</v>
      </c>
    </row>
    <row r="10004" spans="1:10" s="9" customFormat="1" x14ac:dyDescent="0.25">
      <c r="A10004" s="447"/>
      <c r="B10004" s="55" t="str">
        <f t="shared" si="622"/>
        <v>ENERO</v>
      </c>
      <c r="C10004" s="55">
        <f t="shared" si="623"/>
        <v>1</v>
      </c>
      <c r="D10004" s="3" t="str">
        <f t="shared" si="624"/>
        <v>SÁBADO</v>
      </c>
      <c r="E10004" s="427"/>
      <c r="F10004" s="31">
        <f>IFERROR(VLOOKUP(E10004,BD!$L$2:$Q$244,2,0),0)</f>
        <v>0</v>
      </c>
      <c r="G10004" s="424"/>
      <c r="H10004" s="31">
        <f>+IFERROR(VLOOKUP(E10004,BD!$L$2:$Q$244,6,0),0)</f>
        <v>0</v>
      </c>
      <c r="I10004" s="626">
        <f>IFERROR(G10004*VLOOKUP($E10004,BD!$L$2:$Q$244,5,0),0)</f>
        <v>0</v>
      </c>
      <c r="J10004" s="3">
        <f t="shared" si="625"/>
        <v>1900</v>
      </c>
    </row>
    <row r="10005" spans="1:10" s="9" customFormat="1" x14ac:dyDescent="0.25">
      <c r="A10005" s="447"/>
      <c r="B10005" s="55" t="str">
        <f t="shared" si="622"/>
        <v>ENERO</v>
      </c>
      <c r="C10005" s="55">
        <f t="shared" si="623"/>
        <v>1</v>
      </c>
      <c r="D10005" s="3" t="str">
        <f t="shared" si="624"/>
        <v>SÁBADO</v>
      </c>
      <c r="E10005" s="427"/>
      <c r="F10005" s="31">
        <f>IFERROR(VLOOKUP(E10005,BD!$L$2:$Q$244,2,0),0)</f>
        <v>0</v>
      </c>
      <c r="G10005" s="424"/>
      <c r="H10005" s="31">
        <f>+IFERROR(VLOOKUP(E10005,BD!$L$2:$Q$244,6,0),0)</f>
        <v>0</v>
      </c>
      <c r="I10005" s="626">
        <f>IFERROR(G10005*VLOOKUP($E10005,BD!$L$2:$Q$244,5,0),0)</f>
        <v>0</v>
      </c>
      <c r="J10005" s="3">
        <f t="shared" si="625"/>
        <v>1900</v>
      </c>
    </row>
    <row r="10006" spans="1:10" s="9" customFormat="1" x14ac:dyDescent="0.25">
      <c r="A10006" s="447"/>
      <c r="B10006" s="55" t="str">
        <f t="shared" si="622"/>
        <v>ENERO</v>
      </c>
      <c r="C10006" s="55">
        <f t="shared" si="623"/>
        <v>1</v>
      </c>
      <c r="D10006" s="3" t="str">
        <f t="shared" si="624"/>
        <v>SÁBADO</v>
      </c>
      <c r="E10006" s="427"/>
      <c r="F10006" s="31">
        <f>IFERROR(VLOOKUP(E10006,BD!$L$2:$Q$244,2,0),0)</f>
        <v>0</v>
      </c>
      <c r="G10006" s="424"/>
      <c r="H10006" s="31">
        <f>+IFERROR(VLOOKUP(E10006,BD!$L$2:$Q$244,6,0),0)</f>
        <v>0</v>
      </c>
      <c r="I10006" s="626">
        <f>IFERROR(G10006*VLOOKUP($E10006,BD!$L$2:$Q$244,5,0),0)</f>
        <v>0</v>
      </c>
      <c r="J10006" s="3">
        <f t="shared" si="625"/>
        <v>1900</v>
      </c>
    </row>
    <row r="10007" spans="1:10" s="9" customFormat="1" x14ac:dyDescent="0.25">
      <c r="A10007" s="447"/>
      <c r="B10007" s="55" t="str">
        <f t="shared" si="622"/>
        <v>ENERO</v>
      </c>
      <c r="C10007" s="55">
        <f t="shared" si="623"/>
        <v>1</v>
      </c>
      <c r="D10007" s="3" t="str">
        <f t="shared" si="624"/>
        <v>SÁBADO</v>
      </c>
      <c r="E10007" s="427"/>
      <c r="F10007" s="31">
        <f>IFERROR(VLOOKUP(E10007,BD!$L$2:$Q$244,2,0),0)</f>
        <v>0</v>
      </c>
      <c r="G10007" s="424"/>
      <c r="H10007" s="31">
        <f>+IFERROR(VLOOKUP(E10007,BD!$L$2:$Q$244,6,0),0)</f>
        <v>0</v>
      </c>
      <c r="I10007" s="626">
        <f>IFERROR(G10007*VLOOKUP($E10007,BD!$L$2:$Q$244,5,0),0)</f>
        <v>0</v>
      </c>
      <c r="J10007" s="3">
        <f t="shared" si="625"/>
        <v>1900</v>
      </c>
    </row>
    <row r="10008" spans="1:10" s="9" customFormat="1" x14ac:dyDescent="0.25">
      <c r="A10008" s="447"/>
      <c r="B10008" s="55" t="str">
        <f t="shared" si="622"/>
        <v>ENERO</v>
      </c>
      <c r="C10008" s="55">
        <f t="shared" si="623"/>
        <v>1</v>
      </c>
      <c r="D10008" s="3" t="str">
        <f t="shared" si="624"/>
        <v>SÁBADO</v>
      </c>
      <c r="E10008" s="427"/>
      <c r="F10008" s="31">
        <f>IFERROR(VLOOKUP(E10008,BD!$L$2:$Q$244,2,0),0)</f>
        <v>0</v>
      </c>
      <c r="G10008" s="424"/>
      <c r="H10008" s="31">
        <f>+IFERROR(VLOOKUP(E10008,BD!$L$2:$Q$244,6,0),0)</f>
        <v>0</v>
      </c>
      <c r="I10008" s="626">
        <f>IFERROR(G10008*VLOOKUP($E10008,BD!$L$2:$Q$244,5,0),0)</f>
        <v>0</v>
      </c>
      <c r="J10008" s="3">
        <f t="shared" si="625"/>
        <v>1900</v>
      </c>
    </row>
    <row r="10009" spans="1:10" s="9" customFormat="1" x14ac:dyDescent="0.25">
      <c r="A10009" s="447"/>
      <c r="B10009" s="55" t="str">
        <f t="shared" si="622"/>
        <v>ENERO</v>
      </c>
      <c r="C10009" s="55">
        <f t="shared" si="623"/>
        <v>1</v>
      </c>
      <c r="D10009" s="3" t="str">
        <f t="shared" si="624"/>
        <v>SÁBADO</v>
      </c>
      <c r="E10009" s="427"/>
      <c r="F10009" s="31">
        <f>IFERROR(VLOOKUP(E10009,BD!$L$2:$Q$244,2,0),0)</f>
        <v>0</v>
      </c>
      <c r="G10009" s="424"/>
      <c r="H10009" s="31">
        <f>+IFERROR(VLOOKUP(E10009,BD!$L$2:$Q$244,6,0),0)</f>
        <v>0</v>
      </c>
      <c r="I10009" s="626">
        <f>IFERROR(G10009*VLOOKUP($E10009,BD!$L$2:$Q$244,5,0),0)</f>
        <v>0</v>
      </c>
      <c r="J10009" s="3">
        <f t="shared" si="625"/>
        <v>1900</v>
      </c>
    </row>
    <row r="10010" spans="1:10" s="9" customFormat="1" x14ac:dyDescent="0.25">
      <c r="A10010" s="447"/>
      <c r="B10010" s="55" t="str">
        <f t="shared" si="622"/>
        <v>ENERO</v>
      </c>
      <c r="C10010" s="55">
        <f t="shared" si="623"/>
        <v>1</v>
      </c>
      <c r="D10010" s="3" t="str">
        <f t="shared" si="624"/>
        <v>SÁBADO</v>
      </c>
      <c r="E10010" s="427"/>
      <c r="F10010" s="31">
        <f>IFERROR(VLOOKUP(E10010,BD!$L$2:$Q$244,2,0),0)</f>
        <v>0</v>
      </c>
      <c r="G10010" s="424"/>
      <c r="H10010" s="31">
        <f>+IFERROR(VLOOKUP(E10010,BD!$L$2:$Q$244,6,0),0)</f>
        <v>0</v>
      </c>
      <c r="I10010" s="626">
        <f>IFERROR(G10010*VLOOKUP($E10010,BD!$L$2:$Q$244,5,0),0)</f>
        <v>0</v>
      </c>
      <c r="J10010" s="3">
        <f t="shared" si="625"/>
        <v>1900</v>
      </c>
    </row>
    <row r="10011" spans="1:10" s="9" customFormat="1" x14ac:dyDescent="0.25">
      <c r="A10011" s="447"/>
      <c r="B10011" s="55" t="str">
        <f t="shared" si="622"/>
        <v>ENERO</v>
      </c>
      <c r="C10011" s="55">
        <f t="shared" si="623"/>
        <v>1</v>
      </c>
      <c r="D10011" s="3" t="str">
        <f t="shared" si="624"/>
        <v>SÁBADO</v>
      </c>
      <c r="E10011" s="427"/>
      <c r="F10011" s="31">
        <f>IFERROR(VLOOKUP(E10011,BD!$L$2:$Q$244,2,0),0)</f>
        <v>0</v>
      </c>
      <c r="G10011" s="424"/>
      <c r="H10011" s="31">
        <f>+IFERROR(VLOOKUP(E10011,BD!$L$2:$Q$244,6,0),0)</f>
        <v>0</v>
      </c>
      <c r="I10011" s="626">
        <f>IFERROR(G10011*VLOOKUP($E10011,BD!$L$2:$Q$244,5,0),0)</f>
        <v>0</v>
      </c>
      <c r="J10011" s="3">
        <f t="shared" si="625"/>
        <v>1900</v>
      </c>
    </row>
    <row r="10012" spans="1:10" s="9" customFormat="1" x14ac:dyDescent="0.25">
      <c r="A10012" s="447"/>
      <c r="B10012" s="55" t="str">
        <f t="shared" si="622"/>
        <v>ENERO</v>
      </c>
      <c r="C10012" s="55">
        <f t="shared" si="623"/>
        <v>1</v>
      </c>
      <c r="D10012" s="3" t="str">
        <f t="shared" si="624"/>
        <v>SÁBADO</v>
      </c>
      <c r="E10012" s="427"/>
      <c r="F10012" s="31">
        <f>IFERROR(VLOOKUP(E10012,BD!$L$2:$Q$244,2,0),0)</f>
        <v>0</v>
      </c>
      <c r="G10012" s="424"/>
      <c r="H10012" s="31">
        <f>+IFERROR(VLOOKUP(E10012,BD!$L$2:$Q$244,6,0),0)</f>
        <v>0</v>
      </c>
      <c r="I10012" s="626">
        <f>IFERROR(G10012*VLOOKUP($E10012,BD!$L$2:$Q$244,5,0),0)</f>
        <v>0</v>
      </c>
      <c r="J10012" s="3">
        <f t="shared" si="625"/>
        <v>1900</v>
      </c>
    </row>
    <row r="10013" spans="1:10" s="9" customFormat="1" x14ac:dyDescent="0.25">
      <c r="A10013" s="447"/>
      <c r="B10013" s="55" t="str">
        <f t="shared" si="622"/>
        <v>ENERO</v>
      </c>
      <c r="C10013" s="55">
        <f t="shared" si="623"/>
        <v>1</v>
      </c>
      <c r="D10013" s="3" t="str">
        <f t="shared" si="624"/>
        <v>SÁBADO</v>
      </c>
      <c r="E10013" s="427"/>
      <c r="F10013" s="31">
        <f>IFERROR(VLOOKUP(E10013,BD!$L$2:$Q$244,2,0),0)</f>
        <v>0</v>
      </c>
      <c r="G10013" s="424"/>
      <c r="H10013" s="31">
        <f>+IFERROR(VLOOKUP(E10013,BD!$L$2:$Q$244,6,0),0)</f>
        <v>0</v>
      </c>
      <c r="I10013" s="626">
        <f>IFERROR(G10013*VLOOKUP($E10013,BD!$L$2:$Q$244,5,0),0)</f>
        <v>0</v>
      </c>
      <c r="J10013" s="3">
        <f t="shared" si="625"/>
        <v>1900</v>
      </c>
    </row>
    <row r="10014" spans="1:10" s="9" customFormat="1" x14ac:dyDescent="0.25">
      <c r="A10014" s="447"/>
      <c r="B10014" s="55" t="str">
        <f t="shared" si="622"/>
        <v>ENERO</v>
      </c>
      <c r="C10014" s="55">
        <f t="shared" si="623"/>
        <v>1</v>
      </c>
      <c r="D10014" s="3" t="str">
        <f t="shared" si="624"/>
        <v>SÁBADO</v>
      </c>
      <c r="E10014" s="427"/>
      <c r="F10014" s="31">
        <f>IFERROR(VLOOKUP(E10014,BD!$L$2:$Q$244,2,0),0)</f>
        <v>0</v>
      </c>
      <c r="G10014" s="424"/>
      <c r="H10014" s="31">
        <f>+IFERROR(VLOOKUP(E10014,BD!$L$2:$Q$244,6,0),0)</f>
        <v>0</v>
      </c>
      <c r="I10014" s="626">
        <f>IFERROR(G10014*VLOOKUP($E10014,BD!$L$2:$Q$244,5,0),0)</f>
        <v>0</v>
      </c>
      <c r="J10014" s="3">
        <f t="shared" si="625"/>
        <v>1900</v>
      </c>
    </row>
    <row r="10015" spans="1:10" s="9" customFormat="1" x14ac:dyDescent="0.25">
      <c r="A10015" s="447"/>
      <c r="B10015" s="55" t="str">
        <f t="shared" si="622"/>
        <v>ENERO</v>
      </c>
      <c r="C10015" s="55">
        <f t="shared" si="623"/>
        <v>1</v>
      </c>
      <c r="D10015" s="3" t="str">
        <f t="shared" si="624"/>
        <v>SÁBADO</v>
      </c>
      <c r="E10015" s="427"/>
      <c r="F10015" s="31">
        <f>IFERROR(VLOOKUP(E10015,BD!$L$2:$Q$244,2,0),0)</f>
        <v>0</v>
      </c>
      <c r="G10015" s="424"/>
      <c r="H10015" s="31">
        <f>+IFERROR(VLOOKUP(E10015,BD!$L$2:$Q$244,6,0),0)</f>
        <v>0</v>
      </c>
      <c r="I10015" s="626">
        <f>IFERROR(G10015*VLOOKUP($E10015,BD!$L$2:$Q$244,5,0),0)</f>
        <v>0</v>
      </c>
      <c r="J10015" s="3">
        <f t="shared" si="625"/>
        <v>1900</v>
      </c>
    </row>
    <row r="10016" spans="1:10" s="9" customFormat="1" x14ac:dyDescent="0.25">
      <c r="A10016" s="447"/>
      <c r="B10016" s="55" t="str">
        <f t="shared" si="622"/>
        <v>ENERO</v>
      </c>
      <c r="C10016" s="55">
        <f t="shared" si="623"/>
        <v>1</v>
      </c>
      <c r="D10016" s="3" t="str">
        <f t="shared" si="624"/>
        <v>SÁBADO</v>
      </c>
      <c r="E10016" s="427"/>
      <c r="F10016" s="31">
        <f>IFERROR(VLOOKUP(E10016,BD!$L$2:$Q$244,2,0),0)</f>
        <v>0</v>
      </c>
      <c r="G10016" s="424"/>
      <c r="H10016" s="31">
        <f>+IFERROR(VLOOKUP(E10016,BD!$L$2:$Q$244,6,0),0)</f>
        <v>0</v>
      </c>
      <c r="I10016" s="626">
        <f>IFERROR(G10016*VLOOKUP($E10016,BD!$L$2:$Q$244,5,0),0)</f>
        <v>0</v>
      </c>
      <c r="J10016" s="3">
        <f t="shared" si="625"/>
        <v>1900</v>
      </c>
    </row>
    <row r="10017" spans="1:10" s="9" customFormat="1" x14ac:dyDescent="0.25">
      <c r="A10017" s="447"/>
      <c r="B10017" s="55" t="str">
        <f t="shared" si="622"/>
        <v>ENERO</v>
      </c>
      <c r="C10017" s="55">
        <f t="shared" si="623"/>
        <v>1</v>
      </c>
      <c r="D10017" s="3" t="str">
        <f t="shared" si="624"/>
        <v>SÁBADO</v>
      </c>
      <c r="E10017" s="427"/>
      <c r="F10017" s="31">
        <f>IFERROR(VLOOKUP(E10017,BD!$L$2:$Q$244,2,0),0)</f>
        <v>0</v>
      </c>
      <c r="G10017" s="424"/>
      <c r="H10017" s="31">
        <f>+IFERROR(VLOOKUP(E10017,BD!$L$2:$Q$244,6,0),0)</f>
        <v>0</v>
      </c>
      <c r="I10017" s="626">
        <f>IFERROR(G10017*VLOOKUP($E10017,BD!$L$2:$Q$244,5,0),0)</f>
        <v>0</v>
      </c>
      <c r="J10017" s="3">
        <f t="shared" si="625"/>
        <v>1900</v>
      </c>
    </row>
    <row r="10018" spans="1:10" s="9" customFormat="1" x14ac:dyDescent="0.25">
      <c r="A10018" s="447"/>
      <c r="B10018" s="55" t="str">
        <f t="shared" si="622"/>
        <v>ENERO</v>
      </c>
      <c r="C10018" s="55">
        <f t="shared" si="623"/>
        <v>1</v>
      </c>
      <c r="D10018" s="3" t="str">
        <f t="shared" si="624"/>
        <v>SÁBADO</v>
      </c>
      <c r="E10018" s="427"/>
      <c r="F10018" s="31">
        <f>IFERROR(VLOOKUP(E10018,BD!$L$2:$Q$244,2,0),0)</f>
        <v>0</v>
      </c>
      <c r="G10018" s="424"/>
      <c r="H10018" s="31">
        <f>+IFERROR(VLOOKUP(E10018,BD!$L$2:$Q$244,6,0),0)</f>
        <v>0</v>
      </c>
      <c r="I10018" s="626">
        <f>IFERROR(G10018*VLOOKUP($E10018,BD!$L$2:$Q$244,5,0),0)</f>
        <v>0</v>
      </c>
      <c r="J10018" s="3">
        <f t="shared" si="625"/>
        <v>1900</v>
      </c>
    </row>
    <row r="10019" spans="1:10" s="9" customFormat="1" x14ac:dyDescent="0.25">
      <c r="A10019" s="447"/>
      <c r="B10019" s="55" t="str">
        <f t="shared" si="622"/>
        <v>ENERO</v>
      </c>
      <c r="C10019" s="55">
        <f t="shared" si="623"/>
        <v>1</v>
      </c>
      <c r="D10019" s="3" t="str">
        <f t="shared" si="624"/>
        <v>SÁBADO</v>
      </c>
      <c r="E10019" s="427"/>
      <c r="F10019" s="31">
        <f>IFERROR(VLOOKUP(E10019,BD!$L$2:$Q$244,2,0),0)</f>
        <v>0</v>
      </c>
      <c r="G10019" s="424"/>
      <c r="H10019" s="31">
        <f>+IFERROR(VLOOKUP(E10019,BD!$L$2:$Q$244,6,0),0)</f>
        <v>0</v>
      </c>
      <c r="I10019" s="626">
        <f>IFERROR(G10019*VLOOKUP($E10019,BD!$L$2:$Q$244,5,0),0)</f>
        <v>0</v>
      </c>
      <c r="J10019" s="3">
        <f t="shared" si="625"/>
        <v>1900</v>
      </c>
    </row>
    <row r="10020" spans="1:10" s="9" customFormat="1" x14ac:dyDescent="0.25">
      <c r="A10020" s="447"/>
      <c r="B10020" s="55" t="str">
        <f t="shared" si="622"/>
        <v>ENERO</v>
      </c>
      <c r="C10020" s="55">
        <f t="shared" si="623"/>
        <v>1</v>
      </c>
      <c r="D10020" s="3" t="str">
        <f t="shared" si="624"/>
        <v>SÁBADO</v>
      </c>
      <c r="E10020" s="427"/>
      <c r="F10020" s="31">
        <f>IFERROR(VLOOKUP(E10020,BD!$L$2:$Q$244,2,0),0)</f>
        <v>0</v>
      </c>
      <c r="G10020" s="424"/>
      <c r="H10020" s="31">
        <f>+IFERROR(VLOOKUP(E10020,BD!$L$2:$Q$244,6,0),0)</f>
        <v>0</v>
      </c>
      <c r="I10020" s="626">
        <f>IFERROR(G10020*VLOOKUP($E10020,BD!$L$2:$Q$244,5,0),0)</f>
        <v>0</v>
      </c>
      <c r="J10020" s="3">
        <f t="shared" si="625"/>
        <v>1900</v>
      </c>
    </row>
    <row r="10021" spans="1:10" s="9" customFormat="1" x14ac:dyDescent="0.25">
      <c r="A10021" s="447"/>
      <c r="B10021" s="55" t="str">
        <f t="shared" si="622"/>
        <v>ENERO</v>
      </c>
      <c r="C10021" s="55">
        <f t="shared" si="623"/>
        <v>1</v>
      </c>
      <c r="D10021" s="3" t="str">
        <f t="shared" si="624"/>
        <v>SÁBADO</v>
      </c>
      <c r="E10021" s="427"/>
      <c r="F10021" s="31">
        <f>IFERROR(VLOOKUP(E10021,BD!$L$2:$Q$244,2,0),0)</f>
        <v>0</v>
      </c>
      <c r="G10021" s="424"/>
      <c r="H10021" s="31">
        <f>+IFERROR(VLOOKUP(E10021,BD!$L$2:$Q$244,6,0),0)</f>
        <v>0</v>
      </c>
      <c r="I10021" s="626">
        <f>IFERROR(G10021*VLOOKUP($E10021,BD!$L$2:$Q$244,5,0),0)</f>
        <v>0</v>
      </c>
      <c r="J10021" s="3">
        <f t="shared" si="625"/>
        <v>1900</v>
      </c>
    </row>
    <row r="10022" spans="1:10" s="9" customFormat="1" x14ac:dyDescent="0.25">
      <c r="A10022" s="447"/>
      <c r="B10022" s="55" t="str">
        <f t="shared" si="622"/>
        <v>ENERO</v>
      </c>
      <c r="C10022" s="55">
        <f t="shared" si="623"/>
        <v>1</v>
      </c>
      <c r="D10022" s="3" t="str">
        <f t="shared" si="624"/>
        <v>SÁBADO</v>
      </c>
      <c r="E10022" s="427"/>
      <c r="F10022" s="31">
        <f>IFERROR(VLOOKUP(E10022,BD!$L$2:$Q$244,2,0),0)</f>
        <v>0</v>
      </c>
      <c r="G10022" s="424"/>
      <c r="H10022" s="31">
        <f>+IFERROR(VLOOKUP(E10022,BD!$L$2:$Q$244,6,0),0)</f>
        <v>0</v>
      </c>
      <c r="I10022" s="626">
        <f>IFERROR(G10022*VLOOKUP($E10022,BD!$L$2:$Q$244,5,0),0)</f>
        <v>0</v>
      </c>
      <c r="J10022" s="3">
        <f t="shared" si="625"/>
        <v>1900</v>
      </c>
    </row>
    <row r="10023" spans="1:10" s="9" customFormat="1" x14ac:dyDescent="0.25">
      <c r="A10023" s="447"/>
      <c r="B10023" s="55" t="str">
        <f t="shared" si="622"/>
        <v>ENERO</v>
      </c>
      <c r="C10023" s="55">
        <f t="shared" si="623"/>
        <v>1</v>
      </c>
      <c r="D10023" s="3" t="str">
        <f t="shared" si="624"/>
        <v>SÁBADO</v>
      </c>
      <c r="E10023" s="427"/>
      <c r="F10023" s="31">
        <f>IFERROR(VLOOKUP(E10023,BD!$L$2:$Q$244,2,0),0)</f>
        <v>0</v>
      </c>
      <c r="G10023" s="424"/>
      <c r="H10023" s="31">
        <f>+IFERROR(VLOOKUP(E10023,BD!$L$2:$Q$244,6,0),0)</f>
        <v>0</v>
      </c>
      <c r="I10023" s="626">
        <f>IFERROR(G10023*VLOOKUP($E10023,BD!$L$2:$Q$244,5,0),0)</f>
        <v>0</v>
      </c>
      <c r="J10023" s="3">
        <f t="shared" si="625"/>
        <v>1900</v>
      </c>
    </row>
    <row r="10024" spans="1:10" s="9" customFormat="1" x14ac:dyDescent="0.25">
      <c r="A10024" s="447"/>
      <c r="B10024" s="55" t="str">
        <f t="shared" si="622"/>
        <v>ENERO</v>
      </c>
      <c r="C10024" s="55">
        <f t="shared" si="623"/>
        <v>1</v>
      </c>
      <c r="D10024" s="3" t="str">
        <f t="shared" si="624"/>
        <v>SÁBADO</v>
      </c>
      <c r="E10024" s="427"/>
      <c r="F10024" s="31">
        <f>IFERROR(VLOOKUP(E10024,BD!$L$2:$Q$244,2,0),0)</f>
        <v>0</v>
      </c>
      <c r="G10024" s="424"/>
      <c r="H10024" s="31">
        <f>+IFERROR(VLOOKUP(E10024,BD!$L$2:$Q$244,6,0),0)</f>
        <v>0</v>
      </c>
      <c r="I10024" s="626">
        <f>IFERROR(G10024*VLOOKUP($E10024,BD!$L$2:$Q$244,5,0),0)</f>
        <v>0</v>
      </c>
      <c r="J10024" s="3">
        <f t="shared" si="625"/>
        <v>1900</v>
      </c>
    </row>
    <row r="10025" spans="1:10" s="9" customFormat="1" x14ac:dyDescent="0.25">
      <c r="A10025" s="447"/>
      <c r="B10025" s="55" t="str">
        <f t="shared" si="622"/>
        <v>ENERO</v>
      </c>
      <c r="C10025" s="55">
        <f t="shared" si="623"/>
        <v>1</v>
      </c>
      <c r="D10025" s="3" t="str">
        <f t="shared" si="624"/>
        <v>SÁBADO</v>
      </c>
      <c r="E10025" s="427"/>
      <c r="F10025" s="31">
        <f>IFERROR(VLOOKUP(E10025,BD!$L$2:$Q$244,2,0),0)</f>
        <v>0</v>
      </c>
      <c r="G10025" s="424"/>
      <c r="H10025" s="31">
        <f>+IFERROR(VLOOKUP(E10025,BD!$L$2:$Q$244,6,0),0)</f>
        <v>0</v>
      </c>
      <c r="I10025" s="626">
        <f>IFERROR(G10025*VLOOKUP($E10025,BD!$L$2:$Q$244,5,0),0)</f>
        <v>0</v>
      </c>
      <c r="J10025" s="3">
        <f t="shared" si="625"/>
        <v>1900</v>
      </c>
    </row>
    <row r="10026" spans="1:10" s="9" customFormat="1" x14ac:dyDescent="0.25">
      <c r="A10026" s="447"/>
      <c r="B10026" s="55" t="str">
        <f t="shared" si="622"/>
        <v>ENERO</v>
      </c>
      <c r="C10026" s="55">
        <f t="shared" si="623"/>
        <v>1</v>
      </c>
      <c r="D10026" s="3" t="str">
        <f t="shared" si="624"/>
        <v>SÁBADO</v>
      </c>
      <c r="E10026" s="427"/>
      <c r="F10026" s="31">
        <f>IFERROR(VLOOKUP(E10026,BD!$L$2:$Q$244,2,0),0)</f>
        <v>0</v>
      </c>
      <c r="G10026" s="424"/>
      <c r="H10026" s="31">
        <f>+IFERROR(VLOOKUP(E10026,BD!$L$2:$Q$244,6,0),0)</f>
        <v>0</v>
      </c>
      <c r="I10026" s="626">
        <f>IFERROR(G10026*VLOOKUP($E10026,BD!$L$2:$Q$244,5,0),0)</f>
        <v>0</v>
      </c>
      <c r="J10026" s="3">
        <f t="shared" si="625"/>
        <v>1900</v>
      </c>
    </row>
    <row r="10027" spans="1:10" s="9" customFormat="1" x14ac:dyDescent="0.25">
      <c r="A10027" s="447"/>
      <c r="B10027" s="55" t="str">
        <f t="shared" si="622"/>
        <v>ENERO</v>
      </c>
      <c r="C10027" s="55">
        <f t="shared" si="623"/>
        <v>1</v>
      </c>
      <c r="D10027" s="3" t="str">
        <f t="shared" si="624"/>
        <v>SÁBADO</v>
      </c>
      <c r="E10027" s="427"/>
      <c r="F10027" s="31">
        <f>IFERROR(VLOOKUP(E10027,BD!$L$2:$Q$244,2,0),0)</f>
        <v>0</v>
      </c>
      <c r="G10027" s="424"/>
      <c r="H10027" s="31">
        <f>+IFERROR(VLOOKUP(E10027,BD!$L$2:$Q$244,6,0),0)</f>
        <v>0</v>
      </c>
      <c r="I10027" s="626">
        <f>IFERROR(G10027*VLOOKUP($E10027,BD!$L$2:$Q$244,5,0),0)</f>
        <v>0</v>
      </c>
      <c r="J10027" s="3">
        <f t="shared" si="625"/>
        <v>1900</v>
      </c>
    </row>
    <row r="10028" spans="1:10" s="9" customFormat="1" x14ac:dyDescent="0.25">
      <c r="A10028" s="447"/>
      <c r="B10028" s="55" t="str">
        <f t="shared" si="622"/>
        <v>ENERO</v>
      </c>
      <c r="C10028" s="55">
        <f t="shared" si="623"/>
        <v>1</v>
      </c>
      <c r="D10028" s="3" t="str">
        <f t="shared" si="624"/>
        <v>SÁBADO</v>
      </c>
      <c r="E10028" s="427"/>
      <c r="F10028" s="31">
        <f>IFERROR(VLOOKUP(E10028,BD!$L$2:$Q$244,2,0),0)</f>
        <v>0</v>
      </c>
      <c r="G10028" s="424"/>
      <c r="H10028" s="31">
        <f>+IFERROR(VLOOKUP(E10028,BD!$L$2:$Q$244,6,0),0)</f>
        <v>0</v>
      </c>
      <c r="I10028" s="626">
        <f>IFERROR(G10028*VLOOKUP($E10028,BD!$L$2:$Q$244,5,0),0)</f>
        <v>0</v>
      </c>
      <c r="J10028" s="3">
        <f t="shared" si="625"/>
        <v>1900</v>
      </c>
    </row>
    <row r="10029" spans="1:10" s="9" customFormat="1" x14ac:dyDescent="0.25">
      <c r="A10029" s="447"/>
      <c r="B10029" s="55" t="str">
        <f t="shared" si="622"/>
        <v>ENERO</v>
      </c>
      <c r="C10029" s="55">
        <f t="shared" si="623"/>
        <v>1</v>
      </c>
      <c r="D10029" s="3" t="str">
        <f t="shared" si="624"/>
        <v>SÁBADO</v>
      </c>
      <c r="E10029" s="427"/>
      <c r="F10029" s="31">
        <f>IFERROR(VLOOKUP(E10029,BD!$L$2:$Q$244,2,0),0)</f>
        <v>0</v>
      </c>
      <c r="G10029" s="424"/>
      <c r="H10029" s="31">
        <f>+IFERROR(VLOOKUP(E10029,BD!$L$2:$Q$244,6,0),0)</f>
        <v>0</v>
      </c>
      <c r="I10029" s="626">
        <f>IFERROR(G10029*VLOOKUP($E10029,BD!$L$2:$Q$244,5,0),0)</f>
        <v>0</v>
      </c>
      <c r="J10029" s="3">
        <f t="shared" si="625"/>
        <v>1900</v>
      </c>
    </row>
    <row r="10030" spans="1:10" s="9" customFormat="1" x14ac:dyDescent="0.25">
      <c r="A10030" s="447"/>
      <c r="B10030" s="55" t="str">
        <f t="shared" si="622"/>
        <v>ENERO</v>
      </c>
      <c r="C10030" s="55">
        <f t="shared" si="623"/>
        <v>1</v>
      </c>
      <c r="D10030" s="3" t="str">
        <f t="shared" si="624"/>
        <v>SÁBADO</v>
      </c>
      <c r="E10030" s="427"/>
      <c r="F10030" s="31">
        <f>IFERROR(VLOOKUP(E10030,BD!$L$2:$Q$244,2,0),0)</f>
        <v>0</v>
      </c>
      <c r="G10030" s="424"/>
      <c r="H10030" s="31">
        <f>+IFERROR(VLOOKUP(E10030,BD!$L$2:$Q$244,6,0),0)</f>
        <v>0</v>
      </c>
      <c r="I10030" s="626">
        <f>IFERROR(G10030*VLOOKUP($E10030,BD!$L$2:$Q$244,5,0),0)</f>
        <v>0</v>
      </c>
      <c r="J10030" s="3">
        <f t="shared" si="625"/>
        <v>1900</v>
      </c>
    </row>
    <row r="10031" spans="1:10" s="9" customFormat="1" x14ac:dyDescent="0.25">
      <c r="A10031" s="447"/>
      <c r="B10031" s="55" t="str">
        <f t="shared" si="622"/>
        <v>ENERO</v>
      </c>
      <c r="C10031" s="55">
        <f t="shared" si="623"/>
        <v>1</v>
      </c>
      <c r="D10031" s="3" t="str">
        <f t="shared" si="624"/>
        <v>SÁBADO</v>
      </c>
      <c r="E10031" s="427"/>
      <c r="F10031" s="31">
        <f>IFERROR(VLOOKUP(E10031,BD!$L$2:$Q$244,2,0),0)</f>
        <v>0</v>
      </c>
      <c r="G10031" s="424"/>
      <c r="H10031" s="31">
        <f>+IFERROR(VLOOKUP(E10031,BD!$L$2:$Q$244,6,0),0)</f>
        <v>0</v>
      </c>
      <c r="I10031" s="626">
        <f>IFERROR(G10031*VLOOKUP($E10031,BD!$L$2:$Q$244,5,0),0)</f>
        <v>0</v>
      </c>
      <c r="J10031" s="3">
        <f t="shared" si="625"/>
        <v>1900</v>
      </c>
    </row>
    <row r="10032" spans="1:10" s="9" customFormat="1" x14ac:dyDescent="0.25">
      <c r="A10032" s="447"/>
      <c r="B10032" s="55" t="str">
        <f t="shared" si="622"/>
        <v>ENERO</v>
      </c>
      <c r="C10032" s="55">
        <f t="shared" si="623"/>
        <v>1</v>
      </c>
      <c r="D10032" s="3" t="str">
        <f t="shared" si="624"/>
        <v>SÁBADO</v>
      </c>
      <c r="E10032" s="427"/>
      <c r="F10032" s="31">
        <f>IFERROR(VLOOKUP(E10032,BD!$L$2:$Q$244,2,0),0)</f>
        <v>0</v>
      </c>
      <c r="G10032" s="424"/>
      <c r="H10032" s="31">
        <f>+IFERROR(VLOOKUP(E10032,BD!$L$2:$Q$244,6,0),0)</f>
        <v>0</v>
      </c>
      <c r="I10032" s="626">
        <f>IFERROR(G10032*VLOOKUP($E10032,BD!$L$2:$Q$244,5,0),0)</f>
        <v>0</v>
      </c>
      <c r="J10032" s="3">
        <f t="shared" si="625"/>
        <v>1900</v>
      </c>
    </row>
    <row r="10033" spans="1:10" s="9" customFormat="1" x14ac:dyDescent="0.25">
      <c r="A10033" s="447"/>
      <c r="B10033" s="55" t="str">
        <f t="shared" si="622"/>
        <v>ENERO</v>
      </c>
      <c r="C10033" s="55">
        <f t="shared" si="623"/>
        <v>1</v>
      </c>
      <c r="D10033" s="3" t="str">
        <f t="shared" si="624"/>
        <v>SÁBADO</v>
      </c>
      <c r="E10033" s="427"/>
      <c r="F10033" s="31">
        <f>IFERROR(VLOOKUP(E10033,BD!$L$2:$Q$244,2,0),0)</f>
        <v>0</v>
      </c>
      <c r="G10033" s="424"/>
      <c r="H10033" s="31">
        <f>+IFERROR(VLOOKUP(E10033,BD!$L$2:$Q$244,6,0),0)</f>
        <v>0</v>
      </c>
      <c r="I10033" s="626">
        <f>IFERROR(G10033*VLOOKUP($E10033,BD!$L$2:$Q$244,5,0),0)</f>
        <v>0</v>
      </c>
      <c r="J10033" s="3">
        <f t="shared" si="625"/>
        <v>1900</v>
      </c>
    </row>
    <row r="10034" spans="1:10" s="9" customFormat="1" x14ac:dyDescent="0.25">
      <c r="A10034" s="447"/>
      <c r="B10034" s="55" t="str">
        <f t="shared" si="622"/>
        <v>ENERO</v>
      </c>
      <c r="C10034" s="55">
        <f t="shared" si="623"/>
        <v>1</v>
      </c>
      <c r="D10034" s="3" t="str">
        <f t="shared" si="624"/>
        <v>SÁBADO</v>
      </c>
      <c r="E10034" s="427"/>
      <c r="F10034" s="31">
        <f>IFERROR(VLOOKUP(E10034,BD!$L$2:$Q$244,2,0),0)</f>
        <v>0</v>
      </c>
      <c r="G10034" s="424"/>
      <c r="H10034" s="31">
        <f>+IFERROR(VLOOKUP(E10034,BD!$L$2:$Q$244,6,0),0)</f>
        <v>0</v>
      </c>
      <c r="I10034" s="626">
        <f>IFERROR(G10034*VLOOKUP($E10034,BD!$L$2:$Q$244,5,0),0)</f>
        <v>0</v>
      </c>
      <c r="J10034" s="3">
        <f t="shared" si="625"/>
        <v>1900</v>
      </c>
    </row>
    <row r="10035" spans="1:10" s="9" customFormat="1" x14ac:dyDescent="0.25">
      <c r="A10035" s="447"/>
      <c r="B10035" s="55" t="str">
        <f t="shared" si="622"/>
        <v>ENERO</v>
      </c>
      <c r="C10035" s="55">
        <f t="shared" si="623"/>
        <v>1</v>
      </c>
      <c r="D10035" s="3" t="str">
        <f t="shared" si="624"/>
        <v>SÁBADO</v>
      </c>
      <c r="E10035" s="427"/>
      <c r="F10035" s="31">
        <f>IFERROR(VLOOKUP(E10035,BD!$L$2:$Q$244,2,0),0)</f>
        <v>0</v>
      </c>
      <c r="G10035" s="424"/>
      <c r="H10035" s="31">
        <f>+IFERROR(VLOOKUP(E10035,BD!$L$2:$Q$244,6,0),0)</f>
        <v>0</v>
      </c>
      <c r="I10035" s="626">
        <f>IFERROR(G10035*VLOOKUP($E10035,BD!$L$2:$Q$244,5,0),0)</f>
        <v>0</v>
      </c>
      <c r="J10035" s="3">
        <f t="shared" si="625"/>
        <v>1900</v>
      </c>
    </row>
    <row r="10036" spans="1:10" s="9" customFormat="1" x14ac:dyDescent="0.25">
      <c r="A10036" s="447"/>
      <c r="B10036" s="55" t="str">
        <f t="shared" si="622"/>
        <v>ENERO</v>
      </c>
      <c r="C10036" s="55">
        <f t="shared" si="623"/>
        <v>1</v>
      </c>
      <c r="D10036" s="3" t="str">
        <f t="shared" si="624"/>
        <v>SÁBADO</v>
      </c>
      <c r="E10036" s="427"/>
      <c r="F10036" s="31">
        <f>IFERROR(VLOOKUP(E10036,BD!$L$2:$Q$244,2,0),0)</f>
        <v>0</v>
      </c>
      <c r="G10036" s="424"/>
      <c r="H10036" s="31">
        <f>+IFERROR(VLOOKUP(E10036,BD!$L$2:$Q$244,6,0),0)</f>
        <v>0</v>
      </c>
      <c r="I10036" s="626">
        <f>IFERROR(G10036*VLOOKUP($E10036,BD!$L$2:$Q$244,5,0),0)</f>
        <v>0</v>
      </c>
      <c r="J10036" s="3">
        <f t="shared" si="625"/>
        <v>1900</v>
      </c>
    </row>
    <row r="10037" spans="1:10" s="9" customFormat="1" x14ac:dyDescent="0.25">
      <c r="A10037" s="447"/>
      <c r="B10037" s="55" t="str">
        <f t="shared" si="622"/>
        <v>ENERO</v>
      </c>
      <c r="C10037" s="55">
        <f t="shared" si="623"/>
        <v>1</v>
      </c>
      <c r="D10037" s="3" t="str">
        <f t="shared" si="624"/>
        <v>SÁBADO</v>
      </c>
      <c r="E10037" s="427"/>
      <c r="F10037" s="31">
        <f>IFERROR(VLOOKUP(E10037,BD!$L$2:$Q$244,2,0),0)</f>
        <v>0</v>
      </c>
      <c r="G10037" s="424"/>
      <c r="H10037" s="31">
        <f>+IFERROR(VLOOKUP(E10037,BD!$L$2:$Q$244,6,0),0)</f>
        <v>0</v>
      </c>
      <c r="I10037" s="626">
        <f>IFERROR(G10037*VLOOKUP($E10037,BD!$L$2:$Q$244,5,0),0)</f>
        <v>0</v>
      </c>
      <c r="J10037" s="3">
        <f t="shared" si="625"/>
        <v>1900</v>
      </c>
    </row>
    <row r="10038" spans="1:10" s="9" customFormat="1" x14ac:dyDescent="0.25">
      <c r="A10038" s="447"/>
      <c r="B10038" s="55" t="str">
        <f t="shared" si="622"/>
        <v>ENERO</v>
      </c>
      <c r="C10038" s="55">
        <f t="shared" si="623"/>
        <v>1</v>
      </c>
      <c r="D10038" s="3" t="str">
        <f t="shared" si="624"/>
        <v>SÁBADO</v>
      </c>
      <c r="E10038" s="427"/>
      <c r="F10038" s="31">
        <f>IFERROR(VLOOKUP(E10038,BD!$L$2:$Q$244,2,0),0)</f>
        <v>0</v>
      </c>
      <c r="G10038" s="424"/>
      <c r="H10038" s="31">
        <f>+IFERROR(VLOOKUP(E10038,BD!$L$2:$Q$244,6,0),0)</f>
        <v>0</v>
      </c>
      <c r="I10038" s="626">
        <f>IFERROR(G10038*VLOOKUP($E10038,BD!$L$2:$Q$244,5,0),0)</f>
        <v>0</v>
      </c>
      <c r="J10038" s="3">
        <f t="shared" si="625"/>
        <v>1900</v>
      </c>
    </row>
    <row r="10039" spans="1:10" s="9" customFormat="1" x14ac:dyDescent="0.25">
      <c r="A10039" s="447"/>
      <c r="B10039" s="55" t="str">
        <f t="shared" si="622"/>
        <v>ENERO</v>
      </c>
      <c r="C10039" s="55">
        <f t="shared" si="623"/>
        <v>1</v>
      </c>
      <c r="D10039" s="3" t="str">
        <f t="shared" si="624"/>
        <v>SÁBADO</v>
      </c>
      <c r="E10039" s="427"/>
      <c r="F10039" s="31">
        <f>IFERROR(VLOOKUP(E10039,BD!$L$2:$Q$244,2,0),0)</f>
        <v>0</v>
      </c>
      <c r="G10039" s="425"/>
      <c r="H10039" s="31">
        <f>+IFERROR(VLOOKUP(E10039,BD!$L$2:$Q$244,6,0),0)</f>
        <v>0</v>
      </c>
      <c r="I10039" s="626">
        <f>IFERROR(G10039*VLOOKUP($E10039,BD!$L$2:$Q$244,5,0),0)</f>
        <v>0</v>
      </c>
      <c r="J10039" s="3">
        <f t="shared" si="625"/>
        <v>1900</v>
      </c>
    </row>
    <row r="10040" spans="1:10" s="9" customFormat="1" x14ac:dyDescent="0.25">
      <c r="A10040" s="447"/>
      <c r="B10040" s="55" t="str">
        <f t="shared" si="622"/>
        <v>ENERO</v>
      </c>
      <c r="C10040" s="55">
        <f t="shared" si="623"/>
        <v>1</v>
      </c>
      <c r="D10040" s="3" t="str">
        <f t="shared" si="624"/>
        <v>SÁBADO</v>
      </c>
      <c r="E10040" s="427"/>
      <c r="F10040" s="31">
        <f>IFERROR(VLOOKUP(E10040,BD!$L$2:$Q$244,2,0),0)</f>
        <v>0</v>
      </c>
      <c r="G10040" s="424"/>
      <c r="H10040" s="31">
        <f>+IFERROR(VLOOKUP(E10040,BD!$L$2:$Q$244,6,0),0)</f>
        <v>0</v>
      </c>
      <c r="I10040" s="626">
        <f>IFERROR(G10040*VLOOKUP($E10040,BD!$L$2:$Q$244,5,0),0)</f>
        <v>0</v>
      </c>
      <c r="J10040" s="3">
        <f t="shared" si="625"/>
        <v>1900</v>
      </c>
    </row>
    <row r="10041" spans="1:10" s="9" customFormat="1" x14ac:dyDescent="0.25">
      <c r="A10041" s="447"/>
      <c r="B10041" s="55" t="str">
        <f t="shared" si="622"/>
        <v>ENERO</v>
      </c>
      <c r="C10041" s="55">
        <f t="shared" si="623"/>
        <v>1</v>
      </c>
      <c r="D10041" s="3" t="str">
        <f t="shared" si="624"/>
        <v>SÁBADO</v>
      </c>
      <c r="E10041" s="427"/>
      <c r="F10041" s="31">
        <f>IFERROR(VLOOKUP(E10041,BD!$L$2:$Q$244,2,0),0)</f>
        <v>0</v>
      </c>
      <c r="G10041" s="424"/>
      <c r="H10041" s="31">
        <f>+IFERROR(VLOOKUP(E10041,BD!$L$2:$Q$244,6,0),0)</f>
        <v>0</v>
      </c>
      <c r="I10041" s="626">
        <f>IFERROR(G10041*VLOOKUP($E10041,BD!$L$2:$Q$244,5,0),0)</f>
        <v>0</v>
      </c>
      <c r="J10041" s="3">
        <f t="shared" si="625"/>
        <v>1900</v>
      </c>
    </row>
    <row r="10042" spans="1:10" s="9" customFormat="1" x14ac:dyDescent="0.25">
      <c r="A10042" s="447"/>
      <c r="B10042" s="55" t="str">
        <f t="shared" si="622"/>
        <v>ENERO</v>
      </c>
      <c r="C10042" s="55">
        <f t="shared" si="623"/>
        <v>1</v>
      </c>
      <c r="D10042" s="3" t="str">
        <f t="shared" si="624"/>
        <v>SÁBADO</v>
      </c>
      <c r="E10042" s="427"/>
      <c r="F10042" s="31">
        <f>IFERROR(VLOOKUP(E10042,BD!$L$2:$Q$244,2,0),0)</f>
        <v>0</v>
      </c>
      <c r="G10042" s="424"/>
      <c r="H10042" s="31">
        <f>+IFERROR(VLOOKUP(E10042,BD!$L$2:$Q$244,6,0),0)</f>
        <v>0</v>
      </c>
      <c r="I10042" s="626">
        <f>IFERROR(G10042*VLOOKUP($E10042,BD!$L$2:$Q$244,5,0),0)</f>
        <v>0</v>
      </c>
      <c r="J10042" s="3">
        <f t="shared" si="625"/>
        <v>1900</v>
      </c>
    </row>
    <row r="10043" spans="1:10" s="9" customFormat="1" x14ac:dyDescent="0.25">
      <c r="A10043" s="447"/>
      <c r="B10043" s="55" t="str">
        <f t="shared" si="622"/>
        <v>ENERO</v>
      </c>
      <c r="C10043" s="55">
        <f t="shared" si="623"/>
        <v>1</v>
      </c>
      <c r="D10043" s="3" t="str">
        <f t="shared" si="624"/>
        <v>SÁBADO</v>
      </c>
      <c r="E10043" s="427"/>
      <c r="F10043" s="31">
        <f>IFERROR(VLOOKUP(E10043,BD!$L$2:$Q$244,2,0),0)</f>
        <v>0</v>
      </c>
      <c r="G10043" s="424"/>
      <c r="H10043" s="31">
        <f>+IFERROR(VLOOKUP(E10043,BD!$L$2:$Q$244,6,0),0)</f>
        <v>0</v>
      </c>
      <c r="I10043" s="626">
        <f>IFERROR(G10043*VLOOKUP($E10043,BD!$L$2:$Q$244,5,0),0)</f>
        <v>0</v>
      </c>
      <c r="J10043" s="3">
        <f t="shared" si="625"/>
        <v>1900</v>
      </c>
    </row>
    <row r="10044" spans="1:10" s="9" customFormat="1" x14ac:dyDescent="0.25">
      <c r="A10044" s="447"/>
      <c r="B10044" s="55" t="str">
        <f t="shared" ref="B10044:B10107" si="626">UPPER(TEXT(A10044,"MMMM"))</f>
        <v>ENERO</v>
      </c>
      <c r="C10044" s="55">
        <f t="shared" ref="C10044:C10107" si="627">WEEKNUM(A10044,16)</f>
        <v>1</v>
      </c>
      <c r="D10044" s="3" t="str">
        <f t="shared" ref="D10044:D10107" si="628">UPPER(TEXT(A10044,"DDDD"))</f>
        <v>SÁBADO</v>
      </c>
      <c r="E10044" s="427"/>
      <c r="F10044" s="31">
        <f>IFERROR(VLOOKUP(E10044,BD!$L$2:$Q$244,2,0),0)</f>
        <v>0</v>
      </c>
      <c r="G10044" s="424"/>
      <c r="H10044" s="31">
        <f>+IFERROR(VLOOKUP(E10044,BD!$L$2:$Q$244,6,0),0)</f>
        <v>0</v>
      </c>
      <c r="I10044" s="626">
        <f>IFERROR(G10044*VLOOKUP($E10044,BD!$L$2:$Q$244,5,0),0)</f>
        <v>0</v>
      </c>
      <c r="J10044" s="3">
        <f t="shared" ref="J10044:J10107" si="629">+YEAR(A10044)</f>
        <v>1900</v>
      </c>
    </row>
    <row r="10045" spans="1:10" s="9" customFormat="1" x14ac:dyDescent="0.25">
      <c r="A10045" s="447"/>
      <c r="B10045" s="55" t="str">
        <f t="shared" si="626"/>
        <v>ENERO</v>
      </c>
      <c r="C10045" s="55">
        <f t="shared" si="627"/>
        <v>1</v>
      </c>
      <c r="D10045" s="3" t="str">
        <f t="shared" si="628"/>
        <v>SÁBADO</v>
      </c>
      <c r="E10045" s="427"/>
      <c r="F10045" s="31">
        <f>IFERROR(VLOOKUP(E10045,BD!$L$2:$Q$244,2,0),0)</f>
        <v>0</v>
      </c>
      <c r="G10045" s="424"/>
      <c r="H10045" s="31">
        <f>+IFERROR(VLOOKUP(E10045,BD!$L$2:$Q$244,6,0),0)</f>
        <v>0</v>
      </c>
      <c r="I10045" s="626">
        <f>IFERROR(G10045*VLOOKUP($E10045,BD!$L$2:$Q$244,5,0),0)</f>
        <v>0</v>
      </c>
      <c r="J10045" s="3">
        <f t="shared" si="629"/>
        <v>1900</v>
      </c>
    </row>
    <row r="10046" spans="1:10" s="9" customFormat="1" x14ac:dyDescent="0.25">
      <c r="A10046" s="447"/>
      <c r="B10046" s="55" t="str">
        <f t="shared" si="626"/>
        <v>ENERO</v>
      </c>
      <c r="C10046" s="55">
        <f t="shared" si="627"/>
        <v>1</v>
      </c>
      <c r="D10046" s="3" t="str">
        <f t="shared" si="628"/>
        <v>SÁBADO</v>
      </c>
      <c r="E10046" s="427"/>
      <c r="F10046" s="31">
        <f>IFERROR(VLOOKUP(E10046,BD!$L$2:$Q$244,2,0),0)</f>
        <v>0</v>
      </c>
      <c r="G10046" s="425"/>
      <c r="H10046" s="31">
        <f>+IFERROR(VLOOKUP(E10046,BD!$L$2:$Q$244,6,0),0)</f>
        <v>0</v>
      </c>
      <c r="I10046" s="626">
        <f>IFERROR(G10046*VLOOKUP($E10046,BD!$L$2:$Q$244,5,0),0)</f>
        <v>0</v>
      </c>
      <c r="J10046" s="3">
        <f t="shared" si="629"/>
        <v>1900</v>
      </c>
    </row>
    <row r="10047" spans="1:10" s="9" customFormat="1" x14ac:dyDescent="0.25">
      <c r="A10047" s="447"/>
      <c r="B10047" s="55" t="str">
        <f t="shared" si="626"/>
        <v>ENERO</v>
      </c>
      <c r="C10047" s="55">
        <f t="shared" si="627"/>
        <v>1</v>
      </c>
      <c r="D10047" s="3" t="str">
        <f t="shared" si="628"/>
        <v>SÁBADO</v>
      </c>
      <c r="E10047" s="427"/>
      <c r="F10047" s="31">
        <f>IFERROR(VLOOKUP(E10047,BD!$L$2:$Q$244,2,0),0)</f>
        <v>0</v>
      </c>
      <c r="G10047" s="424"/>
      <c r="H10047" s="31">
        <f>+IFERROR(VLOOKUP(E10047,BD!$L$2:$Q$244,6,0),0)</f>
        <v>0</v>
      </c>
      <c r="I10047" s="626">
        <f>IFERROR(G10047*VLOOKUP($E10047,BD!$L$2:$Q$244,5,0),0)</f>
        <v>0</v>
      </c>
      <c r="J10047" s="3">
        <f t="shared" si="629"/>
        <v>1900</v>
      </c>
    </row>
    <row r="10048" spans="1:10" s="9" customFormat="1" x14ac:dyDescent="0.25">
      <c r="A10048" s="447"/>
      <c r="B10048" s="55" t="str">
        <f t="shared" si="626"/>
        <v>ENERO</v>
      </c>
      <c r="C10048" s="55">
        <f t="shared" si="627"/>
        <v>1</v>
      </c>
      <c r="D10048" s="3" t="str">
        <f t="shared" si="628"/>
        <v>SÁBADO</v>
      </c>
      <c r="E10048" s="427"/>
      <c r="F10048" s="31">
        <f>IFERROR(VLOOKUP(E10048,BD!$L$2:$Q$244,2,0),0)</f>
        <v>0</v>
      </c>
      <c r="G10048" s="424"/>
      <c r="H10048" s="31">
        <f>+IFERROR(VLOOKUP(E10048,BD!$L$2:$Q$244,6,0),0)</f>
        <v>0</v>
      </c>
      <c r="I10048" s="626">
        <f>IFERROR(G10048*VLOOKUP($E10048,BD!$L$2:$Q$244,5,0),0)</f>
        <v>0</v>
      </c>
      <c r="J10048" s="3">
        <f t="shared" si="629"/>
        <v>1900</v>
      </c>
    </row>
    <row r="10049" spans="1:10" s="9" customFormat="1" x14ac:dyDescent="0.25">
      <c r="A10049" s="447"/>
      <c r="B10049" s="55" t="str">
        <f t="shared" si="626"/>
        <v>ENERO</v>
      </c>
      <c r="C10049" s="55">
        <f t="shared" si="627"/>
        <v>1</v>
      </c>
      <c r="D10049" s="3" t="str">
        <f t="shared" si="628"/>
        <v>SÁBADO</v>
      </c>
      <c r="E10049" s="427"/>
      <c r="F10049" s="31">
        <f>IFERROR(VLOOKUP(E10049,BD!$L$2:$Q$244,2,0),0)</f>
        <v>0</v>
      </c>
      <c r="G10049" s="424"/>
      <c r="H10049" s="31">
        <f>+IFERROR(VLOOKUP(E10049,BD!$L$2:$Q$244,6,0),0)</f>
        <v>0</v>
      </c>
      <c r="I10049" s="626">
        <f>IFERROR(G10049*VLOOKUP($E10049,BD!$L$2:$Q$244,5,0),0)</f>
        <v>0</v>
      </c>
      <c r="J10049" s="3">
        <f t="shared" si="629"/>
        <v>1900</v>
      </c>
    </row>
    <row r="10050" spans="1:10" s="9" customFormat="1" x14ac:dyDescent="0.25">
      <c r="A10050" s="447"/>
      <c r="B10050" s="55" t="str">
        <f t="shared" si="626"/>
        <v>ENERO</v>
      </c>
      <c r="C10050" s="55">
        <f t="shared" si="627"/>
        <v>1</v>
      </c>
      <c r="D10050" s="3" t="str">
        <f t="shared" si="628"/>
        <v>SÁBADO</v>
      </c>
      <c r="E10050" s="427"/>
      <c r="F10050" s="31">
        <f>IFERROR(VLOOKUP(E10050,BD!$L$2:$Q$244,2,0),0)</f>
        <v>0</v>
      </c>
      <c r="G10050" s="424"/>
      <c r="H10050" s="31">
        <f>+IFERROR(VLOOKUP(E10050,BD!$L$2:$Q$244,6,0),0)</f>
        <v>0</v>
      </c>
      <c r="I10050" s="626">
        <f>IFERROR(G10050*VLOOKUP($E10050,BD!$L$2:$Q$244,5,0),0)</f>
        <v>0</v>
      </c>
      <c r="J10050" s="3">
        <f t="shared" si="629"/>
        <v>1900</v>
      </c>
    </row>
    <row r="10051" spans="1:10" s="9" customFormat="1" x14ac:dyDescent="0.25">
      <c r="A10051" s="447"/>
      <c r="B10051" s="55" t="str">
        <f t="shared" si="626"/>
        <v>ENERO</v>
      </c>
      <c r="C10051" s="55">
        <f t="shared" si="627"/>
        <v>1</v>
      </c>
      <c r="D10051" s="3" t="str">
        <f t="shared" si="628"/>
        <v>SÁBADO</v>
      </c>
      <c r="E10051" s="427"/>
      <c r="F10051" s="31">
        <f>IFERROR(VLOOKUP(E10051,BD!$L$2:$Q$244,2,0),0)</f>
        <v>0</v>
      </c>
      <c r="G10051" s="424"/>
      <c r="H10051" s="31">
        <f>+IFERROR(VLOOKUP(E10051,BD!$L$2:$Q$244,6,0),0)</f>
        <v>0</v>
      </c>
      <c r="I10051" s="626">
        <f>IFERROR(G10051*VLOOKUP($E10051,BD!$L$2:$Q$244,5,0),0)</f>
        <v>0</v>
      </c>
      <c r="J10051" s="3">
        <f t="shared" si="629"/>
        <v>1900</v>
      </c>
    </row>
    <row r="10052" spans="1:10" s="9" customFormat="1" x14ac:dyDescent="0.25">
      <c r="A10052" s="447"/>
      <c r="B10052" s="55" t="str">
        <f t="shared" si="626"/>
        <v>ENERO</v>
      </c>
      <c r="C10052" s="55">
        <f t="shared" si="627"/>
        <v>1</v>
      </c>
      <c r="D10052" s="3" t="str">
        <f t="shared" si="628"/>
        <v>SÁBADO</v>
      </c>
      <c r="E10052" s="427"/>
      <c r="F10052" s="31">
        <f>IFERROR(VLOOKUP(E10052,BD!$L$2:$Q$244,2,0),0)</f>
        <v>0</v>
      </c>
      <c r="G10052" s="424"/>
      <c r="H10052" s="31">
        <f>+IFERROR(VLOOKUP(E10052,BD!$L$2:$Q$244,6,0),0)</f>
        <v>0</v>
      </c>
      <c r="I10052" s="626">
        <f>IFERROR(G10052*VLOOKUP($E10052,BD!$L$2:$Q$244,5,0),0)</f>
        <v>0</v>
      </c>
      <c r="J10052" s="3">
        <f t="shared" si="629"/>
        <v>1900</v>
      </c>
    </row>
    <row r="10053" spans="1:10" s="9" customFormat="1" x14ac:dyDescent="0.25">
      <c r="A10053" s="447"/>
      <c r="B10053" s="55" t="str">
        <f t="shared" si="626"/>
        <v>ENERO</v>
      </c>
      <c r="C10053" s="55">
        <f t="shared" si="627"/>
        <v>1</v>
      </c>
      <c r="D10053" s="3" t="str">
        <f t="shared" si="628"/>
        <v>SÁBADO</v>
      </c>
      <c r="E10053" s="427"/>
      <c r="F10053" s="31">
        <f>IFERROR(VLOOKUP(E10053,BD!$L$2:$Q$244,2,0),0)</f>
        <v>0</v>
      </c>
      <c r="G10053" s="424"/>
      <c r="H10053" s="31">
        <f>+IFERROR(VLOOKUP(E10053,BD!$L$2:$Q$244,6,0),0)</f>
        <v>0</v>
      </c>
      <c r="I10053" s="626">
        <f>IFERROR(G10053*VLOOKUP($E10053,BD!$L$2:$Q$244,5,0),0)</f>
        <v>0</v>
      </c>
      <c r="J10053" s="3">
        <f t="shared" si="629"/>
        <v>1900</v>
      </c>
    </row>
    <row r="10054" spans="1:10" s="9" customFormat="1" x14ac:dyDescent="0.25">
      <c r="A10054" s="447"/>
      <c r="B10054" s="55" t="str">
        <f t="shared" si="626"/>
        <v>ENERO</v>
      </c>
      <c r="C10054" s="55">
        <f t="shared" si="627"/>
        <v>1</v>
      </c>
      <c r="D10054" s="3" t="str">
        <f t="shared" si="628"/>
        <v>SÁBADO</v>
      </c>
      <c r="E10054" s="427"/>
      <c r="F10054" s="31">
        <f>IFERROR(VLOOKUP(E10054,BD!$L$2:$Q$244,2,0),0)</f>
        <v>0</v>
      </c>
      <c r="G10054" s="424"/>
      <c r="H10054" s="31">
        <f>+IFERROR(VLOOKUP(E10054,BD!$L$2:$Q$244,6,0),0)</f>
        <v>0</v>
      </c>
      <c r="I10054" s="626">
        <f>IFERROR(G10054*VLOOKUP($E10054,BD!$L$2:$Q$244,5,0),0)</f>
        <v>0</v>
      </c>
      <c r="J10054" s="3">
        <f t="shared" si="629"/>
        <v>1900</v>
      </c>
    </row>
    <row r="10055" spans="1:10" s="9" customFormat="1" x14ac:dyDescent="0.25">
      <c r="A10055" s="447"/>
      <c r="B10055" s="55" t="str">
        <f t="shared" si="626"/>
        <v>ENERO</v>
      </c>
      <c r="C10055" s="55">
        <f t="shared" si="627"/>
        <v>1</v>
      </c>
      <c r="D10055" s="3" t="str">
        <f t="shared" si="628"/>
        <v>SÁBADO</v>
      </c>
      <c r="E10055" s="427"/>
      <c r="F10055" s="31">
        <f>IFERROR(VLOOKUP(E10055,BD!$L$2:$Q$244,2,0),0)</f>
        <v>0</v>
      </c>
      <c r="G10055" s="424"/>
      <c r="H10055" s="31">
        <f>+IFERROR(VLOOKUP(E10055,BD!$L$2:$Q$244,6,0),0)</f>
        <v>0</v>
      </c>
      <c r="I10055" s="626">
        <f>IFERROR(G10055*VLOOKUP($E10055,BD!$L$2:$Q$244,5,0),0)</f>
        <v>0</v>
      </c>
      <c r="J10055" s="3">
        <f t="shared" si="629"/>
        <v>1900</v>
      </c>
    </row>
    <row r="10056" spans="1:10" s="9" customFormat="1" x14ac:dyDescent="0.25">
      <c r="A10056" s="447"/>
      <c r="B10056" s="55" t="str">
        <f t="shared" si="626"/>
        <v>ENERO</v>
      </c>
      <c r="C10056" s="55">
        <f t="shared" si="627"/>
        <v>1</v>
      </c>
      <c r="D10056" s="3" t="str">
        <f t="shared" si="628"/>
        <v>SÁBADO</v>
      </c>
      <c r="E10056" s="427"/>
      <c r="F10056" s="31">
        <f>IFERROR(VLOOKUP(E10056,BD!$L$2:$Q$244,2,0),0)</f>
        <v>0</v>
      </c>
      <c r="G10056" s="424"/>
      <c r="H10056" s="31">
        <f>+IFERROR(VLOOKUP(E10056,BD!$L$2:$Q$244,6,0),0)</f>
        <v>0</v>
      </c>
      <c r="I10056" s="626">
        <f>IFERROR(G10056*VLOOKUP($E10056,BD!$L$2:$Q$244,5,0),0)</f>
        <v>0</v>
      </c>
      <c r="J10056" s="3">
        <f t="shared" si="629"/>
        <v>1900</v>
      </c>
    </row>
    <row r="10057" spans="1:10" s="9" customFormat="1" x14ac:dyDescent="0.25">
      <c r="A10057" s="447"/>
      <c r="B10057" s="55" t="str">
        <f t="shared" si="626"/>
        <v>ENERO</v>
      </c>
      <c r="C10057" s="55">
        <f t="shared" si="627"/>
        <v>1</v>
      </c>
      <c r="D10057" s="3" t="str">
        <f t="shared" si="628"/>
        <v>SÁBADO</v>
      </c>
      <c r="E10057" s="427"/>
      <c r="F10057" s="31">
        <f>IFERROR(VLOOKUP(E10057,BD!$L$2:$Q$244,2,0),0)</f>
        <v>0</v>
      </c>
      <c r="G10057" s="424"/>
      <c r="H10057" s="31">
        <f>+IFERROR(VLOOKUP(E10057,BD!$L$2:$Q$244,6,0),0)</f>
        <v>0</v>
      </c>
      <c r="I10057" s="626">
        <f>IFERROR(G10057*VLOOKUP($E10057,BD!$L$2:$Q$244,5,0),0)</f>
        <v>0</v>
      </c>
      <c r="J10057" s="3">
        <f t="shared" si="629"/>
        <v>1900</v>
      </c>
    </row>
    <row r="10058" spans="1:10" s="9" customFormat="1" x14ac:dyDescent="0.25">
      <c r="A10058" s="447"/>
      <c r="B10058" s="55" t="str">
        <f t="shared" si="626"/>
        <v>ENERO</v>
      </c>
      <c r="C10058" s="55">
        <f t="shared" si="627"/>
        <v>1</v>
      </c>
      <c r="D10058" s="3" t="str">
        <f t="shared" si="628"/>
        <v>SÁBADO</v>
      </c>
      <c r="E10058" s="427"/>
      <c r="F10058" s="31">
        <f>IFERROR(VLOOKUP(E10058,BD!$L$2:$Q$244,2,0),0)</f>
        <v>0</v>
      </c>
      <c r="G10058" s="424"/>
      <c r="H10058" s="31">
        <f>+IFERROR(VLOOKUP(E10058,BD!$L$2:$Q$244,6,0),0)</f>
        <v>0</v>
      </c>
      <c r="I10058" s="626">
        <f>IFERROR(G10058*VLOOKUP($E10058,BD!$L$2:$Q$244,5,0),0)</f>
        <v>0</v>
      </c>
      <c r="J10058" s="3">
        <f t="shared" si="629"/>
        <v>1900</v>
      </c>
    </row>
    <row r="10059" spans="1:10" s="9" customFormat="1" x14ac:dyDescent="0.25">
      <c r="A10059" s="447"/>
      <c r="B10059" s="55" t="str">
        <f t="shared" si="626"/>
        <v>ENERO</v>
      </c>
      <c r="C10059" s="55">
        <f t="shared" si="627"/>
        <v>1</v>
      </c>
      <c r="D10059" s="3" t="str">
        <f t="shared" si="628"/>
        <v>SÁBADO</v>
      </c>
      <c r="E10059" s="427"/>
      <c r="F10059" s="31">
        <f>IFERROR(VLOOKUP(E10059,BD!$L$2:$Q$244,2,0),0)</f>
        <v>0</v>
      </c>
      <c r="G10059" s="424"/>
      <c r="H10059" s="31">
        <f>+IFERROR(VLOOKUP(E10059,BD!$L$2:$Q$244,6,0),0)</f>
        <v>0</v>
      </c>
      <c r="I10059" s="626">
        <f>IFERROR(G10059*VLOOKUP($E10059,BD!$L$2:$Q$244,5,0),0)</f>
        <v>0</v>
      </c>
      <c r="J10059" s="3">
        <f t="shared" si="629"/>
        <v>1900</v>
      </c>
    </row>
    <row r="10060" spans="1:10" s="9" customFormat="1" x14ac:dyDescent="0.25">
      <c r="A10060" s="447"/>
      <c r="B10060" s="55" t="str">
        <f t="shared" si="626"/>
        <v>ENERO</v>
      </c>
      <c r="C10060" s="55">
        <f t="shared" si="627"/>
        <v>1</v>
      </c>
      <c r="D10060" s="3" t="str">
        <f t="shared" si="628"/>
        <v>SÁBADO</v>
      </c>
      <c r="E10060" s="427"/>
      <c r="F10060" s="31">
        <f>IFERROR(VLOOKUP(E10060,BD!$L$2:$Q$244,2,0),0)</f>
        <v>0</v>
      </c>
      <c r="G10060" s="424"/>
      <c r="H10060" s="31">
        <f>+IFERROR(VLOOKUP(E10060,BD!$L$2:$Q$244,6,0),0)</f>
        <v>0</v>
      </c>
      <c r="I10060" s="626">
        <f>IFERROR(G10060*VLOOKUP($E10060,BD!$L$2:$Q$244,5,0),0)</f>
        <v>0</v>
      </c>
      <c r="J10060" s="3">
        <f t="shared" si="629"/>
        <v>1900</v>
      </c>
    </row>
    <row r="10061" spans="1:10" s="9" customFormat="1" x14ac:dyDescent="0.25">
      <c r="A10061" s="447"/>
      <c r="B10061" s="55" t="str">
        <f t="shared" si="626"/>
        <v>ENERO</v>
      </c>
      <c r="C10061" s="55">
        <f t="shared" si="627"/>
        <v>1</v>
      </c>
      <c r="D10061" s="3" t="str">
        <f t="shared" si="628"/>
        <v>SÁBADO</v>
      </c>
      <c r="E10061" s="427"/>
      <c r="F10061" s="31">
        <f>IFERROR(VLOOKUP(E10061,BD!$L$2:$Q$244,2,0),0)</f>
        <v>0</v>
      </c>
      <c r="G10061" s="424"/>
      <c r="H10061" s="31">
        <f>+IFERROR(VLOOKUP(E10061,BD!$L$2:$Q$244,6,0),0)</f>
        <v>0</v>
      </c>
      <c r="I10061" s="626">
        <f>IFERROR(G10061*VLOOKUP($E10061,BD!$L$2:$Q$244,5,0),0)</f>
        <v>0</v>
      </c>
      <c r="J10061" s="3">
        <f t="shared" si="629"/>
        <v>1900</v>
      </c>
    </row>
    <row r="10062" spans="1:10" s="9" customFormat="1" x14ac:dyDescent="0.25">
      <c r="A10062" s="447"/>
      <c r="B10062" s="55" t="str">
        <f t="shared" si="626"/>
        <v>ENERO</v>
      </c>
      <c r="C10062" s="55">
        <f t="shared" si="627"/>
        <v>1</v>
      </c>
      <c r="D10062" s="3" t="str">
        <f t="shared" si="628"/>
        <v>SÁBADO</v>
      </c>
      <c r="E10062" s="427"/>
      <c r="F10062" s="31">
        <f>IFERROR(VLOOKUP(E10062,BD!$L$2:$Q$244,2,0),0)</f>
        <v>0</v>
      </c>
      <c r="G10062" s="424"/>
      <c r="H10062" s="31">
        <f>+IFERROR(VLOOKUP(E10062,BD!$L$2:$Q$244,6,0),0)</f>
        <v>0</v>
      </c>
      <c r="I10062" s="626">
        <f>IFERROR(G10062*VLOOKUP($E10062,BD!$L$2:$Q$244,5,0),0)</f>
        <v>0</v>
      </c>
      <c r="J10062" s="3">
        <f t="shared" si="629"/>
        <v>1900</v>
      </c>
    </row>
    <row r="10063" spans="1:10" s="9" customFormat="1" x14ac:dyDescent="0.25">
      <c r="A10063" s="447"/>
      <c r="B10063" s="55" t="str">
        <f t="shared" si="626"/>
        <v>ENERO</v>
      </c>
      <c r="C10063" s="55">
        <f t="shared" si="627"/>
        <v>1</v>
      </c>
      <c r="D10063" s="3" t="str">
        <f t="shared" si="628"/>
        <v>SÁBADO</v>
      </c>
      <c r="E10063" s="427"/>
      <c r="F10063" s="31">
        <f>IFERROR(VLOOKUP(E10063,BD!$L$2:$Q$244,2,0),0)</f>
        <v>0</v>
      </c>
      <c r="G10063" s="424"/>
      <c r="H10063" s="31">
        <f>+IFERROR(VLOOKUP(E10063,BD!$L$2:$Q$244,6,0),0)</f>
        <v>0</v>
      </c>
      <c r="I10063" s="626">
        <f>IFERROR(G10063*VLOOKUP($E10063,BD!$L$2:$Q$244,5,0),0)</f>
        <v>0</v>
      </c>
      <c r="J10063" s="3">
        <f t="shared" si="629"/>
        <v>1900</v>
      </c>
    </row>
    <row r="10064" spans="1:10" s="9" customFormat="1" x14ac:dyDescent="0.25">
      <c r="A10064" s="447"/>
      <c r="B10064" s="55" t="str">
        <f t="shared" si="626"/>
        <v>ENERO</v>
      </c>
      <c r="C10064" s="55">
        <f t="shared" si="627"/>
        <v>1</v>
      </c>
      <c r="D10064" s="3" t="str">
        <f t="shared" si="628"/>
        <v>SÁBADO</v>
      </c>
      <c r="E10064" s="427"/>
      <c r="F10064" s="31">
        <f>IFERROR(VLOOKUP(E10064,BD!$L$2:$Q$244,2,0),0)</f>
        <v>0</v>
      </c>
      <c r="G10064" s="424"/>
      <c r="H10064" s="31">
        <f>+IFERROR(VLOOKUP(E10064,BD!$L$2:$Q$244,6,0),0)</f>
        <v>0</v>
      </c>
      <c r="I10064" s="626">
        <f>IFERROR(G10064*VLOOKUP($E10064,BD!$L$2:$Q$244,5,0),0)</f>
        <v>0</v>
      </c>
      <c r="J10064" s="3">
        <f t="shared" si="629"/>
        <v>1900</v>
      </c>
    </row>
    <row r="10065" spans="1:10" s="9" customFormat="1" x14ac:dyDescent="0.25">
      <c r="A10065" s="447"/>
      <c r="B10065" s="55" t="str">
        <f t="shared" si="626"/>
        <v>ENERO</v>
      </c>
      <c r="C10065" s="55">
        <f t="shared" si="627"/>
        <v>1</v>
      </c>
      <c r="D10065" s="3" t="str">
        <f t="shared" si="628"/>
        <v>SÁBADO</v>
      </c>
      <c r="E10065" s="427"/>
      <c r="F10065" s="31">
        <f>IFERROR(VLOOKUP(E10065,BD!$L$2:$Q$244,2,0),0)</f>
        <v>0</v>
      </c>
      <c r="G10065" s="424"/>
      <c r="H10065" s="31">
        <f>+IFERROR(VLOOKUP(E10065,BD!$L$2:$Q$244,6,0),0)</f>
        <v>0</v>
      </c>
      <c r="I10065" s="626">
        <f>IFERROR(G10065*VLOOKUP($E10065,BD!$L$2:$Q$244,5,0),0)</f>
        <v>0</v>
      </c>
      <c r="J10065" s="3">
        <f t="shared" si="629"/>
        <v>1900</v>
      </c>
    </row>
    <row r="10066" spans="1:10" s="9" customFormat="1" x14ac:dyDescent="0.25">
      <c r="A10066" s="447"/>
      <c r="B10066" s="55" t="str">
        <f t="shared" si="626"/>
        <v>ENERO</v>
      </c>
      <c r="C10066" s="55">
        <f t="shared" si="627"/>
        <v>1</v>
      </c>
      <c r="D10066" s="3" t="str">
        <f t="shared" si="628"/>
        <v>SÁBADO</v>
      </c>
      <c r="E10066" s="427"/>
      <c r="F10066" s="31">
        <f>IFERROR(VLOOKUP(E10066,BD!$L$2:$Q$244,2,0),0)</f>
        <v>0</v>
      </c>
      <c r="G10066" s="424"/>
      <c r="H10066" s="31">
        <f>+IFERROR(VLOOKUP(E10066,BD!$L$2:$Q$244,6,0),0)</f>
        <v>0</v>
      </c>
      <c r="I10066" s="626">
        <f>IFERROR(G10066*VLOOKUP($E10066,BD!$L$2:$Q$244,5,0),0)</f>
        <v>0</v>
      </c>
      <c r="J10066" s="3">
        <f t="shared" si="629"/>
        <v>1900</v>
      </c>
    </row>
    <row r="10067" spans="1:10" s="9" customFormat="1" x14ac:dyDescent="0.25">
      <c r="A10067" s="447"/>
      <c r="B10067" s="55" t="str">
        <f t="shared" si="626"/>
        <v>ENERO</v>
      </c>
      <c r="C10067" s="55">
        <f t="shared" si="627"/>
        <v>1</v>
      </c>
      <c r="D10067" s="3" t="str">
        <f t="shared" si="628"/>
        <v>SÁBADO</v>
      </c>
      <c r="E10067" s="427"/>
      <c r="F10067" s="31">
        <f>IFERROR(VLOOKUP(E10067,BD!$L$2:$Q$244,2,0),0)</f>
        <v>0</v>
      </c>
      <c r="G10067" s="424"/>
      <c r="H10067" s="31">
        <f>+IFERROR(VLOOKUP(E10067,BD!$L$2:$Q$244,6,0),0)</f>
        <v>0</v>
      </c>
      <c r="I10067" s="626">
        <f>IFERROR(G10067*VLOOKUP($E10067,BD!$L$2:$Q$244,5,0),0)</f>
        <v>0</v>
      </c>
      <c r="J10067" s="3">
        <f t="shared" si="629"/>
        <v>1900</v>
      </c>
    </row>
    <row r="10068" spans="1:10" s="9" customFormat="1" x14ac:dyDescent="0.25">
      <c r="A10068" s="447"/>
      <c r="B10068" s="55" t="str">
        <f t="shared" si="626"/>
        <v>ENERO</v>
      </c>
      <c r="C10068" s="55">
        <f t="shared" si="627"/>
        <v>1</v>
      </c>
      <c r="D10068" s="3" t="str">
        <f t="shared" si="628"/>
        <v>SÁBADO</v>
      </c>
      <c r="E10068" s="427"/>
      <c r="F10068" s="31">
        <f>IFERROR(VLOOKUP(E10068,BD!$L$2:$Q$244,2,0),0)</f>
        <v>0</v>
      </c>
      <c r="G10068" s="424"/>
      <c r="H10068" s="31">
        <f>+IFERROR(VLOOKUP(E10068,BD!$L$2:$Q$244,6,0),0)</f>
        <v>0</v>
      </c>
      <c r="I10068" s="626">
        <f>IFERROR(G10068*VLOOKUP($E10068,BD!$L$2:$Q$244,5,0),0)</f>
        <v>0</v>
      </c>
      <c r="J10068" s="3">
        <f t="shared" si="629"/>
        <v>1900</v>
      </c>
    </row>
    <row r="10069" spans="1:10" s="9" customFormat="1" x14ac:dyDescent="0.25">
      <c r="A10069" s="447"/>
      <c r="B10069" s="55" t="str">
        <f t="shared" si="626"/>
        <v>ENERO</v>
      </c>
      <c r="C10069" s="55">
        <f t="shared" si="627"/>
        <v>1</v>
      </c>
      <c r="D10069" s="3" t="str">
        <f t="shared" si="628"/>
        <v>SÁBADO</v>
      </c>
      <c r="E10069" s="427"/>
      <c r="F10069" s="31">
        <f>IFERROR(VLOOKUP(E10069,BD!$L$2:$Q$244,2,0),0)</f>
        <v>0</v>
      </c>
      <c r="G10069" s="424"/>
      <c r="H10069" s="31">
        <f>+IFERROR(VLOOKUP(E10069,BD!$L$2:$Q$244,6,0),0)</f>
        <v>0</v>
      </c>
      <c r="I10069" s="626">
        <f>IFERROR(G10069*VLOOKUP($E10069,BD!$L$2:$Q$244,5,0),0)</f>
        <v>0</v>
      </c>
      <c r="J10069" s="3">
        <f t="shared" si="629"/>
        <v>1900</v>
      </c>
    </row>
    <row r="10070" spans="1:10" s="9" customFormat="1" x14ac:dyDescent="0.25">
      <c r="A10070" s="447"/>
      <c r="B10070" s="55" t="str">
        <f t="shared" si="626"/>
        <v>ENERO</v>
      </c>
      <c r="C10070" s="55">
        <f t="shared" si="627"/>
        <v>1</v>
      </c>
      <c r="D10070" s="3" t="str">
        <f t="shared" si="628"/>
        <v>SÁBADO</v>
      </c>
      <c r="E10070" s="427"/>
      <c r="F10070" s="31">
        <f>IFERROR(VLOOKUP(E10070,BD!$L$2:$Q$244,2,0),0)</f>
        <v>0</v>
      </c>
      <c r="G10070" s="424"/>
      <c r="H10070" s="31">
        <f>+IFERROR(VLOOKUP(E10070,BD!$L$2:$Q$244,6,0),0)</f>
        <v>0</v>
      </c>
      <c r="I10070" s="626">
        <f>IFERROR(G10070*VLOOKUP($E10070,BD!$L$2:$Q$244,5,0),0)</f>
        <v>0</v>
      </c>
      <c r="J10070" s="3">
        <f t="shared" si="629"/>
        <v>1900</v>
      </c>
    </row>
    <row r="10071" spans="1:10" s="9" customFormat="1" x14ac:dyDescent="0.25">
      <c r="A10071" s="447"/>
      <c r="B10071" s="55" t="str">
        <f t="shared" si="626"/>
        <v>ENERO</v>
      </c>
      <c r="C10071" s="55">
        <f t="shared" si="627"/>
        <v>1</v>
      </c>
      <c r="D10071" s="3" t="str">
        <f t="shared" si="628"/>
        <v>SÁBADO</v>
      </c>
      <c r="E10071" s="427"/>
      <c r="F10071" s="31">
        <f>IFERROR(VLOOKUP(E10071,BD!$L$2:$Q$244,2,0),0)</f>
        <v>0</v>
      </c>
      <c r="G10071" s="424"/>
      <c r="H10071" s="31">
        <f>+IFERROR(VLOOKUP(E10071,BD!$L$2:$Q$244,6,0),0)</f>
        <v>0</v>
      </c>
      <c r="I10071" s="626">
        <f>IFERROR(G10071*VLOOKUP($E10071,BD!$L$2:$Q$244,5,0),0)</f>
        <v>0</v>
      </c>
      <c r="J10071" s="3">
        <f t="shared" si="629"/>
        <v>1900</v>
      </c>
    </row>
    <row r="10072" spans="1:10" s="9" customFormat="1" x14ac:dyDescent="0.25">
      <c r="A10072" s="447"/>
      <c r="B10072" s="55" t="str">
        <f t="shared" si="626"/>
        <v>ENERO</v>
      </c>
      <c r="C10072" s="55">
        <f t="shared" si="627"/>
        <v>1</v>
      </c>
      <c r="D10072" s="3" t="str">
        <f t="shared" si="628"/>
        <v>SÁBADO</v>
      </c>
      <c r="E10072" s="427"/>
      <c r="F10072" s="31">
        <f>IFERROR(VLOOKUP(E10072,BD!$L$2:$Q$244,2,0),0)</f>
        <v>0</v>
      </c>
      <c r="G10072" s="424"/>
      <c r="H10072" s="31">
        <f>+IFERROR(VLOOKUP(E10072,BD!$L$2:$Q$244,6,0),0)</f>
        <v>0</v>
      </c>
      <c r="I10072" s="626">
        <f>IFERROR(G10072*VLOOKUP($E10072,BD!$L$2:$Q$244,5,0),0)</f>
        <v>0</v>
      </c>
      <c r="J10072" s="3">
        <f t="shared" si="629"/>
        <v>1900</v>
      </c>
    </row>
    <row r="10073" spans="1:10" s="9" customFormat="1" x14ac:dyDescent="0.25">
      <c r="A10073" s="447"/>
      <c r="B10073" s="55" t="str">
        <f t="shared" si="626"/>
        <v>ENERO</v>
      </c>
      <c r="C10073" s="55">
        <f t="shared" si="627"/>
        <v>1</v>
      </c>
      <c r="D10073" s="3" t="str">
        <f t="shared" si="628"/>
        <v>SÁBADO</v>
      </c>
      <c r="E10073" s="427"/>
      <c r="F10073" s="31">
        <f>IFERROR(VLOOKUP(E10073,BD!$L$2:$Q$244,2,0),0)</f>
        <v>0</v>
      </c>
      <c r="G10073" s="424"/>
      <c r="H10073" s="31">
        <f>+IFERROR(VLOOKUP(E10073,BD!$L$2:$Q$244,6,0),0)</f>
        <v>0</v>
      </c>
      <c r="I10073" s="626">
        <f>IFERROR(G10073*VLOOKUP($E10073,BD!$L$2:$Q$244,5,0),0)</f>
        <v>0</v>
      </c>
      <c r="J10073" s="3">
        <f t="shared" si="629"/>
        <v>1900</v>
      </c>
    </row>
    <row r="10074" spans="1:10" s="9" customFormat="1" x14ac:dyDescent="0.25">
      <c r="A10074" s="447"/>
      <c r="B10074" s="55" t="str">
        <f t="shared" si="626"/>
        <v>ENERO</v>
      </c>
      <c r="C10074" s="55">
        <f t="shared" si="627"/>
        <v>1</v>
      </c>
      <c r="D10074" s="3" t="str">
        <f t="shared" si="628"/>
        <v>SÁBADO</v>
      </c>
      <c r="E10074" s="427"/>
      <c r="F10074" s="31">
        <f>IFERROR(VLOOKUP(E10074,BD!$L$2:$Q$244,2,0),0)</f>
        <v>0</v>
      </c>
      <c r="G10074" s="424"/>
      <c r="H10074" s="31">
        <f>+IFERROR(VLOOKUP(E10074,BD!$L$2:$Q$244,6,0),0)</f>
        <v>0</v>
      </c>
      <c r="I10074" s="626">
        <f>IFERROR(G10074*VLOOKUP($E10074,BD!$L$2:$Q$244,5,0),0)</f>
        <v>0</v>
      </c>
      <c r="J10074" s="3">
        <f t="shared" si="629"/>
        <v>1900</v>
      </c>
    </row>
    <row r="10075" spans="1:10" s="9" customFormat="1" x14ac:dyDescent="0.25">
      <c r="A10075" s="447"/>
      <c r="B10075" s="55" t="str">
        <f t="shared" si="626"/>
        <v>ENERO</v>
      </c>
      <c r="C10075" s="55">
        <f t="shared" si="627"/>
        <v>1</v>
      </c>
      <c r="D10075" s="3" t="str">
        <f t="shared" si="628"/>
        <v>SÁBADO</v>
      </c>
      <c r="E10075" s="427"/>
      <c r="F10075" s="31">
        <f>IFERROR(VLOOKUP(E10075,BD!$L$2:$Q$244,2,0),0)</f>
        <v>0</v>
      </c>
      <c r="G10075" s="424"/>
      <c r="H10075" s="31">
        <f>+IFERROR(VLOOKUP(E10075,BD!$L$2:$Q$244,6,0),0)</f>
        <v>0</v>
      </c>
      <c r="I10075" s="626">
        <f>IFERROR(G10075*VLOOKUP($E10075,BD!$L$2:$Q$244,5,0),0)</f>
        <v>0</v>
      </c>
      <c r="J10075" s="3">
        <f t="shared" si="629"/>
        <v>1900</v>
      </c>
    </row>
    <row r="10076" spans="1:10" s="9" customFormat="1" x14ac:dyDescent="0.25">
      <c r="A10076" s="447"/>
      <c r="B10076" s="55" t="str">
        <f t="shared" si="626"/>
        <v>ENERO</v>
      </c>
      <c r="C10076" s="55">
        <f t="shared" si="627"/>
        <v>1</v>
      </c>
      <c r="D10076" s="3" t="str">
        <f t="shared" si="628"/>
        <v>SÁBADO</v>
      </c>
      <c r="E10076" s="427"/>
      <c r="F10076" s="31">
        <f>IFERROR(VLOOKUP(E10076,BD!$L$2:$Q$244,2,0),0)</f>
        <v>0</v>
      </c>
      <c r="G10076" s="424"/>
      <c r="H10076" s="31">
        <f>+IFERROR(VLOOKUP(E10076,BD!$L$2:$Q$244,6,0),0)</f>
        <v>0</v>
      </c>
      <c r="I10076" s="626">
        <f>IFERROR(G10076*VLOOKUP($E10076,BD!$L$2:$Q$244,5,0),0)</f>
        <v>0</v>
      </c>
      <c r="J10076" s="3">
        <f t="shared" si="629"/>
        <v>1900</v>
      </c>
    </row>
    <row r="10077" spans="1:10" s="9" customFormat="1" x14ac:dyDescent="0.25">
      <c r="A10077" s="447"/>
      <c r="B10077" s="55" t="str">
        <f t="shared" si="626"/>
        <v>ENERO</v>
      </c>
      <c r="C10077" s="55">
        <f t="shared" si="627"/>
        <v>1</v>
      </c>
      <c r="D10077" s="3" t="str">
        <f t="shared" si="628"/>
        <v>SÁBADO</v>
      </c>
      <c r="E10077" s="427"/>
      <c r="F10077" s="31">
        <f>IFERROR(VLOOKUP(E10077,BD!$L$2:$Q$244,2,0),0)</f>
        <v>0</v>
      </c>
      <c r="G10077" s="424"/>
      <c r="H10077" s="31">
        <f>+IFERROR(VLOOKUP(E10077,BD!$L$2:$Q$244,6,0),0)</f>
        <v>0</v>
      </c>
      <c r="I10077" s="626">
        <f>IFERROR(G10077*VLOOKUP($E10077,BD!$L$2:$Q$244,5,0),0)</f>
        <v>0</v>
      </c>
      <c r="J10077" s="3">
        <f t="shared" si="629"/>
        <v>1900</v>
      </c>
    </row>
    <row r="10078" spans="1:10" s="9" customFormat="1" x14ac:dyDescent="0.25">
      <c r="A10078" s="447"/>
      <c r="B10078" s="55" t="str">
        <f t="shared" si="626"/>
        <v>ENERO</v>
      </c>
      <c r="C10078" s="55">
        <f t="shared" si="627"/>
        <v>1</v>
      </c>
      <c r="D10078" s="3" t="str">
        <f t="shared" si="628"/>
        <v>SÁBADO</v>
      </c>
      <c r="E10078" s="427"/>
      <c r="F10078" s="31">
        <f>IFERROR(VLOOKUP(E10078,BD!$L$2:$Q$244,2,0),0)</f>
        <v>0</v>
      </c>
      <c r="G10078" s="425"/>
      <c r="H10078" s="31">
        <f>+IFERROR(VLOOKUP(E10078,BD!$L$2:$Q$244,6,0),0)</f>
        <v>0</v>
      </c>
      <c r="I10078" s="626">
        <f>IFERROR(G10078*VLOOKUP($E10078,BD!$L$2:$Q$244,5,0),0)</f>
        <v>0</v>
      </c>
      <c r="J10078" s="3">
        <f t="shared" si="629"/>
        <v>1900</v>
      </c>
    </row>
    <row r="10079" spans="1:10" s="9" customFormat="1" x14ac:dyDescent="0.25">
      <c r="A10079" s="447"/>
      <c r="B10079" s="55" t="str">
        <f t="shared" si="626"/>
        <v>ENERO</v>
      </c>
      <c r="C10079" s="55">
        <f t="shared" si="627"/>
        <v>1</v>
      </c>
      <c r="D10079" s="3" t="str">
        <f t="shared" si="628"/>
        <v>SÁBADO</v>
      </c>
      <c r="E10079" s="427"/>
      <c r="F10079" s="31">
        <f>IFERROR(VLOOKUP(E10079,BD!$L$2:$Q$244,2,0),0)</f>
        <v>0</v>
      </c>
      <c r="G10079" s="424"/>
      <c r="H10079" s="31">
        <f>+IFERROR(VLOOKUP(E10079,BD!$L$2:$Q$244,6,0),0)</f>
        <v>0</v>
      </c>
      <c r="I10079" s="626">
        <f>IFERROR(G10079*VLOOKUP($E10079,BD!$L$2:$Q$244,5,0),0)</f>
        <v>0</v>
      </c>
      <c r="J10079" s="3">
        <f t="shared" si="629"/>
        <v>1900</v>
      </c>
    </row>
    <row r="10080" spans="1:10" s="9" customFormat="1" x14ac:dyDescent="0.25">
      <c r="A10080" s="447"/>
      <c r="B10080" s="55" t="str">
        <f t="shared" si="626"/>
        <v>ENERO</v>
      </c>
      <c r="C10080" s="55">
        <f t="shared" si="627"/>
        <v>1</v>
      </c>
      <c r="D10080" s="3" t="str">
        <f t="shared" si="628"/>
        <v>SÁBADO</v>
      </c>
      <c r="E10080" s="427"/>
      <c r="F10080" s="31">
        <f>IFERROR(VLOOKUP(E10080,BD!$L$2:$Q$244,2,0),0)</f>
        <v>0</v>
      </c>
      <c r="G10080" s="424"/>
      <c r="H10080" s="31">
        <f>+IFERROR(VLOOKUP(E10080,BD!$L$2:$Q$244,6,0),0)</f>
        <v>0</v>
      </c>
      <c r="I10080" s="626">
        <f>IFERROR(G10080*VLOOKUP($E10080,BD!$L$2:$Q$244,5,0),0)</f>
        <v>0</v>
      </c>
      <c r="J10080" s="3">
        <f t="shared" si="629"/>
        <v>1900</v>
      </c>
    </row>
    <row r="10081" spans="1:10" s="9" customFormat="1" x14ac:dyDescent="0.25">
      <c r="A10081" s="447"/>
      <c r="B10081" s="55" t="str">
        <f t="shared" si="626"/>
        <v>ENERO</v>
      </c>
      <c r="C10081" s="55">
        <f t="shared" si="627"/>
        <v>1</v>
      </c>
      <c r="D10081" s="3" t="str">
        <f t="shared" si="628"/>
        <v>SÁBADO</v>
      </c>
      <c r="E10081" s="427"/>
      <c r="F10081" s="31">
        <f>IFERROR(VLOOKUP(E10081,BD!$L$2:$Q$244,2,0),0)</f>
        <v>0</v>
      </c>
      <c r="G10081" s="424"/>
      <c r="H10081" s="31">
        <f>+IFERROR(VLOOKUP(E10081,BD!$L$2:$Q$244,6,0),0)</f>
        <v>0</v>
      </c>
      <c r="I10081" s="626">
        <f>IFERROR(G10081*VLOOKUP($E10081,BD!$L$2:$Q$244,5,0),0)</f>
        <v>0</v>
      </c>
      <c r="J10081" s="3">
        <f t="shared" si="629"/>
        <v>1900</v>
      </c>
    </row>
    <row r="10082" spans="1:10" s="9" customFormat="1" x14ac:dyDescent="0.25">
      <c r="A10082" s="447"/>
      <c r="B10082" s="55" t="str">
        <f t="shared" si="626"/>
        <v>ENERO</v>
      </c>
      <c r="C10082" s="55">
        <f t="shared" si="627"/>
        <v>1</v>
      </c>
      <c r="D10082" s="3" t="str">
        <f t="shared" si="628"/>
        <v>SÁBADO</v>
      </c>
      <c r="E10082" s="427"/>
      <c r="F10082" s="31">
        <f>IFERROR(VLOOKUP(E10082,BD!$L$2:$Q$244,2,0),0)</f>
        <v>0</v>
      </c>
      <c r="G10082" s="424"/>
      <c r="H10082" s="31">
        <f>+IFERROR(VLOOKUP(E10082,BD!$L$2:$Q$244,6,0),0)</f>
        <v>0</v>
      </c>
      <c r="I10082" s="626">
        <f>IFERROR(G10082*VLOOKUP($E10082,BD!$L$2:$Q$244,5,0),0)</f>
        <v>0</v>
      </c>
      <c r="J10082" s="3">
        <f t="shared" si="629"/>
        <v>1900</v>
      </c>
    </row>
    <row r="10083" spans="1:10" s="9" customFormat="1" x14ac:dyDescent="0.25">
      <c r="A10083" s="447"/>
      <c r="B10083" s="55" t="str">
        <f t="shared" si="626"/>
        <v>ENERO</v>
      </c>
      <c r="C10083" s="55">
        <f t="shared" si="627"/>
        <v>1</v>
      </c>
      <c r="D10083" s="3" t="str">
        <f t="shared" si="628"/>
        <v>SÁBADO</v>
      </c>
      <c r="E10083" s="427"/>
      <c r="F10083" s="31">
        <f>IFERROR(VLOOKUP(E10083,BD!$L$2:$Q$244,2,0),0)</f>
        <v>0</v>
      </c>
      <c r="G10083" s="424"/>
      <c r="H10083" s="31">
        <f>+IFERROR(VLOOKUP(E10083,BD!$L$2:$Q$244,6,0),0)</f>
        <v>0</v>
      </c>
      <c r="I10083" s="626">
        <f>IFERROR(G10083*VLOOKUP($E10083,BD!$L$2:$Q$244,5,0),0)</f>
        <v>0</v>
      </c>
      <c r="J10083" s="3">
        <f t="shared" si="629"/>
        <v>1900</v>
      </c>
    </row>
    <row r="10084" spans="1:10" s="9" customFormat="1" x14ac:dyDescent="0.25">
      <c r="A10084" s="447"/>
      <c r="B10084" s="55" t="str">
        <f t="shared" si="626"/>
        <v>ENERO</v>
      </c>
      <c r="C10084" s="55">
        <f t="shared" si="627"/>
        <v>1</v>
      </c>
      <c r="D10084" s="3" t="str">
        <f t="shared" si="628"/>
        <v>SÁBADO</v>
      </c>
      <c r="E10084" s="427"/>
      <c r="F10084" s="31">
        <f>IFERROR(VLOOKUP(E10084,BD!$L$2:$Q$244,2,0),0)</f>
        <v>0</v>
      </c>
      <c r="G10084" s="424"/>
      <c r="H10084" s="31">
        <f>+IFERROR(VLOOKUP(E10084,BD!$L$2:$Q$244,6,0),0)</f>
        <v>0</v>
      </c>
      <c r="I10084" s="626">
        <f>IFERROR(G10084*VLOOKUP($E10084,BD!$L$2:$Q$244,5,0),0)</f>
        <v>0</v>
      </c>
      <c r="J10084" s="3">
        <f t="shared" si="629"/>
        <v>1900</v>
      </c>
    </row>
    <row r="10085" spans="1:10" s="9" customFormat="1" x14ac:dyDescent="0.25">
      <c r="A10085" s="447"/>
      <c r="B10085" s="55" t="str">
        <f t="shared" si="626"/>
        <v>ENERO</v>
      </c>
      <c r="C10085" s="55">
        <f t="shared" si="627"/>
        <v>1</v>
      </c>
      <c r="D10085" s="3" t="str">
        <f t="shared" si="628"/>
        <v>SÁBADO</v>
      </c>
      <c r="E10085" s="427"/>
      <c r="F10085" s="31">
        <f>IFERROR(VLOOKUP(E10085,BD!$L$2:$Q$244,2,0),0)</f>
        <v>0</v>
      </c>
      <c r="G10085" s="424"/>
      <c r="H10085" s="31">
        <f>+IFERROR(VLOOKUP(E10085,BD!$L$2:$Q$244,6,0),0)</f>
        <v>0</v>
      </c>
      <c r="I10085" s="626">
        <f>IFERROR(G10085*VLOOKUP($E10085,BD!$L$2:$Q$244,5,0),0)</f>
        <v>0</v>
      </c>
      <c r="J10085" s="3">
        <f t="shared" si="629"/>
        <v>1900</v>
      </c>
    </row>
    <row r="10086" spans="1:10" s="9" customFormat="1" x14ac:dyDescent="0.25">
      <c r="A10086" s="447"/>
      <c r="B10086" s="55" t="str">
        <f t="shared" si="626"/>
        <v>ENERO</v>
      </c>
      <c r="C10086" s="55">
        <f t="shared" si="627"/>
        <v>1</v>
      </c>
      <c r="D10086" s="3" t="str">
        <f t="shared" si="628"/>
        <v>SÁBADO</v>
      </c>
      <c r="E10086" s="427"/>
      <c r="F10086" s="31">
        <f>IFERROR(VLOOKUP(E10086,BD!$L$2:$Q$244,2,0),0)</f>
        <v>0</v>
      </c>
      <c r="G10086" s="424"/>
      <c r="H10086" s="31">
        <f>+IFERROR(VLOOKUP(E10086,BD!$L$2:$Q$244,6,0),0)</f>
        <v>0</v>
      </c>
      <c r="I10086" s="626">
        <f>IFERROR(G10086*VLOOKUP($E10086,BD!$L$2:$Q$244,5,0),0)</f>
        <v>0</v>
      </c>
      <c r="J10086" s="3">
        <f t="shared" si="629"/>
        <v>1900</v>
      </c>
    </row>
    <row r="10087" spans="1:10" s="9" customFormat="1" x14ac:dyDescent="0.25">
      <c r="A10087" s="447"/>
      <c r="B10087" s="55" t="str">
        <f t="shared" si="626"/>
        <v>ENERO</v>
      </c>
      <c r="C10087" s="55">
        <f t="shared" si="627"/>
        <v>1</v>
      </c>
      <c r="D10087" s="3" t="str">
        <f t="shared" si="628"/>
        <v>SÁBADO</v>
      </c>
      <c r="E10087" s="427"/>
      <c r="F10087" s="31">
        <f>IFERROR(VLOOKUP(E10087,BD!$L$2:$Q$244,2,0),0)</f>
        <v>0</v>
      </c>
      <c r="G10087" s="424"/>
      <c r="H10087" s="31">
        <f>+IFERROR(VLOOKUP(E10087,BD!$L$2:$Q$244,6,0),0)</f>
        <v>0</v>
      </c>
      <c r="I10087" s="626">
        <f>IFERROR(G10087*VLOOKUP($E10087,BD!$L$2:$Q$244,5,0),0)</f>
        <v>0</v>
      </c>
      <c r="J10087" s="3">
        <f t="shared" si="629"/>
        <v>1900</v>
      </c>
    </row>
    <row r="10088" spans="1:10" s="9" customFormat="1" x14ac:dyDescent="0.25">
      <c r="A10088" s="447"/>
      <c r="B10088" s="55" t="str">
        <f t="shared" si="626"/>
        <v>ENERO</v>
      </c>
      <c r="C10088" s="55">
        <f t="shared" si="627"/>
        <v>1</v>
      </c>
      <c r="D10088" s="3" t="str">
        <f t="shared" si="628"/>
        <v>SÁBADO</v>
      </c>
      <c r="E10088" s="427"/>
      <c r="F10088" s="31">
        <f>IFERROR(VLOOKUP(E10088,BD!$L$2:$Q$244,2,0),0)</f>
        <v>0</v>
      </c>
      <c r="G10088" s="424"/>
      <c r="H10088" s="31">
        <f>+IFERROR(VLOOKUP(E10088,BD!$L$2:$Q$244,6,0),0)</f>
        <v>0</v>
      </c>
      <c r="I10088" s="626">
        <f>IFERROR(G10088*VLOOKUP($E10088,BD!$L$2:$Q$244,5,0),0)</f>
        <v>0</v>
      </c>
      <c r="J10088" s="3">
        <f t="shared" si="629"/>
        <v>1900</v>
      </c>
    </row>
    <row r="10089" spans="1:10" s="9" customFormat="1" x14ac:dyDescent="0.25">
      <c r="A10089" s="447"/>
      <c r="B10089" s="55" t="str">
        <f t="shared" si="626"/>
        <v>ENERO</v>
      </c>
      <c r="C10089" s="55">
        <f t="shared" si="627"/>
        <v>1</v>
      </c>
      <c r="D10089" s="3" t="str">
        <f t="shared" si="628"/>
        <v>SÁBADO</v>
      </c>
      <c r="E10089" s="427"/>
      <c r="F10089" s="31">
        <f>IFERROR(VLOOKUP(E10089,BD!$L$2:$Q$244,2,0),0)</f>
        <v>0</v>
      </c>
      <c r="G10089" s="424"/>
      <c r="H10089" s="31">
        <f>+IFERROR(VLOOKUP(E10089,BD!$L$2:$Q$244,6,0),0)</f>
        <v>0</v>
      </c>
      <c r="I10089" s="626">
        <f>IFERROR(G10089*VLOOKUP($E10089,BD!$L$2:$Q$244,5,0),0)</f>
        <v>0</v>
      </c>
      <c r="J10089" s="3">
        <f t="shared" si="629"/>
        <v>1900</v>
      </c>
    </row>
    <row r="10090" spans="1:10" s="9" customFormat="1" x14ac:dyDescent="0.25">
      <c r="A10090" s="447"/>
      <c r="B10090" s="55" t="str">
        <f t="shared" si="626"/>
        <v>ENERO</v>
      </c>
      <c r="C10090" s="55">
        <f t="shared" si="627"/>
        <v>1</v>
      </c>
      <c r="D10090" s="3" t="str">
        <f t="shared" si="628"/>
        <v>SÁBADO</v>
      </c>
      <c r="E10090" s="427"/>
      <c r="F10090" s="31">
        <f>IFERROR(VLOOKUP(E10090,BD!$L$2:$Q$244,2,0),0)</f>
        <v>0</v>
      </c>
      <c r="G10090" s="424"/>
      <c r="H10090" s="31">
        <f>+IFERROR(VLOOKUP(E10090,BD!$L$2:$Q$244,6,0),0)</f>
        <v>0</v>
      </c>
      <c r="I10090" s="626">
        <f>IFERROR(G10090*VLOOKUP($E10090,BD!$L$2:$Q$244,5,0),0)</f>
        <v>0</v>
      </c>
      <c r="J10090" s="3">
        <f t="shared" si="629"/>
        <v>1900</v>
      </c>
    </row>
    <row r="10091" spans="1:10" s="9" customFormat="1" x14ac:dyDescent="0.25">
      <c r="A10091" s="447"/>
      <c r="B10091" s="55" t="str">
        <f t="shared" si="626"/>
        <v>ENERO</v>
      </c>
      <c r="C10091" s="55">
        <f t="shared" si="627"/>
        <v>1</v>
      </c>
      <c r="D10091" s="3" t="str">
        <f t="shared" si="628"/>
        <v>SÁBADO</v>
      </c>
      <c r="E10091" s="427"/>
      <c r="F10091" s="31">
        <f>IFERROR(VLOOKUP(E10091,BD!$L$2:$Q$244,2,0),0)</f>
        <v>0</v>
      </c>
      <c r="G10091" s="424"/>
      <c r="H10091" s="31">
        <f>+IFERROR(VLOOKUP(E10091,BD!$L$2:$Q$244,6,0),0)</f>
        <v>0</v>
      </c>
      <c r="I10091" s="626">
        <f>IFERROR(G10091*VLOOKUP($E10091,BD!$L$2:$Q$244,5,0),0)</f>
        <v>0</v>
      </c>
      <c r="J10091" s="3">
        <f t="shared" si="629"/>
        <v>1900</v>
      </c>
    </row>
    <row r="10092" spans="1:10" s="9" customFormat="1" x14ac:dyDescent="0.25">
      <c r="A10092" s="447"/>
      <c r="B10092" s="55" t="str">
        <f t="shared" si="626"/>
        <v>ENERO</v>
      </c>
      <c r="C10092" s="55">
        <f t="shared" si="627"/>
        <v>1</v>
      </c>
      <c r="D10092" s="3" t="str">
        <f t="shared" si="628"/>
        <v>SÁBADO</v>
      </c>
      <c r="E10092" s="427"/>
      <c r="F10092" s="31">
        <f>IFERROR(VLOOKUP(E10092,BD!$L$2:$Q$244,2,0),0)</f>
        <v>0</v>
      </c>
      <c r="G10092" s="425"/>
      <c r="H10092" s="31">
        <f>+IFERROR(VLOOKUP(E10092,BD!$L$2:$Q$244,6,0),0)</f>
        <v>0</v>
      </c>
      <c r="I10092" s="626">
        <f>IFERROR(G10092*VLOOKUP($E10092,BD!$L$2:$Q$244,5,0),0)</f>
        <v>0</v>
      </c>
      <c r="J10092" s="3">
        <f t="shared" si="629"/>
        <v>1900</v>
      </c>
    </row>
    <row r="10093" spans="1:10" s="9" customFormat="1" x14ac:dyDescent="0.25">
      <c r="A10093" s="447"/>
      <c r="B10093" s="55" t="str">
        <f t="shared" si="626"/>
        <v>ENERO</v>
      </c>
      <c r="C10093" s="55">
        <f t="shared" si="627"/>
        <v>1</v>
      </c>
      <c r="D10093" s="3" t="str">
        <f t="shared" si="628"/>
        <v>SÁBADO</v>
      </c>
      <c r="E10093" s="427"/>
      <c r="F10093" s="31">
        <f>IFERROR(VLOOKUP(E10093,BD!$L$2:$Q$244,2,0),0)</f>
        <v>0</v>
      </c>
      <c r="G10093" s="424"/>
      <c r="H10093" s="31">
        <f>+IFERROR(VLOOKUP(E10093,BD!$L$2:$Q$244,6,0),0)</f>
        <v>0</v>
      </c>
      <c r="I10093" s="626">
        <f>IFERROR(G10093*VLOOKUP($E10093,BD!$L$2:$Q$244,5,0),0)</f>
        <v>0</v>
      </c>
      <c r="J10093" s="3">
        <f t="shared" si="629"/>
        <v>1900</v>
      </c>
    </row>
    <row r="10094" spans="1:10" s="9" customFormat="1" x14ac:dyDescent="0.25">
      <c r="A10094" s="447"/>
      <c r="B10094" s="55" t="str">
        <f t="shared" si="626"/>
        <v>ENERO</v>
      </c>
      <c r="C10094" s="55">
        <f t="shared" si="627"/>
        <v>1</v>
      </c>
      <c r="D10094" s="3" t="str">
        <f t="shared" si="628"/>
        <v>SÁBADO</v>
      </c>
      <c r="E10094" s="427"/>
      <c r="F10094" s="31">
        <f>IFERROR(VLOOKUP(E10094,BD!$L$2:$Q$244,2,0),0)</f>
        <v>0</v>
      </c>
      <c r="G10094" s="424"/>
      <c r="H10094" s="31">
        <f>+IFERROR(VLOOKUP(E10094,BD!$L$2:$Q$244,6,0),0)</f>
        <v>0</v>
      </c>
      <c r="I10094" s="626">
        <f>IFERROR(G10094*VLOOKUP($E10094,BD!$L$2:$Q$244,5,0),0)</f>
        <v>0</v>
      </c>
      <c r="J10094" s="3">
        <f t="shared" si="629"/>
        <v>1900</v>
      </c>
    </row>
    <row r="10095" spans="1:10" s="9" customFormat="1" x14ac:dyDescent="0.25">
      <c r="A10095" s="447"/>
      <c r="B10095" s="55" t="str">
        <f t="shared" si="626"/>
        <v>ENERO</v>
      </c>
      <c r="C10095" s="55">
        <f t="shared" si="627"/>
        <v>1</v>
      </c>
      <c r="D10095" s="3" t="str">
        <f t="shared" si="628"/>
        <v>SÁBADO</v>
      </c>
      <c r="E10095" s="427"/>
      <c r="F10095" s="31">
        <f>IFERROR(VLOOKUP(E10095,BD!$L$2:$Q$244,2,0),0)</f>
        <v>0</v>
      </c>
      <c r="G10095" s="424"/>
      <c r="H10095" s="31">
        <f>+IFERROR(VLOOKUP(E10095,BD!$L$2:$Q$244,6,0),0)</f>
        <v>0</v>
      </c>
      <c r="I10095" s="626">
        <f>IFERROR(G10095*VLOOKUP($E10095,BD!$L$2:$Q$244,5,0),0)</f>
        <v>0</v>
      </c>
      <c r="J10095" s="3">
        <f t="shared" si="629"/>
        <v>1900</v>
      </c>
    </row>
    <row r="10096" spans="1:10" s="9" customFormat="1" x14ac:dyDescent="0.25">
      <c r="A10096" s="447"/>
      <c r="B10096" s="55" t="str">
        <f t="shared" si="626"/>
        <v>ENERO</v>
      </c>
      <c r="C10096" s="55">
        <f t="shared" si="627"/>
        <v>1</v>
      </c>
      <c r="D10096" s="3" t="str">
        <f t="shared" si="628"/>
        <v>SÁBADO</v>
      </c>
      <c r="E10096" s="427"/>
      <c r="F10096" s="31">
        <f>IFERROR(VLOOKUP(E10096,BD!$L$2:$Q$244,2,0),0)</f>
        <v>0</v>
      </c>
      <c r="G10096" s="424"/>
      <c r="H10096" s="31">
        <f>+IFERROR(VLOOKUP(E10096,BD!$L$2:$Q$244,6,0),0)</f>
        <v>0</v>
      </c>
      <c r="I10096" s="626">
        <f>IFERROR(G10096*VLOOKUP($E10096,BD!$L$2:$Q$244,5,0),0)</f>
        <v>0</v>
      </c>
      <c r="J10096" s="3">
        <f t="shared" si="629"/>
        <v>1900</v>
      </c>
    </row>
    <row r="10097" spans="1:10" s="9" customFormat="1" x14ac:dyDescent="0.25">
      <c r="A10097" s="447"/>
      <c r="B10097" s="55" t="str">
        <f t="shared" si="626"/>
        <v>ENERO</v>
      </c>
      <c r="C10097" s="55">
        <f t="shared" si="627"/>
        <v>1</v>
      </c>
      <c r="D10097" s="3" t="str">
        <f t="shared" si="628"/>
        <v>SÁBADO</v>
      </c>
      <c r="E10097" s="427"/>
      <c r="F10097" s="31">
        <f>IFERROR(VLOOKUP(E10097,BD!$L$2:$Q$244,2,0),0)</f>
        <v>0</v>
      </c>
      <c r="G10097" s="424"/>
      <c r="H10097" s="31">
        <f>+IFERROR(VLOOKUP(E10097,BD!$L$2:$Q$244,6,0),0)</f>
        <v>0</v>
      </c>
      <c r="I10097" s="626">
        <f>IFERROR(G10097*VLOOKUP($E10097,BD!$L$2:$Q$244,5,0),0)</f>
        <v>0</v>
      </c>
      <c r="J10097" s="3">
        <f t="shared" si="629"/>
        <v>1900</v>
      </c>
    </row>
    <row r="10098" spans="1:10" s="9" customFormat="1" x14ac:dyDescent="0.25">
      <c r="A10098" s="447"/>
      <c r="B10098" s="55" t="str">
        <f t="shared" si="626"/>
        <v>ENERO</v>
      </c>
      <c r="C10098" s="55">
        <f t="shared" si="627"/>
        <v>1</v>
      </c>
      <c r="D10098" s="3" t="str">
        <f t="shared" si="628"/>
        <v>SÁBADO</v>
      </c>
      <c r="E10098" s="427"/>
      <c r="F10098" s="31">
        <f>IFERROR(VLOOKUP(E10098,BD!$L$2:$Q$244,2,0),0)</f>
        <v>0</v>
      </c>
      <c r="G10098" s="424"/>
      <c r="H10098" s="31">
        <f>+IFERROR(VLOOKUP(E10098,BD!$L$2:$Q$244,6,0),0)</f>
        <v>0</v>
      </c>
      <c r="I10098" s="626">
        <f>IFERROR(G10098*VLOOKUP($E10098,BD!$L$2:$Q$244,5,0),0)</f>
        <v>0</v>
      </c>
      <c r="J10098" s="3">
        <f t="shared" si="629"/>
        <v>1900</v>
      </c>
    </row>
    <row r="10099" spans="1:10" s="9" customFormat="1" x14ac:dyDescent="0.25">
      <c r="A10099" s="447"/>
      <c r="B10099" s="55" t="str">
        <f t="shared" si="626"/>
        <v>ENERO</v>
      </c>
      <c r="C10099" s="55">
        <f t="shared" si="627"/>
        <v>1</v>
      </c>
      <c r="D10099" s="3" t="str">
        <f t="shared" si="628"/>
        <v>SÁBADO</v>
      </c>
      <c r="E10099" s="427"/>
      <c r="F10099" s="31">
        <f>IFERROR(VLOOKUP(E10099,BD!$L$2:$Q$244,2,0),0)</f>
        <v>0</v>
      </c>
      <c r="G10099" s="424"/>
      <c r="H10099" s="31">
        <f>+IFERROR(VLOOKUP(E10099,BD!$L$2:$Q$244,6,0),0)</f>
        <v>0</v>
      </c>
      <c r="I10099" s="626">
        <f>IFERROR(G10099*VLOOKUP($E10099,BD!$L$2:$Q$244,5,0),0)</f>
        <v>0</v>
      </c>
      <c r="J10099" s="3">
        <f t="shared" si="629"/>
        <v>1900</v>
      </c>
    </row>
    <row r="10100" spans="1:10" s="9" customFormat="1" x14ac:dyDescent="0.25">
      <c r="A10100" s="447"/>
      <c r="B10100" s="55" t="str">
        <f t="shared" si="626"/>
        <v>ENERO</v>
      </c>
      <c r="C10100" s="55">
        <f t="shared" si="627"/>
        <v>1</v>
      </c>
      <c r="D10100" s="3" t="str">
        <f t="shared" si="628"/>
        <v>SÁBADO</v>
      </c>
      <c r="E10100" s="427"/>
      <c r="F10100" s="31">
        <f>IFERROR(VLOOKUP(E10100,BD!$L$2:$Q$244,2,0),0)</f>
        <v>0</v>
      </c>
      <c r="G10100" s="424"/>
      <c r="H10100" s="31">
        <f>+IFERROR(VLOOKUP(E10100,BD!$L$2:$Q$244,6,0),0)</f>
        <v>0</v>
      </c>
      <c r="I10100" s="626">
        <f>IFERROR(G10100*VLOOKUP($E10100,BD!$L$2:$Q$244,5,0),0)</f>
        <v>0</v>
      </c>
      <c r="J10100" s="3">
        <f t="shared" si="629"/>
        <v>1900</v>
      </c>
    </row>
    <row r="10101" spans="1:10" s="9" customFormat="1" x14ac:dyDescent="0.25">
      <c r="A10101" s="447"/>
      <c r="B10101" s="55" t="str">
        <f t="shared" si="626"/>
        <v>ENERO</v>
      </c>
      <c r="C10101" s="55">
        <f t="shared" si="627"/>
        <v>1</v>
      </c>
      <c r="D10101" s="3" t="str">
        <f t="shared" si="628"/>
        <v>SÁBADO</v>
      </c>
      <c r="E10101" s="427"/>
      <c r="F10101" s="31">
        <f>IFERROR(VLOOKUP(E10101,BD!$L$2:$Q$244,2,0),0)</f>
        <v>0</v>
      </c>
      <c r="G10101" s="424"/>
      <c r="H10101" s="31">
        <f>+IFERROR(VLOOKUP(E10101,BD!$L$2:$Q$244,6,0),0)</f>
        <v>0</v>
      </c>
      <c r="I10101" s="626">
        <f>IFERROR(G10101*VLOOKUP($E10101,BD!$L$2:$Q$244,5,0),0)</f>
        <v>0</v>
      </c>
      <c r="J10101" s="3">
        <f t="shared" si="629"/>
        <v>1900</v>
      </c>
    </row>
    <row r="10102" spans="1:10" s="9" customFormat="1" x14ac:dyDescent="0.25">
      <c r="A10102" s="447"/>
      <c r="B10102" s="55" t="str">
        <f t="shared" si="626"/>
        <v>ENERO</v>
      </c>
      <c r="C10102" s="55">
        <f t="shared" si="627"/>
        <v>1</v>
      </c>
      <c r="D10102" s="3" t="str">
        <f t="shared" si="628"/>
        <v>SÁBADO</v>
      </c>
      <c r="E10102" s="427"/>
      <c r="F10102" s="31">
        <f>IFERROR(VLOOKUP(E10102,BD!$L$2:$Q$244,2,0),0)</f>
        <v>0</v>
      </c>
      <c r="G10102" s="424"/>
      <c r="H10102" s="31">
        <f>+IFERROR(VLOOKUP(E10102,BD!$L$2:$Q$244,6,0),0)</f>
        <v>0</v>
      </c>
      <c r="I10102" s="626">
        <f>IFERROR(G10102*VLOOKUP($E10102,BD!$L$2:$Q$244,5,0),0)</f>
        <v>0</v>
      </c>
      <c r="J10102" s="3">
        <f t="shared" si="629"/>
        <v>1900</v>
      </c>
    </row>
    <row r="10103" spans="1:10" s="9" customFormat="1" x14ac:dyDescent="0.25">
      <c r="A10103" s="447"/>
      <c r="B10103" s="55" t="str">
        <f t="shared" si="626"/>
        <v>ENERO</v>
      </c>
      <c r="C10103" s="55">
        <f t="shared" si="627"/>
        <v>1</v>
      </c>
      <c r="D10103" s="3" t="str">
        <f t="shared" si="628"/>
        <v>SÁBADO</v>
      </c>
      <c r="E10103" s="427"/>
      <c r="F10103" s="31">
        <f>IFERROR(VLOOKUP(E10103,BD!$L$2:$Q$244,2,0),0)</f>
        <v>0</v>
      </c>
      <c r="G10103" s="424"/>
      <c r="H10103" s="31">
        <f>+IFERROR(VLOOKUP(E10103,BD!$L$2:$Q$244,6,0),0)</f>
        <v>0</v>
      </c>
      <c r="I10103" s="626">
        <f>IFERROR(G10103*VLOOKUP($E10103,BD!$L$2:$Q$244,5,0),0)</f>
        <v>0</v>
      </c>
      <c r="J10103" s="3">
        <f t="shared" si="629"/>
        <v>1900</v>
      </c>
    </row>
    <row r="10104" spans="1:10" s="9" customFormat="1" x14ac:dyDescent="0.25">
      <c r="A10104" s="447"/>
      <c r="B10104" s="55" t="str">
        <f t="shared" si="626"/>
        <v>ENERO</v>
      </c>
      <c r="C10104" s="55">
        <f t="shared" si="627"/>
        <v>1</v>
      </c>
      <c r="D10104" s="3" t="str">
        <f t="shared" si="628"/>
        <v>SÁBADO</v>
      </c>
      <c r="E10104" s="427"/>
      <c r="F10104" s="31">
        <f>IFERROR(VLOOKUP(E10104,BD!$L$2:$Q$244,2,0),0)</f>
        <v>0</v>
      </c>
      <c r="G10104" s="424"/>
      <c r="H10104" s="31">
        <f>+IFERROR(VLOOKUP(E10104,BD!$L$2:$Q$244,6,0),0)</f>
        <v>0</v>
      </c>
      <c r="I10104" s="626">
        <f>IFERROR(G10104*VLOOKUP($E10104,BD!$L$2:$Q$244,5,0),0)</f>
        <v>0</v>
      </c>
      <c r="J10104" s="3">
        <f t="shared" si="629"/>
        <v>1900</v>
      </c>
    </row>
    <row r="10105" spans="1:10" s="9" customFormat="1" x14ac:dyDescent="0.25">
      <c r="A10105" s="447"/>
      <c r="B10105" s="55" t="str">
        <f t="shared" si="626"/>
        <v>ENERO</v>
      </c>
      <c r="C10105" s="55">
        <f t="shared" si="627"/>
        <v>1</v>
      </c>
      <c r="D10105" s="3" t="str">
        <f t="shared" si="628"/>
        <v>SÁBADO</v>
      </c>
      <c r="E10105" s="427"/>
      <c r="F10105" s="31">
        <f>IFERROR(VLOOKUP(E10105,BD!$L$2:$Q$244,2,0),0)</f>
        <v>0</v>
      </c>
      <c r="G10105" s="424"/>
      <c r="H10105" s="31">
        <f>+IFERROR(VLOOKUP(E10105,BD!$L$2:$Q$244,6,0),0)</f>
        <v>0</v>
      </c>
      <c r="I10105" s="626">
        <f>IFERROR(G10105*VLOOKUP($E10105,BD!$L$2:$Q$244,5,0),0)</f>
        <v>0</v>
      </c>
      <c r="J10105" s="3">
        <f t="shared" si="629"/>
        <v>1900</v>
      </c>
    </row>
    <row r="10106" spans="1:10" s="9" customFormat="1" x14ac:dyDescent="0.25">
      <c r="A10106" s="447"/>
      <c r="B10106" s="55" t="str">
        <f t="shared" si="626"/>
        <v>ENERO</v>
      </c>
      <c r="C10106" s="55">
        <f t="shared" si="627"/>
        <v>1</v>
      </c>
      <c r="D10106" s="3" t="str">
        <f t="shared" si="628"/>
        <v>SÁBADO</v>
      </c>
      <c r="E10106" s="427"/>
      <c r="F10106" s="31">
        <f>IFERROR(VLOOKUP(E10106,BD!$L$2:$Q$244,2,0),0)</f>
        <v>0</v>
      </c>
      <c r="G10106" s="425"/>
      <c r="H10106" s="31">
        <f>+IFERROR(VLOOKUP(E10106,BD!$L$2:$Q$244,6,0),0)</f>
        <v>0</v>
      </c>
      <c r="I10106" s="626">
        <f>IFERROR(G10106*VLOOKUP($E10106,BD!$L$2:$Q$244,5,0),0)</f>
        <v>0</v>
      </c>
      <c r="J10106" s="3">
        <f t="shared" si="629"/>
        <v>1900</v>
      </c>
    </row>
    <row r="10107" spans="1:10" s="9" customFormat="1" x14ac:dyDescent="0.25">
      <c r="A10107" s="447"/>
      <c r="B10107" s="55" t="str">
        <f t="shared" si="626"/>
        <v>ENERO</v>
      </c>
      <c r="C10107" s="55">
        <f t="shared" si="627"/>
        <v>1</v>
      </c>
      <c r="D10107" s="3" t="str">
        <f t="shared" si="628"/>
        <v>SÁBADO</v>
      </c>
      <c r="E10107" s="427"/>
      <c r="F10107" s="31">
        <f>IFERROR(VLOOKUP(E10107,BD!$L$2:$Q$244,2,0),0)</f>
        <v>0</v>
      </c>
      <c r="G10107" s="424"/>
      <c r="H10107" s="31">
        <f>+IFERROR(VLOOKUP(E10107,BD!$L$2:$Q$244,6,0),0)</f>
        <v>0</v>
      </c>
      <c r="I10107" s="626">
        <f>IFERROR(G10107*VLOOKUP($E10107,BD!$L$2:$Q$244,5,0),0)</f>
        <v>0</v>
      </c>
      <c r="J10107" s="3">
        <f t="shared" si="629"/>
        <v>1900</v>
      </c>
    </row>
    <row r="10108" spans="1:10" s="9" customFormat="1" x14ac:dyDescent="0.25">
      <c r="A10108" s="447"/>
      <c r="B10108" s="55" t="str">
        <f t="shared" ref="B10108:B10171" si="630">UPPER(TEXT(A10108,"MMMM"))</f>
        <v>ENERO</v>
      </c>
      <c r="C10108" s="55">
        <f t="shared" ref="C10108:C10171" si="631">WEEKNUM(A10108,16)</f>
        <v>1</v>
      </c>
      <c r="D10108" s="3" t="str">
        <f t="shared" ref="D10108:D10171" si="632">UPPER(TEXT(A10108,"DDDD"))</f>
        <v>SÁBADO</v>
      </c>
      <c r="E10108" s="427"/>
      <c r="F10108" s="31">
        <f>IFERROR(VLOOKUP(E10108,BD!$L$2:$Q$244,2,0),0)</f>
        <v>0</v>
      </c>
      <c r="G10108" s="424"/>
      <c r="H10108" s="31">
        <f>+IFERROR(VLOOKUP(E10108,BD!$L$2:$Q$244,6,0),0)</f>
        <v>0</v>
      </c>
      <c r="I10108" s="626">
        <f>IFERROR(G10108*VLOOKUP($E10108,BD!$L$2:$Q$244,5,0),0)</f>
        <v>0</v>
      </c>
      <c r="J10108" s="3">
        <f t="shared" ref="J10108:J10171" si="633">+YEAR(A10108)</f>
        <v>1900</v>
      </c>
    </row>
    <row r="10109" spans="1:10" s="9" customFormat="1" x14ac:dyDescent="0.25">
      <c r="A10109" s="447"/>
      <c r="B10109" s="55" t="str">
        <f t="shared" si="630"/>
        <v>ENERO</v>
      </c>
      <c r="C10109" s="55">
        <f t="shared" si="631"/>
        <v>1</v>
      </c>
      <c r="D10109" s="3" t="str">
        <f t="shared" si="632"/>
        <v>SÁBADO</v>
      </c>
      <c r="E10109" s="427"/>
      <c r="F10109" s="31">
        <f>IFERROR(VLOOKUP(E10109,BD!$L$2:$Q$244,2,0),0)</f>
        <v>0</v>
      </c>
      <c r="G10109" s="424"/>
      <c r="H10109" s="31">
        <f>+IFERROR(VLOOKUP(E10109,BD!$L$2:$Q$244,6,0),0)</f>
        <v>0</v>
      </c>
      <c r="I10109" s="626">
        <f>IFERROR(G10109*VLOOKUP($E10109,BD!$L$2:$Q$244,5,0),0)</f>
        <v>0</v>
      </c>
      <c r="J10109" s="3">
        <f t="shared" si="633"/>
        <v>1900</v>
      </c>
    </row>
    <row r="10110" spans="1:10" s="9" customFormat="1" x14ac:dyDescent="0.25">
      <c r="A10110" s="447"/>
      <c r="B10110" s="55" t="str">
        <f t="shared" si="630"/>
        <v>ENERO</v>
      </c>
      <c r="C10110" s="55">
        <f t="shared" si="631"/>
        <v>1</v>
      </c>
      <c r="D10110" s="3" t="str">
        <f t="shared" si="632"/>
        <v>SÁBADO</v>
      </c>
      <c r="E10110" s="427"/>
      <c r="F10110" s="31">
        <f>IFERROR(VLOOKUP(E10110,BD!$L$2:$Q$244,2,0),0)</f>
        <v>0</v>
      </c>
      <c r="G10110" s="424"/>
      <c r="H10110" s="31">
        <f>+IFERROR(VLOOKUP(E10110,BD!$L$2:$Q$244,6,0),0)</f>
        <v>0</v>
      </c>
      <c r="I10110" s="626">
        <f>IFERROR(G10110*VLOOKUP($E10110,BD!$L$2:$Q$244,5,0),0)</f>
        <v>0</v>
      </c>
      <c r="J10110" s="3">
        <f t="shared" si="633"/>
        <v>1900</v>
      </c>
    </row>
    <row r="10111" spans="1:10" s="9" customFormat="1" x14ac:dyDescent="0.25">
      <c r="A10111" s="447"/>
      <c r="B10111" s="55" t="str">
        <f t="shared" si="630"/>
        <v>ENERO</v>
      </c>
      <c r="C10111" s="55">
        <f t="shared" si="631"/>
        <v>1</v>
      </c>
      <c r="D10111" s="3" t="str">
        <f t="shared" si="632"/>
        <v>SÁBADO</v>
      </c>
      <c r="E10111" s="427"/>
      <c r="F10111" s="31">
        <f>IFERROR(VLOOKUP(E10111,BD!$L$2:$Q$244,2,0),0)</f>
        <v>0</v>
      </c>
      <c r="G10111" s="424"/>
      <c r="H10111" s="31">
        <f>+IFERROR(VLOOKUP(E10111,BD!$L$2:$Q$244,6,0),0)</f>
        <v>0</v>
      </c>
      <c r="I10111" s="626">
        <f>IFERROR(G10111*VLOOKUP($E10111,BD!$L$2:$Q$244,5,0),0)</f>
        <v>0</v>
      </c>
      <c r="J10111" s="3">
        <f t="shared" si="633"/>
        <v>1900</v>
      </c>
    </row>
    <row r="10112" spans="1:10" s="9" customFormat="1" x14ac:dyDescent="0.25">
      <c r="A10112" s="447"/>
      <c r="B10112" s="55" t="str">
        <f t="shared" si="630"/>
        <v>ENERO</v>
      </c>
      <c r="C10112" s="55">
        <f t="shared" si="631"/>
        <v>1</v>
      </c>
      <c r="D10112" s="3" t="str">
        <f t="shared" si="632"/>
        <v>SÁBADO</v>
      </c>
      <c r="E10112" s="427"/>
      <c r="F10112" s="31">
        <f>IFERROR(VLOOKUP(E10112,BD!$L$2:$Q$244,2,0),0)</f>
        <v>0</v>
      </c>
      <c r="G10112" s="424"/>
      <c r="H10112" s="31">
        <f>+IFERROR(VLOOKUP(E10112,BD!$L$2:$Q$244,6,0),0)</f>
        <v>0</v>
      </c>
      <c r="I10112" s="626">
        <f>IFERROR(G10112*VLOOKUP($E10112,BD!$L$2:$Q$244,5,0),0)</f>
        <v>0</v>
      </c>
      <c r="J10112" s="3">
        <f t="shared" si="633"/>
        <v>1900</v>
      </c>
    </row>
    <row r="10113" spans="1:10" s="9" customFormat="1" x14ac:dyDescent="0.25">
      <c r="A10113" s="447"/>
      <c r="B10113" s="55" t="str">
        <f t="shared" si="630"/>
        <v>ENERO</v>
      </c>
      <c r="C10113" s="55">
        <f t="shared" si="631"/>
        <v>1</v>
      </c>
      <c r="D10113" s="3" t="str">
        <f t="shared" si="632"/>
        <v>SÁBADO</v>
      </c>
      <c r="E10113" s="427"/>
      <c r="F10113" s="31">
        <f>IFERROR(VLOOKUP(E10113,BD!$L$2:$Q$244,2,0),0)</f>
        <v>0</v>
      </c>
      <c r="G10113" s="424"/>
      <c r="H10113" s="31">
        <f>+IFERROR(VLOOKUP(E10113,BD!$L$2:$Q$244,6,0),0)</f>
        <v>0</v>
      </c>
      <c r="I10113" s="626">
        <f>IFERROR(G10113*VLOOKUP($E10113,BD!$L$2:$Q$244,5,0),0)</f>
        <v>0</v>
      </c>
      <c r="J10113" s="3">
        <f t="shared" si="633"/>
        <v>1900</v>
      </c>
    </row>
    <row r="10114" spans="1:10" s="9" customFormat="1" x14ac:dyDescent="0.25">
      <c r="A10114" s="447"/>
      <c r="B10114" s="55" t="str">
        <f t="shared" si="630"/>
        <v>ENERO</v>
      </c>
      <c r="C10114" s="55">
        <f t="shared" si="631"/>
        <v>1</v>
      </c>
      <c r="D10114" s="3" t="str">
        <f t="shared" si="632"/>
        <v>SÁBADO</v>
      </c>
      <c r="E10114" s="427"/>
      <c r="F10114" s="31">
        <f>IFERROR(VLOOKUP(E10114,BD!$L$2:$Q$244,2,0),0)</f>
        <v>0</v>
      </c>
      <c r="G10114" s="424"/>
      <c r="H10114" s="31">
        <f>+IFERROR(VLOOKUP(E10114,BD!$L$2:$Q$244,6,0),0)</f>
        <v>0</v>
      </c>
      <c r="I10114" s="626">
        <f>IFERROR(G10114*VLOOKUP($E10114,BD!$L$2:$Q$244,5,0),0)</f>
        <v>0</v>
      </c>
      <c r="J10114" s="3">
        <f t="shared" si="633"/>
        <v>1900</v>
      </c>
    </row>
    <row r="10115" spans="1:10" s="9" customFormat="1" x14ac:dyDescent="0.25">
      <c r="A10115" s="447"/>
      <c r="B10115" s="55" t="str">
        <f t="shared" si="630"/>
        <v>ENERO</v>
      </c>
      <c r="C10115" s="55">
        <f t="shared" si="631"/>
        <v>1</v>
      </c>
      <c r="D10115" s="3" t="str">
        <f t="shared" si="632"/>
        <v>SÁBADO</v>
      </c>
      <c r="E10115" s="427"/>
      <c r="F10115" s="31">
        <f>IFERROR(VLOOKUP(E10115,BD!$L$2:$Q$244,2,0),0)</f>
        <v>0</v>
      </c>
      <c r="G10115" s="424"/>
      <c r="H10115" s="31">
        <f>+IFERROR(VLOOKUP(E10115,BD!$L$2:$Q$244,6,0),0)</f>
        <v>0</v>
      </c>
      <c r="I10115" s="626">
        <f>IFERROR(G10115*VLOOKUP($E10115,BD!$L$2:$Q$244,5,0),0)</f>
        <v>0</v>
      </c>
      <c r="J10115" s="3">
        <f t="shared" si="633"/>
        <v>1900</v>
      </c>
    </row>
    <row r="10116" spans="1:10" s="9" customFormat="1" x14ac:dyDescent="0.25">
      <c r="A10116" s="447"/>
      <c r="B10116" s="55" t="str">
        <f t="shared" si="630"/>
        <v>ENERO</v>
      </c>
      <c r="C10116" s="55">
        <f t="shared" si="631"/>
        <v>1</v>
      </c>
      <c r="D10116" s="3" t="str">
        <f t="shared" si="632"/>
        <v>SÁBADO</v>
      </c>
      <c r="E10116" s="427"/>
      <c r="F10116" s="31">
        <f>IFERROR(VLOOKUP(E10116,BD!$L$2:$Q$244,2,0),0)</f>
        <v>0</v>
      </c>
      <c r="G10116" s="424"/>
      <c r="H10116" s="31">
        <f>+IFERROR(VLOOKUP(E10116,BD!$L$2:$Q$244,6,0),0)</f>
        <v>0</v>
      </c>
      <c r="I10116" s="626">
        <f>IFERROR(G10116*VLOOKUP($E10116,BD!$L$2:$Q$244,5,0),0)</f>
        <v>0</v>
      </c>
      <c r="J10116" s="3">
        <f t="shared" si="633"/>
        <v>1900</v>
      </c>
    </row>
    <row r="10117" spans="1:10" s="9" customFormat="1" x14ac:dyDescent="0.25">
      <c r="A10117" s="447"/>
      <c r="B10117" s="55" t="str">
        <f t="shared" si="630"/>
        <v>ENERO</v>
      </c>
      <c r="C10117" s="55">
        <f t="shared" si="631"/>
        <v>1</v>
      </c>
      <c r="D10117" s="3" t="str">
        <f t="shared" si="632"/>
        <v>SÁBADO</v>
      </c>
      <c r="E10117" s="427"/>
      <c r="F10117" s="31">
        <f>IFERROR(VLOOKUP(E10117,BD!$L$2:$Q$244,2,0),0)</f>
        <v>0</v>
      </c>
      <c r="G10117" s="424"/>
      <c r="H10117" s="31">
        <f>+IFERROR(VLOOKUP(E10117,BD!$L$2:$Q$244,6,0),0)</f>
        <v>0</v>
      </c>
      <c r="I10117" s="626">
        <f>IFERROR(G10117*VLOOKUP($E10117,BD!$L$2:$Q$244,5,0),0)</f>
        <v>0</v>
      </c>
      <c r="J10117" s="3">
        <f t="shared" si="633"/>
        <v>1900</v>
      </c>
    </row>
    <row r="10118" spans="1:10" s="9" customFormat="1" x14ac:dyDescent="0.25">
      <c r="A10118" s="447"/>
      <c r="B10118" s="55" t="str">
        <f t="shared" si="630"/>
        <v>ENERO</v>
      </c>
      <c r="C10118" s="55">
        <f t="shared" si="631"/>
        <v>1</v>
      </c>
      <c r="D10118" s="3" t="str">
        <f t="shared" si="632"/>
        <v>SÁBADO</v>
      </c>
      <c r="E10118" s="427"/>
      <c r="F10118" s="31">
        <f>IFERROR(VLOOKUP(E10118,BD!$L$2:$Q$244,2,0),0)</f>
        <v>0</v>
      </c>
      <c r="G10118" s="424"/>
      <c r="H10118" s="31">
        <f>+IFERROR(VLOOKUP(E10118,BD!$L$2:$Q$244,6,0),0)</f>
        <v>0</v>
      </c>
      <c r="I10118" s="626">
        <f>IFERROR(G10118*VLOOKUP($E10118,BD!$L$2:$Q$244,5,0),0)</f>
        <v>0</v>
      </c>
      <c r="J10118" s="3">
        <f t="shared" si="633"/>
        <v>1900</v>
      </c>
    </row>
    <row r="10119" spans="1:10" s="9" customFormat="1" x14ac:dyDescent="0.25">
      <c r="A10119" s="447"/>
      <c r="B10119" s="55" t="str">
        <f t="shared" si="630"/>
        <v>ENERO</v>
      </c>
      <c r="C10119" s="55">
        <f t="shared" si="631"/>
        <v>1</v>
      </c>
      <c r="D10119" s="3" t="str">
        <f t="shared" si="632"/>
        <v>SÁBADO</v>
      </c>
      <c r="E10119" s="427"/>
      <c r="F10119" s="31">
        <f>IFERROR(VLOOKUP(E10119,BD!$L$2:$Q$244,2,0),0)</f>
        <v>0</v>
      </c>
      <c r="G10119" s="424"/>
      <c r="H10119" s="31">
        <f>+IFERROR(VLOOKUP(E10119,BD!$L$2:$Q$244,6,0),0)</f>
        <v>0</v>
      </c>
      <c r="I10119" s="626">
        <f>IFERROR(G10119*VLOOKUP($E10119,BD!$L$2:$Q$244,5,0),0)</f>
        <v>0</v>
      </c>
      <c r="J10119" s="3">
        <f t="shared" si="633"/>
        <v>1900</v>
      </c>
    </row>
    <row r="10120" spans="1:10" s="9" customFormat="1" x14ac:dyDescent="0.25">
      <c r="A10120" s="447"/>
      <c r="B10120" s="55" t="str">
        <f t="shared" si="630"/>
        <v>ENERO</v>
      </c>
      <c r="C10120" s="55">
        <f t="shared" si="631"/>
        <v>1</v>
      </c>
      <c r="D10120" s="3" t="str">
        <f t="shared" si="632"/>
        <v>SÁBADO</v>
      </c>
      <c r="E10120" s="427"/>
      <c r="F10120" s="31">
        <f>IFERROR(VLOOKUP(E10120,BD!$L$2:$Q$244,2,0),0)</f>
        <v>0</v>
      </c>
      <c r="G10120" s="425"/>
      <c r="H10120" s="31">
        <f>+IFERROR(VLOOKUP(E10120,BD!$L$2:$Q$244,6,0),0)</f>
        <v>0</v>
      </c>
      <c r="I10120" s="626">
        <f>IFERROR(G10120*VLOOKUP($E10120,BD!$L$2:$Q$244,5,0),0)</f>
        <v>0</v>
      </c>
      <c r="J10120" s="3">
        <f t="shared" si="633"/>
        <v>1900</v>
      </c>
    </row>
    <row r="10121" spans="1:10" s="9" customFormat="1" x14ac:dyDescent="0.25">
      <c r="A10121" s="447"/>
      <c r="B10121" s="55" t="str">
        <f t="shared" si="630"/>
        <v>ENERO</v>
      </c>
      <c r="C10121" s="55">
        <f t="shared" si="631"/>
        <v>1</v>
      </c>
      <c r="D10121" s="3" t="str">
        <f t="shared" si="632"/>
        <v>SÁBADO</v>
      </c>
      <c r="E10121" s="427"/>
      <c r="F10121" s="31">
        <f>IFERROR(VLOOKUP(E10121,BD!$L$2:$Q$244,2,0),0)</f>
        <v>0</v>
      </c>
      <c r="G10121" s="424"/>
      <c r="H10121" s="31">
        <f>+IFERROR(VLOOKUP(E10121,BD!$L$2:$Q$244,6,0),0)</f>
        <v>0</v>
      </c>
      <c r="I10121" s="626">
        <f>IFERROR(G10121*VLOOKUP($E10121,BD!$L$2:$Q$244,5,0),0)</f>
        <v>0</v>
      </c>
      <c r="J10121" s="3">
        <f t="shared" si="633"/>
        <v>1900</v>
      </c>
    </row>
    <row r="10122" spans="1:10" s="9" customFormat="1" x14ac:dyDescent="0.25">
      <c r="A10122" s="447"/>
      <c r="B10122" s="55" t="str">
        <f t="shared" si="630"/>
        <v>ENERO</v>
      </c>
      <c r="C10122" s="55">
        <f t="shared" si="631"/>
        <v>1</v>
      </c>
      <c r="D10122" s="3" t="str">
        <f t="shared" si="632"/>
        <v>SÁBADO</v>
      </c>
      <c r="E10122" s="427"/>
      <c r="F10122" s="31">
        <f>IFERROR(VLOOKUP(E10122,BD!$L$2:$Q$244,2,0),0)</f>
        <v>0</v>
      </c>
      <c r="G10122" s="424"/>
      <c r="H10122" s="31">
        <f>+IFERROR(VLOOKUP(E10122,BD!$L$2:$Q$244,6,0),0)</f>
        <v>0</v>
      </c>
      <c r="I10122" s="626">
        <f>IFERROR(G10122*VLOOKUP($E10122,BD!$L$2:$Q$244,5,0),0)</f>
        <v>0</v>
      </c>
      <c r="J10122" s="3">
        <f t="shared" si="633"/>
        <v>1900</v>
      </c>
    </row>
    <row r="10123" spans="1:10" s="9" customFormat="1" x14ac:dyDescent="0.25">
      <c r="A10123" s="447"/>
      <c r="B10123" s="55" t="str">
        <f t="shared" si="630"/>
        <v>ENERO</v>
      </c>
      <c r="C10123" s="55">
        <f t="shared" si="631"/>
        <v>1</v>
      </c>
      <c r="D10123" s="3" t="str">
        <f t="shared" si="632"/>
        <v>SÁBADO</v>
      </c>
      <c r="E10123" s="427"/>
      <c r="F10123" s="31">
        <f>IFERROR(VLOOKUP(E10123,BD!$L$2:$Q$244,2,0),0)</f>
        <v>0</v>
      </c>
      <c r="G10123" s="424"/>
      <c r="H10123" s="31">
        <f>+IFERROR(VLOOKUP(E10123,BD!$L$2:$Q$244,6,0),0)</f>
        <v>0</v>
      </c>
      <c r="I10123" s="626">
        <f>IFERROR(G10123*VLOOKUP($E10123,BD!$L$2:$Q$244,5,0),0)</f>
        <v>0</v>
      </c>
      <c r="J10123" s="3">
        <f t="shared" si="633"/>
        <v>1900</v>
      </c>
    </row>
    <row r="10124" spans="1:10" s="9" customFormat="1" x14ac:dyDescent="0.25">
      <c r="A10124" s="447"/>
      <c r="B10124" s="55" t="str">
        <f t="shared" si="630"/>
        <v>ENERO</v>
      </c>
      <c r="C10124" s="55">
        <f t="shared" si="631"/>
        <v>1</v>
      </c>
      <c r="D10124" s="3" t="str">
        <f t="shared" si="632"/>
        <v>SÁBADO</v>
      </c>
      <c r="E10124" s="427"/>
      <c r="F10124" s="31">
        <f>IFERROR(VLOOKUP(E10124,BD!$L$2:$Q$244,2,0),0)</f>
        <v>0</v>
      </c>
      <c r="G10124" s="424"/>
      <c r="H10124" s="31">
        <f>+IFERROR(VLOOKUP(E10124,BD!$L$2:$Q$244,6,0),0)</f>
        <v>0</v>
      </c>
      <c r="I10124" s="626">
        <f>IFERROR(G10124*VLOOKUP($E10124,BD!$L$2:$Q$244,5,0),0)</f>
        <v>0</v>
      </c>
      <c r="J10124" s="3">
        <f t="shared" si="633"/>
        <v>1900</v>
      </c>
    </row>
    <row r="10125" spans="1:10" s="9" customFormat="1" x14ac:dyDescent="0.25">
      <c r="A10125" s="447"/>
      <c r="B10125" s="55" t="str">
        <f t="shared" si="630"/>
        <v>ENERO</v>
      </c>
      <c r="C10125" s="55">
        <f t="shared" si="631"/>
        <v>1</v>
      </c>
      <c r="D10125" s="3" t="str">
        <f t="shared" si="632"/>
        <v>SÁBADO</v>
      </c>
      <c r="E10125" s="427"/>
      <c r="F10125" s="31">
        <f>IFERROR(VLOOKUP(E10125,BD!$L$2:$Q$244,2,0),0)</f>
        <v>0</v>
      </c>
      <c r="G10125" s="424"/>
      <c r="H10125" s="31">
        <f>+IFERROR(VLOOKUP(E10125,BD!$L$2:$Q$244,6,0),0)</f>
        <v>0</v>
      </c>
      <c r="I10125" s="626">
        <f>IFERROR(G10125*VLOOKUP($E10125,BD!$L$2:$Q$244,5,0),0)</f>
        <v>0</v>
      </c>
      <c r="J10125" s="3">
        <f t="shared" si="633"/>
        <v>1900</v>
      </c>
    </row>
    <row r="10126" spans="1:10" s="9" customFormat="1" x14ac:dyDescent="0.25">
      <c r="A10126" s="447"/>
      <c r="B10126" s="55" t="str">
        <f t="shared" si="630"/>
        <v>ENERO</v>
      </c>
      <c r="C10126" s="55">
        <f t="shared" si="631"/>
        <v>1</v>
      </c>
      <c r="D10126" s="3" t="str">
        <f t="shared" si="632"/>
        <v>SÁBADO</v>
      </c>
      <c r="E10126" s="427"/>
      <c r="F10126" s="31">
        <f>IFERROR(VLOOKUP(E10126,BD!$L$2:$Q$244,2,0),0)</f>
        <v>0</v>
      </c>
      <c r="G10126" s="424"/>
      <c r="H10126" s="31">
        <f>+IFERROR(VLOOKUP(E10126,BD!$L$2:$Q$244,6,0),0)</f>
        <v>0</v>
      </c>
      <c r="I10126" s="626">
        <f>IFERROR(G10126*VLOOKUP($E10126,BD!$L$2:$Q$244,5,0),0)</f>
        <v>0</v>
      </c>
      <c r="J10126" s="3">
        <f t="shared" si="633"/>
        <v>1900</v>
      </c>
    </row>
    <row r="10127" spans="1:10" s="9" customFormat="1" x14ac:dyDescent="0.25">
      <c r="A10127" s="447"/>
      <c r="B10127" s="55" t="str">
        <f t="shared" si="630"/>
        <v>ENERO</v>
      </c>
      <c r="C10127" s="55">
        <f t="shared" si="631"/>
        <v>1</v>
      </c>
      <c r="D10127" s="3" t="str">
        <f t="shared" si="632"/>
        <v>SÁBADO</v>
      </c>
      <c r="E10127" s="427"/>
      <c r="F10127" s="31">
        <f>IFERROR(VLOOKUP(E10127,BD!$L$2:$Q$244,2,0),0)</f>
        <v>0</v>
      </c>
      <c r="G10127" s="424"/>
      <c r="H10127" s="31">
        <f>+IFERROR(VLOOKUP(E10127,BD!$L$2:$Q$244,6,0),0)</f>
        <v>0</v>
      </c>
      <c r="I10127" s="626">
        <f>IFERROR(G10127*VLOOKUP($E10127,BD!$L$2:$Q$244,5,0),0)</f>
        <v>0</v>
      </c>
      <c r="J10127" s="3">
        <f t="shared" si="633"/>
        <v>1900</v>
      </c>
    </row>
    <row r="10128" spans="1:10" s="9" customFormat="1" x14ac:dyDescent="0.25">
      <c r="A10128" s="447"/>
      <c r="B10128" s="55" t="str">
        <f t="shared" si="630"/>
        <v>ENERO</v>
      </c>
      <c r="C10128" s="55">
        <f t="shared" si="631"/>
        <v>1</v>
      </c>
      <c r="D10128" s="3" t="str">
        <f t="shared" si="632"/>
        <v>SÁBADO</v>
      </c>
      <c r="E10128" s="427"/>
      <c r="F10128" s="31">
        <f>IFERROR(VLOOKUP(E10128,BD!$L$2:$Q$244,2,0),0)</f>
        <v>0</v>
      </c>
      <c r="G10128" s="424"/>
      <c r="H10128" s="31">
        <f>+IFERROR(VLOOKUP(E10128,BD!$L$2:$Q$244,6,0),0)</f>
        <v>0</v>
      </c>
      <c r="I10128" s="626">
        <f>IFERROR(G10128*VLOOKUP($E10128,BD!$L$2:$Q$244,5,0),0)</f>
        <v>0</v>
      </c>
      <c r="J10128" s="3">
        <f t="shared" si="633"/>
        <v>1900</v>
      </c>
    </row>
    <row r="10129" spans="1:10" s="9" customFormat="1" x14ac:dyDescent="0.25">
      <c r="A10129" s="447"/>
      <c r="B10129" s="55" t="str">
        <f t="shared" si="630"/>
        <v>ENERO</v>
      </c>
      <c r="C10129" s="55">
        <f t="shared" si="631"/>
        <v>1</v>
      </c>
      <c r="D10129" s="3" t="str">
        <f t="shared" si="632"/>
        <v>SÁBADO</v>
      </c>
      <c r="E10129" s="427"/>
      <c r="F10129" s="31">
        <f>IFERROR(VLOOKUP(E10129,BD!$L$2:$Q$244,2,0),0)</f>
        <v>0</v>
      </c>
      <c r="G10129" s="424"/>
      <c r="H10129" s="31">
        <f>+IFERROR(VLOOKUP(E10129,BD!$L$2:$Q$244,6,0),0)</f>
        <v>0</v>
      </c>
      <c r="I10129" s="626">
        <f>IFERROR(G10129*VLOOKUP($E10129,BD!$L$2:$Q$244,5,0),0)</f>
        <v>0</v>
      </c>
      <c r="J10129" s="3">
        <f t="shared" si="633"/>
        <v>1900</v>
      </c>
    </row>
    <row r="10130" spans="1:10" s="9" customFormat="1" x14ac:dyDescent="0.25">
      <c r="A10130" s="447"/>
      <c r="B10130" s="55" t="str">
        <f t="shared" si="630"/>
        <v>ENERO</v>
      </c>
      <c r="C10130" s="55">
        <f t="shared" si="631"/>
        <v>1</v>
      </c>
      <c r="D10130" s="3" t="str">
        <f t="shared" si="632"/>
        <v>SÁBADO</v>
      </c>
      <c r="E10130" s="427"/>
      <c r="F10130" s="31">
        <f>IFERROR(VLOOKUP(E10130,BD!$L$2:$Q$244,2,0),0)</f>
        <v>0</v>
      </c>
      <c r="G10130" s="424"/>
      <c r="H10130" s="31">
        <f>+IFERROR(VLOOKUP(E10130,BD!$L$2:$Q$244,6,0),0)</f>
        <v>0</v>
      </c>
      <c r="I10130" s="626">
        <f>IFERROR(G10130*VLOOKUP($E10130,BD!$L$2:$Q$244,5,0),0)</f>
        <v>0</v>
      </c>
      <c r="J10130" s="3">
        <f t="shared" si="633"/>
        <v>1900</v>
      </c>
    </row>
    <row r="10131" spans="1:10" s="9" customFormat="1" x14ac:dyDescent="0.25">
      <c r="A10131" s="447"/>
      <c r="B10131" s="55" t="str">
        <f t="shared" si="630"/>
        <v>ENERO</v>
      </c>
      <c r="C10131" s="55">
        <f t="shared" si="631"/>
        <v>1</v>
      </c>
      <c r="D10131" s="3" t="str">
        <f t="shared" si="632"/>
        <v>SÁBADO</v>
      </c>
      <c r="E10131" s="427"/>
      <c r="F10131" s="31">
        <f>IFERROR(VLOOKUP(E10131,BD!$L$2:$Q$244,2,0),0)</f>
        <v>0</v>
      </c>
      <c r="G10131" s="424"/>
      <c r="H10131" s="31">
        <f>+IFERROR(VLOOKUP(E10131,BD!$L$2:$Q$244,6,0),0)</f>
        <v>0</v>
      </c>
      <c r="I10131" s="626">
        <f>IFERROR(G10131*VLOOKUP($E10131,BD!$L$2:$Q$244,5,0),0)</f>
        <v>0</v>
      </c>
      <c r="J10131" s="3">
        <f t="shared" si="633"/>
        <v>1900</v>
      </c>
    </row>
    <row r="10132" spans="1:10" s="9" customFormat="1" x14ac:dyDescent="0.25">
      <c r="A10132" s="447"/>
      <c r="B10132" s="55" t="str">
        <f t="shared" si="630"/>
        <v>ENERO</v>
      </c>
      <c r="C10132" s="55">
        <f t="shared" si="631"/>
        <v>1</v>
      </c>
      <c r="D10132" s="3" t="str">
        <f t="shared" si="632"/>
        <v>SÁBADO</v>
      </c>
      <c r="E10132" s="427"/>
      <c r="F10132" s="31">
        <f>IFERROR(VLOOKUP(E10132,BD!$L$2:$Q$244,2,0),0)</f>
        <v>0</v>
      </c>
      <c r="G10132" s="424"/>
      <c r="H10132" s="31">
        <f>+IFERROR(VLOOKUP(E10132,BD!$L$2:$Q$244,6,0),0)</f>
        <v>0</v>
      </c>
      <c r="I10132" s="626">
        <f>IFERROR(G10132*VLOOKUP($E10132,BD!$L$2:$Q$244,5,0),0)</f>
        <v>0</v>
      </c>
      <c r="J10132" s="3">
        <f t="shared" si="633"/>
        <v>1900</v>
      </c>
    </row>
    <row r="10133" spans="1:10" s="9" customFormat="1" x14ac:dyDescent="0.25">
      <c r="A10133" s="447"/>
      <c r="B10133" s="55" t="str">
        <f t="shared" si="630"/>
        <v>ENERO</v>
      </c>
      <c r="C10133" s="55">
        <f t="shared" si="631"/>
        <v>1</v>
      </c>
      <c r="D10133" s="3" t="str">
        <f t="shared" si="632"/>
        <v>SÁBADO</v>
      </c>
      <c r="E10133" s="427"/>
      <c r="F10133" s="31">
        <f>IFERROR(VLOOKUP(E10133,BD!$L$2:$Q$244,2,0),0)</f>
        <v>0</v>
      </c>
      <c r="G10133" s="424"/>
      <c r="H10133" s="31">
        <f>+IFERROR(VLOOKUP(E10133,BD!$L$2:$Q$244,6,0),0)</f>
        <v>0</v>
      </c>
      <c r="I10133" s="626">
        <f>IFERROR(G10133*VLOOKUP($E10133,BD!$L$2:$Q$244,5,0),0)</f>
        <v>0</v>
      </c>
      <c r="J10133" s="3">
        <f t="shared" si="633"/>
        <v>1900</v>
      </c>
    </row>
    <row r="10134" spans="1:10" s="9" customFormat="1" x14ac:dyDescent="0.25">
      <c r="A10134" s="447"/>
      <c r="B10134" s="55" t="str">
        <f t="shared" si="630"/>
        <v>ENERO</v>
      </c>
      <c r="C10134" s="55">
        <f t="shared" si="631"/>
        <v>1</v>
      </c>
      <c r="D10134" s="3" t="str">
        <f t="shared" si="632"/>
        <v>SÁBADO</v>
      </c>
      <c r="E10134" s="427"/>
      <c r="F10134" s="31">
        <f>IFERROR(VLOOKUP(E10134,BD!$L$2:$Q$244,2,0),0)</f>
        <v>0</v>
      </c>
      <c r="G10134" s="425"/>
      <c r="H10134" s="31">
        <f>+IFERROR(VLOOKUP(E10134,BD!$L$2:$Q$244,6,0),0)</f>
        <v>0</v>
      </c>
      <c r="I10134" s="626">
        <f>IFERROR(G10134*VLOOKUP($E10134,BD!$L$2:$Q$244,5,0),0)</f>
        <v>0</v>
      </c>
      <c r="J10134" s="3">
        <f t="shared" si="633"/>
        <v>1900</v>
      </c>
    </row>
    <row r="10135" spans="1:10" s="9" customFormat="1" x14ac:dyDescent="0.25">
      <c r="A10135" s="447"/>
      <c r="B10135" s="55" t="str">
        <f t="shared" si="630"/>
        <v>ENERO</v>
      </c>
      <c r="C10135" s="55">
        <f t="shared" si="631"/>
        <v>1</v>
      </c>
      <c r="D10135" s="3" t="str">
        <f t="shared" si="632"/>
        <v>SÁBADO</v>
      </c>
      <c r="E10135" s="427"/>
      <c r="F10135" s="31">
        <f>IFERROR(VLOOKUP(E10135,BD!$L$2:$Q$244,2,0),0)</f>
        <v>0</v>
      </c>
      <c r="G10135" s="424"/>
      <c r="H10135" s="31">
        <f>+IFERROR(VLOOKUP(E10135,BD!$L$2:$Q$244,6,0),0)</f>
        <v>0</v>
      </c>
      <c r="I10135" s="626">
        <f>IFERROR(G10135*VLOOKUP($E10135,BD!$L$2:$Q$244,5,0),0)</f>
        <v>0</v>
      </c>
      <c r="J10135" s="3">
        <f t="shared" si="633"/>
        <v>1900</v>
      </c>
    </row>
    <row r="10136" spans="1:10" s="9" customFormat="1" x14ac:dyDescent="0.25">
      <c r="A10136" s="447"/>
      <c r="B10136" s="55" t="str">
        <f t="shared" si="630"/>
        <v>ENERO</v>
      </c>
      <c r="C10136" s="55">
        <f t="shared" si="631"/>
        <v>1</v>
      </c>
      <c r="D10136" s="3" t="str">
        <f t="shared" si="632"/>
        <v>SÁBADO</v>
      </c>
      <c r="E10136" s="427"/>
      <c r="F10136" s="31">
        <f>IFERROR(VLOOKUP(E10136,BD!$L$2:$Q$244,2,0),0)</f>
        <v>0</v>
      </c>
      <c r="G10136" s="424"/>
      <c r="H10136" s="31">
        <f>+IFERROR(VLOOKUP(E10136,BD!$L$2:$Q$244,6,0),0)</f>
        <v>0</v>
      </c>
      <c r="I10136" s="626">
        <f>IFERROR(G10136*VLOOKUP($E10136,BD!$L$2:$Q$244,5,0),0)</f>
        <v>0</v>
      </c>
      <c r="J10136" s="3">
        <f t="shared" si="633"/>
        <v>1900</v>
      </c>
    </row>
    <row r="10137" spans="1:10" s="9" customFormat="1" x14ac:dyDescent="0.25">
      <c r="A10137" s="447"/>
      <c r="B10137" s="55" t="str">
        <f t="shared" si="630"/>
        <v>ENERO</v>
      </c>
      <c r="C10137" s="55">
        <f t="shared" si="631"/>
        <v>1</v>
      </c>
      <c r="D10137" s="3" t="str">
        <f t="shared" si="632"/>
        <v>SÁBADO</v>
      </c>
      <c r="E10137" s="427"/>
      <c r="F10137" s="31">
        <f>IFERROR(VLOOKUP(E10137,BD!$L$2:$Q$244,2,0),0)</f>
        <v>0</v>
      </c>
      <c r="G10137" s="424"/>
      <c r="H10137" s="31">
        <f>+IFERROR(VLOOKUP(E10137,BD!$L$2:$Q$244,6,0),0)</f>
        <v>0</v>
      </c>
      <c r="I10137" s="626">
        <f>IFERROR(G10137*VLOOKUP($E10137,BD!$L$2:$Q$244,5,0),0)</f>
        <v>0</v>
      </c>
      <c r="J10137" s="3">
        <f t="shared" si="633"/>
        <v>1900</v>
      </c>
    </row>
    <row r="10138" spans="1:10" s="9" customFormat="1" x14ac:dyDescent="0.25">
      <c r="A10138" s="447"/>
      <c r="B10138" s="55" t="str">
        <f t="shared" si="630"/>
        <v>ENERO</v>
      </c>
      <c r="C10138" s="55">
        <f t="shared" si="631"/>
        <v>1</v>
      </c>
      <c r="D10138" s="3" t="str">
        <f t="shared" si="632"/>
        <v>SÁBADO</v>
      </c>
      <c r="E10138" s="427"/>
      <c r="F10138" s="31">
        <f>IFERROR(VLOOKUP(E10138,BD!$L$2:$Q$244,2,0),0)</f>
        <v>0</v>
      </c>
      <c r="G10138" s="424"/>
      <c r="H10138" s="31">
        <f>+IFERROR(VLOOKUP(E10138,BD!$L$2:$Q$244,6,0),0)</f>
        <v>0</v>
      </c>
      <c r="I10138" s="626">
        <f>IFERROR(G10138*VLOOKUP($E10138,BD!$L$2:$Q$244,5,0),0)</f>
        <v>0</v>
      </c>
      <c r="J10138" s="3">
        <f t="shared" si="633"/>
        <v>1900</v>
      </c>
    </row>
    <row r="10139" spans="1:10" s="9" customFormat="1" x14ac:dyDescent="0.25">
      <c r="A10139" s="447"/>
      <c r="B10139" s="55" t="str">
        <f t="shared" si="630"/>
        <v>ENERO</v>
      </c>
      <c r="C10139" s="55">
        <f t="shared" si="631"/>
        <v>1</v>
      </c>
      <c r="D10139" s="3" t="str">
        <f t="shared" si="632"/>
        <v>SÁBADO</v>
      </c>
      <c r="E10139" s="427"/>
      <c r="F10139" s="31">
        <f>IFERROR(VLOOKUP(E10139,BD!$L$2:$Q$244,2,0),0)</f>
        <v>0</v>
      </c>
      <c r="G10139" s="424"/>
      <c r="H10139" s="31">
        <f>+IFERROR(VLOOKUP(E10139,BD!$L$2:$Q$244,6,0),0)</f>
        <v>0</v>
      </c>
      <c r="I10139" s="626">
        <f>IFERROR(G10139*VLOOKUP($E10139,BD!$L$2:$Q$244,5,0),0)</f>
        <v>0</v>
      </c>
      <c r="J10139" s="3">
        <f t="shared" si="633"/>
        <v>1900</v>
      </c>
    </row>
    <row r="10140" spans="1:10" s="9" customFormat="1" x14ac:dyDescent="0.25">
      <c r="A10140" s="447"/>
      <c r="B10140" s="55" t="str">
        <f t="shared" si="630"/>
        <v>ENERO</v>
      </c>
      <c r="C10140" s="55">
        <f t="shared" si="631"/>
        <v>1</v>
      </c>
      <c r="D10140" s="3" t="str">
        <f t="shared" si="632"/>
        <v>SÁBADO</v>
      </c>
      <c r="E10140" s="427"/>
      <c r="F10140" s="31">
        <f>IFERROR(VLOOKUP(E10140,BD!$L$2:$Q$244,2,0),0)</f>
        <v>0</v>
      </c>
      <c r="G10140" s="424"/>
      <c r="H10140" s="31">
        <f>+IFERROR(VLOOKUP(E10140,BD!$L$2:$Q$244,6,0),0)</f>
        <v>0</v>
      </c>
      <c r="I10140" s="626">
        <f>IFERROR(G10140*VLOOKUP($E10140,BD!$L$2:$Q$244,5,0),0)</f>
        <v>0</v>
      </c>
      <c r="J10140" s="3">
        <f t="shared" si="633"/>
        <v>1900</v>
      </c>
    </row>
    <row r="10141" spans="1:10" s="9" customFormat="1" x14ac:dyDescent="0.25">
      <c r="A10141" s="447"/>
      <c r="B10141" s="55" t="str">
        <f t="shared" si="630"/>
        <v>ENERO</v>
      </c>
      <c r="C10141" s="55">
        <f t="shared" si="631"/>
        <v>1</v>
      </c>
      <c r="D10141" s="3" t="str">
        <f t="shared" si="632"/>
        <v>SÁBADO</v>
      </c>
      <c r="E10141" s="427"/>
      <c r="F10141" s="31">
        <f>IFERROR(VLOOKUP(E10141,BD!$L$2:$Q$244,2,0),0)</f>
        <v>0</v>
      </c>
      <c r="G10141" s="424"/>
      <c r="H10141" s="31">
        <f>+IFERROR(VLOOKUP(E10141,BD!$L$2:$Q$244,6,0),0)</f>
        <v>0</v>
      </c>
      <c r="I10141" s="626">
        <f>IFERROR(G10141*VLOOKUP($E10141,BD!$L$2:$Q$244,5,0),0)</f>
        <v>0</v>
      </c>
      <c r="J10141" s="3">
        <f t="shared" si="633"/>
        <v>1900</v>
      </c>
    </row>
    <row r="10142" spans="1:10" s="9" customFormat="1" x14ac:dyDescent="0.25">
      <c r="A10142" s="447"/>
      <c r="B10142" s="55" t="str">
        <f t="shared" si="630"/>
        <v>ENERO</v>
      </c>
      <c r="C10142" s="55">
        <f t="shared" si="631"/>
        <v>1</v>
      </c>
      <c r="D10142" s="3" t="str">
        <f t="shared" si="632"/>
        <v>SÁBADO</v>
      </c>
      <c r="E10142" s="427"/>
      <c r="F10142" s="31">
        <f>IFERROR(VLOOKUP(E10142,BD!$L$2:$Q$244,2,0),0)</f>
        <v>0</v>
      </c>
      <c r="G10142" s="424"/>
      <c r="H10142" s="31">
        <f>+IFERROR(VLOOKUP(E10142,BD!$L$2:$Q$244,6,0),0)</f>
        <v>0</v>
      </c>
      <c r="I10142" s="626">
        <f>IFERROR(G10142*VLOOKUP($E10142,BD!$L$2:$Q$244,5,0),0)</f>
        <v>0</v>
      </c>
      <c r="J10142" s="3">
        <f t="shared" si="633"/>
        <v>1900</v>
      </c>
    </row>
    <row r="10143" spans="1:10" s="9" customFormat="1" x14ac:dyDescent="0.25">
      <c r="A10143" s="447"/>
      <c r="B10143" s="55" t="str">
        <f t="shared" si="630"/>
        <v>ENERO</v>
      </c>
      <c r="C10143" s="55">
        <f t="shared" si="631"/>
        <v>1</v>
      </c>
      <c r="D10143" s="3" t="str">
        <f t="shared" si="632"/>
        <v>SÁBADO</v>
      </c>
      <c r="E10143" s="427"/>
      <c r="F10143" s="31">
        <f>IFERROR(VLOOKUP(E10143,BD!$L$2:$Q$244,2,0),0)</f>
        <v>0</v>
      </c>
      <c r="G10143" s="424"/>
      <c r="H10143" s="31">
        <f>+IFERROR(VLOOKUP(E10143,BD!$L$2:$Q$244,6,0),0)</f>
        <v>0</v>
      </c>
      <c r="I10143" s="626">
        <f>IFERROR(G10143*VLOOKUP($E10143,BD!$L$2:$Q$244,5,0),0)</f>
        <v>0</v>
      </c>
      <c r="J10143" s="3">
        <f t="shared" si="633"/>
        <v>1900</v>
      </c>
    </row>
    <row r="10144" spans="1:10" s="9" customFormat="1" x14ac:dyDescent="0.25">
      <c r="A10144" s="447"/>
      <c r="B10144" s="55" t="str">
        <f t="shared" si="630"/>
        <v>ENERO</v>
      </c>
      <c r="C10144" s="55">
        <f t="shared" si="631"/>
        <v>1</v>
      </c>
      <c r="D10144" s="3" t="str">
        <f t="shared" si="632"/>
        <v>SÁBADO</v>
      </c>
      <c r="E10144" s="427"/>
      <c r="F10144" s="31">
        <f>IFERROR(VLOOKUP(E10144,BD!$L$2:$Q$244,2,0),0)</f>
        <v>0</v>
      </c>
      <c r="G10144" s="424"/>
      <c r="H10144" s="31">
        <f>+IFERROR(VLOOKUP(E10144,BD!$L$2:$Q$244,6,0),0)</f>
        <v>0</v>
      </c>
      <c r="I10144" s="626">
        <f>IFERROR(G10144*VLOOKUP($E10144,BD!$L$2:$Q$244,5,0),0)</f>
        <v>0</v>
      </c>
      <c r="J10144" s="3">
        <f t="shared" si="633"/>
        <v>1900</v>
      </c>
    </row>
    <row r="10145" spans="1:10" s="9" customFormat="1" x14ac:dyDescent="0.25">
      <c r="A10145" s="447"/>
      <c r="B10145" s="55" t="str">
        <f t="shared" si="630"/>
        <v>ENERO</v>
      </c>
      <c r="C10145" s="55">
        <f t="shared" si="631"/>
        <v>1</v>
      </c>
      <c r="D10145" s="3" t="str">
        <f t="shared" si="632"/>
        <v>SÁBADO</v>
      </c>
      <c r="E10145" s="427"/>
      <c r="F10145" s="31">
        <f>IFERROR(VLOOKUP(E10145,BD!$L$2:$Q$244,2,0),0)</f>
        <v>0</v>
      </c>
      <c r="G10145" s="424"/>
      <c r="H10145" s="31">
        <f>+IFERROR(VLOOKUP(E10145,BD!$L$2:$Q$244,6,0),0)</f>
        <v>0</v>
      </c>
      <c r="I10145" s="626">
        <f>IFERROR(G10145*VLOOKUP($E10145,BD!$L$2:$Q$244,5,0),0)</f>
        <v>0</v>
      </c>
      <c r="J10145" s="3">
        <f t="shared" si="633"/>
        <v>1900</v>
      </c>
    </row>
    <row r="10146" spans="1:10" s="9" customFormat="1" x14ac:dyDescent="0.25">
      <c r="A10146" s="447"/>
      <c r="B10146" s="55" t="str">
        <f t="shared" si="630"/>
        <v>ENERO</v>
      </c>
      <c r="C10146" s="55">
        <f t="shared" si="631"/>
        <v>1</v>
      </c>
      <c r="D10146" s="3" t="str">
        <f t="shared" si="632"/>
        <v>SÁBADO</v>
      </c>
      <c r="E10146" s="427"/>
      <c r="F10146" s="31">
        <f>IFERROR(VLOOKUP(E10146,BD!$L$2:$Q$244,2,0),0)</f>
        <v>0</v>
      </c>
      <c r="G10146" s="424"/>
      <c r="H10146" s="31">
        <f>+IFERROR(VLOOKUP(E10146,BD!$L$2:$Q$244,6,0),0)</f>
        <v>0</v>
      </c>
      <c r="I10146" s="626">
        <f>IFERROR(G10146*VLOOKUP($E10146,BD!$L$2:$Q$244,5,0),0)</f>
        <v>0</v>
      </c>
      <c r="J10146" s="3">
        <f t="shared" si="633"/>
        <v>1900</v>
      </c>
    </row>
    <row r="10147" spans="1:10" s="9" customFormat="1" x14ac:dyDescent="0.25">
      <c r="A10147" s="447"/>
      <c r="B10147" s="55" t="str">
        <f t="shared" si="630"/>
        <v>ENERO</v>
      </c>
      <c r="C10147" s="55">
        <f t="shared" si="631"/>
        <v>1</v>
      </c>
      <c r="D10147" s="3" t="str">
        <f t="shared" si="632"/>
        <v>SÁBADO</v>
      </c>
      <c r="E10147" s="427"/>
      <c r="F10147" s="31">
        <f>IFERROR(VLOOKUP(E10147,BD!$L$2:$Q$244,2,0),0)</f>
        <v>0</v>
      </c>
      <c r="G10147" s="424"/>
      <c r="H10147" s="31">
        <f>+IFERROR(VLOOKUP(E10147,BD!$L$2:$Q$244,6,0),0)</f>
        <v>0</v>
      </c>
      <c r="I10147" s="626">
        <f>IFERROR(G10147*VLOOKUP($E10147,BD!$L$2:$Q$244,5,0),0)</f>
        <v>0</v>
      </c>
      <c r="J10147" s="3">
        <f t="shared" si="633"/>
        <v>1900</v>
      </c>
    </row>
    <row r="10148" spans="1:10" s="9" customFormat="1" x14ac:dyDescent="0.25">
      <c r="A10148" s="447"/>
      <c r="B10148" s="55" t="str">
        <f t="shared" si="630"/>
        <v>ENERO</v>
      </c>
      <c r="C10148" s="55">
        <f t="shared" si="631"/>
        <v>1</v>
      </c>
      <c r="D10148" s="3" t="str">
        <f t="shared" si="632"/>
        <v>SÁBADO</v>
      </c>
      <c r="E10148" s="427"/>
      <c r="F10148" s="31">
        <f>IFERROR(VLOOKUP(E10148,BD!$L$2:$Q$244,2,0),0)</f>
        <v>0</v>
      </c>
      <c r="G10148" s="425"/>
      <c r="H10148" s="31">
        <f>+IFERROR(VLOOKUP(E10148,BD!$L$2:$Q$244,6,0),0)</f>
        <v>0</v>
      </c>
      <c r="I10148" s="626">
        <f>IFERROR(G10148*VLOOKUP($E10148,BD!$L$2:$Q$244,5,0),0)</f>
        <v>0</v>
      </c>
      <c r="J10148" s="3">
        <f t="shared" si="633"/>
        <v>1900</v>
      </c>
    </row>
    <row r="10149" spans="1:10" s="9" customFormat="1" x14ac:dyDescent="0.25">
      <c r="A10149" s="447"/>
      <c r="B10149" s="55" t="str">
        <f t="shared" si="630"/>
        <v>ENERO</v>
      </c>
      <c r="C10149" s="55">
        <f t="shared" si="631"/>
        <v>1</v>
      </c>
      <c r="D10149" s="3" t="str">
        <f t="shared" si="632"/>
        <v>SÁBADO</v>
      </c>
      <c r="E10149" s="427"/>
      <c r="F10149" s="31">
        <f>IFERROR(VLOOKUP(E10149,BD!$L$2:$Q$244,2,0),0)</f>
        <v>0</v>
      </c>
      <c r="G10149" s="424"/>
      <c r="H10149" s="31">
        <f>+IFERROR(VLOOKUP(E10149,BD!$L$2:$Q$244,6,0),0)</f>
        <v>0</v>
      </c>
      <c r="I10149" s="626">
        <f>IFERROR(G10149*VLOOKUP($E10149,BD!$L$2:$Q$244,5,0),0)</f>
        <v>0</v>
      </c>
      <c r="J10149" s="3">
        <f t="shared" si="633"/>
        <v>1900</v>
      </c>
    </row>
    <row r="10150" spans="1:10" s="9" customFormat="1" x14ac:dyDescent="0.25">
      <c r="A10150" s="447"/>
      <c r="B10150" s="55" t="str">
        <f t="shared" si="630"/>
        <v>ENERO</v>
      </c>
      <c r="C10150" s="55">
        <f t="shared" si="631"/>
        <v>1</v>
      </c>
      <c r="D10150" s="3" t="str">
        <f t="shared" si="632"/>
        <v>SÁBADO</v>
      </c>
      <c r="E10150" s="427"/>
      <c r="F10150" s="31">
        <f>IFERROR(VLOOKUP(E10150,BD!$L$2:$Q$244,2,0),0)</f>
        <v>0</v>
      </c>
      <c r="G10150" s="424"/>
      <c r="H10150" s="31">
        <f>+IFERROR(VLOOKUP(E10150,BD!$L$2:$Q$244,6,0),0)</f>
        <v>0</v>
      </c>
      <c r="I10150" s="626">
        <f>IFERROR(G10150*VLOOKUP($E10150,BD!$L$2:$Q$244,5,0),0)</f>
        <v>0</v>
      </c>
      <c r="J10150" s="3">
        <f t="shared" si="633"/>
        <v>1900</v>
      </c>
    </row>
    <row r="10151" spans="1:10" s="9" customFormat="1" x14ac:dyDescent="0.25">
      <c r="A10151" s="447"/>
      <c r="B10151" s="55" t="str">
        <f t="shared" si="630"/>
        <v>ENERO</v>
      </c>
      <c r="C10151" s="55">
        <f t="shared" si="631"/>
        <v>1</v>
      </c>
      <c r="D10151" s="3" t="str">
        <f t="shared" si="632"/>
        <v>SÁBADO</v>
      </c>
      <c r="E10151" s="427"/>
      <c r="F10151" s="31">
        <f>IFERROR(VLOOKUP(E10151,BD!$L$2:$Q$244,2,0),0)</f>
        <v>0</v>
      </c>
      <c r="G10151" s="424"/>
      <c r="H10151" s="31">
        <f>+IFERROR(VLOOKUP(E10151,BD!$L$2:$Q$244,6,0),0)</f>
        <v>0</v>
      </c>
      <c r="I10151" s="626">
        <f>IFERROR(G10151*VLOOKUP($E10151,BD!$L$2:$Q$244,5,0),0)</f>
        <v>0</v>
      </c>
      <c r="J10151" s="3">
        <f t="shared" si="633"/>
        <v>1900</v>
      </c>
    </row>
    <row r="10152" spans="1:10" s="9" customFormat="1" x14ac:dyDescent="0.25">
      <c r="A10152" s="447"/>
      <c r="B10152" s="55" t="str">
        <f t="shared" si="630"/>
        <v>ENERO</v>
      </c>
      <c r="C10152" s="55">
        <f t="shared" si="631"/>
        <v>1</v>
      </c>
      <c r="D10152" s="3" t="str">
        <f t="shared" si="632"/>
        <v>SÁBADO</v>
      </c>
      <c r="E10152" s="427"/>
      <c r="F10152" s="31">
        <f>IFERROR(VLOOKUP(E10152,BD!$L$2:$Q$244,2,0),0)</f>
        <v>0</v>
      </c>
      <c r="G10152" s="424"/>
      <c r="H10152" s="31">
        <f>+IFERROR(VLOOKUP(E10152,BD!$L$2:$Q$244,6,0),0)</f>
        <v>0</v>
      </c>
      <c r="I10152" s="626">
        <f>IFERROR(G10152*VLOOKUP($E10152,BD!$L$2:$Q$244,5,0),0)</f>
        <v>0</v>
      </c>
      <c r="J10152" s="3">
        <f t="shared" si="633"/>
        <v>1900</v>
      </c>
    </row>
    <row r="10153" spans="1:10" s="9" customFormat="1" x14ac:dyDescent="0.25">
      <c r="A10153" s="447"/>
      <c r="B10153" s="55" t="str">
        <f t="shared" si="630"/>
        <v>ENERO</v>
      </c>
      <c r="C10153" s="55">
        <f t="shared" si="631"/>
        <v>1</v>
      </c>
      <c r="D10153" s="3" t="str">
        <f t="shared" si="632"/>
        <v>SÁBADO</v>
      </c>
      <c r="E10153" s="427"/>
      <c r="F10153" s="31">
        <f>IFERROR(VLOOKUP(E10153,BD!$L$2:$Q$244,2,0),0)</f>
        <v>0</v>
      </c>
      <c r="G10153" s="424"/>
      <c r="H10153" s="31">
        <f>+IFERROR(VLOOKUP(E10153,BD!$L$2:$Q$244,6,0),0)</f>
        <v>0</v>
      </c>
      <c r="I10153" s="626">
        <f>IFERROR(G10153*VLOOKUP($E10153,BD!$L$2:$Q$244,5,0),0)</f>
        <v>0</v>
      </c>
      <c r="J10153" s="3">
        <f t="shared" si="633"/>
        <v>1900</v>
      </c>
    </row>
    <row r="10154" spans="1:10" s="9" customFormat="1" x14ac:dyDescent="0.25">
      <c r="A10154" s="447"/>
      <c r="B10154" s="55" t="str">
        <f t="shared" si="630"/>
        <v>ENERO</v>
      </c>
      <c r="C10154" s="55">
        <f t="shared" si="631"/>
        <v>1</v>
      </c>
      <c r="D10154" s="3" t="str">
        <f t="shared" si="632"/>
        <v>SÁBADO</v>
      </c>
      <c r="E10154" s="427"/>
      <c r="F10154" s="31">
        <f>IFERROR(VLOOKUP(E10154,BD!$L$2:$Q$244,2,0),0)</f>
        <v>0</v>
      </c>
      <c r="G10154" s="424"/>
      <c r="H10154" s="31">
        <f>+IFERROR(VLOOKUP(E10154,BD!$L$2:$Q$244,6,0),0)</f>
        <v>0</v>
      </c>
      <c r="I10154" s="626">
        <f>IFERROR(G10154*VLOOKUP($E10154,BD!$L$2:$Q$244,5,0),0)</f>
        <v>0</v>
      </c>
      <c r="J10154" s="3">
        <f t="shared" si="633"/>
        <v>1900</v>
      </c>
    </row>
    <row r="10155" spans="1:10" s="9" customFormat="1" x14ac:dyDescent="0.25">
      <c r="A10155" s="447"/>
      <c r="B10155" s="55" t="str">
        <f t="shared" si="630"/>
        <v>ENERO</v>
      </c>
      <c r="C10155" s="55">
        <f t="shared" si="631"/>
        <v>1</v>
      </c>
      <c r="D10155" s="3" t="str">
        <f t="shared" si="632"/>
        <v>SÁBADO</v>
      </c>
      <c r="E10155" s="427"/>
      <c r="F10155" s="31">
        <f>IFERROR(VLOOKUP(E10155,BD!$L$2:$Q$244,2,0),0)</f>
        <v>0</v>
      </c>
      <c r="G10155" s="424"/>
      <c r="H10155" s="31">
        <f>+IFERROR(VLOOKUP(E10155,BD!$L$2:$Q$244,6,0),0)</f>
        <v>0</v>
      </c>
      <c r="I10155" s="626">
        <f>IFERROR(G10155*VLOOKUP($E10155,BD!$L$2:$Q$244,5,0),0)</f>
        <v>0</v>
      </c>
      <c r="J10155" s="3">
        <f t="shared" si="633"/>
        <v>1900</v>
      </c>
    </row>
    <row r="10156" spans="1:10" s="9" customFormat="1" x14ac:dyDescent="0.25">
      <c r="A10156" s="447"/>
      <c r="B10156" s="55" t="str">
        <f t="shared" si="630"/>
        <v>ENERO</v>
      </c>
      <c r="C10156" s="55">
        <f t="shared" si="631"/>
        <v>1</v>
      </c>
      <c r="D10156" s="3" t="str">
        <f t="shared" si="632"/>
        <v>SÁBADO</v>
      </c>
      <c r="E10156" s="427"/>
      <c r="F10156" s="31">
        <f>IFERROR(VLOOKUP(E10156,BD!$L$2:$Q$244,2,0),0)</f>
        <v>0</v>
      </c>
      <c r="G10156" s="424"/>
      <c r="H10156" s="31">
        <f>+IFERROR(VLOOKUP(E10156,BD!$L$2:$Q$244,6,0),0)</f>
        <v>0</v>
      </c>
      <c r="I10156" s="626">
        <f>IFERROR(G10156*VLOOKUP($E10156,BD!$L$2:$Q$244,5,0),0)</f>
        <v>0</v>
      </c>
      <c r="J10156" s="3">
        <f t="shared" si="633"/>
        <v>1900</v>
      </c>
    </row>
    <row r="10157" spans="1:10" s="9" customFormat="1" x14ac:dyDescent="0.25">
      <c r="A10157" s="447"/>
      <c r="B10157" s="55" t="str">
        <f t="shared" si="630"/>
        <v>ENERO</v>
      </c>
      <c r="C10157" s="55">
        <f t="shared" si="631"/>
        <v>1</v>
      </c>
      <c r="D10157" s="3" t="str">
        <f t="shared" si="632"/>
        <v>SÁBADO</v>
      </c>
      <c r="E10157" s="427"/>
      <c r="F10157" s="31">
        <f>IFERROR(VLOOKUP(E10157,BD!$L$2:$Q$244,2,0),0)</f>
        <v>0</v>
      </c>
      <c r="G10157" s="424"/>
      <c r="H10157" s="31">
        <f>+IFERROR(VLOOKUP(E10157,BD!$L$2:$Q$244,6,0),0)</f>
        <v>0</v>
      </c>
      <c r="I10157" s="626">
        <f>IFERROR(G10157*VLOOKUP($E10157,BD!$L$2:$Q$244,5,0),0)</f>
        <v>0</v>
      </c>
      <c r="J10157" s="3">
        <f t="shared" si="633"/>
        <v>1900</v>
      </c>
    </row>
    <row r="10158" spans="1:10" s="9" customFormat="1" x14ac:dyDescent="0.25">
      <c r="A10158" s="447"/>
      <c r="B10158" s="55" t="str">
        <f t="shared" si="630"/>
        <v>ENERO</v>
      </c>
      <c r="C10158" s="55">
        <f t="shared" si="631"/>
        <v>1</v>
      </c>
      <c r="D10158" s="3" t="str">
        <f t="shared" si="632"/>
        <v>SÁBADO</v>
      </c>
      <c r="E10158" s="427"/>
      <c r="F10158" s="31">
        <f>IFERROR(VLOOKUP(E10158,BD!$L$2:$Q$244,2,0),0)</f>
        <v>0</v>
      </c>
      <c r="G10158" s="424"/>
      <c r="H10158" s="31">
        <f>+IFERROR(VLOOKUP(E10158,BD!$L$2:$Q$244,6,0),0)</f>
        <v>0</v>
      </c>
      <c r="I10158" s="626">
        <f>IFERROR(G10158*VLOOKUP($E10158,BD!$L$2:$Q$244,5,0),0)</f>
        <v>0</v>
      </c>
      <c r="J10158" s="3">
        <f t="shared" si="633"/>
        <v>1900</v>
      </c>
    </row>
    <row r="10159" spans="1:10" s="9" customFormat="1" x14ac:dyDescent="0.25">
      <c r="A10159" s="447"/>
      <c r="B10159" s="55" t="str">
        <f t="shared" si="630"/>
        <v>ENERO</v>
      </c>
      <c r="C10159" s="55">
        <f t="shared" si="631"/>
        <v>1</v>
      </c>
      <c r="D10159" s="3" t="str">
        <f t="shared" si="632"/>
        <v>SÁBADO</v>
      </c>
      <c r="E10159" s="427"/>
      <c r="F10159" s="31">
        <f>IFERROR(VLOOKUP(E10159,BD!$L$2:$Q$244,2,0),0)</f>
        <v>0</v>
      </c>
      <c r="G10159" s="424"/>
      <c r="H10159" s="31">
        <f>+IFERROR(VLOOKUP(E10159,BD!$L$2:$Q$244,6,0),0)</f>
        <v>0</v>
      </c>
      <c r="I10159" s="626">
        <f>IFERROR(G10159*VLOOKUP($E10159,BD!$L$2:$Q$244,5,0),0)</f>
        <v>0</v>
      </c>
      <c r="J10159" s="3">
        <f t="shared" si="633"/>
        <v>1900</v>
      </c>
    </row>
    <row r="10160" spans="1:10" s="9" customFormat="1" x14ac:dyDescent="0.25">
      <c r="A10160" s="447"/>
      <c r="B10160" s="55" t="str">
        <f t="shared" si="630"/>
        <v>ENERO</v>
      </c>
      <c r="C10160" s="55">
        <f t="shared" si="631"/>
        <v>1</v>
      </c>
      <c r="D10160" s="3" t="str">
        <f t="shared" si="632"/>
        <v>SÁBADO</v>
      </c>
      <c r="E10160" s="427"/>
      <c r="F10160" s="31">
        <f>IFERROR(VLOOKUP(E10160,BD!$L$2:$Q$244,2,0),0)</f>
        <v>0</v>
      </c>
      <c r="G10160" s="424"/>
      <c r="H10160" s="31">
        <f>+IFERROR(VLOOKUP(E10160,BD!$L$2:$Q$244,6,0),0)</f>
        <v>0</v>
      </c>
      <c r="I10160" s="626">
        <f>IFERROR(G10160*VLOOKUP($E10160,BD!$L$2:$Q$244,5,0),0)</f>
        <v>0</v>
      </c>
      <c r="J10160" s="3">
        <f t="shared" si="633"/>
        <v>1900</v>
      </c>
    </row>
    <row r="10161" spans="1:10" s="9" customFormat="1" x14ac:dyDescent="0.25">
      <c r="A10161" s="447"/>
      <c r="B10161" s="55" t="str">
        <f t="shared" si="630"/>
        <v>ENERO</v>
      </c>
      <c r="C10161" s="55">
        <f t="shared" si="631"/>
        <v>1</v>
      </c>
      <c r="D10161" s="3" t="str">
        <f t="shared" si="632"/>
        <v>SÁBADO</v>
      </c>
      <c r="E10161" s="427"/>
      <c r="F10161" s="31">
        <f>IFERROR(VLOOKUP(E10161,BD!$L$2:$Q$244,2,0),0)</f>
        <v>0</v>
      </c>
      <c r="G10161" s="424"/>
      <c r="H10161" s="31">
        <f>+IFERROR(VLOOKUP(E10161,BD!$L$2:$Q$244,6,0),0)</f>
        <v>0</v>
      </c>
      <c r="I10161" s="626">
        <f>IFERROR(G10161*VLOOKUP($E10161,BD!$L$2:$Q$244,5,0),0)</f>
        <v>0</v>
      </c>
      <c r="J10161" s="3">
        <f t="shared" si="633"/>
        <v>1900</v>
      </c>
    </row>
    <row r="10162" spans="1:10" s="9" customFormat="1" x14ac:dyDescent="0.25">
      <c r="A10162" s="447"/>
      <c r="B10162" s="55" t="str">
        <f t="shared" si="630"/>
        <v>ENERO</v>
      </c>
      <c r="C10162" s="55">
        <f t="shared" si="631"/>
        <v>1</v>
      </c>
      <c r="D10162" s="3" t="str">
        <f t="shared" si="632"/>
        <v>SÁBADO</v>
      </c>
      <c r="E10162" s="427"/>
      <c r="F10162" s="31">
        <f>IFERROR(VLOOKUP(E10162,BD!$L$2:$Q$244,2,0),0)</f>
        <v>0</v>
      </c>
      <c r="G10162" s="425"/>
      <c r="H10162" s="31">
        <f>+IFERROR(VLOOKUP(E10162,BD!$L$2:$Q$244,6,0),0)</f>
        <v>0</v>
      </c>
      <c r="I10162" s="626">
        <f>IFERROR(G10162*VLOOKUP($E10162,BD!$L$2:$Q$244,5,0),0)</f>
        <v>0</v>
      </c>
      <c r="J10162" s="3">
        <f t="shared" si="633"/>
        <v>1900</v>
      </c>
    </row>
    <row r="10163" spans="1:10" s="9" customFormat="1" x14ac:dyDescent="0.25">
      <c r="A10163" s="447"/>
      <c r="B10163" s="55" t="str">
        <f t="shared" si="630"/>
        <v>ENERO</v>
      </c>
      <c r="C10163" s="55">
        <f t="shared" si="631"/>
        <v>1</v>
      </c>
      <c r="D10163" s="3" t="str">
        <f t="shared" si="632"/>
        <v>SÁBADO</v>
      </c>
      <c r="E10163" s="427"/>
      <c r="F10163" s="31">
        <f>IFERROR(VLOOKUP(E10163,BD!$L$2:$Q$244,2,0),0)</f>
        <v>0</v>
      </c>
      <c r="G10163" s="424"/>
      <c r="H10163" s="31">
        <f>+IFERROR(VLOOKUP(E10163,BD!$L$2:$Q$244,6,0),0)</f>
        <v>0</v>
      </c>
      <c r="I10163" s="626">
        <f>IFERROR(G10163*VLOOKUP($E10163,BD!$L$2:$Q$244,5,0),0)</f>
        <v>0</v>
      </c>
      <c r="J10163" s="3">
        <f t="shared" si="633"/>
        <v>1900</v>
      </c>
    </row>
    <row r="10164" spans="1:10" s="9" customFormat="1" x14ac:dyDescent="0.25">
      <c r="A10164" s="447"/>
      <c r="B10164" s="55" t="str">
        <f t="shared" si="630"/>
        <v>ENERO</v>
      </c>
      <c r="C10164" s="55">
        <f t="shared" si="631"/>
        <v>1</v>
      </c>
      <c r="D10164" s="3" t="str">
        <f t="shared" si="632"/>
        <v>SÁBADO</v>
      </c>
      <c r="E10164" s="427"/>
      <c r="F10164" s="31">
        <f>IFERROR(VLOOKUP(E10164,BD!$L$2:$Q$244,2,0),0)</f>
        <v>0</v>
      </c>
      <c r="G10164" s="424"/>
      <c r="H10164" s="31">
        <f>+IFERROR(VLOOKUP(E10164,BD!$L$2:$Q$244,6,0),0)</f>
        <v>0</v>
      </c>
      <c r="I10164" s="626">
        <f>IFERROR(G10164*VLOOKUP($E10164,BD!$L$2:$Q$244,5,0),0)</f>
        <v>0</v>
      </c>
      <c r="J10164" s="3">
        <f t="shared" si="633"/>
        <v>1900</v>
      </c>
    </row>
    <row r="10165" spans="1:10" s="9" customFormat="1" x14ac:dyDescent="0.25">
      <c r="A10165" s="447"/>
      <c r="B10165" s="55" t="str">
        <f t="shared" si="630"/>
        <v>ENERO</v>
      </c>
      <c r="C10165" s="55">
        <f t="shared" si="631"/>
        <v>1</v>
      </c>
      <c r="D10165" s="3" t="str">
        <f t="shared" si="632"/>
        <v>SÁBADO</v>
      </c>
      <c r="E10165" s="427"/>
      <c r="F10165" s="31">
        <f>IFERROR(VLOOKUP(E10165,BD!$L$2:$Q$244,2,0),0)</f>
        <v>0</v>
      </c>
      <c r="G10165" s="424"/>
      <c r="H10165" s="31">
        <f>+IFERROR(VLOOKUP(E10165,BD!$L$2:$Q$244,6,0),0)</f>
        <v>0</v>
      </c>
      <c r="I10165" s="626">
        <f>IFERROR(G10165*VLOOKUP($E10165,BD!$L$2:$Q$244,5,0),0)</f>
        <v>0</v>
      </c>
      <c r="J10165" s="3">
        <f t="shared" si="633"/>
        <v>1900</v>
      </c>
    </row>
    <row r="10166" spans="1:10" s="9" customFormat="1" x14ac:dyDescent="0.25">
      <c r="A10166" s="447"/>
      <c r="B10166" s="55" t="str">
        <f t="shared" si="630"/>
        <v>ENERO</v>
      </c>
      <c r="C10166" s="55">
        <f t="shared" si="631"/>
        <v>1</v>
      </c>
      <c r="D10166" s="3" t="str">
        <f t="shared" si="632"/>
        <v>SÁBADO</v>
      </c>
      <c r="E10166" s="427"/>
      <c r="F10166" s="31">
        <f>IFERROR(VLOOKUP(E10166,BD!$L$2:$Q$244,2,0),0)</f>
        <v>0</v>
      </c>
      <c r="G10166" s="424"/>
      <c r="H10166" s="31">
        <f>+IFERROR(VLOOKUP(E10166,BD!$L$2:$Q$244,6,0),0)</f>
        <v>0</v>
      </c>
      <c r="I10166" s="626">
        <f>IFERROR(G10166*VLOOKUP($E10166,BD!$L$2:$Q$244,5,0),0)</f>
        <v>0</v>
      </c>
      <c r="J10166" s="3">
        <f t="shared" si="633"/>
        <v>1900</v>
      </c>
    </row>
    <row r="10167" spans="1:10" s="9" customFormat="1" x14ac:dyDescent="0.25">
      <c r="A10167" s="447"/>
      <c r="B10167" s="55" t="str">
        <f t="shared" si="630"/>
        <v>ENERO</v>
      </c>
      <c r="C10167" s="55">
        <f t="shared" si="631"/>
        <v>1</v>
      </c>
      <c r="D10167" s="3" t="str">
        <f t="shared" si="632"/>
        <v>SÁBADO</v>
      </c>
      <c r="E10167" s="427"/>
      <c r="F10167" s="31">
        <f>IFERROR(VLOOKUP(E10167,BD!$L$2:$Q$244,2,0),0)</f>
        <v>0</v>
      </c>
      <c r="G10167" s="424"/>
      <c r="H10167" s="31">
        <f>+IFERROR(VLOOKUP(E10167,BD!$L$2:$Q$244,6,0),0)</f>
        <v>0</v>
      </c>
      <c r="I10167" s="626">
        <f>IFERROR(G10167*VLOOKUP($E10167,BD!$L$2:$Q$244,5,0),0)</f>
        <v>0</v>
      </c>
      <c r="J10167" s="3">
        <f t="shared" si="633"/>
        <v>1900</v>
      </c>
    </row>
    <row r="10168" spans="1:10" s="9" customFormat="1" x14ac:dyDescent="0.25">
      <c r="A10168" s="447"/>
      <c r="B10168" s="55" t="str">
        <f t="shared" si="630"/>
        <v>ENERO</v>
      </c>
      <c r="C10168" s="55">
        <f t="shared" si="631"/>
        <v>1</v>
      </c>
      <c r="D10168" s="3" t="str">
        <f t="shared" si="632"/>
        <v>SÁBADO</v>
      </c>
      <c r="E10168" s="427"/>
      <c r="F10168" s="31">
        <f>IFERROR(VLOOKUP(E10168,BD!$L$2:$Q$244,2,0),0)</f>
        <v>0</v>
      </c>
      <c r="G10168" s="424"/>
      <c r="H10168" s="31">
        <f>+IFERROR(VLOOKUP(E10168,BD!$L$2:$Q$244,6,0),0)</f>
        <v>0</v>
      </c>
      <c r="I10168" s="626">
        <f>IFERROR(G10168*VLOOKUP($E10168,BD!$L$2:$Q$244,5,0),0)</f>
        <v>0</v>
      </c>
      <c r="J10168" s="3">
        <f t="shared" si="633"/>
        <v>1900</v>
      </c>
    </row>
    <row r="10169" spans="1:10" s="9" customFormat="1" x14ac:dyDescent="0.25">
      <c r="A10169" s="447"/>
      <c r="B10169" s="55" t="str">
        <f t="shared" si="630"/>
        <v>ENERO</v>
      </c>
      <c r="C10169" s="55">
        <f t="shared" si="631"/>
        <v>1</v>
      </c>
      <c r="D10169" s="3" t="str">
        <f t="shared" si="632"/>
        <v>SÁBADO</v>
      </c>
      <c r="E10169" s="427"/>
      <c r="F10169" s="31">
        <f>IFERROR(VLOOKUP(E10169,BD!$L$2:$Q$244,2,0),0)</f>
        <v>0</v>
      </c>
      <c r="G10169" s="424"/>
      <c r="H10169" s="31">
        <f>+IFERROR(VLOOKUP(E10169,BD!$L$2:$Q$244,6,0),0)</f>
        <v>0</v>
      </c>
      <c r="I10169" s="626">
        <f>IFERROR(G10169*VLOOKUP($E10169,BD!$L$2:$Q$244,5,0),0)</f>
        <v>0</v>
      </c>
      <c r="J10169" s="3">
        <f t="shared" si="633"/>
        <v>1900</v>
      </c>
    </row>
    <row r="10170" spans="1:10" s="9" customFormat="1" x14ac:dyDescent="0.25">
      <c r="A10170" s="447"/>
      <c r="B10170" s="55" t="str">
        <f t="shared" si="630"/>
        <v>ENERO</v>
      </c>
      <c r="C10170" s="55">
        <f t="shared" si="631"/>
        <v>1</v>
      </c>
      <c r="D10170" s="3" t="str">
        <f t="shared" si="632"/>
        <v>SÁBADO</v>
      </c>
      <c r="E10170" s="427"/>
      <c r="F10170" s="31">
        <f>IFERROR(VLOOKUP(E10170,BD!$L$2:$Q$244,2,0),0)</f>
        <v>0</v>
      </c>
      <c r="G10170" s="424"/>
      <c r="H10170" s="31">
        <f>+IFERROR(VLOOKUP(E10170,BD!$L$2:$Q$244,6,0),0)</f>
        <v>0</v>
      </c>
      <c r="I10170" s="626">
        <f>IFERROR(G10170*VLOOKUP($E10170,BD!$L$2:$Q$244,5,0),0)</f>
        <v>0</v>
      </c>
      <c r="J10170" s="3">
        <f t="shared" si="633"/>
        <v>1900</v>
      </c>
    </row>
    <row r="10171" spans="1:10" s="9" customFormat="1" x14ac:dyDescent="0.25">
      <c r="A10171" s="447"/>
      <c r="B10171" s="55" t="str">
        <f t="shared" si="630"/>
        <v>ENERO</v>
      </c>
      <c r="C10171" s="55">
        <f t="shared" si="631"/>
        <v>1</v>
      </c>
      <c r="D10171" s="3" t="str">
        <f t="shared" si="632"/>
        <v>SÁBADO</v>
      </c>
      <c r="E10171" s="427"/>
      <c r="F10171" s="31">
        <f>IFERROR(VLOOKUP(E10171,BD!$L$2:$Q$244,2,0),0)</f>
        <v>0</v>
      </c>
      <c r="G10171" s="424"/>
      <c r="H10171" s="31">
        <f>+IFERROR(VLOOKUP(E10171,BD!$L$2:$Q$244,6,0),0)</f>
        <v>0</v>
      </c>
      <c r="I10171" s="626">
        <f>IFERROR(G10171*VLOOKUP($E10171,BD!$L$2:$Q$244,5,0),0)</f>
        <v>0</v>
      </c>
      <c r="J10171" s="3">
        <f t="shared" si="633"/>
        <v>1900</v>
      </c>
    </row>
    <row r="10172" spans="1:10" s="9" customFormat="1" x14ac:dyDescent="0.25">
      <c r="A10172" s="447"/>
      <c r="B10172" s="55" t="str">
        <f t="shared" ref="B10172:B10235" si="634">UPPER(TEXT(A10172,"MMMM"))</f>
        <v>ENERO</v>
      </c>
      <c r="C10172" s="55">
        <f t="shared" ref="C10172:C10235" si="635">WEEKNUM(A10172,16)</f>
        <v>1</v>
      </c>
      <c r="D10172" s="3" t="str">
        <f t="shared" ref="D10172:D10235" si="636">UPPER(TEXT(A10172,"DDDD"))</f>
        <v>SÁBADO</v>
      </c>
      <c r="E10172" s="427"/>
      <c r="F10172" s="31">
        <f>IFERROR(VLOOKUP(E10172,BD!$L$2:$Q$244,2,0),0)</f>
        <v>0</v>
      </c>
      <c r="G10172" s="424"/>
      <c r="H10172" s="31">
        <f>+IFERROR(VLOOKUP(E10172,BD!$L$2:$Q$244,6,0),0)</f>
        <v>0</v>
      </c>
      <c r="I10172" s="626">
        <f>IFERROR(G10172*VLOOKUP($E10172,BD!$L$2:$Q$244,5,0),0)</f>
        <v>0</v>
      </c>
      <c r="J10172" s="3">
        <f t="shared" ref="J10172:J10235" si="637">+YEAR(A10172)</f>
        <v>1900</v>
      </c>
    </row>
    <row r="10173" spans="1:10" s="9" customFormat="1" x14ac:dyDescent="0.25">
      <c r="A10173" s="447"/>
      <c r="B10173" s="55" t="str">
        <f t="shared" si="634"/>
        <v>ENERO</v>
      </c>
      <c r="C10173" s="55">
        <f t="shared" si="635"/>
        <v>1</v>
      </c>
      <c r="D10173" s="3" t="str">
        <f t="shared" si="636"/>
        <v>SÁBADO</v>
      </c>
      <c r="E10173" s="427"/>
      <c r="F10173" s="31">
        <f>IFERROR(VLOOKUP(E10173,BD!$L$2:$Q$244,2,0),0)</f>
        <v>0</v>
      </c>
      <c r="G10173" s="424"/>
      <c r="H10173" s="31">
        <f>+IFERROR(VLOOKUP(E10173,BD!$L$2:$Q$244,6,0),0)</f>
        <v>0</v>
      </c>
      <c r="I10173" s="626">
        <f>IFERROR(G10173*VLOOKUP($E10173,BD!$L$2:$Q$244,5,0),0)</f>
        <v>0</v>
      </c>
      <c r="J10173" s="3">
        <f t="shared" si="637"/>
        <v>1900</v>
      </c>
    </row>
    <row r="10174" spans="1:10" s="9" customFormat="1" x14ac:dyDescent="0.25">
      <c r="A10174" s="447"/>
      <c r="B10174" s="55" t="str">
        <f t="shared" si="634"/>
        <v>ENERO</v>
      </c>
      <c r="C10174" s="55">
        <f t="shared" si="635"/>
        <v>1</v>
      </c>
      <c r="D10174" s="3" t="str">
        <f t="shared" si="636"/>
        <v>SÁBADO</v>
      </c>
      <c r="E10174" s="427"/>
      <c r="F10174" s="31">
        <f>IFERROR(VLOOKUP(E10174,BD!$L$2:$Q$244,2,0),0)</f>
        <v>0</v>
      </c>
      <c r="G10174" s="424"/>
      <c r="H10174" s="31">
        <f>+IFERROR(VLOOKUP(E10174,BD!$L$2:$Q$244,6,0),0)</f>
        <v>0</v>
      </c>
      <c r="I10174" s="626">
        <f>IFERROR(G10174*VLOOKUP($E10174,BD!$L$2:$Q$244,5,0),0)</f>
        <v>0</v>
      </c>
      <c r="J10174" s="3">
        <f t="shared" si="637"/>
        <v>1900</v>
      </c>
    </row>
    <row r="10175" spans="1:10" s="9" customFormat="1" x14ac:dyDescent="0.25">
      <c r="A10175" s="447"/>
      <c r="B10175" s="55" t="str">
        <f t="shared" si="634"/>
        <v>ENERO</v>
      </c>
      <c r="C10175" s="55">
        <f t="shared" si="635"/>
        <v>1</v>
      </c>
      <c r="D10175" s="3" t="str">
        <f t="shared" si="636"/>
        <v>SÁBADO</v>
      </c>
      <c r="E10175" s="427"/>
      <c r="F10175" s="31">
        <f>IFERROR(VLOOKUP(E10175,BD!$L$2:$Q$244,2,0),0)</f>
        <v>0</v>
      </c>
      <c r="G10175" s="424"/>
      <c r="H10175" s="31">
        <f>+IFERROR(VLOOKUP(E10175,BD!$L$2:$Q$244,6,0),0)</f>
        <v>0</v>
      </c>
      <c r="I10175" s="626">
        <f>IFERROR(G10175*VLOOKUP($E10175,BD!$L$2:$Q$244,5,0),0)</f>
        <v>0</v>
      </c>
      <c r="J10175" s="3">
        <f t="shared" si="637"/>
        <v>1900</v>
      </c>
    </row>
    <row r="10176" spans="1:10" s="9" customFormat="1" x14ac:dyDescent="0.25">
      <c r="A10176" s="447"/>
      <c r="B10176" s="55" t="str">
        <f t="shared" si="634"/>
        <v>ENERO</v>
      </c>
      <c r="C10176" s="55">
        <f t="shared" si="635"/>
        <v>1</v>
      </c>
      <c r="D10176" s="3" t="str">
        <f t="shared" si="636"/>
        <v>SÁBADO</v>
      </c>
      <c r="E10176" s="427"/>
      <c r="F10176" s="31">
        <f>IFERROR(VLOOKUP(E10176,BD!$L$2:$Q$244,2,0),0)</f>
        <v>0</v>
      </c>
      <c r="G10176" s="425"/>
      <c r="H10176" s="31">
        <f>+IFERROR(VLOOKUP(E10176,BD!$L$2:$Q$244,6,0),0)</f>
        <v>0</v>
      </c>
      <c r="I10176" s="626">
        <f>IFERROR(G10176*VLOOKUP($E10176,BD!$L$2:$Q$244,5,0),0)</f>
        <v>0</v>
      </c>
      <c r="J10176" s="3">
        <f t="shared" si="637"/>
        <v>1900</v>
      </c>
    </row>
    <row r="10177" spans="1:10" s="9" customFormat="1" x14ac:dyDescent="0.25">
      <c r="A10177" s="447"/>
      <c r="B10177" s="55" t="str">
        <f t="shared" si="634"/>
        <v>ENERO</v>
      </c>
      <c r="C10177" s="55">
        <f t="shared" si="635"/>
        <v>1</v>
      </c>
      <c r="D10177" s="3" t="str">
        <f t="shared" si="636"/>
        <v>SÁBADO</v>
      </c>
      <c r="E10177" s="427"/>
      <c r="F10177" s="31">
        <f>IFERROR(VLOOKUP(E10177,BD!$L$2:$Q$244,2,0),0)</f>
        <v>0</v>
      </c>
      <c r="G10177" s="424"/>
      <c r="H10177" s="31">
        <f>+IFERROR(VLOOKUP(E10177,BD!$L$2:$Q$244,6,0),0)</f>
        <v>0</v>
      </c>
      <c r="I10177" s="626">
        <f>IFERROR(G10177*VLOOKUP($E10177,BD!$L$2:$Q$244,5,0),0)</f>
        <v>0</v>
      </c>
      <c r="J10177" s="3">
        <f t="shared" si="637"/>
        <v>1900</v>
      </c>
    </row>
    <row r="10178" spans="1:10" s="9" customFormat="1" x14ac:dyDescent="0.25">
      <c r="A10178" s="447"/>
      <c r="B10178" s="55" t="str">
        <f t="shared" si="634"/>
        <v>ENERO</v>
      </c>
      <c r="C10178" s="55">
        <f t="shared" si="635"/>
        <v>1</v>
      </c>
      <c r="D10178" s="3" t="str">
        <f t="shared" si="636"/>
        <v>SÁBADO</v>
      </c>
      <c r="E10178" s="427"/>
      <c r="F10178" s="31">
        <f>IFERROR(VLOOKUP(E10178,BD!$L$2:$Q$244,2,0),0)</f>
        <v>0</v>
      </c>
      <c r="G10178" s="424"/>
      <c r="H10178" s="31">
        <f>+IFERROR(VLOOKUP(E10178,BD!$L$2:$Q$244,6,0),0)</f>
        <v>0</v>
      </c>
      <c r="I10178" s="626">
        <f>IFERROR(G10178*VLOOKUP($E10178,BD!$L$2:$Q$244,5,0),0)</f>
        <v>0</v>
      </c>
      <c r="J10178" s="3">
        <f t="shared" si="637"/>
        <v>1900</v>
      </c>
    </row>
    <row r="10179" spans="1:10" s="9" customFormat="1" x14ac:dyDescent="0.25">
      <c r="A10179" s="447"/>
      <c r="B10179" s="55" t="str">
        <f t="shared" si="634"/>
        <v>ENERO</v>
      </c>
      <c r="C10179" s="55">
        <f t="shared" si="635"/>
        <v>1</v>
      </c>
      <c r="D10179" s="3" t="str">
        <f t="shared" si="636"/>
        <v>SÁBADO</v>
      </c>
      <c r="E10179" s="427"/>
      <c r="F10179" s="31">
        <f>IFERROR(VLOOKUP(E10179,BD!$L$2:$Q$244,2,0),0)</f>
        <v>0</v>
      </c>
      <c r="G10179" s="424"/>
      <c r="H10179" s="31">
        <f>+IFERROR(VLOOKUP(E10179,BD!$L$2:$Q$244,6,0),0)</f>
        <v>0</v>
      </c>
      <c r="I10179" s="626">
        <f>IFERROR(G10179*VLOOKUP($E10179,BD!$L$2:$Q$244,5,0),0)</f>
        <v>0</v>
      </c>
      <c r="J10179" s="3">
        <f t="shared" si="637"/>
        <v>1900</v>
      </c>
    </row>
    <row r="10180" spans="1:10" s="9" customFormat="1" x14ac:dyDescent="0.25">
      <c r="A10180" s="447"/>
      <c r="B10180" s="55" t="str">
        <f t="shared" si="634"/>
        <v>ENERO</v>
      </c>
      <c r="C10180" s="55">
        <f t="shared" si="635"/>
        <v>1</v>
      </c>
      <c r="D10180" s="3" t="str">
        <f t="shared" si="636"/>
        <v>SÁBADO</v>
      </c>
      <c r="E10180" s="427"/>
      <c r="F10180" s="31">
        <f>IFERROR(VLOOKUP(E10180,BD!$L$2:$Q$244,2,0),0)</f>
        <v>0</v>
      </c>
      <c r="G10180" s="424"/>
      <c r="H10180" s="31">
        <f>+IFERROR(VLOOKUP(E10180,BD!$L$2:$Q$244,6,0),0)</f>
        <v>0</v>
      </c>
      <c r="I10180" s="626">
        <f>IFERROR(G10180*VLOOKUP($E10180,BD!$L$2:$Q$244,5,0),0)</f>
        <v>0</v>
      </c>
      <c r="J10180" s="3">
        <f t="shared" si="637"/>
        <v>1900</v>
      </c>
    </row>
    <row r="10181" spans="1:10" s="9" customFormat="1" x14ac:dyDescent="0.25">
      <c r="A10181" s="447"/>
      <c r="B10181" s="55" t="str">
        <f t="shared" si="634"/>
        <v>ENERO</v>
      </c>
      <c r="C10181" s="55">
        <f t="shared" si="635"/>
        <v>1</v>
      </c>
      <c r="D10181" s="3" t="str">
        <f t="shared" si="636"/>
        <v>SÁBADO</v>
      </c>
      <c r="E10181" s="427"/>
      <c r="F10181" s="31">
        <f>IFERROR(VLOOKUP(E10181,BD!$L$2:$Q$244,2,0),0)</f>
        <v>0</v>
      </c>
      <c r="G10181" s="424"/>
      <c r="H10181" s="31">
        <f>+IFERROR(VLOOKUP(E10181,BD!$L$2:$Q$244,6,0),0)</f>
        <v>0</v>
      </c>
      <c r="I10181" s="626">
        <f>IFERROR(G10181*VLOOKUP($E10181,BD!$L$2:$Q$244,5,0),0)</f>
        <v>0</v>
      </c>
      <c r="J10181" s="3">
        <f t="shared" si="637"/>
        <v>1900</v>
      </c>
    </row>
    <row r="10182" spans="1:10" s="9" customFormat="1" x14ac:dyDescent="0.25">
      <c r="A10182" s="447"/>
      <c r="B10182" s="55" t="str">
        <f t="shared" si="634"/>
        <v>ENERO</v>
      </c>
      <c r="C10182" s="55">
        <f t="shared" si="635"/>
        <v>1</v>
      </c>
      <c r="D10182" s="3" t="str">
        <f t="shared" si="636"/>
        <v>SÁBADO</v>
      </c>
      <c r="E10182" s="427"/>
      <c r="F10182" s="31">
        <f>IFERROR(VLOOKUP(E10182,BD!$L$2:$Q$244,2,0),0)</f>
        <v>0</v>
      </c>
      <c r="G10182" s="424"/>
      <c r="H10182" s="31">
        <f>+IFERROR(VLOOKUP(E10182,BD!$L$2:$Q$244,6,0),0)</f>
        <v>0</v>
      </c>
      <c r="I10182" s="626">
        <f>IFERROR(G10182*VLOOKUP($E10182,BD!$L$2:$Q$244,5,0),0)</f>
        <v>0</v>
      </c>
      <c r="J10182" s="3">
        <f t="shared" si="637"/>
        <v>1900</v>
      </c>
    </row>
    <row r="10183" spans="1:10" s="9" customFormat="1" x14ac:dyDescent="0.25">
      <c r="A10183" s="447"/>
      <c r="B10183" s="55" t="str">
        <f t="shared" si="634"/>
        <v>ENERO</v>
      </c>
      <c r="C10183" s="55">
        <f t="shared" si="635"/>
        <v>1</v>
      </c>
      <c r="D10183" s="3" t="str">
        <f t="shared" si="636"/>
        <v>SÁBADO</v>
      </c>
      <c r="E10183" s="427"/>
      <c r="F10183" s="31">
        <f>IFERROR(VLOOKUP(E10183,BD!$L$2:$Q$244,2,0),0)</f>
        <v>0</v>
      </c>
      <c r="G10183" s="424"/>
      <c r="H10183" s="31">
        <f>+IFERROR(VLOOKUP(E10183,BD!$L$2:$Q$244,6,0),0)</f>
        <v>0</v>
      </c>
      <c r="I10183" s="626">
        <f>IFERROR(G10183*VLOOKUP($E10183,BD!$L$2:$Q$244,5,0),0)</f>
        <v>0</v>
      </c>
      <c r="J10183" s="3">
        <f t="shared" si="637"/>
        <v>1900</v>
      </c>
    </row>
    <row r="10184" spans="1:10" s="9" customFormat="1" x14ac:dyDescent="0.25">
      <c r="A10184" s="447"/>
      <c r="B10184" s="55" t="str">
        <f t="shared" si="634"/>
        <v>ENERO</v>
      </c>
      <c r="C10184" s="55">
        <f t="shared" si="635"/>
        <v>1</v>
      </c>
      <c r="D10184" s="3" t="str">
        <f t="shared" si="636"/>
        <v>SÁBADO</v>
      </c>
      <c r="E10184" s="427"/>
      <c r="F10184" s="31">
        <f>IFERROR(VLOOKUP(E10184,BD!$L$2:$Q$244,2,0),0)</f>
        <v>0</v>
      </c>
      <c r="G10184" s="424"/>
      <c r="H10184" s="31">
        <f>+IFERROR(VLOOKUP(E10184,BD!$L$2:$Q$244,6,0),0)</f>
        <v>0</v>
      </c>
      <c r="I10184" s="626">
        <f>IFERROR(G10184*VLOOKUP($E10184,BD!$L$2:$Q$244,5,0),0)</f>
        <v>0</v>
      </c>
      <c r="J10184" s="3">
        <f t="shared" si="637"/>
        <v>1900</v>
      </c>
    </row>
    <row r="10185" spans="1:10" s="9" customFormat="1" x14ac:dyDescent="0.25">
      <c r="A10185" s="447"/>
      <c r="B10185" s="55" t="str">
        <f t="shared" si="634"/>
        <v>ENERO</v>
      </c>
      <c r="C10185" s="55">
        <f t="shared" si="635"/>
        <v>1</v>
      </c>
      <c r="D10185" s="3" t="str">
        <f t="shared" si="636"/>
        <v>SÁBADO</v>
      </c>
      <c r="E10185" s="427"/>
      <c r="F10185" s="31">
        <f>IFERROR(VLOOKUP(E10185,BD!$L$2:$Q$244,2,0),0)</f>
        <v>0</v>
      </c>
      <c r="G10185" s="424"/>
      <c r="H10185" s="31">
        <f>+IFERROR(VLOOKUP(E10185,BD!$L$2:$Q$244,6,0),0)</f>
        <v>0</v>
      </c>
      <c r="I10185" s="626">
        <f>IFERROR(G10185*VLOOKUP($E10185,BD!$L$2:$Q$244,5,0),0)</f>
        <v>0</v>
      </c>
      <c r="J10185" s="3">
        <f t="shared" si="637"/>
        <v>1900</v>
      </c>
    </row>
    <row r="10186" spans="1:10" s="9" customFormat="1" x14ac:dyDescent="0.25">
      <c r="A10186" s="447"/>
      <c r="B10186" s="55" t="str">
        <f t="shared" si="634"/>
        <v>ENERO</v>
      </c>
      <c r="C10186" s="55">
        <f t="shared" si="635"/>
        <v>1</v>
      </c>
      <c r="D10186" s="3" t="str">
        <f t="shared" si="636"/>
        <v>SÁBADO</v>
      </c>
      <c r="E10186" s="427"/>
      <c r="F10186" s="31">
        <f>IFERROR(VLOOKUP(E10186,BD!$L$2:$Q$244,2,0),0)</f>
        <v>0</v>
      </c>
      <c r="G10186" s="424"/>
      <c r="H10186" s="31">
        <f>+IFERROR(VLOOKUP(E10186,BD!$L$2:$Q$244,6,0),0)</f>
        <v>0</v>
      </c>
      <c r="I10186" s="626">
        <f>IFERROR(G10186*VLOOKUP($E10186,BD!$L$2:$Q$244,5,0),0)</f>
        <v>0</v>
      </c>
      <c r="J10186" s="3">
        <f t="shared" si="637"/>
        <v>1900</v>
      </c>
    </row>
    <row r="10187" spans="1:10" s="9" customFormat="1" x14ac:dyDescent="0.25">
      <c r="A10187" s="447"/>
      <c r="B10187" s="55" t="str">
        <f t="shared" si="634"/>
        <v>ENERO</v>
      </c>
      <c r="C10187" s="55">
        <f t="shared" si="635"/>
        <v>1</v>
      </c>
      <c r="D10187" s="3" t="str">
        <f t="shared" si="636"/>
        <v>SÁBADO</v>
      </c>
      <c r="E10187" s="427"/>
      <c r="F10187" s="31">
        <f>IFERROR(VLOOKUP(E10187,BD!$L$2:$Q$244,2,0),0)</f>
        <v>0</v>
      </c>
      <c r="G10187" s="424"/>
      <c r="H10187" s="31">
        <f>+IFERROR(VLOOKUP(E10187,BD!$L$2:$Q$244,6,0),0)</f>
        <v>0</v>
      </c>
      <c r="I10187" s="626">
        <f>IFERROR(G10187*VLOOKUP($E10187,BD!$L$2:$Q$244,5,0),0)</f>
        <v>0</v>
      </c>
      <c r="J10187" s="3">
        <f t="shared" si="637"/>
        <v>1900</v>
      </c>
    </row>
    <row r="10188" spans="1:10" s="9" customFormat="1" x14ac:dyDescent="0.25">
      <c r="A10188" s="447"/>
      <c r="B10188" s="55" t="str">
        <f t="shared" si="634"/>
        <v>ENERO</v>
      </c>
      <c r="C10188" s="55">
        <f t="shared" si="635"/>
        <v>1</v>
      </c>
      <c r="D10188" s="3" t="str">
        <f t="shared" si="636"/>
        <v>SÁBADO</v>
      </c>
      <c r="E10188" s="427"/>
      <c r="F10188" s="31">
        <f>IFERROR(VLOOKUP(E10188,BD!$L$2:$Q$244,2,0),0)</f>
        <v>0</v>
      </c>
      <c r="G10188" s="424"/>
      <c r="H10188" s="31">
        <f>+IFERROR(VLOOKUP(E10188,BD!$L$2:$Q$244,6,0),0)</f>
        <v>0</v>
      </c>
      <c r="I10188" s="626">
        <f>IFERROR(G10188*VLOOKUP($E10188,BD!$L$2:$Q$244,5,0),0)</f>
        <v>0</v>
      </c>
      <c r="J10188" s="3">
        <f t="shared" si="637"/>
        <v>1900</v>
      </c>
    </row>
    <row r="10189" spans="1:10" s="9" customFormat="1" x14ac:dyDescent="0.25">
      <c r="A10189" s="447"/>
      <c r="B10189" s="55" t="str">
        <f t="shared" si="634"/>
        <v>ENERO</v>
      </c>
      <c r="C10189" s="55">
        <f t="shared" si="635"/>
        <v>1</v>
      </c>
      <c r="D10189" s="3" t="str">
        <f t="shared" si="636"/>
        <v>SÁBADO</v>
      </c>
      <c r="E10189" s="427"/>
      <c r="F10189" s="31">
        <f>IFERROR(VLOOKUP(E10189,BD!$L$2:$Q$244,2,0),0)</f>
        <v>0</v>
      </c>
      <c r="G10189" s="424"/>
      <c r="H10189" s="31">
        <f>+IFERROR(VLOOKUP(E10189,BD!$L$2:$Q$244,6,0),0)</f>
        <v>0</v>
      </c>
      <c r="I10189" s="626">
        <f>IFERROR(G10189*VLOOKUP($E10189,BD!$L$2:$Q$244,5,0),0)</f>
        <v>0</v>
      </c>
      <c r="J10189" s="3">
        <f t="shared" si="637"/>
        <v>1900</v>
      </c>
    </row>
    <row r="10190" spans="1:10" s="9" customFormat="1" x14ac:dyDescent="0.25">
      <c r="A10190" s="447"/>
      <c r="B10190" s="55" t="str">
        <f t="shared" si="634"/>
        <v>ENERO</v>
      </c>
      <c r="C10190" s="55">
        <f t="shared" si="635"/>
        <v>1</v>
      </c>
      <c r="D10190" s="3" t="str">
        <f t="shared" si="636"/>
        <v>SÁBADO</v>
      </c>
      <c r="E10190" s="427"/>
      <c r="F10190" s="31">
        <f>IFERROR(VLOOKUP(E10190,BD!$L$2:$Q$244,2,0),0)</f>
        <v>0</v>
      </c>
      <c r="G10190" s="425"/>
      <c r="H10190" s="31">
        <f>+IFERROR(VLOOKUP(E10190,BD!$L$2:$Q$244,6,0),0)</f>
        <v>0</v>
      </c>
      <c r="I10190" s="626">
        <f>IFERROR(G10190*VLOOKUP($E10190,BD!$L$2:$Q$244,5,0),0)</f>
        <v>0</v>
      </c>
      <c r="J10190" s="3">
        <f t="shared" si="637"/>
        <v>1900</v>
      </c>
    </row>
    <row r="10191" spans="1:10" s="9" customFormat="1" x14ac:dyDescent="0.25">
      <c r="A10191" s="447"/>
      <c r="B10191" s="55" t="str">
        <f t="shared" si="634"/>
        <v>ENERO</v>
      </c>
      <c r="C10191" s="55">
        <f t="shared" si="635"/>
        <v>1</v>
      </c>
      <c r="D10191" s="3" t="str">
        <f t="shared" si="636"/>
        <v>SÁBADO</v>
      </c>
      <c r="E10191" s="427"/>
      <c r="F10191" s="31">
        <f>IFERROR(VLOOKUP(E10191,BD!$L$2:$Q$244,2,0),0)</f>
        <v>0</v>
      </c>
      <c r="G10191" s="424"/>
      <c r="H10191" s="31">
        <f>+IFERROR(VLOOKUP(E10191,BD!$L$2:$Q$244,6,0),0)</f>
        <v>0</v>
      </c>
      <c r="I10191" s="626">
        <f>IFERROR(G10191*VLOOKUP($E10191,BD!$L$2:$Q$244,5,0),0)</f>
        <v>0</v>
      </c>
      <c r="J10191" s="3">
        <f t="shared" si="637"/>
        <v>1900</v>
      </c>
    </row>
    <row r="10192" spans="1:10" s="9" customFormat="1" x14ac:dyDescent="0.25">
      <c r="A10192" s="447"/>
      <c r="B10192" s="55" t="str">
        <f t="shared" si="634"/>
        <v>ENERO</v>
      </c>
      <c r="C10192" s="55">
        <f t="shared" si="635"/>
        <v>1</v>
      </c>
      <c r="D10192" s="3" t="str">
        <f t="shared" si="636"/>
        <v>SÁBADO</v>
      </c>
      <c r="E10192" s="427"/>
      <c r="F10192" s="31">
        <f>IFERROR(VLOOKUP(E10192,BD!$L$2:$Q$244,2,0),0)</f>
        <v>0</v>
      </c>
      <c r="G10192" s="424"/>
      <c r="H10192" s="31">
        <f>+IFERROR(VLOOKUP(E10192,BD!$L$2:$Q$244,6,0),0)</f>
        <v>0</v>
      </c>
      <c r="I10192" s="626">
        <f>IFERROR(G10192*VLOOKUP($E10192,BD!$L$2:$Q$244,5,0),0)</f>
        <v>0</v>
      </c>
      <c r="J10192" s="3">
        <f t="shared" si="637"/>
        <v>1900</v>
      </c>
    </row>
    <row r="10193" spans="1:10" s="9" customFormat="1" x14ac:dyDescent="0.25">
      <c r="A10193" s="447"/>
      <c r="B10193" s="55" t="str">
        <f t="shared" si="634"/>
        <v>ENERO</v>
      </c>
      <c r="C10193" s="55">
        <f t="shared" si="635"/>
        <v>1</v>
      </c>
      <c r="D10193" s="3" t="str">
        <f t="shared" si="636"/>
        <v>SÁBADO</v>
      </c>
      <c r="E10193" s="427"/>
      <c r="F10193" s="31">
        <f>IFERROR(VLOOKUP(E10193,BD!$L$2:$Q$244,2,0),0)</f>
        <v>0</v>
      </c>
      <c r="G10193" s="424"/>
      <c r="H10193" s="31">
        <f>+IFERROR(VLOOKUP(E10193,BD!$L$2:$Q$244,6,0),0)</f>
        <v>0</v>
      </c>
      <c r="I10193" s="626">
        <f>IFERROR(G10193*VLOOKUP($E10193,BD!$L$2:$Q$244,5,0),0)</f>
        <v>0</v>
      </c>
      <c r="J10193" s="3">
        <f t="shared" si="637"/>
        <v>1900</v>
      </c>
    </row>
    <row r="10194" spans="1:10" s="9" customFormat="1" x14ac:dyDescent="0.25">
      <c r="A10194" s="447"/>
      <c r="B10194" s="55" t="str">
        <f t="shared" si="634"/>
        <v>ENERO</v>
      </c>
      <c r="C10194" s="55">
        <f t="shared" si="635"/>
        <v>1</v>
      </c>
      <c r="D10194" s="3" t="str">
        <f t="shared" si="636"/>
        <v>SÁBADO</v>
      </c>
      <c r="E10194" s="427"/>
      <c r="F10194" s="31">
        <f>IFERROR(VLOOKUP(E10194,BD!$L$2:$Q$244,2,0),0)</f>
        <v>0</v>
      </c>
      <c r="G10194" s="424"/>
      <c r="H10194" s="31">
        <f>+IFERROR(VLOOKUP(E10194,BD!$L$2:$Q$244,6,0),0)</f>
        <v>0</v>
      </c>
      <c r="I10194" s="626">
        <f>IFERROR(G10194*VLOOKUP($E10194,BD!$L$2:$Q$244,5,0),0)</f>
        <v>0</v>
      </c>
      <c r="J10194" s="3">
        <f t="shared" si="637"/>
        <v>1900</v>
      </c>
    </row>
    <row r="10195" spans="1:10" s="9" customFormat="1" x14ac:dyDescent="0.25">
      <c r="A10195" s="447"/>
      <c r="B10195" s="55" t="str">
        <f t="shared" si="634"/>
        <v>ENERO</v>
      </c>
      <c r="C10195" s="55">
        <f t="shared" si="635"/>
        <v>1</v>
      </c>
      <c r="D10195" s="3" t="str">
        <f t="shared" si="636"/>
        <v>SÁBADO</v>
      </c>
      <c r="E10195" s="427"/>
      <c r="F10195" s="31">
        <f>IFERROR(VLOOKUP(E10195,BD!$L$2:$Q$244,2,0),0)</f>
        <v>0</v>
      </c>
      <c r="G10195" s="424"/>
      <c r="H10195" s="31">
        <f>+IFERROR(VLOOKUP(E10195,BD!$L$2:$Q$244,6,0),0)</f>
        <v>0</v>
      </c>
      <c r="I10195" s="626">
        <f>IFERROR(G10195*VLOOKUP($E10195,BD!$L$2:$Q$244,5,0),0)</f>
        <v>0</v>
      </c>
      <c r="J10195" s="3">
        <f t="shared" si="637"/>
        <v>1900</v>
      </c>
    </row>
    <row r="10196" spans="1:10" s="9" customFormat="1" x14ac:dyDescent="0.25">
      <c r="A10196" s="447"/>
      <c r="B10196" s="55" t="str">
        <f t="shared" si="634"/>
        <v>ENERO</v>
      </c>
      <c r="C10196" s="55">
        <f t="shared" si="635"/>
        <v>1</v>
      </c>
      <c r="D10196" s="3" t="str">
        <f t="shared" si="636"/>
        <v>SÁBADO</v>
      </c>
      <c r="E10196" s="427"/>
      <c r="F10196" s="31">
        <f>IFERROR(VLOOKUP(E10196,BD!$L$2:$Q$244,2,0),0)</f>
        <v>0</v>
      </c>
      <c r="G10196" s="424"/>
      <c r="H10196" s="31">
        <f>+IFERROR(VLOOKUP(E10196,BD!$L$2:$Q$244,6,0),0)</f>
        <v>0</v>
      </c>
      <c r="I10196" s="626">
        <f>IFERROR(G10196*VLOOKUP($E10196,BD!$L$2:$Q$244,5,0),0)</f>
        <v>0</v>
      </c>
      <c r="J10196" s="3">
        <f t="shared" si="637"/>
        <v>1900</v>
      </c>
    </row>
    <row r="10197" spans="1:10" s="9" customFormat="1" x14ac:dyDescent="0.25">
      <c r="A10197" s="447"/>
      <c r="B10197" s="55" t="str">
        <f t="shared" si="634"/>
        <v>ENERO</v>
      </c>
      <c r="C10197" s="55">
        <f t="shared" si="635"/>
        <v>1</v>
      </c>
      <c r="D10197" s="3" t="str">
        <f t="shared" si="636"/>
        <v>SÁBADO</v>
      </c>
      <c r="E10197" s="427"/>
      <c r="F10197" s="31">
        <f>IFERROR(VLOOKUP(E10197,BD!$L$2:$Q$244,2,0),0)</f>
        <v>0</v>
      </c>
      <c r="G10197" s="424"/>
      <c r="H10197" s="31">
        <f>+IFERROR(VLOOKUP(E10197,BD!$L$2:$Q$244,6,0),0)</f>
        <v>0</v>
      </c>
      <c r="I10197" s="626">
        <f>IFERROR(G10197*VLOOKUP($E10197,BD!$L$2:$Q$244,5,0),0)</f>
        <v>0</v>
      </c>
      <c r="J10197" s="3">
        <f t="shared" si="637"/>
        <v>1900</v>
      </c>
    </row>
    <row r="10198" spans="1:10" s="9" customFormat="1" x14ac:dyDescent="0.25">
      <c r="A10198" s="447"/>
      <c r="B10198" s="55" t="str">
        <f t="shared" si="634"/>
        <v>ENERO</v>
      </c>
      <c r="C10198" s="55">
        <f t="shared" si="635"/>
        <v>1</v>
      </c>
      <c r="D10198" s="3" t="str">
        <f t="shared" si="636"/>
        <v>SÁBADO</v>
      </c>
      <c r="E10198" s="427"/>
      <c r="F10198" s="31">
        <f>IFERROR(VLOOKUP(E10198,BD!$L$2:$Q$244,2,0),0)</f>
        <v>0</v>
      </c>
      <c r="G10198" s="424"/>
      <c r="H10198" s="31">
        <f>+IFERROR(VLOOKUP(E10198,BD!$L$2:$Q$244,6,0),0)</f>
        <v>0</v>
      </c>
      <c r="I10198" s="626">
        <f>IFERROR(G10198*VLOOKUP($E10198,BD!$L$2:$Q$244,5,0),0)</f>
        <v>0</v>
      </c>
      <c r="J10198" s="3">
        <f t="shared" si="637"/>
        <v>1900</v>
      </c>
    </row>
    <row r="10199" spans="1:10" s="9" customFormat="1" x14ac:dyDescent="0.25">
      <c r="A10199" s="447"/>
      <c r="B10199" s="55" t="str">
        <f t="shared" si="634"/>
        <v>ENERO</v>
      </c>
      <c r="C10199" s="55">
        <f t="shared" si="635"/>
        <v>1</v>
      </c>
      <c r="D10199" s="3" t="str">
        <f t="shared" si="636"/>
        <v>SÁBADO</v>
      </c>
      <c r="E10199" s="427"/>
      <c r="F10199" s="31">
        <f>IFERROR(VLOOKUP(E10199,BD!$L$2:$Q$244,2,0),0)</f>
        <v>0</v>
      </c>
      <c r="G10199" s="424"/>
      <c r="H10199" s="31">
        <f>+IFERROR(VLOOKUP(E10199,BD!$L$2:$Q$244,6,0),0)</f>
        <v>0</v>
      </c>
      <c r="I10199" s="626">
        <f>IFERROR(G10199*VLOOKUP($E10199,BD!$L$2:$Q$244,5,0),0)</f>
        <v>0</v>
      </c>
      <c r="J10199" s="3">
        <f t="shared" si="637"/>
        <v>1900</v>
      </c>
    </row>
    <row r="10200" spans="1:10" s="9" customFormat="1" x14ac:dyDescent="0.25">
      <c r="A10200" s="447"/>
      <c r="B10200" s="55" t="str">
        <f t="shared" si="634"/>
        <v>ENERO</v>
      </c>
      <c r="C10200" s="55">
        <f t="shared" si="635"/>
        <v>1</v>
      </c>
      <c r="D10200" s="3" t="str">
        <f t="shared" si="636"/>
        <v>SÁBADO</v>
      </c>
      <c r="E10200" s="427"/>
      <c r="F10200" s="31">
        <f>IFERROR(VLOOKUP(E10200,BD!$L$2:$Q$244,2,0),0)</f>
        <v>0</v>
      </c>
      <c r="G10200" s="424"/>
      <c r="H10200" s="31">
        <f>+IFERROR(VLOOKUP(E10200,BD!$L$2:$Q$244,6,0),0)</f>
        <v>0</v>
      </c>
      <c r="I10200" s="626">
        <f>IFERROR(G10200*VLOOKUP($E10200,BD!$L$2:$Q$244,5,0),0)</f>
        <v>0</v>
      </c>
      <c r="J10200" s="3">
        <f t="shared" si="637"/>
        <v>1900</v>
      </c>
    </row>
    <row r="10201" spans="1:10" s="9" customFormat="1" x14ac:dyDescent="0.25">
      <c r="A10201" s="447"/>
      <c r="B10201" s="55" t="str">
        <f t="shared" si="634"/>
        <v>ENERO</v>
      </c>
      <c r="C10201" s="55">
        <f t="shared" si="635"/>
        <v>1</v>
      </c>
      <c r="D10201" s="3" t="str">
        <f t="shared" si="636"/>
        <v>SÁBADO</v>
      </c>
      <c r="E10201" s="427"/>
      <c r="F10201" s="31">
        <f>IFERROR(VLOOKUP(E10201,BD!$L$2:$Q$244,2,0),0)</f>
        <v>0</v>
      </c>
      <c r="G10201" s="424"/>
      <c r="H10201" s="31">
        <f>+IFERROR(VLOOKUP(E10201,BD!$L$2:$Q$244,6,0),0)</f>
        <v>0</v>
      </c>
      <c r="I10201" s="626">
        <f>IFERROR(G10201*VLOOKUP($E10201,BD!$L$2:$Q$244,5,0),0)</f>
        <v>0</v>
      </c>
      <c r="J10201" s="3">
        <f t="shared" si="637"/>
        <v>1900</v>
      </c>
    </row>
    <row r="10202" spans="1:10" s="9" customFormat="1" x14ac:dyDescent="0.25">
      <c r="A10202" s="447"/>
      <c r="B10202" s="55" t="str">
        <f t="shared" si="634"/>
        <v>ENERO</v>
      </c>
      <c r="C10202" s="55">
        <f t="shared" si="635"/>
        <v>1</v>
      </c>
      <c r="D10202" s="3" t="str">
        <f t="shared" si="636"/>
        <v>SÁBADO</v>
      </c>
      <c r="E10202" s="427"/>
      <c r="F10202" s="31">
        <f>IFERROR(VLOOKUP(E10202,BD!$L$2:$Q$244,2,0),0)</f>
        <v>0</v>
      </c>
      <c r="G10202" s="424"/>
      <c r="H10202" s="31">
        <f>+IFERROR(VLOOKUP(E10202,BD!$L$2:$Q$244,6,0),0)</f>
        <v>0</v>
      </c>
      <c r="I10202" s="626">
        <f>IFERROR(G10202*VLOOKUP($E10202,BD!$L$2:$Q$244,5,0),0)</f>
        <v>0</v>
      </c>
      <c r="J10202" s="3">
        <f t="shared" si="637"/>
        <v>1900</v>
      </c>
    </row>
    <row r="10203" spans="1:10" s="9" customFormat="1" x14ac:dyDescent="0.25">
      <c r="A10203" s="447"/>
      <c r="B10203" s="55" t="str">
        <f t="shared" si="634"/>
        <v>ENERO</v>
      </c>
      <c r="C10203" s="55">
        <f t="shared" si="635"/>
        <v>1</v>
      </c>
      <c r="D10203" s="3" t="str">
        <f t="shared" si="636"/>
        <v>SÁBADO</v>
      </c>
      <c r="E10203" s="427"/>
      <c r="F10203" s="31">
        <f>IFERROR(VLOOKUP(E10203,BD!$L$2:$Q$244,2,0),0)</f>
        <v>0</v>
      </c>
      <c r="G10203" s="424"/>
      <c r="H10203" s="31">
        <f>+IFERROR(VLOOKUP(E10203,BD!$L$2:$Q$244,6,0),0)</f>
        <v>0</v>
      </c>
      <c r="I10203" s="626">
        <f>IFERROR(G10203*VLOOKUP($E10203,BD!$L$2:$Q$244,5,0),0)</f>
        <v>0</v>
      </c>
      <c r="J10203" s="3">
        <f t="shared" si="637"/>
        <v>1900</v>
      </c>
    </row>
    <row r="10204" spans="1:10" s="9" customFormat="1" x14ac:dyDescent="0.25">
      <c r="A10204" s="447"/>
      <c r="B10204" s="55" t="str">
        <f t="shared" si="634"/>
        <v>ENERO</v>
      </c>
      <c r="C10204" s="55">
        <f t="shared" si="635"/>
        <v>1</v>
      </c>
      <c r="D10204" s="3" t="str">
        <f t="shared" si="636"/>
        <v>SÁBADO</v>
      </c>
      <c r="E10204" s="427"/>
      <c r="F10204" s="31">
        <f>IFERROR(VLOOKUP(E10204,BD!$L$2:$Q$244,2,0),0)</f>
        <v>0</v>
      </c>
      <c r="G10204" s="425"/>
      <c r="H10204" s="31">
        <f>+IFERROR(VLOOKUP(E10204,BD!$L$2:$Q$244,6,0),0)</f>
        <v>0</v>
      </c>
      <c r="I10204" s="626">
        <f>IFERROR(G10204*VLOOKUP($E10204,BD!$L$2:$Q$244,5,0),0)</f>
        <v>0</v>
      </c>
      <c r="J10204" s="3">
        <f t="shared" si="637"/>
        <v>1900</v>
      </c>
    </row>
    <row r="10205" spans="1:10" s="9" customFormat="1" x14ac:dyDescent="0.25">
      <c r="A10205" s="447"/>
      <c r="B10205" s="55" t="str">
        <f t="shared" si="634"/>
        <v>ENERO</v>
      </c>
      <c r="C10205" s="55">
        <f t="shared" si="635"/>
        <v>1</v>
      </c>
      <c r="D10205" s="3" t="str">
        <f t="shared" si="636"/>
        <v>SÁBADO</v>
      </c>
      <c r="E10205" s="427"/>
      <c r="F10205" s="31">
        <f>IFERROR(VLOOKUP(E10205,BD!$L$2:$Q$244,2,0),0)</f>
        <v>0</v>
      </c>
      <c r="G10205" s="424"/>
      <c r="H10205" s="31">
        <f>+IFERROR(VLOOKUP(E10205,BD!$L$2:$Q$244,6,0),0)</f>
        <v>0</v>
      </c>
      <c r="I10205" s="626">
        <f>IFERROR(G10205*VLOOKUP($E10205,BD!$L$2:$Q$244,5,0),0)</f>
        <v>0</v>
      </c>
      <c r="J10205" s="3">
        <f t="shared" si="637"/>
        <v>1900</v>
      </c>
    </row>
    <row r="10206" spans="1:10" s="9" customFormat="1" x14ac:dyDescent="0.25">
      <c r="A10206" s="447"/>
      <c r="B10206" s="55" t="str">
        <f t="shared" si="634"/>
        <v>ENERO</v>
      </c>
      <c r="C10206" s="55">
        <f t="shared" si="635"/>
        <v>1</v>
      </c>
      <c r="D10206" s="3" t="str">
        <f t="shared" si="636"/>
        <v>SÁBADO</v>
      </c>
      <c r="E10206" s="427"/>
      <c r="F10206" s="31">
        <f>IFERROR(VLOOKUP(E10206,BD!$L$2:$Q$244,2,0),0)</f>
        <v>0</v>
      </c>
      <c r="G10206" s="424"/>
      <c r="H10206" s="31">
        <f>+IFERROR(VLOOKUP(E10206,BD!$L$2:$Q$244,6,0),0)</f>
        <v>0</v>
      </c>
      <c r="I10206" s="626">
        <f>IFERROR(G10206*VLOOKUP($E10206,BD!$L$2:$Q$244,5,0),0)</f>
        <v>0</v>
      </c>
      <c r="J10206" s="3">
        <f t="shared" si="637"/>
        <v>1900</v>
      </c>
    </row>
    <row r="10207" spans="1:10" s="9" customFormat="1" x14ac:dyDescent="0.25">
      <c r="A10207" s="447"/>
      <c r="B10207" s="55" t="str">
        <f t="shared" si="634"/>
        <v>ENERO</v>
      </c>
      <c r="C10207" s="55">
        <f t="shared" si="635"/>
        <v>1</v>
      </c>
      <c r="D10207" s="3" t="str">
        <f t="shared" si="636"/>
        <v>SÁBADO</v>
      </c>
      <c r="E10207" s="427"/>
      <c r="F10207" s="31">
        <f>IFERROR(VLOOKUP(E10207,BD!$L$2:$Q$244,2,0),0)</f>
        <v>0</v>
      </c>
      <c r="G10207" s="424"/>
      <c r="H10207" s="31">
        <f>+IFERROR(VLOOKUP(E10207,BD!$L$2:$Q$244,6,0),0)</f>
        <v>0</v>
      </c>
      <c r="I10207" s="626">
        <f>IFERROR(G10207*VLOOKUP($E10207,BD!$L$2:$Q$244,5,0),0)</f>
        <v>0</v>
      </c>
      <c r="J10207" s="3">
        <f t="shared" si="637"/>
        <v>1900</v>
      </c>
    </row>
    <row r="10208" spans="1:10" s="9" customFormat="1" x14ac:dyDescent="0.25">
      <c r="A10208" s="447"/>
      <c r="B10208" s="55" t="str">
        <f t="shared" si="634"/>
        <v>ENERO</v>
      </c>
      <c r="C10208" s="55">
        <f t="shared" si="635"/>
        <v>1</v>
      </c>
      <c r="D10208" s="3" t="str">
        <f t="shared" si="636"/>
        <v>SÁBADO</v>
      </c>
      <c r="E10208" s="427"/>
      <c r="F10208" s="31">
        <f>IFERROR(VLOOKUP(E10208,BD!$L$2:$Q$244,2,0),0)</f>
        <v>0</v>
      </c>
      <c r="G10208" s="424"/>
      <c r="H10208" s="31">
        <f>+IFERROR(VLOOKUP(E10208,BD!$L$2:$Q$244,6,0),0)</f>
        <v>0</v>
      </c>
      <c r="I10208" s="626">
        <f>IFERROR(G10208*VLOOKUP($E10208,BD!$L$2:$Q$244,5,0),0)</f>
        <v>0</v>
      </c>
      <c r="J10208" s="3">
        <f t="shared" si="637"/>
        <v>1900</v>
      </c>
    </row>
    <row r="10209" spans="1:10" s="9" customFormat="1" x14ac:dyDescent="0.25">
      <c r="A10209" s="447"/>
      <c r="B10209" s="55" t="str">
        <f t="shared" si="634"/>
        <v>ENERO</v>
      </c>
      <c r="C10209" s="55">
        <f t="shared" si="635"/>
        <v>1</v>
      </c>
      <c r="D10209" s="3" t="str">
        <f t="shared" si="636"/>
        <v>SÁBADO</v>
      </c>
      <c r="E10209" s="427"/>
      <c r="F10209" s="31">
        <f>IFERROR(VLOOKUP(E10209,BD!$L$2:$Q$244,2,0),0)</f>
        <v>0</v>
      </c>
      <c r="G10209" s="424"/>
      <c r="H10209" s="31">
        <f>+IFERROR(VLOOKUP(E10209,BD!$L$2:$Q$244,6,0),0)</f>
        <v>0</v>
      </c>
      <c r="I10209" s="626">
        <f>IFERROR(G10209*VLOOKUP($E10209,BD!$L$2:$Q$244,5,0),0)</f>
        <v>0</v>
      </c>
      <c r="J10209" s="3">
        <f t="shared" si="637"/>
        <v>1900</v>
      </c>
    </row>
    <row r="10210" spans="1:10" s="9" customFormat="1" x14ac:dyDescent="0.25">
      <c r="A10210" s="447"/>
      <c r="B10210" s="55" t="str">
        <f t="shared" si="634"/>
        <v>ENERO</v>
      </c>
      <c r="C10210" s="55">
        <f t="shared" si="635"/>
        <v>1</v>
      </c>
      <c r="D10210" s="3" t="str">
        <f t="shared" si="636"/>
        <v>SÁBADO</v>
      </c>
      <c r="E10210" s="427"/>
      <c r="F10210" s="31">
        <f>IFERROR(VLOOKUP(E10210,BD!$L$2:$Q$244,2,0),0)</f>
        <v>0</v>
      </c>
      <c r="G10210" s="424"/>
      <c r="H10210" s="31">
        <f>+IFERROR(VLOOKUP(E10210,BD!$L$2:$Q$244,6,0),0)</f>
        <v>0</v>
      </c>
      <c r="I10210" s="626">
        <f>IFERROR(G10210*VLOOKUP($E10210,BD!$L$2:$Q$244,5,0),0)</f>
        <v>0</v>
      </c>
      <c r="J10210" s="3">
        <f t="shared" si="637"/>
        <v>1900</v>
      </c>
    </row>
    <row r="10211" spans="1:10" s="9" customFormat="1" x14ac:dyDescent="0.25">
      <c r="A10211" s="447"/>
      <c r="B10211" s="55" t="str">
        <f t="shared" si="634"/>
        <v>ENERO</v>
      </c>
      <c r="C10211" s="55">
        <f t="shared" si="635"/>
        <v>1</v>
      </c>
      <c r="D10211" s="3" t="str">
        <f t="shared" si="636"/>
        <v>SÁBADO</v>
      </c>
      <c r="E10211" s="427"/>
      <c r="F10211" s="31">
        <f>IFERROR(VLOOKUP(E10211,BD!$L$2:$Q$244,2,0),0)</f>
        <v>0</v>
      </c>
      <c r="G10211" s="424"/>
      <c r="H10211" s="31">
        <f>+IFERROR(VLOOKUP(E10211,BD!$L$2:$Q$244,6,0),0)</f>
        <v>0</v>
      </c>
      <c r="I10211" s="626">
        <f>IFERROR(G10211*VLOOKUP($E10211,BD!$L$2:$Q$244,5,0),0)</f>
        <v>0</v>
      </c>
      <c r="J10211" s="3">
        <f t="shared" si="637"/>
        <v>1900</v>
      </c>
    </row>
    <row r="10212" spans="1:10" s="9" customFormat="1" x14ac:dyDescent="0.25">
      <c r="A10212" s="447"/>
      <c r="B10212" s="55" t="str">
        <f t="shared" si="634"/>
        <v>ENERO</v>
      </c>
      <c r="C10212" s="55">
        <f t="shared" si="635"/>
        <v>1</v>
      </c>
      <c r="D10212" s="3" t="str">
        <f t="shared" si="636"/>
        <v>SÁBADO</v>
      </c>
      <c r="E10212" s="427"/>
      <c r="F10212" s="31">
        <f>IFERROR(VLOOKUP(E10212,BD!$L$2:$Q$244,2,0),0)</f>
        <v>0</v>
      </c>
      <c r="G10212" s="424"/>
      <c r="H10212" s="31">
        <f>+IFERROR(VLOOKUP(E10212,BD!$L$2:$Q$244,6,0),0)</f>
        <v>0</v>
      </c>
      <c r="I10212" s="626">
        <f>IFERROR(G10212*VLOOKUP($E10212,BD!$L$2:$Q$244,5,0),0)</f>
        <v>0</v>
      </c>
      <c r="J10212" s="3">
        <f t="shared" si="637"/>
        <v>1900</v>
      </c>
    </row>
    <row r="10213" spans="1:10" s="9" customFormat="1" x14ac:dyDescent="0.25">
      <c r="A10213" s="447"/>
      <c r="B10213" s="55" t="str">
        <f t="shared" si="634"/>
        <v>ENERO</v>
      </c>
      <c r="C10213" s="55">
        <f t="shared" si="635"/>
        <v>1</v>
      </c>
      <c r="D10213" s="3" t="str">
        <f t="shared" si="636"/>
        <v>SÁBADO</v>
      </c>
      <c r="E10213" s="427"/>
      <c r="F10213" s="31">
        <f>IFERROR(VLOOKUP(E10213,BD!$L$2:$Q$244,2,0),0)</f>
        <v>0</v>
      </c>
      <c r="G10213" s="424"/>
      <c r="H10213" s="31">
        <f>+IFERROR(VLOOKUP(E10213,BD!$L$2:$Q$244,6,0),0)</f>
        <v>0</v>
      </c>
      <c r="I10213" s="626">
        <f>IFERROR(G10213*VLOOKUP($E10213,BD!$L$2:$Q$244,5,0),0)</f>
        <v>0</v>
      </c>
      <c r="J10213" s="3">
        <f t="shared" si="637"/>
        <v>1900</v>
      </c>
    </row>
    <row r="10214" spans="1:10" s="9" customFormat="1" x14ac:dyDescent="0.25">
      <c r="A10214" s="447"/>
      <c r="B10214" s="55" t="str">
        <f t="shared" si="634"/>
        <v>ENERO</v>
      </c>
      <c r="C10214" s="55">
        <f t="shared" si="635"/>
        <v>1</v>
      </c>
      <c r="D10214" s="3" t="str">
        <f t="shared" si="636"/>
        <v>SÁBADO</v>
      </c>
      <c r="E10214" s="427"/>
      <c r="F10214" s="31">
        <f>IFERROR(VLOOKUP(E10214,BD!$L$2:$Q$244,2,0),0)</f>
        <v>0</v>
      </c>
      <c r="G10214" s="424"/>
      <c r="H10214" s="31">
        <f>+IFERROR(VLOOKUP(E10214,BD!$L$2:$Q$244,6,0),0)</f>
        <v>0</v>
      </c>
      <c r="I10214" s="626">
        <f>IFERROR(G10214*VLOOKUP($E10214,BD!$L$2:$Q$244,5,0),0)</f>
        <v>0</v>
      </c>
      <c r="J10214" s="3">
        <f t="shared" si="637"/>
        <v>1900</v>
      </c>
    </row>
    <row r="10215" spans="1:10" s="9" customFormat="1" x14ac:dyDescent="0.25">
      <c r="A10215" s="447"/>
      <c r="B10215" s="55" t="str">
        <f t="shared" si="634"/>
        <v>ENERO</v>
      </c>
      <c r="C10215" s="55">
        <f t="shared" si="635"/>
        <v>1</v>
      </c>
      <c r="D10215" s="3" t="str">
        <f t="shared" si="636"/>
        <v>SÁBADO</v>
      </c>
      <c r="E10215" s="427"/>
      <c r="F10215" s="31">
        <f>IFERROR(VLOOKUP(E10215,BD!$L$2:$Q$244,2,0),0)</f>
        <v>0</v>
      </c>
      <c r="G10215" s="424"/>
      <c r="H10215" s="31">
        <f>+IFERROR(VLOOKUP(E10215,BD!$L$2:$Q$244,6,0),0)</f>
        <v>0</v>
      </c>
      <c r="I10215" s="626">
        <f>IFERROR(G10215*VLOOKUP($E10215,BD!$L$2:$Q$244,5,0),0)</f>
        <v>0</v>
      </c>
      <c r="J10215" s="3">
        <f t="shared" si="637"/>
        <v>1900</v>
      </c>
    </row>
    <row r="10216" spans="1:10" s="9" customFormat="1" x14ac:dyDescent="0.25">
      <c r="A10216" s="447"/>
      <c r="B10216" s="55" t="str">
        <f t="shared" si="634"/>
        <v>ENERO</v>
      </c>
      <c r="C10216" s="55">
        <f t="shared" si="635"/>
        <v>1</v>
      </c>
      <c r="D10216" s="3" t="str">
        <f t="shared" si="636"/>
        <v>SÁBADO</v>
      </c>
      <c r="E10216" s="427"/>
      <c r="F10216" s="31">
        <f>IFERROR(VLOOKUP(E10216,BD!$L$2:$Q$244,2,0),0)</f>
        <v>0</v>
      </c>
      <c r="G10216" s="424"/>
      <c r="H10216" s="31">
        <f>+IFERROR(VLOOKUP(E10216,BD!$L$2:$Q$244,6,0),0)</f>
        <v>0</v>
      </c>
      <c r="I10216" s="626">
        <f>IFERROR(G10216*VLOOKUP($E10216,BD!$L$2:$Q$244,5,0),0)</f>
        <v>0</v>
      </c>
      <c r="J10216" s="3">
        <f t="shared" si="637"/>
        <v>1900</v>
      </c>
    </row>
    <row r="10217" spans="1:10" s="9" customFormat="1" x14ac:dyDescent="0.25">
      <c r="A10217" s="447"/>
      <c r="B10217" s="55" t="str">
        <f t="shared" si="634"/>
        <v>ENERO</v>
      </c>
      <c r="C10217" s="55">
        <f t="shared" si="635"/>
        <v>1</v>
      </c>
      <c r="D10217" s="3" t="str">
        <f t="shared" si="636"/>
        <v>SÁBADO</v>
      </c>
      <c r="E10217" s="427"/>
      <c r="F10217" s="31">
        <f>IFERROR(VLOOKUP(E10217,BD!$L$2:$Q$244,2,0),0)</f>
        <v>0</v>
      </c>
      <c r="G10217" s="424"/>
      <c r="H10217" s="31">
        <f>+IFERROR(VLOOKUP(E10217,BD!$L$2:$Q$244,6,0),0)</f>
        <v>0</v>
      </c>
      <c r="I10217" s="626">
        <f>IFERROR(G10217*VLOOKUP($E10217,BD!$L$2:$Q$244,5,0),0)</f>
        <v>0</v>
      </c>
      <c r="J10217" s="3">
        <f t="shared" si="637"/>
        <v>1900</v>
      </c>
    </row>
    <row r="10218" spans="1:10" s="9" customFormat="1" x14ac:dyDescent="0.25">
      <c r="A10218" s="447"/>
      <c r="B10218" s="55" t="str">
        <f t="shared" si="634"/>
        <v>ENERO</v>
      </c>
      <c r="C10218" s="55">
        <f t="shared" si="635"/>
        <v>1</v>
      </c>
      <c r="D10218" s="3" t="str">
        <f t="shared" si="636"/>
        <v>SÁBADO</v>
      </c>
      <c r="E10218" s="427"/>
      <c r="F10218" s="31">
        <f>IFERROR(VLOOKUP(E10218,BD!$L$2:$Q$244,2,0),0)</f>
        <v>0</v>
      </c>
      <c r="G10218" s="425"/>
      <c r="H10218" s="31">
        <f>+IFERROR(VLOOKUP(E10218,BD!$L$2:$Q$244,6,0),0)</f>
        <v>0</v>
      </c>
      <c r="I10218" s="626">
        <f>IFERROR(G10218*VLOOKUP($E10218,BD!$L$2:$Q$244,5,0),0)</f>
        <v>0</v>
      </c>
      <c r="J10218" s="3">
        <f t="shared" si="637"/>
        <v>1900</v>
      </c>
    </row>
    <row r="10219" spans="1:10" s="9" customFormat="1" x14ac:dyDescent="0.25">
      <c r="A10219" s="447"/>
      <c r="B10219" s="55" t="str">
        <f t="shared" si="634"/>
        <v>ENERO</v>
      </c>
      <c r="C10219" s="55">
        <f t="shared" si="635"/>
        <v>1</v>
      </c>
      <c r="D10219" s="3" t="str">
        <f t="shared" si="636"/>
        <v>SÁBADO</v>
      </c>
      <c r="E10219" s="427"/>
      <c r="F10219" s="31">
        <f>IFERROR(VLOOKUP(E10219,BD!$L$2:$Q$244,2,0),0)</f>
        <v>0</v>
      </c>
      <c r="G10219" s="424"/>
      <c r="H10219" s="31">
        <f>+IFERROR(VLOOKUP(E10219,BD!$L$2:$Q$244,6,0),0)</f>
        <v>0</v>
      </c>
      <c r="I10219" s="626">
        <f>IFERROR(G10219*VLOOKUP($E10219,BD!$L$2:$Q$244,5,0),0)</f>
        <v>0</v>
      </c>
      <c r="J10219" s="3">
        <f t="shared" si="637"/>
        <v>1900</v>
      </c>
    </row>
    <row r="10220" spans="1:10" s="9" customFormat="1" x14ac:dyDescent="0.25">
      <c r="A10220" s="447"/>
      <c r="B10220" s="55" t="str">
        <f t="shared" si="634"/>
        <v>ENERO</v>
      </c>
      <c r="C10220" s="55">
        <f t="shared" si="635"/>
        <v>1</v>
      </c>
      <c r="D10220" s="3" t="str">
        <f t="shared" si="636"/>
        <v>SÁBADO</v>
      </c>
      <c r="E10220" s="427"/>
      <c r="F10220" s="31">
        <f>IFERROR(VLOOKUP(E10220,BD!$L$2:$Q$244,2,0),0)</f>
        <v>0</v>
      </c>
      <c r="G10220" s="424"/>
      <c r="H10220" s="31">
        <f>+IFERROR(VLOOKUP(E10220,BD!$L$2:$Q$244,6,0),0)</f>
        <v>0</v>
      </c>
      <c r="I10220" s="626">
        <f>IFERROR(G10220*VLOOKUP($E10220,BD!$L$2:$Q$244,5,0),0)</f>
        <v>0</v>
      </c>
      <c r="J10220" s="3">
        <f t="shared" si="637"/>
        <v>1900</v>
      </c>
    </row>
    <row r="10221" spans="1:10" s="9" customFormat="1" x14ac:dyDescent="0.25">
      <c r="A10221" s="447"/>
      <c r="B10221" s="55" t="str">
        <f t="shared" si="634"/>
        <v>ENERO</v>
      </c>
      <c r="C10221" s="55">
        <f t="shared" si="635"/>
        <v>1</v>
      </c>
      <c r="D10221" s="3" t="str">
        <f t="shared" si="636"/>
        <v>SÁBADO</v>
      </c>
      <c r="E10221" s="427"/>
      <c r="F10221" s="31">
        <f>IFERROR(VLOOKUP(E10221,BD!$L$2:$Q$244,2,0),0)</f>
        <v>0</v>
      </c>
      <c r="G10221" s="424"/>
      <c r="H10221" s="31">
        <f>+IFERROR(VLOOKUP(E10221,BD!$L$2:$Q$244,6,0),0)</f>
        <v>0</v>
      </c>
      <c r="I10221" s="626">
        <f>IFERROR(G10221*VLOOKUP($E10221,BD!$L$2:$Q$244,5,0),0)</f>
        <v>0</v>
      </c>
      <c r="J10221" s="3">
        <f t="shared" si="637"/>
        <v>1900</v>
      </c>
    </row>
    <row r="10222" spans="1:10" s="9" customFormat="1" x14ac:dyDescent="0.25">
      <c r="A10222" s="447"/>
      <c r="B10222" s="55" t="str">
        <f t="shared" si="634"/>
        <v>ENERO</v>
      </c>
      <c r="C10222" s="55">
        <f t="shared" si="635"/>
        <v>1</v>
      </c>
      <c r="D10222" s="3" t="str">
        <f t="shared" si="636"/>
        <v>SÁBADO</v>
      </c>
      <c r="E10222" s="427"/>
      <c r="F10222" s="31">
        <f>IFERROR(VLOOKUP(E10222,BD!$L$2:$Q$244,2,0),0)</f>
        <v>0</v>
      </c>
      <c r="G10222" s="424"/>
      <c r="H10222" s="31">
        <f>+IFERROR(VLOOKUP(E10222,BD!$L$2:$Q$244,6,0),0)</f>
        <v>0</v>
      </c>
      <c r="I10222" s="626">
        <f>IFERROR(G10222*VLOOKUP($E10222,BD!$L$2:$Q$244,5,0),0)</f>
        <v>0</v>
      </c>
      <c r="J10222" s="3">
        <f t="shared" si="637"/>
        <v>1900</v>
      </c>
    </row>
    <row r="10223" spans="1:10" s="9" customFormat="1" x14ac:dyDescent="0.25">
      <c r="A10223" s="447"/>
      <c r="B10223" s="55" t="str">
        <f t="shared" si="634"/>
        <v>ENERO</v>
      </c>
      <c r="C10223" s="55">
        <f t="shared" si="635"/>
        <v>1</v>
      </c>
      <c r="D10223" s="3" t="str">
        <f t="shared" si="636"/>
        <v>SÁBADO</v>
      </c>
      <c r="E10223" s="427"/>
      <c r="F10223" s="31">
        <f>IFERROR(VLOOKUP(E10223,BD!$L$2:$Q$244,2,0),0)</f>
        <v>0</v>
      </c>
      <c r="G10223" s="424"/>
      <c r="H10223" s="31">
        <f>+IFERROR(VLOOKUP(E10223,BD!$L$2:$Q$244,6,0),0)</f>
        <v>0</v>
      </c>
      <c r="I10223" s="626">
        <f>IFERROR(G10223*VLOOKUP($E10223,BD!$L$2:$Q$244,5,0),0)</f>
        <v>0</v>
      </c>
      <c r="J10223" s="3">
        <f t="shared" si="637"/>
        <v>1900</v>
      </c>
    </row>
    <row r="10224" spans="1:10" s="9" customFormat="1" x14ac:dyDescent="0.25">
      <c r="A10224" s="447"/>
      <c r="B10224" s="55" t="str">
        <f t="shared" si="634"/>
        <v>ENERO</v>
      </c>
      <c r="C10224" s="55">
        <f t="shared" si="635"/>
        <v>1</v>
      </c>
      <c r="D10224" s="3" t="str">
        <f t="shared" si="636"/>
        <v>SÁBADO</v>
      </c>
      <c r="E10224" s="427"/>
      <c r="F10224" s="31">
        <f>IFERROR(VLOOKUP(E10224,BD!$L$2:$Q$244,2,0),0)</f>
        <v>0</v>
      </c>
      <c r="G10224" s="424"/>
      <c r="H10224" s="31">
        <f>+IFERROR(VLOOKUP(E10224,BD!$L$2:$Q$244,6,0),0)</f>
        <v>0</v>
      </c>
      <c r="I10224" s="626">
        <f>IFERROR(G10224*VLOOKUP($E10224,BD!$L$2:$Q$244,5,0),0)</f>
        <v>0</v>
      </c>
      <c r="J10224" s="3">
        <f t="shared" si="637"/>
        <v>1900</v>
      </c>
    </row>
    <row r="10225" spans="1:10" s="9" customFormat="1" x14ac:dyDescent="0.25">
      <c r="A10225" s="447"/>
      <c r="B10225" s="55" t="str">
        <f t="shared" si="634"/>
        <v>ENERO</v>
      </c>
      <c r="C10225" s="55">
        <f t="shared" si="635"/>
        <v>1</v>
      </c>
      <c r="D10225" s="3" t="str">
        <f t="shared" si="636"/>
        <v>SÁBADO</v>
      </c>
      <c r="E10225" s="427"/>
      <c r="F10225" s="31">
        <f>IFERROR(VLOOKUP(E10225,BD!$L$2:$Q$244,2,0),0)</f>
        <v>0</v>
      </c>
      <c r="G10225" s="424"/>
      <c r="H10225" s="31">
        <f>+IFERROR(VLOOKUP(E10225,BD!$L$2:$Q$244,6,0),0)</f>
        <v>0</v>
      </c>
      <c r="I10225" s="626">
        <f>IFERROR(G10225*VLOOKUP($E10225,BD!$L$2:$Q$244,5,0),0)</f>
        <v>0</v>
      </c>
      <c r="J10225" s="3">
        <f t="shared" si="637"/>
        <v>1900</v>
      </c>
    </row>
    <row r="10226" spans="1:10" s="9" customFormat="1" x14ac:dyDescent="0.25">
      <c r="A10226" s="447"/>
      <c r="B10226" s="55" t="str">
        <f t="shared" si="634"/>
        <v>ENERO</v>
      </c>
      <c r="C10226" s="55">
        <f t="shared" si="635"/>
        <v>1</v>
      </c>
      <c r="D10226" s="3" t="str">
        <f t="shared" si="636"/>
        <v>SÁBADO</v>
      </c>
      <c r="E10226" s="427"/>
      <c r="F10226" s="31">
        <f>IFERROR(VLOOKUP(E10226,BD!$L$2:$Q$244,2,0),0)</f>
        <v>0</v>
      </c>
      <c r="G10226" s="424"/>
      <c r="H10226" s="31">
        <f>+IFERROR(VLOOKUP(E10226,BD!$L$2:$Q$244,6,0),0)</f>
        <v>0</v>
      </c>
      <c r="I10226" s="626">
        <f>IFERROR(G10226*VLOOKUP($E10226,BD!$L$2:$Q$244,5,0),0)</f>
        <v>0</v>
      </c>
      <c r="J10226" s="3">
        <f t="shared" si="637"/>
        <v>1900</v>
      </c>
    </row>
    <row r="10227" spans="1:10" s="9" customFormat="1" x14ac:dyDescent="0.25">
      <c r="A10227" s="447"/>
      <c r="B10227" s="55" t="str">
        <f t="shared" si="634"/>
        <v>ENERO</v>
      </c>
      <c r="C10227" s="55">
        <f t="shared" si="635"/>
        <v>1</v>
      </c>
      <c r="D10227" s="3" t="str">
        <f t="shared" si="636"/>
        <v>SÁBADO</v>
      </c>
      <c r="E10227" s="427"/>
      <c r="F10227" s="31">
        <f>IFERROR(VLOOKUP(E10227,BD!$L$2:$Q$244,2,0),0)</f>
        <v>0</v>
      </c>
      <c r="G10227" s="424"/>
      <c r="H10227" s="31">
        <f>+IFERROR(VLOOKUP(E10227,BD!$L$2:$Q$244,6,0),0)</f>
        <v>0</v>
      </c>
      <c r="I10227" s="626">
        <f>IFERROR(G10227*VLOOKUP($E10227,BD!$L$2:$Q$244,5,0),0)</f>
        <v>0</v>
      </c>
      <c r="J10227" s="3">
        <f t="shared" si="637"/>
        <v>1900</v>
      </c>
    </row>
    <row r="10228" spans="1:10" s="9" customFormat="1" x14ac:dyDescent="0.25">
      <c r="A10228" s="447"/>
      <c r="B10228" s="55" t="str">
        <f t="shared" si="634"/>
        <v>ENERO</v>
      </c>
      <c r="C10228" s="55">
        <f t="shared" si="635"/>
        <v>1</v>
      </c>
      <c r="D10228" s="3" t="str">
        <f t="shared" si="636"/>
        <v>SÁBADO</v>
      </c>
      <c r="E10228" s="427"/>
      <c r="F10228" s="31">
        <f>IFERROR(VLOOKUP(E10228,BD!$L$2:$Q$244,2,0),0)</f>
        <v>0</v>
      </c>
      <c r="G10228" s="424"/>
      <c r="H10228" s="31">
        <f>+IFERROR(VLOOKUP(E10228,BD!$L$2:$Q$244,6,0),0)</f>
        <v>0</v>
      </c>
      <c r="I10228" s="626">
        <f>IFERROR(G10228*VLOOKUP($E10228,BD!$L$2:$Q$244,5,0),0)</f>
        <v>0</v>
      </c>
      <c r="J10228" s="3">
        <f t="shared" si="637"/>
        <v>1900</v>
      </c>
    </row>
    <row r="10229" spans="1:10" s="9" customFormat="1" x14ac:dyDescent="0.25">
      <c r="A10229" s="447"/>
      <c r="B10229" s="55" t="str">
        <f t="shared" si="634"/>
        <v>ENERO</v>
      </c>
      <c r="C10229" s="55">
        <f t="shared" si="635"/>
        <v>1</v>
      </c>
      <c r="D10229" s="3" t="str">
        <f t="shared" si="636"/>
        <v>SÁBADO</v>
      </c>
      <c r="E10229" s="427"/>
      <c r="F10229" s="31">
        <f>IFERROR(VLOOKUP(E10229,BD!$L$2:$Q$244,2,0),0)</f>
        <v>0</v>
      </c>
      <c r="G10229" s="424"/>
      <c r="H10229" s="31">
        <f>+IFERROR(VLOOKUP(E10229,BD!$L$2:$Q$244,6,0),0)</f>
        <v>0</v>
      </c>
      <c r="I10229" s="626">
        <f>IFERROR(G10229*VLOOKUP($E10229,BD!$L$2:$Q$244,5,0),0)</f>
        <v>0</v>
      </c>
      <c r="J10229" s="3">
        <f t="shared" si="637"/>
        <v>1900</v>
      </c>
    </row>
    <row r="10230" spans="1:10" s="9" customFormat="1" x14ac:dyDescent="0.25">
      <c r="A10230" s="447"/>
      <c r="B10230" s="55" t="str">
        <f t="shared" si="634"/>
        <v>ENERO</v>
      </c>
      <c r="C10230" s="55">
        <f t="shared" si="635"/>
        <v>1</v>
      </c>
      <c r="D10230" s="3" t="str">
        <f t="shared" si="636"/>
        <v>SÁBADO</v>
      </c>
      <c r="E10230" s="427"/>
      <c r="F10230" s="31">
        <f>IFERROR(VLOOKUP(E10230,BD!$L$2:$Q$244,2,0),0)</f>
        <v>0</v>
      </c>
      <c r="G10230" s="424"/>
      <c r="H10230" s="31">
        <f>+IFERROR(VLOOKUP(E10230,BD!$L$2:$Q$244,6,0),0)</f>
        <v>0</v>
      </c>
      <c r="I10230" s="626">
        <f>IFERROR(G10230*VLOOKUP($E10230,BD!$L$2:$Q$244,5,0),0)</f>
        <v>0</v>
      </c>
      <c r="J10230" s="3">
        <f t="shared" si="637"/>
        <v>1900</v>
      </c>
    </row>
    <row r="10231" spans="1:10" s="9" customFormat="1" x14ac:dyDescent="0.25">
      <c r="A10231" s="447"/>
      <c r="B10231" s="55" t="str">
        <f t="shared" si="634"/>
        <v>ENERO</v>
      </c>
      <c r="C10231" s="55">
        <f t="shared" si="635"/>
        <v>1</v>
      </c>
      <c r="D10231" s="3" t="str">
        <f t="shared" si="636"/>
        <v>SÁBADO</v>
      </c>
      <c r="E10231" s="427"/>
      <c r="F10231" s="31">
        <f>IFERROR(VLOOKUP(E10231,BD!$L$2:$Q$244,2,0),0)</f>
        <v>0</v>
      </c>
      <c r="G10231" s="424"/>
      <c r="H10231" s="31">
        <f>+IFERROR(VLOOKUP(E10231,BD!$L$2:$Q$244,6,0),0)</f>
        <v>0</v>
      </c>
      <c r="I10231" s="626">
        <f>IFERROR(G10231*VLOOKUP($E10231,BD!$L$2:$Q$244,5,0),0)</f>
        <v>0</v>
      </c>
      <c r="J10231" s="3">
        <f t="shared" si="637"/>
        <v>1900</v>
      </c>
    </row>
    <row r="10232" spans="1:10" s="9" customFormat="1" x14ac:dyDescent="0.25">
      <c r="A10232" s="447"/>
      <c r="B10232" s="55" t="str">
        <f t="shared" si="634"/>
        <v>ENERO</v>
      </c>
      <c r="C10232" s="55">
        <f t="shared" si="635"/>
        <v>1</v>
      </c>
      <c r="D10232" s="3" t="str">
        <f t="shared" si="636"/>
        <v>SÁBADO</v>
      </c>
      <c r="E10232" s="427"/>
      <c r="F10232" s="31">
        <f>IFERROR(VLOOKUP(E10232,BD!$L$2:$Q$244,2,0),0)</f>
        <v>0</v>
      </c>
      <c r="G10232" s="425"/>
      <c r="H10232" s="31">
        <f>+IFERROR(VLOOKUP(E10232,BD!$L$2:$Q$244,6,0),0)</f>
        <v>0</v>
      </c>
      <c r="I10232" s="626">
        <f>IFERROR(G10232*VLOOKUP($E10232,BD!$L$2:$Q$244,5,0),0)</f>
        <v>0</v>
      </c>
      <c r="J10232" s="3">
        <f t="shared" si="637"/>
        <v>1900</v>
      </c>
    </row>
    <row r="10233" spans="1:10" s="9" customFormat="1" x14ac:dyDescent="0.25">
      <c r="A10233" s="447"/>
      <c r="B10233" s="55" t="str">
        <f t="shared" si="634"/>
        <v>ENERO</v>
      </c>
      <c r="C10233" s="55">
        <f t="shared" si="635"/>
        <v>1</v>
      </c>
      <c r="D10233" s="3" t="str">
        <f t="shared" si="636"/>
        <v>SÁBADO</v>
      </c>
      <c r="E10233" s="427"/>
      <c r="F10233" s="31">
        <f>IFERROR(VLOOKUP(E10233,BD!$L$2:$Q$244,2,0),0)</f>
        <v>0</v>
      </c>
      <c r="G10233" s="424"/>
      <c r="H10233" s="31">
        <f>+IFERROR(VLOOKUP(E10233,BD!$L$2:$Q$244,6,0),0)</f>
        <v>0</v>
      </c>
      <c r="I10233" s="626">
        <f>IFERROR(G10233*VLOOKUP($E10233,BD!$L$2:$Q$244,5,0),0)</f>
        <v>0</v>
      </c>
      <c r="J10233" s="3">
        <f t="shared" si="637"/>
        <v>1900</v>
      </c>
    </row>
    <row r="10234" spans="1:10" s="9" customFormat="1" x14ac:dyDescent="0.25">
      <c r="A10234" s="447"/>
      <c r="B10234" s="55" t="str">
        <f t="shared" si="634"/>
        <v>ENERO</v>
      </c>
      <c r="C10234" s="55">
        <f t="shared" si="635"/>
        <v>1</v>
      </c>
      <c r="D10234" s="3" t="str">
        <f t="shared" si="636"/>
        <v>SÁBADO</v>
      </c>
      <c r="E10234" s="427"/>
      <c r="F10234" s="31">
        <f>IFERROR(VLOOKUP(E10234,BD!$L$2:$Q$244,2,0),0)</f>
        <v>0</v>
      </c>
      <c r="G10234" s="424"/>
      <c r="H10234" s="31">
        <f>+IFERROR(VLOOKUP(E10234,BD!$L$2:$Q$244,6,0),0)</f>
        <v>0</v>
      </c>
      <c r="I10234" s="626">
        <f>IFERROR(G10234*VLOOKUP($E10234,BD!$L$2:$Q$244,5,0),0)</f>
        <v>0</v>
      </c>
      <c r="J10234" s="3">
        <f t="shared" si="637"/>
        <v>1900</v>
      </c>
    </row>
    <row r="10235" spans="1:10" s="9" customFormat="1" x14ac:dyDescent="0.25">
      <c r="A10235" s="447"/>
      <c r="B10235" s="55" t="str">
        <f t="shared" si="634"/>
        <v>ENERO</v>
      </c>
      <c r="C10235" s="55">
        <f t="shared" si="635"/>
        <v>1</v>
      </c>
      <c r="D10235" s="3" t="str">
        <f t="shared" si="636"/>
        <v>SÁBADO</v>
      </c>
      <c r="E10235" s="427"/>
      <c r="F10235" s="31">
        <f>IFERROR(VLOOKUP(E10235,BD!$L$2:$Q$244,2,0),0)</f>
        <v>0</v>
      </c>
      <c r="G10235" s="424"/>
      <c r="H10235" s="31">
        <f>+IFERROR(VLOOKUP(E10235,BD!$L$2:$Q$244,6,0),0)</f>
        <v>0</v>
      </c>
      <c r="I10235" s="626">
        <f>IFERROR(G10235*VLOOKUP($E10235,BD!$L$2:$Q$244,5,0),0)</f>
        <v>0</v>
      </c>
      <c r="J10235" s="3">
        <f t="shared" si="637"/>
        <v>1900</v>
      </c>
    </row>
    <row r="10236" spans="1:10" s="9" customFormat="1" x14ac:dyDescent="0.25">
      <c r="A10236" s="447"/>
      <c r="B10236" s="55" t="str">
        <f t="shared" ref="B10236:B10286" si="638">UPPER(TEXT(A10236,"MMMM"))</f>
        <v>ENERO</v>
      </c>
      <c r="C10236" s="55">
        <f t="shared" ref="C10236:C10286" si="639">WEEKNUM(A10236,16)</f>
        <v>1</v>
      </c>
      <c r="D10236" s="3" t="str">
        <f t="shared" ref="D10236:D10286" si="640">UPPER(TEXT(A10236,"DDDD"))</f>
        <v>SÁBADO</v>
      </c>
      <c r="E10236" s="427"/>
      <c r="F10236" s="31">
        <f>IFERROR(VLOOKUP(E10236,BD!$L$2:$Q$244,2,0),0)</f>
        <v>0</v>
      </c>
      <c r="G10236" s="424"/>
      <c r="H10236" s="31">
        <f>+IFERROR(VLOOKUP(E10236,BD!$L$2:$Q$244,6,0),0)</f>
        <v>0</v>
      </c>
      <c r="I10236" s="626">
        <f>IFERROR(G10236*VLOOKUP($E10236,BD!$L$2:$Q$244,5,0),0)</f>
        <v>0</v>
      </c>
      <c r="J10236" s="3">
        <f t="shared" ref="J10236:J10286" si="641">+YEAR(A10236)</f>
        <v>1900</v>
      </c>
    </row>
    <row r="10237" spans="1:10" s="9" customFormat="1" x14ac:dyDescent="0.25">
      <c r="A10237" s="447"/>
      <c r="B10237" s="55" t="str">
        <f t="shared" si="638"/>
        <v>ENERO</v>
      </c>
      <c r="C10237" s="55">
        <f t="shared" si="639"/>
        <v>1</v>
      </c>
      <c r="D10237" s="3" t="str">
        <f t="shared" si="640"/>
        <v>SÁBADO</v>
      </c>
      <c r="E10237" s="427"/>
      <c r="F10237" s="31">
        <f>IFERROR(VLOOKUP(E10237,BD!$L$2:$Q$244,2,0),0)</f>
        <v>0</v>
      </c>
      <c r="G10237" s="424"/>
      <c r="H10237" s="31">
        <f>+IFERROR(VLOOKUP(E10237,BD!$L$2:$Q$244,6,0),0)</f>
        <v>0</v>
      </c>
      <c r="I10237" s="626">
        <f>IFERROR(G10237*VLOOKUP($E10237,BD!$L$2:$Q$244,5,0),0)</f>
        <v>0</v>
      </c>
      <c r="J10237" s="3">
        <f t="shared" si="641"/>
        <v>1900</v>
      </c>
    </row>
    <row r="10238" spans="1:10" s="9" customFormat="1" x14ac:dyDescent="0.25">
      <c r="A10238" s="447"/>
      <c r="B10238" s="55" t="str">
        <f t="shared" si="638"/>
        <v>ENERO</v>
      </c>
      <c r="C10238" s="55">
        <f t="shared" si="639"/>
        <v>1</v>
      </c>
      <c r="D10238" s="3" t="str">
        <f t="shared" si="640"/>
        <v>SÁBADO</v>
      </c>
      <c r="E10238" s="427"/>
      <c r="F10238" s="31">
        <f>IFERROR(VLOOKUP(E10238,BD!$L$2:$Q$244,2,0),0)</f>
        <v>0</v>
      </c>
      <c r="G10238" s="424"/>
      <c r="H10238" s="31">
        <f>+IFERROR(VLOOKUP(E10238,BD!$L$2:$Q$244,6,0),0)</f>
        <v>0</v>
      </c>
      <c r="I10238" s="626">
        <f>IFERROR(G10238*VLOOKUP($E10238,BD!$L$2:$Q$244,5,0),0)</f>
        <v>0</v>
      </c>
      <c r="J10238" s="3">
        <f t="shared" si="641"/>
        <v>1900</v>
      </c>
    </row>
    <row r="10239" spans="1:10" s="9" customFormat="1" x14ac:dyDescent="0.25">
      <c r="A10239" s="447"/>
      <c r="B10239" s="55" t="str">
        <f t="shared" si="638"/>
        <v>ENERO</v>
      </c>
      <c r="C10239" s="55">
        <f t="shared" si="639"/>
        <v>1</v>
      </c>
      <c r="D10239" s="3" t="str">
        <f t="shared" si="640"/>
        <v>SÁBADO</v>
      </c>
      <c r="E10239" s="427"/>
      <c r="F10239" s="31">
        <f>IFERROR(VLOOKUP(E10239,BD!$L$2:$Q$244,2,0),0)</f>
        <v>0</v>
      </c>
      <c r="G10239" s="424"/>
      <c r="H10239" s="31">
        <f>+IFERROR(VLOOKUP(E10239,BD!$L$2:$Q$244,6,0),0)</f>
        <v>0</v>
      </c>
      <c r="I10239" s="626">
        <f>IFERROR(G10239*VLOOKUP($E10239,BD!$L$2:$Q$244,5,0),0)</f>
        <v>0</v>
      </c>
      <c r="J10239" s="3">
        <f t="shared" si="641"/>
        <v>1900</v>
      </c>
    </row>
    <row r="10240" spans="1:10" s="9" customFormat="1" x14ac:dyDescent="0.25">
      <c r="A10240" s="447"/>
      <c r="B10240" s="55" t="str">
        <f t="shared" si="638"/>
        <v>ENERO</v>
      </c>
      <c r="C10240" s="55">
        <f t="shared" si="639"/>
        <v>1</v>
      </c>
      <c r="D10240" s="3" t="str">
        <f t="shared" si="640"/>
        <v>SÁBADO</v>
      </c>
      <c r="E10240" s="427"/>
      <c r="F10240" s="31">
        <f>IFERROR(VLOOKUP(E10240,BD!$L$2:$Q$244,2,0),0)</f>
        <v>0</v>
      </c>
      <c r="G10240" s="424"/>
      <c r="H10240" s="31">
        <f>+IFERROR(VLOOKUP(E10240,BD!$L$2:$Q$244,6,0),0)</f>
        <v>0</v>
      </c>
      <c r="I10240" s="626">
        <f>IFERROR(G10240*VLOOKUP($E10240,BD!$L$2:$Q$244,5,0),0)</f>
        <v>0</v>
      </c>
      <c r="J10240" s="3">
        <f t="shared" si="641"/>
        <v>1900</v>
      </c>
    </row>
    <row r="10241" spans="1:10" s="9" customFormat="1" x14ac:dyDescent="0.25">
      <c r="A10241" s="447"/>
      <c r="B10241" s="55" t="str">
        <f t="shared" si="638"/>
        <v>ENERO</v>
      </c>
      <c r="C10241" s="55">
        <f t="shared" si="639"/>
        <v>1</v>
      </c>
      <c r="D10241" s="3" t="str">
        <f t="shared" si="640"/>
        <v>SÁBADO</v>
      </c>
      <c r="E10241" s="427"/>
      <c r="F10241" s="31">
        <f>IFERROR(VLOOKUP(E10241,BD!$L$2:$Q$244,2,0),0)</f>
        <v>0</v>
      </c>
      <c r="G10241" s="424"/>
      <c r="H10241" s="31">
        <f>+IFERROR(VLOOKUP(E10241,BD!$L$2:$Q$244,6,0),0)</f>
        <v>0</v>
      </c>
      <c r="I10241" s="626">
        <f>IFERROR(G10241*VLOOKUP($E10241,BD!$L$2:$Q$244,5,0),0)</f>
        <v>0</v>
      </c>
      <c r="J10241" s="3">
        <f t="shared" si="641"/>
        <v>1900</v>
      </c>
    </row>
    <row r="10242" spans="1:10" s="9" customFormat="1" x14ac:dyDescent="0.25">
      <c r="A10242" s="447"/>
      <c r="B10242" s="55" t="str">
        <f t="shared" si="638"/>
        <v>ENERO</v>
      </c>
      <c r="C10242" s="55">
        <f t="shared" si="639"/>
        <v>1</v>
      </c>
      <c r="D10242" s="3" t="str">
        <f t="shared" si="640"/>
        <v>SÁBADO</v>
      </c>
      <c r="E10242" s="427"/>
      <c r="F10242" s="31">
        <f>IFERROR(VLOOKUP(E10242,BD!$L$2:$Q$244,2,0),0)</f>
        <v>0</v>
      </c>
      <c r="G10242" s="424"/>
      <c r="H10242" s="31">
        <f>+IFERROR(VLOOKUP(E10242,BD!$L$2:$Q$244,6,0),0)</f>
        <v>0</v>
      </c>
      <c r="I10242" s="626">
        <f>IFERROR(G10242*VLOOKUP($E10242,BD!$L$2:$Q$244,5,0),0)</f>
        <v>0</v>
      </c>
      <c r="J10242" s="3">
        <f t="shared" si="641"/>
        <v>1900</v>
      </c>
    </row>
    <row r="10243" spans="1:10" s="9" customFormat="1" x14ac:dyDescent="0.25">
      <c r="A10243" s="447"/>
      <c r="B10243" s="55" t="str">
        <f t="shared" si="638"/>
        <v>ENERO</v>
      </c>
      <c r="C10243" s="55">
        <f t="shared" si="639"/>
        <v>1</v>
      </c>
      <c r="D10243" s="3" t="str">
        <f t="shared" si="640"/>
        <v>SÁBADO</v>
      </c>
      <c r="E10243" s="427"/>
      <c r="F10243" s="31">
        <f>IFERROR(VLOOKUP(E10243,BD!$L$2:$Q$244,2,0),0)</f>
        <v>0</v>
      </c>
      <c r="G10243" s="424"/>
      <c r="H10243" s="31">
        <f>+IFERROR(VLOOKUP(E10243,BD!$L$2:$Q$244,6,0),0)</f>
        <v>0</v>
      </c>
      <c r="I10243" s="626">
        <f>IFERROR(G10243*VLOOKUP($E10243,BD!$L$2:$Q$244,5,0),0)</f>
        <v>0</v>
      </c>
      <c r="J10243" s="3">
        <f t="shared" si="641"/>
        <v>1900</v>
      </c>
    </row>
    <row r="10244" spans="1:10" s="9" customFormat="1" x14ac:dyDescent="0.25">
      <c r="A10244" s="447"/>
      <c r="B10244" s="55" t="str">
        <f t="shared" si="638"/>
        <v>ENERO</v>
      </c>
      <c r="C10244" s="55">
        <f t="shared" si="639"/>
        <v>1</v>
      </c>
      <c r="D10244" s="3" t="str">
        <f t="shared" si="640"/>
        <v>SÁBADO</v>
      </c>
      <c r="E10244" s="427"/>
      <c r="F10244" s="31">
        <f>IFERROR(VLOOKUP(E10244,BD!$L$2:$Q$244,2,0),0)</f>
        <v>0</v>
      </c>
      <c r="G10244" s="424"/>
      <c r="H10244" s="31">
        <f>+IFERROR(VLOOKUP(E10244,BD!$L$2:$Q$244,6,0),0)</f>
        <v>0</v>
      </c>
      <c r="I10244" s="626">
        <f>IFERROR(G10244*VLOOKUP($E10244,BD!$L$2:$Q$244,5,0),0)</f>
        <v>0</v>
      </c>
      <c r="J10244" s="3">
        <f t="shared" si="641"/>
        <v>1900</v>
      </c>
    </row>
    <row r="10245" spans="1:10" s="9" customFormat="1" x14ac:dyDescent="0.25">
      <c r="A10245" s="447"/>
      <c r="B10245" s="55" t="str">
        <f t="shared" si="638"/>
        <v>ENERO</v>
      </c>
      <c r="C10245" s="55">
        <f t="shared" si="639"/>
        <v>1</v>
      </c>
      <c r="D10245" s="3" t="str">
        <f t="shared" si="640"/>
        <v>SÁBADO</v>
      </c>
      <c r="E10245" s="427"/>
      <c r="F10245" s="31">
        <f>IFERROR(VLOOKUP(E10245,BD!$L$2:$Q$244,2,0),0)</f>
        <v>0</v>
      </c>
      <c r="G10245" s="424"/>
      <c r="H10245" s="31">
        <f>+IFERROR(VLOOKUP(E10245,BD!$L$2:$Q$244,6,0),0)</f>
        <v>0</v>
      </c>
      <c r="I10245" s="626">
        <f>IFERROR(G10245*VLOOKUP($E10245,BD!$L$2:$Q$244,5,0),0)</f>
        <v>0</v>
      </c>
      <c r="J10245" s="3">
        <f t="shared" si="641"/>
        <v>1900</v>
      </c>
    </row>
    <row r="10246" spans="1:10" s="9" customFormat="1" x14ac:dyDescent="0.25">
      <c r="A10246" s="447"/>
      <c r="B10246" s="55" t="str">
        <f t="shared" si="638"/>
        <v>ENERO</v>
      </c>
      <c r="C10246" s="55">
        <f t="shared" si="639"/>
        <v>1</v>
      </c>
      <c r="D10246" s="3" t="str">
        <f t="shared" si="640"/>
        <v>SÁBADO</v>
      </c>
      <c r="E10246" s="427"/>
      <c r="F10246" s="31">
        <f>IFERROR(VLOOKUP(E10246,BD!$L$2:$Q$244,2,0),0)</f>
        <v>0</v>
      </c>
      <c r="G10246" s="425"/>
      <c r="H10246" s="31">
        <f>+IFERROR(VLOOKUP(E10246,BD!$L$2:$Q$244,6,0),0)</f>
        <v>0</v>
      </c>
      <c r="I10246" s="626">
        <f>IFERROR(G10246*VLOOKUP($E10246,BD!$L$2:$Q$244,5,0),0)</f>
        <v>0</v>
      </c>
      <c r="J10246" s="3">
        <f t="shared" si="641"/>
        <v>1900</v>
      </c>
    </row>
    <row r="10247" spans="1:10" s="9" customFormat="1" x14ac:dyDescent="0.25">
      <c r="A10247" s="447"/>
      <c r="B10247" s="55" t="str">
        <f t="shared" si="638"/>
        <v>ENERO</v>
      </c>
      <c r="C10247" s="55">
        <f t="shared" si="639"/>
        <v>1</v>
      </c>
      <c r="D10247" s="3" t="str">
        <f t="shared" si="640"/>
        <v>SÁBADO</v>
      </c>
      <c r="E10247" s="427"/>
      <c r="F10247" s="31">
        <f>IFERROR(VLOOKUP(E10247,BD!$L$2:$Q$244,2,0),0)</f>
        <v>0</v>
      </c>
      <c r="G10247" s="424"/>
      <c r="H10247" s="31">
        <f>+IFERROR(VLOOKUP(E10247,BD!$L$2:$Q$244,6,0),0)</f>
        <v>0</v>
      </c>
      <c r="I10247" s="626">
        <f>IFERROR(G10247*VLOOKUP($E10247,BD!$L$2:$Q$244,5,0),0)</f>
        <v>0</v>
      </c>
      <c r="J10247" s="3">
        <f t="shared" si="641"/>
        <v>1900</v>
      </c>
    </row>
    <row r="10248" spans="1:10" s="9" customFormat="1" x14ac:dyDescent="0.25">
      <c r="A10248" s="447"/>
      <c r="B10248" s="55" t="str">
        <f t="shared" si="638"/>
        <v>ENERO</v>
      </c>
      <c r="C10248" s="55">
        <f t="shared" si="639"/>
        <v>1</v>
      </c>
      <c r="D10248" s="3" t="str">
        <f t="shared" si="640"/>
        <v>SÁBADO</v>
      </c>
      <c r="E10248" s="427"/>
      <c r="F10248" s="31">
        <f>IFERROR(VLOOKUP(E10248,BD!$L$2:$Q$244,2,0),0)</f>
        <v>0</v>
      </c>
      <c r="G10248" s="424"/>
      <c r="H10248" s="31">
        <f>+IFERROR(VLOOKUP(E10248,BD!$L$2:$Q$244,6,0),0)</f>
        <v>0</v>
      </c>
      <c r="I10248" s="626">
        <f>IFERROR(G10248*VLOOKUP($E10248,BD!$L$2:$Q$244,5,0),0)</f>
        <v>0</v>
      </c>
      <c r="J10248" s="3">
        <f t="shared" si="641"/>
        <v>1900</v>
      </c>
    </row>
    <row r="10249" spans="1:10" s="9" customFormat="1" x14ac:dyDescent="0.25">
      <c r="A10249" s="447"/>
      <c r="B10249" s="55" t="str">
        <f t="shared" si="638"/>
        <v>ENERO</v>
      </c>
      <c r="C10249" s="55">
        <f t="shared" si="639"/>
        <v>1</v>
      </c>
      <c r="D10249" s="3" t="str">
        <f t="shared" si="640"/>
        <v>SÁBADO</v>
      </c>
      <c r="E10249" s="427"/>
      <c r="F10249" s="31">
        <f>IFERROR(VLOOKUP(E10249,BD!$L$2:$Q$244,2,0),0)</f>
        <v>0</v>
      </c>
      <c r="G10249" s="424"/>
      <c r="H10249" s="31">
        <f>+IFERROR(VLOOKUP(E10249,BD!$L$2:$Q$244,6,0),0)</f>
        <v>0</v>
      </c>
      <c r="I10249" s="626">
        <f>IFERROR(G10249*VLOOKUP($E10249,BD!$L$2:$Q$244,5,0),0)</f>
        <v>0</v>
      </c>
      <c r="J10249" s="3">
        <f t="shared" si="641"/>
        <v>1900</v>
      </c>
    </row>
    <row r="10250" spans="1:10" s="9" customFormat="1" x14ac:dyDescent="0.25">
      <c r="A10250" s="447"/>
      <c r="B10250" s="55" t="str">
        <f t="shared" si="638"/>
        <v>ENERO</v>
      </c>
      <c r="C10250" s="55">
        <f t="shared" si="639"/>
        <v>1</v>
      </c>
      <c r="D10250" s="3" t="str">
        <f t="shared" si="640"/>
        <v>SÁBADO</v>
      </c>
      <c r="E10250" s="427"/>
      <c r="F10250" s="31">
        <f>IFERROR(VLOOKUP(E10250,BD!$L$2:$Q$244,2,0),0)</f>
        <v>0</v>
      </c>
      <c r="G10250" s="424"/>
      <c r="H10250" s="31">
        <f>+IFERROR(VLOOKUP(E10250,BD!$L$2:$Q$244,6,0),0)</f>
        <v>0</v>
      </c>
      <c r="I10250" s="626">
        <f>IFERROR(G10250*VLOOKUP($E10250,BD!$L$2:$Q$244,5,0),0)</f>
        <v>0</v>
      </c>
      <c r="J10250" s="3">
        <f t="shared" si="641"/>
        <v>1900</v>
      </c>
    </row>
    <row r="10251" spans="1:10" s="9" customFormat="1" x14ac:dyDescent="0.25">
      <c r="A10251" s="447"/>
      <c r="B10251" s="55" t="str">
        <f t="shared" si="638"/>
        <v>ENERO</v>
      </c>
      <c r="C10251" s="55">
        <f t="shared" si="639"/>
        <v>1</v>
      </c>
      <c r="D10251" s="3" t="str">
        <f t="shared" si="640"/>
        <v>SÁBADO</v>
      </c>
      <c r="E10251" s="427"/>
      <c r="F10251" s="31">
        <f>IFERROR(VLOOKUP(E10251,BD!$L$2:$Q$244,2,0),0)</f>
        <v>0</v>
      </c>
      <c r="G10251" s="424"/>
      <c r="H10251" s="31">
        <f>+IFERROR(VLOOKUP(E10251,BD!$L$2:$Q$244,6,0),0)</f>
        <v>0</v>
      </c>
      <c r="I10251" s="626">
        <f>IFERROR(G10251*VLOOKUP($E10251,BD!$L$2:$Q$244,5,0),0)</f>
        <v>0</v>
      </c>
      <c r="J10251" s="3">
        <f t="shared" si="641"/>
        <v>1900</v>
      </c>
    </row>
    <row r="10252" spans="1:10" s="9" customFormat="1" x14ac:dyDescent="0.25">
      <c r="A10252" s="447"/>
      <c r="B10252" s="55" t="str">
        <f t="shared" si="638"/>
        <v>ENERO</v>
      </c>
      <c r="C10252" s="55">
        <f t="shared" si="639"/>
        <v>1</v>
      </c>
      <c r="D10252" s="3" t="str">
        <f t="shared" si="640"/>
        <v>SÁBADO</v>
      </c>
      <c r="E10252" s="427"/>
      <c r="F10252" s="31">
        <f>IFERROR(VLOOKUP(E10252,BD!$L$2:$Q$244,2,0),0)</f>
        <v>0</v>
      </c>
      <c r="G10252" s="424"/>
      <c r="H10252" s="31">
        <f>+IFERROR(VLOOKUP(E10252,BD!$L$2:$Q$244,6,0),0)</f>
        <v>0</v>
      </c>
      <c r="I10252" s="626">
        <f>IFERROR(G10252*VLOOKUP($E10252,BD!$L$2:$Q$244,5,0),0)</f>
        <v>0</v>
      </c>
      <c r="J10252" s="3">
        <f t="shared" si="641"/>
        <v>1900</v>
      </c>
    </row>
    <row r="10253" spans="1:10" s="9" customFormat="1" x14ac:dyDescent="0.25">
      <c r="A10253" s="447"/>
      <c r="B10253" s="55" t="str">
        <f t="shared" si="638"/>
        <v>ENERO</v>
      </c>
      <c r="C10253" s="55">
        <f t="shared" si="639"/>
        <v>1</v>
      </c>
      <c r="D10253" s="3" t="str">
        <f t="shared" si="640"/>
        <v>SÁBADO</v>
      </c>
      <c r="E10253" s="427"/>
      <c r="F10253" s="31">
        <f>IFERROR(VLOOKUP(E10253,BD!$L$2:$Q$244,2,0),0)</f>
        <v>0</v>
      </c>
      <c r="G10253" s="424"/>
      <c r="H10253" s="31">
        <f>+IFERROR(VLOOKUP(E10253,BD!$L$2:$Q$244,6,0),0)</f>
        <v>0</v>
      </c>
      <c r="I10253" s="626">
        <f>IFERROR(G10253*VLOOKUP($E10253,BD!$L$2:$Q$244,5,0),0)</f>
        <v>0</v>
      </c>
      <c r="J10253" s="3">
        <f t="shared" si="641"/>
        <v>1900</v>
      </c>
    </row>
    <row r="10254" spans="1:10" s="9" customFormat="1" x14ac:dyDescent="0.25">
      <c r="A10254" s="447"/>
      <c r="B10254" s="55" t="str">
        <f t="shared" si="638"/>
        <v>ENERO</v>
      </c>
      <c r="C10254" s="55">
        <f t="shared" si="639"/>
        <v>1</v>
      </c>
      <c r="D10254" s="3" t="str">
        <f t="shared" si="640"/>
        <v>SÁBADO</v>
      </c>
      <c r="E10254" s="427"/>
      <c r="F10254" s="31">
        <f>IFERROR(VLOOKUP(E10254,BD!$L$2:$Q$244,2,0),0)</f>
        <v>0</v>
      </c>
      <c r="G10254" s="424"/>
      <c r="H10254" s="31">
        <f>+IFERROR(VLOOKUP(E10254,BD!$L$2:$Q$244,6,0),0)</f>
        <v>0</v>
      </c>
      <c r="I10254" s="626">
        <f>IFERROR(G10254*VLOOKUP($E10254,BD!$L$2:$Q$244,5,0),0)</f>
        <v>0</v>
      </c>
      <c r="J10254" s="3">
        <f t="shared" si="641"/>
        <v>1900</v>
      </c>
    </row>
    <row r="10255" spans="1:10" s="9" customFormat="1" x14ac:dyDescent="0.25">
      <c r="A10255" s="447"/>
      <c r="B10255" s="55" t="str">
        <f t="shared" si="638"/>
        <v>ENERO</v>
      </c>
      <c r="C10255" s="55">
        <f t="shared" si="639"/>
        <v>1</v>
      </c>
      <c r="D10255" s="3" t="str">
        <f t="shared" si="640"/>
        <v>SÁBADO</v>
      </c>
      <c r="E10255" s="427"/>
      <c r="F10255" s="31">
        <f>IFERROR(VLOOKUP(E10255,BD!$L$2:$Q$244,2,0),0)</f>
        <v>0</v>
      </c>
      <c r="G10255" s="424"/>
      <c r="H10255" s="31">
        <f>+IFERROR(VLOOKUP(E10255,BD!$L$2:$Q$244,6,0),0)</f>
        <v>0</v>
      </c>
      <c r="I10255" s="626">
        <f>IFERROR(G10255*VLOOKUP($E10255,BD!$L$2:$Q$244,5,0),0)</f>
        <v>0</v>
      </c>
      <c r="J10255" s="3">
        <f t="shared" si="641"/>
        <v>1900</v>
      </c>
    </row>
    <row r="10256" spans="1:10" s="9" customFormat="1" x14ac:dyDescent="0.25">
      <c r="A10256" s="447"/>
      <c r="B10256" s="55" t="str">
        <f t="shared" si="638"/>
        <v>ENERO</v>
      </c>
      <c r="C10256" s="55">
        <f t="shared" si="639"/>
        <v>1</v>
      </c>
      <c r="D10256" s="3" t="str">
        <f t="shared" si="640"/>
        <v>SÁBADO</v>
      </c>
      <c r="E10256" s="427"/>
      <c r="F10256" s="31">
        <f>IFERROR(VLOOKUP(E10256,BD!$L$2:$Q$244,2,0),0)</f>
        <v>0</v>
      </c>
      <c r="G10256" s="424"/>
      <c r="H10256" s="31">
        <f>+IFERROR(VLOOKUP(E10256,BD!$L$2:$Q$244,6,0),0)</f>
        <v>0</v>
      </c>
      <c r="I10256" s="626">
        <f>IFERROR(G10256*VLOOKUP($E10256,BD!$L$2:$Q$244,5,0),0)</f>
        <v>0</v>
      </c>
      <c r="J10256" s="3">
        <f t="shared" si="641"/>
        <v>1900</v>
      </c>
    </row>
    <row r="10257" spans="1:10" s="9" customFormat="1" x14ac:dyDescent="0.25">
      <c r="A10257" s="447"/>
      <c r="B10257" s="55" t="str">
        <f t="shared" si="638"/>
        <v>ENERO</v>
      </c>
      <c r="C10257" s="55">
        <f t="shared" si="639"/>
        <v>1</v>
      </c>
      <c r="D10257" s="3" t="str">
        <f t="shared" si="640"/>
        <v>SÁBADO</v>
      </c>
      <c r="E10257" s="427"/>
      <c r="F10257" s="31">
        <f>IFERROR(VLOOKUP(E10257,BD!$L$2:$Q$244,2,0),0)</f>
        <v>0</v>
      </c>
      <c r="G10257" s="424"/>
      <c r="H10257" s="31">
        <f>+IFERROR(VLOOKUP(E10257,BD!$L$2:$Q$244,6,0),0)</f>
        <v>0</v>
      </c>
      <c r="I10257" s="626">
        <f>IFERROR(G10257*VLOOKUP($E10257,BD!$L$2:$Q$244,5,0),0)</f>
        <v>0</v>
      </c>
      <c r="J10257" s="3">
        <f t="shared" si="641"/>
        <v>1900</v>
      </c>
    </row>
    <row r="10258" spans="1:10" s="9" customFormat="1" x14ac:dyDescent="0.25">
      <c r="A10258" s="447"/>
      <c r="B10258" s="55" t="str">
        <f t="shared" si="638"/>
        <v>ENERO</v>
      </c>
      <c r="C10258" s="55">
        <f t="shared" si="639"/>
        <v>1</v>
      </c>
      <c r="D10258" s="3" t="str">
        <f t="shared" si="640"/>
        <v>SÁBADO</v>
      </c>
      <c r="E10258" s="427"/>
      <c r="F10258" s="31">
        <f>IFERROR(VLOOKUP(E10258,BD!$L$2:$Q$244,2,0),0)</f>
        <v>0</v>
      </c>
      <c r="G10258" s="424"/>
      <c r="H10258" s="31">
        <f>+IFERROR(VLOOKUP(E10258,BD!$L$2:$Q$244,6,0),0)</f>
        <v>0</v>
      </c>
      <c r="I10258" s="626">
        <f>IFERROR(G10258*VLOOKUP($E10258,BD!$L$2:$Q$244,5,0),0)</f>
        <v>0</v>
      </c>
      <c r="J10258" s="3">
        <f t="shared" si="641"/>
        <v>1900</v>
      </c>
    </row>
    <row r="10259" spans="1:10" s="9" customFormat="1" x14ac:dyDescent="0.25">
      <c r="A10259" s="447"/>
      <c r="B10259" s="55" t="str">
        <f t="shared" si="638"/>
        <v>ENERO</v>
      </c>
      <c r="C10259" s="55">
        <f t="shared" si="639"/>
        <v>1</v>
      </c>
      <c r="D10259" s="3" t="str">
        <f t="shared" si="640"/>
        <v>SÁBADO</v>
      </c>
      <c r="E10259" s="427"/>
      <c r="F10259" s="31">
        <f>IFERROR(VLOOKUP(E10259,BD!$L$2:$Q$244,2,0),0)</f>
        <v>0</v>
      </c>
      <c r="G10259" s="424"/>
      <c r="H10259" s="31">
        <f>+IFERROR(VLOOKUP(E10259,BD!$L$2:$Q$244,6,0),0)</f>
        <v>0</v>
      </c>
      <c r="I10259" s="626">
        <f>IFERROR(G10259*VLOOKUP($E10259,BD!$L$2:$Q$244,5,0),0)</f>
        <v>0</v>
      </c>
      <c r="J10259" s="3">
        <f t="shared" si="641"/>
        <v>1900</v>
      </c>
    </row>
    <row r="10260" spans="1:10" s="9" customFormat="1" x14ac:dyDescent="0.25">
      <c r="A10260" s="447"/>
      <c r="B10260" s="55" t="str">
        <f t="shared" si="638"/>
        <v>ENERO</v>
      </c>
      <c r="C10260" s="55">
        <f t="shared" si="639"/>
        <v>1</v>
      </c>
      <c r="D10260" s="3" t="str">
        <f t="shared" si="640"/>
        <v>SÁBADO</v>
      </c>
      <c r="E10260" s="427"/>
      <c r="F10260" s="31">
        <f>IFERROR(VLOOKUP(E10260,BD!$L$2:$Q$244,2,0),0)</f>
        <v>0</v>
      </c>
      <c r="G10260" s="425"/>
      <c r="H10260" s="31">
        <f>+IFERROR(VLOOKUP(E10260,BD!$L$2:$Q$244,6,0),0)</f>
        <v>0</v>
      </c>
      <c r="I10260" s="626">
        <f>IFERROR(G10260*VLOOKUP($E10260,BD!$L$2:$Q$244,5,0),0)</f>
        <v>0</v>
      </c>
      <c r="J10260" s="3">
        <f t="shared" si="641"/>
        <v>1900</v>
      </c>
    </row>
    <row r="10261" spans="1:10" s="9" customFormat="1" x14ac:dyDescent="0.25">
      <c r="A10261" s="447"/>
      <c r="B10261" s="55" t="str">
        <f t="shared" si="638"/>
        <v>ENERO</v>
      </c>
      <c r="C10261" s="55">
        <f t="shared" si="639"/>
        <v>1</v>
      </c>
      <c r="D10261" s="3" t="str">
        <f t="shared" si="640"/>
        <v>SÁBADO</v>
      </c>
      <c r="E10261" s="427"/>
      <c r="F10261" s="31">
        <f>IFERROR(VLOOKUP(E10261,BD!$L$2:$Q$244,2,0),0)</f>
        <v>0</v>
      </c>
      <c r="G10261" s="424"/>
      <c r="H10261" s="31">
        <f>+IFERROR(VLOOKUP(E10261,BD!$L$2:$Q$244,6,0),0)</f>
        <v>0</v>
      </c>
      <c r="I10261" s="626">
        <f>IFERROR(G10261*VLOOKUP($E10261,BD!$L$2:$Q$244,5,0),0)</f>
        <v>0</v>
      </c>
      <c r="J10261" s="3">
        <f t="shared" si="641"/>
        <v>1900</v>
      </c>
    </row>
    <row r="10262" spans="1:10" s="9" customFormat="1" x14ac:dyDescent="0.25">
      <c r="A10262" s="447"/>
      <c r="B10262" s="55" t="str">
        <f t="shared" si="638"/>
        <v>ENERO</v>
      </c>
      <c r="C10262" s="55">
        <f t="shared" si="639"/>
        <v>1</v>
      </c>
      <c r="D10262" s="3" t="str">
        <f t="shared" si="640"/>
        <v>SÁBADO</v>
      </c>
      <c r="E10262" s="427"/>
      <c r="F10262" s="31">
        <f>IFERROR(VLOOKUP(E10262,BD!$L$2:$Q$244,2,0),0)</f>
        <v>0</v>
      </c>
      <c r="G10262" s="424"/>
      <c r="H10262" s="31">
        <f>+IFERROR(VLOOKUP(E10262,BD!$L$2:$Q$244,6,0),0)</f>
        <v>0</v>
      </c>
      <c r="I10262" s="626">
        <f>IFERROR(G10262*VLOOKUP($E10262,BD!$L$2:$Q$244,5,0),0)</f>
        <v>0</v>
      </c>
      <c r="J10262" s="3">
        <f t="shared" si="641"/>
        <v>1900</v>
      </c>
    </row>
    <row r="10263" spans="1:10" s="9" customFormat="1" x14ac:dyDescent="0.25">
      <c r="A10263" s="447"/>
      <c r="B10263" s="55" t="str">
        <f t="shared" si="638"/>
        <v>ENERO</v>
      </c>
      <c r="C10263" s="55">
        <f t="shared" si="639"/>
        <v>1</v>
      </c>
      <c r="D10263" s="3" t="str">
        <f t="shared" si="640"/>
        <v>SÁBADO</v>
      </c>
      <c r="E10263" s="427"/>
      <c r="F10263" s="31">
        <f>IFERROR(VLOOKUP(E10263,BD!$L$2:$Q$244,2,0),0)</f>
        <v>0</v>
      </c>
      <c r="G10263" s="424"/>
      <c r="H10263" s="31">
        <f>+IFERROR(VLOOKUP(E10263,BD!$L$2:$Q$244,6,0),0)</f>
        <v>0</v>
      </c>
      <c r="I10263" s="626">
        <f>IFERROR(G10263*VLOOKUP($E10263,BD!$L$2:$Q$244,5,0),0)</f>
        <v>0</v>
      </c>
      <c r="J10263" s="3">
        <f t="shared" si="641"/>
        <v>1900</v>
      </c>
    </row>
    <row r="10264" spans="1:10" s="9" customFormat="1" x14ac:dyDescent="0.25">
      <c r="A10264" s="447"/>
      <c r="B10264" s="55" t="str">
        <f t="shared" si="638"/>
        <v>ENERO</v>
      </c>
      <c r="C10264" s="55">
        <f t="shared" si="639"/>
        <v>1</v>
      </c>
      <c r="D10264" s="3" t="str">
        <f t="shared" si="640"/>
        <v>SÁBADO</v>
      </c>
      <c r="E10264" s="427"/>
      <c r="F10264" s="31">
        <f>IFERROR(VLOOKUP(E10264,BD!$L$2:$Q$244,2,0),0)</f>
        <v>0</v>
      </c>
      <c r="G10264" s="424"/>
      <c r="H10264" s="31">
        <f>+IFERROR(VLOOKUP(E10264,BD!$L$2:$Q$244,6,0),0)</f>
        <v>0</v>
      </c>
      <c r="I10264" s="626">
        <f>IFERROR(G10264*VLOOKUP($E10264,BD!$L$2:$Q$244,5,0),0)</f>
        <v>0</v>
      </c>
      <c r="J10264" s="3">
        <f t="shared" si="641"/>
        <v>1900</v>
      </c>
    </row>
    <row r="10265" spans="1:10" s="9" customFormat="1" x14ac:dyDescent="0.25">
      <c r="A10265" s="447"/>
      <c r="B10265" s="55" t="str">
        <f t="shared" si="638"/>
        <v>ENERO</v>
      </c>
      <c r="C10265" s="55">
        <f t="shared" si="639"/>
        <v>1</v>
      </c>
      <c r="D10265" s="3" t="str">
        <f t="shared" si="640"/>
        <v>SÁBADO</v>
      </c>
      <c r="E10265" s="427"/>
      <c r="F10265" s="31">
        <f>IFERROR(VLOOKUP(E10265,BD!$L$2:$Q$244,2,0),0)</f>
        <v>0</v>
      </c>
      <c r="G10265" s="424"/>
      <c r="H10265" s="31">
        <f>+IFERROR(VLOOKUP(E10265,BD!$L$2:$Q$244,6,0),0)</f>
        <v>0</v>
      </c>
      <c r="I10265" s="626">
        <f>IFERROR(G10265*VLOOKUP($E10265,BD!$L$2:$Q$244,5,0),0)</f>
        <v>0</v>
      </c>
      <c r="J10265" s="3">
        <f t="shared" si="641"/>
        <v>1900</v>
      </c>
    </row>
    <row r="10266" spans="1:10" s="9" customFormat="1" x14ac:dyDescent="0.25">
      <c r="A10266" s="447"/>
      <c r="B10266" s="55" t="str">
        <f t="shared" si="638"/>
        <v>ENERO</v>
      </c>
      <c r="C10266" s="55">
        <f t="shared" si="639"/>
        <v>1</v>
      </c>
      <c r="D10266" s="3" t="str">
        <f t="shared" si="640"/>
        <v>SÁBADO</v>
      </c>
      <c r="E10266" s="427"/>
      <c r="F10266" s="31">
        <f>IFERROR(VLOOKUP(E10266,BD!$L$2:$Q$244,2,0),0)</f>
        <v>0</v>
      </c>
      <c r="G10266" s="424"/>
      <c r="H10266" s="31">
        <f>+IFERROR(VLOOKUP(E10266,BD!$L$2:$Q$244,6,0),0)</f>
        <v>0</v>
      </c>
      <c r="I10266" s="626">
        <f>IFERROR(G10266*VLOOKUP($E10266,BD!$L$2:$Q$244,5,0),0)</f>
        <v>0</v>
      </c>
      <c r="J10266" s="3">
        <f t="shared" si="641"/>
        <v>1900</v>
      </c>
    </row>
    <row r="10267" spans="1:10" s="9" customFormat="1" x14ac:dyDescent="0.25">
      <c r="A10267" s="447"/>
      <c r="B10267" s="55" t="str">
        <f t="shared" si="638"/>
        <v>ENERO</v>
      </c>
      <c r="C10267" s="55">
        <f t="shared" si="639"/>
        <v>1</v>
      </c>
      <c r="D10267" s="3" t="str">
        <f t="shared" si="640"/>
        <v>SÁBADO</v>
      </c>
      <c r="E10267" s="427"/>
      <c r="F10267" s="31">
        <f>IFERROR(VLOOKUP(E10267,BD!$L$2:$Q$244,2,0),0)</f>
        <v>0</v>
      </c>
      <c r="G10267" s="424"/>
      <c r="H10267" s="31">
        <f>+IFERROR(VLOOKUP(E10267,BD!$L$2:$Q$244,6,0),0)</f>
        <v>0</v>
      </c>
      <c r="I10267" s="626">
        <f>IFERROR(G10267*VLOOKUP($E10267,BD!$L$2:$Q$244,5,0),0)</f>
        <v>0</v>
      </c>
      <c r="J10267" s="3">
        <f t="shared" si="641"/>
        <v>1900</v>
      </c>
    </row>
    <row r="10268" spans="1:10" s="9" customFormat="1" x14ac:dyDescent="0.25">
      <c r="A10268" s="447"/>
      <c r="B10268" s="55" t="str">
        <f t="shared" si="638"/>
        <v>ENERO</v>
      </c>
      <c r="C10268" s="55">
        <f t="shared" si="639"/>
        <v>1</v>
      </c>
      <c r="D10268" s="3" t="str">
        <f t="shared" si="640"/>
        <v>SÁBADO</v>
      </c>
      <c r="E10268" s="427"/>
      <c r="F10268" s="31">
        <f>IFERROR(VLOOKUP(E10268,BD!$L$2:$Q$244,2,0),0)</f>
        <v>0</v>
      </c>
      <c r="G10268" s="424"/>
      <c r="H10268" s="31">
        <f>+IFERROR(VLOOKUP(E10268,BD!$L$2:$Q$244,6,0),0)</f>
        <v>0</v>
      </c>
      <c r="I10268" s="626">
        <f>IFERROR(G10268*VLOOKUP($E10268,BD!$L$2:$Q$244,5,0),0)</f>
        <v>0</v>
      </c>
      <c r="J10268" s="3">
        <f t="shared" si="641"/>
        <v>1900</v>
      </c>
    </row>
    <row r="10269" spans="1:10" s="9" customFormat="1" x14ac:dyDescent="0.25">
      <c r="A10269" s="447"/>
      <c r="B10269" s="55" t="str">
        <f t="shared" si="638"/>
        <v>ENERO</v>
      </c>
      <c r="C10269" s="55">
        <f t="shared" si="639"/>
        <v>1</v>
      </c>
      <c r="D10269" s="3" t="str">
        <f t="shared" si="640"/>
        <v>SÁBADO</v>
      </c>
      <c r="E10269" s="427"/>
      <c r="F10269" s="31">
        <f>IFERROR(VLOOKUP(E10269,BD!$L$2:$Q$244,2,0),0)</f>
        <v>0</v>
      </c>
      <c r="G10269" s="424"/>
      <c r="H10269" s="31">
        <f>+IFERROR(VLOOKUP(E10269,BD!$L$2:$Q$244,6,0),0)</f>
        <v>0</v>
      </c>
      <c r="I10269" s="626">
        <f>IFERROR(G10269*VLOOKUP($E10269,BD!$L$2:$Q$244,5,0),0)</f>
        <v>0</v>
      </c>
      <c r="J10269" s="3">
        <f t="shared" si="641"/>
        <v>1900</v>
      </c>
    </row>
    <row r="10270" spans="1:10" s="9" customFormat="1" x14ac:dyDescent="0.25">
      <c r="A10270" s="447"/>
      <c r="B10270" s="55" t="str">
        <f t="shared" si="638"/>
        <v>ENERO</v>
      </c>
      <c r="C10270" s="55">
        <f t="shared" si="639"/>
        <v>1</v>
      </c>
      <c r="D10270" s="3" t="str">
        <f t="shared" si="640"/>
        <v>SÁBADO</v>
      </c>
      <c r="E10270" s="427"/>
      <c r="F10270" s="31">
        <f>IFERROR(VLOOKUP(E10270,BD!$L$2:$Q$244,2,0),0)</f>
        <v>0</v>
      </c>
      <c r="G10270" s="424"/>
      <c r="H10270" s="31">
        <f>+IFERROR(VLOOKUP(E10270,BD!$L$2:$Q$244,6,0),0)</f>
        <v>0</v>
      </c>
      <c r="I10270" s="626">
        <f>IFERROR(G10270*VLOOKUP($E10270,BD!$L$2:$Q$244,5,0),0)</f>
        <v>0</v>
      </c>
      <c r="J10270" s="3">
        <f t="shared" si="641"/>
        <v>1900</v>
      </c>
    </row>
    <row r="10271" spans="1:10" s="9" customFormat="1" x14ac:dyDescent="0.25">
      <c r="A10271" s="447"/>
      <c r="B10271" s="55" t="str">
        <f t="shared" si="638"/>
        <v>ENERO</v>
      </c>
      <c r="C10271" s="55">
        <f t="shared" si="639"/>
        <v>1</v>
      </c>
      <c r="D10271" s="3" t="str">
        <f t="shared" si="640"/>
        <v>SÁBADO</v>
      </c>
      <c r="E10271" s="427"/>
      <c r="F10271" s="31">
        <f>IFERROR(VLOOKUP(E10271,BD!$L$2:$Q$244,2,0),0)</f>
        <v>0</v>
      </c>
      <c r="G10271" s="424"/>
      <c r="H10271" s="31">
        <f>+IFERROR(VLOOKUP(E10271,BD!$L$2:$Q$244,6,0),0)</f>
        <v>0</v>
      </c>
      <c r="I10271" s="626">
        <f>IFERROR(G10271*VLOOKUP($E10271,BD!$L$2:$Q$244,5,0),0)</f>
        <v>0</v>
      </c>
      <c r="J10271" s="3">
        <f t="shared" si="641"/>
        <v>1900</v>
      </c>
    </row>
    <row r="10272" spans="1:10" s="9" customFormat="1" x14ac:dyDescent="0.25">
      <c r="A10272" s="447"/>
      <c r="B10272" s="55" t="str">
        <f t="shared" si="638"/>
        <v>ENERO</v>
      </c>
      <c r="C10272" s="55">
        <f t="shared" si="639"/>
        <v>1</v>
      </c>
      <c r="D10272" s="3" t="str">
        <f t="shared" si="640"/>
        <v>SÁBADO</v>
      </c>
      <c r="E10272" s="427"/>
      <c r="F10272" s="31">
        <f>IFERROR(VLOOKUP(E10272,BD!$L$2:$Q$244,2,0),0)</f>
        <v>0</v>
      </c>
      <c r="G10272" s="424"/>
      <c r="H10272" s="31">
        <f>+IFERROR(VLOOKUP(E10272,BD!$L$2:$Q$244,6,0),0)</f>
        <v>0</v>
      </c>
      <c r="I10272" s="626">
        <f>IFERROR(G10272*VLOOKUP($E10272,BD!$L$2:$Q$244,5,0),0)</f>
        <v>0</v>
      </c>
      <c r="J10272" s="3">
        <f t="shared" si="641"/>
        <v>1900</v>
      </c>
    </row>
    <row r="10273" spans="1:10" s="9" customFormat="1" x14ac:dyDescent="0.25">
      <c r="A10273" s="447"/>
      <c r="B10273" s="55" t="str">
        <f t="shared" si="638"/>
        <v>ENERO</v>
      </c>
      <c r="C10273" s="55">
        <f t="shared" si="639"/>
        <v>1</v>
      </c>
      <c r="D10273" s="3" t="str">
        <f t="shared" si="640"/>
        <v>SÁBADO</v>
      </c>
      <c r="E10273" s="427"/>
      <c r="F10273" s="31">
        <f>IFERROR(VLOOKUP(E10273,BD!$L$2:$Q$244,2,0),0)</f>
        <v>0</v>
      </c>
      <c r="G10273" s="424"/>
      <c r="H10273" s="31">
        <f>+IFERROR(VLOOKUP(E10273,BD!$L$2:$Q$244,6,0),0)</f>
        <v>0</v>
      </c>
      <c r="I10273" s="626">
        <f>IFERROR(G10273*VLOOKUP($E10273,BD!$L$2:$Q$244,5,0),0)</f>
        <v>0</v>
      </c>
      <c r="J10273" s="3">
        <f t="shared" si="641"/>
        <v>1900</v>
      </c>
    </row>
    <row r="10274" spans="1:10" s="9" customFormat="1" x14ac:dyDescent="0.25">
      <c r="A10274" s="447"/>
      <c r="B10274" s="55" t="str">
        <f t="shared" si="638"/>
        <v>ENERO</v>
      </c>
      <c r="C10274" s="55">
        <f t="shared" si="639"/>
        <v>1</v>
      </c>
      <c r="D10274" s="3" t="str">
        <f t="shared" si="640"/>
        <v>SÁBADO</v>
      </c>
      <c r="E10274" s="427"/>
      <c r="F10274" s="31">
        <f>IFERROR(VLOOKUP(E10274,BD!$L$2:$Q$244,2,0),0)</f>
        <v>0</v>
      </c>
      <c r="G10274" s="425"/>
      <c r="H10274" s="31">
        <f>+IFERROR(VLOOKUP(E10274,BD!$L$2:$Q$244,6,0),0)</f>
        <v>0</v>
      </c>
      <c r="I10274" s="626">
        <f>IFERROR(G10274*VLOOKUP($E10274,BD!$L$2:$Q$244,5,0),0)</f>
        <v>0</v>
      </c>
      <c r="J10274" s="3">
        <f t="shared" si="641"/>
        <v>1900</v>
      </c>
    </row>
    <row r="10275" spans="1:10" s="9" customFormat="1" x14ac:dyDescent="0.25">
      <c r="A10275" s="447"/>
      <c r="B10275" s="55" t="str">
        <f t="shared" si="638"/>
        <v>ENERO</v>
      </c>
      <c r="C10275" s="55">
        <f t="shared" si="639"/>
        <v>1</v>
      </c>
      <c r="D10275" s="3" t="str">
        <f t="shared" si="640"/>
        <v>SÁBADO</v>
      </c>
      <c r="E10275" s="427"/>
      <c r="F10275" s="31">
        <f>IFERROR(VLOOKUP(E10275,BD!$L$2:$Q$244,2,0),0)</f>
        <v>0</v>
      </c>
      <c r="G10275" s="424"/>
      <c r="H10275" s="31">
        <f>+IFERROR(VLOOKUP(E10275,BD!$L$2:$Q$244,6,0),0)</f>
        <v>0</v>
      </c>
      <c r="I10275" s="626">
        <f>IFERROR(G10275*VLOOKUP($E10275,BD!$L$2:$Q$244,5,0),0)</f>
        <v>0</v>
      </c>
      <c r="J10275" s="3">
        <f t="shared" si="641"/>
        <v>1900</v>
      </c>
    </row>
    <row r="10276" spans="1:10" s="9" customFormat="1" x14ac:dyDescent="0.25">
      <c r="A10276" s="447"/>
      <c r="B10276" s="55" t="str">
        <f t="shared" si="638"/>
        <v>ENERO</v>
      </c>
      <c r="C10276" s="55">
        <f t="shared" si="639"/>
        <v>1</v>
      </c>
      <c r="D10276" s="3" t="str">
        <f t="shared" si="640"/>
        <v>SÁBADO</v>
      </c>
      <c r="E10276" s="427"/>
      <c r="F10276" s="31">
        <f>IFERROR(VLOOKUP(E10276,BD!$L$2:$Q$244,2,0),0)</f>
        <v>0</v>
      </c>
      <c r="G10276" s="424"/>
      <c r="H10276" s="31">
        <f>+IFERROR(VLOOKUP(E10276,BD!$L$2:$Q$244,6,0),0)</f>
        <v>0</v>
      </c>
      <c r="I10276" s="626">
        <f>IFERROR(G10276*VLOOKUP($E10276,BD!$L$2:$Q$244,5,0),0)</f>
        <v>0</v>
      </c>
      <c r="J10276" s="3">
        <f t="shared" si="641"/>
        <v>1900</v>
      </c>
    </row>
    <row r="10277" spans="1:10" s="9" customFormat="1" x14ac:dyDescent="0.25">
      <c r="A10277" s="447"/>
      <c r="B10277" s="55" t="str">
        <f t="shared" si="638"/>
        <v>ENERO</v>
      </c>
      <c r="C10277" s="55">
        <f t="shared" si="639"/>
        <v>1</v>
      </c>
      <c r="D10277" s="3" t="str">
        <f t="shared" si="640"/>
        <v>SÁBADO</v>
      </c>
      <c r="E10277" s="427"/>
      <c r="F10277" s="31">
        <f>IFERROR(VLOOKUP(E10277,BD!$L$2:$Q$244,2,0),0)</f>
        <v>0</v>
      </c>
      <c r="G10277" s="424"/>
      <c r="H10277" s="31">
        <f>+IFERROR(VLOOKUP(E10277,BD!$L$2:$Q$244,6,0),0)</f>
        <v>0</v>
      </c>
      <c r="I10277" s="626">
        <f>IFERROR(G10277*VLOOKUP($E10277,BD!$L$2:$Q$244,5,0),0)</f>
        <v>0</v>
      </c>
      <c r="J10277" s="3">
        <f t="shared" si="641"/>
        <v>1900</v>
      </c>
    </row>
    <row r="10278" spans="1:10" s="9" customFormat="1" x14ac:dyDescent="0.25">
      <c r="A10278" s="447"/>
      <c r="B10278" s="55" t="str">
        <f t="shared" si="638"/>
        <v>ENERO</v>
      </c>
      <c r="C10278" s="55">
        <f t="shared" si="639"/>
        <v>1</v>
      </c>
      <c r="D10278" s="3" t="str">
        <f t="shared" si="640"/>
        <v>SÁBADO</v>
      </c>
      <c r="E10278" s="427"/>
      <c r="F10278" s="31">
        <f>IFERROR(VLOOKUP(E10278,BD!$L$2:$Q$244,2,0),0)</f>
        <v>0</v>
      </c>
      <c r="G10278" s="424"/>
      <c r="H10278" s="31">
        <f>+IFERROR(VLOOKUP(E10278,BD!$L$2:$Q$244,6,0),0)</f>
        <v>0</v>
      </c>
      <c r="I10278" s="626">
        <f>IFERROR(G10278*VLOOKUP($E10278,BD!$L$2:$Q$244,5,0),0)</f>
        <v>0</v>
      </c>
      <c r="J10278" s="3">
        <f t="shared" si="641"/>
        <v>1900</v>
      </c>
    </row>
    <row r="10279" spans="1:10" s="9" customFormat="1" x14ac:dyDescent="0.25">
      <c r="A10279" s="447"/>
      <c r="B10279" s="55" t="str">
        <f t="shared" si="638"/>
        <v>ENERO</v>
      </c>
      <c r="C10279" s="55">
        <f t="shared" si="639"/>
        <v>1</v>
      </c>
      <c r="D10279" s="3" t="str">
        <f t="shared" si="640"/>
        <v>SÁBADO</v>
      </c>
      <c r="E10279" s="427"/>
      <c r="F10279" s="31">
        <f>IFERROR(VLOOKUP(E10279,BD!$L$2:$Q$244,2,0),0)</f>
        <v>0</v>
      </c>
      <c r="G10279" s="424"/>
      <c r="H10279" s="31">
        <f>+IFERROR(VLOOKUP(E10279,BD!$L$2:$Q$244,6,0),0)</f>
        <v>0</v>
      </c>
      <c r="I10279" s="626">
        <f>IFERROR(G10279*VLOOKUP($E10279,BD!$L$2:$Q$244,5,0),0)</f>
        <v>0</v>
      </c>
      <c r="J10279" s="3">
        <f t="shared" si="641"/>
        <v>1900</v>
      </c>
    </row>
    <row r="10280" spans="1:10" s="9" customFormat="1" x14ac:dyDescent="0.25">
      <c r="A10280" s="447"/>
      <c r="B10280" s="55" t="str">
        <f t="shared" si="638"/>
        <v>ENERO</v>
      </c>
      <c r="C10280" s="55">
        <f t="shared" si="639"/>
        <v>1</v>
      </c>
      <c r="D10280" s="3" t="str">
        <f t="shared" si="640"/>
        <v>SÁBADO</v>
      </c>
      <c r="E10280" s="427"/>
      <c r="F10280" s="31">
        <f>IFERROR(VLOOKUP(E10280,BD!$L$2:$Q$244,2,0),0)</f>
        <v>0</v>
      </c>
      <c r="G10280" s="424"/>
      <c r="H10280" s="31">
        <f>+IFERROR(VLOOKUP(E10280,BD!$L$2:$Q$244,6,0),0)</f>
        <v>0</v>
      </c>
      <c r="I10280" s="626">
        <f>IFERROR(G10280*VLOOKUP($E10280,BD!$L$2:$Q$244,5,0),0)</f>
        <v>0</v>
      </c>
      <c r="J10280" s="3">
        <f t="shared" si="641"/>
        <v>1900</v>
      </c>
    </row>
    <row r="10281" spans="1:10" s="9" customFormat="1" x14ac:dyDescent="0.25">
      <c r="A10281" s="447"/>
      <c r="B10281" s="55" t="str">
        <f t="shared" si="638"/>
        <v>ENERO</v>
      </c>
      <c r="C10281" s="55">
        <f t="shared" si="639"/>
        <v>1</v>
      </c>
      <c r="D10281" s="3" t="str">
        <f t="shared" si="640"/>
        <v>SÁBADO</v>
      </c>
      <c r="E10281" s="427"/>
      <c r="F10281" s="31">
        <f>IFERROR(VLOOKUP(E10281,BD!$L$2:$Q$244,2,0),0)</f>
        <v>0</v>
      </c>
      <c r="G10281" s="424"/>
      <c r="H10281" s="31">
        <f>+IFERROR(VLOOKUP(E10281,BD!$L$2:$Q$244,6,0),0)</f>
        <v>0</v>
      </c>
      <c r="I10281" s="626">
        <f>IFERROR(G10281*VLOOKUP($E10281,BD!$L$2:$Q$244,5,0),0)</f>
        <v>0</v>
      </c>
      <c r="J10281" s="3">
        <f t="shared" si="641"/>
        <v>1900</v>
      </c>
    </row>
    <row r="10282" spans="1:10" s="9" customFormat="1" x14ac:dyDescent="0.25">
      <c r="A10282" s="447"/>
      <c r="B10282" s="55" t="str">
        <f t="shared" si="638"/>
        <v>ENERO</v>
      </c>
      <c r="C10282" s="55">
        <f t="shared" si="639"/>
        <v>1</v>
      </c>
      <c r="D10282" s="3" t="str">
        <f t="shared" si="640"/>
        <v>SÁBADO</v>
      </c>
      <c r="E10282" s="427"/>
      <c r="F10282" s="31">
        <f>IFERROR(VLOOKUP(E10282,BD!$L$2:$Q$244,2,0),0)</f>
        <v>0</v>
      </c>
      <c r="G10282" s="424"/>
      <c r="H10282" s="31">
        <f>+IFERROR(VLOOKUP(E10282,BD!$L$2:$Q$244,6,0),0)</f>
        <v>0</v>
      </c>
      <c r="I10282" s="626">
        <f>IFERROR(G10282*VLOOKUP($E10282,BD!$L$2:$Q$244,5,0),0)</f>
        <v>0</v>
      </c>
      <c r="J10282" s="3">
        <f t="shared" si="641"/>
        <v>1900</v>
      </c>
    </row>
    <row r="10283" spans="1:10" s="9" customFormat="1" x14ac:dyDescent="0.25">
      <c r="A10283" s="447"/>
      <c r="B10283" s="55" t="str">
        <f t="shared" si="638"/>
        <v>ENERO</v>
      </c>
      <c r="C10283" s="55">
        <f t="shared" si="639"/>
        <v>1</v>
      </c>
      <c r="D10283" s="3" t="str">
        <f t="shared" si="640"/>
        <v>SÁBADO</v>
      </c>
      <c r="E10283" s="427"/>
      <c r="F10283" s="31">
        <f>IFERROR(VLOOKUP(E10283,BD!$L$2:$Q$244,2,0),0)</f>
        <v>0</v>
      </c>
      <c r="G10283" s="424"/>
      <c r="H10283" s="31">
        <f>+IFERROR(VLOOKUP(E10283,BD!$L$2:$Q$244,6,0),0)</f>
        <v>0</v>
      </c>
      <c r="I10283" s="626">
        <f>IFERROR(G10283*VLOOKUP($E10283,BD!$L$2:$Q$244,5,0),0)</f>
        <v>0</v>
      </c>
      <c r="J10283" s="3">
        <f t="shared" si="641"/>
        <v>1900</v>
      </c>
    </row>
    <row r="10284" spans="1:10" s="9" customFormat="1" x14ac:dyDescent="0.25">
      <c r="A10284" s="447"/>
      <c r="B10284" s="55" t="str">
        <f t="shared" si="638"/>
        <v>ENERO</v>
      </c>
      <c r="C10284" s="55">
        <f t="shared" si="639"/>
        <v>1</v>
      </c>
      <c r="D10284" s="3" t="str">
        <f t="shared" si="640"/>
        <v>SÁBADO</v>
      </c>
      <c r="E10284" s="427"/>
      <c r="F10284" s="31">
        <f>IFERROR(VLOOKUP(E10284,BD!$L$2:$Q$244,2,0),0)</f>
        <v>0</v>
      </c>
      <c r="G10284" s="424"/>
      <c r="H10284" s="31">
        <f>+IFERROR(VLOOKUP(E10284,BD!$L$2:$Q$244,6,0),0)</f>
        <v>0</v>
      </c>
      <c r="I10284" s="626">
        <f>IFERROR(G10284*VLOOKUP($E10284,BD!$L$2:$Q$244,5,0),0)</f>
        <v>0</v>
      </c>
      <c r="J10284" s="3">
        <f t="shared" si="641"/>
        <v>1900</v>
      </c>
    </row>
    <row r="10285" spans="1:10" s="9" customFormat="1" x14ac:dyDescent="0.25">
      <c r="A10285" s="447"/>
      <c r="B10285" s="55" t="str">
        <f t="shared" si="638"/>
        <v>ENERO</v>
      </c>
      <c r="C10285" s="55">
        <f t="shared" si="639"/>
        <v>1</v>
      </c>
      <c r="D10285" s="3" t="str">
        <f t="shared" si="640"/>
        <v>SÁBADO</v>
      </c>
      <c r="E10285" s="427"/>
      <c r="F10285" s="31">
        <f>IFERROR(VLOOKUP(E10285,BD!$L$2:$Q$244,2,0),0)</f>
        <v>0</v>
      </c>
      <c r="G10285" s="424"/>
      <c r="H10285" s="31">
        <f>+IFERROR(VLOOKUP(E10285,BD!$L$2:$Q$244,6,0),0)</f>
        <v>0</v>
      </c>
      <c r="I10285" s="626">
        <f>IFERROR(G10285*VLOOKUP($E10285,BD!$L$2:$Q$244,5,0),0)</f>
        <v>0</v>
      </c>
      <c r="J10285" s="3">
        <f t="shared" si="641"/>
        <v>1900</v>
      </c>
    </row>
    <row r="10286" spans="1:10" s="9" customFormat="1" x14ac:dyDescent="0.25">
      <c r="A10286" s="447"/>
      <c r="B10286" s="55" t="str">
        <f t="shared" si="638"/>
        <v>ENERO</v>
      </c>
      <c r="C10286" s="55">
        <f t="shared" si="639"/>
        <v>1</v>
      </c>
      <c r="D10286" s="3" t="str">
        <f t="shared" si="640"/>
        <v>SÁBADO</v>
      </c>
      <c r="E10286" s="427"/>
      <c r="F10286" s="31">
        <f>IFERROR(VLOOKUP(E10286,BD!$L$2:$Q$244,2,0),0)</f>
        <v>0</v>
      </c>
      <c r="G10286" s="424"/>
      <c r="H10286" s="31">
        <f>+IFERROR(VLOOKUP(E10286,BD!$L$2:$Q$244,6,0),0)</f>
        <v>0</v>
      </c>
      <c r="I10286" s="626">
        <f>IFERROR(G10286*VLOOKUP($E10286,BD!$L$2:$Q$244,5,0),0)</f>
        <v>0</v>
      </c>
      <c r="J10286" s="3">
        <f t="shared" si="641"/>
        <v>1900</v>
      </c>
    </row>
    <row r="10287" spans="1:10" s="9" customFormat="1" x14ac:dyDescent="0.25">
      <c r="A10287" s="447"/>
      <c r="B10287" s="55" t="str">
        <f t="shared" ref="B10287:B10314" si="642">UPPER(TEXT(A10287,"MMMM"))</f>
        <v>ENERO</v>
      </c>
      <c r="C10287" s="55">
        <f t="shared" ref="C10287:C10314" si="643">WEEKNUM(A10287,16)</f>
        <v>1</v>
      </c>
      <c r="D10287" s="3" t="str">
        <f t="shared" ref="D10287:D10314" si="644">UPPER(TEXT(A10287,"DDDD"))</f>
        <v>SÁBADO</v>
      </c>
      <c r="E10287" s="427"/>
      <c r="F10287" s="31">
        <f>IFERROR(VLOOKUP(E10287,BD!$L$2:$Q$244,2,0),0)</f>
        <v>0</v>
      </c>
      <c r="G10287" s="424"/>
      <c r="H10287" s="31">
        <f>+IFERROR(VLOOKUP(E10287,BD!$L$2:$Q$244,6,0),0)</f>
        <v>0</v>
      </c>
      <c r="I10287" s="626">
        <f>IFERROR(G10287*VLOOKUP($E10287,BD!$L$2:$Q$244,5,0),0)</f>
        <v>0</v>
      </c>
      <c r="J10287" s="3">
        <f t="shared" ref="J10287:J10314" si="645">+YEAR(A10287)</f>
        <v>1900</v>
      </c>
    </row>
    <row r="10288" spans="1:10" s="9" customFormat="1" x14ac:dyDescent="0.25">
      <c r="A10288" s="447"/>
      <c r="B10288" s="55" t="str">
        <f t="shared" si="642"/>
        <v>ENERO</v>
      </c>
      <c r="C10288" s="55">
        <f t="shared" si="643"/>
        <v>1</v>
      </c>
      <c r="D10288" s="3" t="str">
        <f t="shared" si="644"/>
        <v>SÁBADO</v>
      </c>
      <c r="E10288" s="427"/>
      <c r="F10288" s="31">
        <f>IFERROR(VLOOKUP(E10288,BD!$L$2:$Q$244,2,0),0)</f>
        <v>0</v>
      </c>
      <c r="G10288" s="425"/>
      <c r="H10288" s="31">
        <f>+IFERROR(VLOOKUP(E10288,BD!$L$2:$Q$244,6,0),0)</f>
        <v>0</v>
      </c>
      <c r="I10288" s="626">
        <f>IFERROR(G10288*VLOOKUP($E10288,BD!$L$2:$Q$244,5,0),0)</f>
        <v>0</v>
      </c>
      <c r="J10288" s="3">
        <f t="shared" si="645"/>
        <v>1900</v>
      </c>
    </row>
    <row r="10289" spans="1:10" s="9" customFormat="1" x14ac:dyDescent="0.25">
      <c r="A10289" s="447"/>
      <c r="B10289" s="55" t="str">
        <f t="shared" si="642"/>
        <v>ENERO</v>
      </c>
      <c r="C10289" s="55">
        <f t="shared" si="643"/>
        <v>1</v>
      </c>
      <c r="D10289" s="3" t="str">
        <f t="shared" si="644"/>
        <v>SÁBADO</v>
      </c>
      <c r="E10289" s="427"/>
      <c r="F10289" s="31">
        <f>IFERROR(VLOOKUP(E10289,BD!$L$2:$Q$244,2,0),0)</f>
        <v>0</v>
      </c>
      <c r="G10289" s="424"/>
      <c r="H10289" s="31">
        <f>+IFERROR(VLOOKUP(E10289,BD!$L$2:$Q$244,6,0),0)</f>
        <v>0</v>
      </c>
      <c r="I10289" s="626">
        <f>IFERROR(G10289*VLOOKUP($E10289,BD!$L$2:$Q$244,5,0),0)</f>
        <v>0</v>
      </c>
      <c r="J10289" s="3">
        <f t="shared" si="645"/>
        <v>1900</v>
      </c>
    </row>
    <row r="10290" spans="1:10" s="9" customFormat="1" x14ac:dyDescent="0.25">
      <c r="A10290" s="447"/>
      <c r="B10290" s="55" t="str">
        <f t="shared" si="642"/>
        <v>ENERO</v>
      </c>
      <c r="C10290" s="55">
        <f t="shared" si="643"/>
        <v>1</v>
      </c>
      <c r="D10290" s="3" t="str">
        <f t="shared" si="644"/>
        <v>SÁBADO</v>
      </c>
      <c r="E10290" s="427"/>
      <c r="F10290" s="31">
        <f>IFERROR(VLOOKUP(E10290,BD!$L$2:$Q$244,2,0),0)</f>
        <v>0</v>
      </c>
      <c r="G10290" s="424"/>
      <c r="H10290" s="31">
        <f>+IFERROR(VLOOKUP(E10290,BD!$L$2:$Q$244,6,0),0)</f>
        <v>0</v>
      </c>
      <c r="I10290" s="626">
        <f>IFERROR(G10290*VLOOKUP($E10290,BD!$L$2:$Q$244,5,0),0)</f>
        <v>0</v>
      </c>
      <c r="J10290" s="3">
        <f t="shared" si="645"/>
        <v>1900</v>
      </c>
    </row>
    <row r="10291" spans="1:10" s="9" customFormat="1" x14ac:dyDescent="0.25">
      <c r="A10291" s="447"/>
      <c r="B10291" s="55" t="str">
        <f t="shared" si="642"/>
        <v>ENERO</v>
      </c>
      <c r="C10291" s="55">
        <f t="shared" si="643"/>
        <v>1</v>
      </c>
      <c r="D10291" s="3" t="str">
        <f t="shared" si="644"/>
        <v>SÁBADO</v>
      </c>
      <c r="E10291" s="427"/>
      <c r="F10291" s="31">
        <f>IFERROR(VLOOKUP(E10291,BD!$L$2:$Q$244,2,0),0)</f>
        <v>0</v>
      </c>
      <c r="G10291" s="424"/>
      <c r="H10291" s="31">
        <f>+IFERROR(VLOOKUP(E10291,BD!$L$2:$Q$244,6,0),0)</f>
        <v>0</v>
      </c>
      <c r="I10291" s="626">
        <f>IFERROR(G10291*VLOOKUP($E10291,BD!$L$2:$Q$244,5,0),0)</f>
        <v>0</v>
      </c>
      <c r="J10291" s="3">
        <f t="shared" si="645"/>
        <v>1900</v>
      </c>
    </row>
    <row r="10292" spans="1:10" s="9" customFormat="1" x14ac:dyDescent="0.25">
      <c r="A10292" s="447"/>
      <c r="B10292" s="55" t="str">
        <f t="shared" si="642"/>
        <v>ENERO</v>
      </c>
      <c r="C10292" s="55">
        <f t="shared" si="643"/>
        <v>1</v>
      </c>
      <c r="D10292" s="3" t="str">
        <f t="shared" si="644"/>
        <v>SÁBADO</v>
      </c>
      <c r="E10292" s="427"/>
      <c r="F10292" s="31">
        <f>IFERROR(VLOOKUP(E10292,BD!$L$2:$Q$244,2,0),0)</f>
        <v>0</v>
      </c>
      <c r="G10292" s="424"/>
      <c r="H10292" s="31">
        <f>+IFERROR(VLOOKUP(E10292,BD!$L$2:$Q$244,6,0),0)</f>
        <v>0</v>
      </c>
      <c r="I10292" s="626">
        <f>IFERROR(G10292*VLOOKUP($E10292,BD!$L$2:$Q$244,5,0),0)</f>
        <v>0</v>
      </c>
      <c r="J10292" s="3">
        <f t="shared" si="645"/>
        <v>1900</v>
      </c>
    </row>
    <row r="10293" spans="1:10" s="9" customFormat="1" x14ac:dyDescent="0.25">
      <c r="A10293" s="447"/>
      <c r="B10293" s="55" t="str">
        <f t="shared" si="642"/>
        <v>ENERO</v>
      </c>
      <c r="C10293" s="55">
        <f t="shared" si="643"/>
        <v>1</v>
      </c>
      <c r="D10293" s="3" t="str">
        <f t="shared" si="644"/>
        <v>SÁBADO</v>
      </c>
      <c r="E10293" s="427"/>
      <c r="F10293" s="31">
        <f>IFERROR(VLOOKUP(E10293,BD!$L$2:$Q$244,2,0),0)</f>
        <v>0</v>
      </c>
      <c r="G10293" s="424"/>
      <c r="H10293" s="31">
        <f>+IFERROR(VLOOKUP(E10293,BD!$L$2:$Q$244,6,0),0)</f>
        <v>0</v>
      </c>
      <c r="I10293" s="626">
        <f>IFERROR(G10293*VLOOKUP($E10293,BD!$L$2:$Q$244,5,0),0)</f>
        <v>0</v>
      </c>
      <c r="J10293" s="3">
        <f t="shared" si="645"/>
        <v>1900</v>
      </c>
    </row>
    <row r="10294" spans="1:10" s="9" customFormat="1" x14ac:dyDescent="0.25">
      <c r="A10294" s="447"/>
      <c r="B10294" s="55" t="str">
        <f t="shared" si="642"/>
        <v>ENERO</v>
      </c>
      <c r="C10294" s="55">
        <f t="shared" si="643"/>
        <v>1</v>
      </c>
      <c r="D10294" s="3" t="str">
        <f t="shared" si="644"/>
        <v>SÁBADO</v>
      </c>
      <c r="E10294" s="427"/>
      <c r="F10294" s="31">
        <f>IFERROR(VLOOKUP(E10294,BD!$L$2:$Q$244,2,0),0)</f>
        <v>0</v>
      </c>
      <c r="G10294" s="424"/>
      <c r="H10294" s="31">
        <f>+IFERROR(VLOOKUP(E10294,BD!$L$2:$Q$244,6,0),0)</f>
        <v>0</v>
      </c>
      <c r="I10294" s="626">
        <f>IFERROR(G10294*VLOOKUP($E10294,BD!$L$2:$Q$244,5,0),0)</f>
        <v>0</v>
      </c>
      <c r="J10294" s="3">
        <f t="shared" si="645"/>
        <v>1900</v>
      </c>
    </row>
    <row r="10295" spans="1:10" s="9" customFormat="1" x14ac:dyDescent="0.25">
      <c r="A10295" s="447"/>
      <c r="B10295" s="55" t="str">
        <f t="shared" si="642"/>
        <v>ENERO</v>
      </c>
      <c r="C10295" s="55">
        <f t="shared" si="643"/>
        <v>1</v>
      </c>
      <c r="D10295" s="3" t="str">
        <f t="shared" si="644"/>
        <v>SÁBADO</v>
      </c>
      <c r="E10295" s="427"/>
      <c r="F10295" s="31">
        <f>IFERROR(VLOOKUP(E10295,BD!$L$2:$Q$244,2,0),0)</f>
        <v>0</v>
      </c>
      <c r="G10295" s="424"/>
      <c r="H10295" s="31">
        <f>+IFERROR(VLOOKUP(E10295,BD!$L$2:$Q$244,6,0),0)</f>
        <v>0</v>
      </c>
      <c r="I10295" s="626">
        <f>IFERROR(G10295*VLOOKUP($E10295,BD!$L$2:$Q$244,5,0),0)</f>
        <v>0</v>
      </c>
      <c r="J10295" s="3">
        <f t="shared" si="645"/>
        <v>1900</v>
      </c>
    </row>
    <row r="10296" spans="1:10" s="9" customFormat="1" x14ac:dyDescent="0.25">
      <c r="A10296" s="447"/>
      <c r="B10296" s="55" t="str">
        <f t="shared" si="642"/>
        <v>ENERO</v>
      </c>
      <c r="C10296" s="55">
        <f t="shared" si="643"/>
        <v>1</v>
      </c>
      <c r="D10296" s="3" t="str">
        <f t="shared" si="644"/>
        <v>SÁBADO</v>
      </c>
      <c r="E10296" s="427"/>
      <c r="F10296" s="31">
        <f>IFERROR(VLOOKUP(E10296,BD!$L$2:$Q$244,2,0),0)</f>
        <v>0</v>
      </c>
      <c r="G10296" s="424"/>
      <c r="H10296" s="31">
        <f>+IFERROR(VLOOKUP(E10296,BD!$L$2:$Q$244,6,0),0)</f>
        <v>0</v>
      </c>
      <c r="I10296" s="626">
        <f>IFERROR(G10296*VLOOKUP($E10296,BD!$L$2:$Q$244,5,0),0)</f>
        <v>0</v>
      </c>
      <c r="J10296" s="3">
        <f t="shared" si="645"/>
        <v>1900</v>
      </c>
    </row>
    <row r="10297" spans="1:10" s="9" customFormat="1" x14ac:dyDescent="0.25">
      <c r="A10297" s="447"/>
      <c r="B10297" s="55" t="str">
        <f t="shared" si="642"/>
        <v>ENERO</v>
      </c>
      <c r="C10297" s="55">
        <f t="shared" si="643"/>
        <v>1</v>
      </c>
      <c r="D10297" s="3" t="str">
        <f t="shared" si="644"/>
        <v>SÁBADO</v>
      </c>
      <c r="E10297" s="427"/>
      <c r="F10297" s="31">
        <f>IFERROR(VLOOKUP(E10297,BD!$L$2:$Q$244,2,0),0)</f>
        <v>0</v>
      </c>
      <c r="G10297" s="424"/>
      <c r="H10297" s="31">
        <f>+IFERROR(VLOOKUP(E10297,BD!$L$2:$Q$244,6,0),0)</f>
        <v>0</v>
      </c>
      <c r="I10297" s="626">
        <f>IFERROR(G10297*VLOOKUP($E10297,BD!$L$2:$Q$244,5,0),0)</f>
        <v>0</v>
      </c>
      <c r="J10297" s="3">
        <f t="shared" si="645"/>
        <v>1900</v>
      </c>
    </row>
    <row r="10298" spans="1:10" s="9" customFormat="1" x14ac:dyDescent="0.25">
      <c r="A10298" s="447"/>
      <c r="B10298" s="55" t="str">
        <f t="shared" si="642"/>
        <v>ENERO</v>
      </c>
      <c r="C10298" s="55">
        <f t="shared" si="643"/>
        <v>1</v>
      </c>
      <c r="D10298" s="3" t="str">
        <f t="shared" si="644"/>
        <v>SÁBADO</v>
      </c>
      <c r="E10298" s="427"/>
      <c r="F10298" s="31">
        <f>IFERROR(VLOOKUP(E10298,BD!$L$2:$Q$244,2,0),0)</f>
        <v>0</v>
      </c>
      <c r="G10298" s="424"/>
      <c r="H10298" s="31">
        <f>+IFERROR(VLOOKUP(E10298,BD!$L$2:$Q$244,6,0),0)</f>
        <v>0</v>
      </c>
      <c r="I10298" s="626">
        <f>IFERROR(G10298*VLOOKUP($E10298,BD!$L$2:$Q$244,5,0),0)</f>
        <v>0</v>
      </c>
      <c r="J10298" s="3">
        <f t="shared" si="645"/>
        <v>1900</v>
      </c>
    </row>
    <row r="10299" spans="1:10" s="9" customFormat="1" x14ac:dyDescent="0.25">
      <c r="A10299" s="447"/>
      <c r="B10299" s="55" t="str">
        <f t="shared" si="642"/>
        <v>ENERO</v>
      </c>
      <c r="C10299" s="55">
        <f t="shared" si="643"/>
        <v>1</v>
      </c>
      <c r="D10299" s="3" t="str">
        <f t="shared" si="644"/>
        <v>SÁBADO</v>
      </c>
      <c r="E10299" s="427"/>
      <c r="F10299" s="31">
        <f>IFERROR(VLOOKUP(E10299,BD!$L$2:$Q$244,2,0),0)</f>
        <v>0</v>
      </c>
      <c r="G10299" s="424"/>
      <c r="H10299" s="31">
        <f>+IFERROR(VLOOKUP(E10299,BD!$L$2:$Q$244,6,0),0)</f>
        <v>0</v>
      </c>
      <c r="I10299" s="626">
        <f>IFERROR(G10299*VLOOKUP($E10299,BD!$L$2:$Q$244,5,0),0)</f>
        <v>0</v>
      </c>
      <c r="J10299" s="3">
        <f t="shared" si="645"/>
        <v>1900</v>
      </c>
    </row>
    <row r="10300" spans="1:10" s="9" customFormat="1" x14ac:dyDescent="0.25">
      <c r="A10300" s="447"/>
      <c r="B10300" s="55" t="str">
        <f t="shared" si="642"/>
        <v>ENERO</v>
      </c>
      <c r="C10300" s="55">
        <f t="shared" si="643"/>
        <v>1</v>
      </c>
      <c r="D10300" s="3" t="str">
        <f t="shared" si="644"/>
        <v>SÁBADO</v>
      </c>
      <c r="E10300" s="427"/>
      <c r="F10300" s="31">
        <f>IFERROR(VLOOKUP(E10300,BD!$L$2:$Q$244,2,0),0)</f>
        <v>0</v>
      </c>
      <c r="G10300" s="424"/>
      <c r="H10300" s="31">
        <f>+IFERROR(VLOOKUP(E10300,BD!$L$2:$Q$244,6,0),0)</f>
        <v>0</v>
      </c>
      <c r="I10300" s="626">
        <f>IFERROR(G10300*VLOOKUP($E10300,BD!$L$2:$Q$244,5,0),0)</f>
        <v>0</v>
      </c>
      <c r="J10300" s="3">
        <f t="shared" si="645"/>
        <v>1900</v>
      </c>
    </row>
    <row r="10301" spans="1:10" s="9" customFormat="1" x14ac:dyDescent="0.25">
      <c r="A10301" s="447"/>
      <c r="B10301" s="55" t="str">
        <f t="shared" si="642"/>
        <v>ENERO</v>
      </c>
      <c r="C10301" s="55">
        <f t="shared" si="643"/>
        <v>1</v>
      </c>
      <c r="D10301" s="3" t="str">
        <f t="shared" si="644"/>
        <v>SÁBADO</v>
      </c>
      <c r="E10301" s="427"/>
      <c r="F10301" s="31">
        <f>IFERROR(VLOOKUP(E10301,BD!$L$2:$Q$244,2,0),0)</f>
        <v>0</v>
      </c>
      <c r="G10301" s="424"/>
      <c r="H10301" s="31">
        <f>+IFERROR(VLOOKUP(E10301,BD!$L$2:$Q$244,6,0),0)</f>
        <v>0</v>
      </c>
      <c r="I10301" s="626">
        <f>IFERROR(G10301*VLOOKUP($E10301,BD!$L$2:$Q$244,5,0),0)</f>
        <v>0</v>
      </c>
      <c r="J10301" s="3">
        <f t="shared" si="645"/>
        <v>1900</v>
      </c>
    </row>
    <row r="10302" spans="1:10" s="9" customFormat="1" x14ac:dyDescent="0.25">
      <c r="A10302" s="447"/>
      <c r="B10302" s="55" t="str">
        <f t="shared" si="642"/>
        <v>ENERO</v>
      </c>
      <c r="C10302" s="55">
        <f t="shared" si="643"/>
        <v>1</v>
      </c>
      <c r="D10302" s="3" t="str">
        <f t="shared" si="644"/>
        <v>SÁBADO</v>
      </c>
      <c r="E10302" s="427"/>
      <c r="F10302" s="31">
        <f>IFERROR(VLOOKUP(E10302,BD!$L$2:$Q$244,2,0),0)</f>
        <v>0</v>
      </c>
      <c r="G10302" s="425"/>
      <c r="H10302" s="31">
        <f>+IFERROR(VLOOKUP(E10302,BD!$L$2:$Q$244,6,0),0)</f>
        <v>0</v>
      </c>
      <c r="I10302" s="626">
        <f>IFERROR(G10302*VLOOKUP($E10302,BD!$L$2:$Q$244,5,0),0)</f>
        <v>0</v>
      </c>
      <c r="J10302" s="3">
        <f t="shared" si="645"/>
        <v>1900</v>
      </c>
    </row>
    <row r="10303" spans="1:10" s="9" customFormat="1" x14ac:dyDescent="0.25">
      <c r="A10303" s="447"/>
      <c r="B10303" s="55" t="str">
        <f t="shared" si="642"/>
        <v>ENERO</v>
      </c>
      <c r="C10303" s="55">
        <f t="shared" si="643"/>
        <v>1</v>
      </c>
      <c r="D10303" s="3" t="str">
        <f t="shared" si="644"/>
        <v>SÁBADO</v>
      </c>
      <c r="E10303" s="427"/>
      <c r="F10303" s="31">
        <f>IFERROR(VLOOKUP(E10303,BD!$L$2:$Q$244,2,0),0)</f>
        <v>0</v>
      </c>
      <c r="G10303" s="424"/>
      <c r="H10303" s="31">
        <f>+IFERROR(VLOOKUP(E10303,BD!$L$2:$Q$244,6,0),0)</f>
        <v>0</v>
      </c>
      <c r="I10303" s="626">
        <f>IFERROR(G10303*VLOOKUP($E10303,BD!$L$2:$Q$244,5,0),0)</f>
        <v>0</v>
      </c>
      <c r="J10303" s="3">
        <f t="shared" si="645"/>
        <v>1900</v>
      </c>
    </row>
    <row r="10304" spans="1:10" s="9" customFormat="1" x14ac:dyDescent="0.25">
      <c r="A10304" s="447"/>
      <c r="B10304" s="55" t="str">
        <f t="shared" si="642"/>
        <v>ENERO</v>
      </c>
      <c r="C10304" s="55">
        <f t="shared" si="643"/>
        <v>1</v>
      </c>
      <c r="D10304" s="3" t="str">
        <f t="shared" si="644"/>
        <v>SÁBADO</v>
      </c>
      <c r="E10304" s="427"/>
      <c r="F10304" s="31">
        <f>IFERROR(VLOOKUP(E10304,BD!$L$2:$Q$244,2,0),0)</f>
        <v>0</v>
      </c>
      <c r="G10304" s="424"/>
      <c r="H10304" s="31">
        <f>+IFERROR(VLOOKUP(E10304,BD!$L$2:$Q$244,6,0),0)</f>
        <v>0</v>
      </c>
      <c r="I10304" s="626">
        <f>IFERROR(G10304*VLOOKUP($E10304,BD!$L$2:$Q$244,5,0),0)</f>
        <v>0</v>
      </c>
      <c r="J10304" s="3">
        <f t="shared" si="645"/>
        <v>1900</v>
      </c>
    </row>
    <row r="10305" spans="1:10" s="9" customFormat="1" x14ac:dyDescent="0.25">
      <c r="A10305" s="447"/>
      <c r="B10305" s="55" t="str">
        <f t="shared" si="642"/>
        <v>ENERO</v>
      </c>
      <c r="C10305" s="55">
        <f t="shared" si="643"/>
        <v>1</v>
      </c>
      <c r="D10305" s="3" t="str">
        <f t="shared" si="644"/>
        <v>SÁBADO</v>
      </c>
      <c r="E10305" s="427"/>
      <c r="F10305" s="31">
        <f>IFERROR(VLOOKUP(E10305,BD!$L$2:$Q$244,2,0),0)</f>
        <v>0</v>
      </c>
      <c r="G10305" s="424"/>
      <c r="H10305" s="31">
        <f>+IFERROR(VLOOKUP(E10305,BD!$L$2:$Q$244,6,0),0)</f>
        <v>0</v>
      </c>
      <c r="I10305" s="626">
        <f>IFERROR(G10305*VLOOKUP($E10305,BD!$L$2:$Q$244,5,0),0)</f>
        <v>0</v>
      </c>
      <c r="J10305" s="3">
        <f t="shared" si="645"/>
        <v>1900</v>
      </c>
    </row>
    <row r="10306" spans="1:10" s="9" customFormat="1" x14ac:dyDescent="0.25">
      <c r="A10306" s="447"/>
      <c r="B10306" s="55" t="str">
        <f t="shared" si="642"/>
        <v>ENERO</v>
      </c>
      <c r="C10306" s="55">
        <f t="shared" si="643"/>
        <v>1</v>
      </c>
      <c r="D10306" s="3" t="str">
        <f t="shared" si="644"/>
        <v>SÁBADO</v>
      </c>
      <c r="E10306" s="427"/>
      <c r="F10306" s="31">
        <f>IFERROR(VLOOKUP(E10306,BD!$L$2:$Q$244,2,0),0)</f>
        <v>0</v>
      </c>
      <c r="G10306" s="424"/>
      <c r="H10306" s="31">
        <f>+IFERROR(VLOOKUP(E10306,BD!$L$2:$Q$244,6,0),0)</f>
        <v>0</v>
      </c>
      <c r="I10306" s="626">
        <f>IFERROR(G10306*VLOOKUP($E10306,BD!$L$2:$Q$244,5,0),0)</f>
        <v>0</v>
      </c>
      <c r="J10306" s="3">
        <f t="shared" si="645"/>
        <v>1900</v>
      </c>
    </row>
    <row r="10307" spans="1:10" s="9" customFormat="1" x14ac:dyDescent="0.25">
      <c r="A10307" s="447"/>
      <c r="B10307" s="55" t="str">
        <f t="shared" si="642"/>
        <v>ENERO</v>
      </c>
      <c r="C10307" s="55">
        <f t="shared" si="643"/>
        <v>1</v>
      </c>
      <c r="D10307" s="3" t="str">
        <f t="shared" si="644"/>
        <v>SÁBADO</v>
      </c>
      <c r="E10307" s="427"/>
      <c r="F10307" s="31">
        <f>IFERROR(VLOOKUP(E10307,BD!$L$2:$Q$244,2,0),0)</f>
        <v>0</v>
      </c>
      <c r="G10307" s="424"/>
      <c r="H10307" s="31">
        <f>+IFERROR(VLOOKUP(E10307,BD!$L$2:$Q$244,6,0),0)</f>
        <v>0</v>
      </c>
      <c r="I10307" s="626">
        <f>IFERROR(G10307*VLOOKUP($E10307,BD!$L$2:$Q$244,5,0),0)</f>
        <v>0</v>
      </c>
      <c r="J10307" s="3">
        <f t="shared" si="645"/>
        <v>1900</v>
      </c>
    </row>
    <row r="10308" spans="1:10" s="9" customFormat="1" x14ac:dyDescent="0.25">
      <c r="A10308" s="447"/>
      <c r="B10308" s="55" t="str">
        <f t="shared" si="642"/>
        <v>ENERO</v>
      </c>
      <c r="C10308" s="55">
        <f t="shared" si="643"/>
        <v>1</v>
      </c>
      <c r="D10308" s="3" t="str">
        <f t="shared" si="644"/>
        <v>SÁBADO</v>
      </c>
      <c r="E10308" s="427"/>
      <c r="F10308" s="31">
        <f>IFERROR(VLOOKUP(E10308,BD!$L$2:$Q$244,2,0),0)</f>
        <v>0</v>
      </c>
      <c r="G10308" s="424"/>
      <c r="H10308" s="31">
        <f>+IFERROR(VLOOKUP(E10308,BD!$L$2:$Q$244,6,0),0)</f>
        <v>0</v>
      </c>
      <c r="I10308" s="626">
        <f>IFERROR(G10308*VLOOKUP($E10308,BD!$L$2:$Q$244,5,0),0)</f>
        <v>0</v>
      </c>
      <c r="J10308" s="3">
        <f t="shared" si="645"/>
        <v>1900</v>
      </c>
    </row>
    <row r="10309" spans="1:10" s="9" customFormat="1" x14ac:dyDescent="0.25">
      <c r="A10309" s="447"/>
      <c r="B10309" s="55" t="str">
        <f t="shared" si="642"/>
        <v>ENERO</v>
      </c>
      <c r="C10309" s="55">
        <f t="shared" si="643"/>
        <v>1</v>
      </c>
      <c r="D10309" s="3" t="str">
        <f t="shared" si="644"/>
        <v>SÁBADO</v>
      </c>
      <c r="E10309" s="427"/>
      <c r="F10309" s="31">
        <f>IFERROR(VLOOKUP(E10309,BD!$L$2:$Q$244,2,0),0)</f>
        <v>0</v>
      </c>
      <c r="G10309" s="424"/>
      <c r="H10309" s="31">
        <f>+IFERROR(VLOOKUP(E10309,BD!$L$2:$Q$244,6,0),0)</f>
        <v>0</v>
      </c>
      <c r="I10309" s="626">
        <f>IFERROR(G10309*VLOOKUP($E10309,BD!$L$2:$Q$244,5,0),0)</f>
        <v>0</v>
      </c>
      <c r="J10309" s="3">
        <f t="shared" si="645"/>
        <v>1900</v>
      </c>
    </row>
    <row r="10310" spans="1:10" s="9" customFormat="1" x14ac:dyDescent="0.25">
      <c r="A10310" s="447"/>
      <c r="B10310" s="55" t="str">
        <f t="shared" si="642"/>
        <v>ENERO</v>
      </c>
      <c r="C10310" s="55">
        <f t="shared" si="643"/>
        <v>1</v>
      </c>
      <c r="D10310" s="3" t="str">
        <f t="shared" si="644"/>
        <v>SÁBADO</v>
      </c>
      <c r="E10310" s="427"/>
      <c r="F10310" s="31">
        <f>IFERROR(VLOOKUP(E10310,BD!$L$2:$Q$244,2,0),0)</f>
        <v>0</v>
      </c>
      <c r="G10310" s="424"/>
      <c r="H10310" s="31">
        <f>+IFERROR(VLOOKUP(E10310,BD!$L$2:$Q$244,6,0),0)</f>
        <v>0</v>
      </c>
      <c r="I10310" s="626">
        <f>IFERROR(G10310*VLOOKUP($E10310,BD!$L$2:$Q$244,5,0),0)</f>
        <v>0</v>
      </c>
      <c r="J10310" s="3">
        <f t="shared" si="645"/>
        <v>1900</v>
      </c>
    </row>
    <row r="10311" spans="1:10" s="9" customFormat="1" x14ac:dyDescent="0.25">
      <c r="A10311" s="447"/>
      <c r="B10311" s="55" t="str">
        <f t="shared" si="642"/>
        <v>ENERO</v>
      </c>
      <c r="C10311" s="55">
        <f t="shared" si="643"/>
        <v>1</v>
      </c>
      <c r="D10311" s="3" t="str">
        <f t="shared" si="644"/>
        <v>SÁBADO</v>
      </c>
      <c r="E10311" s="427"/>
      <c r="F10311" s="31">
        <f>IFERROR(VLOOKUP(E10311,BD!$L$2:$Q$244,2,0),0)</f>
        <v>0</v>
      </c>
      <c r="G10311" s="424"/>
      <c r="H10311" s="31">
        <f>+IFERROR(VLOOKUP(E10311,BD!$L$2:$Q$244,6,0),0)</f>
        <v>0</v>
      </c>
      <c r="I10311" s="626">
        <f>IFERROR(G10311*VLOOKUP($E10311,BD!$L$2:$Q$244,5,0),0)</f>
        <v>0</v>
      </c>
      <c r="J10311" s="3">
        <f t="shared" si="645"/>
        <v>1900</v>
      </c>
    </row>
    <row r="10312" spans="1:10" s="9" customFormat="1" x14ac:dyDescent="0.25">
      <c r="A10312" s="447"/>
      <c r="B10312" s="55" t="str">
        <f t="shared" si="642"/>
        <v>ENERO</v>
      </c>
      <c r="C10312" s="55">
        <f t="shared" si="643"/>
        <v>1</v>
      </c>
      <c r="D10312" s="3" t="str">
        <f t="shared" si="644"/>
        <v>SÁBADO</v>
      </c>
      <c r="E10312" s="427"/>
      <c r="F10312" s="31">
        <f>IFERROR(VLOOKUP(E10312,BD!$L$2:$Q$244,2,0),0)</f>
        <v>0</v>
      </c>
      <c r="G10312" s="424"/>
      <c r="H10312" s="31">
        <f>+IFERROR(VLOOKUP(E10312,BD!$L$2:$Q$244,6,0),0)</f>
        <v>0</v>
      </c>
      <c r="I10312" s="626">
        <f>IFERROR(G10312*VLOOKUP($E10312,BD!$L$2:$Q$244,5,0),0)</f>
        <v>0</v>
      </c>
      <c r="J10312" s="3">
        <f t="shared" si="645"/>
        <v>1900</v>
      </c>
    </row>
    <row r="10313" spans="1:10" s="9" customFormat="1" x14ac:dyDescent="0.25">
      <c r="A10313" s="447"/>
      <c r="B10313" s="55" t="str">
        <f t="shared" si="642"/>
        <v>ENERO</v>
      </c>
      <c r="C10313" s="55">
        <f t="shared" si="643"/>
        <v>1</v>
      </c>
      <c r="D10313" s="3" t="str">
        <f t="shared" si="644"/>
        <v>SÁBADO</v>
      </c>
      <c r="E10313" s="427"/>
      <c r="F10313" s="31">
        <f>IFERROR(VLOOKUP(E10313,BD!$L$2:$Q$244,2,0),0)</f>
        <v>0</v>
      </c>
      <c r="G10313" s="424"/>
      <c r="H10313" s="31">
        <f>+IFERROR(VLOOKUP(E10313,BD!$L$2:$Q$244,6,0),0)</f>
        <v>0</v>
      </c>
      <c r="I10313" s="626">
        <f>IFERROR(G10313*VLOOKUP($E10313,BD!$L$2:$Q$244,5,0),0)</f>
        <v>0</v>
      </c>
      <c r="J10313" s="3">
        <f t="shared" si="645"/>
        <v>1900</v>
      </c>
    </row>
    <row r="10314" spans="1:10" s="9" customFormat="1" x14ac:dyDescent="0.25">
      <c r="A10314" s="447"/>
      <c r="B10314" s="55" t="str">
        <f t="shared" si="642"/>
        <v>ENERO</v>
      </c>
      <c r="C10314" s="55">
        <f t="shared" si="643"/>
        <v>1</v>
      </c>
      <c r="D10314" s="3" t="str">
        <f t="shared" si="644"/>
        <v>SÁBADO</v>
      </c>
      <c r="E10314" s="427"/>
      <c r="F10314" s="31">
        <f>IFERROR(VLOOKUP(E10314,BD!$L$2:$Q$244,2,0),0)</f>
        <v>0</v>
      </c>
      <c r="G10314" s="424"/>
      <c r="H10314" s="31">
        <f>+IFERROR(VLOOKUP(E10314,BD!$L$2:$Q$244,6,0),0)</f>
        <v>0</v>
      </c>
      <c r="I10314" s="626">
        <f>IFERROR(G10314*VLOOKUP($E10314,BD!$L$2:$Q$244,5,0),0)</f>
        <v>0</v>
      </c>
      <c r="J10314" s="3">
        <f t="shared" si="645"/>
        <v>1900</v>
      </c>
    </row>
    <row r="10315" spans="1:10" s="9" customFormat="1" x14ac:dyDescent="0.25">
      <c r="A10315" s="447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7"/>
      <c r="F10315" s="31">
        <f>IFERROR(VLOOKUP(E10315,BD!$L$2:$Q$244,2,0),0)</f>
        <v>0</v>
      </c>
      <c r="G10315" s="424"/>
      <c r="H10315" s="31">
        <f>+IFERROR(VLOOKUP(E10315,BD!$L$2:$Q$244,6,0),0)</f>
        <v>0</v>
      </c>
      <c r="I10315" s="62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7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7"/>
      <c r="F10316" s="31">
        <f>IFERROR(VLOOKUP(E10316,BD!$L$2:$Q$244,2,0),0)</f>
        <v>0</v>
      </c>
      <c r="G10316" s="424"/>
      <c r="H10316" s="31">
        <f>+IFERROR(VLOOKUP(E10316,BD!$L$2:$Q$244,6,0),0)</f>
        <v>0</v>
      </c>
      <c r="I10316" s="626">
        <f>IFERROR(G10316*VLOOKUP($E10316,BD!$L$2:$Q$244,5,0),0)</f>
        <v>0</v>
      </c>
      <c r="J10316" s="3">
        <f t="shared" si="263"/>
        <v>1900</v>
      </c>
    </row>
  </sheetData>
  <autoFilter ref="A3:K10316" xr:uid="{00000000-0001-0000-0300-000000000000}">
    <filterColumn colId="0">
      <filters blank="1">
        <dateGroupItem year="2022" dateTimeGrouping="year"/>
      </filters>
    </filterColumn>
  </autoFilter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3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9" customFormat="1" ht="58.5" customHeight="1" thickBot="1" x14ac:dyDescent="0.3">
      <c r="A1" s="373" t="s">
        <v>12</v>
      </c>
      <c r="B1" s="243" t="s">
        <v>10</v>
      </c>
      <c r="C1" s="243" t="s">
        <v>11</v>
      </c>
      <c r="D1" s="243" t="s">
        <v>13</v>
      </c>
      <c r="E1" s="243" t="s">
        <v>34</v>
      </c>
      <c r="F1" s="243" t="s">
        <v>9</v>
      </c>
      <c r="G1" s="374" t="s">
        <v>61</v>
      </c>
      <c r="H1" s="375" t="s">
        <v>35</v>
      </c>
      <c r="I1" s="376" t="s">
        <v>16</v>
      </c>
      <c r="J1" s="375" t="s">
        <v>124</v>
      </c>
      <c r="K1" s="375" t="s">
        <v>47</v>
      </c>
      <c r="L1" s="375" t="s">
        <v>21</v>
      </c>
      <c r="M1" s="375" t="s">
        <v>20</v>
      </c>
      <c r="N1" s="375" t="s">
        <v>48</v>
      </c>
      <c r="O1" s="374" t="s">
        <v>71</v>
      </c>
      <c r="P1" s="398"/>
      <c r="Q1" s="398"/>
      <c r="R1" s="398"/>
      <c r="S1" s="398"/>
      <c r="T1" s="398"/>
      <c r="U1" s="398"/>
      <c r="V1" s="398"/>
      <c r="W1" s="398"/>
      <c r="X1" s="398"/>
      <c r="Y1" s="398"/>
      <c r="Z1" s="398"/>
      <c r="AA1" s="398"/>
      <c r="AB1" s="398"/>
      <c r="AC1" s="398"/>
      <c r="AD1" s="398"/>
      <c r="AE1" s="398"/>
      <c r="AF1" s="398"/>
      <c r="AG1" s="398"/>
      <c r="AH1" s="398"/>
      <c r="AI1" s="398"/>
      <c r="AJ1" s="398"/>
      <c r="AK1" s="398"/>
      <c r="AL1" s="398"/>
      <c r="AM1" s="398"/>
      <c r="AN1" s="398"/>
      <c r="AO1" s="398"/>
      <c r="AP1" s="398"/>
      <c r="AQ1" s="398"/>
      <c r="AR1" s="398"/>
      <c r="AS1" s="398"/>
      <c r="AT1" s="398"/>
      <c r="AU1" s="398"/>
      <c r="AV1" s="398"/>
      <c r="AW1" s="398"/>
      <c r="AX1" s="398"/>
      <c r="AY1" s="398"/>
      <c r="AZ1" s="398"/>
      <c r="BA1" s="398"/>
      <c r="BB1" s="398"/>
      <c r="BC1" s="398"/>
      <c r="BD1" s="398"/>
      <c r="BE1" s="398"/>
      <c r="BF1" s="398"/>
      <c r="BG1" s="398"/>
      <c r="BH1" s="398"/>
    </row>
    <row r="2" spans="1:60" s="361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3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7" t="e">
        <f>K2*VLOOKUP(E2,BD!$A$2:$F$122,6,0)</f>
        <v>#N/A</v>
      </c>
      <c r="N2" s="6">
        <f t="shared" ref="N2:N26" si="4">+YEAR(A2)</f>
        <v>2018</v>
      </c>
      <c r="O2" s="109">
        <f t="shared" ref="O2:O61" si="5">+WEEKNUM(A2,1)</f>
        <v>49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/>
      <c r="BC2" s="372"/>
      <c r="BD2" s="372"/>
      <c r="BE2" s="372"/>
      <c r="BF2" s="372"/>
      <c r="BG2" s="372"/>
      <c r="BH2" s="372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5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7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61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5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7" t="e">
        <f>K4*VLOOKUP(E4,BD!$A$2:$F$122,6,0)</f>
        <v>#N/A</v>
      </c>
      <c r="N4" s="3">
        <f t="shared" si="4"/>
        <v>1900</v>
      </c>
      <c r="O4" s="5">
        <f t="shared" si="5"/>
        <v>0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/>
      <c r="BA4" s="372"/>
      <c r="BB4" s="372"/>
      <c r="BC4" s="372"/>
      <c r="BD4" s="372"/>
      <c r="BE4" s="372"/>
      <c r="BF4" s="372"/>
      <c r="BG4" s="372"/>
      <c r="BH4" s="372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5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7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5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7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2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7" t="e">
        <f>K7*VLOOKUP(E7,BD!$A$2:$F$122,6,0)</f>
        <v>#N/A</v>
      </c>
      <c r="N7" s="33">
        <f t="shared" si="4"/>
        <v>1900</v>
      </c>
      <c r="O7" s="386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3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7" t="e">
        <f>K8*VLOOKUP(E8,BD!$A$2:$F$122,6,0)</f>
        <v>#N/A</v>
      </c>
      <c r="N8" s="6">
        <f t="shared" si="4"/>
        <v>1900</v>
      </c>
      <c r="O8" s="109">
        <f t="shared" si="5"/>
        <v>0</v>
      </c>
      <c r="P8" s="371"/>
      <c r="Q8" s="371"/>
      <c r="R8" s="371"/>
      <c r="S8" s="371"/>
      <c r="T8" s="371"/>
      <c r="U8" s="371"/>
      <c r="V8" s="371"/>
      <c r="W8" s="371"/>
      <c r="X8" s="371"/>
      <c r="Y8" s="371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5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7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5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7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</row>
    <row r="11" spans="1:60" s="361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5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7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2"/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/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/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/>
      <c r="BA11" s="372"/>
      <c r="BB11" s="372"/>
      <c r="BC11" s="372"/>
      <c r="BD11" s="372"/>
      <c r="BE11" s="372"/>
      <c r="BF11" s="372"/>
      <c r="BG11" s="372"/>
      <c r="BH11" s="372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5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7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61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5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7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2"/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/>
      <c r="BA13" s="372"/>
      <c r="BB13" s="372"/>
      <c r="BC13" s="372"/>
      <c r="BD13" s="372"/>
      <c r="BE13" s="372"/>
      <c r="BF13" s="372"/>
      <c r="BG13" s="372"/>
      <c r="BH13" s="372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5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7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5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7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5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7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2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7" t="e">
        <f>K17*VLOOKUP(E17,BD!$A$2:$F$122,6,0)</f>
        <v>#N/A</v>
      </c>
      <c r="N17" s="33">
        <f t="shared" si="4"/>
        <v>1900</v>
      </c>
      <c r="O17" s="386">
        <f t="shared" si="5"/>
        <v>0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/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/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/>
      <c r="AZ17" s="371"/>
      <c r="BA17" s="371"/>
      <c r="BB17" s="371"/>
      <c r="BC17" s="371"/>
      <c r="BD17" s="371"/>
      <c r="BE17" s="371"/>
      <c r="BF17" s="371"/>
      <c r="BG17" s="371"/>
      <c r="BH17" s="371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3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7" t="e">
        <f>K18*VLOOKUP(E18,BD!$A$2:$F$122,6,0)</f>
        <v>#N/A</v>
      </c>
      <c r="N18" s="6">
        <f t="shared" si="4"/>
        <v>1900</v>
      </c>
      <c r="O18" s="109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5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7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/>
      <c r="AZ19" s="371"/>
      <c r="BA19" s="371"/>
      <c r="BB19" s="371"/>
      <c r="BC19" s="371"/>
      <c r="BD19" s="371"/>
      <c r="BE19" s="371"/>
      <c r="BF19" s="371"/>
      <c r="BG19" s="371"/>
      <c r="BH19" s="371"/>
    </row>
    <row r="20" spans="1:60" s="361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5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7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2"/>
      <c r="Q20" s="372"/>
      <c r="R20" s="372"/>
      <c r="S20" s="372"/>
      <c r="T20" s="372"/>
      <c r="U20" s="372"/>
      <c r="V20" s="372"/>
      <c r="W20" s="372"/>
      <c r="X20" s="372"/>
      <c r="Y20" s="372"/>
      <c r="Z20" s="372"/>
      <c r="AA20" s="372"/>
      <c r="AB20" s="372"/>
      <c r="AC20" s="372"/>
      <c r="AD20" s="372"/>
      <c r="AE20" s="372"/>
      <c r="AF20" s="372"/>
      <c r="AG20" s="372"/>
      <c r="AH20" s="372"/>
      <c r="AI20" s="372"/>
      <c r="AJ20" s="372"/>
      <c r="AK20" s="372"/>
      <c r="AL20" s="372"/>
      <c r="AM20" s="372"/>
      <c r="AN20" s="372"/>
      <c r="AO20" s="372"/>
      <c r="AP20" s="372"/>
      <c r="AQ20" s="372"/>
      <c r="AR20" s="372"/>
      <c r="AS20" s="372"/>
      <c r="AT20" s="372"/>
      <c r="AU20" s="372"/>
      <c r="AV20" s="372"/>
      <c r="AW20" s="372"/>
      <c r="AX20" s="372"/>
      <c r="AY20" s="372"/>
      <c r="AZ20" s="372"/>
      <c r="BA20" s="372"/>
      <c r="BB20" s="372"/>
      <c r="BC20" s="372"/>
      <c r="BD20" s="372"/>
      <c r="BE20" s="372"/>
      <c r="BF20" s="372"/>
      <c r="BG20" s="372"/>
      <c r="BH20" s="372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5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7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61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5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7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372"/>
      <c r="AI22" s="372"/>
      <c r="AJ22" s="372"/>
      <c r="AK22" s="372"/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  <c r="AV22" s="372"/>
      <c r="AW22" s="372"/>
      <c r="AX22" s="372"/>
      <c r="AY22" s="372"/>
      <c r="AZ22" s="372"/>
      <c r="BA22" s="372"/>
      <c r="BB22" s="372"/>
      <c r="BC22" s="372"/>
      <c r="BD22" s="372"/>
      <c r="BE22" s="372"/>
      <c r="BF22" s="372"/>
      <c r="BG22" s="372"/>
      <c r="BH22" s="372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5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7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5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7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5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7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5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7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/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/>
      <c r="AZ26" s="371"/>
      <c r="BA26" s="371"/>
      <c r="BB26" s="371"/>
      <c r="BC26" s="371"/>
      <c r="BD26" s="371"/>
      <c r="BE26" s="371"/>
      <c r="BF26" s="371"/>
      <c r="BG26" s="371"/>
      <c r="BH26" s="371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2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7" t="e">
        <f>K27*VLOOKUP(E27,BD!$A$2:$F$122,6,0)</f>
        <v>#N/A</v>
      </c>
      <c r="N27" s="33">
        <f t="shared" ref="N27:N90" si="8">+YEAR(A27)</f>
        <v>1900</v>
      </c>
      <c r="O27" s="386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3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7" t="e">
        <f>K28*VLOOKUP(E28,BD!$A$2:$F$122,6,0)</f>
        <v>#N/A</v>
      </c>
      <c r="N28" s="6">
        <f t="shared" si="8"/>
        <v>1900</v>
      </c>
      <c r="O28" s="109">
        <f t="shared" si="5"/>
        <v>0</v>
      </c>
      <c r="P28" s="371"/>
      <c r="Q28" s="371"/>
      <c r="R28" s="371"/>
      <c r="S28" s="371"/>
      <c r="T28" s="371"/>
      <c r="U28" s="371"/>
      <c r="V28" s="371"/>
      <c r="W28" s="371"/>
      <c r="X28" s="371"/>
      <c r="Y28" s="371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  <c r="AV28" s="371"/>
      <c r="AW28" s="371"/>
      <c r="AX28" s="371"/>
      <c r="AY28" s="371"/>
      <c r="AZ28" s="371"/>
      <c r="BA28" s="371"/>
      <c r="BB28" s="371"/>
      <c r="BC28" s="371"/>
      <c r="BD28" s="371"/>
      <c r="BE28" s="371"/>
      <c r="BF28" s="371"/>
      <c r="BG28" s="371"/>
      <c r="BH28" s="371"/>
    </row>
    <row r="29" spans="1:60" s="361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5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7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2"/>
      <c r="Q29" s="372"/>
      <c r="R29" s="372"/>
      <c r="S29" s="372"/>
      <c r="T29" s="372"/>
      <c r="U29" s="372"/>
      <c r="V29" s="372"/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72"/>
      <c r="AM29" s="372"/>
      <c r="AN29" s="372"/>
      <c r="AO29" s="372"/>
      <c r="AP29" s="372"/>
      <c r="AQ29" s="372"/>
      <c r="AR29" s="372"/>
      <c r="AS29" s="372"/>
      <c r="AT29" s="372"/>
      <c r="AU29" s="372"/>
      <c r="AV29" s="372"/>
      <c r="AW29" s="372"/>
      <c r="AX29" s="372"/>
      <c r="AY29" s="372"/>
      <c r="AZ29" s="372"/>
      <c r="BA29" s="372"/>
      <c r="BB29" s="372"/>
      <c r="BC29" s="372"/>
      <c r="BD29" s="372"/>
      <c r="BE29" s="372"/>
      <c r="BF29" s="372"/>
      <c r="BG29" s="372"/>
      <c r="BH29" s="372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5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7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61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5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7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/>
      <c r="BA31" s="372"/>
      <c r="BB31" s="372"/>
      <c r="BC31" s="372"/>
      <c r="BD31" s="372"/>
      <c r="BE31" s="372"/>
      <c r="BF31" s="372"/>
      <c r="BG31" s="372"/>
      <c r="BH31" s="372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5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7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5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7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5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7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5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7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71"/>
      <c r="Q35" s="371"/>
      <c r="R35" s="371"/>
      <c r="S35" s="371"/>
      <c r="T35" s="371"/>
      <c r="U35" s="371"/>
      <c r="V35" s="371"/>
      <c r="W35" s="371"/>
      <c r="X35" s="371"/>
      <c r="Y35" s="371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  <c r="AV35" s="371"/>
      <c r="AW35" s="371"/>
      <c r="AX35" s="371"/>
      <c r="AY35" s="371"/>
      <c r="AZ35" s="371"/>
      <c r="BA35" s="371"/>
      <c r="BB35" s="371"/>
      <c r="BC35" s="371"/>
      <c r="BD35" s="371"/>
      <c r="BE35" s="371"/>
      <c r="BF35" s="371"/>
      <c r="BG35" s="371"/>
      <c r="BH35" s="371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5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7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2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7" t="e">
        <f>K37*VLOOKUP(E37,BD!$A$2:$F$122,6,0)</f>
        <v>#N/A</v>
      </c>
      <c r="N37" s="33">
        <f t="shared" si="8"/>
        <v>1900</v>
      </c>
      <c r="O37" s="386">
        <f t="shared" si="5"/>
        <v>0</v>
      </c>
      <c r="P37" s="371"/>
      <c r="Q37" s="371"/>
      <c r="R37" s="371"/>
      <c r="S37" s="371"/>
      <c r="T37" s="371"/>
      <c r="U37" s="371"/>
      <c r="V37" s="371"/>
      <c r="W37" s="371"/>
      <c r="X37" s="371"/>
      <c r="Y37" s="371"/>
      <c r="Z37" s="371"/>
      <c r="AA37" s="371"/>
      <c r="AB37" s="371"/>
      <c r="AC37" s="371"/>
      <c r="AD37" s="371"/>
      <c r="AE37" s="371"/>
      <c r="AF37" s="371"/>
      <c r="AG37" s="371"/>
      <c r="AH37" s="371"/>
      <c r="AI37" s="371"/>
      <c r="AJ37" s="371"/>
      <c r="AK37" s="371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  <c r="AV37" s="371"/>
      <c r="AW37" s="371"/>
      <c r="AX37" s="371"/>
      <c r="AY37" s="371"/>
      <c r="AZ37" s="371"/>
      <c r="BA37" s="371"/>
      <c r="BB37" s="371"/>
      <c r="BC37" s="371"/>
      <c r="BD37" s="371"/>
      <c r="BE37" s="371"/>
      <c r="BF37" s="371"/>
      <c r="BG37" s="371"/>
      <c r="BH37" s="371"/>
    </row>
    <row r="38" spans="1:60" s="361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3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7" t="e">
        <f>K38*VLOOKUP(E38,BD!$A$2:$F$122,6,0)</f>
        <v>#N/A</v>
      </c>
      <c r="N38" s="6">
        <f t="shared" si="8"/>
        <v>1900</v>
      </c>
      <c r="O38" s="109">
        <f t="shared" si="5"/>
        <v>0</v>
      </c>
      <c r="P38" s="372"/>
      <c r="Q38" s="372"/>
      <c r="R38" s="372"/>
      <c r="S38" s="372"/>
      <c r="T38" s="372"/>
      <c r="U38" s="372"/>
      <c r="V38" s="372"/>
      <c r="W38" s="372"/>
      <c r="X38" s="372"/>
      <c r="Y38" s="372"/>
      <c r="Z38" s="372"/>
      <c r="AA38" s="372"/>
      <c r="AB38" s="372"/>
      <c r="AC38" s="372"/>
      <c r="AD38" s="372"/>
      <c r="AE38" s="372"/>
      <c r="AF38" s="372"/>
      <c r="AG38" s="372"/>
      <c r="AH38" s="372"/>
      <c r="AI38" s="372"/>
      <c r="AJ38" s="372"/>
      <c r="AK38" s="372"/>
      <c r="AL38" s="372"/>
      <c r="AM38" s="372"/>
      <c r="AN38" s="372"/>
      <c r="AO38" s="372"/>
      <c r="AP38" s="372"/>
      <c r="AQ38" s="372"/>
      <c r="AR38" s="372"/>
      <c r="AS38" s="372"/>
      <c r="AT38" s="372"/>
      <c r="AU38" s="372"/>
      <c r="AV38" s="372"/>
      <c r="AW38" s="372"/>
      <c r="AX38" s="372"/>
      <c r="AY38" s="372"/>
      <c r="AZ38" s="372"/>
      <c r="BA38" s="372"/>
      <c r="BB38" s="372"/>
      <c r="BC38" s="372"/>
      <c r="BD38" s="372"/>
      <c r="BE38" s="372"/>
      <c r="BF38" s="372"/>
      <c r="BG38" s="372"/>
      <c r="BH38" s="372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5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7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61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5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7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2"/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/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/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/>
      <c r="BA40" s="372"/>
      <c r="BB40" s="372"/>
      <c r="BC40" s="372"/>
      <c r="BD40" s="372"/>
      <c r="BE40" s="372"/>
      <c r="BF40" s="372"/>
      <c r="BG40" s="372"/>
      <c r="BH40" s="372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5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7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5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7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5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7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5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7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71"/>
      <c r="Q44" s="371"/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/>
      <c r="BC44" s="371"/>
      <c r="BD44" s="371"/>
      <c r="BE44" s="371"/>
      <c r="BF44" s="371"/>
      <c r="BG44" s="371"/>
      <c r="BH44" s="371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2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7" t="e">
        <f>K45*VLOOKUP(E45,BD!$A$2:$F$122,6,0)</f>
        <v>#N/A</v>
      </c>
      <c r="N45" s="33">
        <f t="shared" si="8"/>
        <v>1900</v>
      </c>
      <c r="O45" s="386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3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7" t="e">
        <f>K46*VLOOKUP(E46,BD!$A$2:$F$122,6,0)</f>
        <v>#N/A</v>
      </c>
      <c r="N46" s="6">
        <f t="shared" si="8"/>
        <v>1900</v>
      </c>
      <c r="O46" s="109">
        <f t="shared" si="5"/>
        <v>0</v>
      </c>
      <c r="P46" s="371"/>
      <c r="Q46" s="371"/>
      <c r="R46" s="371"/>
      <c r="S46" s="371"/>
      <c r="T46" s="371"/>
      <c r="U46" s="371"/>
      <c r="V46" s="371"/>
      <c r="W46" s="371"/>
      <c r="X46" s="371"/>
      <c r="Y46" s="371"/>
      <c r="Z46" s="371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</row>
    <row r="47" spans="1:60" s="361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5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7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2"/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/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/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/>
      <c r="BA47" s="372"/>
      <c r="BB47" s="372"/>
      <c r="BC47" s="372"/>
      <c r="BD47" s="372"/>
      <c r="BE47" s="372"/>
      <c r="BF47" s="372"/>
      <c r="BG47" s="372"/>
      <c r="BH47" s="372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5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7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61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5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7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2"/>
      <c r="Q49" s="372"/>
      <c r="R49" s="372"/>
      <c r="S49" s="372"/>
      <c r="T49" s="372"/>
      <c r="U49" s="372"/>
      <c r="V49" s="372"/>
      <c r="W49" s="372"/>
      <c r="X49" s="372"/>
      <c r="Y49" s="372"/>
      <c r="Z49" s="372"/>
      <c r="AA49" s="372"/>
      <c r="AB49" s="372"/>
      <c r="AC49" s="372"/>
      <c r="AD49" s="372"/>
      <c r="AE49" s="372"/>
      <c r="AF49" s="372"/>
      <c r="AG49" s="372"/>
      <c r="AH49" s="372"/>
      <c r="AI49" s="372"/>
      <c r="AJ49" s="372"/>
      <c r="AK49" s="372"/>
      <c r="AL49" s="372"/>
      <c r="AM49" s="372"/>
      <c r="AN49" s="372"/>
      <c r="AO49" s="372"/>
      <c r="AP49" s="372"/>
      <c r="AQ49" s="372"/>
      <c r="AR49" s="372"/>
      <c r="AS49" s="372"/>
      <c r="AT49" s="372"/>
      <c r="AU49" s="372"/>
      <c r="AV49" s="372"/>
      <c r="AW49" s="372"/>
      <c r="AX49" s="372"/>
      <c r="AY49" s="372"/>
      <c r="AZ49" s="372"/>
      <c r="BA49" s="372"/>
      <c r="BB49" s="372"/>
      <c r="BC49" s="372"/>
      <c r="BD49" s="372"/>
      <c r="BE49" s="372"/>
      <c r="BF49" s="372"/>
      <c r="BG49" s="372"/>
      <c r="BH49" s="372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5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7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5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7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2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7" t="e">
        <f>K52*VLOOKUP(E52,BD!$A$2:$F$122,6,0)</f>
        <v>#N/A</v>
      </c>
      <c r="N52" s="33">
        <f t="shared" si="8"/>
        <v>1900</v>
      </c>
      <c r="O52" s="386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3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7" t="e">
        <f>K53*VLOOKUP(E53,BD!$A$2:$F$122,6,0)</f>
        <v>#N/A</v>
      </c>
      <c r="N53" s="6">
        <f t="shared" si="8"/>
        <v>1900</v>
      </c>
      <c r="O53" s="109">
        <f t="shared" si="5"/>
        <v>0</v>
      </c>
      <c r="P53" s="371"/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5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7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5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7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71"/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/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/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/>
      <c r="BA55" s="371"/>
      <c r="BB55" s="371"/>
      <c r="BC55" s="371"/>
      <c r="BD55" s="371"/>
      <c r="BE55" s="371"/>
      <c r="BF55" s="371"/>
      <c r="BG55" s="371"/>
      <c r="BH55" s="371"/>
    </row>
    <row r="56" spans="1:60" s="361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5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7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2"/>
      <c r="Q56" s="372"/>
      <c r="R56" s="372"/>
      <c r="S56" s="372"/>
      <c r="T56" s="372"/>
      <c r="U56" s="372"/>
      <c r="V56" s="372"/>
      <c r="W56" s="372"/>
      <c r="X56" s="372"/>
      <c r="Y56" s="372"/>
      <c r="Z56" s="372"/>
      <c r="AA56" s="372"/>
      <c r="AB56" s="372"/>
      <c r="AC56" s="372"/>
      <c r="AD56" s="372"/>
      <c r="AE56" s="372"/>
      <c r="AF56" s="372"/>
      <c r="AG56" s="372"/>
      <c r="AH56" s="372"/>
      <c r="AI56" s="372"/>
      <c r="AJ56" s="372"/>
      <c r="AK56" s="372"/>
      <c r="AL56" s="372"/>
      <c r="AM56" s="372"/>
      <c r="AN56" s="372"/>
      <c r="AO56" s="372"/>
      <c r="AP56" s="372"/>
      <c r="AQ56" s="372"/>
      <c r="AR56" s="372"/>
      <c r="AS56" s="372"/>
      <c r="AT56" s="372"/>
      <c r="AU56" s="372"/>
      <c r="AV56" s="372"/>
      <c r="AW56" s="372"/>
      <c r="AX56" s="372"/>
      <c r="AY56" s="372"/>
      <c r="AZ56" s="372"/>
      <c r="BA56" s="372"/>
      <c r="BB56" s="372"/>
      <c r="BC56" s="372"/>
      <c r="BD56" s="372"/>
      <c r="BE56" s="372"/>
      <c r="BF56" s="372"/>
      <c r="BG56" s="372"/>
      <c r="BH56" s="372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5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7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61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5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7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2"/>
      <c r="Q58" s="372"/>
      <c r="R58" s="372"/>
      <c r="S58" s="372"/>
      <c r="T58" s="372"/>
      <c r="U58" s="372"/>
      <c r="V58" s="372"/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372"/>
      <c r="AH58" s="372"/>
      <c r="AI58" s="372"/>
      <c r="AJ58" s="372"/>
      <c r="AK58" s="372"/>
      <c r="AL58" s="372"/>
      <c r="AM58" s="372"/>
      <c r="AN58" s="372"/>
      <c r="AO58" s="372"/>
      <c r="AP58" s="372"/>
      <c r="AQ58" s="372"/>
      <c r="AR58" s="372"/>
      <c r="AS58" s="372"/>
      <c r="AT58" s="372"/>
      <c r="AU58" s="372"/>
      <c r="AV58" s="372"/>
      <c r="AW58" s="372"/>
      <c r="AX58" s="372"/>
      <c r="AY58" s="372"/>
      <c r="AZ58" s="372"/>
      <c r="BA58" s="372"/>
      <c r="BB58" s="372"/>
      <c r="BC58" s="372"/>
      <c r="BD58" s="372"/>
      <c r="BE58" s="372"/>
      <c r="BF58" s="372"/>
      <c r="BG58" s="372"/>
      <c r="BH58" s="372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5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7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5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7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5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7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2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7" t="e">
        <f>K62*VLOOKUP(E62,BD!$A$2:$F$122,6,0)</f>
        <v>#N/A</v>
      </c>
      <c r="N62" s="33">
        <f t="shared" si="8"/>
        <v>1900</v>
      </c>
      <c r="O62" s="386">
        <f t="shared" ref="O62:O125" si="9">+WEEKNUM(A62,1)</f>
        <v>0</v>
      </c>
      <c r="P62" s="371"/>
      <c r="Q62" s="371"/>
      <c r="R62" s="371"/>
      <c r="S62" s="371"/>
      <c r="T62" s="371"/>
      <c r="U62" s="371"/>
      <c r="V62" s="371"/>
      <c r="W62" s="371"/>
      <c r="X62" s="371"/>
      <c r="Y62" s="371"/>
      <c r="Z62" s="371"/>
      <c r="AA62" s="371"/>
      <c r="AB62" s="371"/>
      <c r="AC62" s="371"/>
      <c r="AD62" s="371"/>
      <c r="AE62" s="371"/>
      <c r="AF62" s="371"/>
      <c r="AG62" s="371"/>
      <c r="AH62" s="371"/>
      <c r="AI62" s="371"/>
      <c r="AJ62" s="371"/>
      <c r="AK62" s="371"/>
      <c r="AL62" s="371"/>
      <c r="AM62" s="371"/>
      <c r="AN62" s="371"/>
      <c r="AO62" s="371"/>
      <c r="AP62" s="371"/>
      <c r="AQ62" s="371"/>
      <c r="AR62" s="371"/>
      <c r="AS62" s="371"/>
      <c r="AT62" s="371"/>
      <c r="AU62" s="371"/>
      <c r="AV62" s="371"/>
      <c r="AW62" s="371"/>
      <c r="AX62" s="371"/>
      <c r="AY62" s="371"/>
      <c r="AZ62" s="371"/>
      <c r="BA62" s="371"/>
      <c r="BB62" s="371"/>
      <c r="BC62" s="371"/>
      <c r="BD62" s="371"/>
      <c r="BE62" s="371"/>
      <c r="BF62" s="371"/>
      <c r="BG62" s="371"/>
      <c r="BH62" s="371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3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7" t="e">
        <f>K63*VLOOKUP(E63,BD!$A$2:$F$122,6,0)</f>
        <v>#N/A</v>
      </c>
      <c r="N63" s="6">
        <f t="shared" si="8"/>
        <v>1900</v>
      </c>
      <c r="O63" s="109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5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7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71"/>
      <c r="Q64" s="371"/>
      <c r="R64" s="371"/>
      <c r="S64" s="371"/>
      <c r="T64" s="371"/>
      <c r="U64" s="371"/>
      <c r="V64" s="371"/>
      <c r="W64" s="371"/>
      <c r="X64" s="371"/>
      <c r="Y64" s="371"/>
      <c r="Z64" s="371"/>
      <c r="AA64" s="371"/>
      <c r="AB64" s="371"/>
      <c r="AC64" s="371"/>
      <c r="AD64" s="371"/>
      <c r="AE64" s="371"/>
      <c r="AF64" s="371"/>
      <c r="AG64" s="371"/>
      <c r="AH64" s="371"/>
      <c r="AI64" s="371"/>
      <c r="AJ64" s="371"/>
      <c r="AK64" s="371"/>
      <c r="AL64" s="371"/>
      <c r="AM64" s="371"/>
      <c r="AN64" s="371"/>
      <c r="AO64" s="371"/>
      <c r="AP64" s="371"/>
      <c r="AQ64" s="371"/>
      <c r="AR64" s="371"/>
      <c r="AS64" s="371"/>
      <c r="AT64" s="371"/>
      <c r="AU64" s="371"/>
      <c r="AV64" s="371"/>
      <c r="AW64" s="371"/>
      <c r="AX64" s="371"/>
      <c r="AY64" s="371"/>
      <c r="AZ64" s="371"/>
      <c r="BA64" s="371"/>
      <c r="BB64" s="371"/>
      <c r="BC64" s="371"/>
      <c r="BD64" s="371"/>
      <c r="BE64" s="371"/>
      <c r="BF64" s="371"/>
      <c r="BG64" s="371"/>
      <c r="BH64" s="371"/>
    </row>
    <row r="65" spans="1:60" s="361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5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7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2"/>
      <c r="Q65" s="372"/>
      <c r="R65" s="372"/>
      <c r="S65" s="372"/>
      <c r="T65" s="372"/>
      <c r="U65" s="372"/>
      <c r="V65" s="372"/>
      <c r="W65" s="372"/>
      <c r="X65" s="372"/>
      <c r="Y65" s="372"/>
      <c r="Z65" s="372"/>
      <c r="AA65" s="372"/>
      <c r="AB65" s="372"/>
      <c r="AC65" s="372"/>
      <c r="AD65" s="372"/>
      <c r="AE65" s="372"/>
      <c r="AF65" s="372"/>
      <c r="AG65" s="372"/>
      <c r="AH65" s="372"/>
      <c r="AI65" s="372"/>
      <c r="AJ65" s="372"/>
      <c r="AK65" s="372"/>
      <c r="AL65" s="372"/>
      <c r="AM65" s="372"/>
      <c r="AN65" s="372"/>
      <c r="AO65" s="372"/>
      <c r="AP65" s="372"/>
      <c r="AQ65" s="372"/>
      <c r="AR65" s="372"/>
      <c r="AS65" s="372"/>
      <c r="AT65" s="372"/>
      <c r="AU65" s="372"/>
      <c r="AV65" s="372"/>
      <c r="AW65" s="372"/>
      <c r="AX65" s="372"/>
      <c r="AY65" s="372"/>
      <c r="AZ65" s="372"/>
      <c r="BA65" s="372"/>
      <c r="BB65" s="372"/>
      <c r="BC65" s="372"/>
      <c r="BD65" s="372"/>
      <c r="BE65" s="372"/>
      <c r="BF65" s="372"/>
      <c r="BG65" s="372"/>
      <c r="BH65" s="372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5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7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61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5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7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2"/>
      <c r="Q67" s="372"/>
      <c r="R67" s="372"/>
      <c r="S67" s="372"/>
      <c r="T67" s="372"/>
      <c r="U67" s="372"/>
      <c r="V67" s="372"/>
      <c r="W67" s="372"/>
      <c r="X67" s="372"/>
      <c r="Y67" s="372"/>
      <c r="Z67" s="372"/>
      <c r="AA67" s="372"/>
      <c r="AB67" s="372"/>
      <c r="AC67" s="372"/>
      <c r="AD67" s="372"/>
      <c r="AE67" s="372"/>
      <c r="AF67" s="372"/>
      <c r="AG67" s="372"/>
      <c r="AH67" s="372"/>
      <c r="AI67" s="372"/>
      <c r="AJ67" s="372"/>
      <c r="AK67" s="372"/>
      <c r="AL67" s="372"/>
      <c r="AM67" s="372"/>
      <c r="AN67" s="372"/>
      <c r="AO67" s="372"/>
      <c r="AP67" s="372"/>
      <c r="AQ67" s="372"/>
      <c r="AR67" s="372"/>
      <c r="AS67" s="372"/>
      <c r="AT67" s="372"/>
      <c r="AU67" s="372"/>
      <c r="AV67" s="372"/>
      <c r="AW67" s="372"/>
      <c r="AX67" s="372"/>
      <c r="AY67" s="372"/>
      <c r="AZ67" s="372"/>
      <c r="BA67" s="372"/>
      <c r="BB67" s="372"/>
      <c r="BC67" s="372"/>
      <c r="BD67" s="372"/>
      <c r="BE67" s="372"/>
      <c r="BF67" s="372"/>
      <c r="BG67" s="372"/>
      <c r="BH67" s="372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5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7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5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7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5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7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5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7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71"/>
      <c r="Q71" s="371"/>
      <c r="R71" s="371"/>
      <c r="S71" s="371"/>
      <c r="T71" s="371"/>
      <c r="U71" s="371"/>
      <c r="V71" s="371"/>
      <c r="W71" s="371"/>
      <c r="X71" s="371"/>
      <c r="Y71" s="371"/>
      <c r="Z71" s="371"/>
      <c r="AA71" s="371"/>
      <c r="AB71" s="371"/>
      <c r="AC71" s="371"/>
      <c r="AD71" s="371"/>
      <c r="AE71" s="371"/>
      <c r="AF71" s="371"/>
      <c r="AG71" s="371"/>
      <c r="AH71" s="371"/>
      <c r="AI71" s="371"/>
      <c r="AJ71" s="371"/>
      <c r="AK71" s="371"/>
      <c r="AL71" s="371"/>
      <c r="AM71" s="371"/>
      <c r="AN71" s="371"/>
      <c r="AO71" s="371"/>
      <c r="AP71" s="371"/>
      <c r="AQ71" s="371"/>
      <c r="AR71" s="371"/>
      <c r="AS71" s="371"/>
      <c r="AT71" s="371"/>
      <c r="AU71" s="371"/>
      <c r="AV71" s="371"/>
      <c r="AW71" s="371"/>
      <c r="AX71" s="371"/>
      <c r="AY71" s="371"/>
      <c r="AZ71" s="371"/>
      <c r="BA71" s="371"/>
      <c r="BB71" s="371"/>
      <c r="BC71" s="371"/>
      <c r="BD71" s="371"/>
      <c r="BE71" s="371"/>
      <c r="BF71" s="371"/>
      <c r="BG71" s="371"/>
      <c r="BH71" s="371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5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7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2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7" t="e">
        <f>K73*VLOOKUP(E73,BD!$A$2:$F$122,6,0)</f>
        <v>#N/A</v>
      </c>
      <c r="N73" s="33">
        <f t="shared" si="8"/>
        <v>1900</v>
      </c>
      <c r="O73" s="386">
        <f t="shared" si="9"/>
        <v>0</v>
      </c>
      <c r="P73" s="371"/>
      <c r="Q73" s="371"/>
      <c r="R73" s="371"/>
      <c r="S73" s="371"/>
      <c r="T73" s="371"/>
      <c r="U73" s="371"/>
      <c r="V73" s="371"/>
      <c r="W73" s="371"/>
      <c r="X73" s="371"/>
      <c r="Y73" s="371"/>
      <c r="Z73" s="371"/>
      <c r="AA73" s="371"/>
      <c r="AB73" s="371"/>
      <c r="AC73" s="371"/>
      <c r="AD73" s="371"/>
      <c r="AE73" s="371"/>
      <c r="AF73" s="371"/>
      <c r="AG73" s="371"/>
      <c r="AH73" s="371"/>
      <c r="AI73" s="371"/>
      <c r="AJ73" s="371"/>
      <c r="AK73" s="371"/>
      <c r="AL73" s="371"/>
      <c r="AM73" s="371"/>
      <c r="AN73" s="371"/>
      <c r="AO73" s="371"/>
      <c r="AP73" s="371"/>
      <c r="AQ73" s="371"/>
      <c r="AR73" s="371"/>
      <c r="AS73" s="371"/>
      <c r="AT73" s="371"/>
      <c r="AU73" s="371"/>
      <c r="AV73" s="371"/>
      <c r="AW73" s="371"/>
      <c r="AX73" s="371"/>
      <c r="AY73" s="371"/>
      <c r="AZ73" s="371"/>
      <c r="BA73" s="371"/>
      <c r="BB73" s="371"/>
      <c r="BC73" s="371"/>
      <c r="BD73" s="371"/>
      <c r="BE73" s="371"/>
      <c r="BF73" s="371"/>
      <c r="BG73" s="371"/>
      <c r="BH73" s="371"/>
    </row>
    <row r="74" spans="1:60" s="361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3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7" t="e">
        <f>K74*VLOOKUP(E74,BD!$A$2:$F$122,6,0)</f>
        <v>#N/A</v>
      </c>
      <c r="N74" s="6">
        <f t="shared" si="8"/>
        <v>1900</v>
      </c>
      <c r="O74" s="109">
        <f t="shared" si="9"/>
        <v>0</v>
      </c>
      <c r="P74" s="372"/>
      <c r="Q74" s="372"/>
      <c r="R74" s="372"/>
      <c r="S74" s="372"/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372"/>
      <c r="AF74" s="372"/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372"/>
      <c r="AS74" s="372"/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372"/>
      <c r="BF74" s="372"/>
      <c r="BG74" s="372"/>
      <c r="BH74" s="372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5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7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61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5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7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2"/>
      <c r="Q76" s="372"/>
      <c r="R76" s="372"/>
      <c r="S76" s="372"/>
      <c r="T76" s="372"/>
      <c r="U76" s="372"/>
      <c r="V76" s="372"/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372"/>
      <c r="AH76" s="372"/>
      <c r="AI76" s="372"/>
      <c r="AJ76" s="372"/>
      <c r="AK76" s="372"/>
      <c r="AL76" s="372"/>
      <c r="AM76" s="372"/>
      <c r="AN76" s="372"/>
      <c r="AO76" s="372"/>
      <c r="AP76" s="372"/>
      <c r="AQ76" s="372"/>
      <c r="AR76" s="372"/>
      <c r="AS76" s="372"/>
      <c r="AT76" s="372"/>
      <c r="AU76" s="372"/>
      <c r="AV76" s="372"/>
      <c r="AW76" s="372"/>
      <c r="AX76" s="372"/>
      <c r="AY76" s="372"/>
      <c r="AZ76" s="372"/>
      <c r="BA76" s="372"/>
      <c r="BB76" s="372"/>
      <c r="BC76" s="372"/>
      <c r="BD76" s="372"/>
      <c r="BE76" s="372"/>
      <c r="BF76" s="372"/>
      <c r="BG76" s="372"/>
      <c r="BH76" s="372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5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7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5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7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5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7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5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7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71"/>
      <c r="Q80" s="371"/>
      <c r="R80" s="371"/>
      <c r="S80" s="371"/>
      <c r="T80" s="371"/>
      <c r="U80" s="371"/>
      <c r="V80" s="371"/>
      <c r="W80" s="371"/>
      <c r="X80" s="371"/>
      <c r="Y80" s="371"/>
      <c r="Z80" s="371"/>
      <c r="AA80" s="371"/>
      <c r="AB80" s="371"/>
      <c r="AC80" s="371"/>
      <c r="AD80" s="371"/>
      <c r="AE80" s="371"/>
      <c r="AF80" s="371"/>
      <c r="AG80" s="371"/>
      <c r="AH80" s="371"/>
      <c r="AI80" s="371"/>
      <c r="AJ80" s="371"/>
      <c r="AK80" s="371"/>
      <c r="AL80" s="371"/>
      <c r="AM80" s="371"/>
      <c r="AN80" s="371"/>
      <c r="AO80" s="371"/>
      <c r="AP80" s="371"/>
      <c r="AQ80" s="371"/>
      <c r="AR80" s="371"/>
      <c r="AS80" s="371"/>
      <c r="AT80" s="371"/>
      <c r="AU80" s="371"/>
      <c r="AV80" s="371"/>
      <c r="AW80" s="371"/>
      <c r="AX80" s="371"/>
      <c r="AY80" s="371"/>
      <c r="AZ80" s="371"/>
      <c r="BA80" s="371"/>
      <c r="BB80" s="371"/>
      <c r="BC80" s="371"/>
      <c r="BD80" s="371"/>
      <c r="BE80" s="371"/>
      <c r="BF80" s="371"/>
      <c r="BG80" s="371"/>
      <c r="BH80" s="371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2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7" t="e">
        <f>K81*VLOOKUP(E81,BD!$A$2:$F$122,6,0)</f>
        <v>#N/A</v>
      </c>
      <c r="N81" s="33">
        <f t="shared" si="8"/>
        <v>1900</v>
      </c>
      <c r="O81" s="386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3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7" t="e">
        <f>K82*VLOOKUP(E82,BD!$A$2:$F$122,6,0)</f>
        <v>#N/A</v>
      </c>
      <c r="N82" s="6">
        <f t="shared" si="8"/>
        <v>1900</v>
      </c>
      <c r="O82" s="109">
        <f t="shared" si="9"/>
        <v>0</v>
      </c>
      <c r="P82" s="371"/>
      <c r="Q82" s="371"/>
      <c r="R82" s="371"/>
      <c r="S82" s="371"/>
      <c r="T82" s="371"/>
      <c r="U82" s="371"/>
      <c r="V82" s="371"/>
      <c r="W82" s="371"/>
      <c r="X82" s="371"/>
      <c r="Y82" s="371"/>
      <c r="Z82" s="371"/>
      <c r="AA82" s="371"/>
      <c r="AB82" s="371"/>
      <c r="AC82" s="371"/>
      <c r="AD82" s="371"/>
      <c r="AE82" s="371"/>
      <c r="AF82" s="371"/>
      <c r="AG82" s="371"/>
      <c r="AH82" s="371"/>
      <c r="AI82" s="371"/>
      <c r="AJ82" s="371"/>
      <c r="AK82" s="371"/>
      <c r="AL82" s="371"/>
      <c r="AM82" s="371"/>
      <c r="AN82" s="371"/>
      <c r="AO82" s="371"/>
      <c r="AP82" s="371"/>
      <c r="AQ82" s="371"/>
      <c r="AR82" s="371"/>
      <c r="AS82" s="371"/>
      <c r="AT82" s="371"/>
      <c r="AU82" s="371"/>
      <c r="AV82" s="371"/>
      <c r="AW82" s="371"/>
      <c r="AX82" s="371"/>
      <c r="AY82" s="371"/>
      <c r="AZ82" s="371"/>
      <c r="BA82" s="371"/>
      <c r="BB82" s="371"/>
      <c r="BC82" s="371"/>
      <c r="BD82" s="371"/>
      <c r="BE82" s="371"/>
      <c r="BF82" s="371"/>
      <c r="BG82" s="371"/>
      <c r="BH82" s="371"/>
    </row>
    <row r="83" spans="1:60" s="361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5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7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2"/>
      <c r="Q83" s="372"/>
      <c r="R83" s="372"/>
      <c r="S83" s="372"/>
      <c r="T83" s="372"/>
      <c r="U83" s="372"/>
      <c r="V83" s="372"/>
      <c r="W83" s="372"/>
      <c r="X83" s="372"/>
      <c r="Y83" s="372"/>
      <c r="Z83" s="372"/>
      <c r="AA83" s="372"/>
      <c r="AB83" s="372"/>
      <c r="AC83" s="372"/>
      <c r="AD83" s="372"/>
      <c r="AE83" s="372"/>
      <c r="AF83" s="372"/>
      <c r="AG83" s="372"/>
      <c r="AH83" s="372"/>
      <c r="AI83" s="372"/>
      <c r="AJ83" s="372"/>
      <c r="AK83" s="372"/>
      <c r="AL83" s="372"/>
      <c r="AM83" s="372"/>
      <c r="AN83" s="372"/>
      <c r="AO83" s="372"/>
      <c r="AP83" s="372"/>
      <c r="AQ83" s="372"/>
      <c r="AR83" s="372"/>
      <c r="AS83" s="372"/>
      <c r="AT83" s="372"/>
      <c r="AU83" s="372"/>
      <c r="AV83" s="372"/>
      <c r="AW83" s="372"/>
      <c r="AX83" s="372"/>
      <c r="AY83" s="372"/>
      <c r="AZ83" s="372"/>
      <c r="BA83" s="372"/>
      <c r="BB83" s="372"/>
      <c r="BC83" s="372"/>
      <c r="BD83" s="372"/>
      <c r="BE83" s="372"/>
      <c r="BF83" s="372"/>
      <c r="BG83" s="372"/>
      <c r="BH83" s="372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5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7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61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2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7" t="e">
        <f>K85*VLOOKUP(E85,BD!$A$2:$F$122,6,0)</f>
        <v>#N/A</v>
      </c>
      <c r="N85" s="33">
        <f t="shared" si="8"/>
        <v>1900</v>
      </c>
      <c r="O85" s="386">
        <f t="shared" si="9"/>
        <v>0</v>
      </c>
      <c r="P85" s="372"/>
      <c r="Q85" s="372"/>
      <c r="R85" s="372"/>
      <c r="S85" s="372"/>
      <c r="T85" s="372"/>
      <c r="U85" s="372"/>
      <c r="V85" s="372"/>
      <c r="W85" s="372"/>
      <c r="X85" s="372"/>
      <c r="Y85" s="372"/>
      <c r="Z85" s="372"/>
      <c r="AA85" s="372"/>
      <c r="AB85" s="372"/>
      <c r="AC85" s="372"/>
      <c r="AD85" s="372"/>
      <c r="AE85" s="372"/>
      <c r="AF85" s="372"/>
      <c r="AG85" s="372"/>
      <c r="AH85" s="372"/>
      <c r="AI85" s="372"/>
      <c r="AJ85" s="372"/>
      <c r="AK85" s="372"/>
      <c r="AL85" s="372"/>
      <c r="AM85" s="372"/>
      <c r="AN85" s="372"/>
      <c r="AO85" s="372"/>
      <c r="AP85" s="372"/>
      <c r="AQ85" s="372"/>
      <c r="AR85" s="372"/>
      <c r="AS85" s="372"/>
      <c r="AT85" s="372"/>
      <c r="AU85" s="372"/>
      <c r="AV85" s="372"/>
      <c r="AW85" s="372"/>
      <c r="AX85" s="372"/>
      <c r="AY85" s="372"/>
      <c r="AZ85" s="372"/>
      <c r="BA85" s="372"/>
      <c r="BB85" s="372"/>
      <c r="BC85" s="372"/>
      <c r="BD85" s="372"/>
      <c r="BE85" s="372"/>
      <c r="BF85" s="372"/>
      <c r="BG85" s="372"/>
      <c r="BH85" s="372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3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7" t="e">
        <f>K86*VLOOKUP(E86,BD!$A$2:$F$122,6,0)</f>
        <v>#N/A</v>
      </c>
      <c r="N86" s="6">
        <f t="shared" si="8"/>
        <v>1900</v>
      </c>
      <c r="O86" s="109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5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7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5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7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5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7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71"/>
      <c r="Q89" s="371"/>
      <c r="R89" s="371"/>
      <c r="S89" s="371"/>
      <c r="T89" s="371"/>
      <c r="U89" s="371"/>
      <c r="V89" s="371"/>
      <c r="W89" s="371"/>
      <c r="X89" s="371"/>
      <c r="Y89" s="371"/>
      <c r="Z89" s="371"/>
      <c r="AA89" s="371"/>
      <c r="AB89" s="371"/>
      <c r="AC89" s="371"/>
      <c r="AD89" s="371"/>
      <c r="AE89" s="371"/>
      <c r="AF89" s="371"/>
      <c r="AG89" s="371"/>
      <c r="AH89" s="371"/>
      <c r="AI89" s="371"/>
      <c r="AJ89" s="371"/>
      <c r="AK89" s="371"/>
      <c r="AL89" s="371"/>
      <c r="AM89" s="371"/>
      <c r="AN89" s="371"/>
      <c r="AO89" s="371"/>
      <c r="AP89" s="371"/>
      <c r="AQ89" s="371"/>
      <c r="AR89" s="371"/>
      <c r="AS89" s="371"/>
      <c r="AT89" s="371"/>
      <c r="AU89" s="371"/>
      <c r="AV89" s="371"/>
      <c r="AW89" s="371"/>
      <c r="AX89" s="371"/>
      <c r="AY89" s="371"/>
      <c r="AZ89" s="371"/>
      <c r="BA89" s="371"/>
      <c r="BB89" s="371"/>
      <c r="BC89" s="371"/>
      <c r="BD89" s="371"/>
      <c r="BE89" s="371"/>
      <c r="BF89" s="371"/>
      <c r="BG89" s="371"/>
      <c r="BH89" s="371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5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7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5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7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71"/>
      <c r="Q91" s="371"/>
      <c r="R91" s="371"/>
      <c r="S91" s="371"/>
      <c r="T91" s="371"/>
      <c r="U91" s="371"/>
      <c r="V91" s="371"/>
      <c r="W91" s="371"/>
      <c r="X91" s="371"/>
      <c r="Y91" s="371"/>
      <c r="Z91" s="371"/>
      <c r="AA91" s="371"/>
      <c r="AB91" s="371"/>
      <c r="AC91" s="371"/>
      <c r="AD91" s="371"/>
      <c r="AE91" s="371"/>
      <c r="AF91" s="371"/>
      <c r="AG91" s="371"/>
      <c r="AH91" s="371"/>
      <c r="AI91" s="371"/>
      <c r="AJ91" s="371"/>
      <c r="AK91" s="371"/>
      <c r="AL91" s="371"/>
      <c r="AM91" s="371"/>
      <c r="AN91" s="371"/>
      <c r="AO91" s="371"/>
      <c r="AP91" s="371"/>
      <c r="AQ91" s="371"/>
      <c r="AR91" s="371"/>
      <c r="AS91" s="371"/>
      <c r="AT91" s="371"/>
      <c r="AU91" s="371"/>
      <c r="AV91" s="371"/>
      <c r="AW91" s="371"/>
      <c r="AX91" s="371"/>
      <c r="AY91" s="371"/>
      <c r="AZ91" s="371"/>
      <c r="BA91" s="371"/>
      <c r="BB91" s="371"/>
      <c r="BC91" s="371"/>
      <c r="BD91" s="371"/>
      <c r="BE91" s="371"/>
      <c r="BF91" s="371"/>
      <c r="BG91" s="371"/>
      <c r="BH91" s="371"/>
    </row>
    <row r="92" spans="1:60" s="361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5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7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2"/>
      <c r="Q92" s="372"/>
      <c r="R92" s="372"/>
      <c r="S92" s="372"/>
      <c r="T92" s="372"/>
      <c r="U92" s="372"/>
      <c r="V92" s="372"/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372"/>
      <c r="AJ92" s="372"/>
      <c r="AK92" s="372"/>
      <c r="AL92" s="372"/>
      <c r="AM92" s="372"/>
      <c r="AN92" s="372"/>
      <c r="AO92" s="372"/>
      <c r="AP92" s="372"/>
      <c r="AQ92" s="372"/>
      <c r="AR92" s="372"/>
      <c r="AS92" s="372"/>
      <c r="AT92" s="372"/>
      <c r="AU92" s="372"/>
      <c r="AV92" s="372"/>
      <c r="AW92" s="372"/>
      <c r="AX92" s="372"/>
      <c r="AY92" s="372"/>
      <c r="AZ92" s="372"/>
      <c r="BA92" s="372"/>
      <c r="BB92" s="372"/>
      <c r="BC92" s="372"/>
      <c r="BD92" s="372"/>
      <c r="BE92" s="372"/>
      <c r="BF92" s="372"/>
      <c r="BG92" s="372"/>
      <c r="BH92" s="372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5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7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61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5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7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2"/>
      <c r="Q94" s="372"/>
      <c r="R94" s="372"/>
      <c r="S94" s="372"/>
      <c r="T94" s="372"/>
      <c r="U94" s="372"/>
      <c r="V94" s="372"/>
      <c r="W94" s="372"/>
      <c r="X94" s="372"/>
      <c r="Y94" s="372"/>
      <c r="Z94" s="372"/>
      <c r="AA94" s="372"/>
      <c r="AB94" s="372"/>
      <c r="AC94" s="372"/>
      <c r="AD94" s="372"/>
      <c r="AE94" s="372"/>
      <c r="AF94" s="372"/>
      <c r="AG94" s="372"/>
      <c r="AH94" s="372"/>
      <c r="AI94" s="372"/>
      <c r="AJ94" s="372"/>
      <c r="AK94" s="372"/>
      <c r="AL94" s="372"/>
      <c r="AM94" s="372"/>
      <c r="AN94" s="372"/>
      <c r="AO94" s="372"/>
      <c r="AP94" s="372"/>
      <c r="AQ94" s="372"/>
      <c r="AR94" s="372"/>
      <c r="AS94" s="372"/>
      <c r="AT94" s="372"/>
      <c r="AU94" s="372"/>
      <c r="AV94" s="372"/>
      <c r="AW94" s="372"/>
      <c r="AX94" s="372"/>
      <c r="AY94" s="372"/>
      <c r="AZ94" s="372"/>
      <c r="BA94" s="372"/>
      <c r="BB94" s="372"/>
      <c r="BC94" s="372"/>
      <c r="BD94" s="372"/>
      <c r="BE94" s="372"/>
      <c r="BF94" s="372"/>
      <c r="BG94" s="372"/>
      <c r="BH94" s="372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5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7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5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7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2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7" t="e">
        <f>K97*VLOOKUP(E97,BD!$A$2:$F$122,6,0)</f>
        <v>#N/A</v>
      </c>
      <c r="N97" s="33">
        <f t="shared" si="13"/>
        <v>1900</v>
      </c>
      <c r="O97" s="386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3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7" t="e">
        <f>K98*VLOOKUP(E98,BD!$A$2:$F$122,6,0)</f>
        <v>#N/A</v>
      </c>
      <c r="N98" s="6">
        <f t="shared" si="13"/>
        <v>1900</v>
      </c>
      <c r="O98" s="109">
        <f t="shared" si="9"/>
        <v>0</v>
      </c>
      <c r="P98" s="371"/>
      <c r="Q98" s="371"/>
      <c r="R98" s="371"/>
      <c r="S98" s="371"/>
      <c r="T98" s="371"/>
      <c r="U98" s="371"/>
      <c r="V98" s="371"/>
      <c r="W98" s="371"/>
      <c r="X98" s="371"/>
      <c r="Y98" s="371"/>
      <c r="Z98" s="371"/>
      <c r="AA98" s="371"/>
      <c r="AB98" s="371"/>
      <c r="AC98" s="371"/>
      <c r="AD98" s="371"/>
      <c r="AE98" s="371"/>
      <c r="AF98" s="371"/>
      <c r="AG98" s="371"/>
      <c r="AH98" s="371"/>
      <c r="AI98" s="371"/>
      <c r="AJ98" s="371"/>
      <c r="AK98" s="371"/>
      <c r="AL98" s="371"/>
      <c r="AM98" s="371"/>
      <c r="AN98" s="371"/>
      <c r="AO98" s="371"/>
      <c r="AP98" s="371"/>
      <c r="AQ98" s="371"/>
      <c r="AR98" s="371"/>
      <c r="AS98" s="371"/>
      <c r="AT98" s="371"/>
      <c r="AU98" s="371"/>
      <c r="AV98" s="371"/>
      <c r="AW98" s="371"/>
      <c r="AX98" s="371"/>
      <c r="AY98" s="371"/>
      <c r="AZ98" s="371"/>
      <c r="BA98" s="371"/>
      <c r="BB98" s="371"/>
      <c r="BC98" s="371"/>
      <c r="BD98" s="371"/>
      <c r="BE98" s="371"/>
      <c r="BF98" s="371"/>
      <c r="BG98" s="371"/>
      <c r="BH98" s="371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5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7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5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7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71"/>
      <c r="Q100" s="371"/>
      <c r="R100" s="371"/>
      <c r="S100" s="371"/>
      <c r="T100" s="371"/>
      <c r="U100" s="371"/>
      <c r="V100" s="371"/>
      <c r="W100" s="371"/>
      <c r="X100" s="371"/>
      <c r="Y100" s="371"/>
      <c r="Z100" s="371"/>
      <c r="AA100" s="371"/>
      <c r="AB100" s="371"/>
      <c r="AC100" s="371"/>
      <c r="AD100" s="371"/>
      <c r="AE100" s="371"/>
      <c r="AF100" s="371"/>
      <c r="AG100" s="371"/>
      <c r="AH100" s="371"/>
      <c r="AI100" s="371"/>
      <c r="AJ100" s="371"/>
      <c r="AK100" s="371"/>
      <c r="AL100" s="371"/>
      <c r="AM100" s="371"/>
      <c r="AN100" s="371"/>
      <c r="AO100" s="371"/>
      <c r="AP100" s="371"/>
      <c r="AQ100" s="371"/>
      <c r="AR100" s="371"/>
      <c r="AS100" s="371"/>
      <c r="AT100" s="371"/>
      <c r="AU100" s="371"/>
      <c r="AV100" s="371"/>
      <c r="AW100" s="371"/>
      <c r="AX100" s="371"/>
      <c r="AY100" s="371"/>
      <c r="AZ100" s="371"/>
      <c r="BA100" s="371"/>
      <c r="BB100" s="371"/>
      <c r="BC100" s="371"/>
      <c r="BD100" s="371"/>
      <c r="BE100" s="371"/>
      <c r="BF100" s="371"/>
      <c r="BG100" s="371"/>
      <c r="BH100" s="371"/>
    </row>
    <row r="101" spans="1:60" s="361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5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7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2"/>
      <c r="Q101" s="372"/>
      <c r="R101" s="372"/>
      <c r="S101" s="372"/>
      <c r="T101" s="372"/>
      <c r="U101" s="372"/>
      <c r="V101" s="372"/>
      <c r="W101" s="372"/>
      <c r="X101" s="372"/>
      <c r="Y101" s="372"/>
      <c r="Z101" s="372"/>
      <c r="AA101" s="372"/>
      <c r="AB101" s="372"/>
      <c r="AC101" s="372"/>
      <c r="AD101" s="372"/>
      <c r="AE101" s="372"/>
      <c r="AF101" s="372"/>
      <c r="AG101" s="372"/>
      <c r="AH101" s="372"/>
      <c r="AI101" s="372"/>
      <c r="AJ101" s="372"/>
      <c r="AK101" s="372"/>
      <c r="AL101" s="372"/>
      <c r="AM101" s="372"/>
      <c r="AN101" s="372"/>
      <c r="AO101" s="372"/>
      <c r="AP101" s="372"/>
      <c r="AQ101" s="372"/>
      <c r="AR101" s="372"/>
      <c r="AS101" s="372"/>
      <c r="AT101" s="372"/>
      <c r="AU101" s="372"/>
      <c r="AV101" s="372"/>
      <c r="AW101" s="372"/>
      <c r="AX101" s="372"/>
      <c r="AY101" s="372"/>
      <c r="AZ101" s="372"/>
      <c r="BA101" s="372"/>
      <c r="BB101" s="372"/>
      <c r="BC101" s="372"/>
      <c r="BD101" s="372"/>
      <c r="BE101" s="372"/>
      <c r="BF101" s="372"/>
      <c r="BG101" s="372"/>
      <c r="BH101" s="372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5"/>
      <c r="F102" s="3"/>
      <c r="G102" s="3"/>
      <c r="H102" s="3"/>
      <c r="I102" s="3"/>
      <c r="J102" s="3">
        <f t="shared" si="10"/>
        <v>0</v>
      </c>
      <c r="K102" s="391"/>
      <c r="L102" s="3">
        <f>+IFERROR(VLOOKUP(E102,BD!$A$2:$D$122,4,FALSE),0)</f>
        <v>0</v>
      </c>
      <c r="M102" s="97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61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5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7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2"/>
      <c r="Q103" s="372"/>
      <c r="R103" s="372"/>
      <c r="S103" s="372"/>
      <c r="T103" s="372"/>
      <c r="U103" s="372"/>
      <c r="V103" s="372"/>
      <c r="W103" s="372"/>
      <c r="X103" s="372"/>
      <c r="Y103" s="372"/>
      <c r="Z103" s="372"/>
      <c r="AA103" s="372"/>
      <c r="AB103" s="372"/>
      <c r="AC103" s="372"/>
      <c r="AD103" s="372"/>
      <c r="AE103" s="372"/>
      <c r="AF103" s="372"/>
      <c r="AG103" s="372"/>
      <c r="AH103" s="372"/>
      <c r="AI103" s="372"/>
      <c r="AJ103" s="372"/>
      <c r="AK103" s="372"/>
      <c r="AL103" s="372"/>
      <c r="AM103" s="372"/>
      <c r="AN103" s="372"/>
      <c r="AO103" s="372"/>
      <c r="AP103" s="372"/>
      <c r="AQ103" s="372"/>
      <c r="AR103" s="372"/>
      <c r="AS103" s="372"/>
      <c r="AT103" s="372"/>
      <c r="AU103" s="372"/>
      <c r="AV103" s="372"/>
      <c r="AW103" s="372"/>
      <c r="AX103" s="372"/>
      <c r="AY103" s="372"/>
      <c r="AZ103" s="372"/>
      <c r="BA103" s="372"/>
      <c r="BB103" s="372"/>
      <c r="BC103" s="372"/>
      <c r="BD103" s="372"/>
      <c r="BE103" s="372"/>
      <c r="BF103" s="372"/>
      <c r="BG103" s="372"/>
      <c r="BH103" s="372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2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7" t="e">
        <f>K104*VLOOKUP(E104,BD!$A$2:$F$122,6,0)</f>
        <v>#N/A</v>
      </c>
      <c r="N104" s="33">
        <f t="shared" si="13"/>
        <v>1900</v>
      </c>
      <c r="O104" s="386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3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7" t="e">
        <f>K105*VLOOKUP(E105,BD!$A$2:$F$122,6,0)</f>
        <v>#N/A</v>
      </c>
      <c r="N105" s="6">
        <f t="shared" si="13"/>
        <v>1900</v>
      </c>
      <c r="O105" s="109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5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7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5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7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71"/>
      <c r="Q107" s="371"/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/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/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/>
      <c r="BB107" s="371"/>
      <c r="BC107" s="371"/>
      <c r="BD107" s="371"/>
      <c r="BE107" s="371"/>
      <c r="BF107" s="371"/>
      <c r="BG107" s="371"/>
      <c r="BH107" s="371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2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7" t="e">
        <f>K108*VLOOKUP(E108,BD!$A$2:$F$122,6,0)</f>
        <v>#N/A</v>
      </c>
      <c r="N108" s="33">
        <f t="shared" si="13"/>
        <v>1900</v>
      </c>
      <c r="O108" s="386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3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7" t="e">
        <f>K109*VLOOKUP(E109,BD!$A$2:$F$122,6,0)</f>
        <v>#N/A</v>
      </c>
      <c r="N109" s="6">
        <f t="shared" si="13"/>
        <v>1900</v>
      </c>
      <c r="O109" s="109">
        <f t="shared" si="9"/>
        <v>0</v>
      </c>
      <c r="P109" s="371"/>
      <c r="Q109" s="371"/>
      <c r="R109" s="371"/>
      <c r="S109" s="371"/>
      <c r="T109" s="371"/>
      <c r="U109" s="371"/>
      <c r="V109" s="371"/>
      <c r="W109" s="371"/>
      <c r="X109" s="371"/>
      <c r="Y109" s="371"/>
      <c r="Z109" s="371"/>
      <c r="AA109" s="371"/>
      <c r="AB109" s="371"/>
      <c r="AC109" s="371"/>
      <c r="AD109" s="371"/>
      <c r="AE109" s="371"/>
      <c r="AF109" s="371"/>
      <c r="AG109" s="371"/>
      <c r="AH109" s="371"/>
      <c r="AI109" s="371"/>
      <c r="AJ109" s="371"/>
      <c r="AK109" s="371"/>
      <c r="AL109" s="371"/>
      <c r="AM109" s="371"/>
      <c r="AN109" s="371"/>
      <c r="AO109" s="371"/>
      <c r="AP109" s="371"/>
      <c r="AQ109" s="371"/>
      <c r="AR109" s="371"/>
      <c r="AS109" s="371"/>
      <c r="AT109" s="371"/>
      <c r="AU109" s="371"/>
      <c r="AV109" s="371"/>
      <c r="AW109" s="371"/>
      <c r="AX109" s="371"/>
      <c r="AY109" s="371"/>
      <c r="AZ109" s="371"/>
      <c r="BA109" s="371"/>
      <c r="BB109" s="371"/>
      <c r="BC109" s="371"/>
      <c r="BD109" s="371"/>
      <c r="BE109" s="371"/>
      <c r="BF109" s="371"/>
      <c r="BG109" s="371"/>
      <c r="BH109" s="371"/>
    </row>
    <row r="110" spans="1:60" s="361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5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7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2"/>
      <c r="Q110" s="372"/>
      <c r="R110" s="372"/>
      <c r="S110" s="372"/>
      <c r="T110" s="372"/>
      <c r="U110" s="372"/>
      <c r="V110" s="372"/>
      <c r="W110" s="372"/>
      <c r="X110" s="372"/>
      <c r="Y110" s="372"/>
      <c r="Z110" s="372"/>
      <c r="AA110" s="372"/>
      <c r="AB110" s="372"/>
      <c r="AC110" s="372"/>
      <c r="AD110" s="372"/>
      <c r="AE110" s="372"/>
      <c r="AF110" s="372"/>
      <c r="AG110" s="372"/>
      <c r="AH110" s="372"/>
      <c r="AI110" s="372"/>
      <c r="AJ110" s="372"/>
      <c r="AK110" s="372"/>
      <c r="AL110" s="372"/>
      <c r="AM110" s="372"/>
      <c r="AN110" s="372"/>
      <c r="AO110" s="372"/>
      <c r="AP110" s="372"/>
      <c r="AQ110" s="372"/>
      <c r="AR110" s="372"/>
      <c r="AS110" s="372"/>
      <c r="AT110" s="372"/>
      <c r="AU110" s="372"/>
      <c r="AV110" s="372"/>
      <c r="AW110" s="372"/>
      <c r="AX110" s="372"/>
      <c r="AY110" s="372"/>
      <c r="AZ110" s="372"/>
      <c r="BA110" s="372"/>
      <c r="BB110" s="372"/>
      <c r="BC110" s="372"/>
      <c r="BD110" s="372"/>
      <c r="BE110" s="372"/>
      <c r="BF110" s="372"/>
      <c r="BG110" s="372"/>
      <c r="BH110" s="372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5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7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5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7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5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7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5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7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71"/>
      <c r="Q114" s="371"/>
      <c r="R114" s="371"/>
      <c r="S114" s="371"/>
      <c r="T114" s="371"/>
      <c r="U114" s="371"/>
      <c r="V114" s="371"/>
      <c r="W114" s="371"/>
      <c r="X114" s="371"/>
      <c r="Y114" s="371"/>
      <c r="Z114" s="371"/>
      <c r="AA114" s="371"/>
      <c r="AB114" s="371"/>
      <c r="AC114" s="371"/>
      <c r="AD114" s="371"/>
      <c r="AE114" s="371"/>
      <c r="AF114" s="371"/>
      <c r="AG114" s="371"/>
      <c r="AH114" s="371"/>
      <c r="AI114" s="371"/>
      <c r="AJ114" s="371"/>
      <c r="AK114" s="371"/>
      <c r="AL114" s="371"/>
      <c r="AM114" s="371"/>
      <c r="AN114" s="371"/>
      <c r="AO114" s="371"/>
      <c r="AP114" s="371"/>
      <c r="AQ114" s="371"/>
      <c r="AR114" s="371"/>
      <c r="AS114" s="371"/>
      <c r="AT114" s="371"/>
      <c r="AU114" s="371"/>
      <c r="AV114" s="371"/>
      <c r="AW114" s="371"/>
      <c r="AX114" s="371"/>
      <c r="AY114" s="371"/>
      <c r="AZ114" s="371"/>
      <c r="BA114" s="371"/>
      <c r="BB114" s="371"/>
      <c r="BC114" s="371"/>
      <c r="BD114" s="371"/>
      <c r="BE114" s="371"/>
      <c r="BF114" s="371"/>
      <c r="BG114" s="371"/>
      <c r="BH114" s="371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5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7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2"/>
      <c r="F116" s="33"/>
      <c r="G116" s="33"/>
      <c r="H116" s="33"/>
      <c r="I116" s="33"/>
      <c r="J116" s="33">
        <f t="shared" si="10"/>
        <v>0</v>
      </c>
      <c r="K116" s="395"/>
      <c r="L116" s="33">
        <f>+IFERROR(VLOOKUP(E116,BD!$A$2:$D$122,4,FALSE),0)</f>
        <v>0</v>
      </c>
      <c r="M116" s="97" t="e">
        <f>K116*VLOOKUP(E116,BD!$A$2:$F$122,6,0)</f>
        <v>#N/A</v>
      </c>
      <c r="N116" s="33">
        <f t="shared" si="13"/>
        <v>1900</v>
      </c>
      <c r="O116" s="386">
        <f t="shared" si="9"/>
        <v>0</v>
      </c>
      <c r="P116" s="371"/>
      <c r="Q116" s="371"/>
      <c r="R116" s="371"/>
      <c r="S116" s="371"/>
      <c r="T116" s="371"/>
      <c r="U116" s="371"/>
      <c r="V116" s="371"/>
      <c r="W116" s="371"/>
      <c r="X116" s="371"/>
      <c r="Y116" s="371"/>
      <c r="Z116" s="371"/>
      <c r="AA116" s="371"/>
      <c r="AB116" s="371"/>
      <c r="AC116" s="371"/>
      <c r="AD116" s="371"/>
      <c r="AE116" s="371"/>
      <c r="AF116" s="371"/>
      <c r="AG116" s="371"/>
      <c r="AH116" s="371"/>
      <c r="AI116" s="371"/>
      <c r="AJ116" s="371"/>
      <c r="AK116" s="371"/>
      <c r="AL116" s="371"/>
      <c r="AM116" s="371"/>
      <c r="AN116" s="371"/>
      <c r="AO116" s="371"/>
      <c r="AP116" s="371"/>
      <c r="AQ116" s="371"/>
      <c r="AR116" s="371"/>
      <c r="AS116" s="371"/>
      <c r="AT116" s="371"/>
      <c r="AU116" s="371"/>
      <c r="AV116" s="371"/>
      <c r="AW116" s="371"/>
      <c r="AX116" s="371"/>
      <c r="AY116" s="371"/>
      <c r="AZ116" s="371"/>
      <c r="BA116" s="371"/>
      <c r="BB116" s="371"/>
      <c r="BC116" s="371"/>
      <c r="BD116" s="371"/>
      <c r="BE116" s="371"/>
      <c r="BF116" s="371"/>
      <c r="BG116" s="371"/>
      <c r="BH116" s="371"/>
    </row>
    <row r="117" spans="1:60" s="361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3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7" t="e">
        <f>K117*VLOOKUP(E117,BD!$A$2:$F$122,6,0)</f>
        <v>#N/A</v>
      </c>
      <c r="N117" s="6">
        <f t="shared" si="13"/>
        <v>1900</v>
      </c>
      <c r="O117" s="109">
        <f t="shared" si="9"/>
        <v>0</v>
      </c>
      <c r="P117" s="372"/>
      <c r="Q117" s="372"/>
      <c r="R117" s="372"/>
      <c r="S117" s="372"/>
      <c r="T117" s="372"/>
      <c r="U117" s="372"/>
      <c r="V117" s="372"/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72"/>
      <c r="AK117" s="372"/>
      <c r="AL117" s="372"/>
      <c r="AM117" s="372"/>
      <c r="AN117" s="372"/>
      <c r="AO117" s="372"/>
      <c r="AP117" s="372"/>
      <c r="AQ117" s="372"/>
      <c r="AR117" s="372"/>
      <c r="AS117" s="372"/>
      <c r="AT117" s="372"/>
      <c r="AU117" s="372"/>
      <c r="AV117" s="372"/>
      <c r="AW117" s="372"/>
      <c r="AX117" s="372"/>
      <c r="AY117" s="372"/>
      <c r="AZ117" s="372"/>
      <c r="BA117" s="372"/>
      <c r="BB117" s="372"/>
      <c r="BC117" s="372"/>
      <c r="BD117" s="372"/>
      <c r="BE117" s="372"/>
      <c r="BF117" s="372"/>
      <c r="BG117" s="372"/>
      <c r="BH117" s="372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5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7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5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7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5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7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5"/>
      <c r="F121" s="3"/>
      <c r="G121" s="3"/>
      <c r="H121" s="3"/>
      <c r="I121" s="3"/>
      <c r="J121" s="3">
        <f t="shared" si="10"/>
        <v>0</v>
      </c>
      <c r="K121" s="391"/>
      <c r="L121" s="3">
        <f>+IFERROR(VLOOKUP(E121,BD!$A$2:$D$122,4,FALSE),0)</f>
        <v>0</v>
      </c>
      <c r="M121" s="97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71"/>
      <c r="Q121" s="371"/>
      <c r="R121" s="371"/>
      <c r="S121" s="371"/>
      <c r="T121" s="371"/>
      <c r="U121" s="371"/>
      <c r="V121" s="371"/>
      <c r="W121" s="371"/>
      <c r="X121" s="371"/>
      <c r="Y121" s="371"/>
      <c r="Z121" s="371"/>
      <c r="AA121" s="371"/>
      <c r="AB121" s="371"/>
      <c r="AC121" s="371"/>
      <c r="AD121" s="371"/>
      <c r="AE121" s="371"/>
      <c r="AF121" s="371"/>
      <c r="AG121" s="371"/>
      <c r="AH121" s="371"/>
      <c r="AI121" s="371"/>
      <c r="AJ121" s="371"/>
      <c r="AK121" s="371"/>
      <c r="AL121" s="371"/>
      <c r="AM121" s="371"/>
      <c r="AN121" s="371"/>
      <c r="AO121" s="371"/>
      <c r="AP121" s="371"/>
      <c r="AQ121" s="371"/>
      <c r="AR121" s="371"/>
      <c r="AS121" s="371"/>
      <c r="AT121" s="371"/>
      <c r="AU121" s="371"/>
      <c r="AV121" s="371"/>
      <c r="AW121" s="371"/>
      <c r="AX121" s="371"/>
      <c r="AY121" s="371"/>
      <c r="AZ121" s="371"/>
      <c r="BA121" s="371"/>
      <c r="BB121" s="371"/>
      <c r="BC121" s="371"/>
      <c r="BD121" s="371"/>
      <c r="BE121" s="371"/>
      <c r="BF121" s="371"/>
      <c r="BG121" s="371"/>
      <c r="BH121" s="371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5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7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5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7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71"/>
      <c r="Q123" s="371"/>
      <c r="R123" s="371"/>
      <c r="S123" s="371"/>
      <c r="T123" s="371"/>
      <c r="U123" s="371"/>
      <c r="V123" s="371"/>
      <c r="W123" s="371"/>
      <c r="X123" s="371"/>
      <c r="Y123" s="371"/>
      <c r="Z123" s="371"/>
      <c r="AA123" s="371"/>
      <c r="AB123" s="371"/>
      <c r="AC123" s="371"/>
      <c r="AD123" s="371"/>
      <c r="AE123" s="371"/>
      <c r="AF123" s="371"/>
      <c r="AG123" s="371"/>
      <c r="AH123" s="371"/>
      <c r="AI123" s="371"/>
      <c r="AJ123" s="371"/>
      <c r="AK123" s="371"/>
      <c r="AL123" s="371"/>
      <c r="AM123" s="371"/>
      <c r="AN123" s="371"/>
      <c r="AO123" s="371"/>
      <c r="AP123" s="371"/>
      <c r="AQ123" s="371"/>
      <c r="AR123" s="371"/>
      <c r="AS123" s="371"/>
      <c r="AT123" s="371"/>
      <c r="AU123" s="371"/>
      <c r="AV123" s="371"/>
      <c r="AW123" s="371"/>
      <c r="AX123" s="371"/>
      <c r="AY123" s="371"/>
      <c r="AZ123" s="371"/>
      <c r="BA123" s="371"/>
      <c r="BB123" s="371"/>
      <c r="BC123" s="371"/>
      <c r="BD123" s="371"/>
      <c r="BE123" s="371"/>
      <c r="BF123" s="371"/>
      <c r="BG123" s="371"/>
      <c r="BH123" s="371"/>
    </row>
    <row r="124" spans="1:60" s="361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5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7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2"/>
      <c r="Q124" s="372"/>
      <c r="R124" s="372"/>
      <c r="S124" s="372"/>
      <c r="T124" s="372"/>
      <c r="U124" s="372"/>
      <c r="V124" s="372"/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372"/>
      <c r="AH124" s="372"/>
      <c r="AI124" s="372"/>
      <c r="AJ124" s="372"/>
      <c r="AK124" s="372"/>
      <c r="AL124" s="372"/>
      <c r="AM124" s="372"/>
      <c r="AN124" s="372"/>
      <c r="AO124" s="372"/>
      <c r="AP124" s="372"/>
      <c r="AQ124" s="372"/>
      <c r="AR124" s="372"/>
      <c r="AS124" s="372"/>
      <c r="AT124" s="372"/>
      <c r="AU124" s="372"/>
      <c r="AV124" s="372"/>
      <c r="AW124" s="372"/>
      <c r="AX124" s="372"/>
      <c r="AY124" s="372"/>
      <c r="AZ124" s="372"/>
      <c r="BA124" s="372"/>
      <c r="BB124" s="372"/>
      <c r="BC124" s="372"/>
      <c r="BD124" s="372"/>
      <c r="BE124" s="372"/>
      <c r="BF124" s="372"/>
      <c r="BG124" s="372"/>
      <c r="BH124" s="372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5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7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61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2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7" t="e">
        <f>K126*VLOOKUP(E126,BD!$A$2:$F$122,6,0)</f>
        <v>#N/A</v>
      </c>
      <c r="N126" s="33">
        <f t="shared" si="13"/>
        <v>1900</v>
      </c>
      <c r="O126" s="386">
        <f t="shared" ref="O126:O189" si="15">+WEEKNUM(A126,1)</f>
        <v>0</v>
      </c>
      <c r="P126" s="372"/>
      <c r="Q126" s="372"/>
      <c r="R126" s="372"/>
      <c r="S126" s="372"/>
      <c r="T126" s="372"/>
      <c r="U126" s="372"/>
      <c r="V126" s="372"/>
      <c r="W126" s="372"/>
      <c r="X126" s="372"/>
      <c r="Y126" s="372"/>
      <c r="Z126" s="372"/>
      <c r="AA126" s="372"/>
      <c r="AB126" s="372"/>
      <c r="AC126" s="372"/>
      <c r="AD126" s="372"/>
      <c r="AE126" s="372"/>
      <c r="AF126" s="372"/>
      <c r="AG126" s="372"/>
      <c r="AH126" s="372"/>
      <c r="AI126" s="372"/>
      <c r="AJ126" s="372"/>
      <c r="AK126" s="372"/>
      <c r="AL126" s="372"/>
      <c r="AM126" s="372"/>
      <c r="AN126" s="372"/>
      <c r="AO126" s="372"/>
      <c r="AP126" s="372"/>
      <c r="AQ126" s="372"/>
      <c r="AR126" s="372"/>
      <c r="AS126" s="372"/>
      <c r="AT126" s="372"/>
      <c r="AU126" s="372"/>
      <c r="AV126" s="372"/>
      <c r="AW126" s="372"/>
      <c r="AX126" s="372"/>
      <c r="AY126" s="372"/>
      <c r="AZ126" s="372"/>
      <c r="BA126" s="372"/>
      <c r="BB126" s="372"/>
      <c r="BC126" s="372"/>
      <c r="BD126" s="372"/>
      <c r="BE126" s="372"/>
      <c r="BF126" s="372"/>
      <c r="BG126" s="372"/>
      <c r="BH126" s="372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3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7" t="e">
        <f>K127*VLOOKUP(E127,BD!$A$2:$F$122,6,0)</f>
        <v>#N/A</v>
      </c>
      <c r="N127" s="6">
        <f t="shared" si="13"/>
        <v>1900</v>
      </c>
      <c r="O127" s="109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5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7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5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7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5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7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71"/>
      <c r="Q130" s="371"/>
      <c r="R130" s="371"/>
      <c r="S130" s="371"/>
      <c r="T130" s="371"/>
      <c r="U130" s="371"/>
      <c r="V130" s="371"/>
      <c r="W130" s="371"/>
      <c r="X130" s="371"/>
      <c r="Y130" s="371"/>
      <c r="Z130" s="371"/>
      <c r="AA130" s="371"/>
      <c r="AB130" s="371"/>
      <c r="AC130" s="371"/>
      <c r="AD130" s="371"/>
      <c r="AE130" s="371"/>
      <c r="AF130" s="371"/>
      <c r="AG130" s="371"/>
      <c r="AH130" s="371"/>
      <c r="AI130" s="371"/>
      <c r="AJ130" s="371"/>
      <c r="AK130" s="371"/>
      <c r="AL130" s="371"/>
      <c r="AM130" s="371"/>
      <c r="AN130" s="371"/>
      <c r="AO130" s="371"/>
      <c r="AP130" s="371"/>
      <c r="AQ130" s="371"/>
      <c r="AR130" s="371"/>
      <c r="AS130" s="371"/>
      <c r="AT130" s="371"/>
      <c r="AU130" s="371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  <c r="BH130" s="371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5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7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5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7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71"/>
      <c r="Q132" s="371"/>
      <c r="R132" s="371"/>
      <c r="S132" s="371"/>
      <c r="T132" s="371"/>
      <c r="U132" s="371"/>
      <c r="V132" s="371"/>
      <c r="W132" s="371"/>
      <c r="X132" s="371"/>
      <c r="Y132" s="371"/>
      <c r="Z132" s="371"/>
      <c r="AA132" s="371"/>
      <c r="AB132" s="371"/>
      <c r="AC132" s="371"/>
      <c r="AD132" s="371"/>
      <c r="AE132" s="371"/>
      <c r="AF132" s="371"/>
      <c r="AG132" s="371"/>
      <c r="AH132" s="371"/>
      <c r="AI132" s="371"/>
      <c r="AJ132" s="371"/>
      <c r="AK132" s="371"/>
      <c r="AL132" s="371"/>
      <c r="AM132" s="371"/>
      <c r="AN132" s="371"/>
      <c r="AO132" s="371"/>
      <c r="AP132" s="371"/>
      <c r="AQ132" s="371"/>
      <c r="AR132" s="371"/>
      <c r="AS132" s="371"/>
      <c r="AT132" s="371"/>
      <c r="AU132" s="371"/>
      <c r="AV132" s="371"/>
      <c r="AW132" s="371"/>
      <c r="AX132" s="371"/>
      <c r="AY132" s="371"/>
      <c r="AZ132" s="371"/>
      <c r="BA132" s="371"/>
      <c r="BB132" s="371"/>
      <c r="BC132" s="371"/>
      <c r="BD132" s="371"/>
      <c r="BE132" s="371"/>
      <c r="BF132" s="371"/>
      <c r="BG132" s="371"/>
      <c r="BH132" s="371"/>
    </row>
    <row r="133" spans="1:60" s="361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5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7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2"/>
      <c r="Q133" s="372"/>
      <c r="R133" s="372"/>
      <c r="S133" s="372"/>
      <c r="T133" s="372"/>
      <c r="U133" s="372"/>
      <c r="V133" s="372"/>
      <c r="W133" s="372"/>
      <c r="X133" s="372"/>
      <c r="Y133" s="372"/>
      <c r="Z133" s="372"/>
      <c r="AA133" s="372"/>
      <c r="AB133" s="372"/>
      <c r="AC133" s="372"/>
      <c r="AD133" s="372"/>
      <c r="AE133" s="372"/>
      <c r="AF133" s="372"/>
      <c r="AG133" s="372"/>
      <c r="AH133" s="372"/>
      <c r="AI133" s="372"/>
      <c r="AJ133" s="372"/>
      <c r="AK133" s="372"/>
      <c r="AL133" s="372"/>
      <c r="AM133" s="372"/>
      <c r="AN133" s="372"/>
      <c r="AO133" s="372"/>
      <c r="AP133" s="372"/>
      <c r="AQ133" s="372"/>
      <c r="AR133" s="372"/>
      <c r="AS133" s="372"/>
      <c r="AT133" s="372"/>
      <c r="AU133" s="372"/>
      <c r="AV133" s="372"/>
      <c r="AW133" s="372"/>
      <c r="AX133" s="372"/>
      <c r="AY133" s="372"/>
      <c r="AZ133" s="372"/>
      <c r="BA133" s="372"/>
      <c r="BB133" s="372"/>
      <c r="BC133" s="372"/>
      <c r="BD133" s="372"/>
      <c r="BE133" s="372"/>
      <c r="BF133" s="372"/>
      <c r="BG133" s="372"/>
      <c r="BH133" s="372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5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7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61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2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7" t="e">
        <f>K135*VLOOKUP(E135,BD!$A$2:$F$122,6,0)</f>
        <v>#N/A</v>
      </c>
      <c r="N135" s="33">
        <f t="shared" si="13"/>
        <v>1900</v>
      </c>
      <c r="O135" s="386">
        <f t="shared" si="15"/>
        <v>0</v>
      </c>
      <c r="P135" s="372"/>
      <c r="Q135" s="372"/>
      <c r="R135" s="372"/>
      <c r="S135" s="372"/>
      <c r="T135" s="372"/>
      <c r="U135" s="372"/>
      <c r="V135" s="372"/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372"/>
      <c r="AH135" s="372"/>
      <c r="AI135" s="372"/>
      <c r="AJ135" s="372"/>
      <c r="AK135" s="372"/>
      <c r="AL135" s="372"/>
      <c r="AM135" s="372"/>
      <c r="AN135" s="372"/>
      <c r="AO135" s="372"/>
      <c r="AP135" s="372"/>
      <c r="AQ135" s="372"/>
      <c r="AR135" s="372"/>
      <c r="AS135" s="372"/>
      <c r="AT135" s="372"/>
      <c r="AU135" s="372"/>
      <c r="AV135" s="372"/>
      <c r="AW135" s="372"/>
      <c r="AX135" s="372"/>
      <c r="AY135" s="372"/>
      <c r="AZ135" s="372"/>
      <c r="BA135" s="372"/>
      <c r="BB135" s="372"/>
      <c r="BC135" s="372"/>
      <c r="BD135" s="372"/>
      <c r="BE135" s="372"/>
      <c r="BF135" s="372"/>
      <c r="BG135" s="372"/>
      <c r="BH135" s="372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3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7" t="e">
        <f>K136*VLOOKUP(E136,BD!$A$2:$F$122,6,0)</f>
        <v>#N/A</v>
      </c>
      <c r="N136" s="6">
        <f t="shared" si="13"/>
        <v>1900</v>
      </c>
      <c r="O136" s="109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5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7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5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7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5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7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71"/>
      <c r="Q139" s="371"/>
      <c r="R139" s="371"/>
      <c r="S139" s="371"/>
      <c r="T139" s="371"/>
      <c r="U139" s="371"/>
      <c r="V139" s="371"/>
      <c r="W139" s="371"/>
      <c r="X139" s="371"/>
      <c r="Y139" s="371"/>
      <c r="Z139" s="371"/>
      <c r="AA139" s="371"/>
      <c r="AB139" s="371"/>
      <c r="AC139" s="371"/>
      <c r="AD139" s="371"/>
      <c r="AE139" s="371"/>
      <c r="AF139" s="371"/>
      <c r="AG139" s="371"/>
      <c r="AH139" s="371"/>
      <c r="AI139" s="371"/>
      <c r="AJ139" s="371"/>
      <c r="AK139" s="371"/>
      <c r="AL139" s="371"/>
      <c r="AM139" s="371"/>
      <c r="AN139" s="371"/>
      <c r="AO139" s="371"/>
      <c r="AP139" s="371"/>
      <c r="AQ139" s="371"/>
      <c r="AR139" s="371"/>
      <c r="AS139" s="371"/>
      <c r="AT139" s="371"/>
      <c r="AU139" s="371"/>
      <c r="AV139" s="371"/>
      <c r="AW139" s="371"/>
      <c r="AX139" s="371"/>
      <c r="AY139" s="371"/>
      <c r="AZ139" s="371"/>
      <c r="BA139" s="371"/>
      <c r="BB139" s="371"/>
      <c r="BC139" s="371"/>
      <c r="BD139" s="371"/>
      <c r="BE139" s="371"/>
      <c r="BF139" s="371"/>
      <c r="BG139" s="371"/>
      <c r="BH139" s="371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5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7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5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7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71"/>
      <c r="Q141" s="371"/>
      <c r="R141" s="371"/>
      <c r="S141" s="371"/>
      <c r="T141" s="371"/>
      <c r="U141" s="371"/>
      <c r="V141" s="371"/>
      <c r="W141" s="371"/>
      <c r="X141" s="371"/>
      <c r="Y141" s="371"/>
      <c r="Z141" s="371"/>
      <c r="AA141" s="371"/>
      <c r="AB141" s="371"/>
      <c r="AC141" s="371"/>
      <c r="AD141" s="371"/>
      <c r="AE141" s="371"/>
      <c r="AF141" s="371"/>
      <c r="AG141" s="371"/>
      <c r="AH141" s="371"/>
      <c r="AI141" s="371"/>
      <c r="AJ141" s="371"/>
      <c r="AK141" s="371"/>
      <c r="AL141" s="371"/>
      <c r="AM141" s="371"/>
      <c r="AN141" s="371"/>
      <c r="AO141" s="371"/>
      <c r="AP141" s="371"/>
      <c r="AQ141" s="371"/>
      <c r="AR141" s="371"/>
      <c r="AS141" s="371"/>
      <c r="AT141" s="371"/>
      <c r="AU141" s="371"/>
      <c r="AV141" s="371"/>
      <c r="AW141" s="371"/>
      <c r="AX141" s="371"/>
      <c r="AY141" s="371"/>
      <c r="AZ141" s="371"/>
      <c r="BA141" s="371"/>
      <c r="BB141" s="371"/>
      <c r="BC141" s="371"/>
      <c r="BD141" s="371"/>
      <c r="BE141" s="371"/>
      <c r="BF141" s="371"/>
      <c r="BG141" s="371"/>
      <c r="BH141" s="371"/>
    </row>
    <row r="142" spans="1:60" s="361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5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7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2"/>
      <c r="Q142" s="372"/>
      <c r="R142" s="372"/>
      <c r="S142" s="372"/>
      <c r="T142" s="372"/>
      <c r="U142" s="372"/>
      <c r="V142" s="372"/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372"/>
      <c r="AH142" s="372"/>
      <c r="AI142" s="372"/>
      <c r="AJ142" s="372"/>
      <c r="AK142" s="372"/>
      <c r="AL142" s="372"/>
      <c r="AM142" s="372"/>
      <c r="AN142" s="372"/>
      <c r="AO142" s="372"/>
      <c r="AP142" s="372"/>
      <c r="AQ142" s="372"/>
      <c r="AR142" s="372"/>
      <c r="AS142" s="372"/>
      <c r="AT142" s="372"/>
      <c r="AU142" s="372"/>
      <c r="AV142" s="372"/>
      <c r="AW142" s="372"/>
      <c r="AX142" s="372"/>
      <c r="AY142" s="372"/>
      <c r="AZ142" s="372"/>
      <c r="BA142" s="372"/>
      <c r="BB142" s="372"/>
      <c r="BC142" s="372"/>
      <c r="BD142" s="372"/>
      <c r="BE142" s="372"/>
      <c r="BF142" s="372"/>
      <c r="BG142" s="372"/>
      <c r="BH142" s="372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5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7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61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5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7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2"/>
      <c r="Q144" s="372"/>
      <c r="R144" s="372"/>
      <c r="S144" s="372"/>
      <c r="T144" s="372"/>
      <c r="U144" s="372"/>
      <c r="V144" s="372"/>
      <c r="W144" s="372"/>
      <c r="X144" s="372"/>
      <c r="Y144" s="372"/>
      <c r="Z144" s="372"/>
      <c r="AA144" s="372"/>
      <c r="AB144" s="372"/>
      <c r="AC144" s="372"/>
      <c r="AD144" s="372"/>
      <c r="AE144" s="372"/>
      <c r="AF144" s="372"/>
      <c r="AG144" s="372"/>
      <c r="AH144" s="372"/>
      <c r="AI144" s="372"/>
      <c r="AJ144" s="372"/>
      <c r="AK144" s="372"/>
      <c r="AL144" s="372"/>
      <c r="AM144" s="372"/>
      <c r="AN144" s="372"/>
      <c r="AO144" s="372"/>
      <c r="AP144" s="372"/>
      <c r="AQ144" s="372"/>
      <c r="AR144" s="372"/>
      <c r="AS144" s="372"/>
      <c r="AT144" s="372"/>
      <c r="AU144" s="372"/>
      <c r="AV144" s="372"/>
      <c r="AW144" s="372"/>
      <c r="AX144" s="372"/>
      <c r="AY144" s="372"/>
      <c r="AZ144" s="372"/>
      <c r="BA144" s="372"/>
      <c r="BB144" s="372"/>
      <c r="BC144" s="372"/>
      <c r="BD144" s="372"/>
      <c r="BE144" s="372"/>
      <c r="BF144" s="372"/>
      <c r="BG144" s="372"/>
      <c r="BH144" s="372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2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7" t="e">
        <f>K145*VLOOKUP(E145,BD!$A$2:$F$122,6,0)</f>
        <v>#N/A</v>
      </c>
      <c r="N145" s="33">
        <f t="shared" si="13"/>
        <v>1900</v>
      </c>
      <c r="O145" s="386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3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7" t="e">
        <f>K146*VLOOKUP(E146,BD!$A$2:$F$122,6,0)</f>
        <v>#N/A</v>
      </c>
      <c r="N146" s="6">
        <f t="shared" si="13"/>
        <v>1900</v>
      </c>
      <c r="O146" s="109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5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7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5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7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71"/>
      <c r="Q148" s="371"/>
      <c r="R148" s="371"/>
      <c r="S148" s="371"/>
      <c r="T148" s="371"/>
      <c r="U148" s="371"/>
      <c r="V148" s="371"/>
      <c r="W148" s="371"/>
      <c r="X148" s="371"/>
      <c r="Y148" s="371"/>
      <c r="Z148" s="371"/>
      <c r="AA148" s="371"/>
      <c r="AB148" s="371"/>
      <c r="AC148" s="371"/>
      <c r="AD148" s="371"/>
      <c r="AE148" s="371"/>
      <c r="AF148" s="371"/>
      <c r="AG148" s="371"/>
      <c r="AH148" s="371"/>
      <c r="AI148" s="371"/>
      <c r="AJ148" s="371"/>
      <c r="AK148" s="371"/>
      <c r="AL148" s="371"/>
      <c r="AM148" s="371"/>
      <c r="AN148" s="371"/>
      <c r="AO148" s="371"/>
      <c r="AP148" s="371"/>
      <c r="AQ148" s="371"/>
      <c r="AR148" s="371"/>
      <c r="AS148" s="371"/>
      <c r="AT148" s="371"/>
      <c r="AU148" s="371"/>
      <c r="AV148" s="371"/>
      <c r="AW148" s="371"/>
      <c r="AX148" s="371"/>
      <c r="AY148" s="371"/>
      <c r="AZ148" s="371"/>
      <c r="BA148" s="371"/>
      <c r="BB148" s="371"/>
      <c r="BC148" s="371"/>
      <c r="BD148" s="371"/>
      <c r="BE148" s="371"/>
      <c r="BF148" s="371"/>
      <c r="BG148" s="371"/>
      <c r="BH148" s="371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5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7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2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7" t="e">
        <f>K150*VLOOKUP(E150,BD!$A$2:$F$122,6,0)</f>
        <v>#N/A</v>
      </c>
      <c r="N150" s="33">
        <f t="shared" si="13"/>
        <v>1900</v>
      </c>
      <c r="O150" s="386">
        <f t="shared" si="15"/>
        <v>0</v>
      </c>
      <c r="P150" s="371"/>
      <c r="Q150" s="371"/>
      <c r="R150" s="371"/>
      <c r="S150" s="371"/>
      <c r="T150" s="371"/>
      <c r="U150" s="371"/>
      <c r="V150" s="371"/>
      <c r="W150" s="371"/>
      <c r="X150" s="371"/>
      <c r="Y150" s="371"/>
      <c r="Z150" s="371"/>
      <c r="AA150" s="371"/>
      <c r="AB150" s="371"/>
      <c r="AC150" s="371"/>
      <c r="AD150" s="371"/>
      <c r="AE150" s="371"/>
      <c r="AF150" s="371"/>
      <c r="AG150" s="371"/>
      <c r="AH150" s="371"/>
      <c r="AI150" s="371"/>
      <c r="AJ150" s="371"/>
      <c r="AK150" s="371"/>
      <c r="AL150" s="371"/>
      <c r="AM150" s="371"/>
      <c r="AN150" s="371"/>
      <c r="AO150" s="371"/>
      <c r="AP150" s="371"/>
      <c r="AQ150" s="371"/>
      <c r="AR150" s="371"/>
      <c r="AS150" s="371"/>
      <c r="AT150" s="371"/>
      <c r="AU150" s="371"/>
      <c r="AV150" s="371"/>
      <c r="AW150" s="371"/>
      <c r="AX150" s="371"/>
      <c r="AY150" s="371"/>
      <c r="AZ150" s="371"/>
      <c r="BA150" s="371"/>
      <c r="BB150" s="371"/>
      <c r="BC150" s="371"/>
      <c r="BD150" s="371"/>
      <c r="BE150" s="371"/>
      <c r="BF150" s="371"/>
      <c r="BG150" s="371"/>
      <c r="BH150" s="371"/>
    </row>
    <row r="151" spans="1:60" s="361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3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7" t="e">
        <f>K151*VLOOKUP(E151,BD!$A$2:$F$122,6,0)</f>
        <v>#N/A</v>
      </c>
      <c r="N151" s="6">
        <f t="shared" si="13"/>
        <v>1900</v>
      </c>
      <c r="O151" s="109">
        <f t="shared" si="15"/>
        <v>0</v>
      </c>
      <c r="P151" s="372"/>
      <c r="Q151" s="372"/>
      <c r="R151" s="372"/>
      <c r="S151" s="372"/>
      <c r="T151" s="372"/>
      <c r="U151" s="372"/>
      <c r="V151" s="372"/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372"/>
      <c r="AI151" s="372"/>
      <c r="AJ151" s="372"/>
      <c r="AK151" s="372"/>
      <c r="AL151" s="372"/>
      <c r="AM151" s="372"/>
      <c r="AN151" s="372"/>
      <c r="AO151" s="372"/>
      <c r="AP151" s="372"/>
      <c r="AQ151" s="372"/>
      <c r="AR151" s="372"/>
      <c r="AS151" s="372"/>
      <c r="AT151" s="372"/>
      <c r="AU151" s="372"/>
      <c r="AV151" s="372"/>
      <c r="AW151" s="372"/>
      <c r="AX151" s="372"/>
      <c r="AY151" s="372"/>
      <c r="AZ151" s="372"/>
      <c r="BA151" s="372"/>
      <c r="BB151" s="372"/>
      <c r="BC151" s="372"/>
      <c r="BD151" s="372"/>
      <c r="BE151" s="372"/>
      <c r="BF151" s="372"/>
      <c r="BG151" s="372"/>
      <c r="BH151" s="372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5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7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5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7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5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7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5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7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71"/>
      <c r="Q155" s="371"/>
      <c r="R155" s="371"/>
      <c r="S155" s="371"/>
      <c r="T155" s="371"/>
      <c r="U155" s="371"/>
      <c r="V155" s="371"/>
      <c r="W155" s="371"/>
      <c r="X155" s="371"/>
      <c r="Y155" s="371"/>
      <c r="Z155" s="371"/>
      <c r="AA155" s="371"/>
      <c r="AB155" s="371"/>
      <c r="AC155" s="371"/>
      <c r="AD155" s="371"/>
      <c r="AE155" s="371"/>
      <c r="AF155" s="371"/>
      <c r="AG155" s="371"/>
      <c r="AH155" s="371"/>
      <c r="AI155" s="371"/>
      <c r="AJ155" s="371"/>
      <c r="AK155" s="371"/>
      <c r="AL155" s="371"/>
      <c r="AM155" s="371"/>
      <c r="AN155" s="371"/>
      <c r="AO155" s="371"/>
      <c r="AP155" s="371"/>
      <c r="AQ155" s="371"/>
      <c r="AR155" s="371"/>
      <c r="AS155" s="371"/>
      <c r="AT155" s="371"/>
      <c r="AU155" s="371"/>
      <c r="AV155" s="371"/>
      <c r="AW155" s="371"/>
      <c r="AX155" s="371"/>
      <c r="AY155" s="371"/>
      <c r="AZ155" s="371"/>
      <c r="BA155" s="371"/>
      <c r="BB155" s="371"/>
      <c r="BC155" s="371"/>
      <c r="BD155" s="371"/>
      <c r="BE155" s="371"/>
      <c r="BF155" s="371"/>
      <c r="BG155" s="371"/>
      <c r="BH155" s="371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2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7" t="e">
        <f>K156*VLOOKUP(E156,BD!$A$2:$F$122,6,0)</f>
        <v>#N/A</v>
      </c>
      <c r="N156" s="33">
        <f t="shared" si="19"/>
        <v>1900</v>
      </c>
      <c r="O156" s="386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3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7" t="e">
        <f>K157*VLOOKUP(E157,BD!$A$2:$F$122,6,0)</f>
        <v>#N/A</v>
      </c>
      <c r="N157" s="6">
        <f t="shared" si="19"/>
        <v>1900</v>
      </c>
      <c r="O157" s="109">
        <f t="shared" si="15"/>
        <v>0</v>
      </c>
      <c r="P157" s="371"/>
      <c r="Q157" s="371"/>
      <c r="R157" s="371"/>
      <c r="S157" s="371"/>
      <c r="T157" s="371"/>
      <c r="U157" s="371"/>
      <c r="V157" s="371"/>
      <c r="W157" s="371"/>
      <c r="X157" s="371"/>
      <c r="Y157" s="371"/>
      <c r="Z157" s="371"/>
      <c r="AA157" s="371"/>
      <c r="AB157" s="371"/>
      <c r="AC157" s="371"/>
      <c r="AD157" s="371"/>
      <c r="AE157" s="371"/>
      <c r="AF157" s="371"/>
      <c r="AG157" s="371"/>
      <c r="AH157" s="371"/>
      <c r="AI157" s="371"/>
      <c r="AJ157" s="371"/>
      <c r="AK157" s="371"/>
      <c r="AL157" s="371"/>
      <c r="AM157" s="371"/>
      <c r="AN157" s="371"/>
      <c r="AO157" s="371"/>
      <c r="AP157" s="371"/>
      <c r="AQ157" s="371"/>
      <c r="AR157" s="371"/>
      <c r="AS157" s="371"/>
      <c r="AT157" s="371"/>
      <c r="AU157" s="371"/>
      <c r="AV157" s="371"/>
      <c r="AW157" s="371"/>
      <c r="AX157" s="371"/>
      <c r="AY157" s="371"/>
      <c r="AZ157" s="371"/>
      <c r="BA157" s="371"/>
      <c r="BB157" s="371"/>
      <c r="BC157" s="371"/>
      <c r="BD157" s="371"/>
      <c r="BE157" s="371"/>
      <c r="BF157" s="371"/>
      <c r="BG157" s="371"/>
      <c r="BH157" s="371"/>
    </row>
    <row r="158" spans="1:60" s="361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5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7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2"/>
      <c r="Q158" s="372"/>
      <c r="R158" s="372"/>
      <c r="S158" s="372"/>
      <c r="T158" s="372"/>
      <c r="U158" s="372"/>
      <c r="V158" s="372"/>
      <c r="W158" s="372"/>
      <c r="X158" s="372"/>
      <c r="Y158" s="372"/>
      <c r="Z158" s="372"/>
      <c r="AA158" s="372"/>
      <c r="AB158" s="372"/>
      <c r="AC158" s="372"/>
      <c r="AD158" s="372"/>
      <c r="AE158" s="372"/>
      <c r="AF158" s="372"/>
      <c r="AG158" s="372"/>
      <c r="AH158" s="372"/>
      <c r="AI158" s="372"/>
      <c r="AJ158" s="372"/>
      <c r="AK158" s="372"/>
      <c r="AL158" s="372"/>
      <c r="AM158" s="372"/>
      <c r="AN158" s="372"/>
      <c r="AO158" s="372"/>
      <c r="AP158" s="372"/>
      <c r="AQ158" s="372"/>
      <c r="AR158" s="372"/>
      <c r="AS158" s="372"/>
      <c r="AT158" s="372"/>
      <c r="AU158" s="372"/>
      <c r="AV158" s="372"/>
      <c r="AW158" s="372"/>
      <c r="AX158" s="372"/>
      <c r="AY158" s="372"/>
      <c r="AZ158" s="372"/>
      <c r="BA158" s="372"/>
      <c r="BB158" s="372"/>
      <c r="BC158" s="372"/>
      <c r="BD158" s="372"/>
      <c r="BE158" s="372"/>
      <c r="BF158" s="372"/>
      <c r="BG158" s="372"/>
      <c r="BH158" s="372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5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7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61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2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7" t="e">
        <f>K160*VLOOKUP(E160,BD!$A$2:$F$122,6,0)</f>
        <v>#N/A</v>
      </c>
      <c r="N160" s="33">
        <f t="shared" si="19"/>
        <v>1900</v>
      </c>
      <c r="O160" s="386">
        <f t="shared" si="15"/>
        <v>0</v>
      </c>
      <c r="P160" s="372"/>
      <c r="Q160" s="372"/>
      <c r="R160" s="372"/>
      <c r="S160" s="372"/>
      <c r="T160" s="372"/>
      <c r="U160" s="372"/>
      <c r="V160" s="372"/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372"/>
      <c r="AH160" s="372"/>
      <c r="AI160" s="372"/>
      <c r="AJ160" s="372"/>
      <c r="AK160" s="372"/>
      <c r="AL160" s="372"/>
      <c r="AM160" s="372"/>
      <c r="AN160" s="372"/>
      <c r="AO160" s="372"/>
      <c r="AP160" s="372"/>
      <c r="AQ160" s="372"/>
      <c r="AR160" s="372"/>
      <c r="AS160" s="372"/>
      <c r="AT160" s="372"/>
      <c r="AU160" s="372"/>
      <c r="AV160" s="372"/>
      <c r="AW160" s="372"/>
      <c r="AX160" s="372"/>
      <c r="AY160" s="372"/>
      <c r="AZ160" s="372"/>
      <c r="BA160" s="372"/>
      <c r="BB160" s="372"/>
      <c r="BC160" s="372"/>
      <c r="BD160" s="372"/>
      <c r="BE160" s="372"/>
      <c r="BF160" s="372"/>
      <c r="BG160" s="372"/>
      <c r="BH160" s="372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3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7" t="e">
        <f>K161*VLOOKUP(E161,BD!$A$2:$F$122,6,0)</f>
        <v>#N/A</v>
      </c>
      <c r="N161" s="6">
        <f t="shared" si="19"/>
        <v>1900</v>
      </c>
      <c r="O161" s="109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5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7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5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7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5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7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5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7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71"/>
      <c r="Q165" s="371"/>
      <c r="R165" s="371"/>
      <c r="S165" s="371"/>
      <c r="T165" s="371"/>
      <c r="U165" s="371"/>
      <c r="V165" s="371"/>
      <c r="W165" s="371"/>
      <c r="X165" s="371"/>
      <c r="Y165" s="371"/>
      <c r="Z165" s="371"/>
      <c r="AA165" s="371"/>
      <c r="AB165" s="371"/>
      <c r="AC165" s="371"/>
      <c r="AD165" s="371"/>
      <c r="AE165" s="371"/>
      <c r="AF165" s="371"/>
      <c r="AG165" s="371"/>
      <c r="AH165" s="371"/>
      <c r="AI165" s="371"/>
      <c r="AJ165" s="371"/>
      <c r="AK165" s="371"/>
      <c r="AL165" s="371"/>
      <c r="AM165" s="371"/>
      <c r="AN165" s="371"/>
      <c r="AO165" s="371"/>
      <c r="AP165" s="371"/>
      <c r="AQ165" s="371"/>
      <c r="AR165" s="371"/>
      <c r="AS165" s="371"/>
      <c r="AT165" s="371"/>
      <c r="AU165" s="371"/>
      <c r="AV165" s="371"/>
      <c r="AW165" s="371"/>
      <c r="AX165" s="371"/>
      <c r="AY165" s="371"/>
      <c r="AZ165" s="371"/>
      <c r="BA165" s="371"/>
      <c r="BB165" s="371"/>
      <c r="BC165" s="371"/>
      <c r="BD165" s="371"/>
      <c r="BE165" s="371"/>
      <c r="BF165" s="371"/>
      <c r="BG165" s="371"/>
      <c r="BH165" s="371"/>
    </row>
    <row r="166" spans="1:60" s="361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5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7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2"/>
      <c r="Q166" s="372"/>
      <c r="R166" s="372"/>
      <c r="S166" s="372"/>
      <c r="T166" s="372"/>
      <c r="U166" s="372"/>
      <c r="V166" s="372"/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372"/>
      <c r="AH166" s="372"/>
      <c r="AI166" s="372"/>
      <c r="AJ166" s="372"/>
      <c r="AK166" s="372"/>
      <c r="AL166" s="372"/>
      <c r="AM166" s="372"/>
      <c r="AN166" s="372"/>
      <c r="AO166" s="372"/>
      <c r="AP166" s="372"/>
      <c r="AQ166" s="372"/>
      <c r="AR166" s="372"/>
      <c r="AS166" s="372"/>
      <c r="AT166" s="372"/>
      <c r="AU166" s="372"/>
      <c r="AV166" s="372"/>
      <c r="AW166" s="372"/>
      <c r="AX166" s="372"/>
      <c r="AY166" s="372"/>
      <c r="AZ166" s="372"/>
      <c r="BA166" s="372"/>
      <c r="BB166" s="372"/>
      <c r="BC166" s="372"/>
      <c r="BD166" s="372"/>
      <c r="BE166" s="372"/>
      <c r="BF166" s="372"/>
      <c r="BG166" s="372"/>
      <c r="BH166" s="372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5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7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61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5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7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2"/>
      <c r="Q168" s="372"/>
      <c r="R168" s="372"/>
      <c r="S168" s="372"/>
      <c r="T168" s="372"/>
      <c r="U168" s="372"/>
      <c r="V168" s="372"/>
      <c r="W168" s="372"/>
      <c r="X168" s="372"/>
      <c r="Y168" s="372"/>
      <c r="Z168" s="372"/>
      <c r="AA168" s="372"/>
      <c r="AB168" s="372"/>
      <c r="AC168" s="372"/>
      <c r="AD168" s="372"/>
      <c r="AE168" s="372"/>
      <c r="AF168" s="372"/>
      <c r="AG168" s="372"/>
      <c r="AH168" s="372"/>
      <c r="AI168" s="372"/>
      <c r="AJ168" s="372"/>
      <c r="AK168" s="372"/>
      <c r="AL168" s="372"/>
      <c r="AM168" s="372"/>
      <c r="AN168" s="372"/>
      <c r="AO168" s="372"/>
      <c r="AP168" s="372"/>
      <c r="AQ168" s="372"/>
      <c r="AR168" s="372"/>
      <c r="AS168" s="372"/>
      <c r="AT168" s="372"/>
      <c r="AU168" s="372"/>
      <c r="AV168" s="372"/>
      <c r="AW168" s="372"/>
      <c r="AX168" s="372"/>
      <c r="AY168" s="372"/>
      <c r="AZ168" s="372"/>
      <c r="BA168" s="372"/>
      <c r="BB168" s="372"/>
      <c r="BC168" s="372"/>
      <c r="BD168" s="372"/>
      <c r="BE168" s="372"/>
      <c r="BF168" s="372"/>
      <c r="BG168" s="372"/>
      <c r="BH168" s="372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5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7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2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7" t="e">
        <f>K170*VLOOKUP(E170,BD!$A$2:$F$122,6,0)</f>
        <v>#N/A</v>
      </c>
      <c r="N170" s="33">
        <f t="shared" si="19"/>
        <v>1900</v>
      </c>
      <c r="O170" s="386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3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7" t="e">
        <f>K171*VLOOKUP(E171,BD!$A$2:$F$122,6,0)</f>
        <v>#N/A</v>
      </c>
      <c r="N171" s="6">
        <f t="shared" si="19"/>
        <v>1900</v>
      </c>
      <c r="O171" s="109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5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7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71"/>
      <c r="Q172" s="371"/>
      <c r="R172" s="371"/>
      <c r="S172" s="371"/>
      <c r="T172" s="371"/>
      <c r="U172" s="371"/>
      <c r="V172" s="371"/>
      <c r="W172" s="371"/>
      <c r="X172" s="371"/>
      <c r="Y172" s="371"/>
      <c r="Z172" s="371"/>
      <c r="AA172" s="371"/>
      <c r="AB172" s="371"/>
      <c r="AC172" s="371"/>
      <c r="AD172" s="371"/>
      <c r="AE172" s="371"/>
      <c r="AF172" s="371"/>
      <c r="AG172" s="371"/>
      <c r="AH172" s="371"/>
      <c r="AI172" s="371"/>
      <c r="AJ172" s="371"/>
      <c r="AK172" s="371"/>
      <c r="AL172" s="371"/>
      <c r="AM172" s="371"/>
      <c r="AN172" s="371"/>
      <c r="AO172" s="371"/>
      <c r="AP172" s="371"/>
      <c r="AQ172" s="371"/>
      <c r="AR172" s="371"/>
      <c r="AS172" s="371"/>
      <c r="AT172" s="371"/>
      <c r="AU172" s="371"/>
      <c r="AV172" s="371"/>
      <c r="AW172" s="371"/>
      <c r="AX172" s="371"/>
      <c r="AY172" s="371"/>
      <c r="AZ172" s="371"/>
      <c r="BA172" s="371"/>
      <c r="BB172" s="371"/>
      <c r="BC172" s="371"/>
      <c r="BD172" s="371"/>
      <c r="BE172" s="371"/>
      <c r="BF172" s="371"/>
      <c r="BG172" s="371"/>
      <c r="BH172" s="371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5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7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5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7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71"/>
      <c r="Q174" s="371"/>
      <c r="R174" s="371"/>
      <c r="S174" s="371"/>
      <c r="T174" s="371"/>
      <c r="U174" s="371"/>
      <c r="V174" s="371"/>
      <c r="W174" s="371"/>
      <c r="X174" s="371"/>
      <c r="Y174" s="371"/>
      <c r="Z174" s="371"/>
      <c r="AA174" s="371"/>
      <c r="AB174" s="371"/>
      <c r="AC174" s="371"/>
      <c r="AD174" s="371"/>
      <c r="AE174" s="371"/>
      <c r="AF174" s="371"/>
      <c r="AG174" s="371"/>
      <c r="AH174" s="371"/>
      <c r="AI174" s="371"/>
      <c r="AJ174" s="371"/>
      <c r="AK174" s="371"/>
      <c r="AL174" s="371"/>
      <c r="AM174" s="371"/>
      <c r="AN174" s="371"/>
      <c r="AO174" s="371"/>
      <c r="AP174" s="371"/>
      <c r="AQ174" s="371"/>
      <c r="AR174" s="371"/>
      <c r="AS174" s="371"/>
      <c r="AT174" s="371"/>
      <c r="AU174" s="371"/>
      <c r="AV174" s="371"/>
      <c r="AW174" s="371"/>
      <c r="AX174" s="371"/>
      <c r="AY174" s="371"/>
      <c r="AZ174" s="371"/>
      <c r="BA174" s="371"/>
      <c r="BB174" s="371"/>
      <c r="BC174" s="371"/>
      <c r="BD174" s="371"/>
      <c r="BE174" s="371"/>
      <c r="BF174" s="371"/>
      <c r="BG174" s="371"/>
      <c r="BH174" s="371"/>
    </row>
    <row r="175" spans="1:60" s="361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5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7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2"/>
      <c r="Q175" s="372"/>
      <c r="R175" s="372"/>
      <c r="S175" s="372"/>
      <c r="T175" s="372"/>
      <c r="U175" s="372"/>
      <c r="V175" s="372"/>
      <c r="W175" s="372"/>
      <c r="X175" s="372"/>
      <c r="Y175" s="372"/>
      <c r="Z175" s="372"/>
      <c r="AA175" s="372"/>
      <c r="AB175" s="372"/>
      <c r="AC175" s="372"/>
      <c r="AD175" s="372"/>
      <c r="AE175" s="372"/>
      <c r="AF175" s="372"/>
      <c r="AG175" s="372"/>
      <c r="AH175" s="372"/>
      <c r="AI175" s="372"/>
      <c r="AJ175" s="372"/>
      <c r="AK175" s="372"/>
      <c r="AL175" s="372"/>
      <c r="AM175" s="372"/>
      <c r="AN175" s="372"/>
      <c r="AO175" s="372"/>
      <c r="AP175" s="372"/>
      <c r="AQ175" s="372"/>
      <c r="AR175" s="372"/>
      <c r="AS175" s="372"/>
      <c r="AT175" s="372"/>
      <c r="AU175" s="372"/>
      <c r="AV175" s="372"/>
      <c r="AW175" s="372"/>
      <c r="AX175" s="372"/>
      <c r="AY175" s="372"/>
      <c r="AZ175" s="372"/>
      <c r="BA175" s="372"/>
      <c r="BB175" s="372"/>
      <c r="BC175" s="372"/>
      <c r="BD175" s="372"/>
      <c r="BE175" s="372"/>
      <c r="BF175" s="372"/>
      <c r="BG175" s="372"/>
      <c r="BH175" s="372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5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7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61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5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7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2"/>
      <c r="Q177" s="372"/>
      <c r="R177" s="372"/>
      <c r="S177" s="372"/>
      <c r="T177" s="372"/>
      <c r="U177" s="372"/>
      <c r="V177" s="372"/>
      <c r="W177" s="372"/>
      <c r="X177" s="372"/>
      <c r="Y177" s="372"/>
      <c r="Z177" s="372"/>
      <c r="AA177" s="372"/>
      <c r="AB177" s="372"/>
      <c r="AC177" s="372"/>
      <c r="AD177" s="372"/>
      <c r="AE177" s="372"/>
      <c r="AF177" s="372"/>
      <c r="AG177" s="372"/>
      <c r="AH177" s="372"/>
      <c r="AI177" s="372"/>
      <c r="AJ177" s="372"/>
      <c r="AK177" s="372"/>
      <c r="AL177" s="372"/>
      <c r="AM177" s="372"/>
      <c r="AN177" s="372"/>
      <c r="AO177" s="372"/>
      <c r="AP177" s="372"/>
      <c r="AQ177" s="372"/>
      <c r="AR177" s="372"/>
      <c r="AS177" s="372"/>
      <c r="AT177" s="372"/>
      <c r="AU177" s="372"/>
      <c r="AV177" s="372"/>
      <c r="AW177" s="372"/>
      <c r="AX177" s="372"/>
      <c r="AY177" s="372"/>
      <c r="AZ177" s="372"/>
      <c r="BA177" s="372"/>
      <c r="BB177" s="372"/>
      <c r="BC177" s="372"/>
      <c r="BD177" s="372"/>
      <c r="BE177" s="372"/>
      <c r="BF177" s="372"/>
      <c r="BG177" s="372"/>
      <c r="BH177" s="372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5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7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1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7" t="e">
        <f>K179*VLOOKUP(E179,BD!$A$2:$F$122,6,0)</f>
        <v>#N/A</v>
      </c>
      <c r="N179" s="8">
        <f t="shared" si="19"/>
        <v>1900</v>
      </c>
      <c r="O179" s="110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31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7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5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7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71"/>
      <c r="Q181" s="371"/>
      <c r="R181" s="371"/>
      <c r="S181" s="371"/>
      <c r="T181" s="371"/>
      <c r="U181" s="371"/>
      <c r="V181" s="371"/>
      <c r="W181" s="371"/>
      <c r="X181" s="371"/>
      <c r="Y181" s="371"/>
      <c r="Z181" s="371"/>
      <c r="AA181" s="371"/>
      <c r="AB181" s="371"/>
      <c r="AC181" s="371"/>
      <c r="AD181" s="371"/>
      <c r="AE181" s="371"/>
      <c r="AF181" s="371"/>
      <c r="AG181" s="371"/>
      <c r="AH181" s="371"/>
      <c r="AI181" s="371"/>
      <c r="AJ181" s="371"/>
      <c r="AK181" s="371"/>
      <c r="AL181" s="371"/>
      <c r="AM181" s="371"/>
      <c r="AN181" s="371"/>
      <c r="AO181" s="371"/>
      <c r="AP181" s="371"/>
      <c r="AQ181" s="371"/>
      <c r="AR181" s="371"/>
      <c r="AS181" s="371"/>
      <c r="AT181" s="371"/>
      <c r="AU181" s="371"/>
      <c r="AV181" s="371"/>
      <c r="AW181" s="371"/>
      <c r="AX181" s="371"/>
      <c r="AY181" s="371"/>
      <c r="AZ181" s="371"/>
      <c r="BA181" s="371"/>
      <c r="BB181" s="371"/>
      <c r="BC181" s="371"/>
      <c r="BD181" s="371"/>
      <c r="BE181" s="371"/>
      <c r="BF181" s="371"/>
      <c r="BG181" s="371"/>
      <c r="BH181" s="371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31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7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5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7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71"/>
      <c r="Q183" s="371"/>
      <c r="R183" s="371"/>
      <c r="S183" s="371"/>
      <c r="T183" s="371"/>
      <c r="U183" s="371"/>
      <c r="V183" s="371"/>
      <c r="W183" s="371"/>
      <c r="X183" s="371"/>
      <c r="Y183" s="371"/>
      <c r="Z183" s="371"/>
      <c r="AA183" s="371"/>
      <c r="AB183" s="371"/>
      <c r="AC183" s="371"/>
      <c r="AD183" s="371"/>
      <c r="AE183" s="371"/>
      <c r="AF183" s="371"/>
      <c r="AG183" s="371"/>
      <c r="AH183" s="371"/>
      <c r="AI183" s="371"/>
      <c r="AJ183" s="371"/>
      <c r="AK183" s="371"/>
      <c r="AL183" s="371"/>
      <c r="AM183" s="371"/>
      <c r="AN183" s="371"/>
      <c r="AO183" s="371"/>
      <c r="AP183" s="371"/>
      <c r="AQ183" s="371"/>
      <c r="AR183" s="371"/>
      <c r="AS183" s="371"/>
      <c r="AT183" s="371"/>
      <c r="AU183" s="371"/>
      <c r="AV183" s="371"/>
      <c r="AW183" s="371"/>
      <c r="AX183" s="371"/>
      <c r="AY183" s="371"/>
      <c r="AZ183" s="371"/>
      <c r="BA183" s="371"/>
      <c r="BB183" s="371"/>
      <c r="BC183" s="371"/>
      <c r="BD183" s="371"/>
      <c r="BE183" s="371"/>
      <c r="BF183" s="371"/>
      <c r="BG183" s="371"/>
      <c r="BH183" s="371"/>
    </row>
    <row r="184" spans="1:60" s="361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5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7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2"/>
      <c r="Q184" s="372"/>
      <c r="R184" s="372"/>
      <c r="S184" s="372"/>
      <c r="T184" s="372"/>
      <c r="U184" s="372"/>
      <c r="V184" s="372"/>
      <c r="W184" s="372"/>
      <c r="X184" s="372"/>
      <c r="Y184" s="372"/>
      <c r="Z184" s="372"/>
      <c r="AA184" s="372"/>
      <c r="AB184" s="372"/>
      <c r="AC184" s="372"/>
      <c r="AD184" s="372"/>
      <c r="AE184" s="372"/>
      <c r="AF184" s="372"/>
      <c r="AG184" s="372"/>
      <c r="AH184" s="372"/>
      <c r="AI184" s="372"/>
      <c r="AJ184" s="372"/>
      <c r="AK184" s="372"/>
      <c r="AL184" s="372"/>
      <c r="AM184" s="372"/>
      <c r="AN184" s="372"/>
      <c r="AO184" s="372"/>
      <c r="AP184" s="372"/>
      <c r="AQ184" s="372"/>
      <c r="AR184" s="372"/>
      <c r="AS184" s="372"/>
      <c r="AT184" s="372"/>
      <c r="AU184" s="372"/>
      <c r="AV184" s="372"/>
      <c r="AW184" s="372"/>
      <c r="AX184" s="372"/>
      <c r="AY184" s="372"/>
      <c r="AZ184" s="372"/>
      <c r="BA184" s="372"/>
      <c r="BB184" s="372"/>
      <c r="BC184" s="372"/>
      <c r="BD184" s="372"/>
      <c r="BE184" s="372"/>
      <c r="BF184" s="372"/>
      <c r="BG184" s="372"/>
      <c r="BH184" s="372"/>
    </row>
    <row r="185" spans="1:60" s="361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3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7" t="e">
        <f>K185*VLOOKUP(E185,BD!$A$2:$F$122,6,0)</f>
        <v>#N/A</v>
      </c>
      <c r="N185" s="6">
        <f t="shared" si="19"/>
        <v>1900</v>
      </c>
      <c r="O185" s="109">
        <f t="shared" si="15"/>
        <v>0</v>
      </c>
      <c r="P185" s="372"/>
      <c r="Q185" s="372"/>
      <c r="R185" s="372"/>
      <c r="S185" s="372"/>
      <c r="T185" s="372"/>
      <c r="U185" s="372"/>
      <c r="V185" s="372"/>
      <c r="W185" s="372"/>
      <c r="X185" s="372"/>
      <c r="Y185" s="372"/>
      <c r="Z185" s="372"/>
      <c r="AA185" s="372"/>
      <c r="AB185" s="372"/>
      <c r="AC185" s="372"/>
      <c r="AD185" s="372"/>
      <c r="AE185" s="372"/>
      <c r="AF185" s="372"/>
      <c r="AG185" s="372"/>
      <c r="AH185" s="372"/>
      <c r="AI185" s="372"/>
      <c r="AJ185" s="372"/>
      <c r="AK185" s="372"/>
      <c r="AL185" s="372"/>
      <c r="AM185" s="372"/>
      <c r="AN185" s="372"/>
      <c r="AO185" s="372"/>
      <c r="AP185" s="372"/>
      <c r="AQ185" s="372"/>
      <c r="AR185" s="372"/>
      <c r="AS185" s="372"/>
      <c r="AT185" s="372"/>
      <c r="AU185" s="372"/>
      <c r="AV185" s="372"/>
      <c r="AW185" s="372"/>
      <c r="AX185" s="372"/>
      <c r="AY185" s="372"/>
      <c r="AZ185" s="372"/>
      <c r="BA185" s="372"/>
      <c r="BB185" s="372"/>
      <c r="BC185" s="372"/>
      <c r="BD185" s="372"/>
      <c r="BE185" s="372"/>
      <c r="BF185" s="372"/>
      <c r="BG185" s="372"/>
      <c r="BH185" s="372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5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7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5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7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1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7" t="e">
        <f>K188*VLOOKUP(E188,BD!$A$2:$F$122,6,0)</f>
        <v>#N/A</v>
      </c>
      <c r="N188" s="8">
        <f t="shared" si="19"/>
        <v>1900</v>
      </c>
      <c r="O188" s="110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31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7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71"/>
      <c r="Q189" s="371"/>
      <c r="R189" s="371"/>
      <c r="S189" s="371"/>
      <c r="T189" s="371"/>
      <c r="U189" s="371"/>
      <c r="V189" s="371"/>
      <c r="W189" s="371"/>
      <c r="X189" s="371"/>
      <c r="Y189" s="371"/>
      <c r="Z189" s="371"/>
      <c r="AA189" s="371"/>
      <c r="AB189" s="371"/>
      <c r="AC189" s="371"/>
      <c r="AD189" s="371"/>
      <c r="AE189" s="371"/>
      <c r="AF189" s="371"/>
      <c r="AG189" s="371"/>
      <c r="AH189" s="371"/>
      <c r="AI189" s="371"/>
      <c r="AJ189" s="371"/>
      <c r="AK189" s="371"/>
      <c r="AL189" s="371"/>
      <c r="AM189" s="371"/>
      <c r="AN189" s="371"/>
      <c r="AO189" s="371"/>
      <c r="AP189" s="371"/>
      <c r="AQ189" s="371"/>
      <c r="AR189" s="371"/>
      <c r="AS189" s="371"/>
      <c r="AT189" s="371"/>
      <c r="AU189" s="371"/>
      <c r="AV189" s="371"/>
      <c r="AW189" s="371"/>
      <c r="AX189" s="371"/>
      <c r="AY189" s="371"/>
      <c r="AZ189" s="371"/>
      <c r="BA189" s="371"/>
      <c r="BB189" s="371"/>
      <c r="BC189" s="371"/>
      <c r="BD189" s="371"/>
      <c r="BE189" s="371"/>
      <c r="BF189" s="371"/>
      <c r="BG189" s="371"/>
      <c r="BH189" s="371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31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7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5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7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71"/>
      <c r="Q191" s="371"/>
      <c r="R191" s="371"/>
      <c r="S191" s="371"/>
      <c r="T191" s="371"/>
      <c r="U191" s="371"/>
      <c r="V191" s="371"/>
      <c r="W191" s="371"/>
      <c r="X191" s="371"/>
      <c r="Y191" s="371"/>
      <c r="Z191" s="371"/>
      <c r="AA191" s="371"/>
      <c r="AB191" s="371"/>
      <c r="AC191" s="371"/>
      <c r="AD191" s="371"/>
      <c r="AE191" s="371"/>
      <c r="AF191" s="371"/>
      <c r="AG191" s="371"/>
      <c r="AH191" s="371"/>
      <c r="AI191" s="371"/>
      <c r="AJ191" s="371"/>
      <c r="AK191" s="371"/>
      <c r="AL191" s="371"/>
      <c r="AM191" s="371"/>
      <c r="AN191" s="371"/>
      <c r="AO191" s="371"/>
      <c r="AP191" s="371"/>
      <c r="AQ191" s="371"/>
      <c r="AR191" s="371"/>
      <c r="AS191" s="371"/>
      <c r="AT191" s="371"/>
      <c r="AU191" s="371"/>
      <c r="AV191" s="371"/>
      <c r="AW191" s="371"/>
      <c r="AX191" s="371"/>
      <c r="AY191" s="371"/>
      <c r="AZ191" s="371"/>
      <c r="BA191" s="371"/>
      <c r="BB191" s="371"/>
      <c r="BC191" s="371"/>
      <c r="BD191" s="371"/>
      <c r="BE191" s="371"/>
      <c r="BF191" s="371"/>
      <c r="BG191" s="371"/>
      <c r="BH191" s="371"/>
    </row>
    <row r="192" spans="1:60" s="361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5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7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2"/>
      <c r="Q192" s="372"/>
      <c r="R192" s="372"/>
      <c r="S192" s="372"/>
      <c r="T192" s="372"/>
      <c r="U192" s="372"/>
      <c r="V192" s="372"/>
      <c r="W192" s="372"/>
      <c r="X192" s="372"/>
      <c r="Y192" s="372"/>
      <c r="Z192" s="372"/>
      <c r="AA192" s="372"/>
      <c r="AB192" s="372"/>
      <c r="AC192" s="372"/>
      <c r="AD192" s="372"/>
      <c r="AE192" s="372"/>
      <c r="AF192" s="372"/>
      <c r="AG192" s="372"/>
      <c r="AH192" s="372"/>
      <c r="AI192" s="372"/>
      <c r="AJ192" s="372"/>
      <c r="AK192" s="372"/>
      <c r="AL192" s="372"/>
      <c r="AM192" s="372"/>
      <c r="AN192" s="372"/>
      <c r="AO192" s="372"/>
      <c r="AP192" s="372"/>
      <c r="AQ192" s="372"/>
      <c r="AR192" s="372"/>
      <c r="AS192" s="372"/>
      <c r="AT192" s="372"/>
      <c r="AU192" s="372"/>
      <c r="AV192" s="372"/>
      <c r="AW192" s="372"/>
      <c r="AX192" s="372"/>
      <c r="AY192" s="372"/>
      <c r="AZ192" s="372"/>
      <c r="BA192" s="372"/>
      <c r="BB192" s="372"/>
      <c r="BC192" s="372"/>
      <c r="BD192" s="372"/>
      <c r="BE192" s="372"/>
      <c r="BF192" s="372"/>
      <c r="BG192" s="372"/>
      <c r="BH192" s="372"/>
    </row>
    <row r="193" spans="1:60" s="361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3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7" t="e">
        <f>K193*VLOOKUP(E193,BD!$A$2:$F$122,6,0)</f>
        <v>#N/A</v>
      </c>
      <c r="N193" s="6">
        <f t="shared" si="19"/>
        <v>1900</v>
      </c>
      <c r="O193" s="109">
        <f t="shared" si="21"/>
        <v>0</v>
      </c>
      <c r="P193" s="372"/>
      <c r="Q193" s="372"/>
      <c r="R193" s="372"/>
      <c r="S193" s="372"/>
      <c r="T193" s="372"/>
      <c r="U193" s="372"/>
      <c r="V193" s="372"/>
      <c r="W193" s="372"/>
      <c r="X193" s="372"/>
      <c r="Y193" s="372"/>
      <c r="Z193" s="372"/>
      <c r="AA193" s="372"/>
      <c r="AB193" s="372"/>
      <c r="AC193" s="372"/>
      <c r="AD193" s="372"/>
      <c r="AE193" s="372"/>
      <c r="AF193" s="372"/>
      <c r="AG193" s="372"/>
      <c r="AH193" s="372"/>
      <c r="AI193" s="372"/>
      <c r="AJ193" s="372"/>
      <c r="AK193" s="372"/>
      <c r="AL193" s="372"/>
      <c r="AM193" s="372"/>
      <c r="AN193" s="372"/>
      <c r="AO193" s="372"/>
      <c r="AP193" s="372"/>
      <c r="AQ193" s="372"/>
      <c r="AR193" s="372"/>
      <c r="AS193" s="372"/>
      <c r="AT193" s="372"/>
      <c r="AU193" s="372"/>
      <c r="AV193" s="372"/>
      <c r="AW193" s="372"/>
      <c r="AX193" s="372"/>
      <c r="AY193" s="372"/>
      <c r="AZ193" s="372"/>
      <c r="BA193" s="372"/>
      <c r="BB193" s="372"/>
      <c r="BC193" s="372"/>
      <c r="BD193" s="372"/>
      <c r="BE193" s="372"/>
      <c r="BF193" s="372"/>
      <c r="BG193" s="372"/>
      <c r="BH193" s="372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1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7" t="e">
        <f>K194*VLOOKUP(E194,BD!$A$2:$F$122,6,0)</f>
        <v>#N/A</v>
      </c>
      <c r="N194" s="8">
        <f t="shared" si="19"/>
        <v>1900</v>
      </c>
      <c r="O194" s="110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3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7" t="e">
        <f>K195*VLOOKUP(E195,BD!$A$2:$F$122,6,0)</f>
        <v>#N/A</v>
      </c>
      <c r="N195" s="6">
        <f t="shared" si="19"/>
        <v>1900</v>
      </c>
      <c r="O195" s="109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5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7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2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7" t="e">
        <f>K197*VLOOKUP(E197,BD!$A$2:$F$122,6,0)</f>
        <v>#N/A</v>
      </c>
      <c r="N197" s="33">
        <f t="shared" si="19"/>
        <v>1900</v>
      </c>
      <c r="O197" s="386">
        <f t="shared" si="21"/>
        <v>0</v>
      </c>
      <c r="P197" s="371"/>
      <c r="Q197" s="371"/>
      <c r="R197" s="371"/>
      <c r="S197" s="371"/>
      <c r="T197" s="371"/>
      <c r="U197" s="371"/>
      <c r="V197" s="371"/>
      <c r="W197" s="371"/>
      <c r="X197" s="371"/>
      <c r="Y197" s="371"/>
      <c r="Z197" s="371"/>
      <c r="AA197" s="371"/>
      <c r="AB197" s="371"/>
      <c r="AC197" s="371"/>
      <c r="AD197" s="371"/>
      <c r="AE197" s="371"/>
      <c r="AF197" s="371"/>
      <c r="AG197" s="371"/>
      <c r="AH197" s="371"/>
      <c r="AI197" s="371"/>
      <c r="AJ197" s="371"/>
      <c r="AK197" s="371"/>
      <c r="AL197" s="371"/>
      <c r="AM197" s="371"/>
      <c r="AN197" s="371"/>
      <c r="AO197" s="371"/>
      <c r="AP197" s="371"/>
      <c r="AQ197" s="371"/>
      <c r="AR197" s="371"/>
      <c r="AS197" s="371"/>
      <c r="AT197" s="371"/>
      <c r="AU197" s="371"/>
      <c r="AV197" s="371"/>
      <c r="AW197" s="371"/>
      <c r="AX197" s="371"/>
      <c r="AY197" s="371"/>
      <c r="AZ197" s="371"/>
      <c r="BA197" s="371"/>
      <c r="BB197" s="371"/>
      <c r="BC197" s="371"/>
      <c r="BD197" s="371"/>
      <c r="BE197" s="371"/>
      <c r="BF197" s="371"/>
      <c r="BG197" s="371"/>
      <c r="BH197" s="371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3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7" t="e">
        <f>K198*VLOOKUP(E198,BD!$A$2:$F$122,6,0)</f>
        <v>#N/A</v>
      </c>
      <c r="N198" s="6">
        <f t="shared" si="19"/>
        <v>1900</v>
      </c>
      <c r="O198" s="109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5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7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71"/>
      <c r="Q199" s="371"/>
      <c r="R199" s="371"/>
      <c r="S199" s="371"/>
      <c r="T199" s="371"/>
      <c r="U199" s="371"/>
      <c r="V199" s="371"/>
      <c r="W199" s="371"/>
      <c r="X199" s="371"/>
      <c r="Y199" s="371"/>
      <c r="Z199" s="371"/>
      <c r="AA199" s="371"/>
      <c r="AB199" s="371"/>
      <c r="AC199" s="371"/>
      <c r="AD199" s="371"/>
      <c r="AE199" s="371"/>
      <c r="AF199" s="371"/>
      <c r="AG199" s="371"/>
      <c r="AH199" s="371"/>
      <c r="AI199" s="371"/>
      <c r="AJ199" s="371"/>
      <c r="AK199" s="371"/>
      <c r="AL199" s="371"/>
      <c r="AM199" s="371"/>
      <c r="AN199" s="371"/>
      <c r="AO199" s="371"/>
      <c r="AP199" s="371"/>
      <c r="AQ199" s="371"/>
      <c r="AR199" s="371"/>
      <c r="AS199" s="371"/>
      <c r="AT199" s="371"/>
      <c r="AU199" s="371"/>
      <c r="AV199" s="371"/>
      <c r="AW199" s="371"/>
      <c r="AX199" s="371"/>
      <c r="AY199" s="371"/>
      <c r="AZ199" s="371"/>
      <c r="BA199" s="371"/>
      <c r="BB199" s="371"/>
      <c r="BC199" s="371"/>
      <c r="BD199" s="371"/>
      <c r="BE199" s="371"/>
      <c r="BF199" s="371"/>
      <c r="BG199" s="371"/>
      <c r="BH199" s="371"/>
    </row>
    <row r="200" spans="1:60" s="361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5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7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2"/>
      <c r="Q200" s="372"/>
      <c r="R200" s="372"/>
      <c r="S200" s="372"/>
      <c r="T200" s="372"/>
      <c r="U200" s="372"/>
      <c r="V200" s="372"/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2"/>
      <c r="AK200" s="372"/>
      <c r="AL200" s="372"/>
      <c r="AM200" s="372"/>
      <c r="AN200" s="372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2"/>
      <c r="BA200" s="372"/>
      <c r="BB200" s="372"/>
      <c r="BC200" s="372"/>
      <c r="BD200" s="372"/>
      <c r="BE200" s="372"/>
      <c r="BF200" s="372"/>
      <c r="BG200" s="372"/>
      <c r="BH200" s="372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5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7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61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5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7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2"/>
      <c r="Q202" s="372"/>
      <c r="R202" s="372"/>
      <c r="S202" s="372"/>
      <c r="T202" s="372"/>
      <c r="U202" s="372"/>
      <c r="V202" s="372"/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372"/>
      <c r="AH202" s="372"/>
      <c r="AI202" s="372"/>
      <c r="AJ202" s="372"/>
      <c r="AK202" s="372"/>
      <c r="AL202" s="372"/>
      <c r="AM202" s="372"/>
      <c r="AN202" s="372"/>
      <c r="AO202" s="372"/>
      <c r="AP202" s="372"/>
      <c r="AQ202" s="372"/>
      <c r="AR202" s="372"/>
      <c r="AS202" s="372"/>
      <c r="AT202" s="372"/>
      <c r="AU202" s="372"/>
      <c r="AV202" s="372"/>
      <c r="AW202" s="372"/>
      <c r="AX202" s="372"/>
      <c r="AY202" s="372"/>
      <c r="AZ202" s="372"/>
      <c r="BA202" s="372"/>
      <c r="BB202" s="372"/>
      <c r="BC202" s="372"/>
      <c r="BD202" s="372"/>
      <c r="BE202" s="372"/>
      <c r="BF202" s="372"/>
      <c r="BG202" s="372"/>
      <c r="BH202" s="372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5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7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5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7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5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7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5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7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71"/>
      <c r="Q206" s="371"/>
      <c r="R206" s="371"/>
      <c r="S206" s="371"/>
      <c r="T206" s="371"/>
      <c r="U206" s="371"/>
      <c r="V206" s="371"/>
      <c r="W206" s="371"/>
      <c r="X206" s="371"/>
      <c r="Y206" s="371"/>
      <c r="Z206" s="371"/>
      <c r="AA206" s="371"/>
      <c r="AB206" s="371"/>
      <c r="AC206" s="371"/>
      <c r="AD206" s="371"/>
      <c r="AE206" s="371"/>
      <c r="AF206" s="371"/>
      <c r="AG206" s="371"/>
      <c r="AH206" s="371"/>
      <c r="AI206" s="371"/>
      <c r="AJ206" s="371"/>
      <c r="AK206" s="371"/>
      <c r="AL206" s="371"/>
      <c r="AM206" s="371"/>
      <c r="AN206" s="371"/>
      <c r="AO206" s="371"/>
      <c r="AP206" s="371"/>
      <c r="AQ206" s="371"/>
      <c r="AR206" s="371"/>
      <c r="AS206" s="371"/>
      <c r="AT206" s="371"/>
      <c r="AU206" s="371"/>
      <c r="AV206" s="371"/>
      <c r="AW206" s="371"/>
      <c r="AX206" s="371"/>
      <c r="AY206" s="371"/>
      <c r="AZ206" s="371"/>
      <c r="BA206" s="371"/>
      <c r="BB206" s="371"/>
      <c r="BC206" s="371"/>
      <c r="BD206" s="371"/>
      <c r="BE206" s="371"/>
      <c r="BF206" s="371"/>
      <c r="BG206" s="371"/>
      <c r="BH206" s="371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2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7" t="e">
        <f>K207*VLOOKUP(E207,BD!$A$2:$F$122,6,0)</f>
        <v>#N/A</v>
      </c>
      <c r="N207" s="33">
        <f t="shared" si="19"/>
        <v>1900</v>
      </c>
      <c r="O207" s="386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3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7" t="e">
        <f>K208*VLOOKUP(E208,BD!$A$2:$F$122,6,0)</f>
        <v>#N/A</v>
      </c>
      <c r="N208" s="6">
        <f t="shared" si="19"/>
        <v>1900</v>
      </c>
      <c r="O208" s="109">
        <f t="shared" si="21"/>
        <v>0</v>
      </c>
      <c r="P208" s="371"/>
      <c r="Q208" s="371"/>
      <c r="R208" s="371"/>
      <c r="S208" s="371"/>
      <c r="T208" s="371"/>
      <c r="U208" s="371"/>
      <c r="V208" s="371"/>
      <c r="W208" s="371"/>
      <c r="X208" s="371"/>
      <c r="Y208" s="371"/>
      <c r="Z208" s="371"/>
      <c r="AA208" s="371"/>
      <c r="AB208" s="371"/>
      <c r="AC208" s="371"/>
      <c r="AD208" s="371"/>
      <c r="AE208" s="371"/>
      <c r="AF208" s="371"/>
      <c r="AG208" s="371"/>
      <c r="AH208" s="371"/>
      <c r="AI208" s="371"/>
      <c r="AJ208" s="371"/>
      <c r="AK208" s="371"/>
      <c r="AL208" s="371"/>
      <c r="AM208" s="371"/>
      <c r="AN208" s="371"/>
      <c r="AO208" s="371"/>
      <c r="AP208" s="371"/>
      <c r="AQ208" s="371"/>
      <c r="AR208" s="371"/>
      <c r="AS208" s="371"/>
      <c r="AT208" s="371"/>
      <c r="AU208" s="371"/>
      <c r="AV208" s="371"/>
      <c r="AW208" s="371"/>
      <c r="AX208" s="371"/>
      <c r="AY208" s="371"/>
      <c r="AZ208" s="371"/>
      <c r="BA208" s="371"/>
      <c r="BB208" s="371"/>
      <c r="BC208" s="371"/>
      <c r="BD208" s="371"/>
      <c r="BE208" s="371"/>
      <c r="BF208" s="371"/>
      <c r="BG208" s="371"/>
      <c r="BH208" s="371"/>
    </row>
    <row r="209" spans="1:60" s="361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5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7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2"/>
      <c r="Q209" s="372"/>
      <c r="R209" s="372"/>
      <c r="S209" s="372"/>
      <c r="T209" s="372"/>
      <c r="U209" s="372"/>
      <c r="V209" s="372"/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372"/>
      <c r="AI209" s="372"/>
      <c r="AJ209" s="372"/>
      <c r="AK209" s="372"/>
      <c r="AL209" s="372"/>
      <c r="AM209" s="372"/>
      <c r="AN209" s="372"/>
      <c r="AO209" s="372"/>
      <c r="AP209" s="372"/>
      <c r="AQ209" s="372"/>
      <c r="AR209" s="372"/>
      <c r="AS209" s="372"/>
      <c r="AT209" s="372"/>
      <c r="AU209" s="372"/>
      <c r="AV209" s="372"/>
      <c r="AW209" s="372"/>
      <c r="AX209" s="372"/>
      <c r="AY209" s="372"/>
      <c r="AZ209" s="372"/>
      <c r="BA209" s="372"/>
      <c r="BB209" s="372"/>
      <c r="BC209" s="372"/>
      <c r="BD209" s="372"/>
      <c r="BE209" s="372"/>
      <c r="BF209" s="372"/>
      <c r="BG209" s="372"/>
      <c r="BH209" s="372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5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7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61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2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7" t="e">
        <f>K211*VLOOKUP(E211,BD!$A$2:$F$122,6,0)</f>
        <v>#N/A</v>
      </c>
      <c r="N211" s="33">
        <f t="shared" si="19"/>
        <v>1900</v>
      </c>
      <c r="O211" s="386">
        <f t="shared" si="21"/>
        <v>0</v>
      </c>
      <c r="P211" s="372"/>
      <c r="Q211" s="372"/>
      <c r="R211" s="372"/>
      <c r="S211" s="372"/>
      <c r="T211" s="372"/>
      <c r="U211" s="372"/>
      <c r="V211" s="372"/>
      <c r="W211" s="372"/>
      <c r="X211" s="372"/>
      <c r="Y211" s="372"/>
      <c r="Z211" s="372"/>
      <c r="AA211" s="372"/>
      <c r="AB211" s="372"/>
      <c r="AC211" s="372"/>
      <c r="AD211" s="372"/>
      <c r="AE211" s="372"/>
      <c r="AF211" s="372"/>
      <c r="AG211" s="372"/>
      <c r="AH211" s="372"/>
      <c r="AI211" s="372"/>
      <c r="AJ211" s="372"/>
      <c r="AK211" s="372"/>
      <c r="AL211" s="372"/>
      <c r="AM211" s="372"/>
      <c r="AN211" s="372"/>
      <c r="AO211" s="372"/>
      <c r="AP211" s="372"/>
      <c r="AQ211" s="372"/>
      <c r="AR211" s="372"/>
      <c r="AS211" s="372"/>
      <c r="AT211" s="372"/>
      <c r="AU211" s="372"/>
      <c r="AV211" s="372"/>
      <c r="AW211" s="372"/>
      <c r="AX211" s="372"/>
      <c r="AY211" s="372"/>
      <c r="AZ211" s="372"/>
      <c r="BA211" s="372"/>
      <c r="BB211" s="372"/>
      <c r="BC211" s="372"/>
      <c r="BD211" s="372"/>
      <c r="BE211" s="372"/>
      <c r="BF211" s="372"/>
      <c r="BG211" s="372"/>
      <c r="BH211" s="372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3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7" t="e">
        <f>K212*VLOOKUP(E212,BD!$A$2:$F$122,6,0)</f>
        <v>#N/A</v>
      </c>
      <c r="N212" s="6">
        <f t="shared" si="19"/>
        <v>1900</v>
      </c>
      <c r="O212" s="109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5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7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5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7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5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7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71"/>
      <c r="Q215" s="371"/>
      <c r="R215" s="371"/>
      <c r="S215" s="371"/>
      <c r="T215" s="371"/>
      <c r="U215" s="371"/>
      <c r="V215" s="371"/>
      <c r="W215" s="371"/>
      <c r="X215" s="371"/>
      <c r="Y215" s="371"/>
      <c r="Z215" s="371"/>
      <c r="AA215" s="371"/>
      <c r="AB215" s="371"/>
      <c r="AC215" s="371"/>
      <c r="AD215" s="371"/>
      <c r="AE215" s="371"/>
      <c r="AF215" s="371"/>
      <c r="AG215" s="371"/>
      <c r="AH215" s="371"/>
      <c r="AI215" s="371"/>
      <c r="AJ215" s="371"/>
      <c r="AK215" s="371"/>
      <c r="AL215" s="371"/>
      <c r="AM215" s="371"/>
      <c r="AN215" s="371"/>
      <c r="AO215" s="371"/>
      <c r="AP215" s="371"/>
      <c r="AQ215" s="371"/>
      <c r="AR215" s="371"/>
      <c r="AS215" s="371"/>
      <c r="AT215" s="371"/>
      <c r="AU215" s="371"/>
      <c r="AV215" s="371"/>
      <c r="AW215" s="371"/>
      <c r="AX215" s="371"/>
      <c r="AY215" s="371"/>
      <c r="AZ215" s="371"/>
      <c r="BA215" s="371"/>
      <c r="BB215" s="371"/>
      <c r="BC215" s="371"/>
      <c r="BD215" s="371"/>
      <c r="BE215" s="371"/>
      <c r="BF215" s="371"/>
      <c r="BG215" s="371"/>
      <c r="BH215" s="371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5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7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5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7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71"/>
      <c r="Q217" s="371"/>
      <c r="R217" s="371"/>
      <c r="S217" s="371"/>
      <c r="T217" s="371"/>
      <c r="U217" s="371"/>
      <c r="V217" s="371"/>
      <c r="W217" s="371"/>
      <c r="X217" s="371"/>
      <c r="Y217" s="371"/>
      <c r="Z217" s="371"/>
      <c r="AA217" s="371"/>
      <c r="AB217" s="371"/>
      <c r="AC217" s="371"/>
      <c r="AD217" s="371"/>
      <c r="AE217" s="371"/>
      <c r="AF217" s="371"/>
      <c r="AG217" s="371"/>
      <c r="AH217" s="371"/>
      <c r="AI217" s="371"/>
      <c r="AJ217" s="371"/>
      <c r="AK217" s="371"/>
      <c r="AL217" s="371"/>
      <c r="AM217" s="371"/>
      <c r="AN217" s="371"/>
      <c r="AO217" s="371"/>
      <c r="AP217" s="371"/>
      <c r="AQ217" s="371"/>
      <c r="AR217" s="371"/>
      <c r="AS217" s="371"/>
      <c r="AT217" s="371"/>
      <c r="AU217" s="371"/>
      <c r="AV217" s="371"/>
      <c r="AW217" s="371"/>
      <c r="AX217" s="371"/>
      <c r="AY217" s="371"/>
      <c r="AZ217" s="371"/>
      <c r="BA217" s="371"/>
      <c r="BB217" s="371"/>
      <c r="BC217" s="371"/>
      <c r="BD217" s="371"/>
      <c r="BE217" s="371"/>
      <c r="BF217" s="371"/>
      <c r="BG217" s="371"/>
      <c r="BH217" s="371"/>
    </row>
    <row r="218" spans="1:60" s="361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5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7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2"/>
      <c r="Q218" s="372"/>
      <c r="R218" s="372"/>
      <c r="S218" s="372"/>
      <c r="T218" s="372"/>
      <c r="U218" s="372"/>
      <c r="V218" s="372"/>
      <c r="W218" s="372"/>
      <c r="X218" s="372"/>
      <c r="Y218" s="372"/>
      <c r="Z218" s="372"/>
      <c r="AA218" s="372"/>
      <c r="AB218" s="372"/>
      <c r="AC218" s="372"/>
      <c r="AD218" s="372"/>
      <c r="AE218" s="372"/>
      <c r="AF218" s="372"/>
      <c r="AG218" s="372"/>
      <c r="AH218" s="372"/>
      <c r="AI218" s="372"/>
      <c r="AJ218" s="372"/>
      <c r="AK218" s="372"/>
      <c r="AL218" s="372"/>
      <c r="AM218" s="372"/>
      <c r="AN218" s="372"/>
      <c r="AO218" s="372"/>
      <c r="AP218" s="372"/>
      <c r="AQ218" s="372"/>
      <c r="AR218" s="372"/>
      <c r="AS218" s="372"/>
      <c r="AT218" s="372"/>
      <c r="AU218" s="372"/>
      <c r="AV218" s="372"/>
      <c r="AW218" s="372"/>
      <c r="AX218" s="372"/>
      <c r="AY218" s="372"/>
      <c r="AZ218" s="372"/>
      <c r="BA218" s="372"/>
      <c r="BB218" s="372"/>
      <c r="BC218" s="372"/>
      <c r="BD218" s="372"/>
      <c r="BE218" s="372"/>
      <c r="BF218" s="372"/>
      <c r="BG218" s="372"/>
      <c r="BH218" s="372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5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7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61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5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7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2"/>
      <c r="Q220" s="372"/>
      <c r="R220" s="372"/>
      <c r="S220" s="372"/>
      <c r="T220" s="372"/>
      <c r="U220" s="372"/>
      <c r="V220" s="372"/>
      <c r="W220" s="372"/>
      <c r="X220" s="372"/>
      <c r="Y220" s="372"/>
      <c r="Z220" s="372"/>
      <c r="AA220" s="372"/>
      <c r="AB220" s="372"/>
      <c r="AC220" s="372"/>
      <c r="AD220" s="372"/>
      <c r="AE220" s="372"/>
      <c r="AF220" s="372"/>
      <c r="AG220" s="372"/>
      <c r="AH220" s="372"/>
      <c r="AI220" s="372"/>
      <c r="AJ220" s="372"/>
      <c r="AK220" s="372"/>
      <c r="AL220" s="372"/>
      <c r="AM220" s="372"/>
      <c r="AN220" s="372"/>
      <c r="AO220" s="372"/>
      <c r="AP220" s="372"/>
      <c r="AQ220" s="372"/>
      <c r="AR220" s="372"/>
      <c r="AS220" s="372"/>
      <c r="AT220" s="372"/>
      <c r="AU220" s="372"/>
      <c r="AV220" s="372"/>
      <c r="AW220" s="372"/>
      <c r="AX220" s="372"/>
      <c r="AY220" s="372"/>
      <c r="AZ220" s="372"/>
      <c r="BA220" s="372"/>
      <c r="BB220" s="372"/>
      <c r="BC220" s="372"/>
      <c r="BD220" s="372"/>
      <c r="BE220" s="372"/>
      <c r="BF220" s="372"/>
      <c r="BG220" s="372"/>
      <c r="BH220" s="372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5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7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2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7" t="e">
        <f>K222*VLOOKUP(E222,BD!$A$2:$F$122,6,0)</f>
        <v>#N/A</v>
      </c>
      <c r="N222" s="33">
        <f t="shared" si="19"/>
        <v>1900</v>
      </c>
      <c r="O222" s="386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3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7" t="e">
        <f>K223*VLOOKUP(E223,BD!$A$2:$F$122,6,0)</f>
        <v>#N/A</v>
      </c>
      <c r="N223" s="6">
        <f t="shared" si="19"/>
        <v>1900</v>
      </c>
      <c r="O223" s="109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5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7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71"/>
      <c r="Q224" s="371"/>
      <c r="R224" s="371"/>
      <c r="S224" s="371"/>
      <c r="T224" s="371"/>
      <c r="U224" s="371"/>
      <c r="V224" s="371"/>
      <c r="W224" s="371"/>
      <c r="X224" s="371"/>
      <c r="Y224" s="371"/>
      <c r="Z224" s="371"/>
      <c r="AA224" s="371"/>
      <c r="AB224" s="371"/>
      <c r="AC224" s="371"/>
      <c r="AD224" s="371"/>
      <c r="AE224" s="371"/>
      <c r="AF224" s="371"/>
      <c r="AG224" s="371"/>
      <c r="AH224" s="371"/>
      <c r="AI224" s="371"/>
      <c r="AJ224" s="371"/>
      <c r="AK224" s="371"/>
      <c r="AL224" s="371"/>
      <c r="AM224" s="371"/>
      <c r="AN224" s="371"/>
      <c r="AO224" s="371"/>
      <c r="AP224" s="371"/>
      <c r="AQ224" s="371"/>
      <c r="AR224" s="371"/>
      <c r="AS224" s="371"/>
      <c r="AT224" s="371"/>
      <c r="AU224" s="371"/>
      <c r="AV224" s="371"/>
      <c r="AW224" s="371"/>
      <c r="AX224" s="371"/>
      <c r="AY224" s="371"/>
      <c r="AZ224" s="371"/>
      <c r="BA224" s="371"/>
      <c r="BB224" s="371"/>
      <c r="BC224" s="371"/>
      <c r="BD224" s="371"/>
      <c r="BE224" s="371"/>
      <c r="BF224" s="371"/>
      <c r="BG224" s="371"/>
      <c r="BH224" s="371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5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7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5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7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71"/>
      <c r="Q226" s="371"/>
      <c r="R226" s="371"/>
      <c r="S226" s="371"/>
      <c r="T226" s="371"/>
      <c r="U226" s="371"/>
      <c r="V226" s="371"/>
      <c r="W226" s="371"/>
      <c r="X226" s="371"/>
      <c r="Y226" s="371"/>
      <c r="Z226" s="371"/>
      <c r="AA226" s="371"/>
      <c r="AB226" s="371"/>
      <c r="AC226" s="371"/>
      <c r="AD226" s="371"/>
      <c r="AE226" s="371"/>
      <c r="AF226" s="371"/>
      <c r="AG226" s="371"/>
      <c r="AH226" s="371"/>
      <c r="AI226" s="371"/>
      <c r="AJ226" s="371"/>
      <c r="AK226" s="371"/>
      <c r="AL226" s="371"/>
      <c r="AM226" s="371"/>
      <c r="AN226" s="371"/>
      <c r="AO226" s="371"/>
      <c r="AP226" s="371"/>
      <c r="AQ226" s="371"/>
      <c r="AR226" s="371"/>
      <c r="AS226" s="371"/>
      <c r="AT226" s="371"/>
      <c r="AU226" s="371"/>
      <c r="AV226" s="371"/>
      <c r="AW226" s="371"/>
      <c r="AX226" s="371"/>
      <c r="AY226" s="371"/>
      <c r="AZ226" s="371"/>
      <c r="BA226" s="371"/>
      <c r="BB226" s="371"/>
      <c r="BC226" s="371"/>
      <c r="BD226" s="371"/>
      <c r="BE226" s="371"/>
      <c r="BF226" s="371"/>
      <c r="BG226" s="371"/>
      <c r="BH226" s="371"/>
    </row>
    <row r="227" spans="1:60" s="361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5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7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2"/>
      <c r="Q227" s="372"/>
      <c r="R227" s="372"/>
      <c r="S227" s="372"/>
      <c r="T227" s="372"/>
      <c r="U227" s="372"/>
      <c r="V227" s="372"/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372"/>
      <c r="AH227" s="372"/>
      <c r="AI227" s="372"/>
      <c r="AJ227" s="372"/>
      <c r="AK227" s="372"/>
      <c r="AL227" s="372"/>
      <c r="AM227" s="372"/>
      <c r="AN227" s="372"/>
      <c r="AO227" s="372"/>
      <c r="AP227" s="372"/>
      <c r="AQ227" s="372"/>
      <c r="AR227" s="372"/>
      <c r="AS227" s="372"/>
      <c r="AT227" s="372"/>
      <c r="AU227" s="372"/>
      <c r="AV227" s="372"/>
      <c r="AW227" s="372"/>
      <c r="AX227" s="372"/>
      <c r="AY227" s="372"/>
      <c r="AZ227" s="372"/>
      <c r="BA227" s="372"/>
      <c r="BB227" s="372"/>
      <c r="BC227" s="372"/>
      <c r="BD227" s="372"/>
      <c r="BE227" s="372"/>
      <c r="BF227" s="372"/>
      <c r="BG227" s="372"/>
      <c r="BH227" s="372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5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7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61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5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7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2"/>
      <c r="Q229" s="372"/>
      <c r="R229" s="372"/>
      <c r="S229" s="372"/>
      <c r="T229" s="372"/>
      <c r="U229" s="372"/>
      <c r="V229" s="372"/>
      <c r="W229" s="372"/>
      <c r="X229" s="372"/>
      <c r="Y229" s="372"/>
      <c r="Z229" s="372"/>
      <c r="AA229" s="372"/>
      <c r="AB229" s="372"/>
      <c r="AC229" s="372"/>
      <c r="AD229" s="372"/>
      <c r="AE229" s="372"/>
      <c r="AF229" s="372"/>
      <c r="AG229" s="372"/>
      <c r="AH229" s="372"/>
      <c r="AI229" s="372"/>
      <c r="AJ229" s="372"/>
      <c r="AK229" s="372"/>
      <c r="AL229" s="372"/>
      <c r="AM229" s="372"/>
      <c r="AN229" s="372"/>
      <c r="AO229" s="372"/>
      <c r="AP229" s="372"/>
      <c r="AQ229" s="372"/>
      <c r="AR229" s="372"/>
      <c r="AS229" s="372"/>
      <c r="AT229" s="372"/>
      <c r="AU229" s="372"/>
      <c r="AV229" s="372"/>
      <c r="AW229" s="372"/>
      <c r="AX229" s="372"/>
      <c r="AY229" s="372"/>
      <c r="AZ229" s="372"/>
      <c r="BA229" s="372"/>
      <c r="BB229" s="372"/>
      <c r="BC229" s="372"/>
      <c r="BD229" s="372"/>
      <c r="BE229" s="372"/>
      <c r="BF229" s="372"/>
      <c r="BG229" s="372"/>
      <c r="BH229" s="372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5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7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5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7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2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7" t="e">
        <f>K232*VLOOKUP(E232,BD!$A$2:$F$122,6,0)</f>
        <v>#N/A</v>
      </c>
      <c r="N232" s="33">
        <f t="shared" si="19"/>
        <v>1900</v>
      </c>
      <c r="O232" s="386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3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7" t="e">
        <f>K233*VLOOKUP(E233,BD!$A$2:$F$122,6,0)</f>
        <v>#N/A</v>
      </c>
      <c r="N233" s="6">
        <f t="shared" si="19"/>
        <v>1900</v>
      </c>
      <c r="O233" s="109">
        <f t="shared" si="21"/>
        <v>0</v>
      </c>
      <c r="P233" s="371"/>
      <c r="Q233" s="371"/>
      <c r="R233" s="371"/>
      <c r="S233" s="371"/>
      <c r="T233" s="371"/>
      <c r="U233" s="371"/>
      <c r="V233" s="371"/>
      <c r="W233" s="371"/>
      <c r="X233" s="371"/>
      <c r="Y233" s="371"/>
      <c r="Z233" s="371"/>
      <c r="AA233" s="371"/>
      <c r="AB233" s="371"/>
      <c r="AC233" s="371"/>
      <c r="AD233" s="371"/>
      <c r="AE233" s="371"/>
      <c r="AF233" s="371"/>
      <c r="AG233" s="371"/>
      <c r="AH233" s="371"/>
      <c r="AI233" s="371"/>
      <c r="AJ233" s="371"/>
      <c r="AK233" s="371"/>
      <c r="AL233" s="371"/>
      <c r="AM233" s="371"/>
      <c r="AN233" s="371"/>
      <c r="AO233" s="371"/>
      <c r="AP233" s="371"/>
      <c r="AQ233" s="371"/>
      <c r="AR233" s="371"/>
      <c r="AS233" s="371"/>
      <c r="AT233" s="371"/>
      <c r="AU233" s="371"/>
      <c r="AV233" s="371"/>
      <c r="AW233" s="371"/>
      <c r="AX233" s="371"/>
      <c r="AY233" s="371"/>
      <c r="AZ233" s="371"/>
      <c r="BA233" s="371"/>
      <c r="BB233" s="371"/>
      <c r="BC233" s="371"/>
      <c r="BD233" s="371"/>
      <c r="BE233" s="371"/>
      <c r="BF233" s="371"/>
      <c r="BG233" s="371"/>
      <c r="BH233" s="371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5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7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5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7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71"/>
      <c r="Q235" s="371"/>
      <c r="R235" s="371"/>
      <c r="S235" s="371"/>
      <c r="T235" s="371"/>
      <c r="U235" s="371"/>
      <c r="V235" s="371"/>
      <c r="W235" s="371"/>
      <c r="X235" s="371"/>
      <c r="Y235" s="371"/>
      <c r="Z235" s="371"/>
      <c r="AA235" s="371"/>
      <c r="AB235" s="371"/>
      <c r="AC235" s="371"/>
      <c r="AD235" s="371"/>
      <c r="AE235" s="371"/>
      <c r="AF235" s="371"/>
      <c r="AG235" s="371"/>
      <c r="AH235" s="371"/>
      <c r="AI235" s="371"/>
      <c r="AJ235" s="371"/>
      <c r="AK235" s="371"/>
      <c r="AL235" s="371"/>
      <c r="AM235" s="371"/>
      <c r="AN235" s="371"/>
      <c r="AO235" s="371"/>
      <c r="AP235" s="371"/>
      <c r="AQ235" s="371"/>
      <c r="AR235" s="371"/>
      <c r="AS235" s="371"/>
      <c r="AT235" s="371"/>
      <c r="AU235" s="371"/>
      <c r="AV235" s="371"/>
      <c r="AW235" s="371"/>
      <c r="AX235" s="371"/>
      <c r="AY235" s="371"/>
      <c r="AZ235" s="371"/>
      <c r="BA235" s="371"/>
      <c r="BB235" s="371"/>
      <c r="BC235" s="371"/>
      <c r="BD235" s="371"/>
      <c r="BE235" s="371"/>
      <c r="BF235" s="371"/>
      <c r="BG235" s="371"/>
      <c r="BH235" s="371"/>
    </row>
    <row r="236" spans="1:60" s="361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1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7" t="e">
        <f>K236*VLOOKUP(E236,BD!$A$2:$F$122,6,0)</f>
        <v>#N/A</v>
      </c>
      <c r="N236" s="8">
        <f t="shared" si="19"/>
        <v>1900</v>
      </c>
      <c r="O236" s="110">
        <f t="shared" si="21"/>
        <v>0</v>
      </c>
      <c r="P236" s="372"/>
      <c r="Q236" s="372"/>
      <c r="R236" s="372"/>
      <c r="S236" s="372"/>
      <c r="T236" s="372"/>
      <c r="U236" s="372"/>
      <c r="V236" s="372"/>
      <c r="W236" s="372"/>
      <c r="X236" s="372"/>
      <c r="Y236" s="372"/>
      <c r="Z236" s="372"/>
      <c r="AA236" s="372"/>
      <c r="AB236" s="372"/>
      <c r="AC236" s="372"/>
      <c r="AD236" s="372"/>
      <c r="AE236" s="372"/>
      <c r="AF236" s="372"/>
      <c r="AG236" s="372"/>
      <c r="AH236" s="372"/>
      <c r="AI236" s="372"/>
      <c r="AJ236" s="372"/>
      <c r="AK236" s="372"/>
      <c r="AL236" s="372"/>
      <c r="AM236" s="372"/>
      <c r="AN236" s="372"/>
      <c r="AO236" s="372"/>
      <c r="AP236" s="372"/>
      <c r="AQ236" s="372"/>
      <c r="AR236" s="372"/>
      <c r="AS236" s="372"/>
      <c r="AT236" s="372"/>
      <c r="AU236" s="372"/>
      <c r="AV236" s="372"/>
      <c r="AW236" s="372"/>
      <c r="AX236" s="372"/>
      <c r="AY236" s="372"/>
      <c r="AZ236" s="372"/>
      <c r="BA236" s="372"/>
      <c r="BB236" s="372"/>
      <c r="BC236" s="372"/>
      <c r="BD236" s="372"/>
      <c r="BE236" s="372"/>
      <c r="BF236" s="372"/>
      <c r="BG236" s="372"/>
      <c r="BH236" s="372"/>
    </row>
    <row r="237" spans="1:60" s="2" customFormat="1" ht="15.75" thickBot="1" x14ac:dyDescent="0.3">
      <c r="A237" s="396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31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7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61" customFormat="1" ht="15.75" thickBot="1" x14ac:dyDescent="0.3">
      <c r="A238" s="394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5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7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2"/>
      <c r="Q238" s="372"/>
      <c r="R238" s="372"/>
      <c r="S238" s="372"/>
      <c r="T238" s="372"/>
      <c r="U238" s="372"/>
      <c r="V238" s="372"/>
      <c r="W238" s="372"/>
      <c r="X238" s="372"/>
      <c r="Y238" s="372"/>
      <c r="Z238" s="372"/>
      <c r="AA238" s="372"/>
      <c r="AB238" s="372"/>
      <c r="AC238" s="372"/>
      <c r="AD238" s="372"/>
      <c r="AE238" s="372"/>
      <c r="AF238" s="372"/>
      <c r="AG238" s="372"/>
      <c r="AH238" s="372"/>
      <c r="AI238" s="372"/>
      <c r="AJ238" s="372"/>
      <c r="AK238" s="372"/>
      <c r="AL238" s="372"/>
      <c r="AM238" s="372"/>
      <c r="AN238" s="372"/>
      <c r="AO238" s="372"/>
      <c r="AP238" s="372"/>
      <c r="AQ238" s="372"/>
      <c r="AR238" s="372"/>
      <c r="AS238" s="372"/>
      <c r="AT238" s="372"/>
      <c r="AU238" s="372"/>
      <c r="AV238" s="372"/>
      <c r="AW238" s="372"/>
      <c r="AX238" s="372"/>
      <c r="AY238" s="372"/>
      <c r="AZ238" s="372"/>
      <c r="BA238" s="372"/>
      <c r="BB238" s="372"/>
      <c r="BC238" s="372"/>
      <c r="BD238" s="372"/>
      <c r="BE238" s="372"/>
      <c r="BF238" s="372"/>
      <c r="BG238" s="372"/>
      <c r="BH238" s="372"/>
    </row>
    <row r="239" spans="1:60" s="2" customFormat="1" ht="15.75" thickBot="1" x14ac:dyDescent="0.3">
      <c r="A239" s="394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5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7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4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5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7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4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5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7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7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2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7" t="e">
        <f>K242*VLOOKUP(E242,BD!$A$2:$F$122,6,0)</f>
        <v>#N/A</v>
      </c>
      <c r="N242" s="33">
        <f t="shared" si="19"/>
        <v>1900</v>
      </c>
      <c r="O242" s="386">
        <f t="shared" si="21"/>
        <v>0</v>
      </c>
      <c r="P242" s="371"/>
      <c r="Q242" s="371"/>
      <c r="R242" s="371"/>
      <c r="S242" s="371"/>
      <c r="T242" s="371"/>
      <c r="U242" s="371"/>
      <c r="V242" s="371"/>
      <c r="W242" s="371"/>
      <c r="X242" s="371"/>
      <c r="Y242" s="371"/>
      <c r="Z242" s="371"/>
      <c r="AA242" s="371"/>
      <c r="AB242" s="371"/>
      <c r="AC242" s="371"/>
      <c r="AD242" s="371"/>
      <c r="AE242" s="371"/>
      <c r="AF242" s="371"/>
      <c r="AG242" s="371"/>
      <c r="AH242" s="371"/>
      <c r="AI242" s="371"/>
      <c r="AJ242" s="371"/>
      <c r="AK242" s="371"/>
      <c r="AL242" s="371"/>
      <c r="AM242" s="371"/>
      <c r="AN242" s="371"/>
      <c r="AO242" s="371"/>
      <c r="AP242" s="371"/>
      <c r="AQ242" s="371"/>
      <c r="AR242" s="371"/>
      <c r="AS242" s="371"/>
      <c r="AT242" s="371"/>
      <c r="AU242" s="371"/>
      <c r="AV242" s="371"/>
      <c r="AW242" s="371"/>
      <c r="AX242" s="371"/>
      <c r="AY242" s="371"/>
      <c r="AZ242" s="371"/>
      <c r="BA242" s="371"/>
      <c r="BB242" s="371"/>
      <c r="BC242" s="371"/>
      <c r="BD242" s="371"/>
      <c r="BE242" s="371"/>
      <c r="BF242" s="371"/>
      <c r="BG242" s="371"/>
      <c r="BH242" s="371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3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7" t="e">
        <f>K243*VLOOKUP(E243,BD!$A$2:$F$122,6,0)</f>
        <v>#N/A</v>
      </c>
      <c r="N243" s="6">
        <f t="shared" si="19"/>
        <v>1900</v>
      </c>
      <c r="O243" s="109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5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7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71"/>
      <c r="Q244" s="371"/>
      <c r="R244" s="371"/>
      <c r="S244" s="371"/>
      <c r="T244" s="371"/>
      <c r="U244" s="371"/>
      <c r="V244" s="371"/>
      <c r="W244" s="371"/>
      <c r="X244" s="371"/>
      <c r="Y244" s="371"/>
      <c r="Z244" s="371"/>
      <c r="AA244" s="371"/>
      <c r="AB244" s="371"/>
      <c r="AC244" s="371"/>
      <c r="AD244" s="371"/>
      <c r="AE244" s="371"/>
      <c r="AF244" s="371"/>
      <c r="AG244" s="371"/>
      <c r="AH244" s="371"/>
      <c r="AI244" s="371"/>
      <c r="AJ244" s="371"/>
      <c r="AK244" s="371"/>
      <c r="AL244" s="371"/>
      <c r="AM244" s="371"/>
      <c r="AN244" s="371"/>
      <c r="AO244" s="371"/>
      <c r="AP244" s="371"/>
      <c r="AQ244" s="371"/>
      <c r="AR244" s="371"/>
      <c r="AS244" s="371"/>
      <c r="AT244" s="371"/>
      <c r="AU244" s="371"/>
      <c r="AV244" s="371"/>
      <c r="AW244" s="371"/>
      <c r="AX244" s="371"/>
      <c r="AY244" s="371"/>
      <c r="AZ244" s="371"/>
      <c r="BA244" s="371"/>
      <c r="BB244" s="371"/>
      <c r="BC244" s="371"/>
      <c r="BD244" s="371"/>
      <c r="BE244" s="371"/>
      <c r="BF244" s="371"/>
      <c r="BG244" s="371"/>
      <c r="BH244" s="371"/>
    </row>
    <row r="245" spans="1:60" s="361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5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7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2"/>
      <c r="Q245" s="372"/>
      <c r="R245" s="372"/>
      <c r="S245" s="372"/>
      <c r="T245" s="372"/>
      <c r="U245" s="372"/>
      <c r="V245" s="372"/>
      <c r="W245" s="372"/>
      <c r="X245" s="372"/>
      <c r="Y245" s="372"/>
      <c r="Z245" s="372"/>
      <c r="AA245" s="372"/>
      <c r="AB245" s="372"/>
      <c r="AC245" s="372"/>
      <c r="AD245" s="372"/>
      <c r="AE245" s="372"/>
      <c r="AF245" s="372"/>
      <c r="AG245" s="372"/>
      <c r="AH245" s="372"/>
      <c r="AI245" s="372"/>
      <c r="AJ245" s="372"/>
      <c r="AK245" s="372"/>
      <c r="AL245" s="372"/>
      <c r="AM245" s="372"/>
      <c r="AN245" s="372"/>
      <c r="AO245" s="372"/>
      <c r="AP245" s="372"/>
      <c r="AQ245" s="372"/>
      <c r="AR245" s="372"/>
      <c r="AS245" s="372"/>
      <c r="AT245" s="372"/>
      <c r="AU245" s="372"/>
      <c r="AV245" s="372"/>
      <c r="AW245" s="372"/>
      <c r="AX245" s="372"/>
      <c r="AY245" s="372"/>
      <c r="AZ245" s="372"/>
      <c r="BA245" s="372"/>
      <c r="BB245" s="372"/>
      <c r="BC245" s="372"/>
      <c r="BD245" s="372"/>
      <c r="BE245" s="372"/>
      <c r="BF245" s="372"/>
      <c r="BG245" s="372"/>
      <c r="BH245" s="372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5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7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5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7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5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7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71"/>
      <c r="Q248" s="371"/>
      <c r="R248" s="371"/>
      <c r="S248" s="371"/>
      <c r="T248" s="371"/>
      <c r="U248" s="371"/>
      <c r="V248" s="371"/>
      <c r="W248" s="371"/>
      <c r="X248" s="371"/>
      <c r="Y248" s="371"/>
      <c r="Z248" s="371"/>
      <c r="AA248" s="371"/>
      <c r="AB248" s="371"/>
      <c r="AC248" s="371"/>
      <c r="AD248" s="371"/>
      <c r="AE248" s="371"/>
      <c r="AF248" s="371"/>
      <c r="AG248" s="371"/>
      <c r="AH248" s="371"/>
      <c r="AI248" s="371"/>
      <c r="AJ248" s="371"/>
      <c r="AK248" s="371"/>
      <c r="AL248" s="371"/>
      <c r="AM248" s="371"/>
      <c r="AN248" s="371"/>
      <c r="AO248" s="371"/>
      <c r="AP248" s="371"/>
      <c r="AQ248" s="371"/>
      <c r="AR248" s="371"/>
      <c r="AS248" s="371"/>
      <c r="AT248" s="371"/>
      <c r="AU248" s="371"/>
      <c r="AV248" s="371"/>
      <c r="AW248" s="371"/>
      <c r="AX248" s="371"/>
      <c r="AY248" s="371"/>
      <c r="AZ248" s="371"/>
      <c r="BA248" s="371"/>
      <c r="BB248" s="371"/>
      <c r="BC248" s="371"/>
      <c r="BD248" s="371"/>
      <c r="BE248" s="371"/>
      <c r="BF248" s="371"/>
      <c r="BG248" s="371"/>
      <c r="BH248" s="371"/>
    </row>
    <row r="249" spans="1:60" s="361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5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7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2"/>
      <c r="Q249" s="372"/>
      <c r="R249" s="372"/>
      <c r="S249" s="372"/>
      <c r="T249" s="372"/>
      <c r="U249" s="372"/>
      <c r="V249" s="372"/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372"/>
      <c r="AH249" s="372"/>
      <c r="AI249" s="372"/>
      <c r="AJ249" s="372"/>
      <c r="AK249" s="372"/>
      <c r="AL249" s="372"/>
      <c r="AM249" s="372"/>
      <c r="AN249" s="372"/>
      <c r="AO249" s="372"/>
      <c r="AP249" s="372"/>
      <c r="AQ249" s="372"/>
      <c r="AR249" s="372"/>
      <c r="AS249" s="372"/>
      <c r="AT249" s="372"/>
      <c r="AU249" s="372"/>
      <c r="AV249" s="372"/>
      <c r="AW249" s="372"/>
      <c r="AX249" s="372"/>
      <c r="AY249" s="372"/>
      <c r="AZ249" s="372"/>
      <c r="BA249" s="372"/>
      <c r="BB249" s="372"/>
      <c r="BC249" s="372"/>
      <c r="BD249" s="372"/>
      <c r="BE249" s="372"/>
      <c r="BF249" s="372"/>
      <c r="BG249" s="372"/>
      <c r="BH249" s="372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5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7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2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7" t="e">
        <f>K251*VLOOKUP(E251,BD!$A$2:$F$122,6,0)</f>
        <v>#N/A</v>
      </c>
      <c r="N251" s="33">
        <f t="shared" si="19"/>
        <v>1900</v>
      </c>
      <c r="O251" s="386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61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3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7" t="e">
        <f>K252*VLOOKUP(E252,BD!$A$2:$F$122,6,0)</f>
        <v>#N/A</v>
      </c>
      <c r="N252" s="6">
        <f t="shared" si="19"/>
        <v>1900</v>
      </c>
      <c r="O252" s="109">
        <f t="shared" si="21"/>
        <v>0</v>
      </c>
      <c r="P252" s="372"/>
      <c r="Q252" s="372"/>
      <c r="R252" s="372"/>
      <c r="S252" s="372"/>
      <c r="T252" s="372"/>
      <c r="U252" s="372"/>
      <c r="V252" s="372"/>
      <c r="W252" s="372"/>
      <c r="X252" s="372"/>
      <c r="Y252" s="372"/>
      <c r="Z252" s="372"/>
      <c r="AA252" s="372"/>
      <c r="AB252" s="372"/>
      <c r="AC252" s="372"/>
      <c r="AD252" s="372"/>
      <c r="AE252" s="372"/>
      <c r="AF252" s="372"/>
      <c r="AG252" s="372"/>
      <c r="AH252" s="372"/>
      <c r="AI252" s="372"/>
      <c r="AJ252" s="372"/>
      <c r="AK252" s="372"/>
      <c r="AL252" s="372"/>
      <c r="AM252" s="372"/>
      <c r="AN252" s="372"/>
      <c r="AO252" s="372"/>
      <c r="AP252" s="372"/>
      <c r="AQ252" s="372"/>
      <c r="AR252" s="372"/>
      <c r="AS252" s="372"/>
      <c r="AT252" s="372"/>
      <c r="AU252" s="372"/>
      <c r="AV252" s="372"/>
      <c r="AW252" s="372"/>
      <c r="AX252" s="372"/>
      <c r="AY252" s="372"/>
      <c r="AZ252" s="372"/>
      <c r="BA252" s="372"/>
      <c r="BB252" s="372"/>
      <c r="BC252" s="372"/>
      <c r="BD252" s="372"/>
      <c r="BE252" s="372"/>
      <c r="BF252" s="372"/>
      <c r="BG252" s="372"/>
      <c r="BH252" s="372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5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7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5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7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5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7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5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7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71"/>
      <c r="Q256" s="371"/>
      <c r="R256" s="371"/>
      <c r="S256" s="371"/>
      <c r="T256" s="371"/>
      <c r="U256" s="371"/>
      <c r="V256" s="371"/>
      <c r="W256" s="371"/>
      <c r="X256" s="371"/>
      <c r="Y256" s="371"/>
      <c r="Z256" s="371"/>
      <c r="AA256" s="371"/>
      <c r="AB256" s="371"/>
      <c r="AC256" s="371"/>
      <c r="AD256" s="371"/>
      <c r="AE256" s="371"/>
      <c r="AF256" s="371"/>
      <c r="AG256" s="371"/>
      <c r="AH256" s="371"/>
      <c r="AI256" s="371"/>
      <c r="AJ256" s="371"/>
      <c r="AK256" s="371"/>
      <c r="AL256" s="371"/>
      <c r="AM256" s="371"/>
      <c r="AN256" s="371"/>
      <c r="AO256" s="371"/>
      <c r="AP256" s="371"/>
      <c r="AQ256" s="371"/>
      <c r="AR256" s="371"/>
      <c r="AS256" s="371"/>
      <c r="AT256" s="371"/>
      <c r="AU256" s="371"/>
      <c r="AV256" s="371"/>
      <c r="AW256" s="371"/>
      <c r="AX256" s="371"/>
      <c r="AY256" s="371"/>
      <c r="AZ256" s="371"/>
      <c r="BA256" s="371"/>
      <c r="BB256" s="371"/>
      <c r="BC256" s="371"/>
      <c r="BD256" s="371"/>
      <c r="BE256" s="371"/>
      <c r="BF256" s="371"/>
      <c r="BG256" s="371"/>
      <c r="BH256" s="371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5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7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5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7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71"/>
      <c r="Q258" s="371"/>
      <c r="R258" s="371"/>
      <c r="S258" s="371"/>
      <c r="T258" s="371"/>
      <c r="U258" s="371"/>
      <c r="V258" s="371"/>
      <c r="W258" s="371"/>
      <c r="X258" s="371"/>
      <c r="Y258" s="371"/>
      <c r="Z258" s="371"/>
      <c r="AA258" s="371"/>
      <c r="AB258" s="371"/>
      <c r="AC258" s="371"/>
      <c r="AD258" s="371"/>
      <c r="AE258" s="371"/>
      <c r="AF258" s="371"/>
      <c r="AG258" s="371"/>
      <c r="AH258" s="371"/>
      <c r="AI258" s="371"/>
      <c r="AJ258" s="371"/>
      <c r="AK258" s="371"/>
      <c r="AL258" s="371"/>
      <c r="AM258" s="371"/>
      <c r="AN258" s="371"/>
      <c r="AO258" s="371"/>
      <c r="AP258" s="371"/>
      <c r="AQ258" s="371"/>
      <c r="AR258" s="371"/>
      <c r="AS258" s="371"/>
      <c r="AT258" s="371"/>
      <c r="AU258" s="371"/>
      <c r="AV258" s="371"/>
      <c r="AW258" s="371"/>
      <c r="AX258" s="371"/>
      <c r="AY258" s="371"/>
      <c r="AZ258" s="371"/>
      <c r="BA258" s="371"/>
      <c r="BB258" s="371"/>
      <c r="BC258" s="371"/>
      <c r="BD258" s="371"/>
      <c r="BE258" s="371"/>
      <c r="BF258" s="371"/>
      <c r="BG258" s="371"/>
      <c r="BH258" s="371"/>
    </row>
    <row r="259" spans="1:60" s="361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5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7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2"/>
      <c r="Q259" s="372"/>
      <c r="R259" s="372"/>
      <c r="S259" s="372"/>
      <c r="T259" s="372"/>
      <c r="U259" s="372"/>
      <c r="V259" s="372"/>
      <c r="W259" s="372"/>
      <c r="X259" s="372"/>
      <c r="Y259" s="372"/>
      <c r="Z259" s="372"/>
      <c r="AA259" s="372"/>
      <c r="AB259" s="372"/>
      <c r="AC259" s="372"/>
      <c r="AD259" s="372"/>
      <c r="AE259" s="372"/>
      <c r="AF259" s="372"/>
      <c r="AG259" s="372"/>
      <c r="AH259" s="372"/>
      <c r="AI259" s="372"/>
      <c r="AJ259" s="372"/>
      <c r="AK259" s="372"/>
      <c r="AL259" s="372"/>
      <c r="AM259" s="372"/>
      <c r="AN259" s="372"/>
      <c r="AO259" s="372"/>
      <c r="AP259" s="372"/>
      <c r="AQ259" s="372"/>
      <c r="AR259" s="372"/>
      <c r="AS259" s="372"/>
      <c r="AT259" s="372"/>
      <c r="AU259" s="372"/>
      <c r="AV259" s="372"/>
      <c r="AW259" s="372"/>
      <c r="AX259" s="372"/>
      <c r="AY259" s="372"/>
      <c r="AZ259" s="372"/>
      <c r="BA259" s="372"/>
      <c r="BB259" s="372"/>
      <c r="BC259" s="372"/>
      <c r="BD259" s="372"/>
      <c r="BE259" s="372"/>
      <c r="BF259" s="372"/>
      <c r="BG259" s="372"/>
      <c r="BH259" s="372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5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7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5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7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5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7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2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7" t="e">
        <f>K263*VLOOKUP(E263,BD!$A$2:$F$122,6,0)</f>
        <v>#N/A</v>
      </c>
      <c r="N263" s="33">
        <f t="shared" si="19"/>
        <v>1900</v>
      </c>
      <c r="O263" s="386">
        <f t="shared" si="21"/>
        <v>0</v>
      </c>
      <c r="P263" s="371"/>
      <c r="Q263" s="371"/>
      <c r="R263" s="371"/>
      <c r="S263" s="371"/>
      <c r="T263" s="371"/>
      <c r="U263" s="371"/>
      <c r="V263" s="371"/>
      <c r="W263" s="371"/>
      <c r="X263" s="371"/>
      <c r="Y263" s="371"/>
      <c r="Z263" s="371"/>
      <c r="AA263" s="371"/>
      <c r="AB263" s="371"/>
      <c r="AC263" s="371"/>
      <c r="AD263" s="371"/>
      <c r="AE263" s="371"/>
      <c r="AF263" s="371"/>
      <c r="AG263" s="371"/>
      <c r="AH263" s="371"/>
      <c r="AI263" s="371"/>
      <c r="AJ263" s="371"/>
      <c r="AK263" s="371"/>
      <c r="AL263" s="371"/>
      <c r="AM263" s="371"/>
      <c r="AN263" s="371"/>
      <c r="AO263" s="371"/>
      <c r="AP263" s="371"/>
      <c r="AQ263" s="371"/>
      <c r="AR263" s="371"/>
      <c r="AS263" s="371"/>
      <c r="AT263" s="371"/>
      <c r="AU263" s="371"/>
      <c r="AV263" s="371"/>
      <c r="AW263" s="371"/>
      <c r="AX263" s="371"/>
      <c r="AY263" s="371"/>
      <c r="AZ263" s="371"/>
      <c r="BA263" s="371"/>
      <c r="BB263" s="371"/>
      <c r="BC263" s="371"/>
      <c r="BD263" s="371"/>
      <c r="BE263" s="371"/>
      <c r="BF263" s="371"/>
      <c r="BG263" s="371"/>
      <c r="BH263" s="371"/>
    </row>
    <row r="264" spans="1:60" s="361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3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7" t="e">
        <f>K264*VLOOKUP(E264,BD!$A$2:$F$122,6,0)</f>
        <v>#N/A</v>
      </c>
      <c r="N264" s="6">
        <f t="shared" si="19"/>
        <v>1900</v>
      </c>
      <c r="O264" s="109">
        <f t="shared" si="21"/>
        <v>0</v>
      </c>
      <c r="P264" s="372"/>
      <c r="Q264" s="372"/>
      <c r="R264" s="372"/>
      <c r="S264" s="372"/>
      <c r="T264" s="372"/>
      <c r="U264" s="372"/>
      <c r="V264" s="372"/>
      <c r="W264" s="372"/>
      <c r="X264" s="372"/>
      <c r="Y264" s="372"/>
      <c r="Z264" s="372"/>
      <c r="AA264" s="372"/>
      <c r="AB264" s="372"/>
      <c r="AC264" s="372"/>
      <c r="AD264" s="372"/>
      <c r="AE264" s="372"/>
      <c r="AF264" s="372"/>
      <c r="AG264" s="372"/>
      <c r="AH264" s="372"/>
      <c r="AI264" s="372"/>
      <c r="AJ264" s="372"/>
      <c r="AK264" s="372"/>
      <c r="AL264" s="372"/>
      <c r="AM264" s="372"/>
      <c r="AN264" s="372"/>
      <c r="AO264" s="372"/>
      <c r="AP264" s="372"/>
      <c r="AQ264" s="372"/>
      <c r="AR264" s="372"/>
      <c r="AS264" s="372"/>
      <c r="AT264" s="372"/>
      <c r="AU264" s="372"/>
      <c r="AV264" s="372"/>
      <c r="AW264" s="372"/>
      <c r="AX264" s="372"/>
      <c r="AY264" s="372"/>
      <c r="AZ264" s="372"/>
      <c r="BA264" s="372"/>
      <c r="BB264" s="372"/>
      <c r="BC264" s="372"/>
      <c r="BD264" s="372"/>
      <c r="BE264" s="372"/>
      <c r="BF264" s="372"/>
      <c r="BG264" s="372"/>
      <c r="BH264" s="372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5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7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5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7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5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7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5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7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71"/>
      <c r="Q268" s="371"/>
      <c r="R268" s="371"/>
      <c r="S268" s="371"/>
      <c r="T268" s="371"/>
      <c r="U268" s="371"/>
      <c r="V268" s="371"/>
      <c r="W268" s="371"/>
      <c r="X268" s="371"/>
      <c r="Y268" s="371"/>
      <c r="Z268" s="371"/>
      <c r="AA268" s="371"/>
      <c r="AB268" s="371"/>
      <c r="AC268" s="371"/>
      <c r="AD268" s="371"/>
      <c r="AE268" s="371"/>
      <c r="AF268" s="371"/>
      <c r="AG268" s="371"/>
      <c r="AH268" s="371"/>
      <c r="AI268" s="371"/>
      <c r="AJ268" s="371"/>
      <c r="AK268" s="371"/>
      <c r="AL268" s="371"/>
      <c r="AM268" s="371"/>
      <c r="AN268" s="371"/>
      <c r="AO268" s="371"/>
      <c r="AP268" s="371"/>
      <c r="AQ268" s="371"/>
      <c r="AR268" s="371"/>
      <c r="AS268" s="371"/>
      <c r="AT268" s="371"/>
      <c r="AU268" s="371"/>
      <c r="AV268" s="371"/>
      <c r="AW268" s="371"/>
      <c r="AX268" s="371"/>
      <c r="AY268" s="371"/>
      <c r="AZ268" s="371"/>
      <c r="BA268" s="371"/>
      <c r="BB268" s="371"/>
      <c r="BC268" s="371"/>
      <c r="BD268" s="371"/>
      <c r="BE268" s="371"/>
      <c r="BF268" s="371"/>
      <c r="BG268" s="371"/>
      <c r="BH268" s="371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5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7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5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7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71"/>
      <c r="Q270" s="371"/>
      <c r="R270" s="371"/>
      <c r="S270" s="371"/>
      <c r="T270" s="371"/>
      <c r="U270" s="371"/>
      <c r="V270" s="371"/>
      <c r="W270" s="371"/>
      <c r="X270" s="371"/>
      <c r="Y270" s="371"/>
      <c r="Z270" s="371"/>
      <c r="AA270" s="371"/>
      <c r="AB270" s="371"/>
      <c r="AC270" s="371"/>
      <c r="AD270" s="371"/>
      <c r="AE270" s="371"/>
      <c r="AF270" s="371"/>
      <c r="AG270" s="371"/>
      <c r="AH270" s="371"/>
      <c r="AI270" s="371"/>
      <c r="AJ270" s="371"/>
      <c r="AK270" s="371"/>
      <c r="AL270" s="371"/>
      <c r="AM270" s="371"/>
      <c r="AN270" s="371"/>
      <c r="AO270" s="371"/>
      <c r="AP270" s="371"/>
      <c r="AQ270" s="371"/>
      <c r="AR270" s="371"/>
      <c r="AS270" s="371"/>
      <c r="AT270" s="371"/>
      <c r="AU270" s="371"/>
      <c r="AV270" s="371"/>
      <c r="AW270" s="371"/>
      <c r="AX270" s="371"/>
      <c r="AY270" s="371"/>
      <c r="AZ270" s="371"/>
      <c r="BA270" s="371"/>
      <c r="BB270" s="371"/>
      <c r="BC270" s="371"/>
      <c r="BD270" s="371"/>
      <c r="BE270" s="371"/>
      <c r="BF270" s="371"/>
      <c r="BG270" s="371"/>
      <c r="BH270" s="371"/>
    </row>
    <row r="271" spans="1:60" s="361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5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7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2"/>
      <c r="Q271" s="372"/>
      <c r="R271" s="372"/>
      <c r="S271" s="372"/>
      <c r="T271" s="372"/>
      <c r="U271" s="372"/>
      <c r="V271" s="372"/>
      <c r="W271" s="372"/>
      <c r="X271" s="372"/>
      <c r="Y271" s="372"/>
      <c r="Z271" s="372"/>
      <c r="AA271" s="372"/>
      <c r="AB271" s="372"/>
      <c r="AC271" s="372"/>
      <c r="AD271" s="372"/>
      <c r="AE271" s="372"/>
      <c r="AF271" s="372"/>
      <c r="AG271" s="372"/>
      <c r="AH271" s="372"/>
      <c r="AI271" s="372"/>
      <c r="AJ271" s="372"/>
      <c r="AK271" s="372"/>
      <c r="AL271" s="372"/>
      <c r="AM271" s="372"/>
      <c r="AN271" s="372"/>
      <c r="AO271" s="372"/>
      <c r="AP271" s="372"/>
      <c r="AQ271" s="372"/>
      <c r="AR271" s="372"/>
      <c r="AS271" s="372"/>
      <c r="AT271" s="372"/>
      <c r="AU271" s="372"/>
      <c r="AV271" s="372"/>
      <c r="AW271" s="372"/>
      <c r="AX271" s="372"/>
      <c r="AY271" s="372"/>
      <c r="AZ271" s="372"/>
      <c r="BA271" s="372"/>
      <c r="BB271" s="372"/>
      <c r="BC271" s="372"/>
      <c r="BD271" s="372"/>
      <c r="BE271" s="372"/>
      <c r="BF271" s="372"/>
      <c r="BG271" s="372"/>
      <c r="BH271" s="372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5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7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61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5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7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2"/>
      <c r="Q273" s="372"/>
      <c r="R273" s="372"/>
      <c r="S273" s="372"/>
      <c r="T273" s="372"/>
      <c r="U273" s="372"/>
      <c r="V273" s="372"/>
      <c r="W273" s="372"/>
      <c r="X273" s="372"/>
      <c r="Y273" s="372"/>
      <c r="Z273" s="372"/>
      <c r="AA273" s="372"/>
      <c r="AB273" s="372"/>
      <c r="AC273" s="372"/>
      <c r="AD273" s="372"/>
      <c r="AE273" s="372"/>
      <c r="AF273" s="372"/>
      <c r="AG273" s="372"/>
      <c r="AH273" s="372"/>
      <c r="AI273" s="372"/>
      <c r="AJ273" s="372"/>
      <c r="AK273" s="372"/>
      <c r="AL273" s="372"/>
      <c r="AM273" s="372"/>
      <c r="AN273" s="372"/>
      <c r="AO273" s="372"/>
      <c r="AP273" s="372"/>
      <c r="AQ273" s="372"/>
      <c r="AR273" s="372"/>
      <c r="AS273" s="372"/>
      <c r="AT273" s="372"/>
      <c r="AU273" s="372"/>
      <c r="AV273" s="372"/>
      <c r="AW273" s="372"/>
      <c r="AX273" s="372"/>
      <c r="AY273" s="372"/>
      <c r="AZ273" s="372"/>
      <c r="BA273" s="372"/>
      <c r="BB273" s="372"/>
      <c r="BC273" s="372"/>
      <c r="BD273" s="372"/>
      <c r="BE273" s="372"/>
      <c r="BF273" s="372"/>
      <c r="BG273" s="372"/>
      <c r="BH273" s="372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5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7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5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7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5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7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1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7" t="e">
        <f>K277*VLOOKUP(E277,BD!$A$2:$F$122,6,0)</f>
        <v>#N/A</v>
      </c>
      <c r="N277" s="8">
        <f t="shared" si="19"/>
        <v>1900</v>
      </c>
      <c r="O277" s="110">
        <f t="shared" si="21"/>
        <v>0</v>
      </c>
      <c r="P277" s="371"/>
      <c r="Q277" s="371"/>
      <c r="R277" s="371"/>
      <c r="S277" s="371"/>
      <c r="T277" s="371"/>
      <c r="U277" s="371"/>
      <c r="V277" s="371"/>
      <c r="W277" s="371"/>
      <c r="X277" s="371"/>
      <c r="Y277" s="371"/>
      <c r="Z277" s="371"/>
      <c r="AA277" s="371"/>
      <c r="AB277" s="371"/>
      <c r="AC277" s="371"/>
      <c r="AD277" s="371"/>
      <c r="AE277" s="371"/>
      <c r="AF277" s="371"/>
      <c r="AG277" s="371"/>
      <c r="AH277" s="371"/>
      <c r="AI277" s="371"/>
      <c r="AJ277" s="371"/>
      <c r="AK277" s="371"/>
      <c r="AL277" s="371"/>
      <c r="AM277" s="371"/>
      <c r="AN277" s="371"/>
      <c r="AO277" s="371"/>
      <c r="AP277" s="371"/>
      <c r="AQ277" s="371"/>
      <c r="AR277" s="371"/>
      <c r="AS277" s="371"/>
      <c r="AT277" s="371"/>
      <c r="AU277" s="371"/>
      <c r="AV277" s="371"/>
      <c r="AW277" s="371"/>
      <c r="AX277" s="371"/>
      <c r="AY277" s="371"/>
      <c r="AZ277" s="371"/>
      <c r="BA277" s="371"/>
      <c r="BB277" s="371"/>
      <c r="BC277" s="371"/>
      <c r="BD277" s="371"/>
      <c r="BE277" s="371"/>
      <c r="BF277" s="371"/>
      <c r="BG277" s="371"/>
      <c r="BH277" s="371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3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7" t="e">
        <f>K278*VLOOKUP(E278,BD!$A$2:$F$122,6,0)</f>
        <v>#N/A</v>
      </c>
      <c r="N278" s="6">
        <f t="shared" si="19"/>
        <v>1900</v>
      </c>
      <c r="O278" s="109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5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7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5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7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5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7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5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7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71"/>
      <c r="Q282" s="371"/>
      <c r="R282" s="371"/>
      <c r="S282" s="371"/>
      <c r="T282" s="371"/>
      <c r="U282" s="371"/>
      <c r="V282" s="371"/>
      <c r="W282" s="371"/>
      <c r="X282" s="371"/>
      <c r="Y282" s="371"/>
      <c r="Z282" s="371"/>
      <c r="AA282" s="371"/>
      <c r="AB282" s="371"/>
      <c r="AC282" s="371"/>
      <c r="AD282" s="371"/>
      <c r="AE282" s="371"/>
      <c r="AF282" s="371"/>
      <c r="AG282" s="371"/>
      <c r="AH282" s="371"/>
      <c r="AI282" s="371"/>
      <c r="AJ282" s="371"/>
      <c r="AK282" s="371"/>
      <c r="AL282" s="371"/>
      <c r="AM282" s="371"/>
      <c r="AN282" s="371"/>
      <c r="AO282" s="371"/>
      <c r="AP282" s="371"/>
      <c r="AQ282" s="371"/>
      <c r="AR282" s="371"/>
      <c r="AS282" s="371"/>
      <c r="AT282" s="371"/>
      <c r="AU282" s="371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  <c r="BF282" s="371"/>
      <c r="BG282" s="371"/>
      <c r="BH282" s="371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31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7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5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7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71"/>
      <c r="Q284" s="371"/>
      <c r="R284" s="371"/>
      <c r="S284" s="371"/>
      <c r="T284" s="371"/>
      <c r="U284" s="371"/>
      <c r="V284" s="371"/>
      <c r="W284" s="371"/>
      <c r="X284" s="371"/>
      <c r="Y284" s="371"/>
      <c r="Z284" s="371"/>
      <c r="AA284" s="371"/>
      <c r="AB284" s="371"/>
      <c r="AC284" s="371"/>
      <c r="AD284" s="371"/>
      <c r="AE284" s="371"/>
      <c r="AF284" s="371"/>
      <c r="AG284" s="371"/>
      <c r="AH284" s="371"/>
      <c r="AI284" s="371"/>
      <c r="AJ284" s="371"/>
      <c r="AK284" s="371"/>
      <c r="AL284" s="371"/>
      <c r="AM284" s="371"/>
      <c r="AN284" s="371"/>
      <c r="AO284" s="371"/>
      <c r="AP284" s="371"/>
      <c r="AQ284" s="371"/>
      <c r="AR284" s="371"/>
      <c r="AS284" s="371"/>
      <c r="AT284" s="371"/>
      <c r="AU284" s="371"/>
      <c r="AV284" s="371"/>
      <c r="AW284" s="371"/>
      <c r="AX284" s="371"/>
      <c r="AY284" s="371"/>
      <c r="AZ284" s="371"/>
      <c r="BA284" s="371"/>
      <c r="BB284" s="371"/>
      <c r="BC284" s="371"/>
      <c r="BD284" s="371"/>
      <c r="BE284" s="371"/>
      <c r="BF284" s="371"/>
      <c r="BG284" s="371"/>
      <c r="BH284" s="371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5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7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71"/>
      <c r="Q285" s="371"/>
      <c r="R285" s="371"/>
      <c r="S285" s="371"/>
      <c r="T285" s="371"/>
      <c r="U285" s="371"/>
      <c r="V285" s="371"/>
      <c r="W285" s="371"/>
      <c r="X285" s="371"/>
      <c r="Y285" s="371"/>
      <c r="Z285" s="371"/>
      <c r="AA285" s="371"/>
      <c r="AB285" s="371"/>
      <c r="AC285" s="371"/>
      <c r="AD285" s="371"/>
      <c r="AE285" s="371"/>
      <c r="AF285" s="371"/>
      <c r="AG285" s="371"/>
      <c r="AH285" s="371"/>
      <c r="AI285" s="371"/>
      <c r="AJ285" s="371"/>
      <c r="AK285" s="371"/>
      <c r="AL285" s="371"/>
      <c r="AM285" s="371"/>
      <c r="AN285" s="371"/>
      <c r="AO285" s="371"/>
      <c r="AP285" s="371"/>
      <c r="AQ285" s="371"/>
      <c r="AR285" s="371"/>
      <c r="AS285" s="371"/>
      <c r="AT285" s="371"/>
      <c r="AU285" s="371"/>
      <c r="AV285" s="371"/>
      <c r="AW285" s="371"/>
      <c r="AX285" s="371"/>
      <c r="AY285" s="371"/>
      <c r="AZ285" s="371"/>
      <c r="BA285" s="371"/>
      <c r="BB285" s="371"/>
      <c r="BC285" s="371"/>
      <c r="BD285" s="371"/>
      <c r="BE285" s="371"/>
      <c r="BF285" s="371"/>
      <c r="BG285" s="371"/>
      <c r="BH285" s="371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5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7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5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7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5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7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2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7" t="e">
        <f>K289*VLOOKUP(E289,BD!$A$2:$F$122,6,0)</f>
        <v>#N/A</v>
      </c>
      <c r="N289" s="33">
        <f t="shared" si="19"/>
        <v>1900</v>
      </c>
      <c r="O289" s="386">
        <f t="shared" si="21"/>
        <v>0</v>
      </c>
      <c r="P289" s="371"/>
      <c r="Q289" s="371"/>
      <c r="R289" s="371"/>
      <c r="S289" s="371"/>
      <c r="T289" s="371"/>
      <c r="U289" s="371"/>
      <c r="V289" s="371"/>
      <c r="W289" s="371"/>
      <c r="X289" s="371"/>
      <c r="Y289" s="371"/>
      <c r="Z289" s="371"/>
      <c r="AA289" s="371"/>
      <c r="AB289" s="371"/>
      <c r="AC289" s="371"/>
      <c r="AD289" s="371"/>
      <c r="AE289" s="371"/>
      <c r="AF289" s="371"/>
      <c r="AG289" s="371"/>
      <c r="AH289" s="371"/>
      <c r="AI289" s="371"/>
      <c r="AJ289" s="371"/>
      <c r="AK289" s="371"/>
      <c r="AL289" s="371"/>
      <c r="AM289" s="371"/>
      <c r="AN289" s="371"/>
      <c r="AO289" s="371"/>
      <c r="AP289" s="371"/>
      <c r="AQ289" s="371"/>
      <c r="AR289" s="371"/>
      <c r="AS289" s="371"/>
      <c r="AT289" s="371"/>
      <c r="AU289" s="371"/>
      <c r="AV289" s="371"/>
      <c r="AW289" s="371"/>
      <c r="AX289" s="371"/>
      <c r="AY289" s="371"/>
      <c r="AZ289" s="371"/>
      <c r="BA289" s="371"/>
      <c r="BB289" s="371"/>
      <c r="BC289" s="371"/>
      <c r="BD289" s="371"/>
      <c r="BE289" s="371"/>
      <c r="BF289" s="371"/>
      <c r="BG289" s="371"/>
      <c r="BH289" s="371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3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7" t="e">
        <f>K290*VLOOKUP(E290,BD!$A$2:$F$122,6,0)</f>
        <v>#N/A</v>
      </c>
      <c r="N290" s="6">
        <f t="shared" si="19"/>
        <v>1900</v>
      </c>
      <c r="O290" s="109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5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7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71"/>
      <c r="Q291" s="371"/>
      <c r="R291" s="371"/>
      <c r="S291" s="371"/>
      <c r="T291" s="371"/>
      <c r="U291" s="371"/>
      <c r="V291" s="371"/>
      <c r="W291" s="371"/>
      <c r="X291" s="371"/>
      <c r="Y291" s="371"/>
      <c r="Z291" s="371"/>
      <c r="AA291" s="371"/>
      <c r="AB291" s="371"/>
      <c r="AC291" s="371"/>
      <c r="AD291" s="371"/>
      <c r="AE291" s="371"/>
      <c r="AF291" s="371"/>
      <c r="AG291" s="371"/>
      <c r="AH291" s="371"/>
      <c r="AI291" s="371"/>
      <c r="AJ291" s="371"/>
      <c r="AK291" s="371"/>
      <c r="AL291" s="371"/>
      <c r="AM291" s="371"/>
      <c r="AN291" s="371"/>
      <c r="AO291" s="371"/>
      <c r="AP291" s="371"/>
      <c r="AQ291" s="371"/>
      <c r="AR291" s="371"/>
      <c r="AS291" s="371"/>
      <c r="AT291" s="371"/>
      <c r="AU291" s="371"/>
      <c r="AV291" s="371"/>
      <c r="AW291" s="371"/>
      <c r="AX291" s="371"/>
      <c r="AY291" s="371"/>
      <c r="AZ291" s="371"/>
      <c r="BA291" s="371"/>
      <c r="BB291" s="371"/>
      <c r="BC291" s="371"/>
      <c r="BD291" s="371"/>
      <c r="BE291" s="371"/>
      <c r="BF291" s="371"/>
      <c r="BG291" s="371"/>
      <c r="BH291" s="371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5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7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  <c r="AG292" s="371"/>
      <c r="AH292" s="371"/>
      <c r="AI292" s="371"/>
      <c r="AJ292" s="371"/>
      <c r="AK292" s="371"/>
      <c r="AL292" s="371"/>
      <c r="AM292" s="371"/>
      <c r="AN292" s="371"/>
      <c r="AO292" s="371"/>
      <c r="AP292" s="371"/>
      <c r="AQ292" s="371"/>
      <c r="AR292" s="371"/>
      <c r="AS292" s="371"/>
      <c r="AT292" s="371"/>
      <c r="AU292" s="371"/>
      <c r="AV292" s="371"/>
      <c r="AW292" s="371"/>
      <c r="AX292" s="371"/>
      <c r="AY292" s="371"/>
      <c r="AZ292" s="371"/>
      <c r="BA292" s="371"/>
      <c r="BB292" s="371"/>
      <c r="BC292" s="371"/>
      <c r="BD292" s="371"/>
      <c r="BE292" s="371"/>
      <c r="BF292" s="371"/>
      <c r="BG292" s="371"/>
      <c r="BH292" s="371"/>
    </row>
    <row r="293" spans="1:60" s="361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5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7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2"/>
      <c r="Q293" s="372"/>
      <c r="R293" s="372"/>
      <c r="S293" s="372"/>
      <c r="T293" s="372"/>
      <c r="U293" s="372"/>
      <c r="V293" s="372"/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72"/>
      <c r="AM293" s="372"/>
      <c r="AN293" s="372"/>
      <c r="AO293" s="372"/>
      <c r="AP293" s="372"/>
      <c r="AQ293" s="372"/>
      <c r="AR293" s="372"/>
      <c r="AS293" s="372"/>
      <c r="AT293" s="372"/>
      <c r="AU293" s="372"/>
      <c r="AV293" s="372"/>
      <c r="AW293" s="372"/>
      <c r="AX293" s="372"/>
      <c r="AY293" s="372"/>
      <c r="AZ293" s="372"/>
      <c r="BA293" s="372"/>
      <c r="BB293" s="372"/>
      <c r="BC293" s="372"/>
      <c r="BD293" s="372"/>
      <c r="BE293" s="372"/>
      <c r="BF293" s="372"/>
      <c r="BG293" s="372"/>
      <c r="BH293" s="372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5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7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61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5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7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2"/>
      <c r="Q295" s="372"/>
      <c r="R295" s="372"/>
      <c r="S295" s="372"/>
      <c r="T295" s="372"/>
      <c r="U295" s="372"/>
      <c r="V295" s="372"/>
      <c r="W295" s="372"/>
      <c r="X295" s="372"/>
      <c r="Y295" s="372"/>
      <c r="Z295" s="372"/>
      <c r="AA295" s="372"/>
      <c r="AB295" s="372"/>
      <c r="AC295" s="372"/>
      <c r="AD295" s="372"/>
      <c r="AE295" s="372"/>
      <c r="AF295" s="372"/>
      <c r="AG295" s="372"/>
      <c r="AH295" s="372"/>
      <c r="AI295" s="372"/>
      <c r="AJ295" s="372"/>
      <c r="AK295" s="372"/>
      <c r="AL295" s="372"/>
      <c r="AM295" s="372"/>
      <c r="AN295" s="372"/>
      <c r="AO295" s="372"/>
      <c r="AP295" s="372"/>
      <c r="AQ295" s="372"/>
      <c r="AR295" s="372"/>
      <c r="AS295" s="372"/>
      <c r="AT295" s="372"/>
      <c r="AU295" s="372"/>
      <c r="AV295" s="372"/>
      <c r="AW295" s="372"/>
      <c r="AX295" s="372"/>
      <c r="AY295" s="372"/>
      <c r="AZ295" s="372"/>
      <c r="BA295" s="372"/>
      <c r="BB295" s="372"/>
      <c r="BC295" s="372"/>
      <c r="BD295" s="372"/>
      <c r="BE295" s="372"/>
      <c r="BF295" s="372"/>
      <c r="BG295" s="372"/>
      <c r="BH295" s="372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5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7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5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7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5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7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5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7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71"/>
      <c r="Q299" s="371"/>
      <c r="R299" s="371"/>
      <c r="S299" s="371"/>
      <c r="T299" s="371"/>
      <c r="U299" s="371"/>
      <c r="V299" s="371"/>
      <c r="W299" s="371"/>
      <c r="X299" s="371"/>
      <c r="Y299" s="371"/>
      <c r="Z299" s="371"/>
      <c r="AA299" s="371"/>
      <c r="AB299" s="371"/>
      <c r="AC299" s="371"/>
      <c r="AD299" s="371"/>
      <c r="AE299" s="371"/>
      <c r="AF299" s="371"/>
      <c r="AG299" s="371"/>
      <c r="AH299" s="371"/>
      <c r="AI299" s="371"/>
      <c r="AJ299" s="371"/>
      <c r="AK299" s="371"/>
      <c r="AL299" s="371"/>
      <c r="AM299" s="371"/>
      <c r="AN299" s="371"/>
      <c r="AO299" s="371"/>
      <c r="AP299" s="371"/>
      <c r="AQ299" s="371"/>
      <c r="AR299" s="371"/>
      <c r="AS299" s="371"/>
      <c r="AT299" s="371"/>
      <c r="AU299" s="371"/>
      <c r="AV299" s="371"/>
      <c r="AW299" s="371"/>
      <c r="AX299" s="371"/>
      <c r="AY299" s="371"/>
      <c r="AZ299" s="371"/>
      <c r="BA299" s="371"/>
      <c r="BB299" s="371"/>
      <c r="BC299" s="371"/>
      <c r="BD299" s="371"/>
      <c r="BE299" s="371"/>
      <c r="BF299" s="371"/>
      <c r="BG299" s="371"/>
      <c r="BH299" s="371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5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7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5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7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71"/>
      <c r="Q301" s="371"/>
      <c r="R301" s="371"/>
      <c r="S301" s="371"/>
      <c r="T301" s="371"/>
      <c r="U301" s="371"/>
      <c r="V301" s="371"/>
      <c r="W301" s="371"/>
      <c r="X301" s="371"/>
      <c r="Y301" s="371"/>
      <c r="Z301" s="371"/>
      <c r="AA301" s="371"/>
      <c r="AB301" s="371"/>
      <c r="AC301" s="371"/>
      <c r="AD301" s="371"/>
      <c r="AE301" s="371"/>
      <c r="AF301" s="371"/>
      <c r="AG301" s="371"/>
      <c r="AH301" s="371"/>
      <c r="AI301" s="371"/>
      <c r="AJ301" s="371"/>
      <c r="AK301" s="371"/>
      <c r="AL301" s="371"/>
      <c r="AM301" s="371"/>
      <c r="AN301" s="371"/>
      <c r="AO301" s="371"/>
      <c r="AP301" s="371"/>
      <c r="AQ301" s="371"/>
      <c r="AR301" s="371"/>
      <c r="AS301" s="371"/>
      <c r="AT301" s="371"/>
      <c r="AU301" s="371"/>
      <c r="AV301" s="371"/>
      <c r="AW301" s="371"/>
      <c r="AX301" s="371"/>
      <c r="AY301" s="371"/>
      <c r="AZ301" s="371"/>
      <c r="BA301" s="371"/>
      <c r="BB301" s="371"/>
      <c r="BC301" s="371"/>
      <c r="BD301" s="371"/>
      <c r="BE301" s="371"/>
      <c r="BF301" s="371"/>
      <c r="BG301" s="371"/>
      <c r="BH301" s="371"/>
    </row>
    <row r="302" spans="1:60" s="361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5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7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2"/>
      <c r="Q302" s="372"/>
      <c r="R302" s="372"/>
      <c r="S302" s="372"/>
      <c r="T302" s="372"/>
      <c r="U302" s="372"/>
      <c r="V302" s="372"/>
      <c r="W302" s="372"/>
      <c r="X302" s="372"/>
      <c r="Y302" s="372"/>
      <c r="Z302" s="372"/>
      <c r="AA302" s="372"/>
      <c r="AB302" s="372"/>
      <c r="AC302" s="372"/>
      <c r="AD302" s="372"/>
      <c r="AE302" s="372"/>
      <c r="AF302" s="372"/>
      <c r="AG302" s="372"/>
      <c r="AH302" s="372"/>
      <c r="AI302" s="372"/>
      <c r="AJ302" s="372"/>
      <c r="AK302" s="372"/>
      <c r="AL302" s="372"/>
      <c r="AM302" s="372"/>
      <c r="AN302" s="372"/>
      <c r="AO302" s="372"/>
      <c r="AP302" s="372"/>
      <c r="AQ302" s="372"/>
      <c r="AR302" s="372"/>
      <c r="AS302" s="372"/>
      <c r="AT302" s="372"/>
      <c r="AU302" s="372"/>
      <c r="AV302" s="372"/>
      <c r="AW302" s="372"/>
      <c r="AX302" s="372"/>
      <c r="AY302" s="372"/>
      <c r="AZ302" s="372"/>
      <c r="BA302" s="372"/>
      <c r="BB302" s="372"/>
      <c r="BC302" s="372"/>
      <c r="BD302" s="372"/>
      <c r="BE302" s="372"/>
      <c r="BF302" s="372"/>
      <c r="BG302" s="372"/>
      <c r="BH302" s="372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5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7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61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2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7" t="e">
        <f>K304*VLOOKUP(E304,BD!$A$2:$F$122,6,0)</f>
        <v>#N/A</v>
      </c>
      <c r="N304" s="33">
        <f t="shared" si="19"/>
        <v>1900</v>
      </c>
      <c r="O304" s="386">
        <f t="shared" si="21"/>
        <v>0</v>
      </c>
      <c r="P304" s="372"/>
      <c r="Q304" s="372"/>
      <c r="R304" s="372"/>
      <c r="S304" s="372"/>
      <c r="T304" s="372"/>
      <c r="U304" s="372"/>
      <c r="V304" s="372"/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72"/>
      <c r="AL304" s="372"/>
      <c r="AM304" s="372"/>
      <c r="AN304" s="372"/>
      <c r="AO304" s="372"/>
      <c r="AP304" s="372"/>
      <c r="AQ304" s="372"/>
      <c r="AR304" s="372"/>
      <c r="AS304" s="372"/>
      <c r="AT304" s="372"/>
      <c r="AU304" s="372"/>
      <c r="AV304" s="372"/>
      <c r="AW304" s="372"/>
      <c r="AX304" s="372"/>
      <c r="AY304" s="372"/>
      <c r="AZ304" s="372"/>
      <c r="BA304" s="372"/>
      <c r="BB304" s="372"/>
      <c r="BC304" s="372"/>
      <c r="BD304" s="372"/>
      <c r="BE304" s="372"/>
      <c r="BF304" s="372"/>
      <c r="BG304" s="372"/>
      <c r="BH304" s="372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3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7" t="e">
        <f>K305*VLOOKUP(E305,BD!$A$2:$F$122,6,0)</f>
        <v>#N/A</v>
      </c>
      <c r="N305" s="6">
        <f t="shared" si="19"/>
        <v>1900</v>
      </c>
      <c r="O305" s="109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5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7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5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7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5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7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71"/>
      <c r="Q308" s="371"/>
      <c r="R308" s="371"/>
      <c r="S308" s="371"/>
      <c r="T308" s="371"/>
      <c r="U308" s="371"/>
      <c r="V308" s="371"/>
      <c r="W308" s="371"/>
      <c r="X308" s="371"/>
      <c r="Y308" s="371"/>
      <c r="Z308" s="371"/>
      <c r="AA308" s="371"/>
      <c r="AB308" s="371"/>
      <c r="AC308" s="371"/>
      <c r="AD308" s="371"/>
      <c r="AE308" s="371"/>
      <c r="AF308" s="371"/>
      <c r="AG308" s="371"/>
      <c r="AH308" s="371"/>
      <c r="AI308" s="371"/>
      <c r="AJ308" s="371"/>
      <c r="AK308" s="371"/>
      <c r="AL308" s="371"/>
      <c r="AM308" s="371"/>
      <c r="AN308" s="371"/>
      <c r="AO308" s="371"/>
      <c r="AP308" s="371"/>
      <c r="AQ308" s="371"/>
      <c r="AR308" s="371"/>
      <c r="AS308" s="371"/>
      <c r="AT308" s="371"/>
      <c r="AU308" s="371"/>
      <c r="AV308" s="371"/>
      <c r="AW308" s="371"/>
      <c r="AX308" s="371"/>
      <c r="AY308" s="371"/>
      <c r="AZ308" s="371"/>
      <c r="BA308" s="371"/>
      <c r="BB308" s="371"/>
      <c r="BC308" s="371"/>
      <c r="BD308" s="371"/>
      <c r="BE308" s="371"/>
      <c r="BF308" s="371"/>
      <c r="BG308" s="371"/>
      <c r="BH308" s="371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5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7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5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7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71"/>
      <c r="Q310" s="371"/>
      <c r="R310" s="371"/>
      <c r="S310" s="371"/>
      <c r="T310" s="371"/>
      <c r="U310" s="371"/>
      <c r="V310" s="371"/>
      <c r="W310" s="371"/>
      <c r="X310" s="371"/>
      <c r="Y310" s="371"/>
      <c r="Z310" s="371"/>
      <c r="AA310" s="371"/>
      <c r="AB310" s="371"/>
      <c r="AC310" s="371"/>
      <c r="AD310" s="371"/>
      <c r="AE310" s="371"/>
      <c r="AF310" s="371"/>
      <c r="AG310" s="371"/>
      <c r="AH310" s="371"/>
      <c r="AI310" s="371"/>
      <c r="AJ310" s="371"/>
      <c r="AK310" s="371"/>
      <c r="AL310" s="371"/>
      <c r="AM310" s="371"/>
      <c r="AN310" s="371"/>
      <c r="AO310" s="371"/>
      <c r="AP310" s="371"/>
      <c r="AQ310" s="371"/>
      <c r="AR310" s="371"/>
      <c r="AS310" s="371"/>
      <c r="AT310" s="371"/>
      <c r="AU310" s="371"/>
      <c r="AV310" s="371"/>
      <c r="AW310" s="371"/>
      <c r="AX310" s="371"/>
      <c r="AY310" s="371"/>
      <c r="AZ310" s="371"/>
      <c r="BA310" s="371"/>
      <c r="BB310" s="371"/>
      <c r="BC310" s="371"/>
      <c r="BD310" s="371"/>
      <c r="BE310" s="371"/>
      <c r="BF310" s="371"/>
      <c r="BG310" s="371"/>
      <c r="BH310" s="371"/>
    </row>
    <row r="311" spans="1:60" s="361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5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7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2"/>
      <c r="Q311" s="372"/>
      <c r="R311" s="372"/>
      <c r="S311" s="372"/>
      <c r="T311" s="372"/>
      <c r="U311" s="372"/>
      <c r="V311" s="372"/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372"/>
      <c r="AH311" s="372"/>
      <c r="AI311" s="372"/>
      <c r="AJ311" s="372"/>
      <c r="AK311" s="372"/>
      <c r="AL311" s="372"/>
      <c r="AM311" s="372"/>
      <c r="AN311" s="372"/>
      <c r="AO311" s="372"/>
      <c r="AP311" s="372"/>
      <c r="AQ311" s="372"/>
      <c r="AR311" s="372"/>
      <c r="AS311" s="372"/>
      <c r="AT311" s="372"/>
      <c r="AU311" s="372"/>
      <c r="AV311" s="372"/>
      <c r="AW311" s="372"/>
      <c r="AX311" s="372"/>
      <c r="AY311" s="372"/>
      <c r="AZ311" s="372"/>
      <c r="BA311" s="372"/>
      <c r="BB311" s="372"/>
      <c r="BC311" s="372"/>
      <c r="BD311" s="372"/>
      <c r="BE311" s="372"/>
      <c r="BF311" s="372"/>
      <c r="BG311" s="372"/>
      <c r="BH311" s="372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5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7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61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5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7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2"/>
      <c r="Q313" s="372"/>
      <c r="R313" s="372"/>
      <c r="S313" s="372"/>
      <c r="T313" s="372"/>
      <c r="U313" s="372"/>
      <c r="V313" s="372"/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372"/>
      <c r="AH313" s="372"/>
      <c r="AI313" s="372"/>
      <c r="AJ313" s="372"/>
      <c r="AK313" s="372"/>
      <c r="AL313" s="372"/>
      <c r="AM313" s="372"/>
      <c r="AN313" s="372"/>
      <c r="AO313" s="372"/>
      <c r="AP313" s="372"/>
      <c r="AQ313" s="372"/>
      <c r="AR313" s="372"/>
      <c r="AS313" s="372"/>
      <c r="AT313" s="372"/>
      <c r="AU313" s="372"/>
      <c r="AV313" s="372"/>
      <c r="AW313" s="372"/>
      <c r="AX313" s="372"/>
      <c r="AY313" s="372"/>
      <c r="AZ313" s="372"/>
      <c r="BA313" s="372"/>
      <c r="BB313" s="372"/>
      <c r="BC313" s="372"/>
      <c r="BD313" s="372"/>
      <c r="BE313" s="372"/>
      <c r="BF313" s="372"/>
      <c r="BG313" s="372"/>
      <c r="BH313" s="372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5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7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2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7" t="e">
        <f>K315*VLOOKUP(E315,BD!$A$2:$F$122,6,0)</f>
        <v>#N/A</v>
      </c>
      <c r="N315" s="33">
        <f t="shared" si="19"/>
        <v>1900</v>
      </c>
      <c r="O315" s="386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3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7" t="e">
        <f>K316*VLOOKUP(E316,BD!$A$2:$F$122,6,0)</f>
        <v>#N/A</v>
      </c>
      <c r="N316" s="6">
        <f t="shared" si="19"/>
        <v>1900</v>
      </c>
      <c r="O316" s="109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5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7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71"/>
      <c r="Q317" s="371"/>
      <c r="R317" s="371"/>
      <c r="S317" s="371"/>
      <c r="T317" s="371"/>
      <c r="U317" s="371"/>
      <c r="V317" s="371"/>
      <c r="W317" s="371"/>
      <c r="X317" s="371"/>
      <c r="Y317" s="371"/>
      <c r="Z317" s="371"/>
      <c r="AA317" s="371"/>
      <c r="AB317" s="371"/>
      <c r="AC317" s="371"/>
      <c r="AD317" s="371"/>
      <c r="AE317" s="371"/>
      <c r="AF317" s="371"/>
      <c r="AG317" s="371"/>
      <c r="AH317" s="371"/>
      <c r="AI317" s="371"/>
      <c r="AJ317" s="371"/>
      <c r="AK317" s="371"/>
      <c r="AL317" s="371"/>
      <c r="AM317" s="371"/>
      <c r="AN317" s="371"/>
      <c r="AO317" s="371"/>
      <c r="AP317" s="371"/>
      <c r="AQ317" s="371"/>
      <c r="AR317" s="371"/>
      <c r="AS317" s="371"/>
      <c r="AT317" s="371"/>
      <c r="AU317" s="371"/>
      <c r="AV317" s="371"/>
      <c r="AW317" s="371"/>
      <c r="AX317" s="371"/>
      <c r="AY317" s="371"/>
      <c r="AZ317" s="371"/>
      <c r="BA317" s="371"/>
      <c r="BB317" s="371"/>
      <c r="BC317" s="371"/>
      <c r="BD317" s="371"/>
      <c r="BE317" s="371"/>
      <c r="BF317" s="371"/>
      <c r="BG317" s="371"/>
      <c r="BH317" s="371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5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7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5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7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71"/>
      <c r="Q319" s="371"/>
      <c r="R319" s="371"/>
      <c r="S319" s="371"/>
      <c r="T319" s="371"/>
      <c r="U319" s="371"/>
      <c r="V319" s="371"/>
      <c r="W319" s="371"/>
      <c r="X319" s="371"/>
      <c r="Y319" s="371"/>
      <c r="Z319" s="371"/>
      <c r="AA319" s="371"/>
      <c r="AB319" s="371"/>
      <c r="AC319" s="371"/>
      <c r="AD319" s="371"/>
      <c r="AE319" s="371"/>
      <c r="AF319" s="371"/>
      <c r="AG319" s="371"/>
      <c r="AH319" s="371"/>
      <c r="AI319" s="371"/>
      <c r="AJ319" s="371"/>
      <c r="AK319" s="371"/>
      <c r="AL319" s="371"/>
      <c r="AM319" s="371"/>
      <c r="AN319" s="371"/>
      <c r="AO319" s="371"/>
      <c r="AP319" s="371"/>
      <c r="AQ319" s="371"/>
      <c r="AR319" s="371"/>
      <c r="AS319" s="371"/>
      <c r="AT319" s="371"/>
      <c r="AU319" s="371"/>
      <c r="AV319" s="371"/>
      <c r="AW319" s="371"/>
      <c r="AX319" s="371"/>
      <c r="AY319" s="371"/>
      <c r="AZ319" s="371"/>
      <c r="BA319" s="371"/>
      <c r="BB319" s="371"/>
      <c r="BC319" s="371"/>
      <c r="BD319" s="371"/>
      <c r="BE319" s="371"/>
      <c r="BF319" s="371"/>
      <c r="BG319" s="371"/>
      <c r="BH319" s="371"/>
    </row>
    <row r="320" spans="1:60" s="361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5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7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2"/>
      <c r="Q320" s="372"/>
      <c r="R320" s="372"/>
      <c r="S320" s="372"/>
      <c r="T320" s="372"/>
      <c r="U320" s="372"/>
      <c r="V320" s="372"/>
      <c r="W320" s="372"/>
      <c r="X320" s="372"/>
      <c r="Y320" s="372"/>
      <c r="Z320" s="372"/>
      <c r="AA320" s="372"/>
      <c r="AB320" s="372"/>
      <c r="AC320" s="372"/>
      <c r="AD320" s="372"/>
      <c r="AE320" s="372"/>
      <c r="AF320" s="372"/>
      <c r="AG320" s="372"/>
      <c r="AH320" s="372"/>
      <c r="AI320" s="372"/>
      <c r="AJ320" s="372"/>
      <c r="AK320" s="372"/>
      <c r="AL320" s="372"/>
      <c r="AM320" s="372"/>
      <c r="AN320" s="372"/>
      <c r="AO320" s="372"/>
      <c r="AP320" s="372"/>
      <c r="AQ320" s="372"/>
      <c r="AR320" s="372"/>
      <c r="AS320" s="372"/>
      <c r="AT320" s="372"/>
      <c r="AU320" s="372"/>
      <c r="AV320" s="372"/>
      <c r="AW320" s="372"/>
      <c r="AX320" s="372"/>
      <c r="AY320" s="372"/>
      <c r="AZ320" s="372"/>
      <c r="BA320" s="372"/>
      <c r="BB320" s="372"/>
      <c r="BC320" s="372"/>
      <c r="BD320" s="372"/>
      <c r="BE320" s="372"/>
      <c r="BF320" s="372"/>
      <c r="BG320" s="372"/>
      <c r="BH320" s="372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5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7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61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5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7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2"/>
      <c r="Q322" s="372"/>
      <c r="R322" s="372"/>
      <c r="S322" s="372"/>
      <c r="T322" s="372"/>
      <c r="U322" s="372"/>
      <c r="V322" s="372"/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72"/>
      <c r="AK322" s="372"/>
      <c r="AL322" s="372"/>
      <c r="AM322" s="372"/>
      <c r="AN322" s="372"/>
      <c r="AO322" s="372"/>
      <c r="AP322" s="372"/>
      <c r="AQ322" s="372"/>
      <c r="AR322" s="372"/>
      <c r="AS322" s="372"/>
      <c r="AT322" s="372"/>
      <c r="AU322" s="372"/>
      <c r="AV322" s="372"/>
      <c r="AW322" s="372"/>
      <c r="AX322" s="372"/>
      <c r="AY322" s="372"/>
      <c r="AZ322" s="372"/>
      <c r="BA322" s="372"/>
      <c r="BB322" s="372"/>
      <c r="BC322" s="372"/>
      <c r="BD322" s="372"/>
      <c r="BE322" s="372"/>
      <c r="BF322" s="372"/>
      <c r="BG322" s="372"/>
      <c r="BH322" s="372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5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7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5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7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5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7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5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7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71"/>
      <c r="Q326" s="371"/>
      <c r="R326" s="371"/>
      <c r="S326" s="371"/>
      <c r="T326" s="371"/>
      <c r="U326" s="371"/>
      <c r="V326" s="371"/>
      <c r="W326" s="371"/>
      <c r="X326" s="371"/>
      <c r="Y326" s="371"/>
      <c r="Z326" s="371"/>
      <c r="AA326" s="371"/>
      <c r="AB326" s="371"/>
      <c r="AC326" s="371"/>
      <c r="AD326" s="371"/>
      <c r="AE326" s="371"/>
      <c r="AF326" s="371"/>
      <c r="AG326" s="371"/>
      <c r="AH326" s="371"/>
      <c r="AI326" s="371"/>
      <c r="AJ326" s="371"/>
      <c r="AK326" s="371"/>
      <c r="AL326" s="371"/>
      <c r="AM326" s="371"/>
      <c r="AN326" s="371"/>
      <c r="AO326" s="371"/>
      <c r="AP326" s="371"/>
      <c r="AQ326" s="371"/>
      <c r="AR326" s="371"/>
      <c r="AS326" s="371"/>
      <c r="AT326" s="371"/>
      <c r="AU326" s="371"/>
      <c r="AV326" s="371"/>
      <c r="AW326" s="371"/>
      <c r="AX326" s="371"/>
      <c r="AY326" s="371"/>
      <c r="AZ326" s="371"/>
      <c r="BA326" s="371"/>
      <c r="BB326" s="371"/>
      <c r="BC326" s="371"/>
      <c r="BD326" s="371"/>
      <c r="BE326" s="371"/>
      <c r="BF326" s="371"/>
      <c r="BG326" s="371"/>
      <c r="BH326" s="371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5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7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2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7" t="e">
        <f>K328*VLOOKUP(E328,BD!$A$2:$F$122,6,0)</f>
        <v>#N/A</v>
      </c>
      <c r="N328" s="33">
        <f t="shared" si="19"/>
        <v>1900</v>
      </c>
      <c r="O328" s="386">
        <f t="shared" si="21"/>
        <v>0</v>
      </c>
      <c r="P328" s="371"/>
      <c r="Q328" s="371"/>
      <c r="R328" s="371"/>
      <c r="S328" s="371"/>
      <c r="T328" s="371"/>
      <c r="U328" s="371"/>
      <c r="V328" s="371"/>
      <c r="W328" s="371"/>
      <c r="X328" s="371"/>
      <c r="Y328" s="371"/>
      <c r="Z328" s="371"/>
      <c r="AA328" s="371"/>
      <c r="AB328" s="371"/>
      <c r="AC328" s="371"/>
      <c r="AD328" s="371"/>
      <c r="AE328" s="371"/>
      <c r="AF328" s="371"/>
      <c r="AG328" s="371"/>
      <c r="AH328" s="371"/>
      <c r="AI328" s="371"/>
      <c r="AJ328" s="371"/>
      <c r="AK328" s="371"/>
      <c r="AL328" s="371"/>
      <c r="AM328" s="371"/>
      <c r="AN328" s="371"/>
      <c r="AO328" s="371"/>
      <c r="AP328" s="371"/>
      <c r="AQ328" s="371"/>
      <c r="AR328" s="371"/>
      <c r="AS328" s="371"/>
      <c r="AT328" s="371"/>
      <c r="AU328" s="371"/>
      <c r="AV328" s="371"/>
      <c r="AW328" s="371"/>
      <c r="AX328" s="371"/>
      <c r="AY328" s="371"/>
      <c r="AZ328" s="371"/>
      <c r="BA328" s="371"/>
      <c r="BB328" s="371"/>
      <c r="BC328" s="371"/>
      <c r="BD328" s="371"/>
      <c r="BE328" s="371"/>
      <c r="BF328" s="371"/>
      <c r="BG328" s="371"/>
      <c r="BH328" s="371"/>
    </row>
    <row r="329" spans="1:60" s="361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3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7" t="e">
        <f>K329*VLOOKUP(E329,BD!$A$2:$F$122,6,0)</f>
        <v>#N/A</v>
      </c>
      <c r="N329" s="6">
        <f t="shared" si="19"/>
        <v>1900</v>
      </c>
      <c r="O329" s="109">
        <f t="shared" si="21"/>
        <v>0</v>
      </c>
      <c r="P329" s="372"/>
      <c r="Q329" s="372"/>
      <c r="R329" s="372"/>
      <c r="S329" s="372"/>
      <c r="T329" s="372"/>
      <c r="U329" s="372"/>
      <c r="V329" s="372"/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72"/>
      <c r="AL329" s="372"/>
      <c r="AM329" s="372"/>
      <c r="AN329" s="372"/>
      <c r="AO329" s="372"/>
      <c r="AP329" s="372"/>
      <c r="AQ329" s="372"/>
      <c r="AR329" s="372"/>
      <c r="AS329" s="372"/>
      <c r="AT329" s="372"/>
      <c r="AU329" s="372"/>
      <c r="AV329" s="372"/>
      <c r="AW329" s="372"/>
      <c r="AX329" s="372"/>
      <c r="AY329" s="372"/>
      <c r="AZ329" s="372"/>
      <c r="BA329" s="372"/>
      <c r="BB329" s="372"/>
      <c r="BC329" s="372"/>
      <c r="BD329" s="372"/>
      <c r="BE329" s="372"/>
      <c r="BF329" s="372"/>
      <c r="BG329" s="372"/>
      <c r="BH329" s="372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5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7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61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5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7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2"/>
      <c r="Q331" s="372"/>
      <c r="R331" s="372"/>
      <c r="S331" s="372"/>
      <c r="T331" s="372"/>
      <c r="U331" s="372"/>
      <c r="V331" s="372"/>
      <c r="W331" s="372"/>
      <c r="X331" s="372"/>
      <c r="Y331" s="372"/>
      <c r="Z331" s="372"/>
      <c r="AA331" s="372"/>
      <c r="AB331" s="372"/>
      <c r="AC331" s="372"/>
      <c r="AD331" s="372"/>
      <c r="AE331" s="372"/>
      <c r="AF331" s="372"/>
      <c r="AG331" s="372"/>
      <c r="AH331" s="372"/>
      <c r="AI331" s="372"/>
      <c r="AJ331" s="372"/>
      <c r="AK331" s="372"/>
      <c r="AL331" s="372"/>
      <c r="AM331" s="372"/>
      <c r="AN331" s="372"/>
      <c r="AO331" s="372"/>
      <c r="AP331" s="372"/>
      <c r="AQ331" s="372"/>
      <c r="AR331" s="372"/>
      <c r="AS331" s="372"/>
      <c r="AT331" s="372"/>
      <c r="AU331" s="372"/>
      <c r="AV331" s="372"/>
      <c r="AW331" s="372"/>
      <c r="AX331" s="372"/>
      <c r="AY331" s="372"/>
      <c r="AZ331" s="372"/>
      <c r="BA331" s="372"/>
      <c r="BB331" s="372"/>
      <c r="BC331" s="372"/>
      <c r="BD331" s="372"/>
      <c r="BE331" s="372"/>
      <c r="BF331" s="372"/>
      <c r="BG331" s="372"/>
      <c r="BH331" s="372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5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7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5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7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5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7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5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7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71"/>
      <c r="Q335" s="371"/>
      <c r="R335" s="371"/>
      <c r="S335" s="371"/>
      <c r="T335" s="371"/>
      <c r="U335" s="371"/>
      <c r="V335" s="371"/>
      <c r="W335" s="371"/>
      <c r="X335" s="371"/>
      <c r="Y335" s="371"/>
      <c r="Z335" s="371"/>
      <c r="AA335" s="371"/>
      <c r="AB335" s="371"/>
      <c r="AC335" s="371"/>
      <c r="AD335" s="371"/>
      <c r="AE335" s="371"/>
      <c r="AF335" s="371"/>
      <c r="AG335" s="371"/>
      <c r="AH335" s="371"/>
      <c r="AI335" s="371"/>
      <c r="AJ335" s="371"/>
      <c r="AK335" s="371"/>
      <c r="AL335" s="371"/>
      <c r="AM335" s="371"/>
      <c r="AN335" s="371"/>
      <c r="AO335" s="371"/>
      <c r="AP335" s="371"/>
      <c r="AQ335" s="371"/>
      <c r="AR335" s="371"/>
      <c r="AS335" s="371"/>
      <c r="AT335" s="371"/>
      <c r="AU335" s="371"/>
      <c r="AV335" s="371"/>
      <c r="AW335" s="371"/>
      <c r="AX335" s="371"/>
      <c r="AY335" s="371"/>
      <c r="AZ335" s="371"/>
      <c r="BA335" s="371"/>
      <c r="BB335" s="371"/>
      <c r="BC335" s="371"/>
      <c r="BD335" s="371"/>
      <c r="BE335" s="371"/>
      <c r="BF335" s="371"/>
      <c r="BG335" s="371"/>
      <c r="BH335" s="371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5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7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71"/>
      <c r="Q336" s="371"/>
      <c r="R336" s="371"/>
      <c r="S336" s="371"/>
      <c r="T336" s="371"/>
      <c r="U336" s="371"/>
      <c r="V336" s="371"/>
      <c r="W336" s="371"/>
      <c r="X336" s="371"/>
      <c r="Y336" s="371"/>
      <c r="Z336" s="371"/>
      <c r="AA336" s="371"/>
      <c r="AB336" s="371"/>
      <c r="AC336" s="371"/>
      <c r="AD336" s="371"/>
      <c r="AE336" s="371"/>
      <c r="AF336" s="371"/>
      <c r="AG336" s="371"/>
      <c r="AH336" s="371"/>
      <c r="AI336" s="371"/>
      <c r="AJ336" s="371"/>
      <c r="AK336" s="371"/>
      <c r="AL336" s="371"/>
      <c r="AM336" s="371"/>
      <c r="AN336" s="371"/>
      <c r="AO336" s="371"/>
      <c r="AP336" s="371"/>
      <c r="AQ336" s="371"/>
      <c r="AR336" s="371"/>
      <c r="AS336" s="371"/>
      <c r="AT336" s="371"/>
      <c r="AU336" s="371"/>
      <c r="AV336" s="371"/>
      <c r="AW336" s="371"/>
      <c r="AX336" s="371"/>
      <c r="AY336" s="371"/>
      <c r="AZ336" s="371"/>
      <c r="BA336" s="371"/>
      <c r="BB336" s="371"/>
      <c r="BC336" s="371"/>
      <c r="BD336" s="371"/>
      <c r="BE336" s="371"/>
      <c r="BF336" s="371"/>
      <c r="BG336" s="371"/>
      <c r="BH336" s="371"/>
    </row>
    <row r="337" spans="1:60" s="361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2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7" t="e">
        <f>K337*VLOOKUP(E337,BD!$A$2:$F$122,6,0)</f>
        <v>#N/A</v>
      </c>
      <c r="N337" s="33">
        <f t="shared" si="19"/>
        <v>1900</v>
      </c>
      <c r="O337" s="386">
        <f t="shared" si="21"/>
        <v>0</v>
      </c>
      <c r="P337" s="372"/>
      <c r="Q337" s="372"/>
      <c r="R337" s="372"/>
      <c r="S337" s="372"/>
      <c r="T337" s="372"/>
      <c r="U337" s="372"/>
      <c r="V337" s="372"/>
      <c r="W337" s="372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72"/>
      <c r="AL337" s="372"/>
      <c r="AM337" s="372"/>
      <c r="AN337" s="372"/>
      <c r="AO337" s="372"/>
      <c r="AP337" s="372"/>
      <c r="AQ337" s="372"/>
      <c r="AR337" s="372"/>
      <c r="AS337" s="372"/>
      <c r="AT337" s="372"/>
      <c r="AU337" s="372"/>
      <c r="AV337" s="372"/>
      <c r="AW337" s="372"/>
      <c r="AX337" s="372"/>
      <c r="AY337" s="372"/>
      <c r="AZ337" s="372"/>
      <c r="BA337" s="372"/>
      <c r="BB337" s="372"/>
      <c r="BC337" s="372"/>
      <c r="BD337" s="372"/>
      <c r="BE337" s="372"/>
      <c r="BF337" s="372"/>
      <c r="BG337" s="372"/>
      <c r="BH337" s="372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3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7" t="e">
        <f>K338*VLOOKUP(E338,BD!$A$2:$F$122,6,0)</f>
        <v>#N/A</v>
      </c>
      <c r="N338" s="6">
        <f t="shared" si="19"/>
        <v>1900</v>
      </c>
      <c r="O338" s="109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61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5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7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2"/>
      <c r="Q339" s="372"/>
      <c r="R339" s="372"/>
      <c r="S339" s="372"/>
      <c r="T339" s="372"/>
      <c r="U339" s="372"/>
      <c r="V339" s="372"/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72"/>
      <c r="AK339" s="372"/>
      <c r="AL339" s="372"/>
      <c r="AM339" s="372"/>
      <c r="AN339" s="372"/>
      <c r="AO339" s="372"/>
      <c r="AP339" s="372"/>
      <c r="AQ339" s="372"/>
      <c r="AR339" s="372"/>
      <c r="AS339" s="372"/>
      <c r="AT339" s="372"/>
      <c r="AU339" s="372"/>
      <c r="AV339" s="372"/>
      <c r="AW339" s="372"/>
      <c r="AX339" s="372"/>
      <c r="AY339" s="372"/>
      <c r="AZ339" s="372"/>
      <c r="BA339" s="372"/>
      <c r="BB339" s="372"/>
      <c r="BC339" s="372"/>
      <c r="BD339" s="372"/>
      <c r="BE339" s="372"/>
      <c r="BF339" s="372"/>
      <c r="BG339" s="372"/>
      <c r="BH339" s="372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5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7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5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7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5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7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5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7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71"/>
      <c r="Q343" s="371"/>
      <c r="R343" s="371"/>
      <c r="S343" s="371"/>
      <c r="T343" s="371"/>
      <c r="U343" s="371"/>
      <c r="V343" s="371"/>
      <c r="W343" s="371"/>
      <c r="X343" s="371"/>
      <c r="Y343" s="371"/>
      <c r="Z343" s="371"/>
      <c r="AA343" s="371"/>
      <c r="AB343" s="371"/>
      <c r="AC343" s="371"/>
      <c r="AD343" s="371"/>
      <c r="AE343" s="371"/>
      <c r="AF343" s="371"/>
      <c r="AG343" s="371"/>
      <c r="AH343" s="371"/>
      <c r="AI343" s="371"/>
      <c r="AJ343" s="371"/>
      <c r="AK343" s="371"/>
      <c r="AL343" s="371"/>
      <c r="AM343" s="371"/>
      <c r="AN343" s="371"/>
      <c r="AO343" s="371"/>
      <c r="AP343" s="371"/>
      <c r="AQ343" s="371"/>
      <c r="AR343" s="371"/>
      <c r="AS343" s="371"/>
      <c r="AT343" s="371"/>
      <c r="AU343" s="371"/>
      <c r="AV343" s="371"/>
      <c r="AW343" s="371"/>
      <c r="AX343" s="371"/>
      <c r="AY343" s="371"/>
      <c r="AZ343" s="371"/>
      <c r="BA343" s="371"/>
      <c r="BB343" s="371"/>
      <c r="BC343" s="371"/>
      <c r="BD343" s="371"/>
      <c r="BE343" s="371"/>
      <c r="BF343" s="371"/>
      <c r="BG343" s="371"/>
      <c r="BH343" s="371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5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7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5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7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71"/>
      <c r="Q345" s="371"/>
      <c r="R345" s="371"/>
      <c r="S345" s="371"/>
      <c r="T345" s="371"/>
      <c r="U345" s="371"/>
      <c r="V345" s="371"/>
      <c r="W345" s="371"/>
      <c r="X345" s="371"/>
      <c r="Y345" s="371"/>
      <c r="Z345" s="371"/>
      <c r="AA345" s="371"/>
      <c r="AB345" s="371"/>
      <c r="AC345" s="371"/>
      <c r="AD345" s="371"/>
      <c r="AE345" s="371"/>
      <c r="AF345" s="371"/>
      <c r="AG345" s="371"/>
      <c r="AH345" s="371"/>
      <c r="AI345" s="371"/>
      <c r="AJ345" s="371"/>
      <c r="AK345" s="371"/>
      <c r="AL345" s="371"/>
      <c r="AM345" s="371"/>
      <c r="AN345" s="371"/>
      <c r="AO345" s="371"/>
      <c r="AP345" s="371"/>
      <c r="AQ345" s="371"/>
      <c r="AR345" s="371"/>
      <c r="AS345" s="371"/>
      <c r="AT345" s="371"/>
      <c r="AU345" s="371"/>
      <c r="AV345" s="371"/>
      <c r="AW345" s="371"/>
      <c r="AX345" s="371"/>
      <c r="AY345" s="371"/>
      <c r="AZ345" s="371"/>
      <c r="BA345" s="371"/>
      <c r="BB345" s="371"/>
      <c r="BC345" s="371"/>
      <c r="BD345" s="371"/>
      <c r="BE345" s="371"/>
      <c r="BF345" s="371"/>
      <c r="BG345" s="371"/>
      <c r="BH345" s="371"/>
    </row>
    <row r="346" spans="1:60" s="361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5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7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2"/>
      <c r="Q346" s="372"/>
      <c r="R346" s="372"/>
      <c r="S346" s="372"/>
      <c r="T346" s="372"/>
      <c r="U346" s="372"/>
      <c r="V346" s="372"/>
      <c r="W346" s="372"/>
      <c r="X346" s="372"/>
      <c r="Y346" s="372"/>
      <c r="Z346" s="372"/>
      <c r="AA346" s="372"/>
      <c r="AB346" s="372"/>
      <c r="AC346" s="372"/>
      <c r="AD346" s="372"/>
      <c r="AE346" s="372"/>
      <c r="AF346" s="372"/>
      <c r="AG346" s="372"/>
      <c r="AH346" s="372"/>
      <c r="AI346" s="372"/>
      <c r="AJ346" s="372"/>
      <c r="AK346" s="372"/>
      <c r="AL346" s="372"/>
      <c r="AM346" s="372"/>
      <c r="AN346" s="372"/>
      <c r="AO346" s="372"/>
      <c r="AP346" s="372"/>
      <c r="AQ346" s="372"/>
      <c r="AR346" s="372"/>
      <c r="AS346" s="372"/>
      <c r="AT346" s="372"/>
      <c r="AU346" s="372"/>
      <c r="AV346" s="372"/>
      <c r="AW346" s="372"/>
      <c r="AX346" s="372"/>
      <c r="AY346" s="372"/>
      <c r="AZ346" s="372"/>
      <c r="BA346" s="372"/>
      <c r="BB346" s="372"/>
      <c r="BC346" s="372"/>
      <c r="BD346" s="372"/>
      <c r="BE346" s="372"/>
      <c r="BF346" s="372"/>
      <c r="BG346" s="372"/>
      <c r="BH346" s="372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5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7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61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5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7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2"/>
      <c r="Q348" s="372"/>
      <c r="R348" s="372"/>
      <c r="S348" s="372"/>
      <c r="T348" s="372"/>
      <c r="U348" s="372"/>
      <c r="V348" s="372"/>
      <c r="W348" s="372"/>
      <c r="X348" s="372"/>
      <c r="Y348" s="372"/>
      <c r="Z348" s="372"/>
      <c r="AA348" s="372"/>
      <c r="AB348" s="372"/>
      <c r="AC348" s="372"/>
      <c r="AD348" s="372"/>
      <c r="AE348" s="372"/>
      <c r="AF348" s="372"/>
      <c r="AG348" s="372"/>
      <c r="AH348" s="372"/>
      <c r="AI348" s="372"/>
      <c r="AJ348" s="372"/>
      <c r="AK348" s="372"/>
      <c r="AL348" s="372"/>
      <c r="AM348" s="372"/>
      <c r="AN348" s="372"/>
      <c r="AO348" s="372"/>
      <c r="AP348" s="372"/>
      <c r="AQ348" s="372"/>
      <c r="AR348" s="372"/>
      <c r="AS348" s="372"/>
      <c r="AT348" s="372"/>
      <c r="AU348" s="372"/>
      <c r="AV348" s="372"/>
      <c r="AW348" s="372"/>
      <c r="AX348" s="372"/>
      <c r="AY348" s="372"/>
      <c r="AZ348" s="372"/>
      <c r="BA348" s="372"/>
      <c r="BB348" s="372"/>
      <c r="BC348" s="372"/>
      <c r="BD348" s="372"/>
      <c r="BE348" s="372"/>
      <c r="BF348" s="372"/>
      <c r="BG348" s="372"/>
      <c r="BH348" s="372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5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7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2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7" t="e">
        <f>K350*VLOOKUP(E350,BD!$A$2:$F$122,6,0)</f>
        <v>#N/A</v>
      </c>
      <c r="N350" s="33">
        <f t="shared" si="19"/>
        <v>1900</v>
      </c>
      <c r="O350" s="386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3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7" t="e">
        <f>K351*VLOOKUP(E351,BD!$A$2:$F$122,6,0)</f>
        <v>#N/A</v>
      </c>
      <c r="N351" s="6">
        <f t="shared" si="19"/>
        <v>1900</v>
      </c>
      <c r="O351" s="109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5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7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71"/>
      <c r="Q352" s="371"/>
      <c r="R352" s="371"/>
      <c r="S352" s="371"/>
      <c r="T352" s="371"/>
      <c r="U352" s="371"/>
      <c r="V352" s="371"/>
      <c r="W352" s="371"/>
      <c r="X352" s="371"/>
      <c r="Y352" s="371"/>
      <c r="Z352" s="371"/>
      <c r="AA352" s="371"/>
      <c r="AB352" s="371"/>
      <c r="AC352" s="371"/>
      <c r="AD352" s="371"/>
      <c r="AE352" s="371"/>
      <c r="AF352" s="371"/>
      <c r="AG352" s="371"/>
      <c r="AH352" s="371"/>
      <c r="AI352" s="371"/>
      <c r="AJ352" s="371"/>
      <c r="AK352" s="371"/>
      <c r="AL352" s="371"/>
      <c r="AM352" s="371"/>
      <c r="AN352" s="371"/>
      <c r="AO352" s="371"/>
      <c r="AP352" s="371"/>
      <c r="AQ352" s="371"/>
      <c r="AR352" s="371"/>
      <c r="AS352" s="371"/>
      <c r="AT352" s="371"/>
      <c r="AU352" s="371"/>
      <c r="AV352" s="371"/>
      <c r="AW352" s="371"/>
      <c r="AX352" s="371"/>
      <c r="AY352" s="371"/>
      <c r="AZ352" s="371"/>
      <c r="BA352" s="371"/>
      <c r="BB352" s="371"/>
      <c r="BC352" s="371"/>
      <c r="BD352" s="371"/>
      <c r="BE352" s="371"/>
      <c r="BF352" s="371"/>
      <c r="BG352" s="371"/>
      <c r="BH352" s="371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5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7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5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7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71"/>
      <c r="Q354" s="371"/>
      <c r="R354" s="371"/>
      <c r="S354" s="371"/>
      <c r="T354" s="371"/>
      <c r="U354" s="371"/>
      <c r="V354" s="371"/>
      <c r="W354" s="371"/>
      <c r="X354" s="371"/>
      <c r="Y354" s="371"/>
      <c r="Z354" s="371"/>
      <c r="AA354" s="371"/>
      <c r="AB354" s="371"/>
      <c r="AC354" s="371"/>
      <c r="AD354" s="371"/>
      <c r="AE354" s="371"/>
      <c r="AF354" s="371"/>
      <c r="AG354" s="371"/>
      <c r="AH354" s="371"/>
      <c r="AI354" s="371"/>
      <c r="AJ354" s="371"/>
      <c r="AK354" s="371"/>
      <c r="AL354" s="371"/>
      <c r="AM354" s="371"/>
      <c r="AN354" s="371"/>
      <c r="AO354" s="371"/>
      <c r="AP354" s="371"/>
      <c r="AQ354" s="371"/>
      <c r="AR354" s="371"/>
      <c r="AS354" s="371"/>
      <c r="AT354" s="371"/>
      <c r="AU354" s="371"/>
      <c r="AV354" s="371"/>
      <c r="AW354" s="371"/>
      <c r="AX354" s="371"/>
      <c r="AY354" s="371"/>
      <c r="AZ354" s="371"/>
      <c r="BA354" s="371"/>
      <c r="BB354" s="371"/>
      <c r="BC354" s="371"/>
      <c r="BD354" s="371"/>
      <c r="BE354" s="371"/>
      <c r="BF354" s="371"/>
      <c r="BG354" s="371"/>
      <c r="BH354" s="371"/>
    </row>
    <row r="355" spans="1:60" s="361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5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7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2"/>
      <c r="Q355" s="372"/>
      <c r="R355" s="372"/>
      <c r="S355" s="372"/>
      <c r="T355" s="372"/>
      <c r="U355" s="372"/>
      <c r="V355" s="372"/>
      <c r="W355" s="372"/>
      <c r="X355" s="372"/>
      <c r="Y355" s="372"/>
      <c r="Z355" s="372"/>
      <c r="AA355" s="372"/>
      <c r="AB355" s="372"/>
      <c r="AC355" s="372"/>
      <c r="AD355" s="372"/>
      <c r="AE355" s="372"/>
      <c r="AF355" s="372"/>
      <c r="AG355" s="372"/>
      <c r="AH355" s="372"/>
      <c r="AI355" s="372"/>
      <c r="AJ355" s="372"/>
      <c r="AK355" s="372"/>
      <c r="AL355" s="372"/>
      <c r="AM355" s="372"/>
      <c r="AN355" s="372"/>
      <c r="AO355" s="372"/>
      <c r="AP355" s="372"/>
      <c r="AQ355" s="372"/>
      <c r="AR355" s="372"/>
      <c r="AS355" s="372"/>
      <c r="AT355" s="372"/>
      <c r="AU355" s="372"/>
      <c r="AV355" s="372"/>
      <c r="AW355" s="372"/>
      <c r="AX355" s="372"/>
      <c r="AY355" s="372"/>
      <c r="AZ355" s="372"/>
      <c r="BA355" s="372"/>
      <c r="BB355" s="372"/>
      <c r="BC355" s="372"/>
      <c r="BD355" s="372"/>
      <c r="BE355" s="372"/>
      <c r="BF355" s="372"/>
      <c r="BG355" s="372"/>
      <c r="BH355" s="372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5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7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61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5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7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2"/>
      <c r="Q357" s="372"/>
      <c r="R357" s="372"/>
      <c r="S357" s="372"/>
      <c r="T357" s="372"/>
      <c r="U357" s="372"/>
      <c r="V357" s="372"/>
      <c r="W357" s="372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72"/>
      <c r="AL357" s="372"/>
      <c r="AM357" s="372"/>
      <c r="AN357" s="372"/>
      <c r="AO357" s="372"/>
      <c r="AP357" s="372"/>
      <c r="AQ357" s="372"/>
      <c r="AR357" s="372"/>
      <c r="AS357" s="372"/>
      <c r="AT357" s="372"/>
      <c r="AU357" s="372"/>
      <c r="AV357" s="372"/>
      <c r="AW357" s="372"/>
      <c r="AX357" s="372"/>
      <c r="AY357" s="372"/>
      <c r="AZ357" s="372"/>
      <c r="BA357" s="372"/>
      <c r="BB357" s="372"/>
      <c r="BC357" s="372"/>
      <c r="BD357" s="372"/>
      <c r="BE357" s="372"/>
      <c r="BF357" s="372"/>
      <c r="BG357" s="372"/>
      <c r="BH357" s="372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5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7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5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7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5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7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5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7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71"/>
      <c r="Q361" s="371"/>
      <c r="R361" s="371"/>
      <c r="S361" s="371"/>
      <c r="T361" s="371"/>
      <c r="U361" s="371"/>
      <c r="V361" s="371"/>
      <c r="W361" s="371"/>
      <c r="X361" s="371"/>
      <c r="Y361" s="371"/>
      <c r="Z361" s="371"/>
      <c r="AA361" s="371"/>
      <c r="AB361" s="371"/>
      <c r="AC361" s="371"/>
      <c r="AD361" s="371"/>
      <c r="AE361" s="371"/>
      <c r="AF361" s="371"/>
      <c r="AG361" s="371"/>
      <c r="AH361" s="371"/>
      <c r="AI361" s="371"/>
      <c r="AJ361" s="371"/>
      <c r="AK361" s="371"/>
      <c r="AL361" s="371"/>
      <c r="AM361" s="371"/>
      <c r="AN361" s="371"/>
      <c r="AO361" s="371"/>
      <c r="AP361" s="371"/>
      <c r="AQ361" s="371"/>
      <c r="AR361" s="371"/>
      <c r="AS361" s="371"/>
      <c r="AT361" s="371"/>
      <c r="AU361" s="371"/>
      <c r="AV361" s="371"/>
      <c r="AW361" s="371"/>
      <c r="AX361" s="371"/>
      <c r="AY361" s="371"/>
      <c r="AZ361" s="371"/>
      <c r="BA361" s="371"/>
      <c r="BB361" s="371"/>
      <c r="BC361" s="371"/>
      <c r="BD361" s="371"/>
      <c r="BE361" s="371"/>
      <c r="BF361" s="371"/>
      <c r="BG361" s="371"/>
      <c r="BH361" s="371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5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7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2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7" t="e">
        <f>K363*VLOOKUP(E363,BD!$A$2:$F$122,6,0)</f>
        <v>#N/A</v>
      </c>
      <c r="N363" s="33">
        <f t="shared" si="19"/>
        <v>1900</v>
      </c>
      <c r="O363" s="386">
        <f t="shared" si="21"/>
        <v>0</v>
      </c>
      <c r="P363" s="371"/>
      <c r="Q363" s="371"/>
      <c r="R363" s="371"/>
      <c r="S363" s="371"/>
      <c r="T363" s="371"/>
      <c r="U363" s="371"/>
      <c r="V363" s="371"/>
      <c r="W363" s="371"/>
      <c r="X363" s="371"/>
      <c r="Y363" s="371"/>
      <c r="Z363" s="371"/>
      <c r="AA363" s="371"/>
      <c r="AB363" s="371"/>
      <c r="AC363" s="371"/>
      <c r="AD363" s="371"/>
      <c r="AE363" s="371"/>
      <c r="AF363" s="371"/>
      <c r="AG363" s="371"/>
      <c r="AH363" s="371"/>
      <c r="AI363" s="371"/>
      <c r="AJ363" s="371"/>
      <c r="AK363" s="371"/>
      <c r="AL363" s="371"/>
      <c r="AM363" s="371"/>
      <c r="AN363" s="371"/>
      <c r="AO363" s="371"/>
      <c r="AP363" s="371"/>
      <c r="AQ363" s="371"/>
      <c r="AR363" s="371"/>
      <c r="AS363" s="371"/>
      <c r="AT363" s="371"/>
      <c r="AU363" s="371"/>
      <c r="AV363" s="371"/>
      <c r="AW363" s="371"/>
      <c r="AX363" s="371"/>
      <c r="AY363" s="371"/>
      <c r="AZ363" s="371"/>
      <c r="BA363" s="371"/>
      <c r="BB363" s="371"/>
      <c r="BC363" s="371"/>
      <c r="BD363" s="371"/>
      <c r="BE363" s="371"/>
      <c r="BF363" s="371"/>
      <c r="BG363" s="371"/>
      <c r="BH363" s="371"/>
    </row>
    <row r="364" spans="1:60" s="361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3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7" t="e">
        <f>K364*VLOOKUP(E364,BD!$A$2:$F$122,6,0)</f>
        <v>#N/A</v>
      </c>
      <c r="N364" s="6">
        <f t="shared" si="19"/>
        <v>1900</v>
      </c>
      <c r="O364" s="109">
        <f t="shared" si="21"/>
        <v>0</v>
      </c>
      <c r="P364" s="372"/>
      <c r="Q364" s="372"/>
      <c r="R364" s="372"/>
      <c r="S364" s="372"/>
      <c r="T364" s="372"/>
      <c r="U364" s="372"/>
      <c r="V364" s="372"/>
      <c r="W364" s="372"/>
      <c r="X364" s="372"/>
      <c r="Y364" s="372"/>
      <c r="Z364" s="372"/>
      <c r="AA364" s="372"/>
      <c r="AB364" s="372"/>
      <c r="AC364" s="372"/>
      <c r="AD364" s="372"/>
      <c r="AE364" s="372"/>
      <c r="AF364" s="372"/>
      <c r="AG364" s="372"/>
      <c r="AH364" s="372"/>
      <c r="AI364" s="372"/>
      <c r="AJ364" s="372"/>
      <c r="AK364" s="372"/>
      <c r="AL364" s="372"/>
      <c r="AM364" s="372"/>
      <c r="AN364" s="372"/>
      <c r="AO364" s="372"/>
      <c r="AP364" s="372"/>
      <c r="AQ364" s="372"/>
      <c r="AR364" s="372"/>
      <c r="AS364" s="372"/>
      <c r="AT364" s="372"/>
      <c r="AU364" s="372"/>
      <c r="AV364" s="372"/>
      <c r="AW364" s="372"/>
      <c r="AX364" s="372"/>
      <c r="AY364" s="372"/>
      <c r="AZ364" s="372"/>
      <c r="BA364" s="372"/>
      <c r="BB364" s="372"/>
      <c r="BC364" s="372"/>
      <c r="BD364" s="372"/>
      <c r="BE364" s="372"/>
      <c r="BF364" s="372"/>
      <c r="BG364" s="372"/>
      <c r="BH364" s="372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5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7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61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5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7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2"/>
      <c r="Q366" s="372"/>
      <c r="R366" s="372"/>
      <c r="S366" s="372"/>
      <c r="T366" s="372"/>
      <c r="U366" s="372"/>
      <c r="V366" s="372"/>
      <c r="W366" s="372"/>
      <c r="X366" s="372"/>
      <c r="Y366" s="372"/>
      <c r="Z366" s="372"/>
      <c r="AA366" s="372"/>
      <c r="AB366" s="372"/>
      <c r="AC366" s="372"/>
      <c r="AD366" s="372"/>
      <c r="AE366" s="372"/>
      <c r="AF366" s="372"/>
      <c r="AG366" s="372"/>
      <c r="AH366" s="372"/>
      <c r="AI366" s="372"/>
      <c r="AJ366" s="372"/>
      <c r="AK366" s="372"/>
      <c r="AL366" s="372"/>
      <c r="AM366" s="372"/>
      <c r="AN366" s="372"/>
      <c r="AO366" s="372"/>
      <c r="AP366" s="372"/>
      <c r="AQ366" s="372"/>
      <c r="AR366" s="372"/>
      <c r="AS366" s="372"/>
      <c r="AT366" s="372"/>
      <c r="AU366" s="372"/>
      <c r="AV366" s="372"/>
      <c r="AW366" s="372"/>
      <c r="AX366" s="372"/>
      <c r="AY366" s="372"/>
      <c r="AZ366" s="372"/>
      <c r="BA366" s="372"/>
      <c r="BB366" s="372"/>
      <c r="BC366" s="372"/>
      <c r="BD366" s="372"/>
      <c r="BE366" s="372"/>
      <c r="BF366" s="372"/>
      <c r="BG366" s="372"/>
      <c r="BH366" s="372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5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7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5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7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2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7" t="e">
        <f>K369*VLOOKUP(E369,BD!$A$2:$F$122,6,0)</f>
        <v>#N/A</v>
      </c>
      <c r="N369" s="33">
        <f t="shared" si="19"/>
        <v>1900</v>
      </c>
      <c r="O369" s="386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3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7" t="e">
        <f>K370*VLOOKUP(E370,BD!$A$2:$F$122,6,0)</f>
        <v>#N/A</v>
      </c>
      <c r="N370" s="6">
        <f t="shared" si="19"/>
        <v>1900</v>
      </c>
      <c r="O370" s="109">
        <f t="shared" si="21"/>
        <v>0</v>
      </c>
      <c r="P370" s="371"/>
      <c r="Q370" s="371"/>
      <c r="R370" s="371"/>
      <c r="S370" s="371"/>
      <c r="T370" s="371"/>
      <c r="U370" s="371"/>
      <c r="V370" s="371"/>
      <c r="W370" s="371"/>
      <c r="X370" s="371"/>
      <c r="Y370" s="371"/>
      <c r="Z370" s="371"/>
      <c r="AA370" s="371"/>
      <c r="AB370" s="371"/>
      <c r="AC370" s="371"/>
      <c r="AD370" s="371"/>
      <c r="AE370" s="371"/>
      <c r="AF370" s="371"/>
      <c r="AG370" s="371"/>
      <c r="AH370" s="371"/>
      <c r="AI370" s="371"/>
      <c r="AJ370" s="371"/>
      <c r="AK370" s="371"/>
      <c r="AL370" s="371"/>
      <c r="AM370" s="371"/>
      <c r="AN370" s="371"/>
      <c r="AO370" s="371"/>
      <c r="AP370" s="371"/>
      <c r="AQ370" s="371"/>
      <c r="AR370" s="371"/>
      <c r="AS370" s="371"/>
      <c r="AT370" s="371"/>
      <c r="AU370" s="371"/>
      <c r="AV370" s="371"/>
      <c r="AW370" s="371"/>
      <c r="AX370" s="371"/>
      <c r="AY370" s="371"/>
      <c r="AZ370" s="371"/>
      <c r="BA370" s="371"/>
      <c r="BB370" s="371"/>
      <c r="BC370" s="371"/>
      <c r="BD370" s="371"/>
      <c r="BE370" s="371"/>
      <c r="BF370" s="371"/>
      <c r="BG370" s="371"/>
      <c r="BH370" s="371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5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7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5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7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71"/>
      <c r="Q372" s="371"/>
      <c r="R372" s="371"/>
      <c r="S372" s="371"/>
      <c r="T372" s="371"/>
      <c r="U372" s="371"/>
      <c r="V372" s="371"/>
      <c r="W372" s="371"/>
      <c r="X372" s="371"/>
      <c r="Y372" s="371"/>
      <c r="Z372" s="371"/>
      <c r="AA372" s="371"/>
      <c r="AB372" s="371"/>
      <c r="AC372" s="371"/>
      <c r="AD372" s="371"/>
      <c r="AE372" s="371"/>
      <c r="AF372" s="371"/>
      <c r="AG372" s="371"/>
      <c r="AH372" s="371"/>
      <c r="AI372" s="371"/>
      <c r="AJ372" s="371"/>
      <c r="AK372" s="371"/>
      <c r="AL372" s="371"/>
      <c r="AM372" s="371"/>
      <c r="AN372" s="371"/>
      <c r="AO372" s="371"/>
      <c r="AP372" s="371"/>
      <c r="AQ372" s="371"/>
      <c r="AR372" s="371"/>
      <c r="AS372" s="371"/>
      <c r="AT372" s="371"/>
      <c r="AU372" s="371"/>
      <c r="AV372" s="371"/>
      <c r="AW372" s="371"/>
      <c r="AX372" s="371"/>
      <c r="AY372" s="371"/>
      <c r="AZ372" s="371"/>
      <c r="BA372" s="371"/>
      <c r="BB372" s="371"/>
      <c r="BC372" s="371"/>
      <c r="BD372" s="371"/>
      <c r="BE372" s="371"/>
      <c r="BF372" s="371"/>
      <c r="BG372" s="371"/>
      <c r="BH372" s="371"/>
    </row>
    <row r="373" spans="1:60" s="361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5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7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2"/>
      <c r="Q373" s="372"/>
      <c r="R373" s="372"/>
      <c r="S373" s="372"/>
      <c r="T373" s="372"/>
      <c r="U373" s="372"/>
      <c r="V373" s="372"/>
      <c r="W373" s="372"/>
      <c r="X373" s="372"/>
      <c r="Y373" s="372"/>
      <c r="Z373" s="372"/>
      <c r="AA373" s="372"/>
      <c r="AB373" s="372"/>
      <c r="AC373" s="372"/>
      <c r="AD373" s="372"/>
      <c r="AE373" s="372"/>
      <c r="AF373" s="372"/>
      <c r="AG373" s="372"/>
      <c r="AH373" s="372"/>
      <c r="AI373" s="372"/>
      <c r="AJ373" s="372"/>
      <c r="AK373" s="372"/>
      <c r="AL373" s="372"/>
      <c r="AM373" s="372"/>
      <c r="AN373" s="372"/>
      <c r="AO373" s="372"/>
      <c r="AP373" s="372"/>
      <c r="AQ373" s="372"/>
      <c r="AR373" s="372"/>
      <c r="AS373" s="372"/>
      <c r="AT373" s="372"/>
      <c r="AU373" s="372"/>
      <c r="AV373" s="372"/>
      <c r="AW373" s="372"/>
      <c r="AX373" s="372"/>
      <c r="AY373" s="372"/>
      <c r="AZ373" s="372"/>
      <c r="BA373" s="372"/>
      <c r="BB373" s="372"/>
      <c r="BC373" s="372"/>
      <c r="BD373" s="372"/>
      <c r="BE373" s="372"/>
      <c r="BF373" s="372"/>
      <c r="BG373" s="372"/>
      <c r="BH373" s="372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5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7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61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5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7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2"/>
      <c r="Q375" s="372"/>
      <c r="R375" s="372"/>
      <c r="S375" s="372"/>
      <c r="T375" s="372"/>
      <c r="U375" s="372"/>
      <c r="V375" s="372"/>
      <c r="W375" s="372"/>
      <c r="X375" s="372"/>
      <c r="Y375" s="372"/>
      <c r="Z375" s="372"/>
      <c r="AA375" s="372"/>
      <c r="AB375" s="372"/>
      <c r="AC375" s="372"/>
      <c r="AD375" s="372"/>
      <c r="AE375" s="372"/>
      <c r="AF375" s="372"/>
      <c r="AG375" s="372"/>
      <c r="AH375" s="372"/>
      <c r="AI375" s="372"/>
      <c r="AJ375" s="372"/>
      <c r="AK375" s="372"/>
      <c r="AL375" s="372"/>
      <c r="AM375" s="372"/>
      <c r="AN375" s="372"/>
      <c r="AO375" s="372"/>
      <c r="AP375" s="372"/>
      <c r="AQ375" s="372"/>
      <c r="AR375" s="372"/>
      <c r="AS375" s="372"/>
      <c r="AT375" s="372"/>
      <c r="AU375" s="372"/>
      <c r="AV375" s="372"/>
      <c r="AW375" s="372"/>
      <c r="AX375" s="372"/>
      <c r="AY375" s="372"/>
      <c r="AZ375" s="372"/>
      <c r="BA375" s="372"/>
      <c r="BB375" s="372"/>
      <c r="BC375" s="372"/>
      <c r="BD375" s="372"/>
      <c r="BE375" s="372"/>
      <c r="BF375" s="372"/>
      <c r="BG375" s="372"/>
      <c r="BH375" s="372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5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7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5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7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2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7" t="e">
        <f>K378*VLOOKUP(E378,BD!$A$2:$F$122,6,0)</f>
        <v>#N/A</v>
      </c>
      <c r="N378" s="33">
        <f t="shared" si="19"/>
        <v>1900</v>
      </c>
      <c r="O378" s="386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3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7" t="e">
        <f>K379*VLOOKUP(E379,BD!$A$2:$F$122,6,0)</f>
        <v>#N/A</v>
      </c>
      <c r="N379" s="6">
        <f t="shared" si="19"/>
        <v>1900</v>
      </c>
      <c r="O379" s="109">
        <f t="shared" si="21"/>
        <v>0</v>
      </c>
      <c r="P379" s="371"/>
      <c r="Q379" s="371"/>
      <c r="R379" s="371"/>
      <c r="S379" s="371"/>
      <c r="T379" s="371"/>
      <c r="U379" s="371"/>
      <c r="V379" s="371"/>
      <c r="W379" s="371"/>
      <c r="X379" s="371"/>
      <c r="Y379" s="371"/>
      <c r="Z379" s="371"/>
      <c r="AA379" s="371"/>
      <c r="AB379" s="371"/>
      <c r="AC379" s="371"/>
      <c r="AD379" s="371"/>
      <c r="AE379" s="371"/>
      <c r="AF379" s="371"/>
      <c r="AG379" s="371"/>
      <c r="AH379" s="371"/>
      <c r="AI379" s="371"/>
      <c r="AJ379" s="371"/>
      <c r="AK379" s="371"/>
      <c r="AL379" s="371"/>
      <c r="AM379" s="371"/>
      <c r="AN379" s="371"/>
      <c r="AO379" s="371"/>
      <c r="AP379" s="371"/>
      <c r="AQ379" s="371"/>
      <c r="AR379" s="371"/>
      <c r="AS379" s="371"/>
      <c r="AT379" s="371"/>
      <c r="AU379" s="371"/>
      <c r="AV379" s="371"/>
      <c r="AW379" s="371"/>
      <c r="AX379" s="371"/>
      <c r="AY379" s="371"/>
      <c r="AZ379" s="371"/>
      <c r="BA379" s="371"/>
      <c r="BB379" s="371"/>
      <c r="BC379" s="371"/>
      <c r="BD379" s="371"/>
      <c r="BE379" s="371"/>
      <c r="BF379" s="371"/>
      <c r="BG379" s="371"/>
      <c r="BH379" s="371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5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7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5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7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71"/>
      <c r="Q381" s="371"/>
      <c r="R381" s="371"/>
      <c r="S381" s="371"/>
      <c r="T381" s="371"/>
      <c r="U381" s="371"/>
      <c r="V381" s="371"/>
      <c r="W381" s="371"/>
      <c r="X381" s="371"/>
      <c r="Y381" s="371"/>
      <c r="Z381" s="371"/>
      <c r="AA381" s="371"/>
      <c r="AB381" s="371"/>
      <c r="AC381" s="371"/>
      <c r="AD381" s="371"/>
      <c r="AE381" s="371"/>
      <c r="AF381" s="371"/>
      <c r="AG381" s="371"/>
      <c r="AH381" s="371"/>
      <c r="AI381" s="371"/>
      <c r="AJ381" s="371"/>
      <c r="AK381" s="371"/>
      <c r="AL381" s="371"/>
      <c r="AM381" s="371"/>
      <c r="AN381" s="371"/>
      <c r="AO381" s="371"/>
      <c r="AP381" s="371"/>
      <c r="AQ381" s="371"/>
      <c r="AR381" s="371"/>
      <c r="AS381" s="371"/>
      <c r="AT381" s="371"/>
      <c r="AU381" s="371"/>
      <c r="AV381" s="371"/>
      <c r="AW381" s="371"/>
      <c r="AX381" s="371"/>
      <c r="AY381" s="371"/>
      <c r="AZ381" s="371"/>
      <c r="BA381" s="371"/>
      <c r="BB381" s="371"/>
      <c r="BC381" s="371"/>
      <c r="BD381" s="371"/>
      <c r="BE381" s="371"/>
      <c r="BF381" s="371"/>
      <c r="BG381" s="371"/>
      <c r="BH381" s="371"/>
    </row>
    <row r="382" spans="1:60" s="361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5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7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2"/>
      <c r="Q382" s="372"/>
      <c r="R382" s="372"/>
      <c r="S382" s="372"/>
      <c r="T382" s="372"/>
      <c r="U382" s="372"/>
      <c r="V382" s="372"/>
      <c r="W382" s="372"/>
      <c r="X382" s="372"/>
      <c r="Y382" s="372"/>
      <c r="Z382" s="372"/>
      <c r="AA382" s="372"/>
      <c r="AB382" s="372"/>
      <c r="AC382" s="372"/>
      <c r="AD382" s="372"/>
      <c r="AE382" s="372"/>
      <c r="AF382" s="372"/>
      <c r="AG382" s="372"/>
      <c r="AH382" s="372"/>
      <c r="AI382" s="372"/>
      <c r="AJ382" s="372"/>
      <c r="AK382" s="372"/>
      <c r="AL382" s="372"/>
      <c r="AM382" s="372"/>
      <c r="AN382" s="372"/>
      <c r="AO382" s="372"/>
      <c r="AP382" s="372"/>
      <c r="AQ382" s="372"/>
      <c r="AR382" s="372"/>
      <c r="AS382" s="372"/>
      <c r="AT382" s="372"/>
      <c r="AU382" s="372"/>
      <c r="AV382" s="372"/>
      <c r="AW382" s="372"/>
      <c r="AX382" s="372"/>
      <c r="AY382" s="372"/>
      <c r="AZ382" s="372"/>
      <c r="BA382" s="372"/>
      <c r="BB382" s="372"/>
      <c r="BC382" s="372"/>
      <c r="BD382" s="372"/>
      <c r="BE382" s="372"/>
      <c r="BF382" s="372"/>
      <c r="BG382" s="372"/>
      <c r="BH382" s="372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5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7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61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5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7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2"/>
      <c r="Q384" s="372"/>
      <c r="R384" s="372"/>
      <c r="S384" s="372"/>
      <c r="T384" s="372"/>
      <c r="U384" s="372"/>
      <c r="V384" s="372"/>
      <c r="W384" s="372"/>
      <c r="X384" s="372"/>
      <c r="Y384" s="372"/>
      <c r="Z384" s="372"/>
      <c r="AA384" s="372"/>
      <c r="AB384" s="372"/>
      <c r="AC384" s="372"/>
      <c r="AD384" s="372"/>
      <c r="AE384" s="372"/>
      <c r="AF384" s="372"/>
      <c r="AG384" s="372"/>
      <c r="AH384" s="372"/>
      <c r="AI384" s="372"/>
      <c r="AJ384" s="372"/>
      <c r="AK384" s="372"/>
      <c r="AL384" s="372"/>
      <c r="AM384" s="372"/>
      <c r="AN384" s="372"/>
      <c r="AO384" s="372"/>
      <c r="AP384" s="372"/>
      <c r="AQ384" s="372"/>
      <c r="AR384" s="372"/>
      <c r="AS384" s="372"/>
      <c r="AT384" s="372"/>
      <c r="AU384" s="372"/>
      <c r="AV384" s="372"/>
      <c r="AW384" s="372"/>
      <c r="AX384" s="372"/>
      <c r="AY384" s="372"/>
      <c r="AZ384" s="372"/>
      <c r="BA384" s="372"/>
      <c r="BB384" s="372"/>
      <c r="BC384" s="372"/>
      <c r="BD384" s="372"/>
      <c r="BE384" s="372"/>
      <c r="BF384" s="372"/>
      <c r="BG384" s="372"/>
      <c r="BH384" s="372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5"/>
      <c r="F385" s="3"/>
      <c r="G385" s="3"/>
      <c r="H385" s="3"/>
      <c r="I385" s="3"/>
      <c r="J385" s="3">
        <f t="shared" si="22"/>
        <v>0</v>
      </c>
      <c r="K385" s="391"/>
      <c r="L385" s="3">
        <f>+IFERROR(VLOOKUP(E385,BD!$A$2:$D$122,4,FALSE),0)</f>
        <v>0</v>
      </c>
      <c r="M385" s="97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5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7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5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7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2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7" t="e">
        <f>K388*VLOOKUP(E388,BD!$A$2:$F$122,6,0)</f>
        <v>#N/A</v>
      </c>
      <c r="N388" s="33">
        <f t="shared" si="19"/>
        <v>1900</v>
      </c>
      <c r="O388" s="386">
        <f t="shared" si="21"/>
        <v>0</v>
      </c>
      <c r="P388" s="371"/>
      <c r="Q388" s="371"/>
      <c r="R388" s="371"/>
      <c r="S388" s="371"/>
      <c r="T388" s="371"/>
      <c r="U388" s="371"/>
      <c r="V388" s="371"/>
      <c r="W388" s="371"/>
      <c r="X388" s="371"/>
      <c r="Y388" s="371"/>
      <c r="Z388" s="371"/>
      <c r="AA388" s="371"/>
      <c r="AB388" s="371"/>
      <c r="AC388" s="371"/>
      <c r="AD388" s="371"/>
      <c r="AE388" s="371"/>
      <c r="AF388" s="371"/>
      <c r="AG388" s="371"/>
      <c r="AH388" s="371"/>
      <c r="AI388" s="371"/>
      <c r="AJ388" s="371"/>
      <c r="AK388" s="371"/>
      <c r="AL388" s="371"/>
      <c r="AM388" s="371"/>
      <c r="AN388" s="371"/>
      <c r="AO388" s="371"/>
      <c r="AP388" s="371"/>
      <c r="AQ388" s="371"/>
      <c r="AR388" s="371"/>
      <c r="AS388" s="371"/>
      <c r="AT388" s="371"/>
      <c r="AU388" s="371"/>
      <c r="AV388" s="371"/>
      <c r="AW388" s="371"/>
      <c r="AX388" s="371"/>
      <c r="AY388" s="371"/>
      <c r="AZ388" s="371"/>
      <c r="BA388" s="371"/>
      <c r="BB388" s="371"/>
      <c r="BC388" s="371"/>
      <c r="BD388" s="371"/>
      <c r="BE388" s="371"/>
      <c r="BF388" s="371"/>
      <c r="BG388" s="371"/>
      <c r="BH388" s="371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3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7" t="e">
        <f>K389*VLOOKUP(E389,BD!$A$2:$F$122,6,0)</f>
        <v>#N/A</v>
      </c>
      <c r="N389" s="6">
        <f t="shared" si="19"/>
        <v>1900</v>
      </c>
      <c r="O389" s="109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5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7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71"/>
      <c r="Q390" s="371"/>
      <c r="R390" s="371"/>
      <c r="S390" s="371"/>
      <c r="T390" s="371"/>
      <c r="U390" s="371"/>
      <c r="V390" s="371"/>
      <c r="W390" s="371"/>
      <c r="X390" s="371"/>
      <c r="Y390" s="371"/>
      <c r="Z390" s="371"/>
      <c r="AA390" s="371"/>
      <c r="AB390" s="371"/>
      <c r="AC390" s="371"/>
      <c r="AD390" s="371"/>
      <c r="AE390" s="371"/>
      <c r="AF390" s="371"/>
      <c r="AG390" s="371"/>
      <c r="AH390" s="371"/>
      <c r="AI390" s="371"/>
      <c r="AJ390" s="371"/>
      <c r="AK390" s="371"/>
      <c r="AL390" s="371"/>
      <c r="AM390" s="371"/>
      <c r="AN390" s="371"/>
      <c r="AO390" s="371"/>
      <c r="AP390" s="371"/>
      <c r="AQ390" s="371"/>
      <c r="AR390" s="371"/>
      <c r="AS390" s="371"/>
      <c r="AT390" s="371"/>
      <c r="AU390" s="371"/>
      <c r="AV390" s="371"/>
      <c r="AW390" s="371"/>
      <c r="AX390" s="371"/>
      <c r="AY390" s="371"/>
      <c r="AZ390" s="371"/>
      <c r="BA390" s="371"/>
      <c r="BB390" s="371"/>
      <c r="BC390" s="371"/>
      <c r="BD390" s="371"/>
      <c r="BE390" s="371"/>
      <c r="BF390" s="371"/>
      <c r="BG390" s="371"/>
      <c r="BH390" s="371"/>
    </row>
    <row r="391" spans="1:60" s="361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5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7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2"/>
      <c r="Q391" s="372"/>
      <c r="R391" s="372"/>
      <c r="S391" s="372"/>
      <c r="T391" s="372"/>
      <c r="U391" s="372"/>
      <c r="V391" s="372"/>
      <c r="W391" s="372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72"/>
      <c r="AK391" s="372"/>
      <c r="AL391" s="372"/>
      <c r="AM391" s="372"/>
      <c r="AN391" s="372"/>
      <c r="AO391" s="372"/>
      <c r="AP391" s="372"/>
      <c r="AQ391" s="372"/>
      <c r="AR391" s="372"/>
      <c r="AS391" s="372"/>
      <c r="AT391" s="372"/>
      <c r="AU391" s="372"/>
      <c r="AV391" s="372"/>
      <c r="AW391" s="372"/>
      <c r="AX391" s="372"/>
      <c r="AY391" s="372"/>
      <c r="AZ391" s="372"/>
      <c r="BA391" s="372"/>
      <c r="BB391" s="372"/>
      <c r="BC391" s="372"/>
      <c r="BD391" s="372"/>
      <c r="BE391" s="372"/>
      <c r="BF391" s="372"/>
      <c r="BG391" s="372"/>
      <c r="BH391" s="372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5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7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61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5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7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2"/>
      <c r="Q393" s="372"/>
      <c r="R393" s="372"/>
      <c r="S393" s="372"/>
      <c r="T393" s="372"/>
      <c r="U393" s="372"/>
      <c r="V393" s="372"/>
      <c r="W393" s="372"/>
      <c r="X393" s="372"/>
      <c r="Y393" s="372"/>
      <c r="Z393" s="372"/>
      <c r="AA393" s="372"/>
      <c r="AB393" s="372"/>
      <c r="AC393" s="372"/>
      <c r="AD393" s="372"/>
      <c r="AE393" s="372"/>
      <c r="AF393" s="372"/>
      <c r="AG393" s="372"/>
      <c r="AH393" s="372"/>
      <c r="AI393" s="372"/>
      <c r="AJ393" s="372"/>
      <c r="AK393" s="372"/>
      <c r="AL393" s="372"/>
      <c r="AM393" s="372"/>
      <c r="AN393" s="372"/>
      <c r="AO393" s="372"/>
      <c r="AP393" s="372"/>
      <c r="AQ393" s="372"/>
      <c r="AR393" s="372"/>
      <c r="AS393" s="372"/>
      <c r="AT393" s="372"/>
      <c r="AU393" s="372"/>
      <c r="AV393" s="372"/>
      <c r="AW393" s="372"/>
      <c r="AX393" s="372"/>
      <c r="AY393" s="372"/>
      <c r="AZ393" s="372"/>
      <c r="BA393" s="372"/>
      <c r="BB393" s="372"/>
      <c r="BC393" s="372"/>
      <c r="BD393" s="372"/>
      <c r="BE393" s="372"/>
      <c r="BF393" s="372"/>
      <c r="BG393" s="372"/>
      <c r="BH393" s="372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5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7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5"/>
      <c r="F395" s="3"/>
      <c r="G395" s="3"/>
      <c r="H395" s="3"/>
      <c r="I395" s="3"/>
      <c r="J395" s="3">
        <f t="shared" si="22"/>
        <v>0</v>
      </c>
      <c r="K395" s="391"/>
      <c r="L395" s="3">
        <f>+IFERROR(VLOOKUP(E395,BD!$A$2:$D$122,4,FALSE),0)</f>
        <v>0</v>
      </c>
      <c r="M395" s="97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5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7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5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7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71"/>
      <c r="Q397" s="371"/>
      <c r="R397" s="371"/>
      <c r="S397" s="371"/>
      <c r="T397" s="371"/>
      <c r="U397" s="371"/>
      <c r="V397" s="371"/>
      <c r="W397" s="371"/>
      <c r="X397" s="371"/>
      <c r="Y397" s="371"/>
      <c r="Z397" s="371"/>
      <c r="AA397" s="371"/>
      <c r="AB397" s="371"/>
      <c r="AC397" s="371"/>
      <c r="AD397" s="371"/>
      <c r="AE397" s="371"/>
      <c r="AF397" s="371"/>
      <c r="AG397" s="371"/>
      <c r="AH397" s="371"/>
      <c r="AI397" s="371"/>
      <c r="AJ397" s="371"/>
      <c r="AK397" s="371"/>
      <c r="AL397" s="371"/>
      <c r="AM397" s="371"/>
      <c r="AN397" s="371"/>
      <c r="AO397" s="371"/>
      <c r="AP397" s="371"/>
      <c r="AQ397" s="371"/>
      <c r="AR397" s="371"/>
      <c r="AS397" s="371"/>
      <c r="AT397" s="371"/>
      <c r="AU397" s="371"/>
      <c r="AV397" s="371"/>
      <c r="AW397" s="371"/>
      <c r="AX397" s="371"/>
      <c r="AY397" s="371"/>
      <c r="AZ397" s="371"/>
      <c r="BA397" s="371"/>
      <c r="BB397" s="371"/>
      <c r="BC397" s="371"/>
      <c r="BD397" s="371"/>
      <c r="BE397" s="371"/>
      <c r="BF397" s="371"/>
      <c r="BG397" s="371"/>
      <c r="BH397" s="371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5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7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5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7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71"/>
      <c r="Q399" s="371"/>
      <c r="R399" s="371"/>
      <c r="S399" s="371"/>
      <c r="T399" s="371"/>
      <c r="U399" s="371"/>
      <c r="V399" s="371"/>
      <c r="W399" s="371"/>
      <c r="X399" s="371"/>
      <c r="Y399" s="371"/>
      <c r="Z399" s="371"/>
      <c r="AA399" s="371"/>
      <c r="AB399" s="371"/>
      <c r="AC399" s="371"/>
      <c r="AD399" s="371"/>
      <c r="AE399" s="371"/>
      <c r="AF399" s="371"/>
      <c r="AG399" s="371"/>
      <c r="AH399" s="371"/>
      <c r="AI399" s="371"/>
      <c r="AJ399" s="371"/>
      <c r="AK399" s="371"/>
      <c r="AL399" s="371"/>
      <c r="AM399" s="371"/>
      <c r="AN399" s="371"/>
      <c r="AO399" s="371"/>
      <c r="AP399" s="371"/>
      <c r="AQ399" s="371"/>
      <c r="AR399" s="371"/>
      <c r="AS399" s="371"/>
      <c r="AT399" s="371"/>
      <c r="AU399" s="371"/>
      <c r="AV399" s="371"/>
      <c r="AW399" s="371"/>
      <c r="AX399" s="371"/>
      <c r="AY399" s="371"/>
      <c r="AZ399" s="371"/>
      <c r="BA399" s="371"/>
      <c r="BB399" s="371"/>
      <c r="BC399" s="371"/>
      <c r="BD399" s="371"/>
      <c r="BE399" s="371"/>
      <c r="BF399" s="371"/>
      <c r="BG399" s="371"/>
      <c r="BH399" s="371"/>
    </row>
    <row r="400" spans="1:60" s="361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1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7" t="e">
        <f>K400*VLOOKUP(E400,BD!$A$2:$F$122,6,0)</f>
        <v>#N/A</v>
      </c>
      <c r="N400" s="8">
        <f t="shared" si="19"/>
        <v>1900</v>
      </c>
      <c r="O400" s="110">
        <f t="shared" si="21"/>
        <v>0</v>
      </c>
      <c r="P400" s="372"/>
      <c r="Q400" s="372"/>
      <c r="R400" s="372"/>
      <c r="S400" s="372"/>
      <c r="T400" s="372"/>
      <c r="U400" s="372"/>
      <c r="V400" s="372"/>
      <c r="W400" s="372"/>
      <c r="X400" s="372"/>
      <c r="Y400" s="372"/>
      <c r="Z400" s="372"/>
      <c r="AA400" s="372"/>
      <c r="AB400" s="372"/>
      <c r="AC400" s="372"/>
      <c r="AD400" s="372"/>
      <c r="AE400" s="372"/>
      <c r="AF400" s="372"/>
      <c r="AG400" s="372"/>
      <c r="AH400" s="372"/>
      <c r="AI400" s="372"/>
      <c r="AJ400" s="372"/>
      <c r="AK400" s="372"/>
      <c r="AL400" s="372"/>
      <c r="AM400" s="372"/>
      <c r="AN400" s="372"/>
      <c r="AO400" s="372"/>
      <c r="AP400" s="372"/>
      <c r="AQ400" s="372"/>
      <c r="AR400" s="372"/>
      <c r="AS400" s="372"/>
      <c r="AT400" s="372"/>
      <c r="AU400" s="372"/>
      <c r="AV400" s="372"/>
      <c r="AW400" s="372"/>
      <c r="AX400" s="372"/>
      <c r="AY400" s="372"/>
      <c r="AZ400" s="372"/>
      <c r="BA400" s="372"/>
      <c r="BB400" s="372"/>
      <c r="BC400" s="372"/>
      <c r="BD400" s="372"/>
      <c r="BE400" s="372"/>
      <c r="BF400" s="372"/>
      <c r="BG400" s="372"/>
      <c r="BH400" s="372"/>
    </row>
    <row r="401" spans="1:60" s="361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3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7" t="e">
        <f>K401*VLOOKUP(E401,BD!$A$2:$F$122,6,0)</f>
        <v>#N/A</v>
      </c>
      <c r="N401" s="6">
        <f t="shared" si="19"/>
        <v>1900</v>
      </c>
      <c r="O401" s="109">
        <f t="shared" si="21"/>
        <v>0</v>
      </c>
      <c r="P401" s="372"/>
      <c r="Q401" s="372"/>
      <c r="R401" s="372"/>
      <c r="S401" s="372"/>
      <c r="T401" s="372"/>
      <c r="U401" s="372"/>
      <c r="V401" s="372"/>
      <c r="W401" s="372"/>
      <c r="X401" s="372"/>
      <c r="Y401" s="372"/>
      <c r="Z401" s="372"/>
      <c r="AA401" s="372"/>
      <c r="AB401" s="372"/>
      <c r="AC401" s="372"/>
      <c r="AD401" s="372"/>
      <c r="AE401" s="372"/>
      <c r="AF401" s="372"/>
      <c r="AG401" s="372"/>
      <c r="AH401" s="372"/>
      <c r="AI401" s="372"/>
      <c r="AJ401" s="372"/>
      <c r="AK401" s="372"/>
      <c r="AL401" s="372"/>
      <c r="AM401" s="372"/>
      <c r="AN401" s="372"/>
      <c r="AO401" s="372"/>
      <c r="AP401" s="372"/>
      <c r="AQ401" s="372"/>
      <c r="AR401" s="372"/>
      <c r="AS401" s="372"/>
      <c r="AT401" s="372"/>
      <c r="AU401" s="372"/>
      <c r="AV401" s="372"/>
      <c r="AW401" s="372"/>
      <c r="AX401" s="372"/>
      <c r="AY401" s="372"/>
      <c r="AZ401" s="372"/>
      <c r="BA401" s="372"/>
      <c r="BB401" s="372"/>
      <c r="BC401" s="372"/>
      <c r="BD401" s="372"/>
      <c r="BE401" s="372"/>
      <c r="BF401" s="372"/>
      <c r="BG401" s="372"/>
      <c r="BH401" s="372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5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7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5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7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5"/>
      <c r="F404" s="3"/>
      <c r="G404" s="3"/>
      <c r="H404" s="3"/>
      <c r="I404" s="3"/>
      <c r="J404" s="3">
        <f t="shared" si="22"/>
        <v>0</v>
      </c>
      <c r="K404" s="391"/>
      <c r="L404" s="3">
        <f>+IFERROR(VLOOKUP(E404,BD!$A$2:$D$122,4,FALSE),0)</f>
        <v>0</v>
      </c>
      <c r="M404" s="97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5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7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71"/>
      <c r="Q405" s="371"/>
      <c r="R405" s="371"/>
      <c r="S405" s="371"/>
      <c r="T405" s="371"/>
      <c r="U405" s="371"/>
      <c r="V405" s="371"/>
      <c r="W405" s="371"/>
      <c r="X405" s="371"/>
      <c r="Y405" s="371"/>
      <c r="Z405" s="371"/>
      <c r="AA405" s="371"/>
      <c r="AB405" s="371"/>
      <c r="AC405" s="371"/>
      <c r="AD405" s="371"/>
      <c r="AE405" s="371"/>
      <c r="AF405" s="371"/>
      <c r="AG405" s="371"/>
      <c r="AH405" s="371"/>
      <c r="AI405" s="371"/>
      <c r="AJ405" s="371"/>
      <c r="AK405" s="371"/>
      <c r="AL405" s="371"/>
      <c r="AM405" s="371"/>
      <c r="AN405" s="371"/>
      <c r="AO405" s="371"/>
      <c r="AP405" s="371"/>
      <c r="AQ405" s="371"/>
      <c r="AR405" s="371"/>
      <c r="AS405" s="371"/>
      <c r="AT405" s="371"/>
      <c r="AU405" s="371"/>
      <c r="AV405" s="371"/>
      <c r="AW405" s="371"/>
      <c r="AX405" s="371"/>
      <c r="AY405" s="371"/>
      <c r="AZ405" s="371"/>
      <c r="BA405" s="371"/>
      <c r="BB405" s="371"/>
      <c r="BC405" s="371"/>
      <c r="BD405" s="371"/>
      <c r="BE405" s="371"/>
      <c r="BF405" s="371"/>
      <c r="BG405" s="371"/>
      <c r="BH405" s="371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5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7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5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7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71"/>
      <c r="Q407" s="371"/>
      <c r="R407" s="371"/>
      <c r="S407" s="371"/>
      <c r="T407" s="371"/>
      <c r="U407" s="371"/>
      <c r="V407" s="371"/>
      <c r="W407" s="371"/>
      <c r="X407" s="371"/>
      <c r="Y407" s="371"/>
      <c r="Z407" s="371"/>
      <c r="AA407" s="371"/>
      <c r="AB407" s="371"/>
      <c r="AC407" s="371"/>
      <c r="AD407" s="371"/>
      <c r="AE407" s="371"/>
      <c r="AF407" s="371"/>
      <c r="AG407" s="371"/>
      <c r="AH407" s="371"/>
      <c r="AI407" s="371"/>
      <c r="AJ407" s="371"/>
      <c r="AK407" s="371"/>
      <c r="AL407" s="371"/>
      <c r="AM407" s="371"/>
      <c r="AN407" s="371"/>
      <c r="AO407" s="371"/>
      <c r="AP407" s="371"/>
      <c r="AQ407" s="371"/>
      <c r="AR407" s="371"/>
      <c r="AS407" s="371"/>
      <c r="AT407" s="371"/>
      <c r="AU407" s="371"/>
      <c r="AV407" s="371"/>
      <c r="AW407" s="371"/>
      <c r="AX407" s="371"/>
      <c r="AY407" s="371"/>
      <c r="AZ407" s="371"/>
      <c r="BA407" s="371"/>
      <c r="BB407" s="371"/>
      <c r="BC407" s="371"/>
      <c r="BD407" s="371"/>
      <c r="BE407" s="371"/>
      <c r="BF407" s="371"/>
      <c r="BG407" s="371"/>
      <c r="BH407" s="371"/>
    </row>
    <row r="408" spans="1:60" s="361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5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7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2"/>
      <c r="Q408" s="372"/>
      <c r="R408" s="372"/>
      <c r="S408" s="372"/>
      <c r="T408" s="372"/>
      <c r="U408" s="372"/>
      <c r="V408" s="372"/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372"/>
      <c r="AI408" s="372"/>
      <c r="AJ408" s="372"/>
      <c r="AK408" s="372"/>
      <c r="AL408" s="372"/>
      <c r="AM408" s="372"/>
      <c r="AN408" s="372"/>
      <c r="AO408" s="372"/>
      <c r="AP408" s="372"/>
      <c r="AQ408" s="372"/>
      <c r="AR408" s="372"/>
      <c r="AS408" s="372"/>
      <c r="AT408" s="372"/>
      <c r="AU408" s="372"/>
      <c r="AV408" s="372"/>
      <c r="AW408" s="372"/>
      <c r="AX408" s="372"/>
      <c r="AY408" s="372"/>
      <c r="AZ408" s="372"/>
      <c r="BA408" s="372"/>
      <c r="BB408" s="372"/>
      <c r="BC408" s="372"/>
      <c r="BD408" s="372"/>
      <c r="BE408" s="372"/>
      <c r="BF408" s="372"/>
      <c r="BG408" s="372"/>
      <c r="BH408" s="372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5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7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61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1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7" t="e">
        <f>K410*VLOOKUP(E410,BD!$A$2:$F$122,6,0)</f>
        <v>#N/A</v>
      </c>
      <c r="N410" s="8">
        <f t="shared" ref="N410:N664" si="25">+YEAR(A410)</f>
        <v>1900</v>
      </c>
      <c r="O410" s="110">
        <f t="shared" si="21"/>
        <v>0</v>
      </c>
      <c r="P410" s="372"/>
      <c r="Q410" s="372"/>
      <c r="R410" s="372"/>
      <c r="S410" s="372"/>
      <c r="T410" s="372"/>
      <c r="U410" s="372"/>
      <c r="V410" s="372"/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372"/>
      <c r="AI410" s="372"/>
      <c r="AJ410" s="372"/>
      <c r="AK410" s="372"/>
      <c r="AL410" s="372"/>
      <c r="AM410" s="372"/>
      <c r="AN410" s="372"/>
      <c r="AO410" s="372"/>
      <c r="AP410" s="372"/>
      <c r="AQ410" s="372"/>
      <c r="AR410" s="372"/>
      <c r="AS410" s="372"/>
      <c r="AT410" s="372"/>
      <c r="AU410" s="372"/>
      <c r="AV410" s="372"/>
      <c r="AW410" s="372"/>
      <c r="AX410" s="372"/>
      <c r="AY410" s="372"/>
      <c r="AZ410" s="372"/>
      <c r="BA410" s="372"/>
      <c r="BB410" s="372"/>
      <c r="BC410" s="372"/>
      <c r="BD410" s="372"/>
      <c r="BE410" s="372"/>
      <c r="BF410" s="372"/>
      <c r="BG410" s="372"/>
      <c r="BH410" s="372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31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7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5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7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5"/>
      <c r="F413" s="3"/>
      <c r="G413" s="3"/>
      <c r="H413" s="3"/>
      <c r="I413" s="3"/>
      <c r="J413" s="3">
        <f t="shared" si="22"/>
        <v>0</v>
      </c>
      <c r="K413" s="391"/>
      <c r="L413" s="3">
        <f>+IFERROR(VLOOKUP(E413,BD!$A$2:$D$122,4,FALSE),0)</f>
        <v>0</v>
      </c>
      <c r="M413" s="97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5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7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71"/>
      <c r="Q414" s="371"/>
      <c r="R414" s="371"/>
      <c r="S414" s="371"/>
      <c r="T414" s="371"/>
      <c r="U414" s="371"/>
      <c r="V414" s="371"/>
      <c r="W414" s="371"/>
      <c r="X414" s="371"/>
      <c r="Y414" s="371"/>
      <c r="Z414" s="371"/>
      <c r="AA414" s="371"/>
      <c r="AB414" s="371"/>
      <c r="AC414" s="371"/>
      <c r="AD414" s="371"/>
      <c r="AE414" s="371"/>
      <c r="AF414" s="371"/>
      <c r="AG414" s="371"/>
      <c r="AH414" s="371"/>
      <c r="AI414" s="371"/>
      <c r="AJ414" s="371"/>
      <c r="AK414" s="371"/>
      <c r="AL414" s="371"/>
      <c r="AM414" s="371"/>
      <c r="AN414" s="371"/>
      <c r="AO414" s="371"/>
      <c r="AP414" s="371"/>
      <c r="AQ414" s="371"/>
      <c r="AR414" s="371"/>
      <c r="AS414" s="371"/>
      <c r="AT414" s="371"/>
      <c r="AU414" s="371"/>
      <c r="AV414" s="371"/>
      <c r="AW414" s="371"/>
      <c r="AX414" s="371"/>
      <c r="AY414" s="371"/>
      <c r="AZ414" s="371"/>
      <c r="BA414" s="371"/>
      <c r="BB414" s="371"/>
      <c r="BC414" s="371"/>
      <c r="BD414" s="371"/>
      <c r="BE414" s="371"/>
      <c r="BF414" s="371"/>
      <c r="BG414" s="371"/>
      <c r="BH414" s="371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31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7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5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7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71"/>
      <c r="Q416" s="371"/>
      <c r="R416" s="371"/>
      <c r="S416" s="371"/>
      <c r="T416" s="371"/>
      <c r="U416" s="371"/>
      <c r="V416" s="371"/>
      <c r="W416" s="371"/>
      <c r="X416" s="371"/>
      <c r="Y416" s="371"/>
      <c r="Z416" s="371"/>
      <c r="AA416" s="371"/>
      <c r="AB416" s="371"/>
      <c r="AC416" s="371"/>
      <c r="AD416" s="371"/>
      <c r="AE416" s="371"/>
      <c r="AF416" s="371"/>
      <c r="AG416" s="371"/>
      <c r="AH416" s="371"/>
      <c r="AI416" s="371"/>
      <c r="AJ416" s="371"/>
      <c r="AK416" s="371"/>
      <c r="AL416" s="371"/>
      <c r="AM416" s="371"/>
      <c r="AN416" s="371"/>
      <c r="AO416" s="371"/>
      <c r="AP416" s="371"/>
      <c r="AQ416" s="371"/>
      <c r="AR416" s="371"/>
      <c r="AS416" s="371"/>
      <c r="AT416" s="371"/>
      <c r="AU416" s="371"/>
      <c r="AV416" s="371"/>
      <c r="AW416" s="371"/>
      <c r="AX416" s="371"/>
      <c r="AY416" s="371"/>
      <c r="AZ416" s="371"/>
      <c r="BA416" s="371"/>
      <c r="BB416" s="371"/>
      <c r="BC416" s="371"/>
      <c r="BD416" s="371"/>
      <c r="BE416" s="371"/>
      <c r="BF416" s="371"/>
      <c r="BG416" s="371"/>
      <c r="BH416" s="371"/>
    </row>
    <row r="417" spans="1:60" s="361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5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7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2"/>
      <c r="Q417" s="372"/>
      <c r="R417" s="372"/>
      <c r="S417" s="372"/>
      <c r="T417" s="372"/>
      <c r="U417" s="372"/>
      <c r="V417" s="372"/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372"/>
      <c r="AH417" s="372"/>
      <c r="AI417" s="372"/>
      <c r="AJ417" s="372"/>
      <c r="AK417" s="372"/>
      <c r="AL417" s="372"/>
      <c r="AM417" s="372"/>
      <c r="AN417" s="372"/>
      <c r="AO417" s="372"/>
      <c r="AP417" s="372"/>
      <c r="AQ417" s="372"/>
      <c r="AR417" s="372"/>
      <c r="AS417" s="372"/>
      <c r="AT417" s="372"/>
      <c r="AU417" s="372"/>
      <c r="AV417" s="372"/>
      <c r="AW417" s="372"/>
      <c r="AX417" s="372"/>
      <c r="AY417" s="372"/>
      <c r="AZ417" s="372"/>
      <c r="BA417" s="372"/>
      <c r="BB417" s="372"/>
      <c r="BC417" s="372"/>
      <c r="BD417" s="372"/>
      <c r="BE417" s="372"/>
      <c r="BF417" s="372"/>
      <c r="BG417" s="372"/>
      <c r="BH417" s="372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1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7" t="e">
        <f>K418*VLOOKUP(E418,BD!$A$2:$F$122,6,0)</f>
        <v>#N/A</v>
      </c>
      <c r="N418" s="8">
        <f t="shared" si="25"/>
        <v>1900</v>
      </c>
      <c r="O418" s="110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61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3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7" t="e">
        <f>K419*VLOOKUP(E419,BD!$A$2:$F$122,6,0)</f>
        <v>#N/A</v>
      </c>
      <c r="N419" s="6">
        <f t="shared" si="25"/>
        <v>1900</v>
      </c>
      <c r="O419" s="109">
        <f t="shared" si="21"/>
        <v>0</v>
      </c>
      <c r="P419" s="372"/>
      <c r="Q419" s="372"/>
      <c r="R419" s="372"/>
      <c r="S419" s="372"/>
      <c r="T419" s="372"/>
      <c r="U419" s="372"/>
      <c r="V419" s="372"/>
      <c r="W419" s="372"/>
      <c r="X419" s="372"/>
      <c r="Y419" s="372"/>
      <c r="Z419" s="372"/>
      <c r="AA419" s="372"/>
      <c r="AB419" s="372"/>
      <c r="AC419" s="372"/>
      <c r="AD419" s="372"/>
      <c r="AE419" s="372"/>
      <c r="AF419" s="372"/>
      <c r="AG419" s="372"/>
      <c r="AH419" s="372"/>
      <c r="AI419" s="372"/>
      <c r="AJ419" s="372"/>
      <c r="AK419" s="372"/>
      <c r="AL419" s="372"/>
      <c r="AM419" s="372"/>
      <c r="AN419" s="372"/>
      <c r="AO419" s="372"/>
      <c r="AP419" s="372"/>
      <c r="AQ419" s="372"/>
      <c r="AR419" s="372"/>
      <c r="AS419" s="372"/>
      <c r="AT419" s="372"/>
      <c r="AU419" s="372"/>
      <c r="AV419" s="372"/>
      <c r="AW419" s="372"/>
      <c r="AX419" s="372"/>
      <c r="AY419" s="372"/>
      <c r="AZ419" s="372"/>
      <c r="BA419" s="372"/>
      <c r="BB419" s="372"/>
      <c r="BC419" s="372"/>
      <c r="BD419" s="372"/>
      <c r="BE419" s="372"/>
      <c r="BF419" s="372"/>
      <c r="BG419" s="372"/>
      <c r="BH419" s="372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5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7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5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7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5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7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5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7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71"/>
      <c r="Q423" s="371"/>
      <c r="R423" s="371"/>
      <c r="S423" s="371"/>
      <c r="T423" s="371"/>
      <c r="U423" s="371"/>
      <c r="V423" s="371"/>
      <c r="W423" s="371"/>
      <c r="X423" s="371"/>
      <c r="Y423" s="371"/>
      <c r="Z423" s="371"/>
      <c r="AA423" s="371"/>
      <c r="AB423" s="371"/>
      <c r="AC423" s="371"/>
      <c r="AD423" s="371"/>
      <c r="AE423" s="371"/>
      <c r="AF423" s="371"/>
      <c r="AG423" s="371"/>
      <c r="AH423" s="371"/>
      <c r="AI423" s="371"/>
      <c r="AJ423" s="371"/>
      <c r="AK423" s="371"/>
      <c r="AL423" s="371"/>
      <c r="AM423" s="371"/>
      <c r="AN423" s="371"/>
      <c r="AO423" s="371"/>
      <c r="AP423" s="371"/>
      <c r="AQ423" s="371"/>
      <c r="AR423" s="371"/>
      <c r="AS423" s="371"/>
      <c r="AT423" s="371"/>
      <c r="AU423" s="371"/>
      <c r="AV423" s="371"/>
      <c r="AW423" s="371"/>
      <c r="AX423" s="371"/>
      <c r="AY423" s="371"/>
      <c r="AZ423" s="371"/>
      <c r="BA423" s="371"/>
      <c r="BB423" s="371"/>
      <c r="BC423" s="371"/>
      <c r="BD423" s="371"/>
      <c r="BE423" s="371"/>
      <c r="BF423" s="371"/>
      <c r="BG423" s="371"/>
      <c r="BH423" s="371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31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7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5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7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71"/>
      <c r="Q425" s="371"/>
      <c r="R425" s="371"/>
      <c r="S425" s="371"/>
      <c r="T425" s="371"/>
      <c r="U425" s="371"/>
      <c r="V425" s="371"/>
      <c r="W425" s="371"/>
      <c r="X425" s="371"/>
      <c r="Y425" s="371"/>
      <c r="Z425" s="371"/>
      <c r="AA425" s="371"/>
      <c r="AB425" s="371"/>
      <c r="AC425" s="371"/>
      <c r="AD425" s="371"/>
      <c r="AE425" s="371"/>
      <c r="AF425" s="371"/>
      <c r="AG425" s="371"/>
      <c r="AH425" s="371"/>
      <c r="AI425" s="371"/>
      <c r="AJ425" s="371"/>
      <c r="AK425" s="371"/>
      <c r="AL425" s="371"/>
      <c r="AM425" s="371"/>
      <c r="AN425" s="371"/>
      <c r="AO425" s="371"/>
      <c r="AP425" s="371"/>
      <c r="AQ425" s="371"/>
      <c r="AR425" s="371"/>
      <c r="AS425" s="371"/>
      <c r="AT425" s="371"/>
      <c r="AU425" s="371"/>
      <c r="AV425" s="371"/>
      <c r="AW425" s="371"/>
      <c r="AX425" s="371"/>
      <c r="AY425" s="371"/>
      <c r="AZ425" s="371"/>
      <c r="BA425" s="371"/>
      <c r="BB425" s="371"/>
      <c r="BC425" s="371"/>
      <c r="BD425" s="371"/>
      <c r="BE425" s="371"/>
      <c r="BF425" s="371"/>
      <c r="BG425" s="371"/>
      <c r="BH425" s="371"/>
    </row>
    <row r="426" spans="1:60" s="361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2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7" t="e">
        <f>K426*VLOOKUP(E426,BD!$A$2:$F$122,6,0)</f>
        <v>#N/A</v>
      </c>
      <c r="N426" s="33">
        <f t="shared" si="25"/>
        <v>1900</v>
      </c>
      <c r="O426" s="386">
        <f t="shared" si="21"/>
        <v>0</v>
      </c>
      <c r="P426" s="372"/>
      <c r="Q426" s="372"/>
      <c r="R426" s="372"/>
      <c r="S426" s="372"/>
      <c r="T426" s="372"/>
      <c r="U426" s="372"/>
      <c r="V426" s="372"/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72"/>
      <c r="AL426" s="372"/>
      <c r="AM426" s="372"/>
      <c r="AN426" s="372"/>
      <c r="AO426" s="372"/>
      <c r="AP426" s="372"/>
      <c r="AQ426" s="372"/>
      <c r="AR426" s="372"/>
      <c r="AS426" s="372"/>
      <c r="AT426" s="372"/>
      <c r="AU426" s="372"/>
      <c r="AV426" s="372"/>
      <c r="AW426" s="372"/>
      <c r="AX426" s="372"/>
      <c r="AY426" s="372"/>
      <c r="AZ426" s="372"/>
      <c r="BA426" s="372"/>
      <c r="BB426" s="372"/>
      <c r="BC426" s="372"/>
      <c r="BD426" s="372"/>
      <c r="BE426" s="372"/>
      <c r="BF426" s="372"/>
      <c r="BG426" s="372"/>
      <c r="BH426" s="372"/>
    </row>
    <row r="427" spans="1:60" s="361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3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7" t="e">
        <f>K427*VLOOKUP(E427,BD!$A$2:$F$122,6,0)</f>
        <v>#N/A</v>
      </c>
      <c r="N427" s="6">
        <f t="shared" si="25"/>
        <v>1900</v>
      </c>
      <c r="O427" s="109">
        <f t="shared" si="21"/>
        <v>0</v>
      </c>
      <c r="P427" s="372"/>
      <c r="Q427" s="372"/>
      <c r="R427" s="372"/>
      <c r="S427" s="372"/>
      <c r="T427" s="372"/>
      <c r="U427" s="372"/>
      <c r="V427" s="372"/>
      <c r="W427" s="372"/>
      <c r="X427" s="372"/>
      <c r="Y427" s="372"/>
      <c r="Z427" s="372"/>
      <c r="AA427" s="372"/>
      <c r="AB427" s="372"/>
      <c r="AC427" s="372"/>
      <c r="AD427" s="372"/>
      <c r="AE427" s="372"/>
      <c r="AF427" s="372"/>
      <c r="AG427" s="372"/>
      <c r="AH427" s="372"/>
      <c r="AI427" s="372"/>
      <c r="AJ427" s="372"/>
      <c r="AK427" s="372"/>
      <c r="AL427" s="372"/>
      <c r="AM427" s="372"/>
      <c r="AN427" s="372"/>
      <c r="AO427" s="372"/>
      <c r="AP427" s="372"/>
      <c r="AQ427" s="372"/>
      <c r="AR427" s="372"/>
      <c r="AS427" s="372"/>
      <c r="AT427" s="372"/>
      <c r="AU427" s="372"/>
      <c r="AV427" s="372"/>
      <c r="AW427" s="372"/>
      <c r="AX427" s="372"/>
      <c r="AY427" s="372"/>
      <c r="AZ427" s="372"/>
      <c r="BA427" s="372"/>
      <c r="BB427" s="372"/>
      <c r="BC427" s="372"/>
      <c r="BD427" s="372"/>
      <c r="BE427" s="372"/>
      <c r="BF427" s="372"/>
      <c r="BG427" s="372"/>
      <c r="BH427" s="372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5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7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5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7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2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7" t="e">
        <f>K430*VLOOKUP(E430,BD!$A$2:$F$122,6,0)</f>
        <v>#N/A</v>
      </c>
      <c r="N430" s="33">
        <f t="shared" si="25"/>
        <v>1900</v>
      </c>
      <c r="O430" s="386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3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7" t="e">
        <f>K431*VLOOKUP(E431,BD!$A$2:$F$122,6,0)</f>
        <v>#N/A</v>
      </c>
      <c r="N431" s="6">
        <f t="shared" si="25"/>
        <v>1900</v>
      </c>
      <c r="O431" s="109">
        <f t="shared" si="21"/>
        <v>0</v>
      </c>
      <c r="P431" s="371"/>
      <c r="Q431" s="371"/>
      <c r="R431" s="371"/>
      <c r="S431" s="371"/>
      <c r="T431" s="371"/>
      <c r="U431" s="371"/>
      <c r="V431" s="371"/>
      <c r="W431" s="371"/>
      <c r="X431" s="371"/>
      <c r="Y431" s="371"/>
      <c r="Z431" s="371"/>
      <c r="AA431" s="371"/>
      <c r="AB431" s="371"/>
      <c r="AC431" s="371"/>
      <c r="AD431" s="371"/>
      <c r="AE431" s="371"/>
      <c r="AF431" s="371"/>
      <c r="AG431" s="371"/>
      <c r="AH431" s="371"/>
      <c r="AI431" s="371"/>
      <c r="AJ431" s="371"/>
      <c r="AK431" s="371"/>
      <c r="AL431" s="371"/>
      <c r="AM431" s="371"/>
      <c r="AN431" s="371"/>
      <c r="AO431" s="371"/>
      <c r="AP431" s="371"/>
      <c r="AQ431" s="371"/>
      <c r="AR431" s="371"/>
      <c r="AS431" s="371"/>
      <c r="AT431" s="371"/>
      <c r="AU431" s="371"/>
      <c r="AV431" s="371"/>
      <c r="AW431" s="371"/>
      <c r="AX431" s="371"/>
      <c r="AY431" s="371"/>
      <c r="AZ431" s="371"/>
      <c r="BA431" s="371"/>
      <c r="BB431" s="371"/>
      <c r="BC431" s="371"/>
      <c r="BD431" s="371"/>
      <c r="BE431" s="371"/>
      <c r="BF431" s="371"/>
      <c r="BG431" s="371"/>
      <c r="BH431" s="371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5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7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5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7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71"/>
      <c r="Q433" s="371"/>
      <c r="R433" s="371"/>
      <c r="S433" s="371"/>
      <c r="T433" s="371"/>
      <c r="U433" s="371"/>
      <c r="V433" s="371"/>
      <c r="W433" s="371"/>
      <c r="X433" s="371"/>
      <c r="Y433" s="371"/>
      <c r="Z433" s="371"/>
      <c r="AA433" s="371"/>
      <c r="AB433" s="371"/>
      <c r="AC433" s="371"/>
      <c r="AD433" s="371"/>
      <c r="AE433" s="371"/>
      <c r="AF433" s="371"/>
      <c r="AG433" s="371"/>
      <c r="AH433" s="371"/>
      <c r="AI433" s="371"/>
      <c r="AJ433" s="371"/>
      <c r="AK433" s="371"/>
      <c r="AL433" s="371"/>
      <c r="AM433" s="371"/>
      <c r="AN433" s="371"/>
      <c r="AO433" s="371"/>
      <c r="AP433" s="371"/>
      <c r="AQ433" s="371"/>
      <c r="AR433" s="371"/>
      <c r="AS433" s="371"/>
      <c r="AT433" s="371"/>
      <c r="AU433" s="371"/>
      <c r="AV433" s="371"/>
      <c r="AW433" s="371"/>
      <c r="AX433" s="371"/>
      <c r="AY433" s="371"/>
      <c r="AZ433" s="371"/>
      <c r="BA433" s="371"/>
      <c r="BB433" s="371"/>
      <c r="BC433" s="371"/>
      <c r="BD433" s="371"/>
      <c r="BE433" s="371"/>
      <c r="BF433" s="371"/>
      <c r="BG433" s="371"/>
      <c r="BH433" s="371"/>
    </row>
    <row r="434" spans="1:60" s="361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5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7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2"/>
      <c r="Q434" s="372"/>
      <c r="R434" s="372"/>
      <c r="S434" s="372"/>
      <c r="T434" s="372"/>
      <c r="U434" s="372"/>
      <c r="V434" s="372"/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372"/>
      <c r="AH434" s="372"/>
      <c r="AI434" s="372"/>
      <c r="AJ434" s="372"/>
      <c r="AK434" s="372"/>
      <c r="AL434" s="372"/>
      <c r="AM434" s="372"/>
      <c r="AN434" s="372"/>
      <c r="AO434" s="372"/>
      <c r="AP434" s="372"/>
      <c r="AQ434" s="372"/>
      <c r="AR434" s="372"/>
      <c r="AS434" s="372"/>
      <c r="AT434" s="372"/>
      <c r="AU434" s="372"/>
      <c r="AV434" s="372"/>
      <c r="AW434" s="372"/>
      <c r="AX434" s="372"/>
      <c r="AY434" s="372"/>
      <c r="AZ434" s="372"/>
      <c r="BA434" s="372"/>
      <c r="BB434" s="372"/>
      <c r="BC434" s="372"/>
      <c r="BD434" s="372"/>
      <c r="BE434" s="372"/>
      <c r="BF434" s="372"/>
      <c r="BG434" s="372"/>
      <c r="BH434" s="372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5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7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61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5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7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2"/>
      <c r="Q436" s="372"/>
      <c r="R436" s="372"/>
      <c r="S436" s="372"/>
      <c r="T436" s="372"/>
      <c r="U436" s="372"/>
      <c r="V436" s="372"/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372"/>
      <c r="AH436" s="372"/>
      <c r="AI436" s="372"/>
      <c r="AJ436" s="372"/>
      <c r="AK436" s="372"/>
      <c r="AL436" s="372"/>
      <c r="AM436" s="372"/>
      <c r="AN436" s="372"/>
      <c r="AO436" s="372"/>
      <c r="AP436" s="372"/>
      <c r="AQ436" s="372"/>
      <c r="AR436" s="372"/>
      <c r="AS436" s="372"/>
      <c r="AT436" s="372"/>
      <c r="AU436" s="372"/>
      <c r="AV436" s="372"/>
      <c r="AW436" s="372"/>
      <c r="AX436" s="372"/>
      <c r="AY436" s="372"/>
      <c r="AZ436" s="372"/>
      <c r="BA436" s="372"/>
      <c r="BB436" s="372"/>
      <c r="BC436" s="372"/>
      <c r="BD436" s="372"/>
      <c r="BE436" s="372"/>
      <c r="BF436" s="372"/>
      <c r="BG436" s="372"/>
      <c r="BH436" s="372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2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7" t="e">
        <f>K437*VLOOKUP(E437,BD!$A$2:$F$122,6,0)</f>
        <v>#N/A</v>
      </c>
      <c r="N437" s="33">
        <f t="shared" si="25"/>
        <v>1900</v>
      </c>
      <c r="O437" s="386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3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7" t="e">
        <f>K438*VLOOKUP(E438,BD!$A$2:$F$122,6,0)</f>
        <v>#N/A</v>
      </c>
      <c r="N438" s="6">
        <f t="shared" si="25"/>
        <v>1900</v>
      </c>
      <c r="O438" s="109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5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7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5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7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71"/>
      <c r="Q440" s="371"/>
      <c r="R440" s="371"/>
      <c r="S440" s="371"/>
      <c r="T440" s="371"/>
      <c r="U440" s="371"/>
      <c r="V440" s="371"/>
      <c r="W440" s="371"/>
      <c r="X440" s="371"/>
      <c r="Y440" s="371"/>
      <c r="Z440" s="371"/>
      <c r="AA440" s="371"/>
      <c r="AB440" s="371"/>
      <c r="AC440" s="371"/>
      <c r="AD440" s="371"/>
      <c r="AE440" s="371"/>
      <c r="AF440" s="371"/>
      <c r="AG440" s="371"/>
      <c r="AH440" s="371"/>
      <c r="AI440" s="371"/>
      <c r="AJ440" s="371"/>
      <c r="AK440" s="371"/>
      <c r="AL440" s="371"/>
      <c r="AM440" s="371"/>
      <c r="AN440" s="371"/>
      <c r="AO440" s="371"/>
      <c r="AP440" s="371"/>
      <c r="AQ440" s="371"/>
      <c r="AR440" s="371"/>
      <c r="AS440" s="371"/>
      <c r="AT440" s="371"/>
      <c r="AU440" s="371"/>
      <c r="AV440" s="371"/>
      <c r="AW440" s="371"/>
      <c r="AX440" s="371"/>
      <c r="AY440" s="371"/>
      <c r="AZ440" s="371"/>
      <c r="BA440" s="371"/>
      <c r="BB440" s="371"/>
      <c r="BC440" s="371"/>
      <c r="BD440" s="371"/>
      <c r="BE440" s="371"/>
      <c r="BF440" s="371"/>
      <c r="BG440" s="371"/>
      <c r="BH440" s="371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5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7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5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7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71"/>
      <c r="Q442" s="371"/>
      <c r="R442" s="371"/>
      <c r="S442" s="371"/>
      <c r="T442" s="371"/>
      <c r="U442" s="371"/>
      <c r="V442" s="371"/>
      <c r="W442" s="371"/>
      <c r="X442" s="371"/>
      <c r="Y442" s="371"/>
      <c r="Z442" s="371"/>
      <c r="AA442" s="371"/>
      <c r="AB442" s="371"/>
      <c r="AC442" s="371"/>
      <c r="AD442" s="371"/>
      <c r="AE442" s="371"/>
      <c r="AF442" s="371"/>
      <c r="AG442" s="371"/>
      <c r="AH442" s="371"/>
      <c r="AI442" s="371"/>
      <c r="AJ442" s="371"/>
      <c r="AK442" s="371"/>
      <c r="AL442" s="371"/>
      <c r="AM442" s="371"/>
      <c r="AN442" s="371"/>
      <c r="AO442" s="371"/>
      <c r="AP442" s="371"/>
      <c r="AQ442" s="371"/>
      <c r="AR442" s="371"/>
      <c r="AS442" s="371"/>
      <c r="AT442" s="371"/>
      <c r="AU442" s="371"/>
      <c r="AV442" s="371"/>
      <c r="AW442" s="371"/>
      <c r="AX442" s="371"/>
      <c r="AY442" s="371"/>
      <c r="AZ442" s="371"/>
      <c r="BA442" s="371"/>
      <c r="BB442" s="371"/>
      <c r="BC442" s="371"/>
      <c r="BD442" s="371"/>
      <c r="BE442" s="371"/>
      <c r="BF442" s="371"/>
      <c r="BG442" s="371"/>
      <c r="BH442" s="371"/>
    </row>
    <row r="443" spans="1:60" s="361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5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7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2"/>
      <c r="Q443" s="372"/>
      <c r="R443" s="372"/>
      <c r="S443" s="372"/>
      <c r="T443" s="372"/>
      <c r="U443" s="372"/>
      <c r="V443" s="372"/>
      <c r="W443" s="372"/>
      <c r="X443" s="372"/>
      <c r="Y443" s="372"/>
      <c r="Z443" s="372"/>
      <c r="AA443" s="372"/>
      <c r="AB443" s="372"/>
      <c r="AC443" s="372"/>
      <c r="AD443" s="372"/>
      <c r="AE443" s="372"/>
      <c r="AF443" s="372"/>
      <c r="AG443" s="372"/>
      <c r="AH443" s="372"/>
      <c r="AI443" s="372"/>
      <c r="AJ443" s="372"/>
      <c r="AK443" s="372"/>
      <c r="AL443" s="372"/>
      <c r="AM443" s="372"/>
      <c r="AN443" s="372"/>
      <c r="AO443" s="372"/>
      <c r="AP443" s="372"/>
      <c r="AQ443" s="372"/>
      <c r="AR443" s="372"/>
      <c r="AS443" s="372"/>
      <c r="AT443" s="372"/>
      <c r="AU443" s="372"/>
      <c r="AV443" s="372"/>
      <c r="AW443" s="372"/>
      <c r="AX443" s="372"/>
      <c r="AY443" s="372"/>
      <c r="AZ443" s="372"/>
      <c r="BA443" s="372"/>
      <c r="BB443" s="372"/>
      <c r="BC443" s="372"/>
      <c r="BD443" s="372"/>
      <c r="BE443" s="372"/>
      <c r="BF443" s="372"/>
      <c r="BG443" s="372"/>
      <c r="BH443" s="372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5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7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61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2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7" t="e">
        <f>K445*VLOOKUP(E445,BD!$A$2:$F$122,6,0)</f>
        <v>#N/A</v>
      </c>
      <c r="N445" s="33">
        <f t="shared" si="25"/>
        <v>1900</v>
      </c>
      <c r="O445" s="386">
        <f t="shared" ref="O445:O699" si="27">+WEEKNUM(A445,1)</f>
        <v>0</v>
      </c>
      <c r="P445" s="372"/>
      <c r="Q445" s="372"/>
      <c r="R445" s="372"/>
      <c r="S445" s="372"/>
      <c r="T445" s="372"/>
      <c r="U445" s="372"/>
      <c r="V445" s="372"/>
      <c r="W445" s="372"/>
      <c r="X445" s="372"/>
      <c r="Y445" s="372"/>
      <c r="Z445" s="372"/>
      <c r="AA445" s="372"/>
      <c r="AB445" s="372"/>
      <c r="AC445" s="372"/>
      <c r="AD445" s="372"/>
      <c r="AE445" s="372"/>
      <c r="AF445" s="372"/>
      <c r="AG445" s="372"/>
      <c r="AH445" s="372"/>
      <c r="AI445" s="372"/>
      <c r="AJ445" s="372"/>
      <c r="AK445" s="372"/>
      <c r="AL445" s="372"/>
      <c r="AM445" s="372"/>
      <c r="AN445" s="372"/>
      <c r="AO445" s="372"/>
      <c r="AP445" s="372"/>
      <c r="AQ445" s="372"/>
      <c r="AR445" s="372"/>
      <c r="AS445" s="372"/>
      <c r="AT445" s="372"/>
      <c r="AU445" s="372"/>
      <c r="AV445" s="372"/>
      <c r="AW445" s="372"/>
      <c r="AX445" s="372"/>
      <c r="AY445" s="372"/>
      <c r="AZ445" s="372"/>
      <c r="BA445" s="372"/>
      <c r="BB445" s="372"/>
      <c r="BC445" s="372"/>
      <c r="BD445" s="372"/>
      <c r="BE445" s="372"/>
      <c r="BF445" s="372"/>
      <c r="BG445" s="372"/>
      <c r="BH445" s="372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3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7" t="e">
        <f>K446*VLOOKUP(E446,BD!$A$2:$F$122,6,0)</f>
        <v>#N/A</v>
      </c>
      <c r="N446" s="6">
        <f t="shared" si="25"/>
        <v>1900</v>
      </c>
      <c r="O446" s="109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5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7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5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7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5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7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71"/>
      <c r="Q449" s="371"/>
      <c r="R449" s="371"/>
      <c r="S449" s="371"/>
      <c r="T449" s="371"/>
      <c r="U449" s="371"/>
      <c r="V449" s="371"/>
      <c r="W449" s="371"/>
      <c r="X449" s="371"/>
      <c r="Y449" s="371"/>
      <c r="Z449" s="371"/>
      <c r="AA449" s="371"/>
      <c r="AB449" s="371"/>
      <c r="AC449" s="371"/>
      <c r="AD449" s="371"/>
      <c r="AE449" s="371"/>
      <c r="AF449" s="371"/>
      <c r="AG449" s="371"/>
      <c r="AH449" s="371"/>
      <c r="AI449" s="371"/>
      <c r="AJ449" s="371"/>
      <c r="AK449" s="371"/>
      <c r="AL449" s="371"/>
      <c r="AM449" s="371"/>
      <c r="AN449" s="371"/>
      <c r="AO449" s="371"/>
      <c r="AP449" s="371"/>
      <c r="AQ449" s="371"/>
      <c r="AR449" s="371"/>
      <c r="AS449" s="371"/>
      <c r="AT449" s="371"/>
      <c r="AU449" s="371"/>
      <c r="AV449" s="371"/>
      <c r="AW449" s="371"/>
      <c r="AX449" s="371"/>
      <c r="AY449" s="371"/>
      <c r="AZ449" s="371"/>
      <c r="BA449" s="371"/>
      <c r="BB449" s="371"/>
      <c r="BC449" s="371"/>
      <c r="BD449" s="371"/>
      <c r="BE449" s="371"/>
      <c r="BF449" s="371"/>
      <c r="BG449" s="371"/>
      <c r="BH449" s="371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5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7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5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7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71"/>
      <c r="Q451" s="371"/>
      <c r="R451" s="371"/>
      <c r="S451" s="371"/>
      <c r="T451" s="371"/>
      <c r="U451" s="371"/>
      <c r="V451" s="371"/>
      <c r="W451" s="371"/>
      <c r="X451" s="371"/>
      <c r="Y451" s="371"/>
      <c r="Z451" s="371"/>
      <c r="AA451" s="371"/>
      <c r="AB451" s="371"/>
      <c r="AC451" s="371"/>
      <c r="AD451" s="371"/>
      <c r="AE451" s="371"/>
      <c r="AF451" s="371"/>
      <c r="AG451" s="371"/>
      <c r="AH451" s="371"/>
      <c r="AI451" s="371"/>
      <c r="AJ451" s="371"/>
      <c r="AK451" s="371"/>
      <c r="AL451" s="371"/>
      <c r="AM451" s="371"/>
      <c r="AN451" s="371"/>
      <c r="AO451" s="371"/>
      <c r="AP451" s="371"/>
      <c r="AQ451" s="371"/>
      <c r="AR451" s="371"/>
      <c r="AS451" s="371"/>
      <c r="AT451" s="371"/>
      <c r="AU451" s="371"/>
      <c r="AV451" s="371"/>
      <c r="AW451" s="371"/>
      <c r="AX451" s="371"/>
      <c r="AY451" s="371"/>
      <c r="AZ451" s="371"/>
      <c r="BA451" s="371"/>
      <c r="BB451" s="371"/>
      <c r="BC451" s="371"/>
      <c r="BD451" s="371"/>
      <c r="BE451" s="371"/>
      <c r="BF451" s="371"/>
      <c r="BG451" s="371"/>
      <c r="BH451" s="371"/>
    </row>
    <row r="452" spans="1:60" s="361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5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7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2"/>
      <c r="Q452" s="372"/>
      <c r="R452" s="372"/>
      <c r="S452" s="372"/>
      <c r="T452" s="372"/>
      <c r="U452" s="372"/>
      <c r="V452" s="372"/>
      <c r="W452" s="372"/>
      <c r="X452" s="372"/>
      <c r="Y452" s="372"/>
      <c r="Z452" s="372"/>
      <c r="AA452" s="372"/>
      <c r="AB452" s="372"/>
      <c r="AC452" s="372"/>
      <c r="AD452" s="372"/>
      <c r="AE452" s="372"/>
      <c r="AF452" s="372"/>
      <c r="AG452" s="372"/>
      <c r="AH452" s="372"/>
      <c r="AI452" s="372"/>
      <c r="AJ452" s="372"/>
      <c r="AK452" s="372"/>
      <c r="AL452" s="372"/>
      <c r="AM452" s="372"/>
      <c r="AN452" s="372"/>
      <c r="AO452" s="372"/>
      <c r="AP452" s="372"/>
      <c r="AQ452" s="372"/>
      <c r="AR452" s="372"/>
      <c r="AS452" s="372"/>
      <c r="AT452" s="372"/>
      <c r="AU452" s="372"/>
      <c r="AV452" s="372"/>
      <c r="AW452" s="372"/>
      <c r="AX452" s="372"/>
      <c r="AY452" s="372"/>
      <c r="AZ452" s="372"/>
      <c r="BA452" s="372"/>
      <c r="BB452" s="372"/>
      <c r="BC452" s="372"/>
      <c r="BD452" s="372"/>
      <c r="BE452" s="372"/>
      <c r="BF452" s="372"/>
      <c r="BG452" s="372"/>
      <c r="BH452" s="372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5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7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61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5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7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2"/>
      <c r="Q454" s="372"/>
      <c r="R454" s="372"/>
      <c r="S454" s="372"/>
      <c r="T454" s="372"/>
      <c r="U454" s="372"/>
      <c r="V454" s="372"/>
      <c r="W454" s="372"/>
      <c r="X454" s="372"/>
      <c r="Y454" s="372"/>
      <c r="Z454" s="372"/>
      <c r="AA454" s="372"/>
      <c r="AB454" s="372"/>
      <c r="AC454" s="372"/>
      <c r="AD454" s="372"/>
      <c r="AE454" s="372"/>
      <c r="AF454" s="372"/>
      <c r="AG454" s="372"/>
      <c r="AH454" s="372"/>
      <c r="AI454" s="372"/>
      <c r="AJ454" s="372"/>
      <c r="AK454" s="372"/>
      <c r="AL454" s="372"/>
      <c r="AM454" s="372"/>
      <c r="AN454" s="372"/>
      <c r="AO454" s="372"/>
      <c r="AP454" s="372"/>
      <c r="AQ454" s="372"/>
      <c r="AR454" s="372"/>
      <c r="AS454" s="372"/>
      <c r="AT454" s="372"/>
      <c r="AU454" s="372"/>
      <c r="AV454" s="372"/>
      <c r="AW454" s="372"/>
      <c r="AX454" s="372"/>
      <c r="AY454" s="372"/>
      <c r="AZ454" s="372"/>
      <c r="BA454" s="372"/>
      <c r="BB454" s="372"/>
      <c r="BC454" s="372"/>
      <c r="BD454" s="372"/>
      <c r="BE454" s="372"/>
      <c r="BF454" s="372"/>
      <c r="BG454" s="372"/>
      <c r="BH454" s="372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2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7" t="e">
        <f>K455*VLOOKUP(E455,BD!$A$2:$F$122,6,0)</f>
        <v>#N/A</v>
      </c>
      <c r="N455" s="33">
        <f t="shared" si="25"/>
        <v>1900</v>
      </c>
      <c r="O455" s="386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3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7" t="e">
        <f>K456*VLOOKUP(E456,BD!$A$2:$F$122,6,0)</f>
        <v>#N/A</v>
      </c>
      <c r="N456" s="6">
        <f t="shared" si="25"/>
        <v>1900</v>
      </c>
      <c r="O456" s="109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5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7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5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7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71"/>
      <c r="Q458" s="371"/>
      <c r="R458" s="371"/>
      <c r="S458" s="371"/>
      <c r="T458" s="371"/>
      <c r="U458" s="371"/>
      <c r="V458" s="371"/>
      <c r="W458" s="371"/>
      <c r="X458" s="371"/>
      <c r="Y458" s="371"/>
      <c r="Z458" s="371"/>
      <c r="AA458" s="371"/>
      <c r="AB458" s="371"/>
      <c r="AC458" s="371"/>
      <c r="AD458" s="371"/>
      <c r="AE458" s="371"/>
      <c r="AF458" s="371"/>
      <c r="AG458" s="371"/>
      <c r="AH458" s="371"/>
      <c r="AI458" s="371"/>
      <c r="AJ458" s="371"/>
      <c r="AK458" s="371"/>
      <c r="AL458" s="371"/>
      <c r="AM458" s="371"/>
      <c r="AN458" s="371"/>
      <c r="AO458" s="371"/>
      <c r="AP458" s="371"/>
      <c r="AQ458" s="371"/>
      <c r="AR458" s="371"/>
      <c r="AS458" s="371"/>
      <c r="AT458" s="371"/>
      <c r="AU458" s="371"/>
      <c r="AV458" s="371"/>
      <c r="AW458" s="371"/>
      <c r="AX458" s="371"/>
      <c r="AY458" s="371"/>
      <c r="AZ458" s="371"/>
      <c r="BA458" s="371"/>
      <c r="BB458" s="371"/>
      <c r="BC458" s="371"/>
      <c r="BD458" s="371"/>
      <c r="BE458" s="371"/>
      <c r="BF458" s="371"/>
      <c r="BG458" s="371"/>
      <c r="BH458" s="371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5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7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5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7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71"/>
      <c r="Q460" s="371"/>
      <c r="R460" s="371"/>
      <c r="S460" s="371"/>
      <c r="T460" s="371"/>
      <c r="U460" s="371"/>
      <c r="V460" s="371"/>
      <c r="W460" s="371"/>
      <c r="X460" s="371"/>
      <c r="Y460" s="371"/>
      <c r="Z460" s="371"/>
      <c r="AA460" s="371"/>
      <c r="AB460" s="371"/>
      <c r="AC460" s="371"/>
      <c r="AD460" s="371"/>
      <c r="AE460" s="371"/>
      <c r="AF460" s="371"/>
      <c r="AG460" s="371"/>
      <c r="AH460" s="371"/>
      <c r="AI460" s="371"/>
      <c r="AJ460" s="371"/>
      <c r="AK460" s="371"/>
      <c r="AL460" s="371"/>
      <c r="AM460" s="371"/>
      <c r="AN460" s="371"/>
      <c r="AO460" s="371"/>
      <c r="AP460" s="371"/>
      <c r="AQ460" s="371"/>
      <c r="AR460" s="371"/>
      <c r="AS460" s="371"/>
      <c r="AT460" s="371"/>
      <c r="AU460" s="371"/>
      <c r="AV460" s="371"/>
      <c r="AW460" s="371"/>
      <c r="AX460" s="371"/>
      <c r="AY460" s="371"/>
      <c r="AZ460" s="371"/>
      <c r="BA460" s="371"/>
      <c r="BB460" s="371"/>
      <c r="BC460" s="371"/>
      <c r="BD460" s="371"/>
      <c r="BE460" s="371"/>
      <c r="BF460" s="371"/>
      <c r="BG460" s="371"/>
      <c r="BH460" s="371"/>
    </row>
    <row r="461" spans="1:60" s="361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5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7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2"/>
      <c r="Q461" s="372"/>
      <c r="R461" s="372"/>
      <c r="S461" s="372"/>
      <c r="T461" s="372"/>
      <c r="U461" s="372"/>
      <c r="V461" s="372"/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372"/>
      <c r="AH461" s="372"/>
      <c r="AI461" s="372"/>
      <c r="AJ461" s="372"/>
      <c r="AK461" s="372"/>
      <c r="AL461" s="372"/>
      <c r="AM461" s="372"/>
      <c r="AN461" s="372"/>
      <c r="AO461" s="372"/>
      <c r="AP461" s="372"/>
      <c r="AQ461" s="372"/>
      <c r="AR461" s="372"/>
      <c r="AS461" s="372"/>
      <c r="AT461" s="372"/>
      <c r="AU461" s="372"/>
      <c r="AV461" s="372"/>
      <c r="AW461" s="372"/>
      <c r="AX461" s="372"/>
      <c r="AY461" s="372"/>
      <c r="AZ461" s="372"/>
      <c r="BA461" s="372"/>
      <c r="BB461" s="372"/>
      <c r="BC461" s="372"/>
      <c r="BD461" s="372"/>
      <c r="BE461" s="372"/>
      <c r="BF461" s="372"/>
      <c r="BG461" s="372"/>
      <c r="BH461" s="372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5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7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61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5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7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2"/>
      <c r="Q463" s="372"/>
      <c r="R463" s="372"/>
      <c r="S463" s="372"/>
      <c r="T463" s="372"/>
      <c r="U463" s="372"/>
      <c r="V463" s="372"/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72"/>
      <c r="AK463" s="372"/>
      <c r="AL463" s="372"/>
      <c r="AM463" s="372"/>
      <c r="AN463" s="372"/>
      <c r="AO463" s="372"/>
      <c r="AP463" s="372"/>
      <c r="AQ463" s="372"/>
      <c r="AR463" s="372"/>
      <c r="AS463" s="372"/>
      <c r="AT463" s="372"/>
      <c r="AU463" s="372"/>
      <c r="AV463" s="372"/>
      <c r="AW463" s="372"/>
      <c r="AX463" s="372"/>
      <c r="AY463" s="372"/>
      <c r="AZ463" s="372"/>
      <c r="BA463" s="372"/>
      <c r="BB463" s="372"/>
      <c r="BC463" s="372"/>
      <c r="BD463" s="372"/>
      <c r="BE463" s="372"/>
      <c r="BF463" s="372"/>
      <c r="BG463" s="372"/>
      <c r="BH463" s="372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5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7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2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7" t="e">
        <f>K465*VLOOKUP(E465,BD!$A$2:$F$122,6,0)</f>
        <v>#N/A</v>
      </c>
      <c r="N465" s="33">
        <f t="shared" si="25"/>
        <v>1900</v>
      </c>
      <c r="O465" s="386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3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7" t="e">
        <f>K466*VLOOKUP(E466,BD!$A$2:$F$122,6,0)</f>
        <v>#N/A</v>
      </c>
      <c r="N466" s="6">
        <f t="shared" si="25"/>
        <v>1900</v>
      </c>
      <c r="O466" s="109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5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7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71"/>
      <c r="Q467" s="371"/>
      <c r="R467" s="371"/>
      <c r="S467" s="371"/>
      <c r="T467" s="371"/>
      <c r="U467" s="371"/>
      <c r="V467" s="371"/>
      <c r="W467" s="371"/>
      <c r="X467" s="371"/>
      <c r="Y467" s="371"/>
      <c r="Z467" s="371"/>
      <c r="AA467" s="371"/>
      <c r="AB467" s="371"/>
      <c r="AC467" s="371"/>
      <c r="AD467" s="371"/>
      <c r="AE467" s="371"/>
      <c r="AF467" s="371"/>
      <c r="AG467" s="371"/>
      <c r="AH467" s="371"/>
      <c r="AI467" s="371"/>
      <c r="AJ467" s="371"/>
      <c r="AK467" s="371"/>
      <c r="AL467" s="371"/>
      <c r="AM467" s="371"/>
      <c r="AN467" s="371"/>
      <c r="AO467" s="371"/>
      <c r="AP467" s="371"/>
      <c r="AQ467" s="371"/>
      <c r="AR467" s="371"/>
      <c r="AS467" s="371"/>
      <c r="AT467" s="371"/>
      <c r="AU467" s="371"/>
      <c r="AV467" s="371"/>
      <c r="AW467" s="371"/>
      <c r="AX467" s="371"/>
      <c r="AY467" s="371"/>
      <c r="AZ467" s="371"/>
      <c r="BA467" s="371"/>
      <c r="BB467" s="371"/>
      <c r="BC467" s="371"/>
      <c r="BD467" s="371"/>
      <c r="BE467" s="371"/>
      <c r="BF467" s="371"/>
      <c r="BG467" s="371"/>
      <c r="BH467" s="371"/>
    </row>
    <row r="468" spans="1:60" s="361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5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7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2"/>
      <c r="Q468" s="372"/>
      <c r="R468" s="372"/>
      <c r="S468" s="372"/>
      <c r="T468" s="372"/>
      <c r="U468" s="372"/>
      <c r="V468" s="372"/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372"/>
      <c r="AJ468" s="372"/>
      <c r="AK468" s="372"/>
      <c r="AL468" s="372"/>
      <c r="AM468" s="372"/>
      <c r="AN468" s="372"/>
      <c r="AO468" s="372"/>
      <c r="AP468" s="372"/>
      <c r="AQ468" s="372"/>
      <c r="AR468" s="372"/>
      <c r="AS468" s="372"/>
      <c r="AT468" s="372"/>
      <c r="AU468" s="372"/>
      <c r="AV468" s="372"/>
      <c r="AW468" s="372"/>
      <c r="AX468" s="372"/>
      <c r="AY468" s="372"/>
      <c r="AZ468" s="372"/>
      <c r="BA468" s="372"/>
      <c r="BB468" s="372"/>
      <c r="BC468" s="372"/>
      <c r="BD468" s="372"/>
      <c r="BE468" s="372"/>
      <c r="BF468" s="372"/>
      <c r="BG468" s="372"/>
      <c r="BH468" s="372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5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7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5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7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61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5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7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2"/>
      <c r="Q471" s="372"/>
      <c r="R471" s="372"/>
      <c r="S471" s="372"/>
      <c r="T471" s="372"/>
      <c r="U471" s="372"/>
      <c r="V471" s="372"/>
      <c r="W471" s="372"/>
      <c r="X471" s="372"/>
      <c r="Y471" s="372"/>
      <c r="Z471" s="372"/>
      <c r="AA471" s="372"/>
      <c r="AB471" s="372"/>
      <c r="AC471" s="372"/>
      <c r="AD471" s="372"/>
      <c r="AE471" s="372"/>
      <c r="AF471" s="372"/>
      <c r="AG471" s="372"/>
      <c r="AH471" s="372"/>
      <c r="AI471" s="372"/>
      <c r="AJ471" s="372"/>
      <c r="AK471" s="372"/>
      <c r="AL471" s="372"/>
      <c r="AM471" s="372"/>
      <c r="AN471" s="372"/>
      <c r="AO471" s="372"/>
      <c r="AP471" s="372"/>
      <c r="AQ471" s="372"/>
      <c r="AR471" s="372"/>
      <c r="AS471" s="372"/>
      <c r="AT471" s="372"/>
      <c r="AU471" s="372"/>
      <c r="AV471" s="372"/>
      <c r="AW471" s="372"/>
      <c r="AX471" s="372"/>
      <c r="AY471" s="372"/>
      <c r="AZ471" s="372"/>
      <c r="BA471" s="372"/>
      <c r="BB471" s="372"/>
      <c r="BC471" s="372"/>
      <c r="BD471" s="372"/>
      <c r="BE471" s="372"/>
      <c r="BF471" s="372"/>
      <c r="BG471" s="372"/>
      <c r="BH471" s="372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2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7" t="e">
        <f>K472*VLOOKUP(E472,BD!$A$2:$F$122,6,0)</f>
        <v>#N/A</v>
      </c>
      <c r="N472" s="33">
        <f t="shared" si="25"/>
        <v>1900</v>
      </c>
      <c r="O472" s="386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3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7" t="e">
        <f>K473*VLOOKUP(E473,BD!$A$2:$F$122,6,0)</f>
        <v>#N/A</v>
      </c>
      <c r="N473" s="6">
        <f t="shared" si="25"/>
        <v>1900</v>
      </c>
      <c r="O473" s="109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5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7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5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7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71"/>
      <c r="Q475" s="371"/>
      <c r="R475" s="371"/>
      <c r="S475" s="371"/>
      <c r="T475" s="371"/>
      <c r="U475" s="371"/>
      <c r="V475" s="371"/>
      <c r="W475" s="371"/>
      <c r="X475" s="371"/>
      <c r="Y475" s="371"/>
      <c r="Z475" s="371"/>
      <c r="AA475" s="371"/>
      <c r="AB475" s="371"/>
      <c r="AC475" s="371"/>
      <c r="AD475" s="371"/>
      <c r="AE475" s="371"/>
      <c r="AF475" s="371"/>
      <c r="AG475" s="371"/>
      <c r="AH475" s="371"/>
      <c r="AI475" s="371"/>
      <c r="AJ475" s="371"/>
      <c r="AK475" s="371"/>
      <c r="AL475" s="371"/>
      <c r="AM475" s="371"/>
      <c r="AN475" s="371"/>
      <c r="AO475" s="371"/>
      <c r="AP475" s="371"/>
      <c r="AQ475" s="371"/>
      <c r="AR475" s="371"/>
      <c r="AS475" s="371"/>
      <c r="AT475" s="371"/>
      <c r="AU475" s="371"/>
      <c r="AV475" s="371"/>
      <c r="AW475" s="371"/>
      <c r="AX475" s="371"/>
      <c r="AY475" s="371"/>
      <c r="AZ475" s="371"/>
      <c r="BA475" s="371"/>
      <c r="BB475" s="371"/>
      <c r="BC475" s="371"/>
      <c r="BD475" s="371"/>
      <c r="BE475" s="371"/>
      <c r="BF475" s="371"/>
      <c r="BG475" s="371"/>
      <c r="BH475" s="371"/>
    </row>
    <row r="476" spans="1:60" s="361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5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7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2"/>
      <c r="Q476" s="372"/>
      <c r="R476" s="372"/>
      <c r="S476" s="372"/>
      <c r="T476" s="372"/>
      <c r="U476" s="372"/>
      <c r="V476" s="372"/>
      <c r="W476" s="372"/>
      <c r="X476" s="372"/>
      <c r="Y476" s="372"/>
      <c r="Z476" s="372"/>
      <c r="AA476" s="372"/>
      <c r="AB476" s="372"/>
      <c r="AC476" s="372"/>
      <c r="AD476" s="372"/>
      <c r="AE476" s="372"/>
      <c r="AF476" s="372"/>
      <c r="AG476" s="372"/>
      <c r="AH476" s="372"/>
      <c r="AI476" s="372"/>
      <c r="AJ476" s="372"/>
      <c r="AK476" s="372"/>
      <c r="AL476" s="372"/>
      <c r="AM476" s="372"/>
      <c r="AN476" s="372"/>
      <c r="AO476" s="372"/>
      <c r="AP476" s="372"/>
      <c r="AQ476" s="372"/>
      <c r="AR476" s="372"/>
      <c r="AS476" s="372"/>
      <c r="AT476" s="372"/>
      <c r="AU476" s="372"/>
      <c r="AV476" s="372"/>
      <c r="AW476" s="372"/>
      <c r="AX476" s="372"/>
      <c r="AY476" s="372"/>
      <c r="AZ476" s="372"/>
      <c r="BA476" s="372"/>
      <c r="BB476" s="372"/>
      <c r="BC476" s="372"/>
      <c r="BD476" s="372"/>
      <c r="BE476" s="372"/>
      <c r="BF476" s="372"/>
      <c r="BG476" s="372"/>
      <c r="BH476" s="372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1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7" t="e">
        <f>K477*VLOOKUP(E477,BD!$A$2:$F$122,6,0)</f>
        <v>#N/A</v>
      </c>
      <c r="N477" s="8">
        <f t="shared" si="25"/>
        <v>1900</v>
      </c>
      <c r="O477" s="110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3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7" t="e">
        <f>K478*VLOOKUP(E478,BD!$A$2:$F$122,6,0)</f>
        <v>#N/A</v>
      </c>
      <c r="N478" s="6">
        <f t="shared" si="25"/>
        <v>1900</v>
      </c>
      <c r="O478" s="109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5"/>
      <c r="F479" s="3"/>
      <c r="G479" s="3"/>
      <c r="H479" s="3"/>
      <c r="I479" s="3"/>
      <c r="J479" s="3">
        <f t="shared" si="28"/>
        <v>0</v>
      </c>
      <c r="K479" s="391"/>
      <c r="L479" s="3">
        <f>+IFERROR(VLOOKUP(E479,BD!$A$2:$D$122,4,FALSE),0)</f>
        <v>0</v>
      </c>
      <c r="M479" s="97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71"/>
      <c r="Q479" s="371"/>
      <c r="R479" s="371"/>
      <c r="S479" s="371"/>
      <c r="T479" s="371"/>
      <c r="U479" s="371"/>
      <c r="V479" s="371"/>
      <c r="W479" s="371"/>
      <c r="X479" s="371"/>
      <c r="Y479" s="371"/>
      <c r="Z479" s="371"/>
      <c r="AA479" s="371"/>
      <c r="AB479" s="371"/>
      <c r="AC479" s="371"/>
      <c r="AD479" s="371"/>
      <c r="AE479" s="371"/>
      <c r="AF479" s="371"/>
      <c r="AG479" s="371"/>
      <c r="AH479" s="371"/>
      <c r="AI479" s="371"/>
      <c r="AJ479" s="371"/>
      <c r="AK479" s="371"/>
      <c r="AL479" s="371"/>
      <c r="AM479" s="371"/>
      <c r="AN479" s="371"/>
      <c r="AO479" s="371"/>
      <c r="AP479" s="371"/>
      <c r="AQ479" s="371"/>
      <c r="AR479" s="371"/>
      <c r="AS479" s="371"/>
      <c r="AT479" s="371"/>
      <c r="AU479" s="371"/>
      <c r="AV479" s="371"/>
      <c r="AW479" s="371"/>
      <c r="AX479" s="371"/>
      <c r="AY479" s="371"/>
      <c r="AZ479" s="371"/>
      <c r="BA479" s="371"/>
      <c r="BB479" s="371"/>
      <c r="BC479" s="371"/>
      <c r="BD479" s="371"/>
      <c r="BE479" s="371"/>
      <c r="BF479" s="371"/>
      <c r="BG479" s="371"/>
      <c r="BH479" s="371"/>
    </row>
    <row r="480" spans="1:60" s="361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5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7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2"/>
      <c r="Q480" s="372"/>
      <c r="R480" s="372"/>
      <c r="S480" s="372"/>
      <c r="T480" s="372"/>
      <c r="U480" s="372"/>
      <c r="V480" s="372"/>
      <c r="W480" s="372"/>
      <c r="X480" s="372"/>
      <c r="Y480" s="372"/>
      <c r="Z480" s="372"/>
      <c r="AA480" s="372"/>
      <c r="AB480" s="372"/>
      <c r="AC480" s="372"/>
      <c r="AD480" s="372"/>
      <c r="AE480" s="372"/>
      <c r="AF480" s="372"/>
      <c r="AG480" s="372"/>
      <c r="AH480" s="372"/>
      <c r="AI480" s="372"/>
      <c r="AJ480" s="372"/>
      <c r="AK480" s="372"/>
      <c r="AL480" s="372"/>
      <c r="AM480" s="372"/>
      <c r="AN480" s="372"/>
      <c r="AO480" s="372"/>
      <c r="AP480" s="372"/>
      <c r="AQ480" s="372"/>
      <c r="AR480" s="372"/>
      <c r="AS480" s="372"/>
      <c r="AT480" s="372"/>
      <c r="AU480" s="372"/>
      <c r="AV480" s="372"/>
      <c r="AW480" s="372"/>
      <c r="AX480" s="372"/>
      <c r="AY480" s="372"/>
      <c r="AZ480" s="372"/>
      <c r="BA480" s="372"/>
      <c r="BB480" s="372"/>
      <c r="BC480" s="372"/>
      <c r="BD480" s="372"/>
      <c r="BE480" s="372"/>
      <c r="BF480" s="372"/>
      <c r="BG480" s="372"/>
      <c r="BH480" s="372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1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7" t="e">
        <f>K481*VLOOKUP(E481,BD!$A$2:$F$122,6,0)</f>
        <v>#N/A</v>
      </c>
      <c r="N481" s="8">
        <f t="shared" si="25"/>
        <v>1900</v>
      </c>
      <c r="O481" s="110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3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7" t="e">
        <f>K482*VLOOKUP(E482,BD!$A$2:$F$122,6,0)</f>
        <v>#N/A</v>
      </c>
      <c r="N482" s="6">
        <f t="shared" si="25"/>
        <v>1900</v>
      </c>
      <c r="O482" s="109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5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7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71"/>
      <c r="Q483" s="371"/>
      <c r="R483" s="371"/>
      <c r="S483" s="371"/>
      <c r="T483" s="371"/>
      <c r="U483" s="371"/>
      <c r="V483" s="371"/>
      <c r="W483" s="371"/>
      <c r="X483" s="371"/>
      <c r="Y483" s="371"/>
      <c r="Z483" s="371"/>
      <c r="AA483" s="371"/>
      <c r="AB483" s="371"/>
      <c r="AC483" s="371"/>
      <c r="AD483" s="371"/>
      <c r="AE483" s="371"/>
      <c r="AF483" s="371"/>
      <c r="AG483" s="371"/>
      <c r="AH483" s="371"/>
      <c r="AI483" s="371"/>
      <c r="AJ483" s="371"/>
      <c r="AK483" s="371"/>
      <c r="AL483" s="371"/>
      <c r="AM483" s="371"/>
      <c r="AN483" s="371"/>
      <c r="AO483" s="371"/>
      <c r="AP483" s="371"/>
      <c r="AQ483" s="371"/>
      <c r="AR483" s="371"/>
      <c r="AS483" s="371"/>
      <c r="AT483" s="371"/>
      <c r="AU483" s="371"/>
      <c r="AV483" s="371"/>
      <c r="AW483" s="371"/>
      <c r="AX483" s="371"/>
      <c r="AY483" s="371"/>
      <c r="AZ483" s="371"/>
      <c r="BA483" s="371"/>
      <c r="BB483" s="371"/>
      <c r="BC483" s="371"/>
      <c r="BD483" s="371"/>
      <c r="BE483" s="371"/>
      <c r="BF483" s="371"/>
      <c r="BG483" s="371"/>
      <c r="BH483" s="371"/>
    </row>
    <row r="484" spans="1:60" s="361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5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7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2"/>
      <c r="Q484" s="372"/>
      <c r="R484" s="372"/>
      <c r="S484" s="372"/>
      <c r="T484" s="372"/>
      <c r="U484" s="372"/>
      <c r="V484" s="372"/>
      <c r="W484" s="372"/>
      <c r="X484" s="372"/>
      <c r="Y484" s="372"/>
      <c r="Z484" s="372"/>
      <c r="AA484" s="372"/>
      <c r="AB484" s="372"/>
      <c r="AC484" s="372"/>
      <c r="AD484" s="372"/>
      <c r="AE484" s="372"/>
      <c r="AF484" s="372"/>
      <c r="AG484" s="372"/>
      <c r="AH484" s="372"/>
      <c r="AI484" s="372"/>
      <c r="AJ484" s="372"/>
      <c r="AK484" s="372"/>
      <c r="AL484" s="372"/>
      <c r="AM484" s="372"/>
      <c r="AN484" s="372"/>
      <c r="AO484" s="372"/>
      <c r="AP484" s="372"/>
      <c r="AQ484" s="372"/>
      <c r="AR484" s="372"/>
      <c r="AS484" s="372"/>
      <c r="AT484" s="372"/>
      <c r="AU484" s="372"/>
      <c r="AV484" s="372"/>
      <c r="AW484" s="372"/>
      <c r="AX484" s="372"/>
      <c r="AY484" s="372"/>
      <c r="AZ484" s="372"/>
      <c r="BA484" s="372"/>
      <c r="BB484" s="372"/>
      <c r="BC484" s="372"/>
      <c r="BD484" s="372"/>
      <c r="BE484" s="372"/>
      <c r="BF484" s="372"/>
      <c r="BG484" s="372"/>
      <c r="BH484" s="372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5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7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5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7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5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7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71"/>
      <c r="Q487" s="371"/>
      <c r="R487" s="371"/>
      <c r="S487" s="371"/>
      <c r="T487" s="371"/>
      <c r="U487" s="371"/>
      <c r="V487" s="371"/>
      <c r="W487" s="371"/>
      <c r="X487" s="371"/>
      <c r="Y487" s="371"/>
      <c r="Z487" s="371"/>
      <c r="AA487" s="371"/>
      <c r="AB487" s="371"/>
      <c r="AC487" s="371"/>
      <c r="AD487" s="371"/>
      <c r="AE487" s="371"/>
      <c r="AF487" s="371"/>
      <c r="AG487" s="371"/>
      <c r="AH487" s="371"/>
      <c r="AI487" s="371"/>
      <c r="AJ487" s="371"/>
      <c r="AK487" s="371"/>
      <c r="AL487" s="371"/>
      <c r="AM487" s="371"/>
      <c r="AN487" s="371"/>
      <c r="AO487" s="371"/>
      <c r="AP487" s="371"/>
      <c r="AQ487" s="371"/>
      <c r="AR487" s="371"/>
      <c r="AS487" s="371"/>
      <c r="AT487" s="371"/>
      <c r="AU487" s="371"/>
      <c r="AV487" s="371"/>
      <c r="AW487" s="371"/>
      <c r="AX487" s="371"/>
      <c r="AY487" s="371"/>
      <c r="AZ487" s="371"/>
      <c r="BA487" s="371"/>
      <c r="BB487" s="371"/>
      <c r="BC487" s="371"/>
      <c r="BD487" s="371"/>
      <c r="BE487" s="371"/>
      <c r="BF487" s="371"/>
      <c r="BG487" s="371"/>
      <c r="BH487" s="371"/>
    </row>
    <row r="488" spans="1:60" s="361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5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7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2"/>
      <c r="Q488" s="372"/>
      <c r="R488" s="372"/>
      <c r="S488" s="372"/>
      <c r="T488" s="372"/>
      <c r="U488" s="372"/>
      <c r="V488" s="372"/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72"/>
      <c r="AL488" s="372"/>
      <c r="AM488" s="372"/>
      <c r="AN488" s="372"/>
      <c r="AO488" s="372"/>
      <c r="AP488" s="372"/>
      <c r="AQ488" s="372"/>
      <c r="AR488" s="372"/>
      <c r="AS488" s="372"/>
      <c r="AT488" s="372"/>
      <c r="AU488" s="372"/>
      <c r="AV488" s="372"/>
      <c r="AW488" s="372"/>
      <c r="AX488" s="372"/>
      <c r="AY488" s="372"/>
      <c r="AZ488" s="372"/>
      <c r="BA488" s="372"/>
      <c r="BB488" s="372"/>
      <c r="BC488" s="372"/>
      <c r="BD488" s="372"/>
      <c r="BE488" s="372"/>
      <c r="BF488" s="372"/>
      <c r="BG488" s="372"/>
      <c r="BH488" s="372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5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7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5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7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5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7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71"/>
      <c r="Q491" s="371"/>
      <c r="R491" s="371"/>
      <c r="S491" s="371"/>
      <c r="T491" s="371"/>
      <c r="U491" s="371"/>
      <c r="V491" s="371"/>
      <c r="W491" s="371"/>
      <c r="X491" s="371"/>
      <c r="Y491" s="371"/>
      <c r="Z491" s="371"/>
      <c r="AA491" s="371"/>
      <c r="AB491" s="371"/>
      <c r="AC491" s="371"/>
      <c r="AD491" s="371"/>
      <c r="AE491" s="371"/>
      <c r="AF491" s="371"/>
      <c r="AG491" s="371"/>
      <c r="AH491" s="371"/>
      <c r="AI491" s="371"/>
      <c r="AJ491" s="371"/>
      <c r="AK491" s="371"/>
      <c r="AL491" s="371"/>
      <c r="AM491" s="371"/>
      <c r="AN491" s="371"/>
      <c r="AO491" s="371"/>
      <c r="AP491" s="371"/>
      <c r="AQ491" s="371"/>
      <c r="AR491" s="371"/>
      <c r="AS491" s="371"/>
      <c r="AT491" s="371"/>
      <c r="AU491" s="371"/>
      <c r="AV491" s="371"/>
      <c r="AW491" s="371"/>
      <c r="AX491" s="371"/>
      <c r="AY491" s="371"/>
      <c r="AZ491" s="371"/>
      <c r="BA491" s="371"/>
      <c r="BB491" s="371"/>
      <c r="BC491" s="371"/>
      <c r="BD491" s="371"/>
      <c r="BE491" s="371"/>
      <c r="BF491" s="371"/>
      <c r="BG491" s="371"/>
      <c r="BH491" s="371"/>
    </row>
    <row r="492" spans="1:60" s="361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5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7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2"/>
      <c r="Q492" s="372"/>
      <c r="R492" s="372"/>
      <c r="S492" s="372"/>
      <c r="T492" s="372"/>
      <c r="U492" s="372"/>
      <c r="V492" s="372"/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72"/>
      <c r="AK492" s="372"/>
      <c r="AL492" s="372"/>
      <c r="AM492" s="372"/>
      <c r="AN492" s="372"/>
      <c r="AO492" s="372"/>
      <c r="AP492" s="372"/>
      <c r="AQ492" s="372"/>
      <c r="AR492" s="372"/>
      <c r="AS492" s="372"/>
      <c r="AT492" s="372"/>
      <c r="AU492" s="372"/>
      <c r="AV492" s="372"/>
      <c r="AW492" s="372"/>
      <c r="AX492" s="372"/>
      <c r="AY492" s="372"/>
      <c r="AZ492" s="372"/>
      <c r="BA492" s="372"/>
      <c r="BB492" s="372"/>
      <c r="BC492" s="372"/>
      <c r="BD492" s="372"/>
      <c r="BE492" s="372"/>
      <c r="BF492" s="372"/>
      <c r="BG492" s="372"/>
      <c r="BH492" s="372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1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7" t="e">
        <f>K493*VLOOKUP(E493,BD!$A$2:$F$122,6,0)</f>
        <v>#N/A</v>
      </c>
      <c r="N493" s="8">
        <f t="shared" si="25"/>
        <v>1900</v>
      </c>
      <c r="O493" s="110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3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7" t="e">
        <f>K494*VLOOKUP(E494,BD!$A$2:$F$122,6,0)</f>
        <v>#N/A</v>
      </c>
      <c r="N494" s="6">
        <f t="shared" si="25"/>
        <v>1900</v>
      </c>
      <c r="O494" s="109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5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7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71"/>
      <c r="Q495" s="371"/>
      <c r="R495" s="371"/>
      <c r="S495" s="371"/>
      <c r="T495" s="371"/>
      <c r="U495" s="371"/>
      <c r="V495" s="371"/>
      <c r="W495" s="371"/>
      <c r="X495" s="371"/>
      <c r="Y495" s="371"/>
      <c r="Z495" s="371"/>
      <c r="AA495" s="371"/>
      <c r="AB495" s="371"/>
      <c r="AC495" s="371"/>
      <c r="AD495" s="371"/>
      <c r="AE495" s="371"/>
      <c r="AF495" s="371"/>
      <c r="AG495" s="371"/>
      <c r="AH495" s="371"/>
      <c r="AI495" s="371"/>
      <c r="AJ495" s="371"/>
      <c r="AK495" s="371"/>
      <c r="AL495" s="371"/>
      <c r="AM495" s="371"/>
      <c r="AN495" s="371"/>
      <c r="AO495" s="371"/>
      <c r="AP495" s="371"/>
      <c r="AQ495" s="371"/>
      <c r="AR495" s="371"/>
      <c r="AS495" s="371"/>
      <c r="AT495" s="371"/>
      <c r="AU495" s="371"/>
      <c r="AV495" s="371"/>
      <c r="AW495" s="371"/>
      <c r="AX495" s="371"/>
      <c r="AY495" s="371"/>
      <c r="AZ495" s="371"/>
      <c r="BA495" s="371"/>
      <c r="BB495" s="371"/>
      <c r="BC495" s="371"/>
      <c r="BD495" s="371"/>
      <c r="BE495" s="371"/>
      <c r="BF495" s="371"/>
      <c r="BG495" s="371"/>
      <c r="BH495" s="371"/>
    </row>
    <row r="496" spans="1:60" s="361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5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7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2"/>
      <c r="Q496" s="372"/>
      <c r="R496" s="372"/>
      <c r="S496" s="372"/>
      <c r="T496" s="372"/>
      <c r="U496" s="372"/>
      <c r="V496" s="372"/>
      <c r="W496" s="372"/>
      <c r="X496" s="372"/>
      <c r="Y496" s="372"/>
      <c r="Z496" s="372"/>
      <c r="AA496" s="372"/>
      <c r="AB496" s="372"/>
      <c r="AC496" s="372"/>
      <c r="AD496" s="372"/>
      <c r="AE496" s="372"/>
      <c r="AF496" s="372"/>
      <c r="AG496" s="372"/>
      <c r="AH496" s="372"/>
      <c r="AI496" s="372"/>
      <c r="AJ496" s="372"/>
      <c r="AK496" s="372"/>
      <c r="AL496" s="372"/>
      <c r="AM496" s="372"/>
      <c r="AN496" s="372"/>
      <c r="AO496" s="372"/>
      <c r="AP496" s="372"/>
      <c r="AQ496" s="372"/>
      <c r="AR496" s="372"/>
      <c r="AS496" s="372"/>
      <c r="AT496" s="372"/>
      <c r="AU496" s="372"/>
      <c r="AV496" s="372"/>
      <c r="AW496" s="372"/>
      <c r="AX496" s="372"/>
      <c r="AY496" s="372"/>
      <c r="AZ496" s="372"/>
      <c r="BA496" s="372"/>
      <c r="BB496" s="372"/>
      <c r="BC496" s="372"/>
      <c r="BD496" s="372"/>
      <c r="BE496" s="372"/>
      <c r="BF496" s="372"/>
      <c r="BG496" s="372"/>
      <c r="BH496" s="372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5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7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7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5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7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71"/>
      <c r="Q499" s="371"/>
      <c r="R499" s="371"/>
      <c r="S499" s="371"/>
      <c r="T499" s="371"/>
      <c r="U499" s="371"/>
      <c r="V499" s="371"/>
      <c r="W499" s="371"/>
      <c r="X499" s="371"/>
      <c r="Y499" s="371"/>
      <c r="Z499" s="371"/>
      <c r="AA499" s="371"/>
      <c r="AB499" s="371"/>
      <c r="AC499" s="371"/>
      <c r="AD499" s="371"/>
      <c r="AE499" s="371"/>
      <c r="AF499" s="371"/>
      <c r="AG499" s="371"/>
      <c r="AH499" s="371"/>
      <c r="AI499" s="371"/>
      <c r="AJ499" s="371"/>
      <c r="AK499" s="371"/>
      <c r="AL499" s="371"/>
      <c r="AM499" s="371"/>
      <c r="AN499" s="371"/>
      <c r="AO499" s="371"/>
      <c r="AP499" s="371"/>
      <c r="AQ499" s="371"/>
      <c r="AR499" s="371"/>
      <c r="AS499" s="371"/>
      <c r="AT499" s="371"/>
      <c r="AU499" s="371"/>
      <c r="AV499" s="371"/>
      <c r="AW499" s="371"/>
      <c r="AX499" s="371"/>
      <c r="AY499" s="371"/>
      <c r="AZ499" s="371"/>
      <c r="BA499" s="371"/>
      <c r="BB499" s="371"/>
      <c r="BC499" s="371"/>
      <c r="BD499" s="371"/>
      <c r="BE499" s="371"/>
      <c r="BF499" s="371"/>
      <c r="BG499" s="371"/>
      <c r="BH499" s="371"/>
    </row>
    <row r="500" spans="1:60" s="361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5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7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2"/>
      <c r="Q500" s="372"/>
      <c r="R500" s="372"/>
      <c r="S500" s="372"/>
      <c r="T500" s="372"/>
      <c r="U500" s="372"/>
      <c r="V500" s="372"/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372"/>
      <c r="AH500" s="372"/>
      <c r="AI500" s="372"/>
      <c r="AJ500" s="372"/>
      <c r="AK500" s="372"/>
      <c r="AL500" s="372"/>
      <c r="AM500" s="372"/>
      <c r="AN500" s="372"/>
      <c r="AO500" s="372"/>
      <c r="AP500" s="372"/>
      <c r="AQ500" s="372"/>
      <c r="AR500" s="372"/>
      <c r="AS500" s="372"/>
      <c r="AT500" s="372"/>
      <c r="AU500" s="372"/>
      <c r="AV500" s="372"/>
      <c r="AW500" s="372"/>
      <c r="AX500" s="372"/>
      <c r="AY500" s="372"/>
      <c r="AZ500" s="372"/>
      <c r="BA500" s="372"/>
      <c r="BB500" s="372"/>
      <c r="BC500" s="372"/>
      <c r="BD500" s="372"/>
      <c r="BE500" s="372"/>
      <c r="BF500" s="372"/>
      <c r="BG500" s="372"/>
      <c r="BH500" s="372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1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7" t="e">
        <f>K501*VLOOKUP(E501,BD!$A$2:$F$122,6,0)</f>
        <v>#N/A</v>
      </c>
      <c r="N501" s="8">
        <f t="shared" si="25"/>
        <v>1900</v>
      </c>
      <c r="O501" s="110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3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7" t="e">
        <f>K502*VLOOKUP(E502,BD!$A$2:$F$122,6,0)</f>
        <v>#N/A</v>
      </c>
      <c r="N502" s="6">
        <f t="shared" si="25"/>
        <v>1900</v>
      </c>
      <c r="O502" s="109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5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7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71"/>
      <c r="Q503" s="371"/>
      <c r="R503" s="371"/>
      <c r="S503" s="371"/>
      <c r="T503" s="371"/>
      <c r="U503" s="371"/>
      <c r="V503" s="371"/>
      <c r="W503" s="371"/>
      <c r="X503" s="371"/>
      <c r="Y503" s="371"/>
      <c r="Z503" s="371"/>
      <c r="AA503" s="371"/>
      <c r="AB503" s="371"/>
      <c r="AC503" s="371"/>
      <c r="AD503" s="371"/>
      <c r="AE503" s="371"/>
      <c r="AF503" s="371"/>
      <c r="AG503" s="371"/>
      <c r="AH503" s="371"/>
      <c r="AI503" s="371"/>
      <c r="AJ503" s="371"/>
      <c r="AK503" s="371"/>
      <c r="AL503" s="371"/>
      <c r="AM503" s="371"/>
      <c r="AN503" s="371"/>
      <c r="AO503" s="371"/>
      <c r="AP503" s="371"/>
      <c r="AQ503" s="371"/>
      <c r="AR503" s="371"/>
      <c r="AS503" s="371"/>
      <c r="AT503" s="371"/>
      <c r="AU503" s="371"/>
      <c r="AV503" s="371"/>
      <c r="AW503" s="371"/>
      <c r="AX503" s="371"/>
      <c r="AY503" s="371"/>
      <c r="AZ503" s="371"/>
      <c r="BA503" s="371"/>
      <c r="BB503" s="371"/>
      <c r="BC503" s="371"/>
      <c r="BD503" s="371"/>
      <c r="BE503" s="371"/>
      <c r="BF503" s="371"/>
      <c r="BG503" s="371"/>
      <c r="BH503" s="371"/>
    </row>
    <row r="504" spans="1:60" s="361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5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7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2"/>
      <c r="Q504" s="372"/>
      <c r="R504" s="372"/>
      <c r="S504" s="372"/>
      <c r="T504" s="372"/>
      <c r="U504" s="372"/>
      <c r="V504" s="372"/>
      <c r="W504" s="372"/>
      <c r="X504" s="372"/>
      <c r="Y504" s="372"/>
      <c r="Z504" s="372"/>
      <c r="AA504" s="372"/>
      <c r="AB504" s="372"/>
      <c r="AC504" s="372"/>
      <c r="AD504" s="372"/>
      <c r="AE504" s="372"/>
      <c r="AF504" s="372"/>
      <c r="AG504" s="372"/>
      <c r="AH504" s="372"/>
      <c r="AI504" s="372"/>
      <c r="AJ504" s="372"/>
      <c r="AK504" s="372"/>
      <c r="AL504" s="372"/>
      <c r="AM504" s="372"/>
      <c r="AN504" s="372"/>
      <c r="AO504" s="372"/>
      <c r="AP504" s="372"/>
      <c r="AQ504" s="372"/>
      <c r="AR504" s="372"/>
      <c r="AS504" s="372"/>
      <c r="AT504" s="372"/>
      <c r="AU504" s="372"/>
      <c r="AV504" s="372"/>
      <c r="AW504" s="372"/>
      <c r="AX504" s="372"/>
      <c r="AY504" s="372"/>
      <c r="AZ504" s="372"/>
      <c r="BA504" s="372"/>
      <c r="BB504" s="372"/>
      <c r="BC504" s="372"/>
      <c r="BD504" s="372"/>
      <c r="BE504" s="372"/>
      <c r="BF504" s="372"/>
      <c r="BG504" s="372"/>
      <c r="BH504" s="372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5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7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5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7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5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7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71"/>
      <c r="Q507" s="371"/>
      <c r="R507" s="371"/>
      <c r="S507" s="371"/>
      <c r="T507" s="371"/>
      <c r="U507" s="371"/>
      <c r="V507" s="371"/>
      <c r="W507" s="371"/>
      <c r="X507" s="371"/>
      <c r="Y507" s="371"/>
      <c r="Z507" s="371"/>
      <c r="AA507" s="371"/>
      <c r="AB507" s="371"/>
      <c r="AC507" s="371"/>
      <c r="AD507" s="371"/>
      <c r="AE507" s="371"/>
      <c r="AF507" s="371"/>
      <c r="AG507" s="371"/>
      <c r="AH507" s="371"/>
      <c r="AI507" s="371"/>
      <c r="AJ507" s="371"/>
      <c r="AK507" s="371"/>
      <c r="AL507" s="371"/>
      <c r="AM507" s="371"/>
      <c r="AN507" s="371"/>
      <c r="AO507" s="371"/>
      <c r="AP507" s="371"/>
      <c r="AQ507" s="371"/>
      <c r="AR507" s="371"/>
      <c r="AS507" s="371"/>
      <c r="AT507" s="371"/>
      <c r="AU507" s="371"/>
      <c r="AV507" s="371"/>
      <c r="AW507" s="371"/>
      <c r="AX507" s="371"/>
      <c r="AY507" s="371"/>
      <c r="AZ507" s="371"/>
      <c r="BA507" s="371"/>
      <c r="BB507" s="371"/>
      <c r="BC507" s="371"/>
      <c r="BD507" s="371"/>
      <c r="BE507" s="371"/>
      <c r="BF507" s="371"/>
      <c r="BG507" s="371"/>
      <c r="BH507" s="371"/>
    </row>
    <row r="508" spans="1:60" s="361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5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91"/>
      <c r="L508" s="3">
        <f>+IFERROR(VLOOKUP(E508,BD!$A$2:$D$122,4,FALSE),0)</f>
        <v>0</v>
      </c>
      <c r="M508" s="97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2"/>
      <c r="Q508" s="372"/>
      <c r="R508" s="372"/>
      <c r="S508" s="372"/>
      <c r="T508" s="372"/>
      <c r="U508" s="372"/>
      <c r="V508" s="372"/>
      <c r="W508" s="372"/>
      <c r="X508" s="372"/>
      <c r="Y508" s="372"/>
      <c r="Z508" s="372"/>
      <c r="AA508" s="372"/>
      <c r="AB508" s="372"/>
      <c r="AC508" s="372"/>
      <c r="AD508" s="372"/>
      <c r="AE508" s="372"/>
      <c r="AF508" s="372"/>
      <c r="AG508" s="372"/>
      <c r="AH508" s="372"/>
      <c r="AI508" s="372"/>
      <c r="AJ508" s="372"/>
      <c r="AK508" s="372"/>
      <c r="AL508" s="372"/>
      <c r="AM508" s="372"/>
      <c r="AN508" s="372"/>
      <c r="AO508" s="372"/>
      <c r="AP508" s="372"/>
      <c r="AQ508" s="372"/>
      <c r="AR508" s="372"/>
      <c r="AS508" s="372"/>
      <c r="AT508" s="372"/>
      <c r="AU508" s="372"/>
      <c r="AV508" s="372"/>
      <c r="AW508" s="372"/>
      <c r="AX508" s="372"/>
      <c r="AY508" s="372"/>
      <c r="AZ508" s="372"/>
      <c r="BA508" s="372"/>
      <c r="BB508" s="372"/>
      <c r="BC508" s="372"/>
      <c r="BD508" s="372"/>
      <c r="BE508" s="372"/>
      <c r="BF508" s="372"/>
      <c r="BG508" s="372"/>
      <c r="BH508" s="372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5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7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5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7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1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7" t="e">
        <f>K511*VLOOKUP(E511,BD!$A$2:$F$122,6,0)</f>
        <v>#N/A</v>
      </c>
      <c r="N511" s="8">
        <f t="shared" si="25"/>
        <v>1900</v>
      </c>
      <c r="O511" s="110">
        <f t="shared" si="27"/>
        <v>0</v>
      </c>
      <c r="P511" s="371"/>
      <c r="Q511" s="371"/>
      <c r="R511" s="371"/>
      <c r="S511" s="371"/>
      <c r="T511" s="371"/>
      <c r="U511" s="371"/>
      <c r="V511" s="371"/>
      <c r="W511" s="371"/>
      <c r="X511" s="371"/>
      <c r="Y511" s="371"/>
      <c r="Z511" s="371"/>
      <c r="AA511" s="371"/>
      <c r="AB511" s="371"/>
      <c r="AC511" s="371"/>
      <c r="AD511" s="371"/>
      <c r="AE511" s="371"/>
      <c r="AF511" s="371"/>
      <c r="AG511" s="371"/>
      <c r="AH511" s="371"/>
      <c r="AI511" s="371"/>
      <c r="AJ511" s="371"/>
      <c r="AK511" s="371"/>
      <c r="AL511" s="371"/>
      <c r="AM511" s="371"/>
      <c r="AN511" s="371"/>
      <c r="AO511" s="371"/>
      <c r="AP511" s="371"/>
      <c r="AQ511" s="371"/>
      <c r="AR511" s="371"/>
      <c r="AS511" s="371"/>
      <c r="AT511" s="371"/>
      <c r="AU511" s="371"/>
      <c r="AV511" s="371"/>
      <c r="AW511" s="371"/>
      <c r="AX511" s="371"/>
      <c r="AY511" s="371"/>
      <c r="AZ511" s="371"/>
      <c r="BA511" s="371"/>
      <c r="BB511" s="371"/>
      <c r="BC511" s="371"/>
      <c r="BD511" s="371"/>
      <c r="BE511" s="371"/>
      <c r="BF511" s="371"/>
      <c r="BG511" s="371"/>
      <c r="BH511" s="371"/>
    </row>
    <row r="512" spans="1:60" s="361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3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7" t="e">
        <f>K512*VLOOKUP(E512,BD!$A$2:$F$122,6,0)</f>
        <v>#N/A</v>
      </c>
      <c r="N512" s="6">
        <f t="shared" si="25"/>
        <v>1900</v>
      </c>
      <c r="O512" s="109">
        <f t="shared" si="27"/>
        <v>0</v>
      </c>
      <c r="P512" s="372"/>
      <c r="Q512" s="372"/>
      <c r="R512" s="372"/>
      <c r="S512" s="372"/>
      <c r="T512" s="372"/>
      <c r="U512" s="372"/>
      <c r="V512" s="372"/>
      <c r="W512" s="372"/>
      <c r="X512" s="372"/>
      <c r="Y512" s="372"/>
      <c r="Z512" s="372"/>
      <c r="AA512" s="372"/>
      <c r="AB512" s="372"/>
      <c r="AC512" s="372"/>
      <c r="AD512" s="372"/>
      <c r="AE512" s="372"/>
      <c r="AF512" s="372"/>
      <c r="AG512" s="372"/>
      <c r="AH512" s="372"/>
      <c r="AI512" s="372"/>
      <c r="AJ512" s="372"/>
      <c r="AK512" s="372"/>
      <c r="AL512" s="372"/>
      <c r="AM512" s="372"/>
      <c r="AN512" s="372"/>
      <c r="AO512" s="372"/>
      <c r="AP512" s="372"/>
      <c r="AQ512" s="372"/>
      <c r="AR512" s="372"/>
      <c r="AS512" s="372"/>
      <c r="AT512" s="372"/>
      <c r="AU512" s="372"/>
      <c r="AV512" s="372"/>
      <c r="AW512" s="372"/>
      <c r="AX512" s="372"/>
      <c r="AY512" s="372"/>
      <c r="AZ512" s="372"/>
      <c r="BA512" s="372"/>
      <c r="BB512" s="372"/>
      <c r="BC512" s="372"/>
      <c r="BD512" s="372"/>
      <c r="BE512" s="372"/>
      <c r="BF512" s="372"/>
      <c r="BG512" s="372"/>
      <c r="BH512" s="372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5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7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5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7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5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7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71"/>
      <c r="Q515" s="371"/>
      <c r="R515" s="371"/>
      <c r="S515" s="371"/>
      <c r="T515" s="371"/>
      <c r="U515" s="371"/>
      <c r="V515" s="371"/>
      <c r="W515" s="371"/>
      <c r="X515" s="371"/>
      <c r="Y515" s="371"/>
      <c r="Z515" s="371"/>
      <c r="AA515" s="371"/>
      <c r="AB515" s="371"/>
      <c r="AC515" s="371"/>
      <c r="AD515" s="371"/>
      <c r="AE515" s="371"/>
      <c r="AF515" s="371"/>
      <c r="AG515" s="371"/>
      <c r="AH515" s="371"/>
      <c r="AI515" s="371"/>
      <c r="AJ515" s="371"/>
      <c r="AK515" s="371"/>
      <c r="AL515" s="371"/>
      <c r="AM515" s="371"/>
      <c r="AN515" s="371"/>
      <c r="AO515" s="371"/>
      <c r="AP515" s="371"/>
      <c r="AQ515" s="371"/>
      <c r="AR515" s="371"/>
      <c r="AS515" s="371"/>
      <c r="AT515" s="371"/>
      <c r="AU515" s="371"/>
      <c r="AV515" s="371"/>
      <c r="AW515" s="371"/>
      <c r="AX515" s="371"/>
      <c r="AY515" s="371"/>
      <c r="AZ515" s="371"/>
      <c r="BA515" s="371"/>
      <c r="BB515" s="371"/>
      <c r="BC515" s="371"/>
      <c r="BD515" s="371"/>
      <c r="BE515" s="371"/>
      <c r="BF515" s="371"/>
      <c r="BG515" s="371"/>
      <c r="BH515" s="371"/>
    </row>
    <row r="516" spans="1:60" s="361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5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7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2"/>
      <c r="Q516" s="372"/>
      <c r="R516" s="372"/>
      <c r="S516" s="372"/>
      <c r="T516" s="372"/>
      <c r="U516" s="372"/>
      <c r="V516" s="372"/>
      <c r="W516" s="372"/>
      <c r="X516" s="372"/>
      <c r="Y516" s="372"/>
      <c r="Z516" s="372"/>
      <c r="AA516" s="372"/>
      <c r="AB516" s="372"/>
      <c r="AC516" s="372"/>
      <c r="AD516" s="372"/>
      <c r="AE516" s="372"/>
      <c r="AF516" s="372"/>
      <c r="AG516" s="372"/>
      <c r="AH516" s="372"/>
      <c r="AI516" s="372"/>
      <c r="AJ516" s="372"/>
      <c r="AK516" s="372"/>
      <c r="AL516" s="372"/>
      <c r="AM516" s="372"/>
      <c r="AN516" s="372"/>
      <c r="AO516" s="372"/>
      <c r="AP516" s="372"/>
      <c r="AQ516" s="372"/>
      <c r="AR516" s="372"/>
      <c r="AS516" s="372"/>
      <c r="AT516" s="372"/>
      <c r="AU516" s="372"/>
      <c r="AV516" s="372"/>
      <c r="AW516" s="372"/>
      <c r="AX516" s="372"/>
      <c r="AY516" s="372"/>
      <c r="AZ516" s="372"/>
      <c r="BA516" s="372"/>
      <c r="BB516" s="372"/>
      <c r="BC516" s="372"/>
      <c r="BD516" s="372"/>
      <c r="BE516" s="372"/>
      <c r="BF516" s="372"/>
      <c r="BG516" s="372"/>
      <c r="BH516" s="372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5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7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5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7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5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91"/>
      <c r="L519" s="3">
        <f>+IFERROR(VLOOKUP(E519,BD!$A$2:$D$122,4,FALSE),0)</f>
        <v>0</v>
      </c>
      <c r="M519" s="97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71"/>
      <c r="Q519" s="371"/>
      <c r="R519" s="371"/>
      <c r="S519" s="371"/>
      <c r="T519" s="371"/>
      <c r="U519" s="371"/>
      <c r="V519" s="371"/>
      <c r="W519" s="371"/>
      <c r="X519" s="371"/>
      <c r="Y519" s="371"/>
      <c r="Z519" s="371"/>
      <c r="AA519" s="371"/>
      <c r="AB519" s="371"/>
      <c r="AC519" s="371"/>
      <c r="AD519" s="371"/>
      <c r="AE519" s="371"/>
      <c r="AF519" s="371"/>
      <c r="AG519" s="371"/>
      <c r="AH519" s="371"/>
      <c r="AI519" s="371"/>
      <c r="AJ519" s="371"/>
      <c r="AK519" s="371"/>
      <c r="AL519" s="371"/>
      <c r="AM519" s="371"/>
      <c r="AN519" s="371"/>
      <c r="AO519" s="371"/>
      <c r="AP519" s="371"/>
      <c r="AQ519" s="371"/>
      <c r="AR519" s="371"/>
      <c r="AS519" s="371"/>
      <c r="AT519" s="371"/>
      <c r="AU519" s="371"/>
      <c r="AV519" s="371"/>
      <c r="AW519" s="371"/>
      <c r="AX519" s="371"/>
      <c r="AY519" s="371"/>
      <c r="AZ519" s="371"/>
      <c r="BA519" s="371"/>
      <c r="BB519" s="371"/>
      <c r="BC519" s="371"/>
      <c r="BD519" s="371"/>
      <c r="BE519" s="371"/>
      <c r="BF519" s="371"/>
      <c r="BG519" s="371"/>
      <c r="BH519" s="371"/>
    </row>
    <row r="520" spans="1:60" s="361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5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7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2"/>
      <c r="Q520" s="372"/>
      <c r="R520" s="372"/>
      <c r="S520" s="372"/>
      <c r="T520" s="372"/>
      <c r="U520" s="372"/>
      <c r="V520" s="372"/>
      <c r="W520" s="372"/>
      <c r="X520" s="372"/>
      <c r="Y520" s="372"/>
      <c r="Z520" s="372"/>
      <c r="AA520" s="372"/>
      <c r="AB520" s="372"/>
      <c r="AC520" s="372"/>
      <c r="AD520" s="372"/>
      <c r="AE520" s="372"/>
      <c r="AF520" s="372"/>
      <c r="AG520" s="372"/>
      <c r="AH520" s="372"/>
      <c r="AI520" s="372"/>
      <c r="AJ520" s="372"/>
      <c r="AK520" s="372"/>
      <c r="AL520" s="372"/>
      <c r="AM520" s="372"/>
      <c r="AN520" s="372"/>
      <c r="AO520" s="372"/>
      <c r="AP520" s="372"/>
      <c r="AQ520" s="372"/>
      <c r="AR520" s="372"/>
      <c r="AS520" s="372"/>
      <c r="AT520" s="372"/>
      <c r="AU520" s="372"/>
      <c r="AV520" s="372"/>
      <c r="AW520" s="372"/>
      <c r="AX520" s="372"/>
      <c r="AY520" s="372"/>
      <c r="AZ520" s="372"/>
      <c r="BA520" s="372"/>
      <c r="BB520" s="372"/>
      <c r="BC520" s="372"/>
      <c r="BD520" s="372"/>
      <c r="BE520" s="372"/>
      <c r="BF520" s="372"/>
      <c r="BG520" s="372"/>
      <c r="BH520" s="372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5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7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5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7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71"/>
      <c r="Q522" s="371"/>
      <c r="R522" s="371"/>
      <c r="S522" s="371"/>
      <c r="T522" s="371"/>
      <c r="U522" s="371"/>
      <c r="V522" s="371"/>
      <c r="W522" s="371"/>
      <c r="X522" s="371"/>
      <c r="Y522" s="371"/>
      <c r="Z522" s="371"/>
      <c r="AA522" s="371"/>
      <c r="AB522" s="371"/>
      <c r="AC522" s="371"/>
      <c r="AD522" s="371"/>
      <c r="AE522" s="371"/>
      <c r="AF522" s="371"/>
      <c r="AG522" s="371"/>
      <c r="AH522" s="371"/>
      <c r="AI522" s="371"/>
      <c r="AJ522" s="371"/>
      <c r="AK522" s="371"/>
      <c r="AL522" s="371"/>
      <c r="AM522" s="371"/>
      <c r="AN522" s="371"/>
      <c r="AO522" s="371"/>
      <c r="AP522" s="371"/>
      <c r="AQ522" s="371"/>
      <c r="AR522" s="371"/>
      <c r="AS522" s="371"/>
      <c r="AT522" s="371"/>
      <c r="AU522" s="371"/>
      <c r="AV522" s="371"/>
      <c r="AW522" s="371"/>
      <c r="AX522" s="371"/>
      <c r="AY522" s="371"/>
      <c r="AZ522" s="371"/>
      <c r="BA522" s="371"/>
      <c r="BB522" s="371"/>
      <c r="BC522" s="371"/>
      <c r="BD522" s="371"/>
      <c r="BE522" s="371"/>
      <c r="BF522" s="371"/>
      <c r="BG522" s="371"/>
      <c r="BH522" s="371"/>
    </row>
    <row r="523" spans="1:60" s="361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1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7" t="e">
        <f>K523*VLOOKUP(E523,BD!$A$2:$F$122,6,0)</f>
        <v>#N/A</v>
      </c>
      <c r="N523" s="8">
        <f t="shared" si="25"/>
        <v>1900</v>
      </c>
      <c r="O523" s="110">
        <f t="shared" si="27"/>
        <v>0</v>
      </c>
      <c r="P523" s="372"/>
      <c r="Q523" s="372"/>
      <c r="R523" s="372"/>
      <c r="S523" s="372"/>
      <c r="T523" s="372"/>
      <c r="U523" s="372"/>
      <c r="V523" s="372"/>
      <c r="W523" s="372"/>
      <c r="X523" s="372"/>
      <c r="Y523" s="372"/>
      <c r="Z523" s="372"/>
      <c r="AA523" s="372"/>
      <c r="AB523" s="372"/>
      <c r="AC523" s="372"/>
      <c r="AD523" s="372"/>
      <c r="AE523" s="372"/>
      <c r="AF523" s="372"/>
      <c r="AG523" s="372"/>
      <c r="AH523" s="372"/>
      <c r="AI523" s="372"/>
      <c r="AJ523" s="372"/>
      <c r="AK523" s="372"/>
      <c r="AL523" s="372"/>
      <c r="AM523" s="372"/>
      <c r="AN523" s="372"/>
      <c r="AO523" s="372"/>
      <c r="AP523" s="372"/>
      <c r="AQ523" s="372"/>
      <c r="AR523" s="372"/>
      <c r="AS523" s="372"/>
      <c r="AT523" s="372"/>
      <c r="AU523" s="372"/>
      <c r="AV523" s="372"/>
      <c r="AW523" s="372"/>
      <c r="AX523" s="372"/>
      <c r="AY523" s="372"/>
      <c r="AZ523" s="372"/>
      <c r="BA523" s="372"/>
      <c r="BB523" s="372"/>
      <c r="BC523" s="372"/>
      <c r="BD523" s="372"/>
      <c r="BE523" s="372"/>
      <c r="BF523" s="372"/>
      <c r="BG523" s="372"/>
      <c r="BH523" s="372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3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7" t="e">
        <f>K524*VLOOKUP(E524,BD!$A$2:$F$122,6,0)</f>
        <v>#N/A</v>
      </c>
      <c r="N524" s="6">
        <f t="shared" si="25"/>
        <v>1900</v>
      </c>
      <c r="O524" s="109">
        <f t="shared" si="27"/>
        <v>0</v>
      </c>
      <c r="P524" s="371"/>
      <c r="Q524" s="371"/>
      <c r="R524" s="371"/>
      <c r="S524" s="371"/>
      <c r="T524" s="371"/>
      <c r="U524" s="371"/>
      <c r="V524" s="371"/>
      <c r="W524" s="371"/>
      <c r="X524" s="371"/>
      <c r="Y524" s="371"/>
      <c r="Z524" s="371"/>
      <c r="AA524" s="371"/>
      <c r="AB524" s="371"/>
      <c r="AC524" s="371"/>
      <c r="AD524" s="371"/>
      <c r="AE524" s="371"/>
      <c r="AF524" s="371"/>
      <c r="AG524" s="371"/>
      <c r="AH524" s="371"/>
      <c r="AI524" s="371"/>
      <c r="AJ524" s="371"/>
      <c r="AK524" s="371"/>
      <c r="AL524" s="371"/>
      <c r="AM524" s="371"/>
      <c r="AN524" s="371"/>
      <c r="AO524" s="371"/>
      <c r="AP524" s="371"/>
      <c r="AQ524" s="371"/>
      <c r="AR524" s="371"/>
      <c r="AS524" s="371"/>
      <c r="AT524" s="371"/>
      <c r="AU524" s="371"/>
      <c r="AV524" s="371"/>
      <c r="AW524" s="371"/>
      <c r="AX524" s="371"/>
      <c r="AY524" s="371"/>
      <c r="AZ524" s="371"/>
      <c r="BA524" s="371"/>
      <c r="BB524" s="371"/>
      <c r="BC524" s="371"/>
      <c r="BD524" s="371"/>
      <c r="BE524" s="371"/>
      <c r="BF524" s="371"/>
      <c r="BG524" s="371"/>
      <c r="BH524" s="371"/>
    </row>
    <row r="525" spans="1:60" s="361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5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7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2"/>
      <c r="Q525" s="372"/>
      <c r="R525" s="372"/>
      <c r="S525" s="372"/>
      <c r="T525" s="372"/>
      <c r="U525" s="372"/>
      <c r="V525" s="372"/>
      <c r="W525" s="372"/>
      <c r="X525" s="372"/>
      <c r="Y525" s="372"/>
      <c r="Z525" s="372"/>
      <c r="AA525" s="372"/>
      <c r="AB525" s="372"/>
      <c r="AC525" s="372"/>
      <c r="AD525" s="372"/>
      <c r="AE525" s="372"/>
      <c r="AF525" s="372"/>
      <c r="AG525" s="372"/>
      <c r="AH525" s="372"/>
      <c r="AI525" s="372"/>
      <c r="AJ525" s="372"/>
      <c r="AK525" s="372"/>
      <c r="AL525" s="372"/>
      <c r="AM525" s="372"/>
      <c r="AN525" s="372"/>
      <c r="AO525" s="372"/>
      <c r="AP525" s="372"/>
      <c r="AQ525" s="372"/>
      <c r="AR525" s="372"/>
      <c r="AS525" s="372"/>
      <c r="AT525" s="372"/>
      <c r="AU525" s="372"/>
      <c r="AV525" s="372"/>
      <c r="AW525" s="372"/>
      <c r="AX525" s="372"/>
      <c r="AY525" s="372"/>
      <c r="AZ525" s="372"/>
      <c r="BA525" s="372"/>
      <c r="BB525" s="372"/>
      <c r="BC525" s="372"/>
      <c r="BD525" s="372"/>
      <c r="BE525" s="372"/>
      <c r="BF525" s="372"/>
      <c r="BG525" s="372"/>
      <c r="BH525" s="372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5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7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5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7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61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5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7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2"/>
      <c r="Q528" s="372"/>
      <c r="R528" s="372"/>
      <c r="S528" s="372"/>
      <c r="T528" s="372"/>
      <c r="U528" s="372"/>
      <c r="V528" s="372"/>
      <c r="W528" s="372"/>
      <c r="X528" s="372"/>
      <c r="Y528" s="372"/>
      <c r="Z528" s="372"/>
      <c r="AA528" s="372"/>
      <c r="AB528" s="372"/>
      <c r="AC528" s="372"/>
      <c r="AD528" s="372"/>
      <c r="AE528" s="372"/>
      <c r="AF528" s="372"/>
      <c r="AG528" s="372"/>
      <c r="AH528" s="372"/>
      <c r="AI528" s="372"/>
      <c r="AJ528" s="372"/>
      <c r="AK528" s="372"/>
      <c r="AL528" s="372"/>
      <c r="AM528" s="372"/>
      <c r="AN528" s="372"/>
      <c r="AO528" s="372"/>
      <c r="AP528" s="372"/>
      <c r="AQ528" s="372"/>
      <c r="AR528" s="372"/>
      <c r="AS528" s="372"/>
      <c r="AT528" s="372"/>
      <c r="AU528" s="372"/>
      <c r="AV528" s="372"/>
      <c r="AW528" s="372"/>
      <c r="AX528" s="372"/>
      <c r="AY528" s="372"/>
      <c r="AZ528" s="372"/>
      <c r="BA528" s="372"/>
      <c r="BB528" s="372"/>
      <c r="BC528" s="372"/>
      <c r="BD528" s="372"/>
      <c r="BE528" s="372"/>
      <c r="BF528" s="372"/>
      <c r="BG528" s="372"/>
      <c r="BH528" s="372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1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7" t="e">
        <f>K529*VLOOKUP(E529,BD!$A$2:$F$122,6,0)</f>
        <v>#N/A</v>
      </c>
      <c r="N529" s="8">
        <f t="shared" si="25"/>
        <v>1900</v>
      </c>
      <c r="O529" s="110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3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7" t="e">
        <f>K530*VLOOKUP(E530,BD!$A$2:$F$122,6,0)</f>
        <v>#N/A</v>
      </c>
      <c r="N530" s="6">
        <f t="shared" si="25"/>
        <v>1900</v>
      </c>
      <c r="O530" s="109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5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7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5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7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71"/>
      <c r="Q532" s="371"/>
      <c r="R532" s="371"/>
      <c r="S532" s="371"/>
      <c r="T532" s="371"/>
      <c r="U532" s="371"/>
      <c r="V532" s="371"/>
      <c r="W532" s="371"/>
      <c r="X532" s="371"/>
      <c r="Y532" s="371"/>
      <c r="Z532" s="371"/>
      <c r="AA532" s="371"/>
      <c r="AB532" s="371"/>
      <c r="AC532" s="371"/>
      <c r="AD532" s="371"/>
      <c r="AE532" s="371"/>
      <c r="AF532" s="371"/>
      <c r="AG532" s="371"/>
      <c r="AH532" s="371"/>
      <c r="AI532" s="371"/>
      <c r="AJ532" s="371"/>
      <c r="AK532" s="371"/>
      <c r="AL532" s="371"/>
      <c r="AM532" s="371"/>
      <c r="AN532" s="371"/>
      <c r="AO532" s="371"/>
      <c r="AP532" s="371"/>
      <c r="AQ532" s="371"/>
      <c r="AR532" s="371"/>
      <c r="AS532" s="371"/>
      <c r="AT532" s="371"/>
      <c r="AU532" s="371"/>
      <c r="AV532" s="371"/>
      <c r="AW532" s="371"/>
      <c r="AX532" s="371"/>
      <c r="AY532" s="371"/>
      <c r="AZ532" s="371"/>
      <c r="BA532" s="371"/>
      <c r="BB532" s="371"/>
      <c r="BC532" s="371"/>
      <c r="BD532" s="371"/>
      <c r="BE532" s="371"/>
      <c r="BF532" s="371"/>
      <c r="BG532" s="371"/>
      <c r="BH532" s="371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5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7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71"/>
      <c r="Q533" s="371"/>
      <c r="R533" s="371"/>
      <c r="S533" s="371"/>
      <c r="T533" s="371"/>
      <c r="U533" s="371"/>
      <c r="V533" s="371"/>
      <c r="W533" s="371"/>
      <c r="X533" s="371"/>
      <c r="Y533" s="371"/>
      <c r="Z533" s="371"/>
      <c r="AA533" s="371"/>
      <c r="AB533" s="371"/>
      <c r="AC533" s="371"/>
      <c r="AD533" s="371"/>
      <c r="AE533" s="371"/>
      <c r="AF533" s="371"/>
      <c r="AG533" s="371"/>
      <c r="AH533" s="371"/>
      <c r="AI533" s="371"/>
      <c r="AJ533" s="371"/>
      <c r="AK533" s="371"/>
      <c r="AL533" s="371"/>
      <c r="AM533" s="371"/>
      <c r="AN533" s="371"/>
      <c r="AO533" s="371"/>
      <c r="AP533" s="371"/>
      <c r="AQ533" s="371"/>
      <c r="AR533" s="371"/>
      <c r="AS533" s="371"/>
      <c r="AT533" s="371"/>
      <c r="AU533" s="371"/>
      <c r="AV533" s="371"/>
      <c r="AW533" s="371"/>
      <c r="AX533" s="371"/>
      <c r="AY533" s="371"/>
      <c r="AZ533" s="371"/>
      <c r="BA533" s="371"/>
      <c r="BB533" s="371"/>
      <c r="BC533" s="371"/>
      <c r="BD533" s="371"/>
      <c r="BE533" s="371"/>
      <c r="BF533" s="371"/>
      <c r="BG533" s="371"/>
      <c r="BH533" s="371"/>
    </row>
    <row r="534" spans="1:60" s="361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5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7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2"/>
      <c r="Q534" s="372"/>
      <c r="R534" s="372"/>
      <c r="S534" s="372"/>
      <c r="T534" s="372"/>
      <c r="U534" s="372"/>
      <c r="V534" s="372"/>
      <c r="W534" s="372"/>
      <c r="X534" s="372"/>
      <c r="Y534" s="372"/>
      <c r="Z534" s="372"/>
      <c r="AA534" s="372"/>
      <c r="AB534" s="372"/>
      <c r="AC534" s="372"/>
      <c r="AD534" s="372"/>
      <c r="AE534" s="372"/>
      <c r="AF534" s="372"/>
      <c r="AG534" s="372"/>
      <c r="AH534" s="372"/>
      <c r="AI534" s="372"/>
      <c r="AJ534" s="372"/>
      <c r="AK534" s="372"/>
      <c r="AL534" s="372"/>
      <c r="AM534" s="372"/>
      <c r="AN534" s="372"/>
      <c r="AO534" s="372"/>
      <c r="AP534" s="372"/>
      <c r="AQ534" s="372"/>
      <c r="AR534" s="372"/>
      <c r="AS534" s="372"/>
      <c r="AT534" s="372"/>
      <c r="AU534" s="372"/>
      <c r="AV534" s="372"/>
      <c r="AW534" s="372"/>
      <c r="AX534" s="372"/>
      <c r="AY534" s="372"/>
      <c r="AZ534" s="372"/>
      <c r="BA534" s="372"/>
      <c r="BB534" s="372"/>
      <c r="BC534" s="372"/>
      <c r="BD534" s="372"/>
      <c r="BE534" s="372"/>
      <c r="BF534" s="372"/>
      <c r="BG534" s="372"/>
      <c r="BH534" s="372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5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7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5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7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61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5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7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2"/>
      <c r="Q537" s="372"/>
      <c r="R537" s="372"/>
      <c r="S537" s="372"/>
      <c r="T537" s="372"/>
      <c r="U537" s="372"/>
      <c r="V537" s="372"/>
      <c r="W537" s="372"/>
      <c r="X537" s="372"/>
      <c r="Y537" s="372"/>
      <c r="Z537" s="372"/>
      <c r="AA537" s="372"/>
      <c r="AB537" s="372"/>
      <c r="AC537" s="372"/>
      <c r="AD537" s="372"/>
      <c r="AE537" s="372"/>
      <c r="AF537" s="372"/>
      <c r="AG537" s="372"/>
      <c r="AH537" s="372"/>
      <c r="AI537" s="372"/>
      <c r="AJ537" s="372"/>
      <c r="AK537" s="372"/>
      <c r="AL537" s="372"/>
      <c r="AM537" s="372"/>
      <c r="AN537" s="372"/>
      <c r="AO537" s="372"/>
      <c r="AP537" s="372"/>
      <c r="AQ537" s="372"/>
      <c r="AR537" s="372"/>
      <c r="AS537" s="372"/>
      <c r="AT537" s="372"/>
      <c r="AU537" s="372"/>
      <c r="AV537" s="372"/>
      <c r="AW537" s="372"/>
      <c r="AX537" s="372"/>
      <c r="AY537" s="372"/>
      <c r="AZ537" s="372"/>
      <c r="BA537" s="372"/>
      <c r="BB537" s="372"/>
      <c r="BC537" s="372"/>
      <c r="BD537" s="372"/>
      <c r="BE537" s="372"/>
      <c r="BF537" s="372"/>
      <c r="BG537" s="372"/>
      <c r="BH537" s="372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5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7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5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7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5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7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2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7" t="e">
        <f>K541*VLOOKUP(E541,BD!$A$2:$F$122,6,0)</f>
        <v>#N/A</v>
      </c>
      <c r="N541" s="33">
        <f t="shared" si="25"/>
        <v>1900</v>
      </c>
      <c r="O541" s="386">
        <f t="shared" si="27"/>
        <v>0</v>
      </c>
      <c r="P541" s="371"/>
      <c r="Q541" s="371"/>
      <c r="R541" s="371"/>
      <c r="S541" s="371"/>
      <c r="T541" s="371"/>
      <c r="U541" s="371"/>
      <c r="V541" s="371"/>
      <c r="W541" s="371"/>
      <c r="X541" s="371"/>
      <c r="Y541" s="371"/>
      <c r="Z541" s="371"/>
      <c r="AA541" s="371"/>
      <c r="AB541" s="371"/>
      <c r="AC541" s="371"/>
      <c r="AD541" s="371"/>
      <c r="AE541" s="371"/>
      <c r="AF541" s="371"/>
      <c r="AG541" s="371"/>
      <c r="AH541" s="371"/>
      <c r="AI541" s="371"/>
      <c r="AJ541" s="371"/>
      <c r="AK541" s="371"/>
      <c r="AL541" s="371"/>
      <c r="AM541" s="371"/>
      <c r="AN541" s="371"/>
      <c r="AO541" s="371"/>
      <c r="AP541" s="371"/>
      <c r="AQ541" s="371"/>
      <c r="AR541" s="371"/>
      <c r="AS541" s="371"/>
      <c r="AT541" s="371"/>
      <c r="AU541" s="371"/>
      <c r="AV541" s="371"/>
      <c r="AW541" s="371"/>
      <c r="AX541" s="371"/>
      <c r="AY541" s="371"/>
      <c r="AZ541" s="371"/>
      <c r="BA541" s="371"/>
      <c r="BB541" s="371"/>
      <c r="BC541" s="371"/>
      <c r="BD541" s="371"/>
      <c r="BE541" s="371"/>
      <c r="BF541" s="371"/>
      <c r="BG541" s="371"/>
      <c r="BH541" s="371"/>
    </row>
    <row r="542" spans="1:60" s="361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3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7" t="e">
        <f>K542*VLOOKUP(E542,BD!$A$2:$F$122,6,0)</f>
        <v>#N/A</v>
      </c>
      <c r="N542" s="6">
        <f t="shared" si="25"/>
        <v>1900</v>
      </c>
      <c r="O542" s="109">
        <f t="shared" si="27"/>
        <v>0</v>
      </c>
      <c r="P542" s="372"/>
      <c r="Q542" s="372"/>
      <c r="R542" s="372"/>
      <c r="S542" s="372"/>
      <c r="T542" s="372"/>
      <c r="U542" s="372"/>
      <c r="V542" s="372"/>
      <c r="W542" s="372"/>
      <c r="X542" s="372"/>
      <c r="Y542" s="372"/>
      <c r="Z542" s="372"/>
      <c r="AA542" s="372"/>
      <c r="AB542" s="372"/>
      <c r="AC542" s="372"/>
      <c r="AD542" s="372"/>
      <c r="AE542" s="372"/>
      <c r="AF542" s="372"/>
      <c r="AG542" s="372"/>
      <c r="AH542" s="372"/>
      <c r="AI542" s="372"/>
      <c r="AJ542" s="372"/>
      <c r="AK542" s="372"/>
      <c r="AL542" s="372"/>
      <c r="AM542" s="372"/>
      <c r="AN542" s="372"/>
      <c r="AO542" s="372"/>
      <c r="AP542" s="372"/>
      <c r="AQ542" s="372"/>
      <c r="AR542" s="372"/>
      <c r="AS542" s="372"/>
      <c r="AT542" s="372"/>
      <c r="AU542" s="372"/>
      <c r="AV542" s="372"/>
      <c r="AW542" s="372"/>
      <c r="AX542" s="372"/>
      <c r="AY542" s="372"/>
      <c r="AZ542" s="372"/>
      <c r="BA542" s="372"/>
      <c r="BB542" s="372"/>
      <c r="BC542" s="372"/>
      <c r="BD542" s="372"/>
      <c r="BE542" s="372"/>
      <c r="BF542" s="372"/>
      <c r="BG542" s="372"/>
      <c r="BH542" s="372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5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7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71"/>
      <c r="Q543" s="371"/>
      <c r="R543" s="371"/>
      <c r="S543" s="371"/>
      <c r="T543" s="371"/>
      <c r="U543" s="371"/>
      <c r="V543" s="371"/>
      <c r="W543" s="371"/>
      <c r="X543" s="371"/>
      <c r="Y543" s="371"/>
      <c r="Z543" s="371"/>
      <c r="AA543" s="371"/>
      <c r="AB543" s="371"/>
      <c r="AC543" s="371"/>
      <c r="AD543" s="371"/>
      <c r="AE543" s="371"/>
      <c r="AF543" s="371"/>
      <c r="AG543" s="371"/>
      <c r="AH543" s="371"/>
      <c r="AI543" s="371"/>
      <c r="AJ543" s="371"/>
      <c r="AK543" s="371"/>
      <c r="AL543" s="371"/>
      <c r="AM543" s="371"/>
      <c r="AN543" s="371"/>
      <c r="AO543" s="371"/>
      <c r="AP543" s="371"/>
      <c r="AQ543" s="371"/>
      <c r="AR543" s="371"/>
      <c r="AS543" s="371"/>
      <c r="AT543" s="371"/>
      <c r="AU543" s="371"/>
      <c r="AV543" s="371"/>
      <c r="AW543" s="371"/>
      <c r="AX543" s="371"/>
      <c r="AY543" s="371"/>
      <c r="AZ543" s="371"/>
      <c r="BA543" s="371"/>
      <c r="BB543" s="371"/>
      <c r="BC543" s="371"/>
      <c r="BD543" s="371"/>
      <c r="BE543" s="371"/>
      <c r="BF543" s="371"/>
      <c r="BG543" s="371"/>
      <c r="BH543" s="371"/>
    </row>
    <row r="544" spans="1:60" s="361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5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7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2"/>
      <c r="Q544" s="372"/>
      <c r="R544" s="372"/>
      <c r="S544" s="372"/>
      <c r="T544" s="372"/>
      <c r="U544" s="372"/>
      <c r="V544" s="372"/>
      <c r="W544" s="372"/>
      <c r="X544" s="372"/>
      <c r="Y544" s="372"/>
      <c r="Z544" s="372"/>
      <c r="AA544" s="372"/>
      <c r="AB544" s="372"/>
      <c r="AC544" s="372"/>
      <c r="AD544" s="372"/>
      <c r="AE544" s="372"/>
      <c r="AF544" s="372"/>
      <c r="AG544" s="372"/>
      <c r="AH544" s="372"/>
      <c r="AI544" s="372"/>
      <c r="AJ544" s="372"/>
      <c r="AK544" s="372"/>
      <c r="AL544" s="372"/>
      <c r="AM544" s="372"/>
      <c r="AN544" s="372"/>
      <c r="AO544" s="372"/>
      <c r="AP544" s="372"/>
      <c r="AQ544" s="372"/>
      <c r="AR544" s="372"/>
      <c r="AS544" s="372"/>
      <c r="AT544" s="372"/>
      <c r="AU544" s="372"/>
      <c r="AV544" s="372"/>
      <c r="AW544" s="372"/>
      <c r="AX544" s="372"/>
      <c r="AY544" s="372"/>
      <c r="AZ544" s="372"/>
      <c r="BA544" s="372"/>
      <c r="BB544" s="372"/>
      <c r="BC544" s="372"/>
      <c r="BD544" s="372"/>
      <c r="BE544" s="372"/>
      <c r="BF544" s="372"/>
      <c r="BG544" s="372"/>
      <c r="BH544" s="372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5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7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5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7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61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5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7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2"/>
      <c r="Q547" s="372"/>
      <c r="R547" s="372"/>
      <c r="S547" s="372"/>
      <c r="T547" s="372"/>
      <c r="U547" s="372"/>
      <c r="V547" s="372"/>
      <c r="W547" s="372"/>
      <c r="X547" s="372"/>
      <c r="Y547" s="372"/>
      <c r="Z547" s="372"/>
      <c r="AA547" s="372"/>
      <c r="AB547" s="372"/>
      <c r="AC547" s="372"/>
      <c r="AD547" s="372"/>
      <c r="AE547" s="372"/>
      <c r="AF547" s="372"/>
      <c r="AG547" s="372"/>
      <c r="AH547" s="372"/>
      <c r="AI547" s="372"/>
      <c r="AJ547" s="372"/>
      <c r="AK547" s="372"/>
      <c r="AL547" s="372"/>
      <c r="AM547" s="372"/>
      <c r="AN547" s="372"/>
      <c r="AO547" s="372"/>
      <c r="AP547" s="372"/>
      <c r="AQ547" s="372"/>
      <c r="AR547" s="372"/>
      <c r="AS547" s="372"/>
      <c r="AT547" s="372"/>
      <c r="AU547" s="372"/>
      <c r="AV547" s="372"/>
      <c r="AW547" s="372"/>
      <c r="AX547" s="372"/>
      <c r="AY547" s="372"/>
      <c r="AZ547" s="372"/>
      <c r="BA547" s="372"/>
      <c r="BB547" s="372"/>
      <c r="BC547" s="372"/>
      <c r="BD547" s="372"/>
      <c r="BE547" s="372"/>
      <c r="BF547" s="372"/>
      <c r="BG547" s="372"/>
      <c r="BH547" s="372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5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7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2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7" t="e">
        <f>K549*VLOOKUP(E549,BD!$A$2:$F$122,6,0)</f>
        <v>#N/A</v>
      </c>
      <c r="N549" s="33">
        <f t="shared" si="25"/>
        <v>1900</v>
      </c>
      <c r="O549" s="386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3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7" t="e">
        <f>K550*VLOOKUP(E550,BD!$A$2:$F$122,6,0)</f>
        <v>#N/A</v>
      </c>
      <c r="N550" s="6">
        <f t="shared" si="25"/>
        <v>1900</v>
      </c>
      <c r="O550" s="109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5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7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71"/>
      <c r="Q551" s="371"/>
      <c r="R551" s="371"/>
      <c r="S551" s="371"/>
      <c r="T551" s="371"/>
      <c r="U551" s="371"/>
      <c r="V551" s="371"/>
      <c r="W551" s="371"/>
      <c r="X551" s="371"/>
      <c r="Y551" s="371"/>
      <c r="Z551" s="371"/>
      <c r="AA551" s="371"/>
      <c r="AB551" s="371"/>
      <c r="AC551" s="371"/>
      <c r="AD551" s="371"/>
      <c r="AE551" s="371"/>
      <c r="AF551" s="371"/>
      <c r="AG551" s="371"/>
      <c r="AH551" s="371"/>
      <c r="AI551" s="371"/>
      <c r="AJ551" s="371"/>
      <c r="AK551" s="371"/>
      <c r="AL551" s="371"/>
      <c r="AM551" s="371"/>
      <c r="AN551" s="371"/>
      <c r="AO551" s="371"/>
      <c r="AP551" s="371"/>
      <c r="AQ551" s="371"/>
      <c r="AR551" s="371"/>
      <c r="AS551" s="371"/>
      <c r="AT551" s="371"/>
      <c r="AU551" s="371"/>
      <c r="AV551" s="371"/>
      <c r="AW551" s="371"/>
      <c r="AX551" s="371"/>
      <c r="AY551" s="371"/>
      <c r="AZ551" s="371"/>
      <c r="BA551" s="371"/>
      <c r="BB551" s="371"/>
      <c r="BC551" s="371"/>
      <c r="BD551" s="371"/>
      <c r="BE551" s="371"/>
      <c r="BF551" s="371"/>
      <c r="BG551" s="371"/>
      <c r="BH551" s="371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5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7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71"/>
      <c r="Q552" s="371"/>
      <c r="R552" s="371"/>
      <c r="S552" s="371"/>
      <c r="T552" s="371"/>
      <c r="U552" s="371"/>
      <c r="V552" s="371"/>
      <c r="W552" s="371"/>
      <c r="X552" s="371"/>
      <c r="Y552" s="371"/>
      <c r="Z552" s="371"/>
      <c r="AA552" s="371"/>
      <c r="AB552" s="371"/>
      <c r="AC552" s="371"/>
      <c r="AD552" s="371"/>
      <c r="AE552" s="371"/>
      <c r="AF552" s="371"/>
      <c r="AG552" s="371"/>
      <c r="AH552" s="371"/>
      <c r="AI552" s="371"/>
      <c r="AJ552" s="371"/>
      <c r="AK552" s="371"/>
      <c r="AL552" s="371"/>
      <c r="AM552" s="371"/>
      <c r="AN552" s="371"/>
      <c r="AO552" s="371"/>
      <c r="AP552" s="371"/>
      <c r="AQ552" s="371"/>
      <c r="AR552" s="371"/>
      <c r="AS552" s="371"/>
      <c r="AT552" s="371"/>
      <c r="AU552" s="371"/>
      <c r="AV552" s="371"/>
      <c r="AW552" s="371"/>
      <c r="AX552" s="371"/>
      <c r="AY552" s="371"/>
      <c r="AZ552" s="371"/>
      <c r="BA552" s="371"/>
      <c r="BB552" s="371"/>
      <c r="BC552" s="371"/>
      <c r="BD552" s="371"/>
      <c r="BE552" s="371"/>
      <c r="BF552" s="371"/>
      <c r="BG552" s="371"/>
      <c r="BH552" s="371"/>
    </row>
    <row r="553" spans="1:60" s="361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5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7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2"/>
      <c r="Q553" s="372"/>
      <c r="R553" s="372"/>
      <c r="S553" s="372"/>
      <c r="T553" s="372"/>
      <c r="U553" s="372"/>
      <c r="V553" s="372"/>
      <c r="W553" s="372"/>
      <c r="X553" s="372"/>
      <c r="Y553" s="372"/>
      <c r="Z553" s="372"/>
      <c r="AA553" s="372"/>
      <c r="AB553" s="372"/>
      <c r="AC553" s="372"/>
      <c r="AD553" s="372"/>
      <c r="AE553" s="372"/>
      <c r="AF553" s="372"/>
      <c r="AG553" s="372"/>
      <c r="AH553" s="372"/>
      <c r="AI553" s="372"/>
      <c r="AJ553" s="372"/>
      <c r="AK553" s="372"/>
      <c r="AL553" s="372"/>
      <c r="AM553" s="372"/>
      <c r="AN553" s="372"/>
      <c r="AO553" s="372"/>
      <c r="AP553" s="372"/>
      <c r="AQ553" s="372"/>
      <c r="AR553" s="372"/>
      <c r="AS553" s="372"/>
      <c r="AT553" s="372"/>
      <c r="AU553" s="372"/>
      <c r="AV553" s="372"/>
      <c r="AW553" s="372"/>
      <c r="AX553" s="372"/>
      <c r="AY553" s="372"/>
      <c r="AZ553" s="372"/>
      <c r="BA553" s="372"/>
      <c r="BB553" s="372"/>
      <c r="BC553" s="372"/>
      <c r="BD553" s="372"/>
      <c r="BE553" s="372"/>
      <c r="BF553" s="372"/>
      <c r="BG553" s="372"/>
      <c r="BH553" s="372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5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7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5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7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61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5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7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2"/>
      <c r="Q556" s="372"/>
      <c r="R556" s="372"/>
      <c r="S556" s="372"/>
      <c r="T556" s="372"/>
      <c r="U556" s="372"/>
      <c r="V556" s="372"/>
      <c r="W556" s="372"/>
      <c r="X556" s="372"/>
      <c r="Y556" s="372"/>
      <c r="Z556" s="372"/>
      <c r="AA556" s="372"/>
      <c r="AB556" s="372"/>
      <c r="AC556" s="372"/>
      <c r="AD556" s="372"/>
      <c r="AE556" s="372"/>
      <c r="AF556" s="372"/>
      <c r="AG556" s="372"/>
      <c r="AH556" s="372"/>
      <c r="AI556" s="372"/>
      <c r="AJ556" s="372"/>
      <c r="AK556" s="372"/>
      <c r="AL556" s="372"/>
      <c r="AM556" s="372"/>
      <c r="AN556" s="372"/>
      <c r="AO556" s="372"/>
      <c r="AP556" s="372"/>
      <c r="AQ556" s="372"/>
      <c r="AR556" s="372"/>
      <c r="AS556" s="372"/>
      <c r="AT556" s="372"/>
      <c r="AU556" s="372"/>
      <c r="AV556" s="372"/>
      <c r="AW556" s="372"/>
      <c r="AX556" s="372"/>
      <c r="AY556" s="372"/>
      <c r="AZ556" s="372"/>
      <c r="BA556" s="372"/>
      <c r="BB556" s="372"/>
      <c r="BC556" s="372"/>
      <c r="BD556" s="372"/>
      <c r="BE556" s="372"/>
      <c r="BF556" s="372"/>
      <c r="BG556" s="372"/>
      <c r="BH556" s="372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2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7" t="e">
        <f>K557*VLOOKUP(E557,BD!$A$2:$F$122,6,0)</f>
        <v>#N/A</v>
      </c>
      <c r="N557" s="33">
        <f t="shared" si="25"/>
        <v>1900</v>
      </c>
      <c r="O557" s="386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3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7" t="e">
        <f>K558*VLOOKUP(E558,BD!$A$2:$F$122,6,0)</f>
        <v>#N/A</v>
      </c>
      <c r="N558" s="6">
        <f t="shared" si="25"/>
        <v>1900</v>
      </c>
      <c r="O558" s="109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5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7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5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7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  <c r="AG560" s="371"/>
      <c r="AH560" s="371"/>
      <c r="AI560" s="371"/>
      <c r="AJ560" s="371"/>
      <c r="AK560" s="371"/>
      <c r="AL560" s="371"/>
      <c r="AM560" s="371"/>
      <c r="AN560" s="371"/>
      <c r="AO560" s="371"/>
      <c r="AP560" s="371"/>
      <c r="AQ560" s="371"/>
      <c r="AR560" s="371"/>
      <c r="AS560" s="371"/>
      <c r="AT560" s="371"/>
      <c r="AU560" s="371"/>
      <c r="AV560" s="371"/>
      <c r="AW560" s="371"/>
      <c r="AX560" s="371"/>
      <c r="AY560" s="371"/>
      <c r="AZ560" s="371"/>
      <c r="BA560" s="371"/>
      <c r="BB560" s="371"/>
      <c r="BC560" s="371"/>
      <c r="BD560" s="371"/>
      <c r="BE560" s="371"/>
      <c r="BF560" s="371"/>
      <c r="BG560" s="371"/>
      <c r="BH560" s="371"/>
    </row>
    <row r="561" spans="1:60" s="361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5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7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2"/>
      <c r="Q561" s="372"/>
      <c r="R561" s="372"/>
      <c r="S561" s="372"/>
      <c r="T561" s="372"/>
      <c r="U561" s="372"/>
      <c r="V561" s="372"/>
      <c r="W561" s="372"/>
      <c r="X561" s="372"/>
      <c r="Y561" s="372"/>
      <c r="Z561" s="372"/>
      <c r="AA561" s="372"/>
      <c r="AB561" s="372"/>
      <c r="AC561" s="372"/>
      <c r="AD561" s="372"/>
      <c r="AE561" s="372"/>
      <c r="AF561" s="372"/>
      <c r="AG561" s="372"/>
      <c r="AH561" s="372"/>
      <c r="AI561" s="372"/>
      <c r="AJ561" s="372"/>
      <c r="AK561" s="372"/>
      <c r="AL561" s="372"/>
      <c r="AM561" s="372"/>
      <c r="AN561" s="372"/>
      <c r="AO561" s="372"/>
      <c r="AP561" s="372"/>
      <c r="AQ561" s="372"/>
      <c r="AR561" s="372"/>
      <c r="AS561" s="372"/>
      <c r="AT561" s="372"/>
      <c r="AU561" s="372"/>
      <c r="AV561" s="372"/>
      <c r="AW561" s="372"/>
      <c r="AX561" s="372"/>
      <c r="AY561" s="372"/>
      <c r="AZ561" s="372"/>
      <c r="BA561" s="372"/>
      <c r="BB561" s="372"/>
      <c r="BC561" s="372"/>
      <c r="BD561" s="372"/>
      <c r="BE561" s="372"/>
      <c r="BF561" s="372"/>
      <c r="BG561" s="372"/>
      <c r="BH561" s="372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5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7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71"/>
      <c r="Q562" s="371"/>
      <c r="R562" s="371"/>
      <c r="S562" s="371"/>
      <c r="T562" s="371"/>
      <c r="U562" s="371"/>
      <c r="V562" s="371"/>
      <c r="W562" s="371"/>
      <c r="X562" s="371"/>
      <c r="Y562" s="371"/>
      <c r="Z562" s="371"/>
      <c r="AA562" s="371"/>
      <c r="AB562" s="371"/>
      <c r="AC562" s="371"/>
      <c r="AD562" s="371"/>
      <c r="AE562" s="371"/>
      <c r="AF562" s="371"/>
      <c r="AG562" s="371"/>
      <c r="AH562" s="371"/>
      <c r="AI562" s="371"/>
      <c r="AJ562" s="371"/>
      <c r="AK562" s="371"/>
      <c r="AL562" s="371"/>
      <c r="AM562" s="371"/>
      <c r="AN562" s="371"/>
      <c r="AO562" s="371"/>
      <c r="AP562" s="371"/>
      <c r="AQ562" s="371"/>
      <c r="AR562" s="371"/>
      <c r="AS562" s="371"/>
      <c r="AT562" s="371"/>
      <c r="AU562" s="371"/>
      <c r="AV562" s="371"/>
      <c r="AW562" s="371"/>
      <c r="AX562" s="371"/>
      <c r="AY562" s="371"/>
      <c r="AZ562" s="371"/>
      <c r="BA562" s="371"/>
      <c r="BB562" s="371"/>
      <c r="BC562" s="371"/>
      <c r="BD562" s="371"/>
      <c r="BE562" s="371"/>
      <c r="BF562" s="371"/>
      <c r="BG562" s="371"/>
      <c r="BH562" s="371"/>
    </row>
    <row r="563" spans="1:60" s="361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5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7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2"/>
      <c r="Q563" s="372"/>
      <c r="R563" s="372"/>
      <c r="S563" s="372"/>
      <c r="T563" s="372"/>
      <c r="U563" s="372"/>
      <c r="V563" s="372"/>
      <c r="W563" s="372"/>
      <c r="X563" s="372"/>
      <c r="Y563" s="372"/>
      <c r="Z563" s="372"/>
      <c r="AA563" s="372"/>
      <c r="AB563" s="372"/>
      <c r="AC563" s="372"/>
      <c r="AD563" s="372"/>
      <c r="AE563" s="372"/>
      <c r="AF563" s="372"/>
      <c r="AG563" s="372"/>
      <c r="AH563" s="372"/>
      <c r="AI563" s="372"/>
      <c r="AJ563" s="372"/>
      <c r="AK563" s="372"/>
      <c r="AL563" s="372"/>
      <c r="AM563" s="372"/>
      <c r="AN563" s="372"/>
      <c r="AO563" s="372"/>
      <c r="AP563" s="372"/>
      <c r="AQ563" s="372"/>
      <c r="AR563" s="372"/>
      <c r="AS563" s="372"/>
      <c r="AT563" s="372"/>
      <c r="AU563" s="372"/>
      <c r="AV563" s="372"/>
      <c r="AW563" s="372"/>
      <c r="AX563" s="372"/>
      <c r="AY563" s="372"/>
      <c r="AZ563" s="372"/>
      <c r="BA563" s="372"/>
      <c r="BB563" s="372"/>
      <c r="BC563" s="372"/>
      <c r="BD563" s="372"/>
      <c r="BE563" s="372"/>
      <c r="BF563" s="372"/>
      <c r="BG563" s="372"/>
      <c r="BH563" s="372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5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7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1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7" t="e">
        <f>K565*VLOOKUP(E565,BD!$A$2:$F$122,6,0)</f>
        <v>#N/A</v>
      </c>
      <c r="N565" s="8">
        <f t="shared" si="25"/>
        <v>1900</v>
      </c>
      <c r="O565" s="110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61" customFormat="1" ht="15.75" thickBot="1" x14ac:dyDescent="0.3">
      <c r="A566" s="396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31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7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2"/>
      <c r="Q566" s="372"/>
      <c r="R566" s="372"/>
      <c r="S566" s="372"/>
      <c r="T566" s="372"/>
      <c r="U566" s="372"/>
      <c r="V566" s="372"/>
      <c r="W566" s="372"/>
      <c r="X566" s="372"/>
      <c r="Y566" s="372"/>
      <c r="Z566" s="372"/>
      <c r="AA566" s="372"/>
      <c r="AB566" s="372"/>
      <c r="AC566" s="372"/>
      <c r="AD566" s="372"/>
      <c r="AE566" s="372"/>
      <c r="AF566" s="372"/>
      <c r="AG566" s="372"/>
      <c r="AH566" s="372"/>
      <c r="AI566" s="372"/>
      <c r="AJ566" s="372"/>
      <c r="AK566" s="372"/>
      <c r="AL566" s="372"/>
      <c r="AM566" s="372"/>
      <c r="AN566" s="372"/>
      <c r="AO566" s="372"/>
      <c r="AP566" s="372"/>
      <c r="AQ566" s="372"/>
      <c r="AR566" s="372"/>
      <c r="AS566" s="372"/>
      <c r="AT566" s="372"/>
      <c r="AU566" s="372"/>
      <c r="AV566" s="372"/>
      <c r="AW566" s="372"/>
      <c r="AX566" s="372"/>
      <c r="AY566" s="372"/>
      <c r="AZ566" s="372"/>
      <c r="BA566" s="372"/>
      <c r="BB566" s="372"/>
      <c r="BC566" s="372"/>
      <c r="BD566" s="372"/>
      <c r="BE566" s="372"/>
      <c r="BF566" s="372"/>
      <c r="BG566" s="372"/>
      <c r="BH566" s="372"/>
    </row>
    <row r="567" spans="1:60" s="2" customFormat="1" ht="15.75" thickBot="1" x14ac:dyDescent="0.3">
      <c r="A567" s="394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5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7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4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5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7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5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7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5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7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71"/>
      <c r="Q570" s="371"/>
      <c r="R570" s="371"/>
      <c r="S570" s="371"/>
      <c r="T570" s="371"/>
      <c r="U570" s="371"/>
      <c r="V570" s="371"/>
      <c r="W570" s="371"/>
      <c r="X570" s="371"/>
      <c r="Y570" s="371"/>
      <c r="Z570" s="371"/>
      <c r="AA570" s="371"/>
      <c r="AB570" s="371"/>
      <c r="AC570" s="371"/>
      <c r="AD570" s="371"/>
      <c r="AE570" s="371"/>
      <c r="AF570" s="371"/>
      <c r="AG570" s="371"/>
      <c r="AH570" s="371"/>
      <c r="AI570" s="371"/>
      <c r="AJ570" s="371"/>
      <c r="AK570" s="371"/>
      <c r="AL570" s="371"/>
      <c r="AM570" s="371"/>
      <c r="AN570" s="371"/>
      <c r="AO570" s="371"/>
      <c r="AP570" s="371"/>
      <c r="AQ570" s="371"/>
      <c r="AR570" s="371"/>
      <c r="AS570" s="371"/>
      <c r="AT570" s="371"/>
      <c r="AU570" s="371"/>
      <c r="AV570" s="371"/>
      <c r="AW570" s="371"/>
      <c r="AX570" s="371"/>
      <c r="AY570" s="371"/>
      <c r="AZ570" s="371"/>
      <c r="BA570" s="371"/>
      <c r="BB570" s="371"/>
      <c r="BC570" s="371"/>
      <c r="BD570" s="371"/>
      <c r="BE570" s="371"/>
      <c r="BF570" s="371"/>
      <c r="BG570" s="371"/>
      <c r="BH570" s="371"/>
    </row>
    <row r="571" spans="1:60" s="2" customFormat="1" ht="15.75" thickBot="1" x14ac:dyDescent="0.3">
      <c r="A571" s="394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5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7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71"/>
      <c r="Q571" s="371"/>
      <c r="R571" s="371"/>
      <c r="S571" s="371"/>
      <c r="T571" s="371"/>
      <c r="U571" s="371"/>
      <c r="V571" s="371"/>
      <c r="W571" s="371"/>
      <c r="X571" s="371"/>
      <c r="Y571" s="371"/>
      <c r="Z571" s="371"/>
      <c r="AA571" s="371"/>
      <c r="AB571" s="371"/>
      <c r="AC571" s="371"/>
      <c r="AD571" s="371"/>
      <c r="AE571" s="371"/>
      <c r="AF571" s="371"/>
      <c r="AG571" s="371"/>
      <c r="AH571" s="371"/>
      <c r="AI571" s="371"/>
      <c r="AJ571" s="371"/>
      <c r="AK571" s="371"/>
      <c r="AL571" s="371"/>
      <c r="AM571" s="371"/>
      <c r="AN571" s="371"/>
      <c r="AO571" s="371"/>
      <c r="AP571" s="371"/>
      <c r="AQ571" s="371"/>
      <c r="AR571" s="371"/>
      <c r="AS571" s="371"/>
      <c r="AT571" s="371"/>
      <c r="AU571" s="371"/>
      <c r="AV571" s="371"/>
      <c r="AW571" s="371"/>
      <c r="AX571" s="371"/>
      <c r="AY571" s="371"/>
      <c r="AZ571" s="371"/>
      <c r="BA571" s="371"/>
      <c r="BB571" s="371"/>
      <c r="BC571" s="371"/>
      <c r="BD571" s="371"/>
      <c r="BE571" s="371"/>
      <c r="BF571" s="371"/>
      <c r="BG571" s="371"/>
      <c r="BH571" s="371"/>
    </row>
    <row r="572" spans="1:60" s="361" customFormat="1" ht="15.75" thickBot="1" x14ac:dyDescent="0.3">
      <c r="A572" s="394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5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7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2"/>
      <c r="Q572" s="372"/>
      <c r="R572" s="372"/>
      <c r="S572" s="372"/>
      <c r="T572" s="372"/>
      <c r="U572" s="372"/>
      <c r="V572" s="372"/>
      <c r="W572" s="372"/>
      <c r="X572" s="372"/>
      <c r="Y572" s="372"/>
      <c r="Z572" s="372"/>
      <c r="AA572" s="372"/>
      <c r="AB572" s="372"/>
      <c r="AC572" s="372"/>
      <c r="AD572" s="372"/>
      <c r="AE572" s="372"/>
      <c r="AF572" s="372"/>
      <c r="AG572" s="372"/>
      <c r="AH572" s="372"/>
      <c r="AI572" s="372"/>
      <c r="AJ572" s="372"/>
      <c r="AK572" s="372"/>
      <c r="AL572" s="372"/>
      <c r="AM572" s="372"/>
      <c r="AN572" s="372"/>
      <c r="AO572" s="372"/>
      <c r="AP572" s="372"/>
      <c r="AQ572" s="372"/>
      <c r="AR572" s="372"/>
      <c r="AS572" s="372"/>
      <c r="AT572" s="372"/>
      <c r="AU572" s="372"/>
      <c r="AV572" s="372"/>
      <c r="AW572" s="372"/>
      <c r="AX572" s="372"/>
      <c r="AY572" s="372"/>
      <c r="AZ572" s="372"/>
      <c r="BA572" s="372"/>
      <c r="BB572" s="372"/>
      <c r="BC572" s="372"/>
      <c r="BD572" s="372"/>
      <c r="BE572" s="372"/>
      <c r="BF572" s="372"/>
      <c r="BG572" s="372"/>
      <c r="BH572" s="372"/>
    </row>
    <row r="573" spans="1:60" s="2" customFormat="1" ht="15.75" thickBot="1" x14ac:dyDescent="0.3">
      <c r="A573" s="394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5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7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4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5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7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61" customFormat="1" ht="15.75" thickBot="1" x14ac:dyDescent="0.3">
      <c r="A575" s="394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5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7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2"/>
      <c r="Q575" s="372"/>
      <c r="R575" s="372"/>
      <c r="S575" s="372"/>
      <c r="T575" s="372"/>
      <c r="U575" s="372"/>
      <c r="V575" s="372"/>
      <c r="W575" s="372"/>
      <c r="X575" s="372"/>
      <c r="Y575" s="372"/>
      <c r="Z575" s="372"/>
      <c r="AA575" s="372"/>
      <c r="AB575" s="372"/>
      <c r="AC575" s="372"/>
      <c r="AD575" s="372"/>
      <c r="AE575" s="372"/>
      <c r="AF575" s="372"/>
      <c r="AG575" s="372"/>
      <c r="AH575" s="372"/>
      <c r="AI575" s="372"/>
      <c r="AJ575" s="372"/>
      <c r="AK575" s="372"/>
      <c r="AL575" s="372"/>
      <c r="AM575" s="372"/>
      <c r="AN575" s="372"/>
      <c r="AO575" s="372"/>
      <c r="AP575" s="372"/>
      <c r="AQ575" s="372"/>
      <c r="AR575" s="372"/>
      <c r="AS575" s="372"/>
      <c r="AT575" s="372"/>
      <c r="AU575" s="372"/>
      <c r="AV575" s="372"/>
      <c r="AW575" s="372"/>
      <c r="AX575" s="372"/>
      <c r="AY575" s="372"/>
      <c r="AZ575" s="372"/>
      <c r="BA575" s="372"/>
      <c r="BB575" s="372"/>
      <c r="BC575" s="372"/>
      <c r="BD575" s="372"/>
      <c r="BE575" s="372"/>
      <c r="BF575" s="372"/>
      <c r="BG575" s="372"/>
      <c r="BH575" s="372"/>
    </row>
    <row r="576" spans="1:60" s="2" customFormat="1" ht="15.75" thickBot="1" x14ac:dyDescent="0.3">
      <c r="A576" s="394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5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7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4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5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7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5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7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5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7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71"/>
      <c r="Q579" s="371"/>
      <c r="R579" s="371"/>
      <c r="S579" s="371"/>
      <c r="T579" s="371"/>
      <c r="U579" s="371"/>
      <c r="V579" s="371"/>
      <c r="W579" s="371"/>
      <c r="X579" s="371"/>
      <c r="Y579" s="371"/>
      <c r="Z579" s="371"/>
      <c r="AA579" s="371"/>
      <c r="AB579" s="371"/>
      <c r="AC579" s="371"/>
      <c r="AD579" s="371"/>
      <c r="AE579" s="371"/>
      <c r="AF579" s="371"/>
      <c r="AG579" s="371"/>
      <c r="AH579" s="371"/>
      <c r="AI579" s="371"/>
      <c r="AJ579" s="371"/>
      <c r="AK579" s="371"/>
      <c r="AL579" s="371"/>
      <c r="AM579" s="371"/>
      <c r="AN579" s="371"/>
      <c r="AO579" s="371"/>
      <c r="AP579" s="371"/>
      <c r="AQ579" s="371"/>
      <c r="AR579" s="371"/>
      <c r="AS579" s="371"/>
      <c r="AT579" s="371"/>
      <c r="AU579" s="371"/>
      <c r="AV579" s="371"/>
      <c r="AW579" s="371"/>
      <c r="AX579" s="371"/>
      <c r="AY579" s="371"/>
      <c r="AZ579" s="371"/>
      <c r="BA579" s="371"/>
      <c r="BB579" s="371"/>
      <c r="BC579" s="371"/>
      <c r="BD579" s="371"/>
      <c r="BE579" s="371"/>
      <c r="BF579" s="371"/>
      <c r="BG579" s="371"/>
      <c r="BH579" s="371"/>
    </row>
    <row r="580" spans="1:60" s="361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5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7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2"/>
      <c r="Q580" s="372"/>
      <c r="R580" s="372"/>
      <c r="S580" s="372"/>
      <c r="T580" s="372"/>
      <c r="U580" s="372"/>
      <c r="V580" s="372"/>
      <c r="W580" s="372"/>
      <c r="X580" s="372"/>
      <c r="Y580" s="372"/>
      <c r="Z580" s="372"/>
      <c r="AA580" s="372"/>
      <c r="AB580" s="372"/>
      <c r="AC580" s="372"/>
      <c r="AD580" s="372"/>
      <c r="AE580" s="372"/>
      <c r="AF580" s="372"/>
      <c r="AG580" s="372"/>
      <c r="AH580" s="372"/>
      <c r="AI580" s="372"/>
      <c r="AJ580" s="372"/>
      <c r="AK580" s="372"/>
      <c r="AL580" s="372"/>
      <c r="AM580" s="372"/>
      <c r="AN580" s="372"/>
      <c r="AO580" s="372"/>
      <c r="AP580" s="372"/>
      <c r="AQ580" s="372"/>
      <c r="AR580" s="372"/>
      <c r="AS580" s="372"/>
      <c r="AT580" s="372"/>
      <c r="AU580" s="372"/>
      <c r="AV580" s="372"/>
      <c r="AW580" s="372"/>
      <c r="AX580" s="372"/>
      <c r="AY580" s="372"/>
      <c r="AZ580" s="372"/>
      <c r="BA580" s="372"/>
      <c r="BB580" s="372"/>
      <c r="BC580" s="372"/>
      <c r="BD580" s="372"/>
      <c r="BE580" s="372"/>
      <c r="BF580" s="372"/>
      <c r="BG580" s="372"/>
      <c r="BH580" s="372"/>
    </row>
    <row r="581" spans="1:60" s="2" customFormat="1" ht="15.75" thickBot="1" x14ac:dyDescent="0.3">
      <c r="A581" s="394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5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7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71"/>
      <c r="Q581" s="371"/>
      <c r="R581" s="371"/>
      <c r="S581" s="371"/>
      <c r="T581" s="371"/>
      <c r="U581" s="371"/>
      <c r="V581" s="371"/>
      <c r="W581" s="371"/>
      <c r="X581" s="371"/>
      <c r="Y581" s="371"/>
      <c r="Z581" s="371"/>
      <c r="AA581" s="371"/>
      <c r="AB581" s="371"/>
      <c r="AC581" s="371"/>
      <c r="AD581" s="371"/>
      <c r="AE581" s="371"/>
      <c r="AF581" s="371"/>
      <c r="AG581" s="371"/>
      <c r="AH581" s="371"/>
      <c r="AI581" s="371"/>
      <c r="AJ581" s="371"/>
      <c r="AK581" s="371"/>
      <c r="AL581" s="371"/>
      <c r="AM581" s="371"/>
      <c r="AN581" s="371"/>
      <c r="AO581" s="371"/>
      <c r="AP581" s="371"/>
      <c r="AQ581" s="371"/>
      <c r="AR581" s="371"/>
      <c r="AS581" s="371"/>
      <c r="AT581" s="371"/>
      <c r="AU581" s="371"/>
      <c r="AV581" s="371"/>
      <c r="AW581" s="371"/>
      <c r="AX581" s="371"/>
      <c r="AY581" s="371"/>
      <c r="AZ581" s="371"/>
      <c r="BA581" s="371"/>
      <c r="BB581" s="371"/>
      <c r="BC581" s="371"/>
      <c r="BD581" s="371"/>
      <c r="BE581" s="371"/>
      <c r="BF581" s="371"/>
      <c r="BG581" s="371"/>
      <c r="BH581" s="371"/>
    </row>
    <row r="582" spans="1:60" s="361" customFormat="1" ht="15.75" thickBot="1" x14ac:dyDescent="0.3">
      <c r="A582" s="394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5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7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2"/>
      <c r="Q582" s="372"/>
      <c r="R582" s="372"/>
      <c r="S582" s="372"/>
      <c r="T582" s="372"/>
      <c r="U582" s="372"/>
      <c r="V582" s="372"/>
      <c r="W582" s="372"/>
      <c r="X582" s="372"/>
      <c r="Y582" s="372"/>
      <c r="Z582" s="372"/>
      <c r="AA582" s="372"/>
      <c r="AB582" s="372"/>
      <c r="AC582" s="372"/>
      <c r="AD582" s="372"/>
      <c r="AE582" s="372"/>
      <c r="AF582" s="372"/>
      <c r="AG582" s="372"/>
      <c r="AH582" s="372"/>
      <c r="AI582" s="372"/>
      <c r="AJ582" s="372"/>
      <c r="AK582" s="372"/>
      <c r="AL582" s="372"/>
      <c r="AM582" s="372"/>
      <c r="AN582" s="372"/>
      <c r="AO582" s="372"/>
      <c r="AP582" s="372"/>
      <c r="AQ582" s="372"/>
      <c r="AR582" s="372"/>
      <c r="AS582" s="372"/>
      <c r="AT582" s="372"/>
      <c r="AU582" s="372"/>
      <c r="AV582" s="372"/>
      <c r="AW582" s="372"/>
      <c r="AX582" s="372"/>
      <c r="AY582" s="372"/>
      <c r="AZ582" s="372"/>
      <c r="BA582" s="372"/>
      <c r="BB582" s="372"/>
      <c r="BC582" s="372"/>
      <c r="BD582" s="372"/>
      <c r="BE582" s="372"/>
      <c r="BF582" s="372"/>
      <c r="BG582" s="372"/>
      <c r="BH582" s="372"/>
    </row>
    <row r="583" spans="1:60" s="2" customFormat="1" ht="15.75" thickBot="1" x14ac:dyDescent="0.3">
      <c r="A583" s="394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5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7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4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5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7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61" customFormat="1" ht="15.75" thickBot="1" x14ac:dyDescent="0.3">
      <c r="A585" s="394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5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7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2"/>
      <c r="Q585" s="372"/>
      <c r="R585" s="372"/>
      <c r="S585" s="372"/>
      <c r="T585" s="372"/>
      <c r="U585" s="372"/>
      <c r="V585" s="372"/>
      <c r="W585" s="372"/>
      <c r="X585" s="372"/>
      <c r="Y585" s="372"/>
      <c r="Z585" s="372"/>
      <c r="AA585" s="372"/>
      <c r="AB585" s="372"/>
      <c r="AC585" s="372"/>
      <c r="AD585" s="372"/>
      <c r="AE585" s="372"/>
      <c r="AF585" s="372"/>
      <c r="AG585" s="372"/>
      <c r="AH585" s="372"/>
      <c r="AI585" s="372"/>
      <c r="AJ585" s="372"/>
      <c r="AK585" s="372"/>
      <c r="AL585" s="372"/>
      <c r="AM585" s="372"/>
      <c r="AN585" s="372"/>
      <c r="AO585" s="372"/>
      <c r="AP585" s="372"/>
      <c r="AQ585" s="372"/>
      <c r="AR585" s="372"/>
      <c r="AS585" s="372"/>
      <c r="AT585" s="372"/>
      <c r="AU585" s="372"/>
      <c r="AV585" s="372"/>
      <c r="AW585" s="372"/>
      <c r="AX585" s="372"/>
      <c r="AY585" s="372"/>
      <c r="AZ585" s="372"/>
      <c r="BA585" s="372"/>
      <c r="BB585" s="372"/>
      <c r="BC585" s="372"/>
      <c r="BD585" s="372"/>
      <c r="BE585" s="372"/>
      <c r="BF585" s="372"/>
      <c r="BG585" s="372"/>
      <c r="BH585" s="372"/>
    </row>
    <row r="586" spans="1:60" s="2" customFormat="1" ht="15.75" thickBot="1" x14ac:dyDescent="0.3">
      <c r="A586" s="394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5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7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4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5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7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5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7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5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7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71"/>
      <c r="Q589" s="371"/>
      <c r="R589" s="371"/>
      <c r="S589" s="371"/>
      <c r="T589" s="371"/>
      <c r="U589" s="371"/>
      <c r="V589" s="371"/>
      <c r="W589" s="371"/>
      <c r="X589" s="371"/>
      <c r="Y589" s="371"/>
      <c r="Z589" s="371"/>
      <c r="AA589" s="371"/>
      <c r="AB589" s="371"/>
      <c r="AC589" s="371"/>
      <c r="AD589" s="371"/>
      <c r="AE589" s="371"/>
      <c r="AF589" s="371"/>
      <c r="AG589" s="371"/>
      <c r="AH589" s="371"/>
      <c r="AI589" s="371"/>
      <c r="AJ589" s="371"/>
      <c r="AK589" s="371"/>
      <c r="AL589" s="371"/>
      <c r="AM589" s="371"/>
      <c r="AN589" s="371"/>
      <c r="AO589" s="371"/>
      <c r="AP589" s="371"/>
      <c r="AQ589" s="371"/>
      <c r="AR589" s="371"/>
      <c r="AS589" s="371"/>
      <c r="AT589" s="371"/>
      <c r="AU589" s="371"/>
      <c r="AV589" s="371"/>
      <c r="AW589" s="371"/>
      <c r="AX589" s="371"/>
      <c r="AY589" s="371"/>
      <c r="AZ589" s="371"/>
      <c r="BA589" s="371"/>
      <c r="BB589" s="371"/>
      <c r="BC589" s="371"/>
      <c r="BD589" s="371"/>
      <c r="BE589" s="371"/>
      <c r="BF589" s="371"/>
      <c r="BG589" s="371"/>
      <c r="BH589" s="371"/>
    </row>
    <row r="590" spans="1:60" s="2" customFormat="1" ht="15.75" thickBot="1" x14ac:dyDescent="0.3">
      <c r="A590" s="394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5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7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71"/>
      <c r="Q590" s="371"/>
      <c r="R590" s="371"/>
      <c r="S590" s="371"/>
      <c r="T590" s="371"/>
      <c r="U590" s="371"/>
      <c r="V590" s="371"/>
      <c r="W590" s="371"/>
      <c r="X590" s="371"/>
      <c r="Y590" s="371"/>
      <c r="Z590" s="371"/>
      <c r="AA590" s="371"/>
      <c r="AB590" s="371"/>
      <c r="AC590" s="371"/>
      <c r="AD590" s="371"/>
      <c r="AE590" s="371"/>
      <c r="AF590" s="371"/>
      <c r="AG590" s="371"/>
      <c r="AH590" s="371"/>
      <c r="AI590" s="371"/>
      <c r="AJ590" s="371"/>
      <c r="AK590" s="371"/>
      <c r="AL590" s="371"/>
      <c r="AM590" s="371"/>
      <c r="AN590" s="371"/>
      <c r="AO590" s="371"/>
      <c r="AP590" s="371"/>
      <c r="AQ590" s="371"/>
      <c r="AR590" s="371"/>
      <c r="AS590" s="371"/>
      <c r="AT590" s="371"/>
      <c r="AU590" s="371"/>
      <c r="AV590" s="371"/>
      <c r="AW590" s="371"/>
      <c r="AX590" s="371"/>
      <c r="AY590" s="371"/>
      <c r="AZ590" s="371"/>
      <c r="BA590" s="371"/>
      <c r="BB590" s="371"/>
      <c r="BC590" s="371"/>
      <c r="BD590" s="371"/>
      <c r="BE590" s="371"/>
      <c r="BF590" s="371"/>
      <c r="BG590" s="371"/>
      <c r="BH590" s="371"/>
    </row>
    <row r="591" spans="1:60" s="361" customFormat="1" ht="15.75" thickBot="1" x14ac:dyDescent="0.3">
      <c r="A591" s="394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5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7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2"/>
      <c r="Q591" s="372"/>
      <c r="R591" s="372"/>
      <c r="S591" s="372"/>
      <c r="T591" s="372"/>
      <c r="U591" s="372"/>
      <c r="V591" s="372"/>
      <c r="W591" s="372"/>
      <c r="X591" s="372"/>
      <c r="Y591" s="372"/>
      <c r="Z591" s="372"/>
      <c r="AA591" s="372"/>
      <c r="AB591" s="372"/>
      <c r="AC591" s="372"/>
      <c r="AD591" s="372"/>
      <c r="AE591" s="372"/>
      <c r="AF591" s="372"/>
      <c r="AG591" s="372"/>
      <c r="AH591" s="372"/>
      <c r="AI591" s="372"/>
      <c r="AJ591" s="372"/>
      <c r="AK591" s="372"/>
      <c r="AL591" s="372"/>
      <c r="AM591" s="372"/>
      <c r="AN591" s="372"/>
      <c r="AO591" s="372"/>
      <c r="AP591" s="372"/>
      <c r="AQ591" s="372"/>
      <c r="AR591" s="372"/>
      <c r="AS591" s="372"/>
      <c r="AT591" s="372"/>
      <c r="AU591" s="372"/>
      <c r="AV591" s="372"/>
      <c r="AW591" s="372"/>
      <c r="AX591" s="372"/>
      <c r="AY591" s="372"/>
      <c r="AZ591" s="372"/>
      <c r="BA591" s="372"/>
      <c r="BB591" s="372"/>
      <c r="BC591" s="372"/>
      <c r="BD591" s="372"/>
      <c r="BE591" s="372"/>
      <c r="BF591" s="372"/>
      <c r="BG591" s="372"/>
      <c r="BH591" s="372"/>
    </row>
    <row r="592" spans="1:60" s="2" customFormat="1" ht="15.75" thickBot="1" x14ac:dyDescent="0.3">
      <c r="A592" s="394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5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7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4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5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7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61" customFormat="1" ht="15.75" thickBot="1" x14ac:dyDescent="0.3">
      <c r="A594" s="394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5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7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2"/>
      <c r="Q594" s="372"/>
      <c r="R594" s="372"/>
      <c r="S594" s="372"/>
      <c r="T594" s="372"/>
      <c r="U594" s="372"/>
      <c r="V594" s="372"/>
      <c r="W594" s="372"/>
      <c r="X594" s="372"/>
      <c r="Y594" s="372"/>
      <c r="Z594" s="372"/>
      <c r="AA594" s="372"/>
      <c r="AB594" s="372"/>
      <c r="AC594" s="372"/>
      <c r="AD594" s="372"/>
      <c r="AE594" s="372"/>
      <c r="AF594" s="372"/>
      <c r="AG594" s="372"/>
      <c r="AH594" s="372"/>
      <c r="AI594" s="372"/>
      <c r="AJ594" s="372"/>
      <c r="AK594" s="372"/>
      <c r="AL594" s="372"/>
      <c r="AM594" s="372"/>
      <c r="AN594" s="372"/>
      <c r="AO594" s="372"/>
      <c r="AP594" s="372"/>
      <c r="AQ594" s="372"/>
      <c r="AR594" s="372"/>
      <c r="AS594" s="372"/>
      <c r="AT594" s="372"/>
      <c r="AU594" s="372"/>
      <c r="AV594" s="372"/>
      <c r="AW594" s="372"/>
      <c r="AX594" s="372"/>
      <c r="AY594" s="372"/>
      <c r="AZ594" s="372"/>
      <c r="BA594" s="372"/>
      <c r="BB594" s="372"/>
      <c r="BC594" s="372"/>
      <c r="BD594" s="372"/>
      <c r="BE594" s="372"/>
      <c r="BF594" s="372"/>
      <c r="BG594" s="372"/>
      <c r="BH594" s="372"/>
    </row>
    <row r="595" spans="1:60" s="2" customFormat="1" ht="15.75" thickBot="1" x14ac:dyDescent="0.3">
      <c r="A595" s="394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5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7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71"/>
      <c r="Q595" s="371"/>
      <c r="R595" s="371"/>
      <c r="S595" s="371"/>
      <c r="T595" s="371"/>
      <c r="U595" s="371"/>
      <c r="V595" s="371"/>
      <c r="W595" s="371"/>
      <c r="X595" s="371"/>
      <c r="Y595" s="371"/>
      <c r="Z595" s="371"/>
      <c r="AA595" s="371"/>
      <c r="AB595" s="371"/>
      <c r="AC595" s="371"/>
      <c r="AD595" s="371"/>
      <c r="AE595" s="371"/>
      <c r="AF595" s="371"/>
      <c r="AG595" s="371"/>
      <c r="AH595" s="371"/>
      <c r="AI595" s="371"/>
      <c r="AJ595" s="371"/>
      <c r="AK595" s="371"/>
      <c r="AL595" s="371"/>
      <c r="AM595" s="371"/>
      <c r="AN595" s="371"/>
      <c r="AO595" s="371"/>
      <c r="AP595" s="371"/>
      <c r="AQ595" s="371"/>
      <c r="AR595" s="371"/>
      <c r="AS595" s="371"/>
      <c r="AT595" s="371"/>
      <c r="AU595" s="371"/>
      <c r="AV595" s="371"/>
      <c r="AW595" s="371"/>
      <c r="AX595" s="371"/>
      <c r="AY595" s="371"/>
      <c r="AZ595" s="371"/>
      <c r="BA595" s="371"/>
      <c r="BB595" s="371"/>
      <c r="BC595" s="371"/>
      <c r="BD595" s="371"/>
      <c r="BE595" s="371"/>
      <c r="BF595" s="371"/>
      <c r="BG595" s="371"/>
      <c r="BH595" s="371"/>
    </row>
    <row r="596" spans="1:60" s="361" customFormat="1" ht="15.75" thickBot="1" x14ac:dyDescent="0.3">
      <c r="A596" s="394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5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7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2"/>
      <c r="Q596" s="372"/>
      <c r="R596" s="372"/>
      <c r="S596" s="372"/>
      <c r="T596" s="372"/>
      <c r="U596" s="372"/>
      <c r="V596" s="372"/>
      <c r="W596" s="372"/>
      <c r="X596" s="372"/>
      <c r="Y596" s="372"/>
      <c r="Z596" s="372"/>
      <c r="AA596" s="372"/>
      <c r="AB596" s="372"/>
      <c r="AC596" s="372"/>
      <c r="AD596" s="372"/>
      <c r="AE596" s="372"/>
      <c r="AF596" s="372"/>
      <c r="AG596" s="372"/>
      <c r="AH596" s="372"/>
      <c r="AI596" s="372"/>
      <c r="AJ596" s="372"/>
      <c r="AK596" s="372"/>
      <c r="AL596" s="372"/>
      <c r="AM596" s="372"/>
      <c r="AN596" s="372"/>
      <c r="AO596" s="372"/>
      <c r="AP596" s="372"/>
      <c r="AQ596" s="372"/>
      <c r="AR596" s="372"/>
      <c r="AS596" s="372"/>
      <c r="AT596" s="372"/>
      <c r="AU596" s="372"/>
      <c r="AV596" s="372"/>
      <c r="AW596" s="372"/>
      <c r="AX596" s="372"/>
      <c r="AY596" s="372"/>
      <c r="AZ596" s="372"/>
      <c r="BA596" s="372"/>
      <c r="BB596" s="372"/>
      <c r="BC596" s="372"/>
      <c r="BD596" s="372"/>
      <c r="BE596" s="372"/>
      <c r="BF596" s="372"/>
      <c r="BG596" s="372"/>
      <c r="BH596" s="372"/>
    </row>
    <row r="597" spans="1:60" s="2" customFormat="1" ht="15.75" thickBot="1" x14ac:dyDescent="0.3">
      <c r="A597" s="394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5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7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4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5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7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61" customFormat="1" ht="15.75" thickBot="1" x14ac:dyDescent="0.3">
      <c r="A599" s="394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5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7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2"/>
      <c r="Q599" s="372"/>
      <c r="R599" s="372"/>
      <c r="S599" s="372"/>
      <c r="T599" s="372"/>
      <c r="U599" s="372"/>
      <c r="V599" s="372"/>
      <c r="W599" s="372"/>
      <c r="X599" s="372"/>
      <c r="Y599" s="372"/>
      <c r="Z599" s="372"/>
      <c r="AA599" s="372"/>
      <c r="AB599" s="372"/>
      <c r="AC599" s="372"/>
      <c r="AD599" s="372"/>
      <c r="AE599" s="372"/>
      <c r="AF599" s="372"/>
      <c r="AG599" s="372"/>
      <c r="AH599" s="372"/>
      <c r="AI599" s="372"/>
      <c r="AJ599" s="372"/>
      <c r="AK599" s="372"/>
      <c r="AL599" s="372"/>
      <c r="AM599" s="372"/>
      <c r="AN599" s="372"/>
      <c r="AO599" s="372"/>
      <c r="AP599" s="372"/>
      <c r="AQ599" s="372"/>
      <c r="AR599" s="372"/>
      <c r="AS599" s="372"/>
      <c r="AT599" s="372"/>
      <c r="AU599" s="372"/>
      <c r="AV599" s="372"/>
      <c r="AW599" s="372"/>
      <c r="AX599" s="372"/>
      <c r="AY599" s="372"/>
      <c r="AZ599" s="372"/>
      <c r="BA599" s="372"/>
      <c r="BB599" s="372"/>
      <c r="BC599" s="372"/>
      <c r="BD599" s="372"/>
      <c r="BE599" s="372"/>
      <c r="BF599" s="372"/>
      <c r="BG599" s="372"/>
      <c r="BH599" s="372"/>
    </row>
    <row r="600" spans="1:60" s="2" customFormat="1" ht="15.75" thickBot="1" x14ac:dyDescent="0.3">
      <c r="A600" s="394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5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7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4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5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7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5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7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5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7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71"/>
      <c r="Q603" s="371"/>
      <c r="R603" s="371"/>
      <c r="S603" s="371"/>
      <c r="T603" s="371"/>
      <c r="U603" s="371"/>
      <c r="V603" s="371"/>
      <c r="W603" s="371"/>
      <c r="X603" s="371"/>
      <c r="Y603" s="371"/>
      <c r="Z603" s="371"/>
      <c r="AA603" s="371"/>
      <c r="AB603" s="371"/>
      <c r="AC603" s="371"/>
      <c r="AD603" s="371"/>
      <c r="AE603" s="371"/>
      <c r="AF603" s="371"/>
      <c r="AG603" s="371"/>
      <c r="AH603" s="371"/>
      <c r="AI603" s="371"/>
      <c r="AJ603" s="371"/>
      <c r="AK603" s="371"/>
      <c r="AL603" s="371"/>
      <c r="AM603" s="371"/>
      <c r="AN603" s="371"/>
      <c r="AO603" s="371"/>
      <c r="AP603" s="371"/>
      <c r="AQ603" s="371"/>
      <c r="AR603" s="371"/>
      <c r="AS603" s="371"/>
      <c r="AT603" s="371"/>
      <c r="AU603" s="371"/>
      <c r="AV603" s="371"/>
      <c r="AW603" s="371"/>
      <c r="AX603" s="371"/>
      <c r="AY603" s="371"/>
      <c r="AZ603" s="371"/>
      <c r="BA603" s="371"/>
      <c r="BB603" s="371"/>
      <c r="BC603" s="371"/>
      <c r="BD603" s="371"/>
      <c r="BE603" s="371"/>
      <c r="BF603" s="371"/>
      <c r="BG603" s="371"/>
      <c r="BH603" s="371"/>
    </row>
    <row r="604" spans="1:60" s="361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5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7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2"/>
      <c r="Q604" s="372"/>
      <c r="R604" s="372"/>
      <c r="S604" s="372"/>
      <c r="T604" s="372"/>
      <c r="U604" s="372"/>
      <c r="V604" s="372"/>
      <c r="W604" s="372"/>
      <c r="X604" s="372"/>
      <c r="Y604" s="372"/>
      <c r="Z604" s="372"/>
      <c r="AA604" s="372"/>
      <c r="AB604" s="372"/>
      <c r="AC604" s="372"/>
      <c r="AD604" s="372"/>
      <c r="AE604" s="372"/>
      <c r="AF604" s="372"/>
      <c r="AG604" s="372"/>
      <c r="AH604" s="372"/>
      <c r="AI604" s="372"/>
      <c r="AJ604" s="372"/>
      <c r="AK604" s="372"/>
      <c r="AL604" s="372"/>
      <c r="AM604" s="372"/>
      <c r="AN604" s="372"/>
      <c r="AO604" s="372"/>
      <c r="AP604" s="372"/>
      <c r="AQ604" s="372"/>
      <c r="AR604" s="372"/>
      <c r="AS604" s="372"/>
      <c r="AT604" s="372"/>
      <c r="AU604" s="372"/>
      <c r="AV604" s="372"/>
      <c r="AW604" s="372"/>
      <c r="AX604" s="372"/>
      <c r="AY604" s="372"/>
      <c r="AZ604" s="372"/>
      <c r="BA604" s="372"/>
      <c r="BB604" s="372"/>
      <c r="BC604" s="372"/>
      <c r="BD604" s="372"/>
      <c r="BE604" s="372"/>
      <c r="BF604" s="372"/>
      <c r="BG604" s="372"/>
      <c r="BH604" s="372"/>
    </row>
    <row r="605" spans="1:60" s="2" customFormat="1" ht="15.75" thickBot="1" x14ac:dyDescent="0.3">
      <c r="A605" s="394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5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7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71"/>
      <c r="Q605" s="371"/>
      <c r="R605" s="371"/>
      <c r="S605" s="371"/>
      <c r="T605" s="371"/>
      <c r="U605" s="371"/>
      <c r="V605" s="371"/>
      <c r="W605" s="371"/>
      <c r="X605" s="371"/>
      <c r="Y605" s="371"/>
      <c r="Z605" s="371"/>
      <c r="AA605" s="371"/>
      <c r="AB605" s="371"/>
      <c r="AC605" s="371"/>
      <c r="AD605" s="371"/>
      <c r="AE605" s="371"/>
      <c r="AF605" s="371"/>
      <c r="AG605" s="371"/>
      <c r="AH605" s="371"/>
      <c r="AI605" s="371"/>
      <c r="AJ605" s="371"/>
      <c r="AK605" s="371"/>
      <c r="AL605" s="371"/>
      <c r="AM605" s="371"/>
      <c r="AN605" s="371"/>
      <c r="AO605" s="371"/>
      <c r="AP605" s="371"/>
      <c r="AQ605" s="371"/>
      <c r="AR605" s="371"/>
      <c r="AS605" s="371"/>
      <c r="AT605" s="371"/>
      <c r="AU605" s="371"/>
      <c r="AV605" s="371"/>
      <c r="AW605" s="371"/>
      <c r="AX605" s="371"/>
      <c r="AY605" s="371"/>
      <c r="AZ605" s="371"/>
      <c r="BA605" s="371"/>
      <c r="BB605" s="371"/>
      <c r="BC605" s="371"/>
      <c r="BD605" s="371"/>
      <c r="BE605" s="371"/>
      <c r="BF605" s="371"/>
      <c r="BG605" s="371"/>
      <c r="BH605" s="371"/>
    </row>
    <row r="606" spans="1:60" s="361" customFormat="1" ht="15.75" thickBot="1" x14ac:dyDescent="0.3">
      <c r="A606" s="394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5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7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2"/>
      <c r="Q606" s="372"/>
      <c r="R606" s="372"/>
      <c r="S606" s="372"/>
      <c r="T606" s="372"/>
      <c r="U606" s="372"/>
      <c r="V606" s="372"/>
      <c r="W606" s="372"/>
      <c r="X606" s="372"/>
      <c r="Y606" s="372"/>
      <c r="Z606" s="372"/>
      <c r="AA606" s="372"/>
      <c r="AB606" s="372"/>
      <c r="AC606" s="372"/>
      <c r="AD606" s="372"/>
      <c r="AE606" s="372"/>
      <c r="AF606" s="372"/>
      <c r="AG606" s="372"/>
      <c r="AH606" s="372"/>
      <c r="AI606" s="372"/>
      <c r="AJ606" s="372"/>
      <c r="AK606" s="372"/>
      <c r="AL606" s="372"/>
      <c r="AM606" s="372"/>
      <c r="AN606" s="372"/>
      <c r="AO606" s="372"/>
      <c r="AP606" s="372"/>
      <c r="AQ606" s="372"/>
      <c r="AR606" s="372"/>
      <c r="AS606" s="372"/>
      <c r="AT606" s="372"/>
      <c r="AU606" s="372"/>
      <c r="AV606" s="372"/>
      <c r="AW606" s="372"/>
      <c r="AX606" s="372"/>
      <c r="AY606" s="372"/>
      <c r="AZ606" s="372"/>
      <c r="BA606" s="372"/>
      <c r="BB606" s="372"/>
      <c r="BC606" s="372"/>
      <c r="BD606" s="372"/>
      <c r="BE606" s="372"/>
      <c r="BF606" s="372"/>
      <c r="BG606" s="372"/>
      <c r="BH606" s="372"/>
    </row>
    <row r="607" spans="1:60" s="2" customFormat="1" ht="15.75" thickBot="1" x14ac:dyDescent="0.3">
      <c r="A607" s="394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5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7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4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5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7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61" customFormat="1" ht="15.75" thickBot="1" x14ac:dyDescent="0.3">
      <c r="A609" s="394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5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7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2"/>
      <c r="Q609" s="372"/>
      <c r="R609" s="372"/>
      <c r="S609" s="372"/>
      <c r="T609" s="372"/>
      <c r="U609" s="372"/>
      <c r="V609" s="372"/>
      <c r="W609" s="372"/>
      <c r="X609" s="372"/>
      <c r="Y609" s="372"/>
      <c r="Z609" s="372"/>
      <c r="AA609" s="372"/>
      <c r="AB609" s="372"/>
      <c r="AC609" s="372"/>
      <c r="AD609" s="372"/>
      <c r="AE609" s="372"/>
      <c r="AF609" s="372"/>
      <c r="AG609" s="372"/>
      <c r="AH609" s="372"/>
      <c r="AI609" s="372"/>
      <c r="AJ609" s="372"/>
      <c r="AK609" s="372"/>
      <c r="AL609" s="372"/>
      <c r="AM609" s="372"/>
      <c r="AN609" s="372"/>
      <c r="AO609" s="372"/>
      <c r="AP609" s="372"/>
      <c r="AQ609" s="372"/>
      <c r="AR609" s="372"/>
      <c r="AS609" s="372"/>
      <c r="AT609" s="372"/>
      <c r="AU609" s="372"/>
      <c r="AV609" s="372"/>
      <c r="AW609" s="372"/>
      <c r="AX609" s="372"/>
      <c r="AY609" s="372"/>
      <c r="AZ609" s="372"/>
      <c r="BA609" s="372"/>
      <c r="BB609" s="372"/>
      <c r="BC609" s="372"/>
      <c r="BD609" s="372"/>
      <c r="BE609" s="372"/>
      <c r="BF609" s="372"/>
      <c r="BG609" s="372"/>
      <c r="BH609" s="372"/>
    </row>
    <row r="610" spans="1:60" s="2" customFormat="1" ht="15.75" thickBot="1" x14ac:dyDescent="0.3">
      <c r="A610" s="394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5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7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4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5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7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5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7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5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7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71"/>
      <c r="Q613" s="371"/>
      <c r="R613" s="371"/>
      <c r="S613" s="371"/>
      <c r="T613" s="371"/>
      <c r="U613" s="371"/>
      <c r="V613" s="371"/>
      <c r="W613" s="371"/>
      <c r="X613" s="371"/>
      <c r="Y613" s="371"/>
      <c r="Z613" s="371"/>
      <c r="AA613" s="371"/>
      <c r="AB613" s="371"/>
      <c r="AC613" s="371"/>
      <c r="AD613" s="371"/>
      <c r="AE613" s="371"/>
      <c r="AF613" s="371"/>
      <c r="AG613" s="371"/>
      <c r="AH613" s="371"/>
      <c r="AI613" s="371"/>
      <c r="AJ613" s="371"/>
      <c r="AK613" s="371"/>
      <c r="AL613" s="371"/>
      <c r="AM613" s="371"/>
      <c r="AN613" s="371"/>
      <c r="AO613" s="371"/>
      <c r="AP613" s="371"/>
      <c r="AQ613" s="371"/>
      <c r="AR613" s="371"/>
      <c r="AS613" s="371"/>
      <c r="AT613" s="371"/>
      <c r="AU613" s="371"/>
      <c r="AV613" s="371"/>
      <c r="AW613" s="371"/>
      <c r="AX613" s="371"/>
      <c r="AY613" s="371"/>
      <c r="AZ613" s="371"/>
      <c r="BA613" s="371"/>
      <c r="BB613" s="371"/>
      <c r="BC613" s="371"/>
      <c r="BD613" s="371"/>
      <c r="BE613" s="371"/>
      <c r="BF613" s="371"/>
      <c r="BG613" s="371"/>
      <c r="BH613" s="371"/>
    </row>
    <row r="614" spans="1:60" s="2" customFormat="1" ht="15.75" thickBot="1" x14ac:dyDescent="0.3">
      <c r="A614" s="394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5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7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71"/>
      <c r="Q614" s="371"/>
      <c r="R614" s="371"/>
      <c r="S614" s="371"/>
      <c r="T614" s="371"/>
      <c r="U614" s="371"/>
      <c r="V614" s="371"/>
      <c r="W614" s="371"/>
      <c r="X614" s="371"/>
      <c r="Y614" s="371"/>
      <c r="Z614" s="371"/>
      <c r="AA614" s="371"/>
      <c r="AB614" s="371"/>
      <c r="AC614" s="371"/>
      <c r="AD614" s="371"/>
      <c r="AE614" s="371"/>
      <c r="AF614" s="371"/>
      <c r="AG614" s="371"/>
      <c r="AH614" s="371"/>
      <c r="AI614" s="371"/>
      <c r="AJ614" s="371"/>
      <c r="AK614" s="371"/>
      <c r="AL614" s="371"/>
      <c r="AM614" s="371"/>
      <c r="AN614" s="371"/>
      <c r="AO614" s="371"/>
      <c r="AP614" s="371"/>
      <c r="AQ614" s="371"/>
      <c r="AR614" s="371"/>
      <c r="AS614" s="371"/>
      <c r="AT614" s="371"/>
      <c r="AU614" s="371"/>
      <c r="AV614" s="371"/>
      <c r="AW614" s="371"/>
      <c r="AX614" s="371"/>
      <c r="AY614" s="371"/>
      <c r="AZ614" s="371"/>
      <c r="BA614" s="371"/>
      <c r="BB614" s="371"/>
      <c r="BC614" s="371"/>
      <c r="BD614" s="371"/>
      <c r="BE614" s="371"/>
      <c r="BF614" s="371"/>
      <c r="BG614" s="371"/>
      <c r="BH614" s="371"/>
    </row>
    <row r="615" spans="1:60" s="361" customFormat="1" ht="15.75" thickBot="1" x14ac:dyDescent="0.3">
      <c r="A615" s="394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5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7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2"/>
      <c r="Q615" s="372"/>
      <c r="R615" s="372"/>
      <c r="S615" s="372"/>
      <c r="T615" s="372"/>
      <c r="U615" s="372"/>
      <c r="V615" s="372"/>
      <c r="W615" s="372"/>
      <c r="X615" s="372"/>
      <c r="Y615" s="372"/>
      <c r="Z615" s="372"/>
      <c r="AA615" s="372"/>
      <c r="AB615" s="372"/>
      <c r="AC615" s="372"/>
      <c r="AD615" s="372"/>
      <c r="AE615" s="372"/>
      <c r="AF615" s="372"/>
      <c r="AG615" s="372"/>
      <c r="AH615" s="372"/>
      <c r="AI615" s="372"/>
      <c r="AJ615" s="372"/>
      <c r="AK615" s="372"/>
      <c r="AL615" s="372"/>
      <c r="AM615" s="372"/>
      <c r="AN615" s="372"/>
      <c r="AO615" s="372"/>
      <c r="AP615" s="372"/>
      <c r="AQ615" s="372"/>
      <c r="AR615" s="372"/>
      <c r="AS615" s="372"/>
      <c r="AT615" s="372"/>
      <c r="AU615" s="372"/>
      <c r="AV615" s="372"/>
      <c r="AW615" s="372"/>
      <c r="AX615" s="372"/>
      <c r="AY615" s="372"/>
      <c r="AZ615" s="372"/>
      <c r="BA615" s="372"/>
      <c r="BB615" s="372"/>
      <c r="BC615" s="372"/>
      <c r="BD615" s="372"/>
      <c r="BE615" s="372"/>
      <c r="BF615" s="372"/>
      <c r="BG615" s="372"/>
      <c r="BH615" s="372"/>
    </row>
    <row r="616" spans="1:60" s="2" customFormat="1" ht="15.75" thickBot="1" x14ac:dyDescent="0.3">
      <c r="A616" s="394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5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7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4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5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7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61" customFormat="1" ht="15.75" thickBot="1" x14ac:dyDescent="0.3">
      <c r="A618" s="394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5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7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2"/>
      <c r="Q618" s="372"/>
      <c r="R618" s="372"/>
      <c r="S618" s="372"/>
      <c r="T618" s="372"/>
      <c r="U618" s="372"/>
      <c r="V618" s="372"/>
      <c r="W618" s="372"/>
      <c r="X618" s="372"/>
      <c r="Y618" s="372"/>
      <c r="Z618" s="372"/>
      <c r="AA618" s="372"/>
      <c r="AB618" s="372"/>
      <c r="AC618" s="372"/>
      <c r="AD618" s="372"/>
      <c r="AE618" s="372"/>
      <c r="AF618" s="372"/>
      <c r="AG618" s="372"/>
      <c r="AH618" s="372"/>
      <c r="AI618" s="372"/>
      <c r="AJ618" s="372"/>
      <c r="AK618" s="372"/>
      <c r="AL618" s="372"/>
      <c r="AM618" s="372"/>
      <c r="AN618" s="372"/>
      <c r="AO618" s="372"/>
      <c r="AP618" s="372"/>
      <c r="AQ618" s="372"/>
      <c r="AR618" s="372"/>
      <c r="AS618" s="372"/>
      <c r="AT618" s="372"/>
      <c r="AU618" s="372"/>
      <c r="AV618" s="372"/>
      <c r="AW618" s="372"/>
      <c r="AX618" s="372"/>
      <c r="AY618" s="372"/>
      <c r="AZ618" s="372"/>
      <c r="BA618" s="372"/>
      <c r="BB618" s="372"/>
      <c r="BC618" s="372"/>
      <c r="BD618" s="372"/>
      <c r="BE618" s="372"/>
      <c r="BF618" s="372"/>
      <c r="BG618" s="372"/>
      <c r="BH618" s="372"/>
    </row>
    <row r="619" spans="1:60" s="2" customFormat="1" ht="15.75" thickBot="1" x14ac:dyDescent="0.3">
      <c r="A619" s="394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5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7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4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5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7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5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7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5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7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71"/>
      <c r="Q622" s="371"/>
      <c r="R622" s="371"/>
      <c r="S622" s="371"/>
      <c r="T622" s="371"/>
      <c r="U622" s="371"/>
      <c r="V622" s="371"/>
      <c r="W622" s="371"/>
      <c r="X622" s="371"/>
      <c r="Y622" s="371"/>
      <c r="Z622" s="371"/>
      <c r="AA622" s="371"/>
      <c r="AB622" s="371"/>
      <c r="AC622" s="371"/>
      <c r="AD622" s="371"/>
      <c r="AE622" s="371"/>
      <c r="AF622" s="371"/>
      <c r="AG622" s="371"/>
      <c r="AH622" s="371"/>
      <c r="AI622" s="371"/>
      <c r="AJ622" s="371"/>
      <c r="AK622" s="371"/>
      <c r="AL622" s="371"/>
      <c r="AM622" s="371"/>
      <c r="AN622" s="371"/>
      <c r="AO622" s="371"/>
      <c r="AP622" s="371"/>
      <c r="AQ622" s="371"/>
      <c r="AR622" s="371"/>
      <c r="AS622" s="371"/>
      <c r="AT622" s="371"/>
      <c r="AU622" s="371"/>
      <c r="AV622" s="371"/>
      <c r="AW622" s="371"/>
      <c r="AX622" s="371"/>
      <c r="AY622" s="371"/>
      <c r="AZ622" s="371"/>
      <c r="BA622" s="371"/>
      <c r="BB622" s="371"/>
      <c r="BC622" s="371"/>
      <c r="BD622" s="371"/>
      <c r="BE622" s="371"/>
      <c r="BF622" s="371"/>
      <c r="BG622" s="371"/>
      <c r="BH622" s="371"/>
    </row>
    <row r="623" spans="1:60" s="361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5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7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2"/>
      <c r="Q623" s="372"/>
      <c r="R623" s="372"/>
      <c r="S623" s="372"/>
      <c r="T623" s="372"/>
      <c r="U623" s="372"/>
      <c r="V623" s="372"/>
      <c r="W623" s="372"/>
      <c r="X623" s="372"/>
      <c r="Y623" s="372"/>
      <c r="Z623" s="372"/>
      <c r="AA623" s="372"/>
      <c r="AB623" s="372"/>
      <c r="AC623" s="372"/>
      <c r="AD623" s="372"/>
      <c r="AE623" s="372"/>
      <c r="AF623" s="372"/>
      <c r="AG623" s="372"/>
      <c r="AH623" s="372"/>
      <c r="AI623" s="372"/>
      <c r="AJ623" s="372"/>
      <c r="AK623" s="372"/>
      <c r="AL623" s="372"/>
      <c r="AM623" s="372"/>
      <c r="AN623" s="372"/>
      <c r="AO623" s="372"/>
      <c r="AP623" s="372"/>
      <c r="AQ623" s="372"/>
      <c r="AR623" s="372"/>
      <c r="AS623" s="372"/>
      <c r="AT623" s="372"/>
      <c r="AU623" s="372"/>
      <c r="AV623" s="372"/>
      <c r="AW623" s="372"/>
      <c r="AX623" s="372"/>
      <c r="AY623" s="372"/>
      <c r="AZ623" s="372"/>
      <c r="BA623" s="372"/>
      <c r="BB623" s="372"/>
      <c r="BC623" s="372"/>
      <c r="BD623" s="372"/>
      <c r="BE623" s="372"/>
      <c r="BF623" s="372"/>
      <c r="BG623" s="372"/>
      <c r="BH623" s="372"/>
    </row>
    <row r="624" spans="1:60" s="2" customFormat="1" ht="15.75" thickBot="1" x14ac:dyDescent="0.3">
      <c r="A624" s="394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5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7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71"/>
      <c r="Q624" s="371"/>
      <c r="R624" s="371"/>
      <c r="S624" s="371"/>
      <c r="T624" s="371"/>
      <c r="U624" s="371"/>
      <c r="V624" s="371"/>
      <c r="W624" s="371"/>
      <c r="X624" s="371"/>
      <c r="Y624" s="371"/>
      <c r="Z624" s="371"/>
      <c r="AA624" s="371"/>
      <c r="AB624" s="371"/>
      <c r="AC624" s="371"/>
      <c r="AD624" s="371"/>
      <c r="AE624" s="371"/>
      <c r="AF624" s="371"/>
      <c r="AG624" s="371"/>
      <c r="AH624" s="371"/>
      <c r="AI624" s="371"/>
      <c r="AJ624" s="371"/>
      <c r="AK624" s="371"/>
      <c r="AL624" s="371"/>
      <c r="AM624" s="371"/>
      <c r="AN624" s="371"/>
      <c r="AO624" s="371"/>
      <c r="AP624" s="371"/>
      <c r="AQ624" s="371"/>
      <c r="AR624" s="371"/>
      <c r="AS624" s="371"/>
      <c r="AT624" s="371"/>
      <c r="AU624" s="371"/>
      <c r="AV624" s="371"/>
      <c r="AW624" s="371"/>
      <c r="AX624" s="371"/>
      <c r="AY624" s="371"/>
      <c r="AZ624" s="371"/>
      <c r="BA624" s="371"/>
      <c r="BB624" s="371"/>
      <c r="BC624" s="371"/>
      <c r="BD624" s="371"/>
      <c r="BE624" s="371"/>
      <c r="BF624" s="371"/>
      <c r="BG624" s="371"/>
      <c r="BH624" s="371"/>
    </row>
    <row r="625" spans="1:60" s="361" customFormat="1" ht="15.75" thickBot="1" x14ac:dyDescent="0.3">
      <c r="A625" s="394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5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7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2"/>
      <c r="Q625" s="372"/>
      <c r="R625" s="372"/>
      <c r="S625" s="372"/>
      <c r="T625" s="372"/>
      <c r="U625" s="372"/>
      <c r="V625" s="372"/>
      <c r="W625" s="372"/>
      <c r="X625" s="372"/>
      <c r="Y625" s="372"/>
      <c r="Z625" s="372"/>
      <c r="AA625" s="372"/>
      <c r="AB625" s="372"/>
      <c r="AC625" s="372"/>
      <c r="AD625" s="372"/>
      <c r="AE625" s="372"/>
      <c r="AF625" s="372"/>
      <c r="AG625" s="372"/>
      <c r="AH625" s="372"/>
      <c r="AI625" s="372"/>
      <c r="AJ625" s="372"/>
      <c r="AK625" s="372"/>
      <c r="AL625" s="372"/>
      <c r="AM625" s="372"/>
      <c r="AN625" s="372"/>
      <c r="AO625" s="372"/>
      <c r="AP625" s="372"/>
      <c r="AQ625" s="372"/>
      <c r="AR625" s="372"/>
      <c r="AS625" s="372"/>
      <c r="AT625" s="372"/>
      <c r="AU625" s="372"/>
      <c r="AV625" s="372"/>
      <c r="AW625" s="372"/>
      <c r="AX625" s="372"/>
      <c r="AY625" s="372"/>
      <c r="AZ625" s="372"/>
      <c r="BA625" s="372"/>
      <c r="BB625" s="372"/>
      <c r="BC625" s="372"/>
      <c r="BD625" s="372"/>
      <c r="BE625" s="372"/>
      <c r="BF625" s="372"/>
      <c r="BG625" s="372"/>
      <c r="BH625" s="372"/>
    </row>
    <row r="626" spans="1:60" s="2" customFormat="1" ht="15.75" thickBot="1" x14ac:dyDescent="0.3">
      <c r="A626" s="394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5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7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4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5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7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61" customFormat="1" ht="15.75" thickBot="1" x14ac:dyDescent="0.3">
      <c r="A628" s="394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5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7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2"/>
      <c r="Q628" s="372"/>
      <c r="R628" s="372"/>
      <c r="S628" s="372"/>
      <c r="T628" s="372"/>
      <c r="U628" s="372"/>
      <c r="V628" s="372"/>
      <c r="W628" s="372"/>
      <c r="X628" s="372"/>
      <c r="Y628" s="372"/>
      <c r="Z628" s="372"/>
      <c r="AA628" s="372"/>
      <c r="AB628" s="372"/>
      <c r="AC628" s="372"/>
      <c r="AD628" s="372"/>
      <c r="AE628" s="372"/>
      <c r="AF628" s="372"/>
      <c r="AG628" s="372"/>
      <c r="AH628" s="372"/>
      <c r="AI628" s="372"/>
      <c r="AJ628" s="372"/>
      <c r="AK628" s="372"/>
      <c r="AL628" s="372"/>
      <c r="AM628" s="372"/>
      <c r="AN628" s="372"/>
      <c r="AO628" s="372"/>
      <c r="AP628" s="372"/>
      <c r="AQ628" s="372"/>
      <c r="AR628" s="372"/>
      <c r="AS628" s="372"/>
      <c r="AT628" s="372"/>
      <c r="AU628" s="372"/>
      <c r="AV628" s="372"/>
      <c r="AW628" s="372"/>
      <c r="AX628" s="372"/>
      <c r="AY628" s="372"/>
      <c r="AZ628" s="372"/>
      <c r="BA628" s="372"/>
      <c r="BB628" s="372"/>
      <c r="BC628" s="372"/>
      <c r="BD628" s="372"/>
      <c r="BE628" s="372"/>
      <c r="BF628" s="372"/>
      <c r="BG628" s="372"/>
      <c r="BH628" s="372"/>
    </row>
    <row r="629" spans="1:60" s="2" customFormat="1" ht="15.75" thickBot="1" x14ac:dyDescent="0.3">
      <c r="A629" s="394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5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7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4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5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7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5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7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5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7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71"/>
      <c r="Q632" s="371"/>
      <c r="R632" s="371"/>
      <c r="S632" s="371"/>
      <c r="T632" s="371"/>
      <c r="U632" s="371"/>
      <c r="V632" s="371"/>
      <c r="W632" s="371"/>
      <c r="X632" s="371"/>
      <c r="Y632" s="371"/>
      <c r="Z632" s="371"/>
      <c r="AA632" s="371"/>
      <c r="AB632" s="371"/>
      <c r="AC632" s="371"/>
      <c r="AD632" s="371"/>
      <c r="AE632" s="371"/>
      <c r="AF632" s="371"/>
      <c r="AG632" s="371"/>
      <c r="AH632" s="371"/>
      <c r="AI632" s="371"/>
      <c r="AJ632" s="371"/>
      <c r="AK632" s="371"/>
      <c r="AL632" s="371"/>
      <c r="AM632" s="371"/>
      <c r="AN632" s="371"/>
      <c r="AO632" s="371"/>
      <c r="AP632" s="371"/>
      <c r="AQ632" s="371"/>
      <c r="AR632" s="371"/>
      <c r="AS632" s="371"/>
      <c r="AT632" s="371"/>
      <c r="AU632" s="371"/>
      <c r="AV632" s="371"/>
      <c r="AW632" s="371"/>
      <c r="AX632" s="371"/>
      <c r="AY632" s="371"/>
      <c r="AZ632" s="371"/>
      <c r="BA632" s="371"/>
      <c r="BB632" s="371"/>
      <c r="BC632" s="371"/>
      <c r="BD632" s="371"/>
      <c r="BE632" s="371"/>
      <c r="BF632" s="371"/>
      <c r="BG632" s="371"/>
      <c r="BH632" s="371"/>
    </row>
    <row r="633" spans="1:60" s="2" customFormat="1" ht="15.75" thickBot="1" x14ac:dyDescent="0.3">
      <c r="A633" s="394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5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7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71"/>
      <c r="Q633" s="371"/>
      <c r="R633" s="371"/>
      <c r="S633" s="371"/>
      <c r="T633" s="371"/>
      <c r="U633" s="371"/>
      <c r="V633" s="371"/>
      <c r="W633" s="371"/>
      <c r="X633" s="371"/>
      <c r="Y633" s="371"/>
      <c r="Z633" s="371"/>
      <c r="AA633" s="371"/>
      <c r="AB633" s="371"/>
      <c r="AC633" s="371"/>
      <c r="AD633" s="371"/>
      <c r="AE633" s="371"/>
      <c r="AF633" s="371"/>
      <c r="AG633" s="371"/>
      <c r="AH633" s="371"/>
      <c r="AI633" s="371"/>
      <c r="AJ633" s="371"/>
      <c r="AK633" s="371"/>
      <c r="AL633" s="371"/>
      <c r="AM633" s="371"/>
      <c r="AN633" s="371"/>
      <c r="AO633" s="371"/>
      <c r="AP633" s="371"/>
      <c r="AQ633" s="371"/>
      <c r="AR633" s="371"/>
      <c r="AS633" s="371"/>
      <c r="AT633" s="371"/>
      <c r="AU633" s="371"/>
      <c r="AV633" s="371"/>
      <c r="AW633" s="371"/>
      <c r="AX633" s="371"/>
      <c r="AY633" s="371"/>
      <c r="AZ633" s="371"/>
      <c r="BA633" s="371"/>
      <c r="BB633" s="371"/>
      <c r="BC633" s="371"/>
      <c r="BD633" s="371"/>
      <c r="BE633" s="371"/>
      <c r="BF633" s="371"/>
      <c r="BG633" s="371"/>
      <c r="BH633" s="371"/>
    </row>
    <row r="634" spans="1:60" s="361" customFormat="1" ht="15.75" thickBot="1" x14ac:dyDescent="0.3">
      <c r="A634" s="394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5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7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2"/>
      <c r="Q634" s="372"/>
      <c r="R634" s="372"/>
      <c r="S634" s="372"/>
      <c r="T634" s="372"/>
      <c r="U634" s="372"/>
      <c r="V634" s="372"/>
      <c r="W634" s="372"/>
      <c r="X634" s="372"/>
      <c r="Y634" s="372"/>
      <c r="Z634" s="372"/>
      <c r="AA634" s="372"/>
      <c r="AB634" s="372"/>
      <c r="AC634" s="372"/>
      <c r="AD634" s="372"/>
      <c r="AE634" s="372"/>
      <c r="AF634" s="372"/>
      <c r="AG634" s="372"/>
      <c r="AH634" s="372"/>
      <c r="AI634" s="372"/>
      <c r="AJ634" s="372"/>
      <c r="AK634" s="372"/>
      <c r="AL634" s="372"/>
      <c r="AM634" s="372"/>
      <c r="AN634" s="372"/>
      <c r="AO634" s="372"/>
      <c r="AP634" s="372"/>
      <c r="AQ634" s="372"/>
      <c r="AR634" s="372"/>
      <c r="AS634" s="372"/>
      <c r="AT634" s="372"/>
      <c r="AU634" s="372"/>
      <c r="AV634" s="372"/>
      <c r="AW634" s="372"/>
      <c r="AX634" s="372"/>
      <c r="AY634" s="372"/>
      <c r="AZ634" s="372"/>
      <c r="BA634" s="372"/>
      <c r="BB634" s="372"/>
      <c r="BC634" s="372"/>
      <c r="BD634" s="372"/>
      <c r="BE634" s="372"/>
      <c r="BF634" s="372"/>
      <c r="BG634" s="372"/>
      <c r="BH634" s="372"/>
    </row>
    <row r="635" spans="1:60" s="2" customFormat="1" ht="15.75" thickBot="1" x14ac:dyDescent="0.3">
      <c r="A635" s="394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5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7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4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5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7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61" customFormat="1" ht="15.75" thickBot="1" x14ac:dyDescent="0.3">
      <c r="A637" s="394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5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7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2"/>
      <c r="Q637" s="372"/>
      <c r="R637" s="372"/>
      <c r="S637" s="372"/>
      <c r="T637" s="372"/>
      <c r="U637" s="372"/>
      <c r="V637" s="372"/>
      <c r="W637" s="372"/>
      <c r="X637" s="372"/>
      <c r="Y637" s="372"/>
      <c r="Z637" s="372"/>
      <c r="AA637" s="372"/>
      <c r="AB637" s="372"/>
      <c r="AC637" s="372"/>
      <c r="AD637" s="372"/>
      <c r="AE637" s="372"/>
      <c r="AF637" s="372"/>
      <c r="AG637" s="372"/>
      <c r="AH637" s="372"/>
      <c r="AI637" s="372"/>
      <c r="AJ637" s="372"/>
      <c r="AK637" s="372"/>
      <c r="AL637" s="372"/>
      <c r="AM637" s="372"/>
      <c r="AN637" s="372"/>
      <c r="AO637" s="372"/>
      <c r="AP637" s="372"/>
      <c r="AQ637" s="372"/>
      <c r="AR637" s="372"/>
      <c r="AS637" s="372"/>
      <c r="AT637" s="372"/>
      <c r="AU637" s="372"/>
      <c r="AV637" s="372"/>
      <c r="AW637" s="372"/>
      <c r="AX637" s="372"/>
      <c r="AY637" s="372"/>
      <c r="AZ637" s="372"/>
      <c r="BA637" s="372"/>
      <c r="BB637" s="372"/>
      <c r="BC637" s="372"/>
      <c r="BD637" s="372"/>
      <c r="BE637" s="372"/>
      <c r="BF637" s="372"/>
      <c r="BG637" s="372"/>
      <c r="BH637" s="372"/>
    </row>
    <row r="638" spans="1:60" s="2" customFormat="1" ht="15.75" thickBot="1" x14ac:dyDescent="0.3">
      <c r="A638" s="394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5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7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4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5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7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5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7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5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7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71"/>
      <c r="Q641" s="371"/>
      <c r="R641" s="371"/>
      <c r="S641" s="371"/>
      <c r="T641" s="371"/>
      <c r="U641" s="371"/>
      <c r="V641" s="371"/>
      <c r="W641" s="371"/>
      <c r="X641" s="371"/>
      <c r="Y641" s="371"/>
      <c r="Z641" s="371"/>
      <c r="AA641" s="371"/>
      <c r="AB641" s="371"/>
      <c r="AC641" s="371"/>
      <c r="AD641" s="371"/>
      <c r="AE641" s="371"/>
      <c r="AF641" s="371"/>
      <c r="AG641" s="371"/>
      <c r="AH641" s="371"/>
      <c r="AI641" s="371"/>
      <c r="AJ641" s="371"/>
      <c r="AK641" s="371"/>
      <c r="AL641" s="371"/>
      <c r="AM641" s="371"/>
      <c r="AN641" s="371"/>
      <c r="AO641" s="371"/>
      <c r="AP641" s="371"/>
      <c r="AQ641" s="371"/>
      <c r="AR641" s="371"/>
      <c r="AS641" s="371"/>
      <c r="AT641" s="371"/>
      <c r="AU641" s="371"/>
      <c r="AV641" s="371"/>
      <c r="AW641" s="371"/>
      <c r="AX641" s="371"/>
      <c r="AY641" s="371"/>
      <c r="AZ641" s="371"/>
      <c r="BA641" s="371"/>
      <c r="BB641" s="371"/>
      <c r="BC641" s="371"/>
      <c r="BD641" s="371"/>
      <c r="BE641" s="371"/>
      <c r="BF641" s="371"/>
      <c r="BG641" s="371"/>
      <c r="BH641" s="371"/>
    </row>
    <row r="642" spans="1:60" s="361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5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7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2"/>
      <c r="Q642" s="372"/>
      <c r="R642" s="372"/>
      <c r="S642" s="372"/>
      <c r="T642" s="372"/>
      <c r="U642" s="372"/>
      <c r="V642" s="372"/>
      <c r="W642" s="372"/>
      <c r="X642" s="372"/>
      <c r="Y642" s="372"/>
      <c r="Z642" s="372"/>
      <c r="AA642" s="372"/>
      <c r="AB642" s="372"/>
      <c r="AC642" s="372"/>
      <c r="AD642" s="372"/>
      <c r="AE642" s="372"/>
      <c r="AF642" s="372"/>
      <c r="AG642" s="372"/>
      <c r="AH642" s="372"/>
      <c r="AI642" s="372"/>
      <c r="AJ642" s="372"/>
      <c r="AK642" s="372"/>
      <c r="AL642" s="372"/>
      <c r="AM642" s="372"/>
      <c r="AN642" s="372"/>
      <c r="AO642" s="372"/>
      <c r="AP642" s="372"/>
      <c r="AQ642" s="372"/>
      <c r="AR642" s="372"/>
      <c r="AS642" s="372"/>
      <c r="AT642" s="372"/>
      <c r="AU642" s="372"/>
      <c r="AV642" s="372"/>
      <c r="AW642" s="372"/>
      <c r="AX642" s="372"/>
      <c r="AY642" s="372"/>
      <c r="AZ642" s="372"/>
      <c r="BA642" s="372"/>
      <c r="BB642" s="372"/>
      <c r="BC642" s="372"/>
      <c r="BD642" s="372"/>
      <c r="BE642" s="372"/>
      <c r="BF642" s="372"/>
      <c r="BG642" s="372"/>
      <c r="BH642" s="372"/>
    </row>
    <row r="643" spans="1:60" s="2" customFormat="1" ht="15.75" thickBot="1" x14ac:dyDescent="0.3">
      <c r="A643" s="394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5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7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71"/>
      <c r="Q643" s="371"/>
      <c r="R643" s="371"/>
      <c r="S643" s="371"/>
      <c r="T643" s="371"/>
      <c r="U643" s="371"/>
      <c r="V643" s="371"/>
      <c r="W643" s="371"/>
      <c r="X643" s="371"/>
      <c r="Y643" s="371"/>
      <c r="Z643" s="371"/>
      <c r="AA643" s="371"/>
      <c r="AB643" s="371"/>
      <c r="AC643" s="371"/>
      <c r="AD643" s="371"/>
      <c r="AE643" s="371"/>
      <c r="AF643" s="371"/>
      <c r="AG643" s="371"/>
      <c r="AH643" s="371"/>
      <c r="AI643" s="371"/>
      <c r="AJ643" s="371"/>
      <c r="AK643" s="371"/>
      <c r="AL643" s="371"/>
      <c r="AM643" s="371"/>
      <c r="AN643" s="371"/>
      <c r="AO643" s="371"/>
      <c r="AP643" s="371"/>
      <c r="AQ643" s="371"/>
      <c r="AR643" s="371"/>
      <c r="AS643" s="371"/>
      <c r="AT643" s="371"/>
      <c r="AU643" s="371"/>
      <c r="AV643" s="371"/>
      <c r="AW643" s="371"/>
      <c r="AX643" s="371"/>
      <c r="AY643" s="371"/>
      <c r="AZ643" s="371"/>
      <c r="BA643" s="371"/>
      <c r="BB643" s="371"/>
      <c r="BC643" s="371"/>
      <c r="BD643" s="371"/>
      <c r="BE643" s="371"/>
      <c r="BF643" s="371"/>
      <c r="BG643" s="371"/>
      <c r="BH643" s="371"/>
    </row>
    <row r="644" spans="1:60" s="361" customFormat="1" ht="15.75" thickBot="1" x14ac:dyDescent="0.3">
      <c r="A644" s="394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5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7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2"/>
      <c r="Q644" s="372"/>
      <c r="R644" s="372"/>
      <c r="S644" s="372"/>
      <c r="T644" s="372"/>
      <c r="U644" s="372"/>
      <c r="V644" s="372"/>
      <c r="W644" s="372"/>
      <c r="X644" s="372"/>
      <c r="Y644" s="372"/>
      <c r="Z644" s="372"/>
      <c r="AA644" s="372"/>
      <c r="AB644" s="372"/>
      <c r="AC644" s="372"/>
      <c r="AD644" s="372"/>
      <c r="AE644" s="372"/>
      <c r="AF644" s="372"/>
      <c r="AG644" s="372"/>
      <c r="AH644" s="372"/>
      <c r="AI644" s="372"/>
      <c r="AJ644" s="372"/>
      <c r="AK644" s="372"/>
      <c r="AL644" s="372"/>
      <c r="AM644" s="372"/>
      <c r="AN644" s="372"/>
      <c r="AO644" s="372"/>
      <c r="AP644" s="372"/>
      <c r="AQ644" s="372"/>
      <c r="AR644" s="372"/>
      <c r="AS644" s="372"/>
      <c r="AT644" s="372"/>
      <c r="AU644" s="372"/>
      <c r="AV644" s="372"/>
      <c r="AW644" s="372"/>
      <c r="AX644" s="372"/>
      <c r="AY644" s="372"/>
      <c r="AZ644" s="372"/>
      <c r="BA644" s="372"/>
      <c r="BB644" s="372"/>
      <c r="BC644" s="372"/>
      <c r="BD644" s="372"/>
      <c r="BE644" s="372"/>
      <c r="BF644" s="372"/>
      <c r="BG644" s="372"/>
      <c r="BH644" s="372"/>
    </row>
    <row r="645" spans="1:60" s="2" customFormat="1" ht="15.75" thickBot="1" x14ac:dyDescent="0.3">
      <c r="A645" s="394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5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7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4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5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7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61" customFormat="1" ht="15.75" thickBot="1" x14ac:dyDescent="0.3">
      <c r="A647" s="394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5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7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2"/>
      <c r="Q647" s="372"/>
      <c r="R647" s="372"/>
      <c r="S647" s="372"/>
      <c r="T647" s="372"/>
      <c r="U647" s="372"/>
      <c r="V647" s="372"/>
      <c r="W647" s="372"/>
      <c r="X647" s="372"/>
      <c r="Y647" s="372"/>
      <c r="Z647" s="372"/>
      <c r="AA647" s="372"/>
      <c r="AB647" s="372"/>
      <c r="AC647" s="372"/>
      <c r="AD647" s="372"/>
      <c r="AE647" s="372"/>
      <c r="AF647" s="372"/>
      <c r="AG647" s="372"/>
      <c r="AH647" s="372"/>
      <c r="AI647" s="372"/>
      <c r="AJ647" s="372"/>
      <c r="AK647" s="372"/>
      <c r="AL647" s="372"/>
      <c r="AM647" s="372"/>
      <c r="AN647" s="372"/>
      <c r="AO647" s="372"/>
      <c r="AP647" s="372"/>
      <c r="AQ647" s="372"/>
      <c r="AR647" s="372"/>
      <c r="AS647" s="372"/>
      <c r="AT647" s="372"/>
      <c r="AU647" s="372"/>
      <c r="AV647" s="372"/>
      <c r="AW647" s="372"/>
      <c r="AX647" s="372"/>
      <c r="AY647" s="372"/>
      <c r="AZ647" s="372"/>
      <c r="BA647" s="372"/>
      <c r="BB647" s="372"/>
      <c r="BC647" s="372"/>
      <c r="BD647" s="372"/>
      <c r="BE647" s="372"/>
      <c r="BF647" s="372"/>
      <c r="BG647" s="372"/>
      <c r="BH647" s="372"/>
    </row>
    <row r="648" spans="1:60" s="2" customFormat="1" ht="15.75" thickBot="1" x14ac:dyDescent="0.3">
      <c r="A648" s="394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5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7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4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5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7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5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7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5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7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71"/>
      <c r="Q651" s="371"/>
      <c r="R651" s="371"/>
      <c r="S651" s="371"/>
      <c r="T651" s="371"/>
      <c r="U651" s="371"/>
      <c r="V651" s="371"/>
      <c r="W651" s="371"/>
      <c r="X651" s="371"/>
      <c r="Y651" s="371"/>
      <c r="Z651" s="371"/>
      <c r="AA651" s="371"/>
      <c r="AB651" s="371"/>
      <c r="AC651" s="371"/>
      <c r="AD651" s="371"/>
      <c r="AE651" s="371"/>
      <c r="AF651" s="371"/>
      <c r="AG651" s="371"/>
      <c r="AH651" s="371"/>
      <c r="AI651" s="371"/>
      <c r="AJ651" s="371"/>
      <c r="AK651" s="371"/>
      <c r="AL651" s="371"/>
      <c r="AM651" s="371"/>
      <c r="AN651" s="371"/>
      <c r="AO651" s="371"/>
      <c r="AP651" s="371"/>
      <c r="AQ651" s="371"/>
      <c r="AR651" s="371"/>
      <c r="AS651" s="371"/>
      <c r="AT651" s="371"/>
      <c r="AU651" s="371"/>
      <c r="AV651" s="371"/>
      <c r="AW651" s="371"/>
      <c r="AX651" s="371"/>
      <c r="AY651" s="371"/>
      <c r="AZ651" s="371"/>
      <c r="BA651" s="371"/>
      <c r="BB651" s="371"/>
      <c r="BC651" s="371"/>
      <c r="BD651" s="371"/>
      <c r="BE651" s="371"/>
      <c r="BF651" s="371"/>
      <c r="BG651" s="371"/>
      <c r="BH651" s="371"/>
    </row>
    <row r="652" spans="1:60" s="2" customFormat="1" ht="15.75" thickBot="1" x14ac:dyDescent="0.3">
      <c r="A652" s="394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5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7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  <c r="AG652" s="371"/>
      <c r="AH652" s="371"/>
      <c r="AI652" s="371"/>
      <c r="AJ652" s="371"/>
      <c r="AK652" s="371"/>
      <c r="AL652" s="371"/>
      <c r="AM652" s="371"/>
      <c r="AN652" s="371"/>
      <c r="AO652" s="371"/>
      <c r="AP652" s="371"/>
      <c r="AQ652" s="371"/>
      <c r="AR652" s="371"/>
      <c r="AS652" s="371"/>
      <c r="AT652" s="371"/>
      <c r="AU652" s="371"/>
      <c r="AV652" s="371"/>
      <c r="AW652" s="371"/>
      <c r="AX652" s="371"/>
      <c r="AY652" s="371"/>
      <c r="AZ652" s="371"/>
      <c r="BA652" s="371"/>
      <c r="BB652" s="371"/>
      <c r="BC652" s="371"/>
      <c r="BD652" s="371"/>
      <c r="BE652" s="371"/>
      <c r="BF652" s="371"/>
      <c r="BG652" s="371"/>
      <c r="BH652" s="371"/>
    </row>
    <row r="653" spans="1:60" s="361" customFormat="1" ht="15.75" thickBot="1" x14ac:dyDescent="0.3">
      <c r="A653" s="394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5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7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2"/>
      <c r="Q653" s="372"/>
      <c r="R653" s="372"/>
      <c r="S653" s="372"/>
      <c r="T653" s="372"/>
      <c r="U653" s="372"/>
      <c r="V653" s="372"/>
      <c r="W653" s="372"/>
      <c r="X653" s="372"/>
      <c r="Y653" s="372"/>
      <c r="Z653" s="372"/>
      <c r="AA653" s="372"/>
      <c r="AB653" s="372"/>
      <c r="AC653" s="372"/>
      <c r="AD653" s="372"/>
      <c r="AE653" s="372"/>
      <c r="AF653" s="372"/>
      <c r="AG653" s="372"/>
      <c r="AH653" s="372"/>
      <c r="AI653" s="372"/>
      <c r="AJ653" s="372"/>
      <c r="AK653" s="372"/>
      <c r="AL653" s="372"/>
      <c r="AM653" s="372"/>
      <c r="AN653" s="372"/>
      <c r="AO653" s="372"/>
      <c r="AP653" s="372"/>
      <c r="AQ653" s="372"/>
      <c r="AR653" s="372"/>
      <c r="AS653" s="372"/>
      <c r="AT653" s="372"/>
      <c r="AU653" s="372"/>
      <c r="AV653" s="372"/>
      <c r="AW653" s="372"/>
      <c r="AX653" s="372"/>
      <c r="AY653" s="372"/>
      <c r="AZ653" s="372"/>
      <c r="BA653" s="372"/>
      <c r="BB653" s="372"/>
      <c r="BC653" s="372"/>
      <c r="BD653" s="372"/>
      <c r="BE653" s="372"/>
      <c r="BF653" s="372"/>
      <c r="BG653" s="372"/>
      <c r="BH653" s="372"/>
    </row>
    <row r="654" spans="1:60" s="2" customFormat="1" ht="15.75" thickBot="1" x14ac:dyDescent="0.3">
      <c r="A654" s="394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5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7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4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5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7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61" customFormat="1" ht="15.75" thickBot="1" x14ac:dyDescent="0.3">
      <c r="A656" s="394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5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7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2"/>
      <c r="Q656" s="372"/>
      <c r="R656" s="372"/>
      <c r="S656" s="372"/>
      <c r="T656" s="372"/>
      <c r="U656" s="372"/>
      <c r="V656" s="372"/>
      <c r="W656" s="372"/>
      <c r="X656" s="372"/>
      <c r="Y656" s="372"/>
      <c r="Z656" s="372"/>
      <c r="AA656" s="372"/>
      <c r="AB656" s="372"/>
      <c r="AC656" s="372"/>
      <c r="AD656" s="372"/>
      <c r="AE656" s="372"/>
      <c r="AF656" s="372"/>
      <c r="AG656" s="372"/>
      <c r="AH656" s="372"/>
      <c r="AI656" s="372"/>
      <c r="AJ656" s="372"/>
      <c r="AK656" s="372"/>
      <c r="AL656" s="372"/>
      <c r="AM656" s="372"/>
      <c r="AN656" s="372"/>
      <c r="AO656" s="372"/>
      <c r="AP656" s="372"/>
      <c r="AQ656" s="372"/>
      <c r="AR656" s="372"/>
      <c r="AS656" s="372"/>
      <c r="AT656" s="372"/>
      <c r="AU656" s="372"/>
      <c r="AV656" s="372"/>
      <c r="AW656" s="372"/>
      <c r="AX656" s="372"/>
      <c r="AY656" s="372"/>
      <c r="AZ656" s="372"/>
      <c r="BA656" s="372"/>
      <c r="BB656" s="372"/>
      <c r="BC656" s="372"/>
      <c r="BD656" s="372"/>
      <c r="BE656" s="372"/>
      <c r="BF656" s="372"/>
      <c r="BG656" s="372"/>
      <c r="BH656" s="372"/>
    </row>
    <row r="657" spans="1:60" s="2" customFormat="1" ht="15.75" thickBot="1" x14ac:dyDescent="0.3">
      <c r="A657" s="394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5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7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4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5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7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5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7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5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7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71"/>
      <c r="Q660" s="371"/>
      <c r="R660" s="371"/>
      <c r="S660" s="371"/>
      <c r="T660" s="371"/>
      <c r="U660" s="371"/>
      <c r="V660" s="371"/>
      <c r="W660" s="371"/>
      <c r="X660" s="371"/>
      <c r="Y660" s="371"/>
      <c r="Z660" s="371"/>
      <c r="AA660" s="371"/>
      <c r="AB660" s="371"/>
      <c r="AC660" s="371"/>
      <c r="AD660" s="371"/>
      <c r="AE660" s="371"/>
      <c r="AF660" s="371"/>
      <c r="AG660" s="371"/>
      <c r="AH660" s="371"/>
      <c r="AI660" s="371"/>
      <c r="AJ660" s="371"/>
      <c r="AK660" s="371"/>
      <c r="AL660" s="371"/>
      <c r="AM660" s="371"/>
      <c r="AN660" s="371"/>
      <c r="AO660" s="371"/>
      <c r="AP660" s="371"/>
      <c r="AQ660" s="371"/>
      <c r="AR660" s="371"/>
      <c r="AS660" s="371"/>
      <c r="AT660" s="371"/>
      <c r="AU660" s="371"/>
      <c r="AV660" s="371"/>
      <c r="AW660" s="371"/>
      <c r="AX660" s="371"/>
      <c r="AY660" s="371"/>
      <c r="AZ660" s="371"/>
      <c r="BA660" s="371"/>
      <c r="BB660" s="371"/>
      <c r="BC660" s="371"/>
      <c r="BD660" s="371"/>
      <c r="BE660" s="371"/>
      <c r="BF660" s="371"/>
      <c r="BG660" s="371"/>
      <c r="BH660" s="371"/>
    </row>
    <row r="661" spans="1:60" s="361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5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7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2"/>
      <c r="Q661" s="372"/>
      <c r="R661" s="372"/>
      <c r="S661" s="372"/>
      <c r="T661" s="372"/>
      <c r="U661" s="372"/>
      <c r="V661" s="372"/>
      <c r="W661" s="372"/>
      <c r="X661" s="372"/>
      <c r="Y661" s="372"/>
      <c r="Z661" s="372"/>
      <c r="AA661" s="372"/>
      <c r="AB661" s="372"/>
      <c r="AC661" s="372"/>
      <c r="AD661" s="372"/>
      <c r="AE661" s="372"/>
      <c r="AF661" s="372"/>
      <c r="AG661" s="372"/>
      <c r="AH661" s="372"/>
      <c r="AI661" s="372"/>
      <c r="AJ661" s="372"/>
      <c r="AK661" s="372"/>
      <c r="AL661" s="372"/>
      <c r="AM661" s="372"/>
      <c r="AN661" s="372"/>
      <c r="AO661" s="372"/>
      <c r="AP661" s="372"/>
      <c r="AQ661" s="372"/>
      <c r="AR661" s="372"/>
      <c r="AS661" s="372"/>
      <c r="AT661" s="372"/>
      <c r="AU661" s="372"/>
      <c r="AV661" s="372"/>
      <c r="AW661" s="372"/>
      <c r="AX661" s="372"/>
      <c r="AY661" s="372"/>
      <c r="AZ661" s="372"/>
      <c r="BA661" s="372"/>
      <c r="BB661" s="372"/>
      <c r="BC661" s="372"/>
      <c r="BD661" s="372"/>
      <c r="BE661" s="372"/>
      <c r="BF661" s="372"/>
      <c r="BG661" s="372"/>
      <c r="BH661" s="372"/>
    </row>
    <row r="662" spans="1:60" s="2" customFormat="1" ht="15.75" thickBot="1" x14ac:dyDescent="0.3">
      <c r="A662" s="394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5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7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71"/>
      <c r="Q662" s="371"/>
      <c r="R662" s="371"/>
      <c r="S662" s="371"/>
      <c r="T662" s="371"/>
      <c r="U662" s="371"/>
      <c r="V662" s="371"/>
      <c r="W662" s="371"/>
      <c r="X662" s="371"/>
      <c r="Y662" s="371"/>
      <c r="Z662" s="371"/>
      <c r="AA662" s="371"/>
      <c r="AB662" s="371"/>
      <c r="AC662" s="371"/>
      <c r="AD662" s="371"/>
      <c r="AE662" s="371"/>
      <c r="AF662" s="371"/>
      <c r="AG662" s="371"/>
      <c r="AH662" s="371"/>
      <c r="AI662" s="371"/>
      <c r="AJ662" s="371"/>
      <c r="AK662" s="371"/>
      <c r="AL662" s="371"/>
      <c r="AM662" s="371"/>
      <c r="AN662" s="371"/>
      <c r="AO662" s="371"/>
      <c r="AP662" s="371"/>
      <c r="AQ662" s="371"/>
      <c r="AR662" s="371"/>
      <c r="AS662" s="371"/>
      <c r="AT662" s="371"/>
      <c r="AU662" s="371"/>
      <c r="AV662" s="371"/>
      <c r="AW662" s="371"/>
      <c r="AX662" s="371"/>
      <c r="AY662" s="371"/>
      <c r="AZ662" s="371"/>
      <c r="BA662" s="371"/>
      <c r="BB662" s="371"/>
      <c r="BC662" s="371"/>
      <c r="BD662" s="371"/>
      <c r="BE662" s="371"/>
      <c r="BF662" s="371"/>
      <c r="BG662" s="371"/>
      <c r="BH662" s="371"/>
    </row>
    <row r="663" spans="1:60" s="361" customFormat="1" ht="15.75" thickBot="1" x14ac:dyDescent="0.3">
      <c r="A663" s="394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5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7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2"/>
      <c r="Q663" s="372"/>
      <c r="R663" s="372"/>
      <c r="S663" s="372"/>
      <c r="T663" s="372"/>
      <c r="U663" s="372"/>
      <c r="V663" s="372"/>
      <c r="W663" s="372"/>
      <c r="X663" s="372"/>
      <c r="Y663" s="372"/>
      <c r="Z663" s="372"/>
      <c r="AA663" s="372"/>
      <c r="AB663" s="372"/>
      <c r="AC663" s="372"/>
      <c r="AD663" s="372"/>
      <c r="AE663" s="372"/>
      <c r="AF663" s="372"/>
      <c r="AG663" s="372"/>
      <c r="AH663" s="372"/>
      <c r="AI663" s="372"/>
      <c r="AJ663" s="372"/>
      <c r="AK663" s="372"/>
      <c r="AL663" s="372"/>
      <c r="AM663" s="372"/>
      <c r="AN663" s="372"/>
      <c r="AO663" s="372"/>
      <c r="AP663" s="372"/>
      <c r="AQ663" s="372"/>
      <c r="AR663" s="372"/>
      <c r="AS663" s="372"/>
      <c r="AT663" s="372"/>
      <c r="AU663" s="372"/>
      <c r="AV663" s="372"/>
      <c r="AW663" s="372"/>
      <c r="AX663" s="372"/>
      <c r="AY663" s="372"/>
      <c r="AZ663" s="372"/>
      <c r="BA663" s="372"/>
      <c r="BB663" s="372"/>
      <c r="BC663" s="372"/>
      <c r="BD663" s="372"/>
      <c r="BE663" s="372"/>
      <c r="BF663" s="372"/>
      <c r="BG663" s="372"/>
      <c r="BH663" s="372"/>
    </row>
    <row r="664" spans="1:60" s="2" customFormat="1" ht="15.75" thickBot="1" x14ac:dyDescent="0.3">
      <c r="A664" s="394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5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7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4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5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7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61" customFormat="1" ht="15.75" thickBot="1" x14ac:dyDescent="0.3">
      <c r="A666" s="394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5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7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2"/>
      <c r="Q666" s="372"/>
      <c r="R666" s="372"/>
      <c r="S666" s="372"/>
      <c r="T666" s="372"/>
      <c r="U666" s="372"/>
      <c r="V666" s="372"/>
      <c r="W666" s="372"/>
      <c r="X666" s="372"/>
      <c r="Y666" s="372"/>
      <c r="Z666" s="372"/>
      <c r="AA666" s="372"/>
      <c r="AB666" s="372"/>
      <c r="AC666" s="372"/>
      <c r="AD666" s="372"/>
      <c r="AE666" s="372"/>
      <c r="AF666" s="372"/>
      <c r="AG666" s="372"/>
      <c r="AH666" s="372"/>
      <c r="AI666" s="372"/>
      <c r="AJ666" s="372"/>
      <c r="AK666" s="372"/>
      <c r="AL666" s="372"/>
      <c r="AM666" s="372"/>
      <c r="AN666" s="372"/>
      <c r="AO666" s="372"/>
      <c r="AP666" s="372"/>
      <c r="AQ666" s="372"/>
      <c r="AR666" s="372"/>
      <c r="AS666" s="372"/>
      <c r="AT666" s="372"/>
      <c r="AU666" s="372"/>
      <c r="AV666" s="372"/>
      <c r="AW666" s="372"/>
      <c r="AX666" s="372"/>
      <c r="AY666" s="372"/>
      <c r="AZ666" s="372"/>
      <c r="BA666" s="372"/>
      <c r="BB666" s="372"/>
      <c r="BC666" s="372"/>
      <c r="BD666" s="372"/>
      <c r="BE666" s="372"/>
      <c r="BF666" s="372"/>
      <c r="BG666" s="372"/>
      <c r="BH666" s="372"/>
    </row>
    <row r="667" spans="1:60" s="2" customFormat="1" ht="15.75" thickBot="1" x14ac:dyDescent="0.3">
      <c r="A667" s="394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5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7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4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5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7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5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7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5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7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71"/>
      <c r="Q670" s="371"/>
      <c r="R670" s="371"/>
      <c r="S670" s="371"/>
      <c r="T670" s="371"/>
      <c r="U670" s="371"/>
      <c r="V670" s="371"/>
      <c r="W670" s="371"/>
      <c r="X670" s="371"/>
      <c r="Y670" s="371"/>
      <c r="Z670" s="371"/>
      <c r="AA670" s="371"/>
      <c r="AB670" s="371"/>
      <c r="AC670" s="371"/>
      <c r="AD670" s="371"/>
      <c r="AE670" s="371"/>
      <c r="AF670" s="371"/>
      <c r="AG670" s="371"/>
      <c r="AH670" s="371"/>
      <c r="AI670" s="371"/>
      <c r="AJ670" s="371"/>
      <c r="AK670" s="371"/>
      <c r="AL670" s="371"/>
      <c r="AM670" s="371"/>
      <c r="AN670" s="371"/>
      <c r="AO670" s="371"/>
      <c r="AP670" s="371"/>
      <c r="AQ670" s="371"/>
      <c r="AR670" s="371"/>
      <c r="AS670" s="371"/>
      <c r="AT670" s="371"/>
      <c r="AU670" s="371"/>
      <c r="AV670" s="371"/>
      <c r="AW670" s="371"/>
      <c r="AX670" s="371"/>
      <c r="AY670" s="371"/>
      <c r="AZ670" s="371"/>
      <c r="BA670" s="371"/>
      <c r="BB670" s="371"/>
      <c r="BC670" s="371"/>
      <c r="BD670" s="371"/>
      <c r="BE670" s="371"/>
      <c r="BF670" s="371"/>
      <c r="BG670" s="371"/>
      <c r="BH670" s="371"/>
    </row>
    <row r="671" spans="1:60" s="2" customFormat="1" ht="15.75" thickBot="1" x14ac:dyDescent="0.3">
      <c r="A671" s="394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5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7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71"/>
      <c r="Q671" s="371"/>
      <c r="R671" s="371"/>
      <c r="S671" s="371"/>
      <c r="T671" s="371"/>
      <c r="U671" s="371"/>
      <c r="V671" s="371"/>
      <c r="W671" s="371"/>
      <c r="X671" s="371"/>
      <c r="Y671" s="371"/>
      <c r="Z671" s="371"/>
      <c r="AA671" s="371"/>
      <c r="AB671" s="371"/>
      <c r="AC671" s="371"/>
      <c r="AD671" s="371"/>
      <c r="AE671" s="371"/>
      <c r="AF671" s="371"/>
      <c r="AG671" s="371"/>
      <c r="AH671" s="371"/>
      <c r="AI671" s="371"/>
      <c r="AJ671" s="371"/>
      <c r="AK671" s="371"/>
      <c r="AL671" s="371"/>
      <c r="AM671" s="371"/>
      <c r="AN671" s="371"/>
      <c r="AO671" s="371"/>
      <c r="AP671" s="371"/>
      <c r="AQ671" s="371"/>
      <c r="AR671" s="371"/>
      <c r="AS671" s="371"/>
      <c r="AT671" s="371"/>
      <c r="AU671" s="371"/>
      <c r="AV671" s="371"/>
      <c r="AW671" s="371"/>
      <c r="AX671" s="371"/>
      <c r="AY671" s="371"/>
      <c r="AZ671" s="371"/>
      <c r="BA671" s="371"/>
      <c r="BB671" s="371"/>
      <c r="BC671" s="371"/>
      <c r="BD671" s="371"/>
      <c r="BE671" s="371"/>
      <c r="BF671" s="371"/>
      <c r="BG671" s="371"/>
      <c r="BH671" s="371"/>
    </row>
    <row r="672" spans="1:60" s="361" customFormat="1" ht="15.75" thickBot="1" x14ac:dyDescent="0.3">
      <c r="A672" s="394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5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7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2"/>
      <c r="Q672" s="372"/>
      <c r="R672" s="372"/>
      <c r="S672" s="372"/>
      <c r="T672" s="372"/>
      <c r="U672" s="372"/>
      <c r="V672" s="372"/>
      <c r="W672" s="372"/>
      <c r="X672" s="372"/>
      <c r="Y672" s="372"/>
      <c r="Z672" s="372"/>
      <c r="AA672" s="372"/>
      <c r="AB672" s="372"/>
      <c r="AC672" s="372"/>
      <c r="AD672" s="372"/>
      <c r="AE672" s="372"/>
      <c r="AF672" s="372"/>
      <c r="AG672" s="372"/>
      <c r="AH672" s="372"/>
      <c r="AI672" s="372"/>
      <c r="AJ672" s="372"/>
      <c r="AK672" s="372"/>
      <c r="AL672" s="372"/>
      <c r="AM672" s="372"/>
      <c r="AN672" s="372"/>
      <c r="AO672" s="372"/>
      <c r="AP672" s="372"/>
      <c r="AQ672" s="372"/>
      <c r="AR672" s="372"/>
      <c r="AS672" s="372"/>
      <c r="AT672" s="372"/>
      <c r="AU672" s="372"/>
      <c r="AV672" s="372"/>
      <c r="AW672" s="372"/>
      <c r="AX672" s="372"/>
      <c r="AY672" s="372"/>
      <c r="AZ672" s="372"/>
      <c r="BA672" s="372"/>
      <c r="BB672" s="372"/>
      <c r="BC672" s="372"/>
      <c r="BD672" s="372"/>
      <c r="BE672" s="372"/>
      <c r="BF672" s="372"/>
      <c r="BG672" s="372"/>
      <c r="BH672" s="372"/>
    </row>
    <row r="673" spans="1:60" s="2" customFormat="1" ht="15.75" thickBot="1" x14ac:dyDescent="0.3">
      <c r="A673" s="394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5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7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4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5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7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61" customFormat="1" ht="15.75" thickBot="1" x14ac:dyDescent="0.3">
      <c r="A675" s="394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5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7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2"/>
      <c r="Q675" s="372"/>
      <c r="R675" s="372"/>
      <c r="S675" s="372"/>
      <c r="T675" s="372"/>
      <c r="U675" s="372"/>
      <c r="V675" s="372"/>
      <c r="W675" s="372"/>
      <c r="X675" s="372"/>
      <c r="Y675" s="372"/>
      <c r="Z675" s="372"/>
      <c r="AA675" s="372"/>
      <c r="AB675" s="372"/>
      <c r="AC675" s="372"/>
      <c r="AD675" s="372"/>
      <c r="AE675" s="372"/>
      <c r="AF675" s="372"/>
      <c r="AG675" s="372"/>
      <c r="AH675" s="372"/>
      <c r="AI675" s="372"/>
      <c r="AJ675" s="372"/>
      <c r="AK675" s="372"/>
      <c r="AL675" s="372"/>
      <c r="AM675" s="372"/>
      <c r="AN675" s="372"/>
      <c r="AO675" s="372"/>
      <c r="AP675" s="372"/>
      <c r="AQ675" s="372"/>
      <c r="AR675" s="372"/>
      <c r="AS675" s="372"/>
      <c r="AT675" s="372"/>
      <c r="AU675" s="372"/>
      <c r="AV675" s="372"/>
      <c r="AW675" s="372"/>
      <c r="AX675" s="372"/>
      <c r="AY675" s="372"/>
      <c r="AZ675" s="372"/>
      <c r="BA675" s="372"/>
      <c r="BB675" s="372"/>
      <c r="BC675" s="372"/>
      <c r="BD675" s="372"/>
      <c r="BE675" s="372"/>
      <c r="BF675" s="372"/>
      <c r="BG675" s="372"/>
      <c r="BH675" s="372"/>
    </row>
    <row r="676" spans="1:60" s="2" customFormat="1" ht="15.75" thickBot="1" x14ac:dyDescent="0.3">
      <c r="A676" s="394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5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7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4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5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7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5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7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5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7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71"/>
      <c r="Q679" s="371"/>
      <c r="R679" s="371"/>
      <c r="S679" s="371"/>
      <c r="T679" s="371"/>
      <c r="U679" s="371"/>
      <c r="V679" s="371"/>
      <c r="W679" s="371"/>
      <c r="X679" s="371"/>
      <c r="Y679" s="371"/>
      <c r="Z679" s="371"/>
      <c r="AA679" s="371"/>
      <c r="AB679" s="371"/>
      <c r="AC679" s="371"/>
      <c r="AD679" s="371"/>
      <c r="AE679" s="371"/>
      <c r="AF679" s="371"/>
      <c r="AG679" s="371"/>
      <c r="AH679" s="371"/>
      <c r="AI679" s="371"/>
      <c r="AJ679" s="371"/>
      <c r="AK679" s="371"/>
      <c r="AL679" s="371"/>
      <c r="AM679" s="371"/>
      <c r="AN679" s="371"/>
      <c r="AO679" s="371"/>
      <c r="AP679" s="371"/>
      <c r="AQ679" s="371"/>
      <c r="AR679" s="371"/>
      <c r="AS679" s="371"/>
      <c r="AT679" s="371"/>
      <c r="AU679" s="371"/>
      <c r="AV679" s="371"/>
      <c r="AW679" s="371"/>
      <c r="AX679" s="371"/>
      <c r="AY679" s="371"/>
      <c r="AZ679" s="371"/>
      <c r="BA679" s="371"/>
      <c r="BB679" s="371"/>
      <c r="BC679" s="371"/>
      <c r="BD679" s="371"/>
      <c r="BE679" s="371"/>
      <c r="BF679" s="371"/>
      <c r="BG679" s="371"/>
      <c r="BH679" s="371"/>
    </row>
    <row r="680" spans="1:60" s="361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5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7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2"/>
      <c r="Q680" s="372"/>
      <c r="R680" s="372"/>
      <c r="S680" s="372"/>
      <c r="T680" s="372"/>
      <c r="U680" s="372"/>
      <c r="V680" s="372"/>
      <c r="W680" s="372"/>
      <c r="X680" s="372"/>
      <c r="Y680" s="372"/>
      <c r="Z680" s="372"/>
      <c r="AA680" s="372"/>
      <c r="AB680" s="372"/>
      <c r="AC680" s="372"/>
      <c r="AD680" s="372"/>
      <c r="AE680" s="372"/>
      <c r="AF680" s="372"/>
      <c r="AG680" s="372"/>
      <c r="AH680" s="372"/>
      <c r="AI680" s="372"/>
      <c r="AJ680" s="372"/>
      <c r="AK680" s="372"/>
      <c r="AL680" s="372"/>
      <c r="AM680" s="372"/>
      <c r="AN680" s="372"/>
      <c r="AO680" s="372"/>
      <c r="AP680" s="372"/>
      <c r="AQ680" s="372"/>
      <c r="AR680" s="372"/>
      <c r="AS680" s="372"/>
      <c r="AT680" s="372"/>
      <c r="AU680" s="372"/>
      <c r="AV680" s="372"/>
      <c r="AW680" s="372"/>
      <c r="AX680" s="372"/>
      <c r="AY680" s="372"/>
      <c r="AZ680" s="372"/>
      <c r="BA680" s="372"/>
      <c r="BB680" s="372"/>
      <c r="BC680" s="372"/>
      <c r="BD680" s="372"/>
      <c r="BE680" s="372"/>
      <c r="BF680" s="372"/>
      <c r="BG680" s="372"/>
      <c r="BH680" s="372"/>
    </row>
    <row r="681" spans="1:60" s="2" customFormat="1" ht="15.75" thickBot="1" x14ac:dyDescent="0.3">
      <c r="A681" s="394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5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7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71"/>
      <c r="Q681" s="371"/>
      <c r="R681" s="371"/>
      <c r="S681" s="371"/>
      <c r="T681" s="371"/>
      <c r="U681" s="371"/>
      <c r="V681" s="371"/>
      <c r="W681" s="371"/>
      <c r="X681" s="371"/>
      <c r="Y681" s="371"/>
      <c r="Z681" s="371"/>
      <c r="AA681" s="371"/>
      <c r="AB681" s="371"/>
      <c r="AC681" s="371"/>
      <c r="AD681" s="371"/>
      <c r="AE681" s="371"/>
      <c r="AF681" s="371"/>
      <c r="AG681" s="371"/>
      <c r="AH681" s="371"/>
      <c r="AI681" s="371"/>
      <c r="AJ681" s="371"/>
      <c r="AK681" s="371"/>
      <c r="AL681" s="371"/>
      <c r="AM681" s="371"/>
      <c r="AN681" s="371"/>
      <c r="AO681" s="371"/>
      <c r="AP681" s="371"/>
      <c r="AQ681" s="371"/>
      <c r="AR681" s="371"/>
      <c r="AS681" s="371"/>
      <c r="AT681" s="371"/>
      <c r="AU681" s="371"/>
      <c r="AV681" s="371"/>
      <c r="AW681" s="371"/>
      <c r="AX681" s="371"/>
      <c r="AY681" s="371"/>
      <c r="AZ681" s="371"/>
      <c r="BA681" s="371"/>
      <c r="BB681" s="371"/>
      <c r="BC681" s="371"/>
      <c r="BD681" s="371"/>
      <c r="BE681" s="371"/>
      <c r="BF681" s="371"/>
      <c r="BG681" s="371"/>
      <c r="BH681" s="371"/>
    </row>
    <row r="682" spans="1:60" s="361" customFormat="1" ht="15.75" thickBot="1" x14ac:dyDescent="0.3">
      <c r="A682" s="394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5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7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2"/>
      <c r="Q682" s="372"/>
      <c r="R682" s="372"/>
      <c r="S682" s="372"/>
      <c r="T682" s="372"/>
      <c r="U682" s="372"/>
      <c r="V682" s="372"/>
      <c r="W682" s="372"/>
      <c r="X682" s="372"/>
      <c r="Y682" s="372"/>
      <c r="Z682" s="372"/>
      <c r="AA682" s="372"/>
      <c r="AB682" s="372"/>
      <c r="AC682" s="372"/>
      <c r="AD682" s="372"/>
      <c r="AE682" s="372"/>
      <c r="AF682" s="372"/>
      <c r="AG682" s="372"/>
      <c r="AH682" s="372"/>
      <c r="AI682" s="372"/>
      <c r="AJ682" s="372"/>
      <c r="AK682" s="372"/>
      <c r="AL682" s="372"/>
      <c r="AM682" s="372"/>
      <c r="AN682" s="372"/>
      <c r="AO682" s="372"/>
      <c r="AP682" s="372"/>
      <c r="AQ682" s="372"/>
      <c r="AR682" s="372"/>
      <c r="AS682" s="372"/>
      <c r="AT682" s="372"/>
      <c r="AU682" s="372"/>
      <c r="AV682" s="372"/>
      <c r="AW682" s="372"/>
      <c r="AX682" s="372"/>
      <c r="AY682" s="372"/>
      <c r="AZ682" s="372"/>
      <c r="BA682" s="372"/>
      <c r="BB682" s="372"/>
      <c r="BC682" s="372"/>
      <c r="BD682" s="372"/>
      <c r="BE682" s="372"/>
      <c r="BF682" s="372"/>
      <c r="BG682" s="372"/>
      <c r="BH682" s="372"/>
    </row>
    <row r="683" spans="1:60" s="2" customFormat="1" ht="15.75" thickBot="1" x14ac:dyDescent="0.3">
      <c r="A683" s="394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5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7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4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5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7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61" customFormat="1" ht="15.75" thickBot="1" x14ac:dyDescent="0.3">
      <c r="A685" s="394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5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7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2"/>
      <c r="Q685" s="372"/>
      <c r="R685" s="372"/>
      <c r="S685" s="372"/>
      <c r="T685" s="372"/>
      <c r="U685" s="372"/>
      <c r="V685" s="372"/>
      <c r="W685" s="372"/>
      <c r="X685" s="372"/>
      <c r="Y685" s="372"/>
      <c r="Z685" s="372"/>
      <c r="AA685" s="372"/>
      <c r="AB685" s="372"/>
      <c r="AC685" s="372"/>
      <c r="AD685" s="372"/>
      <c r="AE685" s="372"/>
      <c r="AF685" s="372"/>
      <c r="AG685" s="372"/>
      <c r="AH685" s="372"/>
      <c r="AI685" s="372"/>
      <c r="AJ685" s="372"/>
      <c r="AK685" s="372"/>
      <c r="AL685" s="372"/>
      <c r="AM685" s="372"/>
      <c r="AN685" s="372"/>
      <c r="AO685" s="372"/>
      <c r="AP685" s="372"/>
      <c r="AQ685" s="372"/>
      <c r="AR685" s="372"/>
      <c r="AS685" s="372"/>
      <c r="AT685" s="372"/>
      <c r="AU685" s="372"/>
      <c r="AV685" s="372"/>
      <c r="AW685" s="372"/>
      <c r="AX685" s="372"/>
      <c r="AY685" s="372"/>
      <c r="AZ685" s="372"/>
      <c r="BA685" s="372"/>
      <c r="BB685" s="372"/>
      <c r="BC685" s="372"/>
      <c r="BD685" s="372"/>
      <c r="BE685" s="372"/>
      <c r="BF685" s="372"/>
      <c r="BG685" s="372"/>
      <c r="BH685" s="372"/>
    </row>
    <row r="686" spans="1:60" s="2" customFormat="1" ht="15.75" thickBot="1" x14ac:dyDescent="0.3">
      <c r="A686" s="394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5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7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4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5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7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5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7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5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7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71"/>
      <c r="Q689" s="371"/>
      <c r="R689" s="371"/>
      <c r="S689" s="371"/>
      <c r="T689" s="371"/>
      <c r="U689" s="371"/>
      <c r="V689" s="371"/>
      <c r="W689" s="371"/>
      <c r="X689" s="371"/>
      <c r="Y689" s="371"/>
      <c r="Z689" s="371"/>
      <c r="AA689" s="371"/>
      <c r="AB689" s="371"/>
      <c r="AC689" s="371"/>
      <c r="AD689" s="371"/>
      <c r="AE689" s="371"/>
      <c r="AF689" s="371"/>
      <c r="AG689" s="371"/>
      <c r="AH689" s="371"/>
      <c r="AI689" s="371"/>
      <c r="AJ689" s="371"/>
      <c r="AK689" s="371"/>
      <c r="AL689" s="371"/>
      <c r="AM689" s="371"/>
      <c r="AN689" s="371"/>
      <c r="AO689" s="371"/>
      <c r="AP689" s="371"/>
      <c r="AQ689" s="371"/>
      <c r="AR689" s="371"/>
      <c r="AS689" s="371"/>
      <c r="AT689" s="371"/>
      <c r="AU689" s="371"/>
      <c r="AV689" s="371"/>
      <c r="AW689" s="371"/>
      <c r="AX689" s="371"/>
      <c r="AY689" s="371"/>
      <c r="AZ689" s="371"/>
      <c r="BA689" s="371"/>
      <c r="BB689" s="371"/>
      <c r="BC689" s="371"/>
      <c r="BD689" s="371"/>
      <c r="BE689" s="371"/>
      <c r="BF689" s="371"/>
      <c r="BG689" s="371"/>
      <c r="BH689" s="371"/>
    </row>
    <row r="690" spans="1:60" s="2" customFormat="1" ht="15.75" thickBot="1" x14ac:dyDescent="0.3">
      <c r="A690" s="394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5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7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71"/>
      <c r="Q690" s="371"/>
      <c r="R690" s="371"/>
      <c r="S690" s="371"/>
      <c r="T690" s="371"/>
      <c r="U690" s="371"/>
      <c r="V690" s="371"/>
      <c r="W690" s="371"/>
      <c r="X690" s="371"/>
      <c r="Y690" s="371"/>
      <c r="Z690" s="371"/>
      <c r="AA690" s="371"/>
      <c r="AB690" s="371"/>
      <c r="AC690" s="371"/>
      <c r="AD690" s="371"/>
      <c r="AE690" s="371"/>
      <c r="AF690" s="371"/>
      <c r="AG690" s="371"/>
      <c r="AH690" s="371"/>
      <c r="AI690" s="371"/>
      <c r="AJ690" s="371"/>
      <c r="AK690" s="371"/>
      <c r="AL690" s="371"/>
      <c r="AM690" s="371"/>
      <c r="AN690" s="371"/>
      <c r="AO690" s="371"/>
      <c r="AP690" s="371"/>
      <c r="AQ690" s="371"/>
      <c r="AR690" s="371"/>
      <c r="AS690" s="371"/>
      <c r="AT690" s="371"/>
      <c r="AU690" s="371"/>
      <c r="AV690" s="371"/>
      <c r="AW690" s="371"/>
      <c r="AX690" s="371"/>
      <c r="AY690" s="371"/>
      <c r="AZ690" s="371"/>
      <c r="BA690" s="371"/>
      <c r="BB690" s="371"/>
      <c r="BC690" s="371"/>
      <c r="BD690" s="371"/>
      <c r="BE690" s="371"/>
      <c r="BF690" s="371"/>
      <c r="BG690" s="371"/>
      <c r="BH690" s="371"/>
    </row>
    <row r="691" spans="1:60" s="361" customFormat="1" ht="15.75" thickBot="1" x14ac:dyDescent="0.3">
      <c r="A691" s="394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5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7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2"/>
      <c r="Q691" s="372"/>
      <c r="R691" s="372"/>
      <c r="S691" s="372"/>
      <c r="T691" s="372"/>
      <c r="U691" s="372"/>
      <c r="V691" s="372"/>
      <c r="W691" s="372"/>
      <c r="X691" s="372"/>
      <c r="Y691" s="372"/>
      <c r="Z691" s="372"/>
      <c r="AA691" s="372"/>
      <c r="AB691" s="372"/>
      <c r="AC691" s="372"/>
      <c r="AD691" s="372"/>
      <c r="AE691" s="372"/>
      <c r="AF691" s="372"/>
      <c r="AG691" s="372"/>
      <c r="AH691" s="372"/>
      <c r="AI691" s="372"/>
      <c r="AJ691" s="372"/>
      <c r="AK691" s="372"/>
      <c r="AL691" s="372"/>
      <c r="AM691" s="372"/>
      <c r="AN691" s="372"/>
      <c r="AO691" s="372"/>
      <c r="AP691" s="372"/>
      <c r="AQ691" s="372"/>
      <c r="AR691" s="372"/>
      <c r="AS691" s="372"/>
      <c r="AT691" s="372"/>
      <c r="AU691" s="372"/>
      <c r="AV691" s="372"/>
      <c r="AW691" s="372"/>
      <c r="AX691" s="372"/>
      <c r="AY691" s="372"/>
      <c r="AZ691" s="372"/>
      <c r="BA691" s="372"/>
      <c r="BB691" s="372"/>
      <c r="BC691" s="372"/>
      <c r="BD691" s="372"/>
      <c r="BE691" s="372"/>
      <c r="BF691" s="372"/>
      <c r="BG691" s="372"/>
      <c r="BH691" s="372"/>
    </row>
    <row r="692" spans="1:60" s="2" customFormat="1" ht="15.75" thickBot="1" x14ac:dyDescent="0.3">
      <c r="A692" s="394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5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7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4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5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7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61" customFormat="1" ht="15.75" thickBot="1" x14ac:dyDescent="0.3">
      <c r="A694" s="394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5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7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2"/>
      <c r="Q694" s="372"/>
      <c r="R694" s="372"/>
      <c r="S694" s="372"/>
      <c r="T694" s="372"/>
      <c r="U694" s="372"/>
      <c r="V694" s="372"/>
      <c r="W694" s="372"/>
      <c r="X694" s="372"/>
      <c r="Y694" s="372"/>
      <c r="Z694" s="372"/>
      <c r="AA694" s="372"/>
      <c r="AB694" s="372"/>
      <c r="AC694" s="372"/>
      <c r="AD694" s="372"/>
      <c r="AE694" s="372"/>
      <c r="AF694" s="372"/>
      <c r="AG694" s="372"/>
      <c r="AH694" s="372"/>
      <c r="AI694" s="372"/>
      <c r="AJ694" s="372"/>
      <c r="AK694" s="372"/>
      <c r="AL694" s="372"/>
      <c r="AM694" s="372"/>
      <c r="AN694" s="372"/>
      <c r="AO694" s="372"/>
      <c r="AP694" s="372"/>
      <c r="AQ694" s="372"/>
      <c r="AR694" s="372"/>
      <c r="AS694" s="372"/>
      <c r="AT694" s="372"/>
      <c r="AU694" s="372"/>
      <c r="AV694" s="372"/>
      <c r="AW694" s="372"/>
      <c r="AX694" s="372"/>
      <c r="AY694" s="372"/>
      <c r="AZ694" s="372"/>
      <c r="BA694" s="372"/>
      <c r="BB694" s="372"/>
      <c r="BC694" s="372"/>
      <c r="BD694" s="372"/>
      <c r="BE694" s="372"/>
      <c r="BF694" s="372"/>
      <c r="BG694" s="372"/>
      <c r="BH694" s="372"/>
    </row>
    <row r="695" spans="1:60" s="2" customFormat="1" ht="15.75" thickBot="1" x14ac:dyDescent="0.3">
      <c r="A695" s="394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5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7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4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5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7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5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7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5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7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71"/>
      <c r="Q698" s="371"/>
      <c r="R698" s="371"/>
      <c r="S698" s="371"/>
      <c r="T698" s="371"/>
      <c r="U698" s="371"/>
      <c r="V698" s="371"/>
      <c r="W698" s="371"/>
      <c r="X698" s="371"/>
      <c r="Y698" s="371"/>
      <c r="Z698" s="371"/>
      <c r="AA698" s="371"/>
      <c r="AB698" s="371"/>
      <c r="AC698" s="371"/>
      <c r="AD698" s="371"/>
      <c r="AE698" s="371"/>
      <c r="AF698" s="371"/>
      <c r="AG698" s="371"/>
      <c r="AH698" s="371"/>
      <c r="AI698" s="371"/>
      <c r="AJ698" s="371"/>
      <c r="AK698" s="371"/>
      <c r="AL698" s="371"/>
      <c r="AM698" s="371"/>
      <c r="AN698" s="371"/>
      <c r="AO698" s="371"/>
      <c r="AP698" s="371"/>
      <c r="AQ698" s="371"/>
      <c r="AR698" s="371"/>
      <c r="AS698" s="371"/>
      <c r="AT698" s="371"/>
      <c r="AU698" s="371"/>
      <c r="AV698" s="371"/>
      <c r="AW698" s="371"/>
      <c r="AX698" s="371"/>
      <c r="AY698" s="371"/>
      <c r="AZ698" s="371"/>
      <c r="BA698" s="371"/>
      <c r="BB698" s="371"/>
      <c r="BC698" s="371"/>
      <c r="BD698" s="371"/>
      <c r="BE698" s="371"/>
      <c r="BF698" s="371"/>
      <c r="BG698" s="371"/>
      <c r="BH698" s="371"/>
    </row>
    <row r="699" spans="1:60" s="361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5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7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2"/>
      <c r="Q699" s="372"/>
      <c r="R699" s="372"/>
      <c r="S699" s="372"/>
      <c r="T699" s="372"/>
      <c r="U699" s="372"/>
      <c r="V699" s="372"/>
      <c r="W699" s="372"/>
      <c r="X699" s="372"/>
      <c r="Y699" s="372"/>
      <c r="Z699" s="372"/>
      <c r="AA699" s="372"/>
      <c r="AB699" s="372"/>
      <c r="AC699" s="372"/>
      <c r="AD699" s="372"/>
      <c r="AE699" s="372"/>
      <c r="AF699" s="372"/>
      <c r="AG699" s="372"/>
      <c r="AH699" s="372"/>
      <c r="AI699" s="372"/>
      <c r="AJ699" s="372"/>
      <c r="AK699" s="372"/>
      <c r="AL699" s="372"/>
      <c r="AM699" s="372"/>
      <c r="AN699" s="372"/>
      <c r="AO699" s="372"/>
      <c r="AP699" s="372"/>
      <c r="AQ699" s="372"/>
      <c r="AR699" s="372"/>
      <c r="AS699" s="372"/>
      <c r="AT699" s="372"/>
      <c r="AU699" s="372"/>
      <c r="AV699" s="372"/>
      <c r="AW699" s="372"/>
      <c r="AX699" s="372"/>
      <c r="AY699" s="372"/>
      <c r="AZ699" s="372"/>
      <c r="BA699" s="372"/>
      <c r="BB699" s="372"/>
      <c r="BC699" s="372"/>
      <c r="BD699" s="372"/>
      <c r="BE699" s="372"/>
      <c r="BF699" s="372"/>
      <c r="BG699" s="372"/>
      <c r="BH699" s="372"/>
    </row>
    <row r="700" spans="1:60" s="2" customFormat="1" ht="15.75" thickBot="1" x14ac:dyDescent="0.3">
      <c r="A700" s="394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5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7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71"/>
      <c r="Q700" s="371"/>
      <c r="R700" s="371"/>
      <c r="S700" s="371"/>
      <c r="T700" s="371"/>
      <c r="U700" s="371"/>
      <c r="V700" s="371"/>
      <c r="W700" s="371"/>
      <c r="X700" s="371"/>
      <c r="Y700" s="371"/>
      <c r="Z700" s="371"/>
      <c r="AA700" s="371"/>
      <c r="AB700" s="371"/>
      <c r="AC700" s="371"/>
      <c r="AD700" s="371"/>
      <c r="AE700" s="371"/>
      <c r="AF700" s="371"/>
      <c r="AG700" s="371"/>
      <c r="AH700" s="371"/>
      <c r="AI700" s="371"/>
      <c r="AJ700" s="371"/>
      <c r="AK700" s="371"/>
      <c r="AL700" s="371"/>
      <c r="AM700" s="371"/>
      <c r="AN700" s="371"/>
      <c r="AO700" s="371"/>
      <c r="AP700" s="371"/>
      <c r="AQ700" s="371"/>
      <c r="AR700" s="371"/>
      <c r="AS700" s="371"/>
      <c r="AT700" s="371"/>
      <c r="AU700" s="371"/>
      <c r="AV700" s="371"/>
      <c r="AW700" s="371"/>
      <c r="AX700" s="371"/>
      <c r="AY700" s="371"/>
      <c r="AZ700" s="371"/>
      <c r="BA700" s="371"/>
      <c r="BB700" s="371"/>
      <c r="BC700" s="371"/>
      <c r="BD700" s="371"/>
      <c r="BE700" s="371"/>
      <c r="BF700" s="371"/>
      <c r="BG700" s="371"/>
      <c r="BH700" s="371"/>
    </row>
    <row r="701" spans="1:60" s="361" customFormat="1" ht="15.75" thickBot="1" x14ac:dyDescent="0.3">
      <c r="A701" s="394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5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7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2"/>
      <c r="Q701" s="372"/>
      <c r="R701" s="372"/>
      <c r="S701" s="372"/>
      <c r="T701" s="372"/>
      <c r="U701" s="372"/>
      <c r="V701" s="372"/>
      <c r="W701" s="372"/>
      <c r="X701" s="372"/>
      <c r="Y701" s="372"/>
      <c r="Z701" s="372"/>
      <c r="AA701" s="372"/>
      <c r="AB701" s="372"/>
      <c r="AC701" s="372"/>
      <c r="AD701" s="372"/>
      <c r="AE701" s="372"/>
      <c r="AF701" s="372"/>
      <c r="AG701" s="372"/>
      <c r="AH701" s="372"/>
      <c r="AI701" s="372"/>
      <c r="AJ701" s="372"/>
      <c r="AK701" s="372"/>
      <c r="AL701" s="372"/>
      <c r="AM701" s="372"/>
      <c r="AN701" s="372"/>
      <c r="AO701" s="372"/>
      <c r="AP701" s="372"/>
      <c r="AQ701" s="372"/>
      <c r="AR701" s="372"/>
      <c r="AS701" s="372"/>
      <c r="AT701" s="372"/>
      <c r="AU701" s="372"/>
      <c r="AV701" s="372"/>
      <c r="AW701" s="372"/>
      <c r="AX701" s="372"/>
      <c r="AY701" s="372"/>
      <c r="AZ701" s="372"/>
      <c r="BA701" s="372"/>
      <c r="BB701" s="372"/>
      <c r="BC701" s="372"/>
      <c r="BD701" s="372"/>
      <c r="BE701" s="372"/>
      <c r="BF701" s="372"/>
      <c r="BG701" s="372"/>
      <c r="BH701" s="372"/>
    </row>
    <row r="702" spans="1:60" s="2" customFormat="1" ht="15.75" thickBot="1" x14ac:dyDescent="0.3">
      <c r="A702" s="394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5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7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4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5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7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61" customFormat="1" ht="15.75" thickBot="1" x14ac:dyDescent="0.3">
      <c r="A704" s="394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5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7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2"/>
      <c r="Q704" s="372"/>
      <c r="R704" s="372"/>
      <c r="S704" s="372"/>
      <c r="T704" s="372"/>
      <c r="U704" s="372"/>
      <c r="V704" s="372"/>
      <c r="W704" s="372"/>
      <c r="X704" s="372"/>
      <c r="Y704" s="372"/>
      <c r="Z704" s="372"/>
      <c r="AA704" s="372"/>
      <c r="AB704" s="372"/>
      <c r="AC704" s="372"/>
      <c r="AD704" s="372"/>
      <c r="AE704" s="372"/>
      <c r="AF704" s="372"/>
      <c r="AG704" s="372"/>
      <c r="AH704" s="372"/>
      <c r="AI704" s="372"/>
      <c r="AJ704" s="372"/>
      <c r="AK704" s="372"/>
      <c r="AL704" s="372"/>
      <c r="AM704" s="372"/>
      <c r="AN704" s="372"/>
      <c r="AO704" s="372"/>
      <c r="AP704" s="372"/>
      <c r="AQ704" s="372"/>
      <c r="AR704" s="372"/>
      <c r="AS704" s="372"/>
      <c r="AT704" s="372"/>
      <c r="AU704" s="372"/>
      <c r="AV704" s="372"/>
      <c r="AW704" s="372"/>
      <c r="AX704" s="372"/>
      <c r="AY704" s="372"/>
      <c r="AZ704" s="372"/>
      <c r="BA704" s="372"/>
      <c r="BB704" s="372"/>
      <c r="BC704" s="372"/>
      <c r="BD704" s="372"/>
      <c r="BE704" s="372"/>
      <c r="BF704" s="372"/>
      <c r="BG704" s="372"/>
      <c r="BH704" s="372"/>
    </row>
    <row r="705" spans="1:60" s="2" customFormat="1" ht="15.75" thickBot="1" x14ac:dyDescent="0.3">
      <c r="A705" s="394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5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7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4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5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7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5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7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5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7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71"/>
      <c r="Q708" s="371"/>
      <c r="R708" s="371"/>
      <c r="S708" s="371"/>
      <c r="T708" s="371"/>
      <c r="U708" s="371"/>
      <c r="V708" s="371"/>
      <c r="W708" s="371"/>
      <c r="X708" s="371"/>
      <c r="Y708" s="371"/>
      <c r="Z708" s="371"/>
      <c r="AA708" s="371"/>
      <c r="AB708" s="371"/>
      <c r="AC708" s="371"/>
      <c r="AD708" s="371"/>
      <c r="AE708" s="371"/>
      <c r="AF708" s="371"/>
      <c r="AG708" s="371"/>
      <c r="AH708" s="371"/>
      <c r="AI708" s="371"/>
      <c r="AJ708" s="371"/>
      <c r="AK708" s="371"/>
      <c r="AL708" s="371"/>
      <c r="AM708" s="371"/>
      <c r="AN708" s="371"/>
      <c r="AO708" s="371"/>
      <c r="AP708" s="371"/>
      <c r="AQ708" s="371"/>
      <c r="AR708" s="371"/>
      <c r="AS708" s="371"/>
      <c r="AT708" s="371"/>
      <c r="AU708" s="371"/>
      <c r="AV708" s="371"/>
      <c r="AW708" s="371"/>
      <c r="AX708" s="371"/>
      <c r="AY708" s="371"/>
      <c r="AZ708" s="371"/>
      <c r="BA708" s="371"/>
      <c r="BB708" s="371"/>
      <c r="BC708" s="371"/>
      <c r="BD708" s="371"/>
      <c r="BE708" s="371"/>
      <c r="BF708" s="371"/>
      <c r="BG708" s="371"/>
      <c r="BH708" s="371"/>
    </row>
    <row r="709" spans="1:60" s="2" customFormat="1" ht="15.75" thickBot="1" x14ac:dyDescent="0.3">
      <c r="A709" s="394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5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7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71"/>
      <c r="Q709" s="371"/>
      <c r="R709" s="371"/>
      <c r="S709" s="371"/>
      <c r="T709" s="371"/>
      <c r="U709" s="371"/>
      <c r="V709" s="371"/>
      <c r="W709" s="371"/>
      <c r="X709" s="371"/>
      <c r="Y709" s="371"/>
      <c r="Z709" s="371"/>
      <c r="AA709" s="371"/>
      <c r="AB709" s="371"/>
      <c r="AC709" s="371"/>
      <c r="AD709" s="371"/>
      <c r="AE709" s="371"/>
      <c r="AF709" s="371"/>
      <c r="AG709" s="371"/>
      <c r="AH709" s="371"/>
      <c r="AI709" s="371"/>
      <c r="AJ709" s="371"/>
      <c r="AK709" s="371"/>
      <c r="AL709" s="371"/>
      <c r="AM709" s="371"/>
      <c r="AN709" s="371"/>
      <c r="AO709" s="371"/>
      <c r="AP709" s="371"/>
      <c r="AQ709" s="371"/>
      <c r="AR709" s="371"/>
      <c r="AS709" s="371"/>
      <c r="AT709" s="371"/>
      <c r="AU709" s="371"/>
      <c r="AV709" s="371"/>
      <c r="AW709" s="371"/>
      <c r="AX709" s="371"/>
      <c r="AY709" s="371"/>
      <c r="AZ709" s="371"/>
      <c r="BA709" s="371"/>
      <c r="BB709" s="371"/>
      <c r="BC709" s="371"/>
      <c r="BD709" s="371"/>
      <c r="BE709" s="371"/>
      <c r="BF709" s="371"/>
      <c r="BG709" s="371"/>
      <c r="BH709" s="371"/>
    </row>
    <row r="710" spans="1:60" s="361" customFormat="1" ht="15.75" thickBot="1" x14ac:dyDescent="0.3">
      <c r="A710" s="394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5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7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2"/>
      <c r="Q710" s="372"/>
      <c r="R710" s="372"/>
      <c r="S710" s="372"/>
      <c r="T710" s="372"/>
      <c r="U710" s="372"/>
      <c r="V710" s="372"/>
      <c r="W710" s="372"/>
      <c r="X710" s="372"/>
      <c r="Y710" s="372"/>
      <c r="Z710" s="372"/>
      <c r="AA710" s="372"/>
      <c r="AB710" s="372"/>
      <c r="AC710" s="372"/>
      <c r="AD710" s="372"/>
      <c r="AE710" s="372"/>
      <c r="AF710" s="372"/>
      <c r="AG710" s="372"/>
      <c r="AH710" s="372"/>
      <c r="AI710" s="372"/>
      <c r="AJ710" s="372"/>
      <c r="AK710" s="372"/>
      <c r="AL710" s="372"/>
      <c r="AM710" s="372"/>
      <c r="AN710" s="372"/>
      <c r="AO710" s="372"/>
      <c r="AP710" s="372"/>
      <c r="AQ710" s="372"/>
      <c r="AR710" s="372"/>
      <c r="AS710" s="372"/>
      <c r="AT710" s="372"/>
      <c r="AU710" s="372"/>
      <c r="AV710" s="372"/>
      <c r="AW710" s="372"/>
      <c r="AX710" s="372"/>
      <c r="AY710" s="372"/>
      <c r="AZ710" s="372"/>
      <c r="BA710" s="372"/>
      <c r="BB710" s="372"/>
      <c r="BC710" s="372"/>
      <c r="BD710" s="372"/>
      <c r="BE710" s="372"/>
      <c r="BF710" s="372"/>
      <c r="BG710" s="372"/>
      <c r="BH710" s="372"/>
    </row>
    <row r="711" spans="1:60" s="2" customFormat="1" ht="15.75" thickBot="1" x14ac:dyDescent="0.3">
      <c r="A711" s="394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5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7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4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5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7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61" customFormat="1" ht="15.75" thickBot="1" x14ac:dyDescent="0.3">
      <c r="A713" s="394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5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7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2"/>
      <c r="Q713" s="372"/>
      <c r="R713" s="372"/>
      <c r="S713" s="372"/>
      <c r="T713" s="372"/>
      <c r="U713" s="372"/>
      <c r="V713" s="372"/>
      <c r="W713" s="372"/>
      <c r="X713" s="372"/>
      <c r="Y713" s="372"/>
      <c r="Z713" s="372"/>
      <c r="AA713" s="372"/>
      <c r="AB713" s="372"/>
      <c r="AC713" s="372"/>
      <c r="AD713" s="372"/>
      <c r="AE713" s="372"/>
      <c r="AF713" s="372"/>
      <c r="AG713" s="372"/>
      <c r="AH713" s="372"/>
      <c r="AI713" s="372"/>
      <c r="AJ713" s="372"/>
      <c r="AK713" s="372"/>
      <c r="AL713" s="372"/>
      <c r="AM713" s="372"/>
      <c r="AN713" s="372"/>
      <c r="AO713" s="372"/>
      <c r="AP713" s="372"/>
      <c r="AQ713" s="372"/>
      <c r="AR713" s="372"/>
      <c r="AS713" s="372"/>
      <c r="AT713" s="372"/>
      <c r="AU713" s="372"/>
      <c r="AV713" s="372"/>
      <c r="AW713" s="372"/>
      <c r="AX713" s="372"/>
      <c r="AY713" s="372"/>
      <c r="AZ713" s="372"/>
      <c r="BA713" s="372"/>
      <c r="BB713" s="372"/>
      <c r="BC713" s="372"/>
      <c r="BD713" s="372"/>
      <c r="BE713" s="372"/>
      <c r="BF713" s="372"/>
      <c r="BG713" s="372"/>
      <c r="BH713" s="372"/>
    </row>
    <row r="714" spans="1:60" s="2" customFormat="1" ht="15.75" thickBot="1" x14ac:dyDescent="0.3">
      <c r="A714" s="394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5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7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4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5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7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5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7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5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7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71"/>
      <c r="Q717" s="371"/>
      <c r="R717" s="371"/>
      <c r="S717" s="371"/>
      <c r="T717" s="371"/>
      <c r="U717" s="371"/>
      <c r="V717" s="371"/>
      <c r="W717" s="371"/>
      <c r="X717" s="371"/>
      <c r="Y717" s="371"/>
      <c r="Z717" s="371"/>
      <c r="AA717" s="371"/>
      <c r="AB717" s="371"/>
      <c r="AC717" s="371"/>
      <c r="AD717" s="371"/>
      <c r="AE717" s="371"/>
      <c r="AF717" s="371"/>
      <c r="AG717" s="371"/>
      <c r="AH717" s="371"/>
      <c r="AI717" s="371"/>
      <c r="AJ717" s="371"/>
      <c r="AK717" s="371"/>
      <c r="AL717" s="371"/>
      <c r="AM717" s="371"/>
      <c r="AN717" s="371"/>
      <c r="AO717" s="371"/>
      <c r="AP717" s="371"/>
      <c r="AQ717" s="371"/>
      <c r="AR717" s="371"/>
      <c r="AS717" s="371"/>
      <c r="AT717" s="371"/>
      <c r="AU717" s="371"/>
      <c r="AV717" s="371"/>
      <c r="AW717" s="371"/>
      <c r="AX717" s="371"/>
      <c r="AY717" s="371"/>
      <c r="AZ717" s="371"/>
      <c r="BA717" s="371"/>
      <c r="BB717" s="371"/>
      <c r="BC717" s="371"/>
      <c r="BD717" s="371"/>
      <c r="BE717" s="371"/>
      <c r="BF717" s="371"/>
      <c r="BG717" s="371"/>
      <c r="BH717" s="371"/>
    </row>
    <row r="718" spans="1:60" s="361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5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7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2"/>
      <c r="Q718" s="372"/>
      <c r="R718" s="372"/>
      <c r="S718" s="372"/>
      <c r="T718" s="372"/>
      <c r="U718" s="372"/>
      <c r="V718" s="372"/>
      <c r="W718" s="372"/>
      <c r="X718" s="372"/>
      <c r="Y718" s="372"/>
      <c r="Z718" s="372"/>
      <c r="AA718" s="372"/>
      <c r="AB718" s="372"/>
      <c r="AC718" s="372"/>
      <c r="AD718" s="372"/>
      <c r="AE718" s="372"/>
      <c r="AF718" s="372"/>
      <c r="AG718" s="372"/>
      <c r="AH718" s="372"/>
      <c r="AI718" s="372"/>
      <c r="AJ718" s="372"/>
      <c r="AK718" s="372"/>
      <c r="AL718" s="372"/>
      <c r="AM718" s="372"/>
      <c r="AN718" s="372"/>
      <c r="AO718" s="372"/>
      <c r="AP718" s="372"/>
      <c r="AQ718" s="372"/>
      <c r="AR718" s="372"/>
      <c r="AS718" s="372"/>
      <c r="AT718" s="372"/>
      <c r="AU718" s="372"/>
      <c r="AV718" s="372"/>
      <c r="AW718" s="372"/>
      <c r="AX718" s="372"/>
      <c r="AY718" s="372"/>
      <c r="AZ718" s="372"/>
      <c r="BA718" s="372"/>
      <c r="BB718" s="372"/>
      <c r="BC718" s="372"/>
      <c r="BD718" s="372"/>
      <c r="BE718" s="372"/>
      <c r="BF718" s="372"/>
      <c r="BG718" s="372"/>
      <c r="BH718" s="372"/>
    </row>
    <row r="719" spans="1:60" s="2" customFormat="1" ht="15.75" thickBot="1" x14ac:dyDescent="0.3">
      <c r="A719" s="394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5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7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71"/>
      <c r="Q719" s="371"/>
      <c r="R719" s="371"/>
      <c r="S719" s="371"/>
      <c r="T719" s="371"/>
      <c r="U719" s="371"/>
      <c r="V719" s="371"/>
      <c r="W719" s="371"/>
      <c r="X719" s="371"/>
      <c r="Y719" s="371"/>
      <c r="Z719" s="371"/>
      <c r="AA719" s="371"/>
      <c r="AB719" s="371"/>
      <c r="AC719" s="371"/>
      <c r="AD719" s="371"/>
      <c r="AE719" s="371"/>
      <c r="AF719" s="371"/>
      <c r="AG719" s="371"/>
      <c r="AH719" s="371"/>
      <c r="AI719" s="371"/>
      <c r="AJ719" s="371"/>
      <c r="AK719" s="371"/>
      <c r="AL719" s="371"/>
      <c r="AM719" s="371"/>
      <c r="AN719" s="371"/>
      <c r="AO719" s="371"/>
      <c r="AP719" s="371"/>
      <c r="AQ719" s="371"/>
      <c r="AR719" s="371"/>
      <c r="AS719" s="371"/>
      <c r="AT719" s="371"/>
      <c r="AU719" s="371"/>
      <c r="AV719" s="371"/>
      <c r="AW719" s="371"/>
      <c r="AX719" s="371"/>
      <c r="AY719" s="371"/>
      <c r="AZ719" s="371"/>
      <c r="BA719" s="371"/>
      <c r="BB719" s="371"/>
      <c r="BC719" s="371"/>
      <c r="BD719" s="371"/>
      <c r="BE719" s="371"/>
      <c r="BF719" s="371"/>
      <c r="BG719" s="371"/>
      <c r="BH719" s="371"/>
    </row>
    <row r="720" spans="1:60" s="361" customFormat="1" ht="15.75" thickBot="1" x14ac:dyDescent="0.3">
      <c r="A720" s="394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5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7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2"/>
      <c r="Q720" s="372"/>
      <c r="R720" s="372"/>
      <c r="S720" s="372"/>
      <c r="T720" s="372"/>
      <c r="U720" s="372"/>
      <c r="V720" s="372"/>
      <c r="W720" s="372"/>
      <c r="X720" s="372"/>
      <c r="Y720" s="372"/>
      <c r="Z720" s="372"/>
      <c r="AA720" s="372"/>
      <c r="AB720" s="372"/>
      <c r="AC720" s="372"/>
      <c r="AD720" s="372"/>
      <c r="AE720" s="372"/>
      <c r="AF720" s="372"/>
      <c r="AG720" s="372"/>
      <c r="AH720" s="372"/>
      <c r="AI720" s="372"/>
      <c r="AJ720" s="372"/>
      <c r="AK720" s="372"/>
      <c r="AL720" s="372"/>
      <c r="AM720" s="372"/>
      <c r="AN720" s="372"/>
      <c r="AO720" s="372"/>
      <c r="AP720" s="372"/>
      <c r="AQ720" s="372"/>
      <c r="AR720" s="372"/>
      <c r="AS720" s="372"/>
      <c r="AT720" s="372"/>
      <c r="AU720" s="372"/>
      <c r="AV720" s="372"/>
      <c r="AW720" s="372"/>
      <c r="AX720" s="372"/>
      <c r="AY720" s="372"/>
      <c r="AZ720" s="372"/>
      <c r="BA720" s="372"/>
      <c r="BB720" s="372"/>
      <c r="BC720" s="372"/>
      <c r="BD720" s="372"/>
      <c r="BE720" s="372"/>
      <c r="BF720" s="372"/>
      <c r="BG720" s="372"/>
      <c r="BH720" s="372"/>
    </row>
    <row r="721" spans="1:60" s="2" customFormat="1" ht="15.75" thickBot="1" x14ac:dyDescent="0.3">
      <c r="A721" s="394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5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7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4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5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7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61" customFormat="1" ht="15.75" thickBot="1" x14ac:dyDescent="0.3">
      <c r="A723" s="394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5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7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2"/>
      <c r="Q723" s="372"/>
      <c r="R723" s="372"/>
      <c r="S723" s="372"/>
      <c r="T723" s="372"/>
      <c r="U723" s="372"/>
      <c r="V723" s="372"/>
      <c r="W723" s="372"/>
      <c r="X723" s="372"/>
      <c r="Y723" s="372"/>
      <c r="Z723" s="372"/>
      <c r="AA723" s="372"/>
      <c r="AB723" s="372"/>
      <c r="AC723" s="372"/>
      <c r="AD723" s="372"/>
      <c r="AE723" s="372"/>
      <c r="AF723" s="372"/>
      <c r="AG723" s="372"/>
      <c r="AH723" s="372"/>
      <c r="AI723" s="372"/>
      <c r="AJ723" s="372"/>
      <c r="AK723" s="372"/>
      <c r="AL723" s="372"/>
      <c r="AM723" s="372"/>
      <c r="AN723" s="372"/>
      <c r="AO723" s="372"/>
      <c r="AP723" s="372"/>
      <c r="AQ723" s="372"/>
      <c r="AR723" s="372"/>
      <c r="AS723" s="372"/>
      <c r="AT723" s="372"/>
      <c r="AU723" s="372"/>
      <c r="AV723" s="372"/>
      <c r="AW723" s="372"/>
      <c r="AX723" s="372"/>
      <c r="AY723" s="372"/>
      <c r="AZ723" s="372"/>
      <c r="BA723" s="372"/>
      <c r="BB723" s="372"/>
      <c r="BC723" s="372"/>
      <c r="BD723" s="372"/>
      <c r="BE723" s="372"/>
      <c r="BF723" s="372"/>
      <c r="BG723" s="372"/>
      <c r="BH723" s="372"/>
    </row>
    <row r="724" spans="1:60" s="2" customFormat="1" ht="15.75" thickBot="1" x14ac:dyDescent="0.3">
      <c r="A724" s="394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5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7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4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5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7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5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7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5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7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71"/>
      <c r="Q727" s="371"/>
      <c r="R727" s="371"/>
      <c r="S727" s="371"/>
      <c r="T727" s="371"/>
      <c r="U727" s="371"/>
      <c r="V727" s="371"/>
      <c r="W727" s="371"/>
      <c r="X727" s="371"/>
      <c r="Y727" s="371"/>
      <c r="Z727" s="371"/>
      <c r="AA727" s="371"/>
      <c r="AB727" s="371"/>
      <c r="AC727" s="371"/>
      <c r="AD727" s="371"/>
      <c r="AE727" s="371"/>
      <c r="AF727" s="371"/>
      <c r="AG727" s="371"/>
      <c r="AH727" s="371"/>
      <c r="AI727" s="371"/>
      <c r="AJ727" s="371"/>
      <c r="AK727" s="371"/>
      <c r="AL727" s="371"/>
      <c r="AM727" s="371"/>
      <c r="AN727" s="371"/>
      <c r="AO727" s="371"/>
      <c r="AP727" s="371"/>
      <c r="AQ727" s="371"/>
      <c r="AR727" s="371"/>
      <c r="AS727" s="371"/>
      <c r="AT727" s="371"/>
      <c r="AU727" s="371"/>
      <c r="AV727" s="371"/>
      <c r="AW727" s="371"/>
      <c r="AX727" s="371"/>
      <c r="AY727" s="371"/>
      <c r="AZ727" s="371"/>
      <c r="BA727" s="371"/>
      <c r="BB727" s="371"/>
      <c r="BC727" s="371"/>
      <c r="BD727" s="371"/>
      <c r="BE727" s="371"/>
      <c r="BF727" s="371"/>
      <c r="BG727" s="371"/>
      <c r="BH727" s="371"/>
    </row>
    <row r="728" spans="1:60" s="2" customFormat="1" ht="15.75" thickBot="1" x14ac:dyDescent="0.3">
      <c r="A728" s="394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5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7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  <c r="AG728" s="371"/>
      <c r="AH728" s="371"/>
      <c r="AI728" s="371"/>
      <c r="AJ728" s="371"/>
      <c r="AK728" s="371"/>
      <c r="AL728" s="371"/>
      <c r="AM728" s="371"/>
      <c r="AN728" s="371"/>
      <c r="AO728" s="371"/>
      <c r="AP728" s="371"/>
      <c r="AQ728" s="371"/>
      <c r="AR728" s="371"/>
      <c r="AS728" s="371"/>
      <c r="AT728" s="371"/>
      <c r="AU728" s="371"/>
      <c r="AV728" s="371"/>
      <c r="AW728" s="371"/>
      <c r="AX728" s="371"/>
      <c r="AY728" s="371"/>
      <c r="AZ728" s="371"/>
      <c r="BA728" s="371"/>
      <c r="BB728" s="371"/>
      <c r="BC728" s="371"/>
      <c r="BD728" s="371"/>
      <c r="BE728" s="371"/>
      <c r="BF728" s="371"/>
      <c r="BG728" s="371"/>
      <c r="BH728" s="371"/>
    </row>
    <row r="729" spans="1:60" s="361" customFormat="1" ht="15.75" thickBot="1" x14ac:dyDescent="0.3">
      <c r="A729" s="394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5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7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2"/>
      <c r="Q729" s="372"/>
      <c r="R729" s="372"/>
      <c r="S729" s="372"/>
      <c r="T729" s="372"/>
      <c r="U729" s="372"/>
      <c r="V729" s="372"/>
      <c r="W729" s="372"/>
      <c r="X729" s="372"/>
      <c r="Y729" s="372"/>
      <c r="Z729" s="372"/>
      <c r="AA729" s="372"/>
      <c r="AB729" s="372"/>
      <c r="AC729" s="372"/>
      <c r="AD729" s="372"/>
      <c r="AE729" s="372"/>
      <c r="AF729" s="372"/>
      <c r="AG729" s="372"/>
      <c r="AH729" s="372"/>
      <c r="AI729" s="372"/>
      <c r="AJ729" s="372"/>
      <c r="AK729" s="372"/>
      <c r="AL729" s="372"/>
      <c r="AM729" s="372"/>
      <c r="AN729" s="372"/>
      <c r="AO729" s="372"/>
      <c r="AP729" s="372"/>
      <c r="AQ729" s="372"/>
      <c r="AR729" s="372"/>
      <c r="AS729" s="372"/>
      <c r="AT729" s="372"/>
      <c r="AU729" s="372"/>
      <c r="AV729" s="372"/>
      <c r="AW729" s="372"/>
      <c r="AX729" s="372"/>
      <c r="AY729" s="372"/>
      <c r="AZ729" s="372"/>
      <c r="BA729" s="372"/>
      <c r="BB729" s="372"/>
      <c r="BC729" s="372"/>
      <c r="BD729" s="372"/>
      <c r="BE729" s="372"/>
      <c r="BF729" s="372"/>
      <c r="BG729" s="372"/>
      <c r="BH729" s="372"/>
    </row>
    <row r="730" spans="1:60" s="2" customFormat="1" ht="15.75" thickBot="1" x14ac:dyDescent="0.3">
      <c r="A730" s="394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5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7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4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5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7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61" customFormat="1" ht="15.75" thickBot="1" x14ac:dyDescent="0.3">
      <c r="A732" s="394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5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7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2"/>
      <c r="Q732" s="372"/>
      <c r="R732" s="372"/>
      <c r="S732" s="372"/>
      <c r="T732" s="372"/>
      <c r="U732" s="372"/>
      <c r="V732" s="372"/>
      <c r="W732" s="372"/>
      <c r="X732" s="372"/>
      <c r="Y732" s="372"/>
      <c r="Z732" s="372"/>
      <c r="AA732" s="372"/>
      <c r="AB732" s="372"/>
      <c r="AC732" s="372"/>
      <c r="AD732" s="372"/>
      <c r="AE732" s="372"/>
      <c r="AF732" s="372"/>
      <c r="AG732" s="372"/>
      <c r="AH732" s="372"/>
      <c r="AI732" s="372"/>
      <c r="AJ732" s="372"/>
      <c r="AK732" s="372"/>
      <c r="AL732" s="372"/>
      <c r="AM732" s="372"/>
      <c r="AN732" s="372"/>
      <c r="AO732" s="372"/>
      <c r="AP732" s="372"/>
      <c r="AQ732" s="372"/>
      <c r="AR732" s="372"/>
      <c r="AS732" s="372"/>
      <c r="AT732" s="372"/>
      <c r="AU732" s="372"/>
      <c r="AV732" s="372"/>
      <c r="AW732" s="372"/>
      <c r="AX732" s="372"/>
      <c r="AY732" s="372"/>
      <c r="AZ732" s="372"/>
      <c r="BA732" s="372"/>
      <c r="BB732" s="372"/>
      <c r="BC732" s="372"/>
      <c r="BD732" s="372"/>
      <c r="BE732" s="372"/>
      <c r="BF732" s="372"/>
      <c r="BG732" s="372"/>
      <c r="BH732" s="372"/>
    </row>
    <row r="733" spans="1:60" s="2" customFormat="1" ht="15.75" thickBot="1" x14ac:dyDescent="0.3">
      <c r="A733" s="394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5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7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4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5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7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5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7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5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7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71"/>
      <c r="Q736" s="371"/>
      <c r="R736" s="371"/>
      <c r="S736" s="371"/>
      <c r="T736" s="371"/>
      <c r="U736" s="371"/>
      <c r="V736" s="371"/>
      <c r="W736" s="371"/>
      <c r="X736" s="371"/>
      <c r="Y736" s="371"/>
      <c r="Z736" s="371"/>
      <c r="AA736" s="371"/>
      <c r="AB736" s="371"/>
      <c r="AC736" s="371"/>
      <c r="AD736" s="371"/>
      <c r="AE736" s="371"/>
      <c r="AF736" s="371"/>
      <c r="AG736" s="371"/>
      <c r="AH736" s="371"/>
      <c r="AI736" s="371"/>
      <c r="AJ736" s="371"/>
      <c r="AK736" s="371"/>
      <c r="AL736" s="371"/>
      <c r="AM736" s="371"/>
      <c r="AN736" s="371"/>
      <c r="AO736" s="371"/>
      <c r="AP736" s="371"/>
      <c r="AQ736" s="371"/>
      <c r="AR736" s="371"/>
      <c r="AS736" s="371"/>
      <c r="AT736" s="371"/>
      <c r="AU736" s="371"/>
      <c r="AV736" s="371"/>
      <c r="AW736" s="371"/>
      <c r="AX736" s="371"/>
      <c r="AY736" s="371"/>
      <c r="AZ736" s="371"/>
      <c r="BA736" s="371"/>
      <c r="BB736" s="371"/>
      <c r="BC736" s="371"/>
      <c r="BD736" s="371"/>
      <c r="BE736" s="371"/>
      <c r="BF736" s="371"/>
      <c r="BG736" s="371"/>
      <c r="BH736" s="371"/>
    </row>
    <row r="737" spans="1:60" s="361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5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7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2"/>
      <c r="Q737" s="372"/>
      <c r="R737" s="372"/>
      <c r="S737" s="372"/>
      <c r="T737" s="372"/>
      <c r="U737" s="372"/>
      <c r="V737" s="372"/>
      <c r="W737" s="372"/>
      <c r="X737" s="372"/>
      <c r="Y737" s="372"/>
      <c r="Z737" s="372"/>
      <c r="AA737" s="372"/>
      <c r="AB737" s="372"/>
      <c r="AC737" s="372"/>
      <c r="AD737" s="372"/>
      <c r="AE737" s="372"/>
      <c r="AF737" s="372"/>
      <c r="AG737" s="372"/>
      <c r="AH737" s="372"/>
      <c r="AI737" s="372"/>
      <c r="AJ737" s="372"/>
      <c r="AK737" s="372"/>
      <c r="AL737" s="372"/>
      <c r="AM737" s="372"/>
      <c r="AN737" s="372"/>
      <c r="AO737" s="372"/>
      <c r="AP737" s="372"/>
      <c r="AQ737" s="372"/>
      <c r="AR737" s="372"/>
      <c r="AS737" s="372"/>
      <c r="AT737" s="372"/>
      <c r="AU737" s="372"/>
      <c r="AV737" s="372"/>
      <c r="AW737" s="372"/>
      <c r="AX737" s="372"/>
      <c r="AY737" s="372"/>
      <c r="AZ737" s="372"/>
      <c r="BA737" s="372"/>
      <c r="BB737" s="372"/>
      <c r="BC737" s="372"/>
      <c r="BD737" s="372"/>
      <c r="BE737" s="372"/>
      <c r="BF737" s="372"/>
      <c r="BG737" s="372"/>
      <c r="BH737" s="372"/>
    </row>
    <row r="738" spans="1:60" s="2" customFormat="1" ht="15.75" thickBot="1" x14ac:dyDescent="0.3">
      <c r="A738" s="394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5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7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71"/>
      <c r="Q738" s="371"/>
      <c r="R738" s="371"/>
      <c r="S738" s="371"/>
      <c r="T738" s="371"/>
      <c r="U738" s="371"/>
      <c r="V738" s="371"/>
      <c r="W738" s="371"/>
      <c r="X738" s="371"/>
      <c r="Y738" s="371"/>
      <c r="Z738" s="371"/>
      <c r="AA738" s="371"/>
      <c r="AB738" s="371"/>
      <c r="AC738" s="371"/>
      <c r="AD738" s="371"/>
      <c r="AE738" s="371"/>
      <c r="AF738" s="371"/>
      <c r="AG738" s="371"/>
      <c r="AH738" s="371"/>
      <c r="AI738" s="371"/>
      <c r="AJ738" s="371"/>
      <c r="AK738" s="371"/>
      <c r="AL738" s="371"/>
      <c r="AM738" s="371"/>
      <c r="AN738" s="371"/>
      <c r="AO738" s="371"/>
      <c r="AP738" s="371"/>
      <c r="AQ738" s="371"/>
      <c r="AR738" s="371"/>
      <c r="AS738" s="371"/>
      <c r="AT738" s="371"/>
      <c r="AU738" s="371"/>
      <c r="AV738" s="371"/>
      <c r="AW738" s="371"/>
      <c r="AX738" s="371"/>
      <c r="AY738" s="371"/>
      <c r="AZ738" s="371"/>
      <c r="BA738" s="371"/>
      <c r="BB738" s="371"/>
      <c r="BC738" s="371"/>
      <c r="BD738" s="371"/>
      <c r="BE738" s="371"/>
      <c r="BF738" s="371"/>
      <c r="BG738" s="371"/>
      <c r="BH738" s="371"/>
    </row>
    <row r="739" spans="1:60" s="361" customFormat="1" ht="15.75" thickBot="1" x14ac:dyDescent="0.3">
      <c r="A739" s="394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5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7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2"/>
      <c r="Q739" s="372"/>
      <c r="R739" s="372"/>
      <c r="S739" s="372"/>
      <c r="T739" s="372"/>
      <c r="U739" s="372"/>
      <c r="V739" s="372"/>
      <c r="W739" s="372"/>
      <c r="X739" s="372"/>
      <c r="Y739" s="372"/>
      <c r="Z739" s="372"/>
      <c r="AA739" s="372"/>
      <c r="AB739" s="372"/>
      <c r="AC739" s="372"/>
      <c r="AD739" s="372"/>
      <c r="AE739" s="372"/>
      <c r="AF739" s="372"/>
      <c r="AG739" s="372"/>
      <c r="AH739" s="372"/>
      <c r="AI739" s="372"/>
      <c r="AJ739" s="372"/>
      <c r="AK739" s="372"/>
      <c r="AL739" s="372"/>
      <c r="AM739" s="372"/>
      <c r="AN739" s="372"/>
      <c r="AO739" s="372"/>
      <c r="AP739" s="372"/>
      <c r="AQ739" s="372"/>
      <c r="AR739" s="372"/>
      <c r="AS739" s="372"/>
      <c r="AT739" s="372"/>
      <c r="AU739" s="372"/>
      <c r="AV739" s="372"/>
      <c r="AW739" s="372"/>
      <c r="AX739" s="372"/>
      <c r="AY739" s="372"/>
      <c r="AZ739" s="372"/>
      <c r="BA739" s="372"/>
      <c r="BB739" s="372"/>
      <c r="BC739" s="372"/>
      <c r="BD739" s="372"/>
      <c r="BE739" s="372"/>
      <c r="BF739" s="372"/>
      <c r="BG739" s="372"/>
      <c r="BH739" s="372"/>
    </row>
    <row r="740" spans="1:60" s="2" customFormat="1" ht="15.75" thickBot="1" x14ac:dyDescent="0.3">
      <c r="A740" s="394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5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7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4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5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7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61" customFormat="1" ht="15.75" thickBot="1" x14ac:dyDescent="0.3">
      <c r="A742" s="394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5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7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2"/>
      <c r="Q742" s="372"/>
      <c r="R742" s="372"/>
      <c r="S742" s="372"/>
      <c r="T742" s="372"/>
      <c r="U742" s="372"/>
      <c r="V742" s="372"/>
      <c r="W742" s="372"/>
      <c r="X742" s="372"/>
      <c r="Y742" s="372"/>
      <c r="Z742" s="372"/>
      <c r="AA742" s="372"/>
      <c r="AB742" s="372"/>
      <c r="AC742" s="372"/>
      <c r="AD742" s="372"/>
      <c r="AE742" s="372"/>
      <c r="AF742" s="372"/>
      <c r="AG742" s="372"/>
      <c r="AH742" s="372"/>
      <c r="AI742" s="372"/>
      <c r="AJ742" s="372"/>
      <c r="AK742" s="372"/>
      <c r="AL742" s="372"/>
      <c r="AM742" s="372"/>
      <c r="AN742" s="372"/>
      <c r="AO742" s="372"/>
      <c r="AP742" s="372"/>
      <c r="AQ742" s="372"/>
      <c r="AR742" s="372"/>
      <c r="AS742" s="372"/>
      <c r="AT742" s="372"/>
      <c r="AU742" s="372"/>
      <c r="AV742" s="372"/>
      <c r="AW742" s="372"/>
      <c r="AX742" s="372"/>
      <c r="AY742" s="372"/>
      <c r="AZ742" s="372"/>
      <c r="BA742" s="372"/>
      <c r="BB742" s="372"/>
      <c r="BC742" s="372"/>
      <c r="BD742" s="372"/>
      <c r="BE742" s="372"/>
      <c r="BF742" s="372"/>
      <c r="BG742" s="372"/>
      <c r="BH742" s="372"/>
    </row>
    <row r="743" spans="1:60" s="2" customFormat="1" ht="15.75" thickBot="1" x14ac:dyDescent="0.3">
      <c r="A743" s="394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5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7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4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5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7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5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7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5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7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71"/>
      <c r="Q746" s="371"/>
      <c r="R746" s="371"/>
      <c r="S746" s="371"/>
      <c r="T746" s="371"/>
      <c r="U746" s="371"/>
      <c r="V746" s="371"/>
      <c r="W746" s="371"/>
      <c r="X746" s="371"/>
      <c r="Y746" s="371"/>
      <c r="Z746" s="371"/>
      <c r="AA746" s="371"/>
      <c r="AB746" s="371"/>
      <c r="AC746" s="371"/>
      <c r="AD746" s="371"/>
      <c r="AE746" s="371"/>
      <c r="AF746" s="371"/>
      <c r="AG746" s="371"/>
      <c r="AH746" s="371"/>
      <c r="AI746" s="371"/>
      <c r="AJ746" s="371"/>
      <c r="AK746" s="371"/>
      <c r="AL746" s="371"/>
      <c r="AM746" s="371"/>
      <c r="AN746" s="371"/>
      <c r="AO746" s="371"/>
      <c r="AP746" s="371"/>
      <c r="AQ746" s="371"/>
      <c r="AR746" s="371"/>
      <c r="AS746" s="371"/>
      <c r="AT746" s="371"/>
      <c r="AU746" s="371"/>
      <c r="AV746" s="371"/>
      <c r="AW746" s="371"/>
      <c r="AX746" s="371"/>
      <c r="AY746" s="371"/>
      <c r="AZ746" s="371"/>
      <c r="BA746" s="371"/>
      <c r="BB746" s="371"/>
      <c r="BC746" s="371"/>
      <c r="BD746" s="371"/>
      <c r="BE746" s="371"/>
      <c r="BF746" s="371"/>
      <c r="BG746" s="371"/>
      <c r="BH746" s="371"/>
    </row>
    <row r="747" spans="1:60" s="361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5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7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2"/>
      <c r="Q747" s="372"/>
      <c r="R747" s="372"/>
      <c r="S747" s="372"/>
      <c r="T747" s="372"/>
      <c r="U747" s="372"/>
      <c r="V747" s="372"/>
      <c r="W747" s="372"/>
      <c r="X747" s="372"/>
      <c r="Y747" s="372"/>
      <c r="Z747" s="372"/>
      <c r="AA747" s="372"/>
      <c r="AB747" s="372"/>
      <c r="AC747" s="372"/>
      <c r="AD747" s="372"/>
      <c r="AE747" s="372"/>
      <c r="AF747" s="372"/>
      <c r="AG747" s="372"/>
      <c r="AH747" s="372"/>
      <c r="AI747" s="372"/>
      <c r="AJ747" s="372"/>
      <c r="AK747" s="372"/>
      <c r="AL747" s="372"/>
      <c r="AM747" s="372"/>
      <c r="AN747" s="372"/>
      <c r="AO747" s="372"/>
      <c r="AP747" s="372"/>
      <c r="AQ747" s="372"/>
      <c r="AR747" s="372"/>
      <c r="AS747" s="372"/>
      <c r="AT747" s="372"/>
      <c r="AU747" s="372"/>
      <c r="AV747" s="372"/>
      <c r="AW747" s="372"/>
      <c r="AX747" s="372"/>
      <c r="AY747" s="372"/>
      <c r="AZ747" s="372"/>
      <c r="BA747" s="372"/>
      <c r="BB747" s="372"/>
      <c r="BC747" s="372"/>
      <c r="BD747" s="372"/>
      <c r="BE747" s="372"/>
      <c r="BF747" s="372"/>
      <c r="BG747" s="372"/>
      <c r="BH747" s="372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1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7" t="e">
        <f>K748*VLOOKUP(E748,BD!$A$2:$F$122,6,0)</f>
        <v>#N/A</v>
      </c>
      <c r="N748" s="8">
        <f t="shared" si="37"/>
        <v>1900</v>
      </c>
      <c r="O748" s="110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4" t="s">
        <v>34</v>
      </c>
      <c r="C4" s="114" t="s">
        <v>9</v>
      </c>
      <c r="D4" s="114" t="s">
        <v>85</v>
      </c>
      <c r="E4" s="115" t="s">
        <v>86</v>
      </c>
      <c r="F4" s="116">
        <v>42861</v>
      </c>
      <c r="G4" s="116">
        <v>42863</v>
      </c>
      <c r="H4" s="116">
        <v>42864</v>
      </c>
      <c r="I4" s="116">
        <v>42865</v>
      </c>
      <c r="J4" s="116">
        <v>42866</v>
      </c>
      <c r="K4" s="116">
        <v>42867</v>
      </c>
      <c r="L4" s="116" t="s">
        <v>87</v>
      </c>
      <c r="M4" s="116" t="s">
        <v>88</v>
      </c>
      <c r="N4" s="116" t="s">
        <v>89</v>
      </c>
      <c r="O4" s="117" t="s">
        <v>90</v>
      </c>
    </row>
    <row r="5" spans="2:15" x14ac:dyDescent="0.25">
      <c r="B5" s="118">
        <v>254849</v>
      </c>
      <c r="C5" s="119" t="s">
        <v>0</v>
      </c>
      <c r="D5" s="118"/>
      <c r="E5" s="118"/>
      <c r="F5" s="118">
        <v>1400</v>
      </c>
      <c r="G5" s="118"/>
      <c r="H5" s="120"/>
      <c r="I5" s="120"/>
      <c r="J5" s="120"/>
      <c r="K5" s="120"/>
      <c r="L5" s="118">
        <f>SUM(F5:K5)</f>
        <v>1400</v>
      </c>
      <c r="M5" s="118">
        <f>+SUM(D5:E5)-L5</f>
        <v>-1400</v>
      </c>
      <c r="N5" s="121" t="str">
        <f>IF(L5=0,0,IFERROR(L5/D5,"REQ ADICIONAL"))</f>
        <v>REQ ADICIONAL</v>
      </c>
      <c r="O5" s="122">
        <f>IFERROR(L5/SUM(D5:E5),0)</f>
        <v>0</v>
      </c>
    </row>
    <row r="6" spans="2:15" x14ac:dyDescent="0.25">
      <c r="B6" s="118">
        <v>254851</v>
      </c>
      <c r="C6" s="119" t="s">
        <v>1</v>
      </c>
      <c r="D6" s="118"/>
      <c r="E6" s="118">
        <f>1*180</f>
        <v>180</v>
      </c>
      <c r="F6" s="118"/>
      <c r="G6" s="118"/>
      <c r="H6" s="120"/>
      <c r="I6" s="120"/>
      <c r="J6" s="120">
        <f>1*180</f>
        <v>180</v>
      </c>
      <c r="K6" s="120"/>
      <c r="L6" s="118">
        <f t="shared" ref="L6:L26" si="0">SUM(F6:K6)</f>
        <v>180</v>
      </c>
      <c r="M6" s="118">
        <f t="shared" ref="M6:M27" si="1">+SUM(D6:E6)-L6</f>
        <v>0</v>
      </c>
      <c r="N6" s="121" t="str">
        <f t="shared" ref="N6:N26" si="2">IF(L6=0,0,IFERROR(L6/D6,"REQ ADICIONAL"))</f>
        <v>REQ ADICIONAL</v>
      </c>
      <c r="O6" s="122">
        <f t="shared" ref="O6:O26" si="3">IFERROR(L6/SUM(D6:E6),0)</f>
        <v>1</v>
      </c>
    </row>
    <row r="7" spans="2:15" x14ac:dyDescent="0.25">
      <c r="B7" s="118">
        <v>254853</v>
      </c>
      <c r="C7" s="119" t="s">
        <v>2</v>
      </c>
      <c r="D7" s="118">
        <v>360</v>
      </c>
      <c r="E7" s="118"/>
      <c r="F7" s="118"/>
      <c r="G7" s="118">
        <f>180</f>
        <v>180</v>
      </c>
      <c r="H7" s="120"/>
      <c r="I7" s="120">
        <f>180</f>
        <v>180</v>
      </c>
      <c r="J7" s="120"/>
      <c r="K7" s="120"/>
      <c r="L7" s="118">
        <f t="shared" si="0"/>
        <v>360</v>
      </c>
      <c r="M7" s="118">
        <f t="shared" si="1"/>
        <v>0</v>
      </c>
      <c r="N7" s="121">
        <f t="shared" si="2"/>
        <v>1</v>
      </c>
      <c r="O7" s="122">
        <f t="shared" si="3"/>
        <v>1</v>
      </c>
    </row>
    <row r="8" spans="2:15" x14ac:dyDescent="0.25">
      <c r="B8" s="118">
        <v>254850</v>
      </c>
      <c r="C8" s="119" t="s">
        <v>3</v>
      </c>
      <c r="D8" s="118">
        <v>1380</v>
      </c>
      <c r="E8" s="118"/>
      <c r="F8" s="118">
        <f>360</f>
        <v>360</v>
      </c>
      <c r="G8" s="118">
        <f>120</f>
        <v>120</v>
      </c>
      <c r="H8" s="120">
        <f>3*60</f>
        <v>180</v>
      </c>
      <c r="I8" s="120">
        <f>3*60</f>
        <v>180</v>
      </c>
      <c r="J8" s="120">
        <f>2*60</f>
        <v>120</v>
      </c>
      <c r="K8" s="120">
        <f>2*60</f>
        <v>120</v>
      </c>
      <c r="L8" s="118">
        <f t="shared" si="0"/>
        <v>1080</v>
      </c>
      <c r="M8" s="118">
        <f t="shared" si="1"/>
        <v>300</v>
      </c>
      <c r="N8" s="121">
        <f t="shared" si="2"/>
        <v>0.78260869565217395</v>
      </c>
      <c r="O8" s="122">
        <f t="shared" si="3"/>
        <v>0.78260869565217395</v>
      </c>
    </row>
    <row r="9" spans="2:15" x14ac:dyDescent="0.25">
      <c r="B9" s="123">
        <v>251385</v>
      </c>
      <c r="C9" s="119" t="s">
        <v>4</v>
      </c>
      <c r="D9" s="118"/>
      <c r="E9" s="118">
        <f>5*80+2*80</f>
        <v>560</v>
      </c>
      <c r="F9" s="118"/>
      <c r="G9" s="118"/>
      <c r="H9" s="120"/>
      <c r="I9" s="120">
        <f>5*80</f>
        <v>400</v>
      </c>
      <c r="J9" s="120"/>
      <c r="K9" s="120">
        <f>2*80</f>
        <v>160</v>
      </c>
      <c r="L9" s="118">
        <f t="shared" si="0"/>
        <v>560</v>
      </c>
      <c r="M9" s="118">
        <f t="shared" si="1"/>
        <v>0</v>
      </c>
      <c r="N9" s="121" t="str">
        <f t="shared" si="2"/>
        <v>REQ ADICIONAL</v>
      </c>
      <c r="O9" s="122">
        <f t="shared" si="3"/>
        <v>1</v>
      </c>
    </row>
    <row r="10" spans="2:15" x14ac:dyDescent="0.25">
      <c r="B10" s="123">
        <v>251196</v>
      </c>
      <c r="C10" s="119" t="s">
        <v>5</v>
      </c>
      <c r="D10" s="118">
        <v>160</v>
      </c>
      <c r="E10" s="118">
        <f>2*80+2*80+3*80</f>
        <v>560</v>
      </c>
      <c r="F10" s="118">
        <f>80</f>
        <v>80</v>
      </c>
      <c r="G10" s="118"/>
      <c r="H10" s="120">
        <f>1*80</f>
        <v>80</v>
      </c>
      <c r="I10" s="120">
        <f>2*80</f>
        <v>160</v>
      </c>
      <c r="J10" s="120">
        <f>2*80</f>
        <v>160</v>
      </c>
      <c r="K10" s="120">
        <f>3*80</f>
        <v>240</v>
      </c>
      <c r="L10" s="118">
        <f t="shared" si="0"/>
        <v>720</v>
      </c>
      <c r="M10" s="118">
        <f t="shared" si="1"/>
        <v>0</v>
      </c>
      <c r="N10" s="121">
        <f t="shared" si="2"/>
        <v>4.5</v>
      </c>
      <c r="O10" s="122">
        <f t="shared" si="3"/>
        <v>1</v>
      </c>
    </row>
    <row r="11" spans="2:15" x14ac:dyDescent="0.25">
      <c r="B11" s="123">
        <v>250524</v>
      </c>
      <c r="C11" s="119" t="s">
        <v>6</v>
      </c>
      <c r="D11" s="118">
        <v>480</v>
      </c>
      <c r="E11" s="118">
        <f>4*80+2*80</f>
        <v>480</v>
      </c>
      <c r="F11" s="118">
        <f>160</f>
        <v>160</v>
      </c>
      <c r="G11" s="118"/>
      <c r="H11" s="120">
        <f>3*80</f>
        <v>240</v>
      </c>
      <c r="I11" s="120">
        <f>1*80</f>
        <v>80</v>
      </c>
      <c r="J11" s="120">
        <f>4*80</f>
        <v>320</v>
      </c>
      <c r="K11" s="120">
        <f>2*80</f>
        <v>160</v>
      </c>
      <c r="L11" s="118">
        <f t="shared" si="0"/>
        <v>960</v>
      </c>
      <c r="M11" s="118">
        <f t="shared" si="1"/>
        <v>0</v>
      </c>
      <c r="N11" s="121">
        <f t="shared" si="2"/>
        <v>2</v>
      </c>
      <c r="O11" s="122">
        <f t="shared" si="3"/>
        <v>1</v>
      </c>
    </row>
    <row r="12" spans="2:15" x14ac:dyDescent="0.25">
      <c r="B12" s="123">
        <v>252534</v>
      </c>
      <c r="C12" s="119" t="s">
        <v>7</v>
      </c>
      <c r="D12" s="118">
        <v>1800</v>
      </c>
      <c r="E12" s="118">
        <f>2*225</f>
        <v>450</v>
      </c>
      <c r="F12" s="118">
        <f>225</f>
        <v>225</v>
      </c>
      <c r="G12" s="118">
        <f>2*225</f>
        <v>450</v>
      </c>
      <c r="H12" s="120">
        <f>2*225</f>
        <v>450</v>
      </c>
      <c r="I12" s="120">
        <f>1*225</f>
        <v>225</v>
      </c>
      <c r="J12" s="120">
        <f>2*225</f>
        <v>450</v>
      </c>
      <c r="K12" s="120">
        <f>2*225</f>
        <v>450</v>
      </c>
      <c r="L12" s="118">
        <f t="shared" si="0"/>
        <v>2250</v>
      </c>
      <c r="M12" s="118">
        <f t="shared" si="1"/>
        <v>0</v>
      </c>
      <c r="N12" s="121">
        <f t="shared" si="2"/>
        <v>1.25</v>
      </c>
      <c r="O12" s="122">
        <f t="shared" si="3"/>
        <v>1</v>
      </c>
    </row>
    <row r="13" spans="2:15" x14ac:dyDescent="0.25">
      <c r="B13" s="123">
        <v>251151</v>
      </c>
      <c r="C13" s="119" t="s">
        <v>8</v>
      </c>
      <c r="D13" s="118"/>
      <c r="E13" s="118">
        <f>1*225+1*225+2*225</f>
        <v>900</v>
      </c>
      <c r="F13" s="118"/>
      <c r="G13" s="118"/>
      <c r="H13" s="120"/>
      <c r="I13" s="120">
        <f>1*225</f>
        <v>225</v>
      </c>
      <c r="J13" s="120">
        <f>1*225</f>
        <v>225</v>
      </c>
      <c r="K13" s="120">
        <f>2*225</f>
        <v>450</v>
      </c>
      <c r="L13" s="118">
        <f t="shared" si="0"/>
        <v>900</v>
      </c>
      <c r="M13" s="118">
        <f t="shared" si="1"/>
        <v>0</v>
      </c>
      <c r="N13" s="121" t="str">
        <f t="shared" si="2"/>
        <v>REQ ADICIONAL</v>
      </c>
      <c r="O13" s="122">
        <f t="shared" si="3"/>
        <v>1</v>
      </c>
    </row>
    <row r="14" spans="2:15" x14ac:dyDescent="0.25">
      <c r="B14" s="123">
        <v>254852</v>
      </c>
      <c r="C14" s="119" t="s">
        <v>17</v>
      </c>
      <c r="D14" s="118">
        <v>450</v>
      </c>
      <c r="E14" s="118">
        <f>1*225+1*225</f>
        <v>450</v>
      </c>
      <c r="F14" s="118"/>
      <c r="G14" s="118">
        <f>225</f>
        <v>225</v>
      </c>
      <c r="H14" s="120">
        <v>225</v>
      </c>
      <c r="I14" s="120"/>
      <c r="J14" s="120">
        <f>1*225</f>
        <v>225</v>
      </c>
      <c r="K14" s="120">
        <f>225</f>
        <v>225</v>
      </c>
      <c r="L14" s="118">
        <f t="shared" si="0"/>
        <v>900</v>
      </c>
      <c r="M14" s="118">
        <f t="shared" si="1"/>
        <v>0</v>
      </c>
      <c r="N14" s="121">
        <f t="shared" si="2"/>
        <v>2</v>
      </c>
      <c r="O14" s="122">
        <f t="shared" si="3"/>
        <v>1</v>
      </c>
    </row>
    <row r="15" spans="2:15" x14ac:dyDescent="0.25">
      <c r="B15" s="118">
        <v>255430</v>
      </c>
      <c r="C15" s="119" t="s">
        <v>53</v>
      </c>
      <c r="D15" s="118">
        <v>500</v>
      </c>
      <c r="E15" s="118"/>
      <c r="F15" s="118"/>
      <c r="G15" s="118">
        <f>250</f>
        <v>250</v>
      </c>
      <c r="H15" s="120"/>
      <c r="I15" s="120"/>
      <c r="J15" s="120">
        <f>1*250</f>
        <v>250</v>
      </c>
      <c r="K15" s="120"/>
      <c r="L15" s="118">
        <f t="shared" si="0"/>
        <v>500</v>
      </c>
      <c r="M15" s="118">
        <f t="shared" si="1"/>
        <v>0</v>
      </c>
      <c r="N15" s="121">
        <f t="shared" si="2"/>
        <v>1</v>
      </c>
      <c r="O15" s="122">
        <f t="shared" si="3"/>
        <v>1</v>
      </c>
    </row>
    <row r="16" spans="2:15" x14ac:dyDescent="0.25">
      <c r="B16" s="123">
        <v>255341</v>
      </c>
      <c r="C16" s="124" t="s">
        <v>50</v>
      </c>
      <c r="D16" s="118">
        <v>900</v>
      </c>
      <c r="E16" s="118"/>
      <c r="F16" s="118"/>
      <c r="G16" s="118"/>
      <c r="H16" s="120">
        <f>225</f>
        <v>225</v>
      </c>
      <c r="I16" s="120">
        <f>1*225</f>
        <v>225</v>
      </c>
      <c r="J16" s="120"/>
      <c r="K16" s="120"/>
      <c r="L16" s="118">
        <f t="shared" si="0"/>
        <v>450</v>
      </c>
      <c r="M16" s="118">
        <f t="shared" si="1"/>
        <v>450</v>
      </c>
      <c r="N16" s="121">
        <f t="shared" si="2"/>
        <v>0.5</v>
      </c>
      <c r="O16" s="122">
        <f t="shared" si="3"/>
        <v>0.5</v>
      </c>
    </row>
    <row r="17" spans="2:15" x14ac:dyDescent="0.25">
      <c r="B17" s="118">
        <v>254988</v>
      </c>
      <c r="C17" s="119" t="s">
        <v>54</v>
      </c>
      <c r="D17" s="118">
        <v>1500</v>
      </c>
      <c r="E17" s="118"/>
      <c r="F17" s="118">
        <f>450</f>
        <v>450</v>
      </c>
      <c r="G17" s="118">
        <f>450</f>
        <v>450</v>
      </c>
      <c r="H17" s="120"/>
      <c r="I17" s="120"/>
      <c r="J17" s="120"/>
      <c r="K17" s="120"/>
      <c r="L17" s="118">
        <f t="shared" si="0"/>
        <v>900</v>
      </c>
      <c r="M17" s="118">
        <f t="shared" si="1"/>
        <v>600</v>
      </c>
      <c r="N17" s="121">
        <f t="shared" si="2"/>
        <v>0.6</v>
      </c>
      <c r="O17" s="125">
        <f t="shared" si="3"/>
        <v>0.6</v>
      </c>
    </row>
    <row r="18" spans="2:15" x14ac:dyDescent="0.25">
      <c r="B18" s="126">
        <v>254954</v>
      </c>
      <c r="C18" s="119" t="s">
        <v>33</v>
      </c>
      <c r="D18" s="118"/>
      <c r="E18" s="118"/>
      <c r="F18" s="118"/>
      <c r="G18" s="118"/>
      <c r="H18" s="120"/>
      <c r="I18" s="120"/>
      <c r="J18" s="120"/>
      <c r="K18" s="120"/>
      <c r="L18" s="118">
        <f t="shared" si="0"/>
        <v>0</v>
      </c>
      <c r="M18" s="118">
        <f t="shared" si="1"/>
        <v>0</v>
      </c>
      <c r="N18" s="121">
        <f t="shared" si="2"/>
        <v>0</v>
      </c>
      <c r="O18" s="125">
        <f t="shared" si="3"/>
        <v>0</v>
      </c>
    </row>
    <row r="19" spans="2:15" x14ac:dyDescent="0.25">
      <c r="B19" s="118">
        <v>254950</v>
      </c>
      <c r="C19" s="119" t="s">
        <v>32</v>
      </c>
      <c r="D19" s="118">
        <v>180</v>
      </c>
      <c r="E19" s="118"/>
      <c r="F19" s="118"/>
      <c r="G19" s="118">
        <f>180</f>
        <v>180</v>
      </c>
      <c r="H19" s="120"/>
      <c r="I19" s="120"/>
      <c r="J19" s="120"/>
      <c r="K19" s="120"/>
      <c r="L19" s="118">
        <f t="shared" si="0"/>
        <v>180</v>
      </c>
      <c r="M19" s="118">
        <f t="shared" si="1"/>
        <v>0</v>
      </c>
      <c r="N19" s="121">
        <f t="shared" si="2"/>
        <v>1</v>
      </c>
      <c r="O19" s="125">
        <f t="shared" si="3"/>
        <v>1</v>
      </c>
    </row>
    <row r="20" spans="2:15" x14ac:dyDescent="0.25">
      <c r="B20" s="126">
        <v>254975</v>
      </c>
      <c r="C20" s="119" t="s">
        <v>30</v>
      </c>
      <c r="D20" s="118"/>
      <c r="E20" s="118"/>
      <c r="F20" s="118"/>
      <c r="G20" s="118"/>
      <c r="H20" s="120"/>
      <c r="I20" s="120"/>
      <c r="J20" s="120"/>
      <c r="K20" s="120"/>
      <c r="L20" s="118">
        <f t="shared" si="0"/>
        <v>0</v>
      </c>
      <c r="M20" s="118">
        <f t="shared" si="1"/>
        <v>0</v>
      </c>
      <c r="N20" s="121">
        <f t="shared" si="2"/>
        <v>0</v>
      </c>
      <c r="O20" s="125">
        <f t="shared" si="3"/>
        <v>0</v>
      </c>
    </row>
    <row r="21" spans="2:15" x14ac:dyDescent="0.25">
      <c r="B21" s="118">
        <v>254976</v>
      </c>
      <c r="C21" s="119" t="s">
        <v>31</v>
      </c>
      <c r="D21" s="118"/>
      <c r="E21" s="118"/>
      <c r="F21" s="118"/>
      <c r="G21" s="118"/>
      <c r="H21" s="120"/>
      <c r="I21" s="120"/>
      <c r="J21" s="120"/>
      <c r="K21" s="120"/>
      <c r="L21" s="118">
        <f t="shared" si="0"/>
        <v>0</v>
      </c>
      <c r="M21" s="118">
        <f t="shared" si="1"/>
        <v>0</v>
      </c>
      <c r="N21" s="121">
        <f t="shared" si="2"/>
        <v>0</v>
      </c>
      <c r="O21" s="125">
        <f t="shared" si="3"/>
        <v>0</v>
      </c>
    </row>
    <row r="22" spans="2:15" x14ac:dyDescent="0.25">
      <c r="B22" s="123">
        <v>251632</v>
      </c>
      <c r="C22" s="124" t="s">
        <v>51</v>
      </c>
      <c r="D22" s="118">
        <v>450</v>
      </c>
      <c r="E22" s="118"/>
      <c r="F22" s="118"/>
      <c r="G22" s="118"/>
      <c r="H22" s="120">
        <f>225</f>
        <v>225</v>
      </c>
      <c r="I22" s="120">
        <f>1*225</f>
        <v>225</v>
      </c>
      <c r="J22" s="120"/>
      <c r="K22" s="120"/>
      <c r="L22" s="118">
        <f t="shared" si="0"/>
        <v>450</v>
      </c>
      <c r="M22" s="118">
        <f t="shared" si="1"/>
        <v>0</v>
      </c>
      <c r="N22" s="121">
        <f t="shared" si="2"/>
        <v>1</v>
      </c>
      <c r="O22" s="125">
        <f t="shared" si="3"/>
        <v>1</v>
      </c>
    </row>
    <row r="23" spans="2:15" x14ac:dyDescent="0.25">
      <c r="B23" s="118">
        <v>251406</v>
      </c>
      <c r="C23" s="119" t="s">
        <v>42</v>
      </c>
      <c r="D23" s="118"/>
      <c r="E23" s="118"/>
      <c r="F23" s="118"/>
      <c r="G23" s="118"/>
      <c r="H23" s="120"/>
      <c r="I23" s="120"/>
      <c r="J23" s="120"/>
      <c r="K23" s="120"/>
      <c r="L23" s="118">
        <f t="shared" si="0"/>
        <v>0</v>
      </c>
      <c r="M23" s="118">
        <f t="shared" si="1"/>
        <v>0</v>
      </c>
      <c r="N23" s="121">
        <f t="shared" si="2"/>
        <v>0</v>
      </c>
      <c r="O23" s="125">
        <f t="shared" si="3"/>
        <v>0</v>
      </c>
    </row>
    <row r="24" spans="2:15" x14ac:dyDescent="0.25">
      <c r="B24" s="126">
        <v>254845</v>
      </c>
      <c r="C24" s="119" t="s">
        <v>40</v>
      </c>
      <c r="D24" s="118">
        <v>182</v>
      </c>
      <c r="E24" s="118">
        <f>182</f>
        <v>182</v>
      </c>
      <c r="F24" s="118">
        <v>182</v>
      </c>
      <c r="G24" s="118"/>
      <c r="H24" s="120">
        <f>26*5</f>
        <v>130</v>
      </c>
      <c r="I24" s="120"/>
      <c r="J24" s="120"/>
      <c r="K24" s="120"/>
      <c r="L24" s="118">
        <f t="shared" si="0"/>
        <v>312</v>
      </c>
      <c r="M24" s="118">
        <f t="shared" si="1"/>
        <v>52</v>
      </c>
      <c r="N24" s="121">
        <f t="shared" si="2"/>
        <v>1.7142857142857142</v>
      </c>
      <c r="O24" s="125">
        <f t="shared" si="3"/>
        <v>0.8571428571428571</v>
      </c>
    </row>
    <row r="25" spans="2:15" x14ac:dyDescent="0.25">
      <c r="B25" s="118">
        <v>254846</v>
      </c>
      <c r="C25" s="119" t="s">
        <v>41</v>
      </c>
      <c r="D25" s="118"/>
      <c r="E25" s="118"/>
      <c r="F25" s="118"/>
      <c r="G25" s="118"/>
      <c r="H25" s="120"/>
      <c r="I25" s="120"/>
      <c r="J25" s="120"/>
      <c r="K25" s="120"/>
      <c r="L25" s="118">
        <f t="shared" si="0"/>
        <v>0</v>
      </c>
      <c r="M25" s="118">
        <f t="shared" si="1"/>
        <v>0</v>
      </c>
      <c r="N25" s="121">
        <f t="shared" si="2"/>
        <v>0</v>
      </c>
      <c r="O25" s="125">
        <f t="shared" si="3"/>
        <v>0</v>
      </c>
    </row>
    <row r="26" spans="2:15" x14ac:dyDescent="0.25">
      <c r="B26" s="118">
        <v>255429</v>
      </c>
      <c r="C26" s="127" t="s">
        <v>52</v>
      </c>
      <c r="D26" s="118"/>
      <c r="E26" s="118">
        <f>250</f>
        <v>250</v>
      </c>
      <c r="F26" s="118"/>
      <c r="G26" s="118"/>
      <c r="H26" s="120">
        <f>153</f>
        <v>153</v>
      </c>
      <c r="I26" s="120">
        <v>97</v>
      </c>
      <c r="J26" s="120"/>
      <c r="K26" s="120"/>
      <c r="L26" s="118">
        <f t="shared" si="0"/>
        <v>250</v>
      </c>
      <c r="M26" s="118">
        <f t="shared" si="1"/>
        <v>0</v>
      </c>
      <c r="N26" s="121" t="str">
        <f t="shared" si="2"/>
        <v>REQ ADICIONAL</v>
      </c>
      <c r="O26" s="125">
        <f t="shared" si="3"/>
        <v>1</v>
      </c>
    </row>
    <row r="27" spans="2:15" ht="15.75" x14ac:dyDescent="0.25">
      <c r="C27" s="128" t="s">
        <v>87</v>
      </c>
      <c r="D27" s="129">
        <f>SUM(D5:D26)</f>
        <v>8342</v>
      </c>
      <c r="E27" s="129">
        <f>SUM(E5:E26)</f>
        <v>4012</v>
      </c>
      <c r="F27" s="129">
        <f t="shared" ref="F27:K27" si="4">SUM(F5:F26)</f>
        <v>2857</v>
      </c>
      <c r="G27" s="129">
        <f t="shared" si="4"/>
        <v>1855</v>
      </c>
      <c r="H27" s="129">
        <f t="shared" si="4"/>
        <v>1908</v>
      </c>
      <c r="I27" s="129">
        <f t="shared" si="4"/>
        <v>1997</v>
      </c>
      <c r="J27" s="129">
        <f t="shared" si="4"/>
        <v>1930</v>
      </c>
      <c r="K27" s="129">
        <f t="shared" si="4"/>
        <v>1805</v>
      </c>
      <c r="L27" s="130">
        <f>SUM(L5:L26)</f>
        <v>12352</v>
      </c>
      <c r="M27" s="130">
        <f t="shared" si="1"/>
        <v>2</v>
      </c>
      <c r="N27" s="131">
        <f>L27/D27</f>
        <v>1.4807000719251977</v>
      </c>
      <c r="O27" s="132">
        <f>+L27/SUM(D27:E27)</f>
        <v>0.99983810911445681</v>
      </c>
    </row>
    <row r="29" spans="2:15" ht="30.75" thickBot="1" x14ac:dyDescent="0.3">
      <c r="B29" s="114" t="s">
        <v>34</v>
      </c>
      <c r="C29" s="114" t="s">
        <v>9</v>
      </c>
      <c r="D29" s="133" t="s">
        <v>85</v>
      </c>
      <c r="E29" s="134" t="s">
        <v>86</v>
      </c>
      <c r="F29" s="116">
        <v>42868</v>
      </c>
      <c r="G29" s="116">
        <v>42870</v>
      </c>
      <c r="H29" s="116">
        <v>42871</v>
      </c>
      <c r="I29" s="116">
        <v>42872</v>
      </c>
      <c r="J29" s="116">
        <v>42873</v>
      </c>
      <c r="K29" s="116">
        <v>42874</v>
      </c>
      <c r="L29" s="133" t="s">
        <v>87</v>
      </c>
      <c r="M29" s="135" t="s">
        <v>88</v>
      </c>
      <c r="N29" s="116" t="s">
        <v>89</v>
      </c>
      <c r="O29" s="117" t="s">
        <v>90</v>
      </c>
    </row>
    <row r="30" spans="2:15" x14ac:dyDescent="0.25">
      <c r="B30" s="136">
        <v>254849</v>
      </c>
      <c r="C30" s="137" t="s">
        <v>0</v>
      </c>
      <c r="D30" s="138">
        <v>180</v>
      </c>
      <c r="E30" s="139">
        <v>180</v>
      </c>
      <c r="F30" s="140"/>
      <c r="G30" s="141">
        <v>180</v>
      </c>
      <c r="H30" s="141"/>
      <c r="I30" s="142"/>
      <c r="J30" s="142"/>
      <c r="K30" s="141">
        <v>180</v>
      </c>
      <c r="L30" s="138">
        <f>SUM(F30:K30)</f>
        <v>360</v>
      </c>
      <c r="M30" s="143">
        <f>+SUM(D30:E30)-L30</f>
        <v>0</v>
      </c>
      <c r="N30" s="121">
        <f>IF(L30=0,0,IFERROR(L30/D30,"REQ ADICIONAL"))</f>
        <v>2</v>
      </c>
      <c r="O30" s="144">
        <f>IFERROR(L30/SUM(D30:E30),0)</f>
        <v>1</v>
      </c>
    </row>
    <row r="31" spans="2:15" x14ac:dyDescent="0.25">
      <c r="B31" s="136">
        <v>254851</v>
      </c>
      <c r="C31" s="137" t="s">
        <v>1</v>
      </c>
      <c r="D31" s="145">
        <v>180</v>
      </c>
      <c r="E31" s="139">
        <v>180</v>
      </c>
      <c r="F31" s="136"/>
      <c r="G31" s="141">
        <v>180</v>
      </c>
      <c r="H31" s="141"/>
      <c r="I31" s="142"/>
      <c r="J31" s="142"/>
      <c r="K31" s="141">
        <v>180</v>
      </c>
      <c r="L31" s="138">
        <f t="shared" ref="L31:L52" si="5">SUM(F31:K31)</f>
        <v>360</v>
      </c>
      <c r="M31" s="143">
        <f t="shared" ref="M31:M53" si="6">+SUM(D31:E31)-L31</f>
        <v>0</v>
      </c>
      <c r="N31" s="121">
        <f t="shared" ref="N31:N52" si="7">IF(L31=0,0,IFERROR(L31/D31,"REQ ADICIONAL"))</f>
        <v>2</v>
      </c>
      <c r="O31" s="144">
        <f t="shared" ref="O31:O52" si="8">IFERROR(L31/SUM(D31:E31),0)</f>
        <v>1</v>
      </c>
    </row>
    <row r="32" spans="2:15" x14ac:dyDescent="0.25">
      <c r="B32" s="136">
        <v>254853</v>
      </c>
      <c r="C32" s="137" t="s">
        <v>2</v>
      </c>
      <c r="D32" s="145">
        <v>0</v>
      </c>
      <c r="E32" s="139"/>
      <c r="F32" s="136"/>
      <c r="G32" s="141"/>
      <c r="H32" s="141"/>
      <c r="I32" s="142"/>
      <c r="J32" s="142"/>
      <c r="K32" s="141"/>
      <c r="L32" s="138">
        <f t="shared" si="5"/>
        <v>0</v>
      </c>
      <c r="M32" s="143">
        <f t="shared" si="6"/>
        <v>0</v>
      </c>
      <c r="N32" s="121">
        <f t="shared" si="7"/>
        <v>0</v>
      </c>
      <c r="O32" s="144">
        <f t="shared" si="8"/>
        <v>0</v>
      </c>
    </row>
    <row r="33" spans="2:15" x14ac:dyDescent="0.25">
      <c r="B33" s="136">
        <v>254850</v>
      </c>
      <c r="C33" s="137" t="s">
        <v>3</v>
      </c>
      <c r="D33" s="145">
        <v>480</v>
      </c>
      <c r="E33" s="139"/>
      <c r="F33" s="136"/>
      <c r="G33" s="141">
        <v>120</v>
      </c>
      <c r="H33" s="141"/>
      <c r="I33" s="142">
        <v>180</v>
      </c>
      <c r="J33" s="142"/>
      <c r="K33" s="141">
        <v>180</v>
      </c>
      <c r="L33" s="138">
        <f t="shared" si="5"/>
        <v>480</v>
      </c>
      <c r="M33" s="143">
        <f t="shared" si="6"/>
        <v>0</v>
      </c>
      <c r="N33" s="121">
        <f t="shared" si="7"/>
        <v>1</v>
      </c>
      <c r="O33" s="144">
        <f t="shared" si="8"/>
        <v>1</v>
      </c>
    </row>
    <row r="34" spans="2:15" x14ac:dyDescent="0.25">
      <c r="B34" s="136">
        <v>251385</v>
      </c>
      <c r="C34" s="137" t="s">
        <v>4</v>
      </c>
      <c r="D34" s="145">
        <v>320</v>
      </c>
      <c r="E34" s="139">
        <f>240+320</f>
        <v>560</v>
      </c>
      <c r="F34" s="136"/>
      <c r="G34" s="141"/>
      <c r="H34" s="141">
        <v>160</v>
      </c>
      <c r="I34" s="142">
        <v>400</v>
      </c>
      <c r="J34" s="142"/>
      <c r="K34" s="141">
        <v>320</v>
      </c>
      <c r="L34" s="138">
        <f t="shared" si="5"/>
        <v>880</v>
      </c>
      <c r="M34" s="143">
        <f>+SUM(D34:E34)-L34</f>
        <v>0</v>
      </c>
      <c r="N34" s="121">
        <f>IF(L34=0,0,IFERROR(L34/D34,"REQ ADICIONAL"))</f>
        <v>2.75</v>
      </c>
      <c r="O34" s="144">
        <f t="shared" si="8"/>
        <v>1</v>
      </c>
    </row>
    <row r="35" spans="2:15" x14ac:dyDescent="0.25">
      <c r="B35" s="136">
        <v>251196</v>
      </c>
      <c r="C35" s="137" t="s">
        <v>5</v>
      </c>
      <c r="D35" s="145">
        <v>480</v>
      </c>
      <c r="E35" s="139"/>
      <c r="F35" s="136">
        <f>2*80</f>
        <v>160</v>
      </c>
      <c r="G35" s="141"/>
      <c r="H35" s="141">
        <v>160</v>
      </c>
      <c r="I35" s="142"/>
      <c r="J35" s="142">
        <v>80</v>
      </c>
      <c r="K35" s="141">
        <v>80</v>
      </c>
      <c r="L35" s="138">
        <f t="shared" si="5"/>
        <v>480</v>
      </c>
      <c r="M35" s="143">
        <f t="shared" si="6"/>
        <v>0</v>
      </c>
      <c r="N35" s="121">
        <f t="shared" si="7"/>
        <v>1</v>
      </c>
      <c r="O35" s="144">
        <f t="shared" si="8"/>
        <v>1</v>
      </c>
    </row>
    <row r="36" spans="2:15" x14ac:dyDescent="0.25">
      <c r="B36" s="136">
        <v>250524</v>
      </c>
      <c r="C36" s="137" t="s">
        <v>6</v>
      </c>
      <c r="D36" s="145">
        <v>480</v>
      </c>
      <c r="E36" s="139">
        <f>80+160</f>
        <v>240</v>
      </c>
      <c r="F36" s="136">
        <f>3*80</f>
        <v>240</v>
      </c>
      <c r="G36" s="141"/>
      <c r="H36" s="141"/>
      <c r="I36" s="142">
        <v>160</v>
      </c>
      <c r="J36" s="142">
        <v>160</v>
      </c>
      <c r="K36" s="141">
        <v>160</v>
      </c>
      <c r="L36" s="138">
        <f t="shared" si="5"/>
        <v>720</v>
      </c>
      <c r="M36" s="143">
        <f t="shared" si="6"/>
        <v>0</v>
      </c>
      <c r="N36" s="121">
        <f t="shared" si="7"/>
        <v>1.5</v>
      </c>
      <c r="O36" s="144">
        <f t="shared" si="8"/>
        <v>1</v>
      </c>
    </row>
    <row r="37" spans="2:15" x14ac:dyDescent="0.25">
      <c r="B37" s="136">
        <v>252534</v>
      </c>
      <c r="C37" s="137" t="s">
        <v>7</v>
      </c>
      <c r="D37" s="145">
        <v>2250</v>
      </c>
      <c r="E37" s="139"/>
      <c r="F37" s="146">
        <f>2*225</f>
        <v>450</v>
      </c>
      <c r="G37" s="141">
        <v>450</v>
      </c>
      <c r="H37" s="141">
        <v>450</v>
      </c>
      <c r="I37" s="142">
        <v>225</v>
      </c>
      <c r="J37" s="142">
        <v>225</v>
      </c>
      <c r="K37" s="141">
        <v>450</v>
      </c>
      <c r="L37" s="138">
        <f t="shared" si="5"/>
        <v>2250</v>
      </c>
      <c r="M37" s="143">
        <f t="shared" si="6"/>
        <v>0</v>
      </c>
      <c r="N37" s="121">
        <f t="shared" si="7"/>
        <v>1</v>
      </c>
      <c r="O37" s="144">
        <f t="shared" si="8"/>
        <v>1</v>
      </c>
    </row>
    <row r="38" spans="2:15" x14ac:dyDescent="0.25">
      <c r="B38" s="136">
        <v>251151</v>
      </c>
      <c r="C38" s="137" t="s">
        <v>8</v>
      </c>
      <c r="D38" s="145">
        <v>675</v>
      </c>
      <c r="E38" s="139"/>
      <c r="F38" s="136">
        <f>1*225</f>
        <v>225</v>
      </c>
      <c r="G38" s="141"/>
      <c r="H38" s="141">
        <v>225</v>
      </c>
      <c r="I38" s="142"/>
      <c r="J38" s="142"/>
      <c r="K38" s="141"/>
      <c r="L38" s="138">
        <f t="shared" si="5"/>
        <v>450</v>
      </c>
      <c r="M38" s="143">
        <f t="shared" si="6"/>
        <v>225</v>
      </c>
      <c r="N38" s="121">
        <f>IF(L38=0,0,IFERROR(L38/D38,"REQ ADICIONAL"))</f>
        <v>0.66666666666666663</v>
      </c>
      <c r="O38" s="144">
        <f t="shared" si="8"/>
        <v>0.66666666666666663</v>
      </c>
    </row>
    <row r="39" spans="2:15" x14ac:dyDescent="0.25">
      <c r="B39" s="136">
        <v>254852</v>
      </c>
      <c r="C39" s="137" t="s">
        <v>17</v>
      </c>
      <c r="D39" s="145">
        <v>450</v>
      </c>
      <c r="E39" s="139"/>
      <c r="F39" s="136"/>
      <c r="G39" s="141">
        <v>225</v>
      </c>
      <c r="H39" s="141"/>
      <c r="I39" s="142"/>
      <c r="J39" s="142"/>
      <c r="K39" s="141"/>
      <c r="L39" s="138">
        <f t="shared" si="5"/>
        <v>225</v>
      </c>
      <c r="M39" s="143">
        <f t="shared" si="6"/>
        <v>225</v>
      </c>
      <c r="N39" s="121">
        <f t="shared" si="7"/>
        <v>0.5</v>
      </c>
      <c r="O39" s="144">
        <f t="shared" si="8"/>
        <v>0.5</v>
      </c>
    </row>
    <row r="40" spans="2:15" x14ac:dyDescent="0.25">
      <c r="B40" s="136">
        <v>254963</v>
      </c>
      <c r="C40" s="137" t="s">
        <v>27</v>
      </c>
      <c r="D40" s="145">
        <v>450</v>
      </c>
      <c r="E40" s="139"/>
      <c r="F40" s="136"/>
      <c r="G40" s="141"/>
      <c r="H40" s="141">
        <v>225</v>
      </c>
      <c r="I40" s="142"/>
      <c r="J40" s="142"/>
      <c r="K40" s="141"/>
      <c r="L40" s="138">
        <f t="shared" si="5"/>
        <v>225</v>
      </c>
      <c r="M40" s="143">
        <f t="shared" si="6"/>
        <v>225</v>
      </c>
      <c r="N40" s="121">
        <f t="shared" si="7"/>
        <v>0.5</v>
      </c>
      <c r="O40" s="144">
        <f t="shared" si="8"/>
        <v>0.5</v>
      </c>
    </row>
    <row r="41" spans="2:15" x14ac:dyDescent="0.25">
      <c r="B41" s="136">
        <v>255430</v>
      </c>
      <c r="C41" s="137" t="s">
        <v>53</v>
      </c>
      <c r="D41" s="145">
        <v>500</v>
      </c>
      <c r="E41" s="139"/>
      <c r="F41" s="136"/>
      <c r="G41" s="141"/>
      <c r="H41" s="141"/>
      <c r="I41" s="142">
        <v>250</v>
      </c>
      <c r="J41" s="142"/>
      <c r="K41" s="141"/>
      <c r="L41" s="138">
        <f t="shared" si="5"/>
        <v>250</v>
      </c>
      <c r="M41" s="143">
        <f t="shared" si="6"/>
        <v>250</v>
      </c>
      <c r="N41" s="121">
        <f t="shared" si="7"/>
        <v>0.5</v>
      </c>
      <c r="O41" s="144">
        <f t="shared" si="8"/>
        <v>0.5</v>
      </c>
    </row>
    <row r="42" spans="2:15" x14ac:dyDescent="0.25">
      <c r="B42" s="136">
        <v>255341</v>
      </c>
      <c r="C42" s="137" t="s">
        <v>50</v>
      </c>
      <c r="D42" s="145">
        <v>675</v>
      </c>
      <c r="E42" s="139"/>
      <c r="F42" s="136"/>
      <c r="G42" s="141">
        <v>450</v>
      </c>
      <c r="H42" s="141"/>
      <c r="I42" s="142">
        <v>225</v>
      </c>
      <c r="J42" s="142"/>
      <c r="K42" s="141"/>
      <c r="L42" s="138">
        <f t="shared" si="5"/>
        <v>675</v>
      </c>
      <c r="M42" s="143">
        <f t="shared" si="6"/>
        <v>0</v>
      </c>
      <c r="N42" s="121">
        <f t="shared" si="7"/>
        <v>1</v>
      </c>
      <c r="O42" s="147">
        <f t="shared" si="8"/>
        <v>1</v>
      </c>
    </row>
    <row r="43" spans="2:15" x14ac:dyDescent="0.25">
      <c r="B43" s="136">
        <v>254988</v>
      </c>
      <c r="C43" s="137" t="s">
        <v>54</v>
      </c>
      <c r="D43" s="145">
        <v>0</v>
      </c>
      <c r="E43" s="139">
        <v>900</v>
      </c>
      <c r="F43" s="136"/>
      <c r="G43" s="141"/>
      <c r="H43" s="141">
        <v>450</v>
      </c>
      <c r="I43" s="142">
        <v>225</v>
      </c>
      <c r="J43" s="142">
        <v>225</v>
      </c>
      <c r="K43" s="141"/>
      <c r="L43" s="138">
        <f t="shared" si="5"/>
        <v>900</v>
      </c>
      <c r="M43" s="143">
        <f t="shared" si="6"/>
        <v>0</v>
      </c>
      <c r="N43" s="121" t="str">
        <f t="shared" si="7"/>
        <v>REQ ADICIONAL</v>
      </c>
      <c r="O43" s="147">
        <f t="shared" si="8"/>
        <v>1</v>
      </c>
    </row>
    <row r="44" spans="2:15" x14ac:dyDescent="0.25">
      <c r="B44" s="136">
        <v>254954</v>
      </c>
      <c r="C44" s="137" t="s">
        <v>33</v>
      </c>
      <c r="D44" s="145">
        <v>0</v>
      </c>
      <c r="E44" s="139"/>
      <c r="F44" s="136"/>
      <c r="G44" s="141"/>
      <c r="H44" s="141"/>
      <c r="I44" s="142"/>
      <c r="J44" s="142"/>
      <c r="K44" s="141"/>
      <c r="L44" s="138">
        <f t="shared" si="5"/>
        <v>0</v>
      </c>
      <c r="M44" s="143">
        <f t="shared" si="6"/>
        <v>0</v>
      </c>
      <c r="N44" s="121">
        <f t="shared" si="7"/>
        <v>0</v>
      </c>
      <c r="O44" s="147">
        <f t="shared" si="8"/>
        <v>0</v>
      </c>
    </row>
    <row r="45" spans="2:15" x14ac:dyDescent="0.25">
      <c r="B45" s="136">
        <v>254950</v>
      </c>
      <c r="C45" s="137" t="s">
        <v>32</v>
      </c>
      <c r="D45" s="145">
        <v>0</v>
      </c>
      <c r="E45" s="139"/>
      <c r="F45" s="136"/>
      <c r="G45" s="141"/>
      <c r="H45" s="141"/>
      <c r="I45" s="142"/>
      <c r="J45" s="142"/>
      <c r="K45" s="141"/>
      <c r="L45" s="138">
        <f t="shared" si="5"/>
        <v>0</v>
      </c>
      <c r="M45" s="143">
        <f t="shared" si="6"/>
        <v>0</v>
      </c>
      <c r="N45" s="121">
        <f t="shared" si="7"/>
        <v>0</v>
      </c>
      <c r="O45" s="147">
        <f t="shared" si="8"/>
        <v>0</v>
      </c>
    </row>
    <row r="46" spans="2:15" x14ac:dyDescent="0.25">
      <c r="B46" s="136">
        <v>254975</v>
      </c>
      <c r="C46" s="137" t="s">
        <v>30</v>
      </c>
      <c r="D46" s="145">
        <v>0</v>
      </c>
      <c r="E46" s="139"/>
      <c r="F46" s="136"/>
      <c r="G46" s="141"/>
      <c r="H46" s="141"/>
      <c r="I46" s="142"/>
      <c r="J46" s="142"/>
      <c r="K46" s="141"/>
      <c r="L46" s="138">
        <f t="shared" si="5"/>
        <v>0</v>
      </c>
      <c r="M46" s="143">
        <f t="shared" si="6"/>
        <v>0</v>
      </c>
      <c r="N46" s="121">
        <f t="shared" si="7"/>
        <v>0</v>
      </c>
      <c r="O46" s="147">
        <f t="shared" si="8"/>
        <v>0</v>
      </c>
    </row>
    <row r="47" spans="2:15" x14ac:dyDescent="0.25">
      <c r="B47" s="136">
        <v>254976</v>
      </c>
      <c r="C47" s="137" t="s">
        <v>31</v>
      </c>
      <c r="D47" s="138">
        <v>0</v>
      </c>
      <c r="E47" s="139"/>
      <c r="F47" s="136"/>
      <c r="G47" s="141"/>
      <c r="H47" s="141"/>
      <c r="I47" s="142"/>
      <c r="J47" s="142"/>
      <c r="K47" s="141"/>
      <c r="L47" s="138">
        <f t="shared" si="5"/>
        <v>0</v>
      </c>
      <c r="M47" s="143">
        <f t="shared" si="6"/>
        <v>0</v>
      </c>
      <c r="N47" s="121">
        <f t="shared" si="7"/>
        <v>0</v>
      </c>
      <c r="O47" s="147">
        <f t="shared" si="8"/>
        <v>0</v>
      </c>
    </row>
    <row r="48" spans="2:15" x14ac:dyDescent="0.25">
      <c r="B48" s="136">
        <v>251632</v>
      </c>
      <c r="C48" s="137" t="s">
        <v>51</v>
      </c>
      <c r="D48" s="138">
        <v>360</v>
      </c>
      <c r="E48" s="139"/>
      <c r="F48" s="136"/>
      <c r="G48" s="141">
        <v>180</v>
      </c>
      <c r="H48" s="141"/>
      <c r="I48" s="142"/>
      <c r="J48" s="142">
        <v>180</v>
      </c>
      <c r="K48" s="141"/>
      <c r="L48" s="138">
        <f t="shared" si="5"/>
        <v>360</v>
      </c>
      <c r="M48" s="143">
        <f t="shared" si="6"/>
        <v>0</v>
      </c>
      <c r="N48" s="121">
        <f t="shared" si="7"/>
        <v>1</v>
      </c>
      <c r="O48" s="147">
        <f t="shared" si="8"/>
        <v>1</v>
      </c>
    </row>
    <row r="49" spans="2:15" x14ac:dyDescent="0.25">
      <c r="B49" s="136">
        <v>251406</v>
      </c>
      <c r="C49" s="137" t="s">
        <v>42</v>
      </c>
      <c r="D49" s="138">
        <v>0</v>
      </c>
      <c r="E49" s="139"/>
      <c r="F49" s="136"/>
      <c r="G49" s="141"/>
      <c r="H49" s="141"/>
      <c r="I49" s="142"/>
      <c r="J49" s="142"/>
      <c r="K49" s="141"/>
      <c r="L49" s="138">
        <f t="shared" si="5"/>
        <v>0</v>
      </c>
      <c r="M49" s="143">
        <f t="shared" si="6"/>
        <v>0</v>
      </c>
      <c r="N49" s="121">
        <f t="shared" si="7"/>
        <v>0</v>
      </c>
      <c r="O49" s="147">
        <f t="shared" si="8"/>
        <v>0</v>
      </c>
    </row>
    <row r="50" spans="2:15" x14ac:dyDescent="0.25">
      <c r="B50" s="136">
        <v>254845</v>
      </c>
      <c r="C50" s="137" t="s">
        <v>40</v>
      </c>
      <c r="D50" s="138">
        <v>0</v>
      </c>
      <c r="E50" s="139"/>
      <c r="F50" s="136"/>
      <c r="G50" s="141"/>
      <c r="H50" s="141"/>
      <c r="I50" s="142"/>
      <c r="J50" s="142"/>
      <c r="K50" s="141"/>
      <c r="L50" s="138">
        <f t="shared" si="5"/>
        <v>0</v>
      </c>
      <c r="M50" s="143">
        <f t="shared" si="6"/>
        <v>0</v>
      </c>
      <c r="N50" s="121">
        <f t="shared" si="7"/>
        <v>0</v>
      </c>
      <c r="O50" s="147">
        <f t="shared" si="8"/>
        <v>0</v>
      </c>
    </row>
    <row r="51" spans="2:15" x14ac:dyDescent="0.25">
      <c r="B51" s="136">
        <v>254846</v>
      </c>
      <c r="C51" s="137" t="s">
        <v>41</v>
      </c>
      <c r="D51" s="138">
        <v>182</v>
      </c>
      <c r="E51" s="139"/>
      <c r="F51" s="136"/>
      <c r="G51" s="141"/>
      <c r="H51" s="141"/>
      <c r="I51" s="142"/>
      <c r="J51" s="142">
        <v>182</v>
      </c>
      <c r="K51" s="141"/>
      <c r="L51" s="138">
        <f t="shared" si="5"/>
        <v>182</v>
      </c>
      <c r="M51" s="143">
        <f t="shared" si="6"/>
        <v>0</v>
      </c>
      <c r="N51" s="121">
        <f t="shared" si="7"/>
        <v>1</v>
      </c>
      <c r="O51" s="147">
        <f t="shared" si="8"/>
        <v>1</v>
      </c>
    </row>
    <row r="52" spans="2:15" ht="15.75" thickBot="1" x14ac:dyDescent="0.3">
      <c r="B52" s="136">
        <v>255429</v>
      </c>
      <c r="C52" s="137" t="s">
        <v>52</v>
      </c>
      <c r="D52" s="148">
        <v>250</v>
      </c>
      <c r="E52" s="149"/>
      <c r="F52" s="146"/>
      <c r="G52" s="150"/>
      <c r="H52" s="150"/>
      <c r="I52" s="151"/>
      <c r="J52" s="151"/>
      <c r="K52" s="150"/>
      <c r="L52" s="148">
        <f t="shared" si="5"/>
        <v>0</v>
      </c>
      <c r="M52" s="152">
        <f t="shared" si="6"/>
        <v>250</v>
      </c>
      <c r="N52" s="153">
        <f t="shared" si="7"/>
        <v>0</v>
      </c>
      <c r="O52" s="154">
        <f t="shared" si="8"/>
        <v>0</v>
      </c>
    </row>
    <row r="53" spans="2:15" ht="16.5" thickBot="1" x14ac:dyDescent="0.3">
      <c r="C53" s="114" t="s">
        <v>87</v>
      </c>
      <c r="D53" s="155">
        <f>SUM(D30:D52)</f>
        <v>7912</v>
      </c>
      <c r="E53" s="156">
        <f>SUM(E30:E52)</f>
        <v>2060</v>
      </c>
      <c r="F53" s="157">
        <f t="shared" ref="F53:K53" si="9">SUM(F30:F52)</f>
        <v>1075</v>
      </c>
      <c r="G53" s="157">
        <f t="shared" si="9"/>
        <v>1785</v>
      </c>
      <c r="H53" s="157">
        <f t="shared" si="9"/>
        <v>1670</v>
      </c>
      <c r="I53" s="157">
        <f t="shared" si="9"/>
        <v>1665</v>
      </c>
      <c r="J53" s="157">
        <f t="shared" si="9"/>
        <v>1052</v>
      </c>
      <c r="K53" s="157">
        <f t="shared" si="9"/>
        <v>1550</v>
      </c>
      <c r="L53" s="158">
        <f>SUM(L30:L52)</f>
        <v>8797</v>
      </c>
      <c r="M53" s="159">
        <f t="shared" si="6"/>
        <v>1175</v>
      </c>
      <c r="N53" s="160">
        <f>L53/D53</f>
        <v>1.1118554095045501</v>
      </c>
      <c r="O53" s="161">
        <f>+L53/SUM(D53:E53)</f>
        <v>0.88217007621339749</v>
      </c>
    </row>
    <row r="54" spans="2:15" x14ac:dyDescent="0.25">
      <c r="N54" s="162"/>
    </row>
    <row r="56" spans="2:15" ht="30" x14ac:dyDescent="0.25">
      <c r="B56" s="114" t="s">
        <v>34</v>
      </c>
      <c r="C56" s="114" t="s">
        <v>9</v>
      </c>
      <c r="D56" s="108" t="s">
        <v>85</v>
      </c>
      <c r="E56" s="163" t="s">
        <v>86</v>
      </c>
      <c r="F56" s="117">
        <v>42875</v>
      </c>
      <c r="G56" s="117">
        <f>+F56+2</f>
        <v>42877</v>
      </c>
      <c r="H56" s="117">
        <f>+G56+1</f>
        <v>42878</v>
      </c>
      <c r="I56" s="117">
        <f>+H56+1</f>
        <v>42879</v>
      </c>
      <c r="J56" s="117">
        <f>+I56+1</f>
        <v>42880</v>
      </c>
      <c r="K56" s="117">
        <f>+J56+1</f>
        <v>42881</v>
      </c>
      <c r="L56" s="108" t="s">
        <v>87</v>
      </c>
      <c r="M56" s="164" t="s">
        <v>88</v>
      </c>
      <c r="N56" s="117" t="s">
        <v>89</v>
      </c>
      <c r="O56" s="117" t="s">
        <v>90</v>
      </c>
    </row>
    <row r="57" spans="2:15" x14ac:dyDescent="0.25">
      <c r="B57" s="136">
        <v>254849</v>
      </c>
      <c r="C57" s="137" t="s">
        <v>0</v>
      </c>
      <c r="D57" s="138"/>
      <c r="E57" s="139"/>
      <c r="F57" s="165"/>
      <c r="G57" s="166"/>
      <c r="H57" s="166"/>
      <c r="I57" s="167"/>
      <c r="J57" s="167"/>
      <c r="K57" s="166"/>
      <c r="L57" s="168">
        <f>SUM(F57:K57)</f>
        <v>0</v>
      </c>
      <c r="M57" s="169">
        <f>+SUM(D57:E57)-L57</f>
        <v>0</v>
      </c>
      <c r="N57" s="170">
        <f t="shared" ref="N57:N80" si="10">IF(L57=0,0,IFERROR(L57/D57,"REQ ADICIONAL"))</f>
        <v>0</v>
      </c>
      <c r="O57" s="171">
        <f>IFERROR(L57/SUM(D57:E57),0)</f>
        <v>0</v>
      </c>
    </row>
    <row r="58" spans="2:15" x14ac:dyDescent="0.25">
      <c r="B58" s="136">
        <v>254851</v>
      </c>
      <c r="C58" s="137" t="s">
        <v>1</v>
      </c>
      <c r="D58" s="145">
        <v>180</v>
      </c>
      <c r="E58" s="139"/>
      <c r="F58" s="136"/>
      <c r="G58" s="141"/>
      <c r="H58" s="141"/>
      <c r="I58" s="142"/>
      <c r="J58" s="142"/>
      <c r="K58" s="141"/>
      <c r="L58" s="138">
        <f t="shared" ref="L58:L80" si="11">SUM(F58:K58)</f>
        <v>0</v>
      </c>
      <c r="M58" s="143">
        <f>+SUM(D58:E58)-L58</f>
        <v>180</v>
      </c>
      <c r="N58" s="121">
        <f t="shared" si="10"/>
        <v>0</v>
      </c>
      <c r="O58" s="144">
        <f t="shared" ref="O58:O80" si="12">IFERROR(L58/SUM(D58:E58),0)</f>
        <v>0</v>
      </c>
    </row>
    <row r="59" spans="2:15" x14ac:dyDescent="0.25">
      <c r="B59" s="136">
        <v>254853</v>
      </c>
      <c r="C59" s="137" t="s">
        <v>2</v>
      </c>
      <c r="D59" s="145"/>
      <c r="E59" s="139"/>
      <c r="F59" s="136"/>
      <c r="G59" s="141"/>
      <c r="H59" s="141"/>
      <c r="I59" s="142"/>
      <c r="J59" s="142"/>
      <c r="K59" s="141"/>
      <c r="L59" s="138">
        <f t="shared" si="11"/>
        <v>0</v>
      </c>
      <c r="M59" s="143">
        <f>+SUM(D59:E59)-L59</f>
        <v>0</v>
      </c>
      <c r="N59" s="121">
        <f t="shared" si="10"/>
        <v>0</v>
      </c>
      <c r="O59" s="144">
        <f t="shared" si="12"/>
        <v>0</v>
      </c>
    </row>
    <row r="60" spans="2:15" x14ac:dyDescent="0.25">
      <c r="B60" s="136">
        <v>254850</v>
      </c>
      <c r="C60" s="137" t="s">
        <v>3</v>
      </c>
      <c r="D60" s="145">
        <v>1200</v>
      </c>
      <c r="E60" s="139"/>
      <c r="F60" s="136">
        <v>240</v>
      </c>
      <c r="G60" s="141">
        <f>2*60</f>
        <v>120</v>
      </c>
      <c r="H60" s="141"/>
      <c r="I60" s="142">
        <f>3*60</f>
        <v>180</v>
      </c>
      <c r="J60" s="142"/>
      <c r="K60" s="141"/>
      <c r="L60" s="138">
        <f t="shared" si="11"/>
        <v>540</v>
      </c>
      <c r="M60" s="143">
        <f>+SUM(D60:E60)-L60</f>
        <v>660</v>
      </c>
      <c r="N60" s="121">
        <f t="shared" si="10"/>
        <v>0.45</v>
      </c>
      <c r="O60" s="144">
        <f t="shared" si="12"/>
        <v>0.45</v>
      </c>
    </row>
    <row r="61" spans="2:15" x14ac:dyDescent="0.25">
      <c r="B61" s="136">
        <v>251385</v>
      </c>
      <c r="C61" s="137" t="s">
        <v>4</v>
      </c>
      <c r="D61" s="145"/>
      <c r="E61" s="139">
        <f>160+80+160</f>
        <v>400</v>
      </c>
      <c r="F61" s="136"/>
      <c r="G61" s="141"/>
      <c r="H61" s="141"/>
      <c r="I61" s="142">
        <f>2*80</f>
        <v>160</v>
      </c>
      <c r="J61" s="142">
        <v>80</v>
      </c>
      <c r="K61" s="141">
        <v>160</v>
      </c>
      <c r="L61" s="138">
        <f t="shared" si="11"/>
        <v>400</v>
      </c>
      <c r="M61" s="143">
        <f>+SUM(D61:E61)-L61</f>
        <v>0</v>
      </c>
      <c r="N61" s="121" t="str">
        <f t="shared" si="10"/>
        <v>REQ ADICIONAL</v>
      </c>
      <c r="O61" s="144">
        <f t="shared" si="12"/>
        <v>1</v>
      </c>
    </row>
    <row r="62" spans="2:15" x14ac:dyDescent="0.25">
      <c r="B62" s="136">
        <v>251196</v>
      </c>
      <c r="C62" s="137" t="s">
        <v>5</v>
      </c>
      <c r="D62" s="145">
        <v>240</v>
      </c>
      <c r="E62" s="139">
        <f>160+160</f>
        <v>320</v>
      </c>
      <c r="F62" s="136">
        <v>160</v>
      </c>
      <c r="G62" s="141"/>
      <c r="H62" s="141">
        <f>3*80</f>
        <v>240</v>
      </c>
      <c r="I62" s="142"/>
      <c r="J62" s="142"/>
      <c r="K62" s="141">
        <v>160</v>
      </c>
      <c r="L62" s="138">
        <f t="shared" si="11"/>
        <v>560</v>
      </c>
      <c r="M62" s="143">
        <f t="shared" ref="M62:M81" si="13">+SUM(D62:E62)-L62</f>
        <v>0</v>
      </c>
      <c r="N62" s="121">
        <f t="shared" si="10"/>
        <v>2.3333333333333335</v>
      </c>
      <c r="O62" s="144">
        <f t="shared" si="12"/>
        <v>1</v>
      </c>
    </row>
    <row r="63" spans="2:15" x14ac:dyDescent="0.25">
      <c r="B63" s="136">
        <v>250524</v>
      </c>
      <c r="C63" s="137" t="s">
        <v>6</v>
      </c>
      <c r="D63" s="145">
        <v>320</v>
      </c>
      <c r="E63" s="139">
        <f>80+160</f>
        <v>240</v>
      </c>
      <c r="F63" s="136">
        <v>160</v>
      </c>
      <c r="G63" s="141"/>
      <c r="H63" s="141">
        <f>2*80</f>
        <v>160</v>
      </c>
      <c r="I63" s="142"/>
      <c r="J63" s="142">
        <v>80</v>
      </c>
      <c r="K63" s="141">
        <v>160</v>
      </c>
      <c r="L63" s="138">
        <f t="shared" si="11"/>
        <v>560</v>
      </c>
      <c r="M63" s="143">
        <f t="shared" si="13"/>
        <v>0</v>
      </c>
      <c r="N63" s="121">
        <f t="shared" si="10"/>
        <v>1.75</v>
      </c>
      <c r="O63" s="144">
        <f t="shared" si="12"/>
        <v>1</v>
      </c>
    </row>
    <row r="64" spans="2:15" x14ac:dyDescent="0.25">
      <c r="B64" s="136">
        <v>252534</v>
      </c>
      <c r="C64" s="137" t="s">
        <v>7</v>
      </c>
      <c r="D64" s="145">
        <v>900</v>
      </c>
      <c r="E64" s="139"/>
      <c r="F64" s="146"/>
      <c r="G64" s="141"/>
      <c r="H64" s="141"/>
      <c r="I64" s="142">
        <f>225</f>
        <v>225</v>
      </c>
      <c r="J64" s="142"/>
      <c r="K64" s="141"/>
      <c r="L64" s="138">
        <f t="shared" si="11"/>
        <v>225</v>
      </c>
      <c r="M64" s="143">
        <f t="shared" si="13"/>
        <v>675</v>
      </c>
      <c r="N64" s="121">
        <f t="shared" si="10"/>
        <v>0.25</v>
      </c>
      <c r="O64" s="144">
        <f t="shared" si="12"/>
        <v>0.25</v>
      </c>
    </row>
    <row r="65" spans="2:15" x14ac:dyDescent="0.25">
      <c r="B65" s="136">
        <v>251151</v>
      </c>
      <c r="C65" s="137" t="s">
        <v>8</v>
      </c>
      <c r="D65" s="145">
        <v>225</v>
      </c>
      <c r="E65" s="139"/>
      <c r="F65" s="136"/>
      <c r="G65" s="141"/>
      <c r="H65" s="141"/>
      <c r="I65" s="142">
        <f>81</f>
        <v>81</v>
      </c>
      <c r="J65" s="142">
        <v>144</v>
      </c>
      <c r="K65" s="141"/>
      <c r="L65" s="138">
        <f t="shared" si="11"/>
        <v>225</v>
      </c>
      <c r="M65" s="143">
        <f t="shared" si="13"/>
        <v>0</v>
      </c>
      <c r="N65" s="121">
        <f t="shared" si="10"/>
        <v>1</v>
      </c>
      <c r="O65" s="144">
        <f t="shared" si="12"/>
        <v>1</v>
      </c>
    </row>
    <row r="66" spans="2:15" x14ac:dyDescent="0.25">
      <c r="B66" s="136">
        <v>254852</v>
      </c>
      <c r="C66" s="137" t="s">
        <v>17</v>
      </c>
      <c r="D66" s="145"/>
      <c r="E66" s="139"/>
      <c r="F66" s="136"/>
      <c r="G66" s="141"/>
      <c r="H66" s="141"/>
      <c r="I66" s="142"/>
      <c r="J66" s="142"/>
      <c r="K66" s="141"/>
      <c r="L66" s="138">
        <f t="shared" si="11"/>
        <v>0</v>
      </c>
      <c r="M66" s="143">
        <f t="shared" si="13"/>
        <v>0</v>
      </c>
      <c r="N66" s="121">
        <f t="shared" si="10"/>
        <v>0</v>
      </c>
      <c r="O66" s="144">
        <f t="shared" si="12"/>
        <v>0</v>
      </c>
    </row>
    <row r="67" spans="2:15" x14ac:dyDescent="0.25">
      <c r="B67" s="136">
        <v>254963</v>
      </c>
      <c r="C67" s="137" t="s">
        <v>27</v>
      </c>
      <c r="D67" s="145">
        <v>225</v>
      </c>
      <c r="E67" s="139"/>
      <c r="F67" s="136"/>
      <c r="G67" s="141"/>
      <c r="H67" s="141"/>
      <c r="I67" s="142"/>
      <c r="J67" s="142"/>
      <c r="K67" s="141">
        <v>225</v>
      </c>
      <c r="L67" s="138">
        <f t="shared" si="11"/>
        <v>225</v>
      </c>
      <c r="M67" s="143">
        <f t="shared" si="13"/>
        <v>0</v>
      </c>
      <c r="N67" s="121">
        <f t="shared" si="10"/>
        <v>1</v>
      </c>
      <c r="O67" s="144">
        <f t="shared" si="12"/>
        <v>1</v>
      </c>
    </row>
    <row r="68" spans="2:15" x14ac:dyDescent="0.25">
      <c r="B68" s="136">
        <v>255430</v>
      </c>
      <c r="C68" s="137" t="s">
        <v>53</v>
      </c>
      <c r="D68" s="145">
        <v>500</v>
      </c>
      <c r="E68" s="139"/>
      <c r="F68" s="136"/>
      <c r="G68" s="141"/>
      <c r="H68" s="141"/>
      <c r="I68" s="142"/>
      <c r="J68" s="142">
        <v>250</v>
      </c>
      <c r="K68" s="141"/>
      <c r="L68" s="138">
        <f t="shared" si="11"/>
        <v>250</v>
      </c>
      <c r="M68" s="143">
        <f t="shared" si="13"/>
        <v>250</v>
      </c>
      <c r="N68" s="121">
        <f t="shared" si="10"/>
        <v>0.5</v>
      </c>
      <c r="O68" s="144">
        <f t="shared" si="12"/>
        <v>0.5</v>
      </c>
    </row>
    <row r="69" spans="2:15" x14ac:dyDescent="0.25">
      <c r="B69" s="136">
        <v>255341</v>
      </c>
      <c r="C69" s="137" t="s">
        <v>50</v>
      </c>
      <c r="D69" s="145">
        <v>675</v>
      </c>
      <c r="E69" s="139"/>
      <c r="F69" s="136">
        <v>225</v>
      </c>
      <c r="G69" s="141"/>
      <c r="H69" s="141">
        <v>225</v>
      </c>
      <c r="I69" s="142"/>
      <c r="J69" s="142">
        <v>225</v>
      </c>
      <c r="K69" s="141"/>
      <c r="L69" s="138">
        <f t="shared" si="11"/>
        <v>675</v>
      </c>
      <c r="M69" s="143">
        <f t="shared" si="13"/>
        <v>0</v>
      </c>
      <c r="N69" s="121">
        <f t="shared" si="10"/>
        <v>1</v>
      </c>
      <c r="O69" s="147">
        <f t="shared" si="12"/>
        <v>1</v>
      </c>
    </row>
    <row r="70" spans="2:15" x14ac:dyDescent="0.25">
      <c r="B70" s="136">
        <v>254988</v>
      </c>
      <c r="C70" s="137" t="s">
        <v>54</v>
      </c>
      <c r="D70" s="145">
        <v>675</v>
      </c>
      <c r="E70" s="139"/>
      <c r="F70" s="136">
        <v>225</v>
      </c>
      <c r="G70" s="141"/>
      <c r="H70" s="141"/>
      <c r="I70" s="142"/>
      <c r="J70" s="142"/>
      <c r="K70" s="141"/>
      <c r="L70" s="138">
        <f t="shared" si="11"/>
        <v>225</v>
      </c>
      <c r="M70" s="143">
        <f t="shared" si="13"/>
        <v>450</v>
      </c>
      <c r="N70" s="121">
        <f t="shared" si="10"/>
        <v>0.33333333333333331</v>
      </c>
      <c r="O70" s="147">
        <f t="shared" si="12"/>
        <v>0.33333333333333331</v>
      </c>
    </row>
    <row r="71" spans="2:15" x14ac:dyDescent="0.25">
      <c r="B71" s="136">
        <v>254954</v>
      </c>
      <c r="C71" s="137" t="s">
        <v>33</v>
      </c>
      <c r="D71" s="145"/>
      <c r="E71" s="139"/>
      <c r="F71" s="136"/>
      <c r="G71" s="141"/>
      <c r="H71" s="141"/>
      <c r="I71" s="142"/>
      <c r="J71" s="142"/>
      <c r="K71" s="141"/>
      <c r="L71" s="138">
        <f t="shared" si="11"/>
        <v>0</v>
      </c>
      <c r="M71" s="143">
        <f t="shared" si="13"/>
        <v>0</v>
      </c>
      <c r="N71" s="121">
        <f t="shared" si="10"/>
        <v>0</v>
      </c>
      <c r="O71" s="147">
        <f t="shared" si="12"/>
        <v>0</v>
      </c>
    </row>
    <row r="72" spans="2:15" x14ac:dyDescent="0.25">
      <c r="B72" s="136">
        <v>254950</v>
      </c>
      <c r="C72" s="137" t="s">
        <v>32</v>
      </c>
      <c r="D72" s="145"/>
      <c r="E72" s="139"/>
      <c r="F72" s="136"/>
      <c r="G72" s="141"/>
      <c r="H72" s="141"/>
      <c r="I72" s="142"/>
      <c r="J72" s="142"/>
      <c r="K72" s="141"/>
      <c r="L72" s="138">
        <f t="shared" si="11"/>
        <v>0</v>
      </c>
      <c r="M72" s="143">
        <f t="shared" si="13"/>
        <v>0</v>
      </c>
      <c r="N72" s="121">
        <f t="shared" si="10"/>
        <v>0</v>
      </c>
      <c r="O72" s="147">
        <f t="shared" si="12"/>
        <v>0</v>
      </c>
    </row>
    <row r="73" spans="2:15" x14ac:dyDescent="0.25">
      <c r="B73" s="136">
        <v>254975</v>
      </c>
      <c r="C73" s="137" t="s">
        <v>30</v>
      </c>
      <c r="D73" s="145"/>
      <c r="E73" s="139"/>
      <c r="F73" s="136"/>
      <c r="G73" s="141"/>
      <c r="H73" s="141"/>
      <c r="I73" s="142"/>
      <c r="J73" s="142"/>
      <c r="K73" s="141"/>
      <c r="L73" s="138">
        <f t="shared" si="11"/>
        <v>0</v>
      </c>
      <c r="M73" s="143">
        <f t="shared" si="13"/>
        <v>0</v>
      </c>
      <c r="N73" s="121">
        <f t="shared" si="10"/>
        <v>0</v>
      </c>
      <c r="O73" s="147">
        <f t="shared" si="12"/>
        <v>0</v>
      </c>
    </row>
    <row r="74" spans="2:15" x14ac:dyDescent="0.25">
      <c r="B74" s="136">
        <v>254976</v>
      </c>
      <c r="C74" s="137" t="s">
        <v>31</v>
      </c>
      <c r="D74" s="138"/>
      <c r="E74" s="139"/>
      <c r="F74" s="136"/>
      <c r="G74" s="141"/>
      <c r="H74" s="141"/>
      <c r="I74" s="142"/>
      <c r="J74" s="142"/>
      <c r="K74" s="141"/>
      <c r="L74" s="138">
        <f t="shared" si="11"/>
        <v>0</v>
      </c>
      <c r="M74" s="143">
        <f t="shared" si="13"/>
        <v>0</v>
      </c>
      <c r="N74" s="121">
        <f t="shared" si="10"/>
        <v>0</v>
      </c>
      <c r="O74" s="147">
        <f t="shared" si="12"/>
        <v>0</v>
      </c>
    </row>
    <row r="75" spans="2:15" x14ac:dyDescent="0.25">
      <c r="B75" s="136">
        <v>255382</v>
      </c>
      <c r="C75" s="137" t="s">
        <v>56</v>
      </c>
      <c r="D75" s="138">
        <v>6500</v>
      </c>
      <c r="E75" s="139"/>
      <c r="F75" s="136"/>
      <c r="G75" s="141">
        <f>3*260</f>
        <v>780</v>
      </c>
      <c r="H75" s="141">
        <f>4*260</f>
        <v>1040</v>
      </c>
      <c r="I75" s="142">
        <f>3*260</f>
        <v>780</v>
      </c>
      <c r="J75" s="142">
        <f>3*260</f>
        <v>780</v>
      </c>
      <c r="K75" s="141">
        <f>3*260</f>
        <v>780</v>
      </c>
      <c r="L75" s="138">
        <f>SUM(F75:K75)</f>
        <v>4160</v>
      </c>
      <c r="M75" s="143">
        <f>+SUM(D75:E75)-L75</f>
        <v>2340</v>
      </c>
      <c r="N75" s="121">
        <f>IF(L75=0,0,IFERROR(L75/D75,"REQ ADICIONAL"))</f>
        <v>0.64</v>
      </c>
      <c r="O75" s="147">
        <f>IFERROR(L75/SUM(D75:E75),0)</f>
        <v>0.64</v>
      </c>
    </row>
    <row r="76" spans="2:15" x14ac:dyDescent="0.25">
      <c r="B76" s="136">
        <v>251632</v>
      </c>
      <c r="C76" s="137" t="s">
        <v>51</v>
      </c>
      <c r="D76" s="138">
        <v>180</v>
      </c>
      <c r="E76" s="139"/>
      <c r="F76" s="136"/>
      <c r="G76" s="141"/>
      <c r="H76" s="141"/>
      <c r="I76" s="142"/>
      <c r="J76" s="142"/>
      <c r="K76" s="141"/>
      <c r="L76" s="138">
        <f t="shared" si="11"/>
        <v>0</v>
      </c>
      <c r="M76" s="143">
        <f t="shared" si="13"/>
        <v>180</v>
      </c>
      <c r="N76" s="121">
        <f t="shared" si="10"/>
        <v>0</v>
      </c>
      <c r="O76" s="147">
        <f t="shared" si="12"/>
        <v>0</v>
      </c>
    </row>
    <row r="77" spans="2:15" x14ac:dyDescent="0.25">
      <c r="B77" s="136">
        <v>251406</v>
      </c>
      <c r="C77" s="137" t="s">
        <v>42</v>
      </c>
      <c r="D77" s="138"/>
      <c r="E77" s="139"/>
      <c r="F77" s="136"/>
      <c r="G77" s="141"/>
      <c r="H77" s="141"/>
      <c r="I77" s="142"/>
      <c r="J77" s="142"/>
      <c r="K77" s="141"/>
      <c r="L77" s="138">
        <f t="shared" si="11"/>
        <v>0</v>
      </c>
      <c r="M77" s="143">
        <f t="shared" si="13"/>
        <v>0</v>
      </c>
      <c r="N77" s="121">
        <f t="shared" si="10"/>
        <v>0</v>
      </c>
      <c r="O77" s="147">
        <f t="shared" si="12"/>
        <v>0</v>
      </c>
    </row>
    <row r="78" spans="2:15" x14ac:dyDescent="0.25">
      <c r="B78" s="136">
        <v>254845</v>
      </c>
      <c r="C78" s="137" t="s">
        <v>40</v>
      </c>
      <c r="D78" s="138"/>
      <c r="E78" s="139"/>
      <c r="F78" s="136"/>
      <c r="G78" s="141"/>
      <c r="H78" s="141"/>
      <c r="I78" s="142"/>
      <c r="J78" s="142"/>
      <c r="K78" s="141"/>
      <c r="L78" s="138">
        <f t="shared" si="11"/>
        <v>0</v>
      </c>
      <c r="M78" s="143">
        <f t="shared" si="13"/>
        <v>0</v>
      </c>
      <c r="N78" s="121">
        <f t="shared" si="10"/>
        <v>0</v>
      </c>
      <c r="O78" s="147">
        <f t="shared" si="12"/>
        <v>0</v>
      </c>
    </row>
    <row r="79" spans="2:15" x14ac:dyDescent="0.25">
      <c r="B79" s="136">
        <v>254846</v>
      </c>
      <c r="C79" s="137" t="s">
        <v>41</v>
      </c>
      <c r="D79" s="138"/>
      <c r="E79" s="139"/>
      <c r="F79" s="136"/>
      <c r="G79" s="141"/>
      <c r="H79" s="141"/>
      <c r="I79" s="142"/>
      <c r="J79" s="142"/>
      <c r="K79" s="141"/>
      <c r="L79" s="138">
        <f t="shared" si="11"/>
        <v>0</v>
      </c>
      <c r="M79" s="143">
        <f t="shared" si="13"/>
        <v>0</v>
      </c>
      <c r="N79" s="121">
        <f t="shared" si="10"/>
        <v>0</v>
      </c>
      <c r="O79" s="147">
        <f t="shared" si="12"/>
        <v>0</v>
      </c>
    </row>
    <row r="80" spans="2:15" ht="15.75" thickBot="1" x14ac:dyDescent="0.3">
      <c r="B80" s="136">
        <v>255429</v>
      </c>
      <c r="C80" s="137" t="s">
        <v>52</v>
      </c>
      <c r="D80" s="148">
        <v>250</v>
      </c>
      <c r="E80" s="149"/>
      <c r="F80" s="146"/>
      <c r="G80" s="150"/>
      <c r="H80" s="150"/>
      <c r="I80" s="151"/>
      <c r="J80" s="151">
        <f>250</f>
        <v>250</v>
      </c>
      <c r="K80" s="150"/>
      <c r="L80" s="148">
        <f t="shared" si="11"/>
        <v>250</v>
      </c>
      <c r="M80" s="152">
        <f t="shared" si="13"/>
        <v>0</v>
      </c>
      <c r="N80" s="153">
        <f t="shared" si="10"/>
        <v>1</v>
      </c>
      <c r="O80" s="154">
        <f t="shared" si="12"/>
        <v>1</v>
      </c>
    </row>
    <row r="81" spans="2:15" ht="16.5" thickBot="1" x14ac:dyDescent="0.3">
      <c r="C81" s="114" t="s">
        <v>87</v>
      </c>
      <c r="D81" s="155">
        <f>SUM(D57:D80)</f>
        <v>12070</v>
      </c>
      <c r="E81" s="156">
        <f>SUM(E57:E80)</f>
        <v>960</v>
      </c>
      <c r="F81" s="157">
        <f t="shared" ref="F81:K81" si="14">SUM(F57:F80)</f>
        <v>1010</v>
      </c>
      <c r="G81" s="157">
        <f t="shared" si="14"/>
        <v>900</v>
      </c>
      <c r="H81" s="157">
        <f t="shared" si="14"/>
        <v>1665</v>
      </c>
      <c r="I81" s="157">
        <f t="shared" si="14"/>
        <v>1426</v>
      </c>
      <c r="J81" s="157">
        <f t="shared" si="14"/>
        <v>1809</v>
      </c>
      <c r="K81" s="157">
        <f t="shared" si="14"/>
        <v>1485</v>
      </c>
      <c r="L81" s="158">
        <f>SUM(L57:L80)</f>
        <v>8295</v>
      </c>
      <c r="M81" s="159">
        <f t="shared" si="13"/>
        <v>4735</v>
      </c>
      <c r="N81" s="172">
        <f>L81/D81</f>
        <v>0.68724109362054686</v>
      </c>
      <c r="O81" s="173">
        <f>+L81/SUM(D81:E81)</f>
        <v>0.63660782808902527</v>
      </c>
    </row>
    <row r="84" spans="2:15" ht="30.75" thickBot="1" x14ac:dyDescent="0.3">
      <c r="B84" s="114" t="s">
        <v>34</v>
      </c>
      <c r="C84" s="114" t="s">
        <v>9</v>
      </c>
      <c r="D84" s="108" t="s">
        <v>85</v>
      </c>
      <c r="E84" s="163" t="s">
        <v>86</v>
      </c>
      <c r="F84" s="117">
        <v>42882</v>
      </c>
      <c r="G84" s="117">
        <f>+F84+2</f>
        <v>42884</v>
      </c>
      <c r="H84" s="117">
        <f>+G84+1</f>
        <v>42885</v>
      </c>
      <c r="I84" s="117">
        <f>+H84+1</f>
        <v>42886</v>
      </c>
      <c r="J84" s="117">
        <f>+I84+1</f>
        <v>42887</v>
      </c>
      <c r="K84" s="117">
        <f>+J84+1</f>
        <v>42888</v>
      </c>
      <c r="L84" s="108" t="s">
        <v>87</v>
      </c>
      <c r="M84" s="164" t="s">
        <v>88</v>
      </c>
      <c r="N84" s="117" t="s">
        <v>89</v>
      </c>
      <c r="O84" s="117" t="s">
        <v>90</v>
      </c>
    </row>
    <row r="85" spans="2:15" x14ac:dyDescent="0.25">
      <c r="B85" s="6">
        <v>254849</v>
      </c>
      <c r="C85" s="6" t="s">
        <v>0</v>
      </c>
      <c r="D85" s="138">
        <v>180</v>
      </c>
      <c r="E85" s="139"/>
      <c r="F85" s="166"/>
      <c r="G85" s="166"/>
      <c r="H85" s="166"/>
      <c r="I85" s="167"/>
      <c r="J85" s="167"/>
      <c r="K85" s="166">
        <v>180</v>
      </c>
      <c r="L85" s="168">
        <f>SUM(F85:K85)</f>
        <v>180</v>
      </c>
      <c r="M85" s="169">
        <f>+SUM(D85:E85)-L85</f>
        <v>0</v>
      </c>
      <c r="N85" s="170">
        <f t="shared" ref="N85:N106" si="15">IF(L85=0,0,IFERROR(L85/D85,"REQ ADICIONAL"))</f>
        <v>1</v>
      </c>
      <c r="O85" s="171">
        <f>IFERROR(L85/SUM(D85:E85),0)</f>
        <v>1</v>
      </c>
    </row>
    <row r="86" spans="2:15" x14ac:dyDescent="0.25">
      <c r="B86" s="3">
        <v>254851</v>
      </c>
      <c r="C86" s="3" t="s">
        <v>1</v>
      </c>
      <c r="D86" s="145">
        <v>0</v>
      </c>
      <c r="E86" s="139"/>
      <c r="F86" s="141"/>
      <c r="G86" s="141"/>
      <c r="H86" s="141"/>
      <c r="I86" s="142"/>
      <c r="J86" s="142"/>
      <c r="K86" s="141"/>
      <c r="L86" s="138">
        <f t="shared" ref="L86:L102" si="16">SUM(F86:K86)</f>
        <v>0</v>
      </c>
      <c r="M86" s="143">
        <f>+SUM(D86:E86)-L86</f>
        <v>0</v>
      </c>
      <c r="N86" s="121">
        <f t="shared" si="15"/>
        <v>0</v>
      </c>
      <c r="O86" s="144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5">
        <v>0</v>
      </c>
      <c r="E87" s="139"/>
      <c r="F87" s="141"/>
      <c r="G87" s="141"/>
      <c r="H87" s="141"/>
      <c r="I87" s="142"/>
      <c r="J87" s="142"/>
      <c r="K87" s="141"/>
      <c r="L87" s="138">
        <f t="shared" si="16"/>
        <v>0</v>
      </c>
      <c r="M87" s="143">
        <f>+SUM(D87:E87)-L87</f>
        <v>0</v>
      </c>
      <c r="N87" s="121">
        <f t="shared" si="15"/>
        <v>0</v>
      </c>
      <c r="O87" s="144">
        <f t="shared" si="17"/>
        <v>0</v>
      </c>
    </row>
    <row r="88" spans="2:15" x14ac:dyDescent="0.25">
      <c r="B88" s="3">
        <v>254850</v>
      </c>
      <c r="C88" s="3" t="s">
        <v>3</v>
      </c>
      <c r="D88" s="145">
        <v>960</v>
      </c>
      <c r="E88" s="139">
        <f>780+840</f>
        <v>1620</v>
      </c>
      <c r="F88" s="141"/>
      <c r="G88" s="141">
        <f>6*60</f>
        <v>360</v>
      </c>
      <c r="H88" s="141">
        <v>540</v>
      </c>
      <c r="I88" s="142"/>
      <c r="J88" s="142">
        <f>14*60</f>
        <v>840</v>
      </c>
      <c r="K88" s="141">
        <f>14*60</f>
        <v>840</v>
      </c>
      <c r="L88" s="138">
        <f t="shared" si="16"/>
        <v>2580</v>
      </c>
      <c r="M88" s="143">
        <f>+SUM(D88:E88)-L88</f>
        <v>0</v>
      </c>
      <c r="N88" s="121">
        <f t="shared" si="15"/>
        <v>2.6875</v>
      </c>
      <c r="O88" s="144">
        <f t="shared" si="17"/>
        <v>1</v>
      </c>
    </row>
    <row r="89" spans="2:15" x14ac:dyDescent="0.25">
      <c r="B89" s="19">
        <v>251385</v>
      </c>
      <c r="C89" s="3" t="s">
        <v>4</v>
      </c>
      <c r="D89" s="145">
        <v>2400</v>
      </c>
      <c r="E89" s="139">
        <v>640</v>
      </c>
      <c r="F89" s="141"/>
      <c r="G89" s="141">
        <f>10*80</f>
        <v>800</v>
      </c>
      <c r="H89" s="141">
        <v>1520</v>
      </c>
      <c r="I89" s="142"/>
      <c r="J89" s="142">
        <f>9*80</f>
        <v>720</v>
      </c>
      <c r="K89" s="141"/>
      <c r="L89" s="138">
        <f t="shared" si="16"/>
        <v>3040</v>
      </c>
      <c r="M89" s="143">
        <f>+SUM(D89:E89)-L89</f>
        <v>0</v>
      </c>
      <c r="N89" s="121">
        <f t="shared" si="15"/>
        <v>1.2666666666666666</v>
      </c>
      <c r="O89" s="144">
        <f t="shared" si="17"/>
        <v>1</v>
      </c>
    </row>
    <row r="90" spans="2:15" x14ac:dyDescent="0.25">
      <c r="B90" s="19">
        <v>251196</v>
      </c>
      <c r="C90" s="3" t="s">
        <v>5</v>
      </c>
      <c r="D90" s="145">
        <v>0</v>
      </c>
      <c r="E90" s="139"/>
      <c r="F90" s="141"/>
      <c r="G90" s="141"/>
      <c r="H90" s="141"/>
      <c r="I90" s="142"/>
      <c r="J90" s="142"/>
      <c r="K90" s="141"/>
      <c r="L90" s="138">
        <f t="shared" si="16"/>
        <v>0</v>
      </c>
      <c r="M90" s="143">
        <f t="shared" ref="M90:M102" si="18">+SUM(D90:E90)-L90</f>
        <v>0</v>
      </c>
      <c r="N90" s="121">
        <f t="shared" si="15"/>
        <v>0</v>
      </c>
      <c r="O90" s="144">
        <f t="shared" si="17"/>
        <v>0</v>
      </c>
    </row>
    <row r="91" spans="2:15" x14ac:dyDescent="0.25">
      <c r="B91" s="19">
        <v>250524</v>
      </c>
      <c r="C91" s="3" t="s">
        <v>6</v>
      </c>
      <c r="D91" s="145">
        <v>80</v>
      </c>
      <c r="E91" s="139">
        <v>160</v>
      </c>
      <c r="F91" s="141"/>
      <c r="G91" s="141">
        <v>80</v>
      </c>
      <c r="H91" s="141"/>
      <c r="I91" s="142"/>
      <c r="J91" s="142">
        <f>2*80</f>
        <v>160</v>
      </c>
      <c r="K91" s="141"/>
      <c r="L91" s="138">
        <f t="shared" si="16"/>
        <v>240</v>
      </c>
      <c r="M91" s="143">
        <f t="shared" si="18"/>
        <v>0</v>
      </c>
      <c r="N91" s="121">
        <f t="shared" si="15"/>
        <v>3</v>
      </c>
      <c r="O91" s="144">
        <f t="shared" si="17"/>
        <v>1</v>
      </c>
    </row>
    <row r="92" spans="2:15" x14ac:dyDescent="0.25">
      <c r="B92" s="19">
        <v>252534</v>
      </c>
      <c r="C92" s="3" t="s">
        <v>7</v>
      </c>
      <c r="D92" s="145">
        <v>900</v>
      </c>
      <c r="E92" s="139"/>
      <c r="F92" s="141"/>
      <c r="G92" s="141">
        <v>225</v>
      </c>
      <c r="H92" s="141"/>
      <c r="I92" s="142"/>
      <c r="J92" s="142"/>
      <c r="K92" s="141"/>
      <c r="L92" s="138">
        <f t="shared" si="16"/>
        <v>225</v>
      </c>
      <c r="M92" s="143">
        <f t="shared" si="18"/>
        <v>675</v>
      </c>
      <c r="N92" s="121">
        <f t="shared" si="15"/>
        <v>0.25</v>
      </c>
      <c r="O92" s="144">
        <f t="shared" si="17"/>
        <v>0.25</v>
      </c>
    </row>
    <row r="93" spans="2:15" x14ac:dyDescent="0.25">
      <c r="B93" s="19">
        <v>251151</v>
      </c>
      <c r="C93" s="3" t="s">
        <v>8</v>
      </c>
      <c r="D93" s="145">
        <v>450</v>
      </c>
      <c r="E93" s="139">
        <v>450</v>
      </c>
      <c r="F93" s="141">
        <v>225</v>
      </c>
      <c r="G93" s="141"/>
      <c r="H93" s="141">
        <v>225</v>
      </c>
      <c r="I93" s="142">
        <v>225</v>
      </c>
      <c r="J93" s="142">
        <f>3*45</f>
        <v>135</v>
      </c>
      <c r="K93" s="141">
        <v>90</v>
      </c>
      <c r="L93" s="138">
        <f t="shared" si="16"/>
        <v>900</v>
      </c>
      <c r="M93" s="143">
        <f t="shared" si="18"/>
        <v>0</v>
      </c>
      <c r="N93" s="121">
        <f t="shared" si="15"/>
        <v>2</v>
      </c>
      <c r="O93" s="144">
        <f t="shared" si="17"/>
        <v>1</v>
      </c>
    </row>
    <row r="94" spans="2:15" x14ac:dyDescent="0.25">
      <c r="B94" s="19">
        <v>254852</v>
      </c>
      <c r="C94" s="3" t="s">
        <v>17</v>
      </c>
      <c r="D94" s="145">
        <v>0</v>
      </c>
      <c r="E94" s="139">
        <v>225</v>
      </c>
      <c r="F94" s="141"/>
      <c r="G94" s="141"/>
      <c r="H94" s="141"/>
      <c r="I94" s="142">
        <v>225</v>
      </c>
      <c r="J94" s="142"/>
      <c r="K94" s="141"/>
      <c r="L94" s="138">
        <f t="shared" si="16"/>
        <v>225</v>
      </c>
      <c r="M94" s="143">
        <f t="shared" si="18"/>
        <v>0</v>
      </c>
      <c r="N94" s="121" t="str">
        <f t="shared" si="15"/>
        <v>REQ ADICIONAL</v>
      </c>
      <c r="O94" s="144">
        <f t="shared" si="17"/>
        <v>1</v>
      </c>
    </row>
    <row r="95" spans="2:15" x14ac:dyDescent="0.25">
      <c r="B95" s="3">
        <v>255430</v>
      </c>
      <c r="C95" s="3" t="s">
        <v>53</v>
      </c>
      <c r="D95" s="145">
        <v>500</v>
      </c>
      <c r="E95" s="139"/>
      <c r="F95" s="141"/>
      <c r="G95" s="141"/>
      <c r="H95" s="141"/>
      <c r="I95" s="142"/>
      <c r="J95" s="142"/>
      <c r="K95" s="141"/>
      <c r="L95" s="138">
        <f t="shared" si="16"/>
        <v>0</v>
      </c>
      <c r="M95" s="143">
        <f t="shared" si="18"/>
        <v>500</v>
      </c>
      <c r="N95" s="121">
        <f t="shared" si="15"/>
        <v>0</v>
      </c>
      <c r="O95" s="144">
        <f t="shared" si="17"/>
        <v>0</v>
      </c>
    </row>
    <row r="96" spans="2:15" x14ac:dyDescent="0.25">
      <c r="B96" s="19">
        <v>255341</v>
      </c>
      <c r="C96" s="19" t="s">
        <v>50</v>
      </c>
      <c r="D96" s="145">
        <v>225</v>
      </c>
      <c r="E96" s="139"/>
      <c r="F96" s="141"/>
      <c r="G96" s="141"/>
      <c r="H96" s="141"/>
      <c r="I96" s="142"/>
      <c r="J96" s="142"/>
      <c r="K96" s="141"/>
      <c r="L96" s="138">
        <f t="shared" si="16"/>
        <v>0</v>
      </c>
      <c r="M96" s="143">
        <f t="shared" si="18"/>
        <v>225</v>
      </c>
      <c r="N96" s="121">
        <f t="shared" si="15"/>
        <v>0</v>
      </c>
      <c r="O96" s="144">
        <f t="shared" si="17"/>
        <v>0</v>
      </c>
    </row>
    <row r="97" spans="2:15" x14ac:dyDescent="0.25">
      <c r="B97" s="3">
        <v>254988</v>
      </c>
      <c r="C97" s="3" t="s">
        <v>54</v>
      </c>
      <c r="D97" s="145">
        <v>1125</v>
      </c>
      <c r="E97" s="139"/>
      <c r="F97" s="141"/>
      <c r="G97" s="141"/>
      <c r="H97" s="141">
        <v>225</v>
      </c>
      <c r="I97" s="142">
        <v>450</v>
      </c>
      <c r="J97" s="142">
        <f>45+21</f>
        <v>66</v>
      </c>
      <c r="K97" s="141">
        <v>159</v>
      </c>
      <c r="L97" s="138">
        <f t="shared" si="16"/>
        <v>900</v>
      </c>
      <c r="M97" s="143">
        <f t="shared" si="18"/>
        <v>225</v>
      </c>
      <c r="N97" s="121">
        <f t="shared" si="15"/>
        <v>0.8</v>
      </c>
      <c r="O97" s="147">
        <f t="shared" si="17"/>
        <v>0.8</v>
      </c>
    </row>
    <row r="98" spans="2:15" x14ac:dyDescent="0.25">
      <c r="B98" s="31">
        <v>254954</v>
      </c>
      <c r="C98" s="3" t="s">
        <v>33</v>
      </c>
      <c r="D98" s="145">
        <v>0</v>
      </c>
      <c r="E98" s="139"/>
      <c r="F98" s="141"/>
      <c r="G98" s="141"/>
      <c r="H98" s="141"/>
      <c r="I98" s="142"/>
      <c r="J98" s="142"/>
      <c r="K98" s="141"/>
      <c r="L98" s="138">
        <f t="shared" si="16"/>
        <v>0</v>
      </c>
      <c r="M98" s="143">
        <f t="shared" si="18"/>
        <v>0</v>
      </c>
      <c r="N98" s="121">
        <f t="shared" si="15"/>
        <v>0</v>
      </c>
      <c r="O98" s="147">
        <f t="shared" si="17"/>
        <v>0</v>
      </c>
    </row>
    <row r="99" spans="2:15" x14ac:dyDescent="0.25">
      <c r="B99" s="3">
        <v>254950</v>
      </c>
      <c r="C99" s="3" t="s">
        <v>32</v>
      </c>
      <c r="D99" s="145">
        <v>0</v>
      </c>
      <c r="E99" s="139"/>
      <c r="F99" s="141"/>
      <c r="G99" s="141"/>
      <c r="H99" s="141"/>
      <c r="I99" s="142"/>
      <c r="J99" s="142"/>
      <c r="K99" s="141"/>
      <c r="L99" s="138">
        <f t="shared" si="16"/>
        <v>0</v>
      </c>
      <c r="M99" s="143">
        <f t="shared" si="18"/>
        <v>0</v>
      </c>
      <c r="N99" s="121">
        <f t="shared" si="15"/>
        <v>0</v>
      </c>
      <c r="O99" s="147">
        <f t="shared" si="17"/>
        <v>0</v>
      </c>
    </row>
    <row r="100" spans="2:15" x14ac:dyDescent="0.25">
      <c r="B100" s="31">
        <v>254963</v>
      </c>
      <c r="C100" s="3" t="s">
        <v>27</v>
      </c>
      <c r="D100" s="145">
        <v>225</v>
      </c>
      <c r="E100" s="139"/>
      <c r="F100" s="141"/>
      <c r="G100" s="141"/>
      <c r="H100" s="141"/>
      <c r="I100" s="142"/>
      <c r="J100" s="142"/>
      <c r="K100" s="141"/>
      <c r="L100" s="138">
        <f t="shared" si="16"/>
        <v>0</v>
      </c>
      <c r="M100" s="143">
        <f t="shared" si="18"/>
        <v>225</v>
      </c>
      <c r="N100" s="121">
        <f t="shared" si="15"/>
        <v>0</v>
      </c>
      <c r="O100" s="147">
        <f t="shared" si="17"/>
        <v>0</v>
      </c>
    </row>
    <row r="101" spans="2:15" x14ac:dyDescent="0.25">
      <c r="B101" s="3">
        <v>255382</v>
      </c>
      <c r="C101" s="3" t="s">
        <v>56</v>
      </c>
      <c r="D101" s="145">
        <v>4160</v>
      </c>
      <c r="E101" s="139"/>
      <c r="F101" s="141">
        <f>2*260</f>
        <v>520</v>
      </c>
      <c r="G101" s="141">
        <f>3*260</f>
        <v>780</v>
      </c>
      <c r="H101" s="141"/>
      <c r="I101" s="142"/>
      <c r="J101" s="142"/>
      <c r="K101" s="141"/>
      <c r="L101" s="138">
        <f t="shared" si="16"/>
        <v>1300</v>
      </c>
      <c r="M101" s="143">
        <f t="shared" si="18"/>
        <v>2860</v>
      </c>
      <c r="N101" s="121">
        <f t="shared" si="15"/>
        <v>0.3125</v>
      </c>
      <c r="O101" s="147">
        <f t="shared" si="17"/>
        <v>0.3125</v>
      </c>
    </row>
    <row r="102" spans="2:15" x14ac:dyDescent="0.25">
      <c r="B102" s="19">
        <v>251632</v>
      </c>
      <c r="C102" s="19" t="s">
        <v>51</v>
      </c>
      <c r="D102" s="138">
        <v>180</v>
      </c>
      <c r="E102" s="139"/>
      <c r="F102" s="141"/>
      <c r="G102" s="141"/>
      <c r="H102" s="141"/>
      <c r="I102" s="142">
        <v>180</v>
      </c>
      <c r="J102" s="142"/>
      <c r="K102" s="141"/>
      <c r="L102" s="138">
        <f t="shared" si="16"/>
        <v>180</v>
      </c>
      <c r="M102" s="143">
        <f t="shared" si="18"/>
        <v>0</v>
      </c>
      <c r="N102" s="121">
        <f t="shared" si="15"/>
        <v>1</v>
      </c>
      <c r="O102" s="147">
        <f t="shared" si="17"/>
        <v>1</v>
      </c>
    </row>
    <row r="103" spans="2:15" x14ac:dyDescent="0.25">
      <c r="B103" s="3">
        <v>251406</v>
      </c>
      <c r="C103" s="3" t="s">
        <v>42</v>
      </c>
      <c r="D103" s="138">
        <v>0</v>
      </c>
      <c r="E103" s="139"/>
      <c r="F103" s="141"/>
      <c r="G103" s="141"/>
      <c r="H103" s="141"/>
      <c r="I103" s="142"/>
      <c r="J103" s="142"/>
      <c r="K103" s="141"/>
      <c r="L103" s="138">
        <f>SUM(F103:K103)</f>
        <v>0</v>
      </c>
      <c r="M103" s="143">
        <f>+SUM(D103:E103)-L103</f>
        <v>0</v>
      </c>
      <c r="N103" s="121">
        <f t="shared" si="15"/>
        <v>0</v>
      </c>
      <c r="O103" s="147">
        <f t="shared" si="17"/>
        <v>0</v>
      </c>
    </row>
    <row r="104" spans="2:15" x14ac:dyDescent="0.25">
      <c r="B104" s="31">
        <v>254845</v>
      </c>
      <c r="C104" s="3" t="s">
        <v>40</v>
      </c>
      <c r="D104" s="138">
        <v>0</v>
      </c>
      <c r="E104" s="139"/>
      <c r="F104" s="141"/>
      <c r="G104" s="141"/>
      <c r="H104" s="141"/>
      <c r="I104" s="142"/>
      <c r="J104" s="142"/>
      <c r="K104" s="141"/>
      <c r="L104" s="138">
        <f>SUM(F104:K104)</f>
        <v>0</v>
      </c>
      <c r="M104" s="143">
        <f>+SUM(D104:E104)-L104</f>
        <v>0</v>
      </c>
      <c r="N104" s="121">
        <f t="shared" si="15"/>
        <v>0</v>
      </c>
      <c r="O104" s="147">
        <f t="shared" si="17"/>
        <v>0</v>
      </c>
    </row>
    <row r="105" spans="2:15" x14ac:dyDescent="0.25">
      <c r="B105" s="3">
        <v>254846</v>
      </c>
      <c r="C105" s="3" t="s">
        <v>41</v>
      </c>
      <c r="D105" s="138">
        <v>0</v>
      </c>
      <c r="E105" s="139"/>
      <c r="F105" s="141"/>
      <c r="G105" s="141"/>
      <c r="H105" s="141"/>
      <c r="I105" s="142"/>
      <c r="J105" s="142"/>
      <c r="K105" s="141"/>
      <c r="L105" s="138">
        <f>SUM(F105:K105)</f>
        <v>0</v>
      </c>
      <c r="M105" s="143">
        <f>+SUM(D105:E105)-L105</f>
        <v>0</v>
      </c>
      <c r="N105" s="121">
        <f t="shared" si="15"/>
        <v>0</v>
      </c>
      <c r="O105" s="147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8">
        <v>0</v>
      </c>
      <c r="E106" s="139"/>
      <c r="F106" s="141"/>
      <c r="G106" s="141"/>
      <c r="H106" s="141"/>
      <c r="I106" s="142"/>
      <c r="J106" s="142"/>
      <c r="K106" s="141"/>
      <c r="L106" s="138">
        <f>SUM(F106:K106)</f>
        <v>0</v>
      </c>
      <c r="M106" s="143">
        <f>+SUM(D106:E106)-L106</f>
        <v>0</v>
      </c>
      <c r="N106" s="121">
        <f t="shared" si="15"/>
        <v>0</v>
      </c>
      <c r="O106" s="147">
        <f t="shared" si="17"/>
        <v>0</v>
      </c>
    </row>
    <row r="107" spans="2:15" ht="16.5" thickBot="1" x14ac:dyDescent="0.3">
      <c r="C107" s="114" t="s">
        <v>87</v>
      </c>
      <c r="D107" s="155">
        <f t="shared" ref="D107:L107" si="19">SUM(D85:D106)</f>
        <v>11385</v>
      </c>
      <c r="E107" s="156">
        <f t="shared" si="19"/>
        <v>3095</v>
      </c>
      <c r="F107" s="157">
        <f t="shared" si="19"/>
        <v>745</v>
      </c>
      <c r="G107" s="157">
        <f t="shared" si="19"/>
        <v>2245</v>
      </c>
      <c r="H107" s="157">
        <f t="shared" si="19"/>
        <v>2510</v>
      </c>
      <c r="I107" s="157">
        <f t="shared" si="19"/>
        <v>1080</v>
      </c>
      <c r="J107" s="157">
        <f t="shared" si="19"/>
        <v>1921</v>
      </c>
      <c r="K107" s="157">
        <f t="shared" si="19"/>
        <v>1269</v>
      </c>
      <c r="L107" s="158">
        <f t="shared" si="19"/>
        <v>9770</v>
      </c>
      <c r="M107" s="159">
        <f>+SUM(D107:E107)-L107</f>
        <v>4710</v>
      </c>
      <c r="N107" s="172">
        <f>L107/D107</f>
        <v>0.85814668423364071</v>
      </c>
      <c r="O107" s="173">
        <f>+L107/SUM(D107:E107)</f>
        <v>0.67472375690607733</v>
      </c>
    </row>
    <row r="110" spans="2:15" ht="15.75" thickBot="1" x14ac:dyDescent="0.3"/>
    <row r="111" spans="2:15" ht="16.5" thickBot="1" x14ac:dyDescent="0.3">
      <c r="B111" s="689" t="s">
        <v>91</v>
      </c>
      <c r="C111" s="690"/>
      <c r="D111" s="690"/>
      <c r="E111" s="690"/>
      <c r="F111" s="690"/>
      <c r="G111" s="690"/>
      <c r="H111" s="690"/>
      <c r="I111" s="690"/>
      <c r="J111" s="690"/>
      <c r="K111" s="690"/>
      <c r="L111" s="690"/>
      <c r="M111" s="690"/>
      <c r="N111" s="690"/>
      <c r="O111" s="691"/>
    </row>
    <row r="112" spans="2:15" ht="30.75" thickBot="1" x14ac:dyDescent="0.3">
      <c r="B112" s="174" t="s">
        <v>34</v>
      </c>
      <c r="C112" s="175" t="s">
        <v>9</v>
      </c>
      <c r="D112" s="107" t="s">
        <v>85</v>
      </c>
      <c r="E112" s="176" t="s">
        <v>86</v>
      </c>
      <c r="F112" s="177">
        <v>42889</v>
      </c>
      <c r="G112" s="177">
        <f>+F112+2</f>
        <v>42891</v>
      </c>
      <c r="H112" s="178">
        <f>+G112+1</f>
        <v>42892</v>
      </c>
      <c r="I112" s="177">
        <f>+H112+1</f>
        <v>42893</v>
      </c>
      <c r="J112" s="177">
        <f>+I112+1</f>
        <v>42894</v>
      </c>
      <c r="K112" s="177">
        <f>+J112+1</f>
        <v>42895</v>
      </c>
      <c r="L112" s="107" t="s">
        <v>87</v>
      </c>
      <c r="M112" s="179" t="s">
        <v>88</v>
      </c>
      <c r="N112" s="177" t="s">
        <v>89</v>
      </c>
      <c r="O112" s="180" t="s">
        <v>90</v>
      </c>
    </row>
    <row r="113" spans="2:16" x14ac:dyDescent="0.25">
      <c r="B113" s="181">
        <v>254849</v>
      </c>
      <c r="C113" s="6" t="s">
        <v>0</v>
      </c>
      <c r="D113" s="138">
        <v>180</v>
      </c>
      <c r="E113" s="139"/>
      <c r="F113" s="166"/>
      <c r="G113" s="182"/>
      <c r="H113" s="183">
        <v>180</v>
      </c>
      <c r="I113" s="167"/>
      <c r="J113" s="167"/>
      <c r="K113" s="142"/>
      <c r="L113" s="168">
        <f>SUM(F113:K113)</f>
        <v>180</v>
      </c>
      <c r="M113" s="169">
        <f>+SUM(D113:E113)-L113</f>
        <v>0</v>
      </c>
      <c r="N113" s="170">
        <f t="shared" ref="N113:N134" si="20">IF(L113=0,0,IFERROR(L113/D113,"REQ ADICIONAL"))</f>
        <v>1</v>
      </c>
      <c r="O113" s="184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5">
        <v>0</v>
      </c>
      <c r="E114" s="139">
        <v>180</v>
      </c>
      <c r="F114" s="141"/>
      <c r="G114" s="185"/>
      <c r="H114" s="183">
        <v>180</v>
      </c>
      <c r="I114" s="142"/>
      <c r="J114" s="142"/>
      <c r="K114" s="142"/>
      <c r="L114" s="138">
        <f t="shared" ref="L114:L130" si="21">SUM(F114:K114)</f>
        <v>180</v>
      </c>
      <c r="M114" s="143">
        <f>+SUM(D114:E114)-L114</f>
        <v>0</v>
      </c>
      <c r="N114" s="121" t="str">
        <f t="shared" si="20"/>
        <v>REQ ADICIONAL</v>
      </c>
      <c r="O114" s="186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5">
        <v>0</v>
      </c>
      <c r="E115" s="139"/>
      <c r="F115" s="141"/>
      <c r="G115" s="185"/>
      <c r="H115" s="183"/>
      <c r="I115" s="142"/>
      <c r="J115" s="142"/>
      <c r="K115" s="142"/>
      <c r="L115" s="138">
        <f t="shared" si="21"/>
        <v>0</v>
      </c>
      <c r="M115" s="143">
        <f>+SUM(D115:E115)-L115</f>
        <v>0</v>
      </c>
      <c r="N115" s="121">
        <f t="shared" si="20"/>
        <v>0</v>
      </c>
      <c r="O115" s="186">
        <f t="shared" si="22"/>
        <v>0</v>
      </c>
    </row>
    <row r="116" spans="2:16" x14ac:dyDescent="0.25">
      <c r="B116" s="7">
        <v>254850</v>
      </c>
      <c r="C116" s="3" t="s">
        <v>3</v>
      </c>
      <c r="D116" s="145">
        <v>3600</v>
      </c>
      <c r="E116" s="139"/>
      <c r="F116" s="141"/>
      <c r="G116" s="185">
        <f>8*60</f>
        <v>480</v>
      </c>
      <c r="H116" s="183">
        <f>6*60</f>
        <v>360</v>
      </c>
      <c r="I116" s="142"/>
      <c r="J116" s="142">
        <f>3*60</f>
        <v>180</v>
      </c>
      <c r="K116" s="142">
        <f>4*60</f>
        <v>240</v>
      </c>
      <c r="L116" s="138">
        <f t="shared" si="21"/>
        <v>1260</v>
      </c>
      <c r="M116" s="143">
        <f>+SUM(D116:E116)-L116</f>
        <v>2340</v>
      </c>
      <c r="N116" s="121">
        <f t="shared" si="20"/>
        <v>0.35</v>
      </c>
      <c r="O116" s="186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5">
        <v>960</v>
      </c>
      <c r="E117" s="139">
        <f>720+800+480</f>
        <v>2000</v>
      </c>
      <c r="F117" s="141"/>
      <c r="G117" s="185">
        <f>6*80</f>
        <v>480</v>
      </c>
      <c r="H117" s="183">
        <f>5*80</f>
        <v>400</v>
      </c>
      <c r="I117" s="142">
        <f>80*10</f>
        <v>800</v>
      </c>
      <c r="J117" s="142">
        <f>10*80</f>
        <v>800</v>
      </c>
      <c r="K117" s="142">
        <f>6*80</f>
        <v>480</v>
      </c>
      <c r="L117" s="138">
        <f t="shared" si="21"/>
        <v>2960</v>
      </c>
      <c r="M117" s="143">
        <f>+SUM(D117:E117)-L117</f>
        <v>0</v>
      </c>
      <c r="N117" s="121">
        <f t="shared" si="20"/>
        <v>3.0833333333333335</v>
      </c>
      <c r="O117" s="186">
        <f t="shared" si="22"/>
        <v>1</v>
      </c>
    </row>
    <row r="118" spans="2:16" x14ac:dyDescent="0.25">
      <c r="B118" s="18">
        <v>251196</v>
      </c>
      <c r="C118" s="3" t="s">
        <v>5</v>
      </c>
      <c r="D118" s="145">
        <v>0</v>
      </c>
      <c r="E118" s="139"/>
      <c r="F118" s="141"/>
      <c r="G118" s="185"/>
      <c r="H118" s="183"/>
      <c r="I118" s="142"/>
      <c r="J118" s="142"/>
      <c r="K118" s="142"/>
      <c r="L118" s="138">
        <f t="shared" si="21"/>
        <v>0</v>
      </c>
      <c r="M118" s="143">
        <f t="shared" ref="M118:M131" si="23">+SUM(D118:E118)-L118</f>
        <v>0</v>
      </c>
      <c r="N118" s="121">
        <f t="shared" si="20"/>
        <v>0</v>
      </c>
      <c r="O118" s="186">
        <f t="shared" si="22"/>
        <v>0</v>
      </c>
    </row>
    <row r="119" spans="2:16" x14ac:dyDescent="0.25">
      <c r="B119" s="18">
        <v>250524</v>
      </c>
      <c r="C119" s="3" t="s">
        <v>6</v>
      </c>
      <c r="D119" s="145">
        <v>0</v>
      </c>
      <c r="E119" s="139"/>
      <c r="F119" s="141"/>
      <c r="G119" s="185"/>
      <c r="H119" s="183"/>
      <c r="I119" s="142"/>
      <c r="J119" s="142"/>
      <c r="K119" s="142"/>
      <c r="L119" s="138">
        <f t="shared" si="21"/>
        <v>0</v>
      </c>
      <c r="M119" s="143">
        <f t="shared" si="23"/>
        <v>0</v>
      </c>
      <c r="N119" s="121">
        <f t="shared" si="20"/>
        <v>0</v>
      </c>
      <c r="O119" s="186">
        <f t="shared" si="22"/>
        <v>0</v>
      </c>
    </row>
    <row r="120" spans="2:16" x14ac:dyDescent="0.25">
      <c r="B120" s="18">
        <v>252534</v>
      </c>
      <c r="C120" s="3" t="s">
        <v>7</v>
      </c>
      <c r="D120" s="145">
        <v>450</v>
      </c>
      <c r="E120" s="139"/>
      <c r="F120" s="141"/>
      <c r="G120" s="185"/>
      <c r="H120" s="183"/>
      <c r="I120" s="142"/>
      <c r="J120" s="142"/>
      <c r="K120" s="142"/>
      <c r="L120" s="138">
        <f t="shared" si="21"/>
        <v>0</v>
      </c>
      <c r="M120" s="143">
        <f t="shared" si="23"/>
        <v>450</v>
      </c>
      <c r="N120" s="121">
        <f t="shared" si="20"/>
        <v>0</v>
      </c>
      <c r="O120" s="186">
        <f t="shared" si="22"/>
        <v>0</v>
      </c>
    </row>
    <row r="121" spans="2:16" x14ac:dyDescent="0.25">
      <c r="B121" s="18">
        <v>251151</v>
      </c>
      <c r="C121" s="3" t="s">
        <v>8</v>
      </c>
      <c r="D121" s="145">
        <v>225</v>
      </c>
      <c r="E121" s="139">
        <v>225</v>
      </c>
      <c r="F121" s="141"/>
      <c r="G121" s="185"/>
      <c r="H121" s="183">
        <v>225</v>
      </c>
      <c r="I121" s="142"/>
      <c r="J121" s="142"/>
      <c r="K121" s="142">
        <f>1*225</f>
        <v>225</v>
      </c>
      <c r="L121" s="138">
        <f t="shared" si="21"/>
        <v>450</v>
      </c>
      <c r="M121" s="143">
        <f t="shared" si="23"/>
        <v>0</v>
      </c>
      <c r="N121" s="121">
        <f t="shared" si="20"/>
        <v>2</v>
      </c>
      <c r="O121" s="186">
        <f t="shared" si="22"/>
        <v>1</v>
      </c>
    </row>
    <row r="122" spans="2:16" x14ac:dyDescent="0.25">
      <c r="B122" s="18">
        <v>254852</v>
      </c>
      <c r="C122" s="3" t="s">
        <v>17</v>
      </c>
      <c r="D122" s="145">
        <v>225</v>
      </c>
      <c r="E122" s="139"/>
      <c r="F122" s="141"/>
      <c r="G122" s="185"/>
      <c r="H122" s="183">
        <v>225</v>
      </c>
      <c r="I122" s="142"/>
      <c r="J122" s="142"/>
      <c r="K122" s="142"/>
      <c r="L122" s="138">
        <f t="shared" si="21"/>
        <v>225</v>
      </c>
      <c r="M122" s="143">
        <f t="shared" si="23"/>
        <v>0</v>
      </c>
      <c r="N122" s="121">
        <f t="shared" si="20"/>
        <v>1</v>
      </c>
      <c r="O122" s="186">
        <f t="shared" si="22"/>
        <v>1</v>
      </c>
    </row>
    <row r="123" spans="2:16" x14ac:dyDescent="0.25">
      <c r="B123" s="7">
        <v>255430</v>
      </c>
      <c r="C123" s="3" t="s">
        <v>53</v>
      </c>
      <c r="D123" s="145">
        <v>250</v>
      </c>
      <c r="E123" s="139"/>
      <c r="F123" s="141"/>
      <c r="G123" s="185"/>
      <c r="H123" s="183"/>
      <c r="I123" s="142"/>
      <c r="J123" s="142"/>
      <c r="K123" s="142"/>
      <c r="L123" s="138">
        <f t="shared" si="21"/>
        <v>0</v>
      </c>
      <c r="M123" s="143">
        <f t="shared" si="23"/>
        <v>250</v>
      </c>
      <c r="N123" s="121">
        <f t="shared" si="20"/>
        <v>0</v>
      </c>
      <c r="O123" s="186">
        <f t="shared" si="22"/>
        <v>0</v>
      </c>
    </row>
    <row r="124" spans="2:16" x14ac:dyDescent="0.25">
      <c r="B124" s="18">
        <v>255341</v>
      </c>
      <c r="C124" s="19" t="s">
        <v>50</v>
      </c>
      <c r="D124" s="145">
        <v>675</v>
      </c>
      <c r="E124" s="139"/>
      <c r="F124" s="141"/>
      <c r="G124" s="185"/>
      <c r="H124" s="183">
        <v>225</v>
      </c>
      <c r="I124" s="142"/>
      <c r="J124" s="142">
        <v>225</v>
      </c>
      <c r="K124" s="142"/>
      <c r="L124" s="138">
        <f t="shared" si="21"/>
        <v>450</v>
      </c>
      <c r="M124" s="143">
        <f t="shared" si="23"/>
        <v>225</v>
      </c>
      <c r="N124" s="121">
        <f t="shared" si="20"/>
        <v>0.66666666666666663</v>
      </c>
      <c r="O124" s="186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5">
        <v>675</v>
      </c>
      <c r="E125" s="139">
        <v>225</v>
      </c>
      <c r="F125" s="141"/>
      <c r="G125" s="185"/>
      <c r="H125" s="183"/>
      <c r="I125" s="142"/>
      <c r="J125" s="142">
        <v>450</v>
      </c>
      <c r="K125" s="142">
        <f>2*225</f>
        <v>450</v>
      </c>
      <c r="L125" s="138">
        <f t="shared" si="21"/>
        <v>900</v>
      </c>
      <c r="M125" s="143">
        <f t="shared" si="23"/>
        <v>0</v>
      </c>
      <c r="N125" s="121">
        <f t="shared" si="20"/>
        <v>1.3333333333333333</v>
      </c>
      <c r="O125" s="187">
        <f t="shared" si="22"/>
        <v>1</v>
      </c>
    </row>
    <row r="126" spans="2:16" x14ac:dyDescent="0.25">
      <c r="B126" s="188">
        <v>254954</v>
      </c>
      <c r="C126" s="3" t="s">
        <v>33</v>
      </c>
      <c r="D126" s="145">
        <v>0</v>
      </c>
      <c r="E126" s="139"/>
      <c r="F126" s="141"/>
      <c r="G126" s="185"/>
      <c r="H126" s="183"/>
      <c r="I126" s="142"/>
      <c r="J126" s="142"/>
      <c r="K126" s="142"/>
      <c r="L126" s="138">
        <f t="shared" si="21"/>
        <v>0</v>
      </c>
      <c r="M126" s="143">
        <f t="shared" si="23"/>
        <v>0</v>
      </c>
      <c r="N126" s="121">
        <f t="shared" si="20"/>
        <v>0</v>
      </c>
      <c r="O126" s="187">
        <f t="shared" si="22"/>
        <v>0</v>
      </c>
    </row>
    <row r="127" spans="2:16" x14ac:dyDescent="0.25">
      <c r="B127" s="7">
        <v>254950</v>
      </c>
      <c r="C127" s="3" t="s">
        <v>32</v>
      </c>
      <c r="D127" s="145">
        <v>0</v>
      </c>
      <c r="E127" s="139"/>
      <c r="F127" s="141"/>
      <c r="G127" s="185"/>
      <c r="H127" s="183"/>
      <c r="I127" s="142"/>
      <c r="J127" s="142"/>
      <c r="K127" s="142"/>
      <c r="L127" s="138">
        <f t="shared" si="21"/>
        <v>0</v>
      </c>
      <c r="M127" s="143">
        <f t="shared" si="23"/>
        <v>0</v>
      </c>
      <c r="N127" s="121">
        <f t="shared" si="20"/>
        <v>0</v>
      </c>
      <c r="O127" s="187">
        <f t="shared" si="22"/>
        <v>0</v>
      </c>
    </row>
    <row r="128" spans="2:16" x14ac:dyDescent="0.25">
      <c r="B128" s="188">
        <v>254963</v>
      </c>
      <c r="C128" s="3" t="s">
        <v>27</v>
      </c>
      <c r="D128" s="145">
        <v>450</v>
      </c>
      <c r="E128" s="139"/>
      <c r="F128" s="141"/>
      <c r="G128" s="185"/>
      <c r="H128" s="183"/>
      <c r="I128" s="142"/>
      <c r="J128" s="142"/>
      <c r="K128" s="142"/>
      <c r="L128" s="138">
        <f t="shared" si="21"/>
        <v>0</v>
      </c>
      <c r="M128" s="143">
        <f t="shared" si="23"/>
        <v>450</v>
      </c>
      <c r="N128" s="121">
        <f t="shared" si="20"/>
        <v>0</v>
      </c>
      <c r="O128" s="187">
        <f t="shared" si="22"/>
        <v>0</v>
      </c>
    </row>
    <row r="129" spans="2:15" x14ac:dyDescent="0.25">
      <c r="B129" s="7">
        <v>255382</v>
      </c>
      <c r="C129" s="3" t="s">
        <v>56</v>
      </c>
      <c r="D129" s="145">
        <v>0</v>
      </c>
      <c r="E129" s="139"/>
      <c r="F129" s="141"/>
      <c r="G129" s="185"/>
      <c r="H129" s="183"/>
      <c r="I129" s="142"/>
      <c r="J129" s="142"/>
      <c r="K129" s="142"/>
      <c r="L129" s="138">
        <f t="shared" si="21"/>
        <v>0</v>
      </c>
      <c r="M129" s="143">
        <f t="shared" si="23"/>
        <v>0</v>
      </c>
      <c r="N129" s="121">
        <f t="shared" si="20"/>
        <v>0</v>
      </c>
      <c r="O129" s="187">
        <f t="shared" si="22"/>
        <v>0</v>
      </c>
    </row>
    <row r="130" spans="2:15" x14ac:dyDescent="0.25">
      <c r="B130" s="18">
        <v>251632</v>
      </c>
      <c r="C130" s="19" t="s">
        <v>51</v>
      </c>
      <c r="D130" s="138">
        <v>360</v>
      </c>
      <c r="E130" s="139"/>
      <c r="F130" s="141"/>
      <c r="G130" s="185"/>
      <c r="H130" s="183"/>
      <c r="I130" s="142"/>
      <c r="J130" s="142">
        <v>180</v>
      </c>
      <c r="K130" s="142"/>
      <c r="L130" s="138">
        <f t="shared" si="21"/>
        <v>180</v>
      </c>
      <c r="M130" s="143">
        <f t="shared" si="23"/>
        <v>180</v>
      </c>
      <c r="N130" s="121">
        <f t="shared" si="20"/>
        <v>0.5</v>
      </c>
      <c r="O130" s="187">
        <f t="shared" si="22"/>
        <v>0.5</v>
      </c>
    </row>
    <row r="131" spans="2:15" x14ac:dyDescent="0.25">
      <c r="B131" s="7">
        <v>251406</v>
      </c>
      <c r="C131" s="3" t="s">
        <v>42</v>
      </c>
      <c r="D131" s="138">
        <v>0</v>
      </c>
      <c r="E131" s="139"/>
      <c r="F131" s="141"/>
      <c r="G131" s="185"/>
      <c r="H131" s="183"/>
      <c r="I131" s="142"/>
      <c r="J131" s="142"/>
      <c r="K131" s="142"/>
      <c r="L131" s="138">
        <f>SUM(F131:K131)</f>
        <v>0</v>
      </c>
      <c r="M131" s="143">
        <f t="shared" si="23"/>
        <v>0</v>
      </c>
      <c r="N131" s="121">
        <f t="shared" si="20"/>
        <v>0</v>
      </c>
      <c r="O131" s="187">
        <f t="shared" si="22"/>
        <v>0</v>
      </c>
    </row>
    <row r="132" spans="2:15" x14ac:dyDescent="0.25">
      <c r="B132" s="188">
        <v>254845</v>
      </c>
      <c r="C132" s="3" t="s">
        <v>40</v>
      </c>
      <c r="D132" s="138">
        <v>0</v>
      </c>
      <c r="E132" s="139"/>
      <c r="F132" s="141"/>
      <c r="G132" s="185"/>
      <c r="H132" s="183"/>
      <c r="I132" s="142"/>
      <c r="J132" s="142"/>
      <c r="K132" s="142"/>
      <c r="L132" s="138">
        <f>SUM(F132:K132)</f>
        <v>0</v>
      </c>
      <c r="M132" s="143">
        <f>+SUM(D132:E132)-L132</f>
        <v>0</v>
      </c>
      <c r="N132" s="121">
        <f t="shared" si="20"/>
        <v>0</v>
      </c>
      <c r="O132" s="187">
        <f t="shared" si="22"/>
        <v>0</v>
      </c>
    </row>
    <row r="133" spans="2:15" x14ac:dyDescent="0.25">
      <c r="B133" s="7">
        <v>254846</v>
      </c>
      <c r="C133" s="3" t="s">
        <v>41</v>
      </c>
      <c r="D133" s="138">
        <v>0</v>
      </c>
      <c r="E133" s="139"/>
      <c r="F133" s="141"/>
      <c r="G133" s="185"/>
      <c r="H133" s="183"/>
      <c r="I133" s="142"/>
      <c r="J133" s="142"/>
      <c r="K133" s="142"/>
      <c r="L133" s="138">
        <f>SUM(F133:K133)</f>
        <v>0</v>
      </c>
      <c r="M133" s="143">
        <f>+SUM(D133:E133)-L133</f>
        <v>0</v>
      </c>
      <c r="N133" s="121">
        <f t="shared" si="20"/>
        <v>0</v>
      </c>
      <c r="O133" s="187">
        <f t="shared" si="22"/>
        <v>0</v>
      </c>
    </row>
    <row r="134" spans="2:15" ht="15.75" thickBot="1" x14ac:dyDescent="0.3">
      <c r="B134" s="189">
        <v>255429</v>
      </c>
      <c r="C134" s="42" t="s">
        <v>52</v>
      </c>
      <c r="D134" s="190">
        <v>250</v>
      </c>
      <c r="E134" s="191"/>
      <c r="F134" s="192"/>
      <c r="G134" s="193"/>
      <c r="H134" s="194"/>
      <c r="I134" s="195"/>
      <c r="J134" s="195"/>
      <c r="K134" s="142"/>
      <c r="L134" s="190">
        <f>SUM(F134:K134)</f>
        <v>0</v>
      </c>
      <c r="M134" s="196">
        <f>+SUM(D134:E134)-L134</f>
        <v>250</v>
      </c>
      <c r="N134" s="197">
        <f t="shared" si="20"/>
        <v>0</v>
      </c>
      <c r="O134" s="198">
        <f t="shared" si="22"/>
        <v>0</v>
      </c>
    </row>
    <row r="135" spans="2:15" ht="16.5" thickBot="1" x14ac:dyDescent="0.3">
      <c r="B135" s="687" t="s">
        <v>87</v>
      </c>
      <c r="C135" s="688"/>
      <c r="D135" s="199">
        <f t="shared" ref="D135:L135" si="24">SUM(D113:D134)</f>
        <v>8300</v>
      </c>
      <c r="E135" s="200">
        <f t="shared" si="24"/>
        <v>2630</v>
      </c>
      <c r="F135" s="201">
        <f t="shared" si="24"/>
        <v>0</v>
      </c>
      <c r="G135" s="201">
        <f t="shared" si="24"/>
        <v>960</v>
      </c>
      <c r="H135" s="201">
        <f t="shared" si="24"/>
        <v>1795</v>
      </c>
      <c r="I135" s="201">
        <f t="shared" si="24"/>
        <v>800</v>
      </c>
      <c r="J135" s="201">
        <f t="shared" si="24"/>
        <v>1835</v>
      </c>
      <c r="K135" s="201">
        <f t="shared" si="24"/>
        <v>1395</v>
      </c>
      <c r="L135" s="202">
        <f t="shared" si="24"/>
        <v>6785</v>
      </c>
      <c r="M135" s="203">
        <f>+SUM(D135:E135)-L135</f>
        <v>4145</v>
      </c>
      <c r="N135" s="204">
        <f>L135/D135</f>
        <v>0.81746987951807226</v>
      </c>
      <c r="O135" s="205">
        <f>+L135/SUM(D135:E135)</f>
        <v>0.62076852698993601</v>
      </c>
    </row>
    <row r="138" spans="2:15" ht="15.75" thickBot="1" x14ac:dyDescent="0.3"/>
    <row r="139" spans="2:15" ht="16.5" thickBot="1" x14ac:dyDescent="0.3">
      <c r="B139" s="689" t="s">
        <v>93</v>
      </c>
      <c r="C139" s="690"/>
      <c r="D139" s="690"/>
      <c r="E139" s="690"/>
      <c r="F139" s="690"/>
      <c r="G139" s="690"/>
      <c r="H139" s="690"/>
      <c r="I139" s="690"/>
      <c r="J139" s="690"/>
      <c r="K139" s="690"/>
      <c r="L139" s="690"/>
      <c r="M139" s="690"/>
      <c r="N139" s="690"/>
      <c r="O139" s="691"/>
    </row>
    <row r="140" spans="2:15" ht="30.75" thickBot="1" x14ac:dyDescent="0.3">
      <c r="B140" s="45" t="s">
        <v>34</v>
      </c>
      <c r="C140" s="46" t="s">
        <v>9</v>
      </c>
      <c r="D140" s="206" t="s">
        <v>85</v>
      </c>
      <c r="E140" s="207" t="s">
        <v>86</v>
      </c>
      <c r="F140" s="208">
        <v>42896</v>
      </c>
      <c r="G140" s="208">
        <f>+F140+2</f>
        <v>42898</v>
      </c>
      <c r="H140" s="208">
        <f>+G140+1</f>
        <v>42899</v>
      </c>
      <c r="I140" s="208">
        <f>+H140+1</f>
        <v>42900</v>
      </c>
      <c r="J140" s="208">
        <f>+I140+1</f>
        <v>42901</v>
      </c>
      <c r="K140" s="208">
        <f>+J140+1</f>
        <v>42902</v>
      </c>
      <c r="L140" s="206" t="s">
        <v>87</v>
      </c>
      <c r="M140" s="209" t="s">
        <v>88</v>
      </c>
      <c r="N140" s="208" t="s">
        <v>89</v>
      </c>
      <c r="O140" s="210" t="s">
        <v>90</v>
      </c>
    </row>
    <row r="141" spans="2:15" x14ac:dyDescent="0.25">
      <c r="B141" s="44">
        <v>254849</v>
      </c>
      <c r="C141" s="21" t="s">
        <v>0</v>
      </c>
      <c r="D141" s="168">
        <v>0</v>
      </c>
      <c r="E141" s="211"/>
      <c r="F141" s="21"/>
      <c r="G141" s="182"/>
      <c r="H141" s="212"/>
      <c r="I141" s="167"/>
      <c r="J141" s="167"/>
      <c r="K141" s="167"/>
      <c r="L141" s="168">
        <f>SUM(F141:K141)</f>
        <v>0</v>
      </c>
      <c r="M141" s="169">
        <f>+SUM(D141:E141)-L141</f>
        <v>0</v>
      </c>
      <c r="N141" s="170">
        <f t="shared" ref="N141:N164" si="25">IF(L141=0,0,IFERROR(L141/D141,"REQ ADICIONAL"))</f>
        <v>0</v>
      </c>
      <c r="O141" s="184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5">
        <v>180</v>
      </c>
      <c r="E142" s="139"/>
      <c r="F142" s="3"/>
      <c r="G142" s="185"/>
      <c r="H142" s="183">
        <v>180</v>
      </c>
      <c r="I142" s="142"/>
      <c r="J142" s="142"/>
      <c r="K142" s="142"/>
      <c r="L142" s="138">
        <f t="shared" ref="L142:L158" si="26">SUM(F142:K142)</f>
        <v>180</v>
      </c>
      <c r="M142" s="143">
        <f>+SUM(D142:E142)-L142</f>
        <v>0</v>
      </c>
      <c r="N142" s="121">
        <f t="shared" si="25"/>
        <v>1</v>
      </c>
      <c r="O142" s="186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5">
        <v>180</v>
      </c>
      <c r="E143" s="139"/>
      <c r="F143" s="3"/>
      <c r="G143" s="185"/>
      <c r="H143" s="183"/>
      <c r="I143" s="142"/>
      <c r="J143" s="142"/>
      <c r="K143" s="142"/>
      <c r="L143" s="138">
        <f t="shared" si="26"/>
        <v>0</v>
      </c>
      <c r="M143" s="143">
        <f>+SUM(D143:E143)-L143</f>
        <v>180</v>
      </c>
      <c r="N143" s="121">
        <f t="shared" si="25"/>
        <v>0</v>
      </c>
      <c r="O143" s="186">
        <f t="shared" si="27"/>
        <v>0</v>
      </c>
    </row>
    <row r="144" spans="2:15" x14ac:dyDescent="0.25">
      <c r="B144" s="7">
        <v>254850</v>
      </c>
      <c r="C144" s="3" t="s">
        <v>3</v>
      </c>
      <c r="D144" s="145">
        <v>1800</v>
      </c>
      <c r="E144" s="139"/>
      <c r="F144" s="3">
        <f>8*60</f>
        <v>480</v>
      </c>
      <c r="G144" s="185">
        <f>4*60</f>
        <v>240</v>
      </c>
      <c r="H144" s="183">
        <f>6*60</f>
        <v>360</v>
      </c>
      <c r="I144" s="142">
        <v>240</v>
      </c>
      <c r="J144" s="142"/>
      <c r="K144" s="142">
        <f>4*60</f>
        <v>240</v>
      </c>
      <c r="L144" s="138">
        <f t="shared" si="26"/>
        <v>1560</v>
      </c>
      <c r="M144" s="143">
        <f>+SUM(D144:E144)-L144</f>
        <v>240</v>
      </c>
      <c r="N144" s="121">
        <f t="shared" si="25"/>
        <v>0.8666666666666667</v>
      </c>
      <c r="O144" s="186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5">
        <v>800</v>
      </c>
      <c r="E145" s="139">
        <f>720+960+480</f>
        <v>2160</v>
      </c>
      <c r="F145" s="3">
        <f>2*80</f>
        <v>160</v>
      </c>
      <c r="G145" s="185">
        <f>6*80</f>
        <v>480</v>
      </c>
      <c r="H145" s="183">
        <f>3*80</f>
        <v>240</v>
      </c>
      <c r="I145" s="142">
        <v>640</v>
      </c>
      <c r="J145" s="142">
        <v>960</v>
      </c>
      <c r="K145" s="142">
        <v>480</v>
      </c>
      <c r="L145" s="138">
        <f t="shared" si="26"/>
        <v>2960</v>
      </c>
      <c r="M145" s="143">
        <f>+SUM(D145:E145)-L145</f>
        <v>0</v>
      </c>
      <c r="N145" s="121">
        <f t="shared" si="25"/>
        <v>3.7</v>
      </c>
      <c r="O145" s="186">
        <f t="shared" si="27"/>
        <v>1</v>
      </c>
    </row>
    <row r="146" spans="2:15" x14ac:dyDescent="0.25">
      <c r="B146" s="18">
        <v>251196</v>
      </c>
      <c r="C146" s="3" t="s">
        <v>5</v>
      </c>
      <c r="D146" s="145">
        <v>0</v>
      </c>
      <c r="E146" s="139"/>
      <c r="F146" s="3"/>
      <c r="G146" s="185"/>
      <c r="H146" s="183"/>
      <c r="I146" s="142"/>
      <c r="J146" s="142"/>
      <c r="K146" s="142"/>
      <c r="L146" s="138">
        <f t="shared" si="26"/>
        <v>0</v>
      </c>
      <c r="M146" s="143">
        <f t="shared" ref="M146:M165" si="28">+SUM(D146:E146)-L146</f>
        <v>0</v>
      </c>
      <c r="N146" s="121">
        <f t="shared" si="25"/>
        <v>0</v>
      </c>
      <c r="O146" s="186">
        <f t="shared" si="27"/>
        <v>0</v>
      </c>
    </row>
    <row r="147" spans="2:15" x14ac:dyDescent="0.25">
      <c r="B147" s="18">
        <v>250524</v>
      </c>
      <c r="C147" s="3" t="s">
        <v>6</v>
      </c>
      <c r="D147" s="145">
        <v>0</v>
      </c>
      <c r="E147" s="139"/>
      <c r="F147" s="3"/>
      <c r="G147" s="185"/>
      <c r="H147" s="183"/>
      <c r="I147" s="142"/>
      <c r="J147" s="142"/>
      <c r="K147" s="142"/>
      <c r="L147" s="138">
        <f t="shared" si="26"/>
        <v>0</v>
      </c>
      <c r="M147" s="143">
        <f t="shared" si="28"/>
        <v>0</v>
      </c>
      <c r="N147" s="121">
        <f t="shared" si="25"/>
        <v>0</v>
      </c>
      <c r="O147" s="186">
        <f t="shared" si="27"/>
        <v>0</v>
      </c>
    </row>
    <row r="148" spans="2:15" x14ac:dyDescent="0.25">
      <c r="B148" s="18">
        <v>252534</v>
      </c>
      <c r="C148" s="3" t="s">
        <v>7</v>
      </c>
      <c r="D148" s="145">
        <v>675</v>
      </c>
      <c r="E148" s="139"/>
      <c r="F148" s="3">
        <f>1*225</f>
        <v>225</v>
      </c>
      <c r="G148" s="185"/>
      <c r="H148" s="183"/>
      <c r="I148" s="142"/>
      <c r="J148" s="142">
        <v>225</v>
      </c>
      <c r="K148" s="142"/>
      <c r="L148" s="138">
        <f t="shared" si="26"/>
        <v>450</v>
      </c>
      <c r="M148" s="143">
        <f t="shared" si="28"/>
        <v>225</v>
      </c>
      <c r="N148" s="121">
        <f t="shared" si="25"/>
        <v>0.66666666666666663</v>
      </c>
      <c r="O148" s="186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5">
        <v>225</v>
      </c>
      <c r="E149" s="139"/>
      <c r="F149" s="3"/>
      <c r="G149" s="185"/>
      <c r="H149" s="183"/>
      <c r="I149" s="142">
        <v>225</v>
      </c>
      <c r="J149" s="142"/>
      <c r="K149" s="142"/>
      <c r="L149" s="138">
        <f t="shared" si="26"/>
        <v>225</v>
      </c>
      <c r="M149" s="143">
        <f t="shared" si="28"/>
        <v>0</v>
      </c>
      <c r="N149" s="121">
        <f t="shared" si="25"/>
        <v>1</v>
      </c>
      <c r="O149" s="186">
        <f t="shared" si="27"/>
        <v>1</v>
      </c>
    </row>
    <row r="150" spans="2:15" x14ac:dyDescent="0.25">
      <c r="B150" s="18">
        <v>254852</v>
      </c>
      <c r="C150" s="3" t="s">
        <v>17</v>
      </c>
      <c r="D150" s="145">
        <v>0</v>
      </c>
      <c r="E150" s="139">
        <v>225</v>
      </c>
      <c r="F150" s="3"/>
      <c r="G150" s="185"/>
      <c r="H150" s="183">
        <v>225</v>
      </c>
      <c r="I150" s="142"/>
      <c r="J150" s="142"/>
      <c r="K150" s="142"/>
      <c r="L150" s="138">
        <f t="shared" si="26"/>
        <v>225</v>
      </c>
      <c r="M150" s="143">
        <f t="shared" si="28"/>
        <v>0</v>
      </c>
      <c r="N150" s="121" t="str">
        <f t="shared" si="25"/>
        <v>REQ ADICIONAL</v>
      </c>
      <c r="O150" s="186">
        <f t="shared" si="27"/>
        <v>1</v>
      </c>
    </row>
    <row r="151" spans="2:15" x14ac:dyDescent="0.25">
      <c r="B151" s="7">
        <v>255430</v>
      </c>
      <c r="C151" s="3" t="s">
        <v>53</v>
      </c>
      <c r="D151" s="145">
        <v>0</v>
      </c>
      <c r="E151" s="139">
        <v>500</v>
      </c>
      <c r="F151" s="3"/>
      <c r="G151" s="185"/>
      <c r="H151" s="183">
        <v>250</v>
      </c>
      <c r="I151" s="142">
        <v>250</v>
      </c>
      <c r="J151" s="142"/>
      <c r="K151" s="142"/>
      <c r="L151" s="138">
        <f t="shared" si="26"/>
        <v>500</v>
      </c>
      <c r="M151" s="143">
        <f t="shared" si="28"/>
        <v>0</v>
      </c>
      <c r="N151" s="121" t="str">
        <f t="shared" si="25"/>
        <v>REQ ADICIONAL</v>
      </c>
      <c r="O151" s="186">
        <f t="shared" si="27"/>
        <v>1</v>
      </c>
    </row>
    <row r="152" spans="2:15" x14ac:dyDescent="0.25">
      <c r="B152" s="18">
        <v>255341</v>
      </c>
      <c r="C152" s="19" t="s">
        <v>50</v>
      </c>
      <c r="D152" s="145">
        <v>450</v>
      </c>
      <c r="E152" s="139"/>
      <c r="F152" s="3"/>
      <c r="G152" s="185">
        <v>225</v>
      </c>
      <c r="H152" s="183"/>
      <c r="I152" s="142"/>
      <c r="J152" s="142"/>
      <c r="K152" s="142">
        <v>225</v>
      </c>
      <c r="L152" s="138">
        <f t="shared" si="26"/>
        <v>450</v>
      </c>
      <c r="M152" s="143">
        <f t="shared" si="28"/>
        <v>0</v>
      </c>
      <c r="N152" s="121">
        <f t="shared" si="25"/>
        <v>1</v>
      </c>
      <c r="O152" s="186">
        <f t="shared" si="27"/>
        <v>1</v>
      </c>
    </row>
    <row r="153" spans="2:15" x14ac:dyDescent="0.25">
      <c r="B153" s="7">
        <v>254988</v>
      </c>
      <c r="C153" s="3" t="s">
        <v>54</v>
      </c>
      <c r="D153" s="145">
        <v>1350</v>
      </c>
      <c r="E153" s="139"/>
      <c r="F153" s="3"/>
      <c r="G153" s="185">
        <v>225</v>
      </c>
      <c r="H153" s="183"/>
      <c r="I153" s="142">
        <v>90</v>
      </c>
      <c r="J153" s="142">
        <f>225+135</f>
        <v>360</v>
      </c>
      <c r="K153" s="142"/>
      <c r="L153" s="138">
        <f t="shared" si="26"/>
        <v>675</v>
      </c>
      <c r="M153" s="143">
        <f t="shared" si="28"/>
        <v>675</v>
      </c>
      <c r="N153" s="121">
        <f t="shared" si="25"/>
        <v>0.5</v>
      </c>
      <c r="O153" s="187">
        <f t="shared" si="27"/>
        <v>0.5</v>
      </c>
    </row>
    <row r="154" spans="2:15" x14ac:dyDescent="0.25">
      <c r="B154" s="188">
        <v>254954</v>
      </c>
      <c r="C154" s="3" t="s">
        <v>33</v>
      </c>
      <c r="D154" s="145">
        <v>0</v>
      </c>
      <c r="E154" s="139">
        <v>180</v>
      </c>
      <c r="F154" s="3"/>
      <c r="G154" s="185"/>
      <c r="H154" s="183"/>
      <c r="I154" s="142"/>
      <c r="J154" s="142">
        <v>180</v>
      </c>
      <c r="K154" s="142"/>
      <c r="L154" s="138">
        <f t="shared" si="26"/>
        <v>180</v>
      </c>
      <c r="M154" s="143">
        <f t="shared" si="28"/>
        <v>0</v>
      </c>
      <c r="N154" s="121" t="str">
        <f t="shared" si="25"/>
        <v>REQ ADICIONAL</v>
      </c>
      <c r="O154" s="187">
        <f t="shared" si="27"/>
        <v>1</v>
      </c>
    </row>
    <row r="155" spans="2:15" x14ac:dyDescent="0.25">
      <c r="B155" s="7">
        <v>254950</v>
      </c>
      <c r="C155" s="3" t="s">
        <v>32</v>
      </c>
      <c r="D155" s="145">
        <v>0</v>
      </c>
      <c r="E155" s="139">
        <v>180</v>
      </c>
      <c r="F155" s="3">
        <f>1*180</f>
        <v>180</v>
      </c>
      <c r="G155" s="185"/>
      <c r="H155" s="183"/>
      <c r="I155" s="142"/>
      <c r="J155" s="142"/>
      <c r="K155" s="142"/>
      <c r="L155" s="138">
        <f t="shared" si="26"/>
        <v>180</v>
      </c>
      <c r="M155" s="143">
        <f t="shared" si="28"/>
        <v>0</v>
      </c>
      <c r="N155" s="121" t="str">
        <f t="shared" si="25"/>
        <v>REQ ADICIONAL</v>
      </c>
      <c r="O155" s="187">
        <f t="shared" si="27"/>
        <v>1</v>
      </c>
    </row>
    <row r="156" spans="2:15" x14ac:dyDescent="0.25">
      <c r="B156" s="188">
        <v>254963</v>
      </c>
      <c r="C156" s="3" t="s">
        <v>27</v>
      </c>
      <c r="D156" s="145">
        <v>225</v>
      </c>
      <c r="E156" s="139">
        <v>225</v>
      </c>
      <c r="F156" s="3"/>
      <c r="G156" s="185"/>
      <c r="H156" s="183"/>
      <c r="I156" s="142">
        <v>225</v>
      </c>
      <c r="J156" s="142"/>
      <c r="K156" s="142">
        <v>225</v>
      </c>
      <c r="L156" s="138">
        <f t="shared" si="26"/>
        <v>450</v>
      </c>
      <c r="M156" s="143">
        <f t="shared" si="28"/>
        <v>0</v>
      </c>
      <c r="N156" s="121">
        <f t="shared" si="25"/>
        <v>2</v>
      </c>
      <c r="O156" s="187">
        <f t="shared" si="27"/>
        <v>1</v>
      </c>
    </row>
    <row r="157" spans="2:15" x14ac:dyDescent="0.25">
      <c r="B157" s="7">
        <v>255382</v>
      </c>
      <c r="C157" s="3" t="s">
        <v>56</v>
      </c>
      <c r="D157" s="145">
        <v>0</v>
      </c>
      <c r="E157" s="139">
        <f>520+260</f>
        <v>780</v>
      </c>
      <c r="F157" s="3"/>
      <c r="G157" s="185"/>
      <c r="H157" s="183"/>
      <c r="I157" s="142">
        <v>520</v>
      </c>
      <c r="J157" s="142">
        <v>260</v>
      </c>
      <c r="K157" s="142"/>
      <c r="L157" s="138">
        <f t="shared" si="26"/>
        <v>780</v>
      </c>
      <c r="M157" s="143">
        <f t="shared" si="28"/>
        <v>0</v>
      </c>
      <c r="N157" s="121" t="str">
        <f t="shared" si="25"/>
        <v>REQ ADICIONAL</v>
      </c>
      <c r="O157" s="187">
        <f t="shared" si="27"/>
        <v>1</v>
      </c>
    </row>
    <row r="158" spans="2:15" x14ac:dyDescent="0.25">
      <c r="B158" s="18">
        <v>251632</v>
      </c>
      <c r="C158" s="19" t="s">
        <v>51</v>
      </c>
      <c r="D158" s="138">
        <v>180</v>
      </c>
      <c r="E158" s="139"/>
      <c r="F158" s="3"/>
      <c r="G158" s="185"/>
      <c r="H158" s="183"/>
      <c r="I158" s="142"/>
      <c r="J158" s="142"/>
      <c r="K158" s="142"/>
      <c r="L158" s="138">
        <f t="shared" si="26"/>
        <v>0</v>
      </c>
      <c r="M158" s="143">
        <f t="shared" si="28"/>
        <v>180</v>
      </c>
      <c r="N158" s="121">
        <f t="shared" si="25"/>
        <v>0</v>
      </c>
      <c r="O158" s="187">
        <f t="shared" si="27"/>
        <v>0</v>
      </c>
    </row>
    <row r="159" spans="2:15" x14ac:dyDescent="0.25">
      <c r="B159" s="7">
        <v>251406</v>
      </c>
      <c r="C159" s="3" t="s">
        <v>42</v>
      </c>
      <c r="D159" s="138">
        <v>0</v>
      </c>
      <c r="E159" s="139"/>
      <c r="F159" s="3"/>
      <c r="G159" s="185"/>
      <c r="H159" s="183"/>
      <c r="I159" s="142"/>
      <c r="J159" s="142"/>
      <c r="K159" s="142"/>
      <c r="L159" s="138">
        <f t="shared" ref="L159:L164" si="29">SUM(F159:K159)</f>
        <v>0</v>
      </c>
      <c r="M159" s="143">
        <f t="shared" si="28"/>
        <v>0</v>
      </c>
      <c r="N159" s="121">
        <f t="shared" si="25"/>
        <v>0</v>
      </c>
      <c r="O159" s="187">
        <f t="shared" si="27"/>
        <v>0</v>
      </c>
    </row>
    <row r="160" spans="2:15" x14ac:dyDescent="0.25">
      <c r="B160" s="188">
        <v>254845</v>
      </c>
      <c r="C160" s="3" t="s">
        <v>40</v>
      </c>
      <c r="D160" s="138">
        <v>0</v>
      </c>
      <c r="E160" s="139"/>
      <c r="F160" s="3"/>
      <c r="G160" s="185"/>
      <c r="H160" s="183"/>
      <c r="I160" s="142"/>
      <c r="J160" s="142"/>
      <c r="K160" s="142"/>
      <c r="L160" s="138">
        <f t="shared" si="29"/>
        <v>0</v>
      </c>
      <c r="M160" s="143">
        <f t="shared" si="28"/>
        <v>0</v>
      </c>
      <c r="N160" s="121">
        <f t="shared" si="25"/>
        <v>0</v>
      </c>
      <c r="O160" s="187">
        <f t="shared" si="27"/>
        <v>0</v>
      </c>
    </row>
    <row r="161" spans="2:15" x14ac:dyDescent="0.25">
      <c r="B161" s="7">
        <v>254846</v>
      </c>
      <c r="C161" s="3" t="s">
        <v>41</v>
      </c>
      <c r="D161" s="138">
        <v>0</v>
      </c>
      <c r="E161" s="139"/>
      <c r="F161" s="3"/>
      <c r="G161" s="185"/>
      <c r="H161" s="183"/>
      <c r="I161" s="142"/>
      <c r="J161" s="142"/>
      <c r="K161" s="142"/>
      <c r="L161" s="138">
        <f t="shared" si="29"/>
        <v>0</v>
      </c>
      <c r="M161" s="143">
        <f t="shared" si="28"/>
        <v>0</v>
      </c>
      <c r="N161" s="121">
        <f t="shared" si="25"/>
        <v>0</v>
      </c>
      <c r="O161" s="187">
        <f t="shared" si="27"/>
        <v>0</v>
      </c>
    </row>
    <row r="162" spans="2:15" x14ac:dyDescent="0.25">
      <c r="B162" s="7">
        <v>255429</v>
      </c>
      <c r="C162" s="31" t="s">
        <v>52</v>
      </c>
      <c r="D162" s="138">
        <v>250</v>
      </c>
      <c r="E162" s="139"/>
      <c r="F162" s="3"/>
      <c r="G162" s="185"/>
      <c r="H162" s="183">
        <v>250</v>
      </c>
      <c r="I162" s="142"/>
      <c r="J162" s="142"/>
      <c r="K162" s="142"/>
      <c r="L162" s="138">
        <f>SUM(F162:K162)</f>
        <v>250</v>
      </c>
      <c r="M162" s="143">
        <f>+SUM(D162:E162)-L162</f>
        <v>0</v>
      </c>
      <c r="N162" s="121">
        <f>IF(L162=0,0,IFERROR(L162/D162,"REQ ADICIONAL"))</f>
        <v>1</v>
      </c>
      <c r="O162" s="187">
        <f>IFERROR(L162/SUM(D162:E162),0)</f>
        <v>1</v>
      </c>
    </row>
    <row r="163" spans="2:15" x14ac:dyDescent="0.25">
      <c r="B163" s="44">
        <v>255349</v>
      </c>
      <c r="C163" s="213" t="s">
        <v>94</v>
      </c>
      <c r="D163" s="168">
        <f>3*225</f>
        <v>675</v>
      </c>
      <c r="E163" s="211"/>
      <c r="F163" s="21"/>
      <c r="G163" s="182"/>
      <c r="H163" s="212"/>
      <c r="I163" s="167">
        <v>225</v>
      </c>
      <c r="J163" s="167"/>
      <c r="K163" s="167"/>
      <c r="L163" s="168">
        <f>SUM(F163:K163)</f>
        <v>225</v>
      </c>
      <c r="M163" s="169">
        <f>+SUM(D163:E163)-L163</f>
        <v>450</v>
      </c>
      <c r="N163" s="170">
        <f>IF(L163=0,0,IFERROR(L163/D163,"REQ ADICIONAL"))</f>
        <v>0.33333333333333331</v>
      </c>
      <c r="O163" s="214">
        <f>IFERROR(L163/SUM(D163:E163),0)</f>
        <v>0.33333333333333331</v>
      </c>
    </row>
    <row r="164" spans="2:15" ht="15.75" thickBot="1" x14ac:dyDescent="0.3">
      <c r="B164" s="215">
        <v>255362</v>
      </c>
      <c r="C164" s="213" t="s">
        <v>58</v>
      </c>
      <c r="D164" s="216">
        <v>0</v>
      </c>
      <c r="E164" s="217">
        <v>1040</v>
      </c>
      <c r="F164" s="218"/>
      <c r="G164" s="219"/>
      <c r="H164" s="220"/>
      <c r="I164" s="221"/>
      <c r="J164" s="221"/>
      <c r="K164" s="195">
        <v>1040</v>
      </c>
      <c r="L164" s="216">
        <f t="shared" si="29"/>
        <v>1040</v>
      </c>
      <c r="M164" s="222">
        <f t="shared" si="28"/>
        <v>0</v>
      </c>
      <c r="N164" s="223" t="str">
        <f t="shared" si="25"/>
        <v>REQ ADICIONAL</v>
      </c>
      <c r="O164" s="224">
        <f t="shared" si="27"/>
        <v>1</v>
      </c>
    </row>
    <row r="165" spans="2:15" ht="16.5" thickBot="1" x14ac:dyDescent="0.3">
      <c r="B165" s="687" t="s">
        <v>87</v>
      </c>
      <c r="C165" s="688"/>
      <c r="D165" s="199">
        <f t="shared" ref="D165:L165" si="30">SUM(D141:D164)</f>
        <v>6990</v>
      </c>
      <c r="E165" s="200">
        <f t="shared" si="30"/>
        <v>5290</v>
      </c>
      <c r="F165" s="201">
        <f t="shared" si="30"/>
        <v>1045</v>
      </c>
      <c r="G165" s="201">
        <f t="shared" si="30"/>
        <v>1170</v>
      </c>
      <c r="H165" s="201">
        <f t="shared" si="30"/>
        <v>1505</v>
      </c>
      <c r="I165" s="201">
        <f t="shared" si="30"/>
        <v>2415</v>
      </c>
      <c r="J165" s="201">
        <f t="shared" si="30"/>
        <v>1985</v>
      </c>
      <c r="K165" s="201">
        <f t="shared" si="30"/>
        <v>2210</v>
      </c>
      <c r="L165" s="202">
        <f t="shared" si="30"/>
        <v>10330</v>
      </c>
      <c r="M165" s="203">
        <f t="shared" si="28"/>
        <v>1950</v>
      </c>
      <c r="N165" s="204">
        <f>L165/D165</f>
        <v>1.4778254649499285</v>
      </c>
      <c r="O165" s="205">
        <f>+L165/SUM(D165:E165)</f>
        <v>0.84120521172638441</v>
      </c>
    </row>
    <row r="167" spans="2:15" ht="15.75" thickBot="1" x14ac:dyDescent="0.3"/>
    <row r="168" spans="2:15" ht="16.5" thickBot="1" x14ac:dyDescent="0.3">
      <c r="B168" s="689" t="s">
        <v>95</v>
      </c>
      <c r="C168" s="690"/>
      <c r="D168" s="690"/>
      <c r="E168" s="690"/>
      <c r="F168" s="690"/>
      <c r="G168" s="690"/>
      <c r="H168" s="690"/>
      <c r="I168" s="690"/>
      <c r="J168" s="690"/>
      <c r="K168" s="690"/>
      <c r="L168" s="690"/>
      <c r="M168" s="690"/>
      <c r="N168" s="690"/>
      <c r="O168" s="691"/>
    </row>
    <row r="169" spans="2:15" ht="30.75" thickBot="1" x14ac:dyDescent="0.3">
      <c r="B169" s="45" t="s">
        <v>34</v>
      </c>
      <c r="C169" s="46" t="s">
        <v>9</v>
      </c>
      <c r="D169" s="206" t="s">
        <v>85</v>
      </c>
      <c r="E169" s="207" t="s">
        <v>86</v>
      </c>
      <c r="F169" s="208">
        <v>42903</v>
      </c>
      <c r="G169" s="208">
        <f>+F169+2</f>
        <v>42905</v>
      </c>
      <c r="H169" s="208">
        <f>+G169+1</f>
        <v>42906</v>
      </c>
      <c r="I169" s="208">
        <f>+H169+1</f>
        <v>42907</v>
      </c>
      <c r="J169" s="208">
        <f>+I169+1</f>
        <v>42908</v>
      </c>
      <c r="K169" s="208">
        <f>+J169+1</f>
        <v>42909</v>
      </c>
      <c r="L169" s="206" t="s">
        <v>87</v>
      </c>
      <c r="M169" s="209" t="s">
        <v>88</v>
      </c>
      <c r="N169" s="208" t="s">
        <v>89</v>
      </c>
      <c r="O169" s="210" t="s">
        <v>90</v>
      </c>
    </row>
    <row r="170" spans="2:15" x14ac:dyDescent="0.25">
      <c r="B170" s="44">
        <v>254849</v>
      </c>
      <c r="C170" s="21" t="s">
        <v>0</v>
      </c>
      <c r="D170" s="168">
        <v>180</v>
      </c>
      <c r="E170" s="211">
        <v>180</v>
      </c>
      <c r="F170" s="225"/>
      <c r="G170" s="225"/>
      <c r="H170" s="226">
        <v>180</v>
      </c>
      <c r="I170" s="21">
        <v>180</v>
      </c>
      <c r="J170" s="227"/>
      <c r="K170" s="227"/>
      <c r="L170" s="168">
        <f>SUM(F170:K170)</f>
        <v>360</v>
      </c>
      <c r="M170" s="169">
        <f>+SUM(D170:E170)-L170</f>
        <v>0</v>
      </c>
      <c r="N170" s="170">
        <f t="shared" ref="N170:N193" si="31">IF(L170=0,0,IFERROR(L170/D170,"REQ ADICIONAL"))</f>
        <v>2</v>
      </c>
      <c r="O170" s="184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5">
        <v>0</v>
      </c>
      <c r="E171" s="139"/>
      <c r="F171" s="228"/>
      <c r="G171" s="228"/>
      <c r="H171" s="229"/>
      <c r="I171" s="3"/>
      <c r="J171" s="230"/>
      <c r="K171" s="230"/>
      <c r="L171" s="138">
        <f t="shared" ref="L171:L187" si="32">SUM(F171:K171)</f>
        <v>0</v>
      </c>
      <c r="M171" s="143">
        <f>+SUM(D171:E171)-L171</f>
        <v>0</v>
      </c>
      <c r="N171" s="121">
        <f t="shared" si="31"/>
        <v>0</v>
      </c>
      <c r="O171" s="186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5">
        <f>12*180</f>
        <v>2160</v>
      </c>
      <c r="E172" s="139"/>
      <c r="F172" s="228">
        <v>180</v>
      </c>
      <c r="G172" s="228"/>
      <c r="H172" s="229"/>
      <c r="I172" s="3">
        <v>180</v>
      </c>
      <c r="J172" s="230"/>
      <c r="K172" s="230">
        <f>2*180</f>
        <v>360</v>
      </c>
      <c r="L172" s="138">
        <f t="shared" si="32"/>
        <v>720</v>
      </c>
      <c r="M172" s="143">
        <f>+SUM(D172:E172)-L172</f>
        <v>1440</v>
      </c>
      <c r="N172" s="121">
        <f t="shared" si="31"/>
        <v>0.33333333333333331</v>
      </c>
      <c r="O172" s="186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5">
        <f>12*60</f>
        <v>720</v>
      </c>
      <c r="E173" s="139">
        <f>6*60+480+780+720</f>
        <v>2340</v>
      </c>
      <c r="F173" s="228">
        <v>240</v>
      </c>
      <c r="G173" s="228">
        <f>6*60</f>
        <v>360</v>
      </c>
      <c r="H173" s="229">
        <f>8*60</f>
        <v>480</v>
      </c>
      <c r="I173" s="3">
        <f>8*60</f>
        <v>480</v>
      </c>
      <c r="J173" s="230">
        <f>13*60</f>
        <v>780</v>
      </c>
      <c r="K173" s="230">
        <f>12*60</f>
        <v>720</v>
      </c>
      <c r="L173" s="138">
        <f t="shared" si="32"/>
        <v>3060</v>
      </c>
      <c r="M173" s="143">
        <f>+SUM(D173:E173)-L173</f>
        <v>0</v>
      </c>
      <c r="N173" s="121">
        <f t="shared" si="31"/>
        <v>4.25</v>
      </c>
      <c r="O173" s="186">
        <f t="shared" si="33"/>
        <v>1</v>
      </c>
    </row>
    <row r="174" spans="2:15" x14ac:dyDescent="0.25">
      <c r="B174" s="18">
        <v>251385</v>
      </c>
      <c r="C174" s="3" t="s">
        <v>4</v>
      </c>
      <c r="D174" s="145">
        <f>6*80</f>
        <v>480</v>
      </c>
      <c r="E174" s="139"/>
      <c r="F174" s="228"/>
      <c r="G174" s="228"/>
      <c r="H174" s="229"/>
      <c r="I174" s="3"/>
      <c r="J174" s="230"/>
      <c r="K174" s="230">
        <f>4*80</f>
        <v>320</v>
      </c>
      <c r="L174" s="138">
        <f t="shared" si="32"/>
        <v>320</v>
      </c>
      <c r="M174" s="143">
        <f>+SUM(D174:E174)-L174</f>
        <v>160</v>
      </c>
      <c r="N174" s="121">
        <f t="shared" si="31"/>
        <v>0.66666666666666663</v>
      </c>
      <c r="O174" s="186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5">
        <f>2*80</f>
        <v>160</v>
      </c>
      <c r="E175" s="139">
        <v>160</v>
      </c>
      <c r="F175" s="228"/>
      <c r="G175" s="228"/>
      <c r="H175" s="229"/>
      <c r="I175" s="3">
        <f>2*80</f>
        <v>160</v>
      </c>
      <c r="J175" s="230"/>
      <c r="K175" s="230">
        <f>2*80</f>
        <v>160</v>
      </c>
      <c r="L175" s="138">
        <f t="shared" si="32"/>
        <v>320</v>
      </c>
      <c r="M175" s="143">
        <f t="shared" ref="M175:M190" si="34">+SUM(D175:E175)-L175</f>
        <v>0</v>
      </c>
      <c r="N175" s="121">
        <f t="shared" si="31"/>
        <v>2</v>
      </c>
      <c r="O175" s="186">
        <f t="shared" si="33"/>
        <v>1</v>
      </c>
    </row>
    <row r="176" spans="2:15" x14ac:dyDescent="0.25">
      <c r="B176" s="18">
        <v>250524</v>
      </c>
      <c r="C176" s="3" t="s">
        <v>6</v>
      </c>
      <c r="D176" s="145">
        <f>5*80</f>
        <v>400</v>
      </c>
      <c r="E176" s="139"/>
      <c r="F176" s="228"/>
      <c r="G176" s="228"/>
      <c r="H176" s="229"/>
      <c r="I176" s="3"/>
      <c r="J176" s="230"/>
      <c r="K176" s="230">
        <f>2*80</f>
        <v>160</v>
      </c>
      <c r="L176" s="138">
        <f t="shared" si="32"/>
        <v>160</v>
      </c>
      <c r="M176" s="143">
        <f t="shared" si="34"/>
        <v>240</v>
      </c>
      <c r="N176" s="121">
        <f t="shared" si="31"/>
        <v>0.4</v>
      </c>
      <c r="O176" s="186">
        <f t="shared" si="33"/>
        <v>0.4</v>
      </c>
    </row>
    <row r="177" spans="2:15" x14ac:dyDescent="0.25">
      <c r="B177" s="18">
        <v>252534</v>
      </c>
      <c r="C177" s="3" t="s">
        <v>7</v>
      </c>
      <c r="D177" s="145">
        <v>225</v>
      </c>
      <c r="E177" s="139"/>
      <c r="F177" s="228"/>
      <c r="G177" s="228"/>
      <c r="H177" s="229"/>
      <c r="I177" s="3"/>
      <c r="J177" s="230"/>
      <c r="K177" s="230">
        <v>225</v>
      </c>
      <c r="L177" s="138">
        <f t="shared" si="32"/>
        <v>225</v>
      </c>
      <c r="M177" s="143">
        <f t="shared" si="34"/>
        <v>0</v>
      </c>
      <c r="N177" s="121">
        <f t="shared" si="31"/>
        <v>1</v>
      </c>
      <c r="O177" s="186">
        <f t="shared" si="33"/>
        <v>1</v>
      </c>
    </row>
    <row r="178" spans="2:15" x14ac:dyDescent="0.25">
      <c r="B178" s="18">
        <v>251151</v>
      </c>
      <c r="C178" s="3" t="s">
        <v>8</v>
      </c>
      <c r="D178" s="145">
        <f>2*225</f>
        <v>450</v>
      </c>
      <c r="E178" s="139"/>
      <c r="F178" s="228">
        <v>225</v>
      </c>
      <c r="G178" s="228"/>
      <c r="H178" s="229"/>
      <c r="I178" s="3"/>
      <c r="J178" s="230">
        <v>225</v>
      </c>
      <c r="K178" s="230"/>
      <c r="L178" s="138">
        <f t="shared" si="32"/>
        <v>450</v>
      </c>
      <c r="M178" s="143">
        <f t="shared" si="34"/>
        <v>0</v>
      </c>
      <c r="N178" s="121">
        <f t="shared" si="31"/>
        <v>1</v>
      </c>
      <c r="O178" s="186">
        <f t="shared" si="33"/>
        <v>1</v>
      </c>
    </row>
    <row r="179" spans="2:15" x14ac:dyDescent="0.25">
      <c r="B179" s="18">
        <v>254852</v>
      </c>
      <c r="C179" s="3" t="s">
        <v>17</v>
      </c>
      <c r="D179" s="145">
        <v>0</v>
      </c>
      <c r="E179" s="139">
        <v>225</v>
      </c>
      <c r="F179" s="228"/>
      <c r="G179" s="228"/>
      <c r="H179" s="229"/>
      <c r="I179" s="3">
        <v>225</v>
      </c>
      <c r="J179" s="230"/>
      <c r="K179" s="230"/>
      <c r="L179" s="138">
        <f t="shared" si="32"/>
        <v>225</v>
      </c>
      <c r="M179" s="143">
        <f t="shared" si="34"/>
        <v>0</v>
      </c>
      <c r="N179" s="121" t="str">
        <f t="shared" si="31"/>
        <v>REQ ADICIONAL</v>
      </c>
      <c r="O179" s="186">
        <f t="shared" si="33"/>
        <v>1</v>
      </c>
    </row>
    <row r="180" spans="2:15" x14ac:dyDescent="0.25">
      <c r="B180" s="7">
        <v>255430</v>
      </c>
      <c r="C180" s="3" t="s">
        <v>53</v>
      </c>
      <c r="D180" s="145">
        <v>0</v>
      </c>
      <c r="E180" s="139">
        <f>250+250</f>
        <v>500</v>
      </c>
      <c r="F180" s="228"/>
      <c r="G180" s="228"/>
      <c r="H180" s="229">
        <f>250</f>
        <v>250</v>
      </c>
      <c r="I180" s="3"/>
      <c r="J180" s="230"/>
      <c r="K180" s="230">
        <v>250</v>
      </c>
      <c r="L180" s="138">
        <f t="shared" si="32"/>
        <v>500</v>
      </c>
      <c r="M180" s="143">
        <f t="shared" si="34"/>
        <v>0</v>
      </c>
      <c r="N180" s="121" t="str">
        <f t="shared" si="31"/>
        <v>REQ ADICIONAL</v>
      </c>
      <c r="O180" s="186">
        <f t="shared" si="33"/>
        <v>1</v>
      </c>
    </row>
    <row r="181" spans="2:15" x14ac:dyDescent="0.25">
      <c r="B181" s="18">
        <v>255341</v>
      </c>
      <c r="C181" s="19" t="s">
        <v>50</v>
      </c>
      <c r="D181" s="145">
        <v>225</v>
      </c>
      <c r="E181" s="139"/>
      <c r="F181" s="228"/>
      <c r="G181" s="228"/>
      <c r="H181" s="229"/>
      <c r="I181" s="3"/>
      <c r="J181" s="230"/>
      <c r="K181" s="230"/>
      <c r="L181" s="138">
        <f t="shared" si="32"/>
        <v>0</v>
      </c>
      <c r="M181" s="143">
        <f t="shared" si="34"/>
        <v>225</v>
      </c>
      <c r="N181" s="121">
        <f t="shared" si="31"/>
        <v>0</v>
      </c>
      <c r="O181" s="186">
        <f t="shared" si="33"/>
        <v>0</v>
      </c>
    </row>
    <row r="182" spans="2:15" x14ac:dyDescent="0.25">
      <c r="B182" s="7">
        <v>254988</v>
      </c>
      <c r="C182" s="3" t="s">
        <v>54</v>
      </c>
      <c r="D182" s="145">
        <f>2*225</f>
        <v>450</v>
      </c>
      <c r="E182" s="139"/>
      <c r="F182" s="228">
        <v>225</v>
      </c>
      <c r="G182" s="228"/>
      <c r="H182" s="229"/>
      <c r="I182" s="3"/>
      <c r="J182" s="230"/>
      <c r="K182" s="230">
        <f>225</f>
        <v>225</v>
      </c>
      <c r="L182" s="138">
        <f t="shared" si="32"/>
        <v>450</v>
      </c>
      <c r="M182" s="143">
        <f t="shared" si="34"/>
        <v>0</v>
      </c>
      <c r="N182" s="121">
        <f t="shared" si="31"/>
        <v>1</v>
      </c>
      <c r="O182" s="187">
        <f t="shared" si="33"/>
        <v>1</v>
      </c>
    </row>
    <row r="183" spans="2:15" x14ac:dyDescent="0.25">
      <c r="B183" s="188">
        <v>254954</v>
      </c>
      <c r="C183" s="3" t="s">
        <v>33</v>
      </c>
      <c r="D183" s="145">
        <f>12*180</f>
        <v>2160</v>
      </c>
      <c r="E183" s="139"/>
      <c r="F183" s="228"/>
      <c r="G183" s="228"/>
      <c r="H183" s="229"/>
      <c r="I183" s="3"/>
      <c r="J183" s="230">
        <f>180</f>
        <v>180</v>
      </c>
      <c r="K183" s="230">
        <v>180</v>
      </c>
      <c r="L183" s="138">
        <f t="shared" si="32"/>
        <v>360</v>
      </c>
      <c r="M183" s="143">
        <f t="shared" si="34"/>
        <v>1800</v>
      </c>
      <c r="N183" s="121">
        <f t="shared" si="31"/>
        <v>0.16666666666666666</v>
      </c>
      <c r="O183" s="187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5">
        <f>11*180</f>
        <v>1980</v>
      </c>
      <c r="E184" s="139"/>
      <c r="F184" s="228"/>
      <c r="G184" s="228"/>
      <c r="H184" s="229"/>
      <c r="I184" s="3">
        <v>180</v>
      </c>
      <c r="J184" s="230"/>
      <c r="K184" s="230">
        <v>180</v>
      </c>
      <c r="L184" s="138">
        <f t="shared" si="32"/>
        <v>360</v>
      </c>
      <c r="M184" s="143">
        <f t="shared" si="34"/>
        <v>1620</v>
      </c>
      <c r="N184" s="121">
        <f t="shared" si="31"/>
        <v>0.18181818181818182</v>
      </c>
      <c r="O184" s="187">
        <f t="shared" si="33"/>
        <v>0.18181818181818182</v>
      </c>
    </row>
    <row r="185" spans="2:15" x14ac:dyDescent="0.25">
      <c r="B185" s="188">
        <v>254963</v>
      </c>
      <c r="C185" s="3" t="s">
        <v>27</v>
      </c>
      <c r="D185" s="145">
        <f>2*225</f>
        <v>450</v>
      </c>
      <c r="E185" s="139"/>
      <c r="F185" s="228"/>
      <c r="G185" s="228">
        <f>225</f>
        <v>225</v>
      </c>
      <c r="H185" s="229"/>
      <c r="I185" s="3"/>
      <c r="J185" s="230"/>
      <c r="K185" s="230"/>
      <c r="L185" s="138">
        <f t="shared" si="32"/>
        <v>225</v>
      </c>
      <c r="M185" s="143">
        <f t="shared" si="34"/>
        <v>225</v>
      </c>
      <c r="N185" s="121">
        <f t="shared" si="31"/>
        <v>0.5</v>
      </c>
      <c r="O185" s="187">
        <f t="shared" si="33"/>
        <v>0.5</v>
      </c>
    </row>
    <row r="186" spans="2:15" x14ac:dyDescent="0.25">
      <c r="B186" s="7">
        <v>255382</v>
      </c>
      <c r="C186" s="3" t="s">
        <v>56</v>
      </c>
      <c r="D186" s="145">
        <v>0</v>
      </c>
      <c r="E186" s="139"/>
      <c r="F186" s="228"/>
      <c r="G186" s="228"/>
      <c r="H186" s="229"/>
      <c r="I186" s="3"/>
      <c r="J186" s="230"/>
      <c r="K186" s="230"/>
      <c r="L186" s="138">
        <f t="shared" si="32"/>
        <v>0</v>
      </c>
      <c r="M186" s="143">
        <f t="shared" si="34"/>
        <v>0</v>
      </c>
      <c r="N186" s="121">
        <f t="shared" si="31"/>
        <v>0</v>
      </c>
      <c r="O186" s="187">
        <f t="shared" si="33"/>
        <v>0</v>
      </c>
    </row>
    <row r="187" spans="2:15" x14ac:dyDescent="0.25">
      <c r="B187" s="18">
        <v>251632</v>
      </c>
      <c r="C187" s="19" t="s">
        <v>51</v>
      </c>
      <c r="D187" s="138">
        <v>0</v>
      </c>
      <c r="E187" s="139">
        <v>180</v>
      </c>
      <c r="F187" s="228"/>
      <c r="G187" s="228"/>
      <c r="H187" s="229"/>
      <c r="I187" s="3"/>
      <c r="J187" s="230">
        <v>180</v>
      </c>
      <c r="K187" s="230"/>
      <c r="L187" s="138">
        <f t="shared" si="32"/>
        <v>180</v>
      </c>
      <c r="M187" s="143">
        <f t="shared" si="34"/>
        <v>0</v>
      </c>
      <c r="N187" s="121" t="str">
        <f t="shared" si="31"/>
        <v>REQ ADICIONAL</v>
      </c>
      <c r="O187" s="187">
        <f t="shared" si="33"/>
        <v>1</v>
      </c>
    </row>
    <row r="188" spans="2:15" x14ac:dyDescent="0.25">
      <c r="B188" s="7">
        <v>251406</v>
      </c>
      <c r="C188" s="3" t="s">
        <v>42</v>
      </c>
      <c r="D188" s="138">
        <f>7*180</f>
        <v>1260</v>
      </c>
      <c r="E188" s="139"/>
      <c r="F188" s="228"/>
      <c r="G188" s="228"/>
      <c r="H188" s="229">
        <f>180</f>
        <v>180</v>
      </c>
      <c r="I188" s="3"/>
      <c r="J188" s="230"/>
      <c r="K188" s="230">
        <f>2*180</f>
        <v>360</v>
      </c>
      <c r="L188" s="138">
        <f t="shared" ref="L188:L193" si="35">SUM(F188:K188)</f>
        <v>540</v>
      </c>
      <c r="M188" s="143">
        <f t="shared" si="34"/>
        <v>720</v>
      </c>
      <c r="N188" s="121">
        <f t="shared" si="31"/>
        <v>0.42857142857142855</v>
      </c>
      <c r="O188" s="187">
        <f t="shared" si="33"/>
        <v>0.42857142857142855</v>
      </c>
    </row>
    <row r="189" spans="2:15" x14ac:dyDescent="0.25">
      <c r="B189" s="188">
        <v>254845</v>
      </c>
      <c r="C189" s="3" t="s">
        <v>40</v>
      </c>
      <c r="D189" s="138">
        <v>0</v>
      </c>
      <c r="E189" s="139"/>
      <c r="F189" s="228"/>
      <c r="G189" s="228"/>
      <c r="H189" s="229"/>
      <c r="I189" s="3"/>
      <c r="J189" s="230"/>
      <c r="K189" s="230"/>
      <c r="L189" s="138">
        <f t="shared" si="35"/>
        <v>0</v>
      </c>
      <c r="M189" s="143">
        <f t="shared" si="34"/>
        <v>0</v>
      </c>
      <c r="N189" s="121">
        <f t="shared" si="31"/>
        <v>0</v>
      </c>
      <c r="O189" s="187">
        <f t="shared" si="33"/>
        <v>0</v>
      </c>
    </row>
    <row r="190" spans="2:15" x14ac:dyDescent="0.25">
      <c r="B190" s="7">
        <v>254846</v>
      </c>
      <c r="C190" s="3" t="s">
        <v>41</v>
      </c>
      <c r="D190" s="138">
        <v>0</v>
      </c>
      <c r="E190" s="139"/>
      <c r="F190" s="228"/>
      <c r="G190" s="228"/>
      <c r="H190" s="229"/>
      <c r="I190" s="3"/>
      <c r="J190" s="230"/>
      <c r="K190" s="230"/>
      <c r="L190" s="138">
        <f t="shared" si="35"/>
        <v>0</v>
      </c>
      <c r="M190" s="143">
        <f t="shared" si="34"/>
        <v>0</v>
      </c>
      <c r="N190" s="121">
        <f t="shared" si="31"/>
        <v>0</v>
      </c>
      <c r="O190" s="187">
        <f t="shared" si="33"/>
        <v>0</v>
      </c>
    </row>
    <row r="191" spans="2:15" x14ac:dyDescent="0.25">
      <c r="B191" s="7">
        <v>255429</v>
      </c>
      <c r="C191" s="31" t="s">
        <v>52</v>
      </c>
      <c r="D191" s="138">
        <v>250</v>
      </c>
      <c r="E191" s="139"/>
      <c r="F191" s="228"/>
      <c r="G191" s="228"/>
      <c r="H191" s="229"/>
      <c r="I191" s="3"/>
      <c r="J191" s="230"/>
      <c r="K191" s="230">
        <v>250</v>
      </c>
      <c r="L191" s="138">
        <f t="shared" si="35"/>
        <v>250</v>
      </c>
      <c r="M191" s="143">
        <f>+SUM(D191:E191)-L191</f>
        <v>0</v>
      </c>
      <c r="N191" s="121">
        <f t="shared" si="31"/>
        <v>1</v>
      </c>
      <c r="O191" s="187">
        <f t="shared" si="33"/>
        <v>1</v>
      </c>
    </row>
    <row r="192" spans="2:15" x14ac:dyDescent="0.25">
      <c r="B192" s="44">
        <v>255349</v>
      </c>
      <c r="C192" s="213" t="s">
        <v>94</v>
      </c>
      <c r="D192" s="168">
        <v>0</v>
      </c>
      <c r="E192" s="211"/>
      <c r="F192" s="225"/>
      <c r="G192" s="225"/>
      <c r="H192" s="229"/>
      <c r="I192" s="230"/>
      <c r="J192" s="230"/>
      <c r="K192" s="227"/>
      <c r="L192" s="168">
        <f t="shared" si="35"/>
        <v>0</v>
      </c>
      <c r="M192" s="169">
        <f>+SUM(D192:E192)-L192</f>
        <v>0</v>
      </c>
      <c r="N192" s="170">
        <f t="shared" si="31"/>
        <v>0</v>
      </c>
      <c r="O192" s="214">
        <f t="shared" si="33"/>
        <v>0</v>
      </c>
    </row>
    <row r="193" spans="2:15" ht="15.75" thickBot="1" x14ac:dyDescent="0.3">
      <c r="B193" s="215">
        <v>255362</v>
      </c>
      <c r="C193" s="213" t="s">
        <v>58</v>
      </c>
      <c r="D193" s="216">
        <f>28*80</f>
        <v>2240</v>
      </c>
      <c r="E193" s="217">
        <f>80+(18*80)+880+800</f>
        <v>3200</v>
      </c>
      <c r="F193" s="231">
        <f>9*80</f>
        <v>720</v>
      </c>
      <c r="G193" s="231">
        <f>20*80</f>
        <v>1600</v>
      </c>
      <c r="H193" s="229">
        <f>18*80</f>
        <v>1440</v>
      </c>
      <c r="I193" s="3">
        <f>11*80</f>
        <v>880</v>
      </c>
      <c r="J193" s="230">
        <f>10*80</f>
        <v>800</v>
      </c>
      <c r="K193" s="232"/>
      <c r="L193" s="216">
        <f t="shared" si="35"/>
        <v>5440</v>
      </c>
      <c r="M193" s="222">
        <f>+SUM(D193:E193)-L193</f>
        <v>0</v>
      </c>
      <c r="N193" s="223">
        <f t="shared" si="31"/>
        <v>2.4285714285714284</v>
      </c>
      <c r="O193" s="224">
        <f t="shared" si="33"/>
        <v>1</v>
      </c>
    </row>
    <row r="194" spans="2:15" ht="16.5" thickBot="1" x14ac:dyDescent="0.3">
      <c r="B194" s="687" t="s">
        <v>87</v>
      </c>
      <c r="C194" s="688"/>
      <c r="D194" s="199">
        <f t="shared" ref="D194:L194" si="36">SUM(D170:D193)</f>
        <v>13790</v>
      </c>
      <c r="E194" s="200">
        <f t="shared" si="36"/>
        <v>6785</v>
      </c>
      <c r="F194" s="201">
        <f t="shared" si="36"/>
        <v>1590</v>
      </c>
      <c r="G194" s="201">
        <f t="shared" si="36"/>
        <v>2185</v>
      </c>
      <c r="H194" s="201">
        <f t="shared" si="36"/>
        <v>2530</v>
      </c>
      <c r="I194" s="201">
        <f t="shared" si="36"/>
        <v>2285</v>
      </c>
      <c r="J194" s="201">
        <f t="shared" si="36"/>
        <v>2165</v>
      </c>
      <c r="K194" s="201">
        <f t="shared" si="36"/>
        <v>3390</v>
      </c>
      <c r="L194" s="202">
        <f t="shared" si="36"/>
        <v>14145</v>
      </c>
      <c r="M194" s="203">
        <f>+SUM(D194:E194)-L194</f>
        <v>6430</v>
      </c>
      <c r="N194" s="204">
        <f>L194/D194</f>
        <v>1.0257432922407541</v>
      </c>
      <c r="O194" s="205">
        <f>+L194/SUM(D194:E194)</f>
        <v>0.68748481166464159</v>
      </c>
    </row>
    <row r="196" spans="2:15" ht="15.75" thickBot="1" x14ac:dyDescent="0.3">
      <c r="E196" s="233"/>
    </row>
    <row r="197" spans="2:15" ht="16.5" thickBot="1" x14ac:dyDescent="0.3">
      <c r="B197" s="689" t="s">
        <v>96</v>
      </c>
      <c r="C197" s="690"/>
      <c r="D197" s="690"/>
      <c r="E197" s="690"/>
      <c r="F197" s="690"/>
      <c r="G197" s="690"/>
      <c r="H197" s="690"/>
      <c r="I197" s="690"/>
      <c r="J197" s="690"/>
      <c r="K197" s="690"/>
      <c r="L197" s="690"/>
      <c r="M197" s="690"/>
      <c r="N197" s="690"/>
      <c r="O197" s="691"/>
    </row>
    <row r="198" spans="2:15" ht="30.75" thickBot="1" x14ac:dyDescent="0.3">
      <c r="B198" s="45" t="s">
        <v>34</v>
      </c>
      <c r="C198" s="46" t="s">
        <v>9</v>
      </c>
      <c r="D198" s="206" t="s">
        <v>85</v>
      </c>
      <c r="E198" s="207" t="s">
        <v>86</v>
      </c>
      <c r="F198" s="208">
        <v>42910</v>
      </c>
      <c r="G198" s="208">
        <f>+F198+2</f>
        <v>42912</v>
      </c>
      <c r="H198" s="208">
        <f>+G198+1</f>
        <v>42913</v>
      </c>
      <c r="I198" s="208">
        <f>+H198+1</f>
        <v>42914</v>
      </c>
      <c r="J198" s="208">
        <f>+I198+1</f>
        <v>42915</v>
      </c>
      <c r="K198" s="208">
        <f>+J198+1</f>
        <v>42916</v>
      </c>
      <c r="L198" s="206" t="s">
        <v>87</v>
      </c>
      <c r="M198" s="209" t="s">
        <v>88</v>
      </c>
      <c r="N198" s="208" t="s">
        <v>89</v>
      </c>
      <c r="O198" s="210" t="s">
        <v>90</v>
      </c>
    </row>
    <row r="199" spans="2:15" x14ac:dyDescent="0.25">
      <c r="B199" s="44">
        <v>254849</v>
      </c>
      <c r="C199" s="21" t="s">
        <v>0</v>
      </c>
      <c r="D199" s="168">
        <v>0</v>
      </c>
      <c r="E199" s="211">
        <v>180</v>
      </c>
      <c r="F199" s="6"/>
      <c r="G199" s="225"/>
      <c r="H199" s="226"/>
      <c r="I199" s="53">
        <v>180</v>
      </c>
      <c r="J199" s="227"/>
      <c r="K199" s="227"/>
      <c r="L199" s="168">
        <f>SUM(F199:K199)</f>
        <v>180</v>
      </c>
      <c r="M199" s="169">
        <f>+SUM(D199:E199)-L199</f>
        <v>0</v>
      </c>
      <c r="N199" s="170" t="str">
        <f t="shared" ref="N199:N222" si="37">IF(L199=0,0,IFERROR(L199/D199,"REQ ADICIONAL"))</f>
        <v>REQ ADICIONAL</v>
      </c>
      <c r="O199" s="184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5">
        <v>0</v>
      </c>
      <c r="E200" s="139">
        <v>180</v>
      </c>
      <c r="F200" s="3"/>
      <c r="G200" s="228"/>
      <c r="H200" s="229">
        <v>180</v>
      </c>
      <c r="I200" s="52"/>
      <c r="J200" s="230"/>
      <c r="K200" s="230"/>
      <c r="L200" s="138">
        <f t="shared" ref="L200:L216" si="38">SUM(F200:K200)</f>
        <v>180</v>
      </c>
      <c r="M200" s="143">
        <f>+SUM(D200:E200)-L200</f>
        <v>0</v>
      </c>
      <c r="N200" s="121" t="str">
        <f t="shared" si="37"/>
        <v>REQ ADICIONAL</v>
      </c>
      <c r="O200" s="186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5">
        <v>1980</v>
      </c>
      <c r="E201" s="139"/>
      <c r="F201" s="55">
        <f>3*180</f>
        <v>540</v>
      </c>
      <c r="G201" s="228">
        <f>3*180</f>
        <v>540</v>
      </c>
      <c r="H201" s="229">
        <v>360</v>
      </c>
      <c r="I201" s="52"/>
      <c r="J201" s="230"/>
      <c r="K201" s="230"/>
      <c r="L201" s="138">
        <f t="shared" si="38"/>
        <v>1440</v>
      </c>
      <c r="M201" s="143">
        <f>+SUM(D201:E201)-L201</f>
        <v>540</v>
      </c>
      <c r="N201" s="121">
        <f t="shared" si="37"/>
        <v>0.72727272727272729</v>
      </c>
      <c r="O201" s="186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5">
        <v>2520</v>
      </c>
      <c r="E202" s="139"/>
      <c r="F202" s="55"/>
      <c r="G202" s="228">
        <f>8*60</f>
        <v>480</v>
      </c>
      <c r="H202" s="229"/>
      <c r="I202" s="52">
        <f>3*60</f>
        <v>180</v>
      </c>
      <c r="J202" s="230"/>
      <c r="K202" s="230">
        <f>15*60</f>
        <v>900</v>
      </c>
      <c r="L202" s="138">
        <f t="shared" si="38"/>
        <v>1560</v>
      </c>
      <c r="M202" s="143">
        <f>+SUM(D202:E202)-L202</f>
        <v>960</v>
      </c>
      <c r="N202" s="121">
        <f t="shared" si="37"/>
        <v>0.61904761904761907</v>
      </c>
      <c r="O202" s="186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5">
        <v>1920</v>
      </c>
      <c r="E203" s="139">
        <f>1120+400</f>
        <v>1520</v>
      </c>
      <c r="F203" s="55">
        <f>8*80</f>
        <v>640</v>
      </c>
      <c r="G203" s="228">
        <f>4*80</f>
        <v>320</v>
      </c>
      <c r="H203" s="229">
        <v>320</v>
      </c>
      <c r="I203" s="52">
        <f>8*80</f>
        <v>640</v>
      </c>
      <c r="J203" s="230">
        <f>14*80</f>
        <v>1120</v>
      </c>
      <c r="K203" s="230">
        <f>5*80</f>
        <v>400</v>
      </c>
      <c r="L203" s="138">
        <f t="shared" si="38"/>
        <v>3440</v>
      </c>
      <c r="M203" s="143">
        <f>+SUM(D203:E203)-L203</f>
        <v>0</v>
      </c>
      <c r="N203" s="121">
        <f t="shared" si="37"/>
        <v>1.7916666666666667</v>
      </c>
      <c r="O203" s="186">
        <f t="shared" si="39"/>
        <v>1</v>
      </c>
    </row>
    <row r="204" spans="2:15" x14ac:dyDescent="0.25">
      <c r="B204" s="18">
        <v>251196</v>
      </c>
      <c r="C204" s="3" t="s">
        <v>5</v>
      </c>
      <c r="D204" s="145">
        <v>640</v>
      </c>
      <c r="E204" s="139">
        <f>960+240</f>
        <v>1200</v>
      </c>
      <c r="F204" s="55">
        <f>4*80</f>
        <v>320</v>
      </c>
      <c r="G204" s="228">
        <f>2*80</f>
        <v>160</v>
      </c>
      <c r="H204" s="229">
        <v>400</v>
      </c>
      <c r="I204" s="52">
        <f>4*80</f>
        <v>320</v>
      </c>
      <c r="J204" s="230">
        <f>5*80</f>
        <v>400</v>
      </c>
      <c r="K204" s="230">
        <f>3*80</f>
        <v>240</v>
      </c>
      <c r="L204" s="138">
        <f t="shared" si="38"/>
        <v>1840</v>
      </c>
      <c r="M204" s="143">
        <f t="shared" ref="M204:M220" si="40">+SUM(D204:E204)-L204</f>
        <v>0</v>
      </c>
      <c r="N204" s="121">
        <f t="shared" si="37"/>
        <v>2.875</v>
      </c>
      <c r="O204" s="186">
        <f t="shared" si="39"/>
        <v>1</v>
      </c>
    </row>
    <row r="205" spans="2:15" x14ac:dyDescent="0.25">
      <c r="B205" s="18">
        <v>250524</v>
      </c>
      <c r="C205" s="3" t="s">
        <v>6</v>
      </c>
      <c r="D205" s="145">
        <v>1440</v>
      </c>
      <c r="E205" s="139">
        <f>1360+240</f>
        <v>1600</v>
      </c>
      <c r="F205" s="55">
        <f>6*80</f>
        <v>480</v>
      </c>
      <c r="G205" s="228">
        <f>4*80</f>
        <v>320</v>
      </c>
      <c r="H205" s="229">
        <v>720</v>
      </c>
      <c r="I205" s="52">
        <f>8*80</f>
        <v>640</v>
      </c>
      <c r="J205" s="230">
        <f>8*80</f>
        <v>640</v>
      </c>
      <c r="K205" s="230">
        <f>3*80</f>
        <v>240</v>
      </c>
      <c r="L205" s="138">
        <f t="shared" si="38"/>
        <v>3040</v>
      </c>
      <c r="M205" s="143">
        <f t="shared" si="40"/>
        <v>0</v>
      </c>
      <c r="N205" s="121">
        <f t="shared" si="37"/>
        <v>2.1111111111111112</v>
      </c>
      <c r="O205" s="186">
        <f t="shared" si="39"/>
        <v>1</v>
      </c>
    </row>
    <row r="206" spans="2:15" x14ac:dyDescent="0.25">
      <c r="B206" s="18">
        <v>252534</v>
      </c>
      <c r="C206" s="3" t="s">
        <v>7</v>
      </c>
      <c r="D206" s="145">
        <v>450</v>
      </c>
      <c r="E206" s="139">
        <f>1350+450</f>
        <v>1800</v>
      </c>
      <c r="F206" s="55"/>
      <c r="G206" s="228"/>
      <c r="H206" s="229">
        <v>450</v>
      </c>
      <c r="I206" s="52">
        <f>3*225</f>
        <v>675</v>
      </c>
      <c r="J206" s="230">
        <f>3*225</f>
        <v>675</v>
      </c>
      <c r="K206" s="230">
        <f>2*225</f>
        <v>450</v>
      </c>
      <c r="L206" s="138">
        <f t="shared" si="38"/>
        <v>2250</v>
      </c>
      <c r="M206" s="143">
        <f t="shared" si="40"/>
        <v>0</v>
      </c>
      <c r="N206" s="121">
        <f t="shared" si="37"/>
        <v>5</v>
      </c>
      <c r="O206" s="186">
        <f t="shared" si="39"/>
        <v>1</v>
      </c>
    </row>
    <row r="207" spans="2:15" x14ac:dyDescent="0.25">
      <c r="B207" s="18">
        <v>251151</v>
      </c>
      <c r="C207" s="3" t="s">
        <v>8</v>
      </c>
      <c r="D207" s="145">
        <v>450</v>
      </c>
      <c r="E207" s="139"/>
      <c r="F207" s="55"/>
      <c r="G207" s="228">
        <v>225</v>
      </c>
      <c r="H207" s="229"/>
      <c r="I207" s="52"/>
      <c r="J207" s="230"/>
      <c r="K207" s="230"/>
      <c r="L207" s="138">
        <f t="shared" si="38"/>
        <v>225</v>
      </c>
      <c r="M207" s="143">
        <f t="shared" si="40"/>
        <v>225</v>
      </c>
      <c r="N207" s="121">
        <f t="shared" si="37"/>
        <v>0.5</v>
      </c>
      <c r="O207" s="186">
        <f t="shared" si="39"/>
        <v>0.5</v>
      </c>
    </row>
    <row r="208" spans="2:15" x14ac:dyDescent="0.25">
      <c r="B208" s="18">
        <v>254852</v>
      </c>
      <c r="C208" s="3" t="s">
        <v>17</v>
      </c>
      <c r="D208" s="145">
        <v>0</v>
      </c>
      <c r="E208" s="139">
        <v>225</v>
      </c>
      <c r="F208" s="55"/>
      <c r="G208" s="228">
        <v>225</v>
      </c>
      <c r="H208" s="229"/>
      <c r="I208" s="52"/>
      <c r="J208" s="230"/>
      <c r="K208" s="230"/>
      <c r="L208" s="138">
        <f t="shared" si="38"/>
        <v>225</v>
      </c>
      <c r="M208" s="143">
        <f t="shared" si="40"/>
        <v>0</v>
      </c>
      <c r="N208" s="121" t="str">
        <f t="shared" si="37"/>
        <v>REQ ADICIONAL</v>
      </c>
      <c r="O208" s="186">
        <f t="shared" si="39"/>
        <v>1</v>
      </c>
    </row>
    <row r="209" spans="2:15" x14ac:dyDescent="0.25">
      <c r="B209" s="7">
        <v>255430</v>
      </c>
      <c r="C209" s="3" t="s">
        <v>53</v>
      </c>
      <c r="D209" s="145">
        <v>0</v>
      </c>
      <c r="E209" s="139"/>
      <c r="F209" s="55"/>
      <c r="G209" s="228"/>
      <c r="H209" s="229"/>
      <c r="I209" s="52"/>
      <c r="J209" s="230"/>
      <c r="K209" s="230"/>
      <c r="L209" s="138">
        <f t="shared" si="38"/>
        <v>0</v>
      </c>
      <c r="M209" s="143">
        <f t="shared" si="40"/>
        <v>0</v>
      </c>
      <c r="N209" s="121">
        <f t="shared" si="37"/>
        <v>0</v>
      </c>
      <c r="O209" s="186">
        <f t="shared" si="39"/>
        <v>0</v>
      </c>
    </row>
    <row r="210" spans="2:15" x14ac:dyDescent="0.25">
      <c r="B210" s="18">
        <v>255341</v>
      </c>
      <c r="C210" s="19" t="s">
        <v>50</v>
      </c>
      <c r="D210" s="145">
        <v>450</v>
      </c>
      <c r="E210" s="139"/>
      <c r="F210" s="55"/>
      <c r="G210" s="228"/>
      <c r="H210" s="229"/>
      <c r="I210" s="52"/>
      <c r="J210" s="230"/>
      <c r="K210" s="230">
        <f>225</f>
        <v>225</v>
      </c>
      <c r="L210" s="138">
        <f t="shared" si="38"/>
        <v>225</v>
      </c>
      <c r="M210" s="143">
        <f t="shared" si="40"/>
        <v>225</v>
      </c>
      <c r="N210" s="121">
        <f t="shared" si="37"/>
        <v>0.5</v>
      </c>
      <c r="O210" s="186">
        <f t="shared" si="39"/>
        <v>0.5</v>
      </c>
    </row>
    <row r="211" spans="2:15" x14ac:dyDescent="0.25">
      <c r="B211" s="7">
        <v>254988</v>
      </c>
      <c r="C211" s="3" t="s">
        <v>54</v>
      </c>
      <c r="D211" s="145">
        <v>450</v>
      </c>
      <c r="E211" s="139"/>
      <c r="F211" s="55"/>
      <c r="G211" s="228"/>
      <c r="H211" s="229"/>
      <c r="I211" s="52">
        <v>225</v>
      </c>
      <c r="J211" s="230"/>
      <c r="K211" s="230"/>
      <c r="L211" s="138">
        <f t="shared" si="38"/>
        <v>225</v>
      </c>
      <c r="M211" s="143">
        <f t="shared" si="40"/>
        <v>225</v>
      </c>
      <c r="N211" s="121">
        <f t="shared" si="37"/>
        <v>0.5</v>
      </c>
      <c r="O211" s="187">
        <f t="shared" si="39"/>
        <v>0.5</v>
      </c>
    </row>
    <row r="212" spans="2:15" x14ac:dyDescent="0.25">
      <c r="B212" s="188">
        <v>254954</v>
      </c>
      <c r="C212" s="3" t="s">
        <v>33</v>
      </c>
      <c r="D212" s="145">
        <v>2160</v>
      </c>
      <c r="E212" s="139"/>
      <c r="F212" s="55">
        <f>4*180</f>
        <v>720</v>
      </c>
      <c r="G212" s="228">
        <f>3*180</f>
        <v>540</v>
      </c>
      <c r="H212" s="229"/>
      <c r="I212" s="52"/>
      <c r="J212" s="230"/>
      <c r="K212" s="230"/>
      <c r="L212" s="138">
        <f t="shared" si="38"/>
        <v>1260</v>
      </c>
      <c r="M212" s="143">
        <f t="shared" si="40"/>
        <v>900</v>
      </c>
      <c r="N212" s="121">
        <f t="shared" si="37"/>
        <v>0.58333333333333337</v>
      </c>
      <c r="O212" s="187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5">
        <v>1980</v>
      </c>
      <c r="E213" s="139"/>
      <c r="F213" s="55">
        <f>4*180</f>
        <v>720</v>
      </c>
      <c r="G213" s="228">
        <f>3*180</f>
        <v>540</v>
      </c>
      <c r="H213" s="229">
        <v>180</v>
      </c>
      <c r="I213" s="52"/>
      <c r="J213" s="230"/>
      <c r="K213" s="230"/>
      <c r="L213" s="138">
        <f t="shared" si="38"/>
        <v>1440</v>
      </c>
      <c r="M213" s="143">
        <f t="shared" si="40"/>
        <v>540</v>
      </c>
      <c r="N213" s="121">
        <f t="shared" si="37"/>
        <v>0.72727272727272729</v>
      </c>
      <c r="O213" s="187">
        <f t="shared" si="39"/>
        <v>0.72727272727272729</v>
      </c>
    </row>
    <row r="214" spans="2:15" x14ac:dyDescent="0.25">
      <c r="B214" s="188">
        <v>254963</v>
      </c>
      <c r="C214" s="3" t="s">
        <v>27</v>
      </c>
      <c r="D214" s="145">
        <v>0</v>
      </c>
      <c r="E214" s="139">
        <v>225</v>
      </c>
      <c r="F214" s="55"/>
      <c r="G214" s="228"/>
      <c r="H214" s="229"/>
      <c r="I214" s="52">
        <v>225</v>
      </c>
      <c r="J214" s="230"/>
      <c r="K214" s="230"/>
      <c r="L214" s="138">
        <f t="shared" si="38"/>
        <v>225</v>
      </c>
      <c r="M214" s="143">
        <f t="shared" si="40"/>
        <v>0</v>
      </c>
      <c r="N214" s="121" t="str">
        <f t="shared" si="37"/>
        <v>REQ ADICIONAL</v>
      </c>
      <c r="O214" s="187">
        <f t="shared" si="39"/>
        <v>1</v>
      </c>
    </row>
    <row r="215" spans="2:15" x14ac:dyDescent="0.25">
      <c r="B215" s="7">
        <v>255382</v>
      </c>
      <c r="C215" s="3" t="s">
        <v>56</v>
      </c>
      <c r="D215" s="145">
        <v>0</v>
      </c>
      <c r="E215" s="139"/>
      <c r="F215" s="55"/>
      <c r="G215" s="228"/>
      <c r="H215" s="229"/>
      <c r="I215" s="52"/>
      <c r="J215" s="230"/>
      <c r="K215" s="230"/>
      <c r="L215" s="138">
        <f t="shared" si="38"/>
        <v>0</v>
      </c>
      <c r="M215" s="143">
        <f t="shared" si="40"/>
        <v>0</v>
      </c>
      <c r="N215" s="121">
        <f t="shared" si="37"/>
        <v>0</v>
      </c>
      <c r="O215" s="187">
        <f t="shared" si="39"/>
        <v>0</v>
      </c>
    </row>
    <row r="216" spans="2:15" x14ac:dyDescent="0.25">
      <c r="B216" s="18">
        <v>251632</v>
      </c>
      <c r="C216" s="19" t="s">
        <v>51</v>
      </c>
      <c r="D216" s="138">
        <v>0</v>
      </c>
      <c r="E216" s="139"/>
      <c r="F216" s="55"/>
      <c r="G216" s="228"/>
      <c r="H216" s="229"/>
      <c r="I216" s="52"/>
      <c r="J216" s="230"/>
      <c r="K216" s="230"/>
      <c r="L216" s="138">
        <f t="shared" si="38"/>
        <v>0</v>
      </c>
      <c r="M216" s="143">
        <f t="shared" si="40"/>
        <v>0</v>
      </c>
      <c r="N216" s="121">
        <f t="shared" si="37"/>
        <v>0</v>
      </c>
      <c r="O216" s="187">
        <f t="shared" si="39"/>
        <v>0</v>
      </c>
    </row>
    <row r="217" spans="2:15" x14ac:dyDescent="0.25">
      <c r="B217" s="7">
        <v>251406</v>
      </c>
      <c r="C217" s="3" t="s">
        <v>42</v>
      </c>
      <c r="D217" s="138">
        <v>1080</v>
      </c>
      <c r="E217" s="139"/>
      <c r="F217" s="55">
        <f>1*180</f>
        <v>180</v>
      </c>
      <c r="G217" s="228">
        <v>180</v>
      </c>
      <c r="H217" s="229">
        <v>180</v>
      </c>
      <c r="I217" s="52"/>
      <c r="J217" s="230"/>
      <c r="K217" s="230"/>
      <c r="L217" s="138">
        <f t="shared" ref="L217:L222" si="41">SUM(F217:K217)</f>
        <v>540</v>
      </c>
      <c r="M217" s="143">
        <f t="shared" si="40"/>
        <v>540</v>
      </c>
      <c r="N217" s="121">
        <f t="shared" si="37"/>
        <v>0.5</v>
      </c>
      <c r="O217" s="187">
        <f t="shared" si="39"/>
        <v>0.5</v>
      </c>
    </row>
    <row r="218" spans="2:15" x14ac:dyDescent="0.25">
      <c r="B218" s="188">
        <v>254845</v>
      </c>
      <c r="C218" s="3" t="s">
        <v>40</v>
      </c>
      <c r="D218" s="138">
        <v>0</v>
      </c>
      <c r="E218" s="139"/>
      <c r="F218" s="55"/>
      <c r="G218" s="228"/>
      <c r="H218" s="229"/>
      <c r="I218" s="52"/>
      <c r="J218" s="230"/>
      <c r="K218" s="230"/>
      <c r="L218" s="138">
        <f t="shared" si="41"/>
        <v>0</v>
      </c>
      <c r="M218" s="143">
        <f t="shared" si="40"/>
        <v>0</v>
      </c>
      <c r="N218" s="121">
        <f t="shared" si="37"/>
        <v>0</v>
      </c>
      <c r="O218" s="187">
        <f t="shared" si="39"/>
        <v>0</v>
      </c>
    </row>
    <row r="219" spans="2:15" x14ac:dyDescent="0.25">
      <c r="B219" s="7">
        <v>254846</v>
      </c>
      <c r="C219" s="3" t="s">
        <v>41</v>
      </c>
      <c r="D219" s="138">
        <v>0</v>
      </c>
      <c r="E219" s="139"/>
      <c r="F219" s="228"/>
      <c r="G219" s="228"/>
      <c r="H219" s="229"/>
      <c r="I219" s="52"/>
      <c r="J219" s="230"/>
      <c r="K219" s="230"/>
      <c r="L219" s="138">
        <f t="shared" si="41"/>
        <v>0</v>
      </c>
      <c r="M219" s="143">
        <f t="shared" si="40"/>
        <v>0</v>
      </c>
      <c r="N219" s="121">
        <f t="shared" si="37"/>
        <v>0</v>
      </c>
      <c r="O219" s="187">
        <f t="shared" si="39"/>
        <v>0</v>
      </c>
    </row>
    <row r="220" spans="2:15" x14ac:dyDescent="0.25">
      <c r="B220" s="7">
        <v>255429</v>
      </c>
      <c r="C220" s="31" t="s">
        <v>52</v>
      </c>
      <c r="D220" s="138">
        <v>0</v>
      </c>
      <c r="E220" s="139"/>
      <c r="F220" s="228"/>
      <c r="G220" s="228"/>
      <c r="H220" s="229"/>
      <c r="I220" s="52"/>
      <c r="J220" s="230"/>
      <c r="K220" s="230"/>
      <c r="L220" s="138">
        <f t="shared" si="41"/>
        <v>0</v>
      </c>
      <c r="M220" s="143">
        <f t="shared" si="40"/>
        <v>0</v>
      </c>
      <c r="N220" s="121">
        <f t="shared" si="37"/>
        <v>0</v>
      </c>
      <c r="O220" s="187">
        <f t="shared" si="39"/>
        <v>0</v>
      </c>
    </row>
    <row r="221" spans="2:15" x14ac:dyDescent="0.25">
      <c r="B221" s="44">
        <v>255349</v>
      </c>
      <c r="C221" s="213" t="s">
        <v>94</v>
      </c>
      <c r="D221" s="168">
        <v>0</v>
      </c>
      <c r="E221" s="211"/>
      <c r="F221" s="225"/>
      <c r="G221" s="225"/>
      <c r="H221" s="229"/>
      <c r="I221" s="234"/>
      <c r="J221" s="230"/>
      <c r="K221" s="227"/>
      <c r="L221" s="168">
        <f t="shared" si="41"/>
        <v>0</v>
      </c>
      <c r="M221" s="169">
        <f>+SUM(D221:E221)-L221</f>
        <v>0</v>
      </c>
      <c r="N221" s="170">
        <f t="shared" si="37"/>
        <v>0</v>
      </c>
      <c r="O221" s="214">
        <f t="shared" si="39"/>
        <v>0</v>
      </c>
    </row>
    <row r="222" spans="2:15" ht="15.75" thickBot="1" x14ac:dyDescent="0.3">
      <c r="B222" s="215">
        <v>255362</v>
      </c>
      <c r="C222" s="213" t="s">
        <v>58</v>
      </c>
      <c r="D222" s="216">
        <v>3040</v>
      </c>
      <c r="E222" s="217"/>
      <c r="F222" s="231">
        <v>400</v>
      </c>
      <c r="G222" s="231">
        <f>6*80</f>
        <v>480</v>
      </c>
      <c r="H222" s="229">
        <v>560</v>
      </c>
      <c r="I222" s="52">
        <v>160</v>
      </c>
      <c r="J222" s="230"/>
      <c r="K222" s="232"/>
      <c r="L222" s="216">
        <f t="shared" si="41"/>
        <v>1600</v>
      </c>
      <c r="M222" s="222">
        <f>+SUM(D222:E222)-L222</f>
        <v>1440</v>
      </c>
      <c r="N222" s="223">
        <f t="shared" si="37"/>
        <v>0.52631578947368418</v>
      </c>
      <c r="O222" s="224">
        <f t="shared" si="39"/>
        <v>0.52631578947368418</v>
      </c>
    </row>
    <row r="223" spans="2:15" ht="16.5" thickBot="1" x14ac:dyDescent="0.3">
      <c r="B223" s="687" t="s">
        <v>87</v>
      </c>
      <c r="C223" s="688"/>
      <c r="D223" s="199">
        <f t="shared" ref="D223:L223" si="42">SUM(D199:D222)</f>
        <v>18560</v>
      </c>
      <c r="E223" s="200">
        <f t="shared" si="42"/>
        <v>6930</v>
      </c>
      <c r="F223" s="201">
        <f t="shared" si="42"/>
        <v>4000</v>
      </c>
      <c r="G223" s="201">
        <f t="shared" si="42"/>
        <v>4010</v>
      </c>
      <c r="H223" s="201">
        <f t="shared" si="42"/>
        <v>3350</v>
      </c>
      <c r="I223" s="201">
        <f t="shared" si="42"/>
        <v>3245</v>
      </c>
      <c r="J223" s="201">
        <f t="shared" si="42"/>
        <v>2835</v>
      </c>
      <c r="K223" s="201">
        <f t="shared" si="42"/>
        <v>2455</v>
      </c>
      <c r="L223" s="202">
        <f t="shared" si="42"/>
        <v>19895</v>
      </c>
      <c r="M223" s="203">
        <f>+SUM(D223:E223)-L223</f>
        <v>5595</v>
      </c>
      <c r="N223" s="204">
        <f>L223/D223</f>
        <v>1.0719288793103448</v>
      </c>
      <c r="O223" s="205">
        <f>+L223/SUM(D223:E223)</f>
        <v>0.78050215770890541</v>
      </c>
    </row>
    <row r="224" spans="2:15" ht="15.75" thickBot="1" x14ac:dyDescent="0.3"/>
    <row r="225" spans="2:15" ht="15.75" x14ac:dyDescent="0.25">
      <c r="B225" s="679" t="s">
        <v>97</v>
      </c>
      <c r="C225" s="680"/>
      <c r="D225" s="680"/>
      <c r="E225" s="680"/>
      <c r="F225" s="680"/>
      <c r="G225" s="680"/>
      <c r="H225" s="680"/>
      <c r="I225" s="680"/>
      <c r="J225" s="680"/>
      <c r="K225" s="680"/>
      <c r="L225" s="680"/>
      <c r="M225" s="680"/>
      <c r="N225" s="680"/>
      <c r="O225" s="681"/>
    </row>
    <row r="226" spans="2:15" ht="30" x14ac:dyDescent="0.25">
      <c r="B226" s="106" t="s">
        <v>34</v>
      </c>
      <c r="C226" s="30" t="s">
        <v>9</v>
      </c>
      <c r="D226" s="108" t="s">
        <v>85</v>
      </c>
      <c r="E226" s="163" t="s">
        <v>86</v>
      </c>
      <c r="F226" s="117">
        <v>42917</v>
      </c>
      <c r="G226" s="117">
        <f>+F226+2</f>
        <v>42919</v>
      </c>
      <c r="H226" s="117">
        <f>+G226+1</f>
        <v>42920</v>
      </c>
      <c r="I226" s="117">
        <f>+H226+1</f>
        <v>42921</v>
      </c>
      <c r="J226" s="117">
        <f>+I226+1</f>
        <v>42922</v>
      </c>
      <c r="K226" s="117">
        <f>+J226+1</f>
        <v>42923</v>
      </c>
      <c r="L226" s="108" t="s">
        <v>87</v>
      </c>
      <c r="M226" s="164" t="s">
        <v>88</v>
      </c>
      <c r="N226" s="117" t="s">
        <v>89</v>
      </c>
      <c r="O226" s="235" t="s">
        <v>90</v>
      </c>
    </row>
    <row r="227" spans="2:15" x14ac:dyDescent="0.25">
      <c r="B227" s="7">
        <v>254849</v>
      </c>
      <c r="C227" s="3" t="s">
        <v>0</v>
      </c>
      <c r="D227" s="138">
        <v>0</v>
      </c>
      <c r="E227" s="139">
        <v>180</v>
      </c>
      <c r="F227" s="52">
        <v>180</v>
      </c>
      <c r="G227" s="234"/>
      <c r="H227" s="229"/>
      <c r="I227" s="52"/>
      <c r="J227" s="230"/>
      <c r="K227" s="230"/>
      <c r="L227" s="138">
        <f>SUM(F227:K227)</f>
        <v>180</v>
      </c>
      <c r="M227" s="143">
        <f>+SUM(D227:E227)-L227</f>
        <v>0</v>
      </c>
      <c r="N227" s="121" t="str">
        <f t="shared" ref="N227:N250" si="43">IF(L227=0,0,IFERROR(L227/D227,"REQ ADICIONAL"))</f>
        <v>REQ ADICIONAL</v>
      </c>
      <c r="O227" s="186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8">
        <v>180</v>
      </c>
      <c r="E228" s="139"/>
      <c r="F228" s="52"/>
      <c r="G228" s="234"/>
      <c r="H228" s="229"/>
      <c r="I228" s="52"/>
      <c r="J228" s="230"/>
      <c r="K228" s="230"/>
      <c r="L228" s="138">
        <f t="shared" ref="L228:L244" si="44">SUM(F228:K228)</f>
        <v>0</v>
      </c>
      <c r="M228" s="143">
        <f>+SUM(D228:E228)-L228</f>
        <v>180</v>
      </c>
      <c r="N228" s="121">
        <f t="shared" si="43"/>
        <v>0</v>
      </c>
      <c r="O228" s="186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8">
        <v>0</v>
      </c>
      <c r="E229" s="139"/>
      <c r="F229" s="52"/>
      <c r="G229" s="234"/>
      <c r="H229" s="229"/>
      <c r="I229" s="52"/>
      <c r="J229" s="230"/>
      <c r="K229" s="230"/>
      <c r="L229" s="138">
        <f t="shared" si="44"/>
        <v>0</v>
      </c>
      <c r="M229" s="143">
        <f>+SUM(D229:E229)-L229</f>
        <v>0</v>
      </c>
      <c r="N229" s="121">
        <f t="shared" si="43"/>
        <v>0</v>
      </c>
      <c r="O229" s="186">
        <f t="shared" si="45"/>
        <v>0</v>
      </c>
    </row>
    <row r="230" spans="2:15" x14ac:dyDescent="0.25">
      <c r="B230" s="7">
        <v>254850</v>
      </c>
      <c r="C230" s="3" t="s">
        <v>3</v>
      </c>
      <c r="D230" s="138">
        <f>36*60</f>
        <v>2160</v>
      </c>
      <c r="E230" s="139">
        <v>120</v>
      </c>
      <c r="F230" s="52">
        <f>15*60</f>
        <v>900</v>
      </c>
      <c r="G230" s="234">
        <f>6*60</f>
        <v>360</v>
      </c>
      <c r="H230" s="229">
        <f>5*60</f>
        <v>300</v>
      </c>
      <c r="I230" s="52"/>
      <c r="J230" s="230"/>
      <c r="K230" s="230">
        <f>12*60</f>
        <v>720</v>
      </c>
      <c r="L230" s="138">
        <f t="shared" si="44"/>
        <v>2280</v>
      </c>
      <c r="M230" s="143">
        <f>+SUM(D230:E230)-L230</f>
        <v>0</v>
      </c>
      <c r="N230" s="121">
        <f t="shared" si="43"/>
        <v>1.0555555555555556</v>
      </c>
      <c r="O230" s="186">
        <f t="shared" si="45"/>
        <v>1</v>
      </c>
    </row>
    <row r="231" spans="2:15" x14ac:dyDescent="0.25">
      <c r="B231" s="18">
        <v>251385</v>
      </c>
      <c r="C231" s="3" t="s">
        <v>4</v>
      </c>
      <c r="D231" s="138">
        <f>32*80</f>
        <v>2560</v>
      </c>
      <c r="E231" s="139"/>
      <c r="F231" s="52">
        <f>4*80</f>
        <v>320</v>
      </c>
      <c r="G231" s="234">
        <f>5*80</f>
        <v>400</v>
      </c>
      <c r="H231" s="229"/>
      <c r="I231" s="52"/>
      <c r="J231" s="230"/>
      <c r="K231" s="230"/>
      <c r="L231" s="138">
        <f t="shared" si="44"/>
        <v>720</v>
      </c>
      <c r="M231" s="143">
        <f>+SUM(D231:E231)-L231</f>
        <v>1840</v>
      </c>
      <c r="N231" s="121">
        <f t="shared" si="43"/>
        <v>0.28125</v>
      </c>
      <c r="O231" s="186">
        <f t="shared" si="45"/>
        <v>0.28125</v>
      </c>
    </row>
    <row r="232" spans="2:15" x14ac:dyDescent="0.25">
      <c r="B232" s="18">
        <v>251196</v>
      </c>
      <c r="C232" s="3" t="s">
        <v>5</v>
      </c>
      <c r="D232" s="138">
        <v>80</v>
      </c>
      <c r="E232" s="139">
        <v>160</v>
      </c>
      <c r="F232" s="52">
        <f>2*80</f>
        <v>160</v>
      </c>
      <c r="G232" s="234"/>
      <c r="H232" s="229">
        <f>80</f>
        <v>80</v>
      </c>
      <c r="I232" s="52"/>
      <c r="J232" s="230"/>
      <c r="K232" s="230"/>
      <c r="L232" s="138">
        <f t="shared" si="44"/>
        <v>240</v>
      </c>
      <c r="M232" s="143">
        <f t="shared" ref="M232:M249" si="46">+SUM(D232:E232)-L232</f>
        <v>0</v>
      </c>
      <c r="N232" s="121">
        <f t="shared" si="43"/>
        <v>3</v>
      </c>
      <c r="O232" s="186">
        <f t="shared" si="45"/>
        <v>1</v>
      </c>
    </row>
    <row r="233" spans="2:15" x14ac:dyDescent="0.25">
      <c r="B233" s="18">
        <v>250524</v>
      </c>
      <c r="C233" s="3" t="s">
        <v>6</v>
      </c>
      <c r="D233" s="138">
        <f>14*80</f>
        <v>1120</v>
      </c>
      <c r="E233" s="139"/>
      <c r="F233" s="52">
        <f>4*80</f>
        <v>320</v>
      </c>
      <c r="G233" s="234">
        <f>4*80</f>
        <v>320</v>
      </c>
      <c r="H233" s="229">
        <f>2*80</f>
        <v>160</v>
      </c>
      <c r="I233" s="52"/>
      <c r="J233" s="230"/>
      <c r="K233" s="230"/>
      <c r="L233" s="138">
        <f t="shared" si="44"/>
        <v>800</v>
      </c>
      <c r="M233" s="143">
        <f t="shared" si="46"/>
        <v>320</v>
      </c>
      <c r="N233" s="121">
        <f t="shared" si="43"/>
        <v>0.7142857142857143</v>
      </c>
      <c r="O233" s="186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8">
        <f>2*225</f>
        <v>450</v>
      </c>
      <c r="E234" s="139"/>
      <c r="F234" s="52"/>
      <c r="G234" s="234"/>
      <c r="H234" s="229"/>
      <c r="I234" s="52"/>
      <c r="J234" s="230"/>
      <c r="K234" s="230"/>
      <c r="L234" s="138">
        <f t="shared" si="44"/>
        <v>0</v>
      </c>
      <c r="M234" s="143">
        <f t="shared" si="46"/>
        <v>450</v>
      </c>
      <c r="N234" s="121">
        <f t="shared" si="43"/>
        <v>0</v>
      </c>
      <c r="O234" s="186">
        <f t="shared" si="45"/>
        <v>0</v>
      </c>
    </row>
    <row r="235" spans="2:15" x14ac:dyDescent="0.25">
      <c r="B235" s="18">
        <v>251151</v>
      </c>
      <c r="C235" s="3" t="s">
        <v>8</v>
      </c>
      <c r="D235" s="138">
        <f>2*225</f>
        <v>450</v>
      </c>
      <c r="E235" s="139">
        <f>225+225+225</f>
        <v>675</v>
      </c>
      <c r="F235" s="52"/>
      <c r="G235" s="234"/>
      <c r="H235" s="229">
        <v>225</v>
      </c>
      <c r="I235" s="52">
        <v>450</v>
      </c>
      <c r="J235" s="230"/>
      <c r="K235" s="230">
        <f>225*2</f>
        <v>450</v>
      </c>
      <c r="L235" s="138">
        <f t="shared" si="44"/>
        <v>1125</v>
      </c>
      <c r="M235" s="143">
        <f t="shared" si="46"/>
        <v>0</v>
      </c>
      <c r="N235" s="121">
        <f t="shared" si="43"/>
        <v>2.5</v>
      </c>
      <c r="O235" s="186">
        <f t="shared" si="45"/>
        <v>1</v>
      </c>
    </row>
    <row r="236" spans="2:15" x14ac:dyDescent="0.25">
      <c r="B236" s="18">
        <v>254852</v>
      </c>
      <c r="C236" s="3" t="s">
        <v>17</v>
      </c>
      <c r="D236" s="138">
        <v>225</v>
      </c>
      <c r="E236" s="139">
        <v>450</v>
      </c>
      <c r="F236" s="52"/>
      <c r="G236" s="234"/>
      <c r="H236" s="229">
        <v>225</v>
      </c>
      <c r="I236" s="52">
        <v>450</v>
      </c>
      <c r="J236" s="230"/>
      <c r="K236" s="230"/>
      <c r="L236" s="138">
        <f t="shared" si="44"/>
        <v>675</v>
      </c>
      <c r="M236" s="143">
        <f t="shared" si="46"/>
        <v>0</v>
      </c>
      <c r="N236" s="121">
        <f t="shared" si="43"/>
        <v>3</v>
      </c>
      <c r="O236" s="186">
        <f t="shared" si="45"/>
        <v>1</v>
      </c>
    </row>
    <row r="237" spans="2:15" x14ac:dyDescent="0.25">
      <c r="B237" s="7">
        <v>255430</v>
      </c>
      <c r="C237" s="3" t="s">
        <v>53</v>
      </c>
      <c r="D237" s="138">
        <v>0</v>
      </c>
      <c r="E237" s="139">
        <v>1250</v>
      </c>
      <c r="F237" s="52"/>
      <c r="G237" s="234"/>
      <c r="H237" s="229">
        <v>750</v>
      </c>
      <c r="I237" s="52">
        <v>500</v>
      </c>
      <c r="J237" s="230"/>
      <c r="K237" s="230"/>
      <c r="L237" s="138">
        <f t="shared" si="44"/>
        <v>1250</v>
      </c>
      <c r="M237" s="143">
        <f t="shared" si="46"/>
        <v>0</v>
      </c>
      <c r="N237" s="121" t="str">
        <f t="shared" si="43"/>
        <v>REQ ADICIONAL</v>
      </c>
      <c r="O237" s="186">
        <f t="shared" si="45"/>
        <v>1</v>
      </c>
    </row>
    <row r="238" spans="2:15" x14ac:dyDescent="0.25">
      <c r="B238" s="18">
        <v>255341</v>
      </c>
      <c r="C238" s="19" t="s">
        <v>50</v>
      </c>
      <c r="D238" s="138">
        <v>0</v>
      </c>
      <c r="E238" s="139"/>
      <c r="F238" s="52"/>
      <c r="G238" s="234"/>
      <c r="H238" s="229"/>
      <c r="I238" s="52"/>
      <c r="J238" s="230"/>
      <c r="K238" s="230"/>
      <c r="L238" s="138">
        <f t="shared" si="44"/>
        <v>0</v>
      </c>
      <c r="M238" s="143">
        <f t="shared" si="46"/>
        <v>0</v>
      </c>
      <c r="N238" s="121">
        <f t="shared" si="43"/>
        <v>0</v>
      </c>
      <c r="O238" s="186">
        <f t="shared" si="45"/>
        <v>0</v>
      </c>
    </row>
    <row r="239" spans="2:15" x14ac:dyDescent="0.25">
      <c r="B239" s="7">
        <v>254988</v>
      </c>
      <c r="C239" s="3" t="s">
        <v>54</v>
      </c>
      <c r="D239" s="138">
        <f>5*225</f>
        <v>1125</v>
      </c>
      <c r="E239" s="139"/>
      <c r="F239" s="52"/>
      <c r="G239" s="234"/>
      <c r="H239" s="229">
        <f>225</f>
        <v>225</v>
      </c>
      <c r="I239" s="52">
        <v>225</v>
      </c>
      <c r="J239" s="230"/>
      <c r="K239" s="230"/>
      <c r="L239" s="138">
        <f t="shared" si="44"/>
        <v>450</v>
      </c>
      <c r="M239" s="143">
        <f t="shared" si="46"/>
        <v>675</v>
      </c>
      <c r="N239" s="121">
        <f t="shared" si="43"/>
        <v>0.4</v>
      </c>
      <c r="O239" s="187">
        <f t="shared" si="45"/>
        <v>0.4</v>
      </c>
    </row>
    <row r="240" spans="2:15" x14ac:dyDescent="0.25">
      <c r="B240" s="18">
        <v>254951</v>
      </c>
      <c r="C240" s="3" t="s">
        <v>59</v>
      </c>
      <c r="D240" s="138">
        <v>0</v>
      </c>
      <c r="E240" s="139">
        <f>10*120</f>
        <v>1200</v>
      </c>
      <c r="F240" s="52"/>
      <c r="G240" s="234"/>
      <c r="H240" s="229"/>
      <c r="I240" s="52"/>
      <c r="J240" s="230"/>
      <c r="K240" s="230">
        <f>1200</f>
        <v>1200</v>
      </c>
      <c r="L240" s="138">
        <f t="shared" si="44"/>
        <v>1200</v>
      </c>
      <c r="M240" s="143">
        <f t="shared" si="46"/>
        <v>0</v>
      </c>
      <c r="N240" s="121" t="str">
        <f t="shared" si="43"/>
        <v>REQ ADICIONAL</v>
      </c>
      <c r="O240" s="187">
        <f t="shared" si="45"/>
        <v>1</v>
      </c>
    </row>
    <row r="241" spans="2:15" x14ac:dyDescent="0.25">
      <c r="B241" s="7">
        <v>254987</v>
      </c>
      <c r="C241" s="3" t="s">
        <v>60</v>
      </c>
      <c r="D241" s="138">
        <v>0</v>
      </c>
      <c r="E241" s="139">
        <f>4*357</f>
        <v>1428</v>
      </c>
      <c r="F241" s="52"/>
      <c r="G241" s="234"/>
      <c r="H241" s="229"/>
      <c r="I241" s="52"/>
      <c r="J241" s="230"/>
      <c r="K241" s="230">
        <f>1428</f>
        <v>1428</v>
      </c>
      <c r="L241" s="138">
        <f t="shared" si="44"/>
        <v>1428</v>
      </c>
      <c r="M241" s="143">
        <f t="shared" si="46"/>
        <v>0</v>
      </c>
      <c r="N241" s="121" t="str">
        <f t="shared" si="43"/>
        <v>REQ ADICIONAL</v>
      </c>
      <c r="O241" s="187">
        <f t="shared" si="45"/>
        <v>1</v>
      </c>
    </row>
    <row r="242" spans="2:15" x14ac:dyDescent="0.25">
      <c r="B242" s="188">
        <v>254963</v>
      </c>
      <c r="C242" s="3" t="s">
        <v>27</v>
      </c>
      <c r="D242" s="138">
        <v>225</v>
      </c>
      <c r="E242" s="139"/>
      <c r="F242" s="52"/>
      <c r="G242" s="234"/>
      <c r="H242" s="229"/>
      <c r="I242" s="52"/>
      <c r="J242" s="230"/>
      <c r="K242" s="230"/>
      <c r="L242" s="138">
        <f t="shared" si="44"/>
        <v>0</v>
      </c>
      <c r="M242" s="143">
        <f t="shared" si="46"/>
        <v>225</v>
      </c>
      <c r="N242" s="121">
        <f t="shared" si="43"/>
        <v>0</v>
      </c>
      <c r="O242" s="187">
        <f t="shared" si="45"/>
        <v>0</v>
      </c>
    </row>
    <row r="243" spans="2:15" x14ac:dyDescent="0.25">
      <c r="B243" s="7">
        <v>255382</v>
      </c>
      <c r="C243" s="3" t="s">
        <v>56</v>
      </c>
      <c r="D243" s="138">
        <v>0</v>
      </c>
      <c r="E243" s="139"/>
      <c r="F243" s="52"/>
      <c r="G243" s="234"/>
      <c r="H243" s="229"/>
      <c r="I243" s="52"/>
      <c r="J243" s="230"/>
      <c r="K243" s="230"/>
      <c r="L243" s="138">
        <f t="shared" si="44"/>
        <v>0</v>
      </c>
      <c r="M243" s="143">
        <f t="shared" si="46"/>
        <v>0</v>
      </c>
      <c r="N243" s="121">
        <f t="shared" si="43"/>
        <v>0</v>
      </c>
      <c r="O243" s="187">
        <f t="shared" si="45"/>
        <v>0</v>
      </c>
    </row>
    <row r="244" spans="2:15" x14ac:dyDescent="0.25">
      <c r="B244" s="18">
        <v>251632</v>
      </c>
      <c r="C244" s="19" t="s">
        <v>51</v>
      </c>
      <c r="D244" s="138">
        <v>0</v>
      </c>
      <c r="E244" s="139"/>
      <c r="F244" s="52"/>
      <c r="G244" s="234"/>
      <c r="H244" s="229"/>
      <c r="I244" s="52"/>
      <c r="J244" s="230"/>
      <c r="K244" s="230"/>
      <c r="L244" s="138">
        <f t="shared" si="44"/>
        <v>0</v>
      </c>
      <c r="M244" s="143">
        <f t="shared" si="46"/>
        <v>0</v>
      </c>
      <c r="N244" s="121">
        <f t="shared" si="43"/>
        <v>0</v>
      </c>
      <c r="O244" s="187">
        <f t="shared" si="45"/>
        <v>0</v>
      </c>
    </row>
    <row r="245" spans="2:15" x14ac:dyDescent="0.25">
      <c r="B245" s="7">
        <v>251406</v>
      </c>
      <c r="C245" s="3" t="s">
        <v>42</v>
      </c>
      <c r="D245" s="138">
        <v>180</v>
      </c>
      <c r="E245" s="139"/>
      <c r="F245" s="52"/>
      <c r="G245" s="234"/>
      <c r="H245" s="229"/>
      <c r="I245" s="52"/>
      <c r="J245" s="230"/>
      <c r="K245" s="230"/>
      <c r="L245" s="138">
        <f t="shared" ref="L245:L250" si="47">SUM(F245:K245)</f>
        <v>0</v>
      </c>
      <c r="M245" s="143">
        <f t="shared" si="46"/>
        <v>180</v>
      </c>
      <c r="N245" s="121">
        <f t="shared" si="43"/>
        <v>0</v>
      </c>
      <c r="O245" s="187">
        <f t="shared" si="45"/>
        <v>0</v>
      </c>
    </row>
    <row r="246" spans="2:15" x14ac:dyDescent="0.25">
      <c r="B246" s="188">
        <v>254845</v>
      </c>
      <c r="C246" s="3" t="s">
        <v>40</v>
      </c>
      <c r="D246" s="138">
        <v>0</v>
      </c>
      <c r="E246" s="139"/>
      <c r="F246" s="52"/>
      <c r="G246" s="234"/>
      <c r="H246" s="229"/>
      <c r="I246" s="52"/>
      <c r="J246" s="230"/>
      <c r="K246" s="230"/>
      <c r="L246" s="138">
        <f t="shared" si="47"/>
        <v>0</v>
      </c>
      <c r="M246" s="143">
        <f t="shared" si="46"/>
        <v>0</v>
      </c>
      <c r="N246" s="121">
        <f t="shared" si="43"/>
        <v>0</v>
      </c>
      <c r="O246" s="187">
        <f t="shared" si="45"/>
        <v>0</v>
      </c>
    </row>
    <row r="247" spans="2:15" x14ac:dyDescent="0.25">
      <c r="B247" s="7">
        <v>254846</v>
      </c>
      <c r="C247" s="3" t="s">
        <v>41</v>
      </c>
      <c r="D247" s="138">
        <v>0</v>
      </c>
      <c r="E247" s="139"/>
      <c r="F247" s="234"/>
      <c r="G247" s="234"/>
      <c r="H247" s="229"/>
      <c r="I247" s="52"/>
      <c r="J247" s="230"/>
      <c r="K247" s="230"/>
      <c r="L247" s="138">
        <f t="shared" si="47"/>
        <v>0</v>
      </c>
      <c r="M247" s="143">
        <f t="shared" si="46"/>
        <v>0</v>
      </c>
      <c r="N247" s="121">
        <f t="shared" si="43"/>
        <v>0</v>
      </c>
      <c r="O247" s="187">
        <f t="shared" si="45"/>
        <v>0</v>
      </c>
    </row>
    <row r="248" spans="2:15" x14ac:dyDescent="0.25">
      <c r="B248" s="7">
        <v>255429</v>
      </c>
      <c r="C248" s="31" t="s">
        <v>52</v>
      </c>
      <c r="D248" s="138">
        <v>250</v>
      </c>
      <c r="E248" s="139">
        <v>1000</v>
      </c>
      <c r="F248" s="234"/>
      <c r="G248" s="234"/>
      <c r="H248" s="229">
        <f>3*250</f>
        <v>750</v>
      </c>
      <c r="I248" s="52">
        <v>500</v>
      </c>
      <c r="J248" s="230"/>
      <c r="K248" s="230"/>
      <c r="L248" s="138">
        <f t="shared" si="47"/>
        <v>1250</v>
      </c>
      <c r="M248" s="143">
        <f t="shared" si="46"/>
        <v>0</v>
      </c>
      <c r="N248" s="121">
        <f t="shared" si="43"/>
        <v>5</v>
      </c>
      <c r="O248" s="187">
        <f t="shared" si="45"/>
        <v>1</v>
      </c>
    </row>
    <row r="249" spans="2:15" x14ac:dyDescent="0.25">
      <c r="B249" s="7">
        <v>255349</v>
      </c>
      <c r="C249" s="31" t="s">
        <v>94</v>
      </c>
      <c r="D249" s="138">
        <v>0</v>
      </c>
      <c r="E249" s="139"/>
      <c r="F249" s="234"/>
      <c r="G249" s="234"/>
      <c r="H249" s="229"/>
      <c r="I249" s="234"/>
      <c r="J249" s="230"/>
      <c r="K249" s="230"/>
      <c r="L249" s="138">
        <f t="shared" si="47"/>
        <v>0</v>
      </c>
      <c r="M249" s="143">
        <f t="shared" si="46"/>
        <v>0</v>
      </c>
      <c r="N249" s="121">
        <f t="shared" si="43"/>
        <v>0</v>
      </c>
      <c r="O249" s="187">
        <f t="shared" si="45"/>
        <v>0</v>
      </c>
    </row>
    <row r="250" spans="2:15" x14ac:dyDescent="0.25">
      <c r="B250" s="7">
        <v>255362</v>
      </c>
      <c r="C250" s="31" t="s">
        <v>58</v>
      </c>
      <c r="D250" s="138">
        <f>12*80</f>
        <v>960</v>
      </c>
      <c r="E250" s="139"/>
      <c r="F250" s="234"/>
      <c r="G250" s="234"/>
      <c r="H250" s="229"/>
      <c r="I250" s="52"/>
      <c r="J250" s="230"/>
      <c r="K250" s="230"/>
      <c r="L250" s="138">
        <f t="shared" si="47"/>
        <v>0</v>
      </c>
      <c r="M250" s="143">
        <f>+SUM(D250:E250)-L250</f>
        <v>960</v>
      </c>
      <c r="N250" s="121">
        <f t="shared" si="43"/>
        <v>0</v>
      </c>
      <c r="O250" s="187">
        <f t="shared" si="45"/>
        <v>0</v>
      </c>
    </row>
    <row r="251" spans="2:15" ht="16.5" thickBot="1" x14ac:dyDescent="0.3">
      <c r="B251" s="675" t="s">
        <v>87</v>
      </c>
      <c r="C251" s="674"/>
      <c r="D251" s="236">
        <f t="shared" ref="D251:L251" si="48">SUM(D227:D250)</f>
        <v>9965</v>
      </c>
      <c r="E251" s="237">
        <f t="shared" si="48"/>
        <v>6463</v>
      </c>
      <c r="F251" s="238">
        <f t="shared" si="48"/>
        <v>1880</v>
      </c>
      <c r="G251" s="238">
        <f t="shared" si="48"/>
        <v>1080</v>
      </c>
      <c r="H251" s="238">
        <f t="shared" si="48"/>
        <v>2715</v>
      </c>
      <c r="I251" s="238">
        <f t="shared" si="48"/>
        <v>2125</v>
      </c>
      <c r="J251" s="238">
        <f t="shared" si="48"/>
        <v>0</v>
      </c>
      <c r="K251" s="238">
        <f t="shared" si="48"/>
        <v>3798</v>
      </c>
      <c r="L251" s="239">
        <f t="shared" si="48"/>
        <v>11598</v>
      </c>
      <c r="M251" s="240">
        <f>+SUM(D251:E251)-L251</f>
        <v>4830</v>
      </c>
      <c r="N251" s="241">
        <f>L251/D251</f>
        <v>1.1638735574510788</v>
      </c>
      <c r="O251" s="242">
        <f>+L251/SUM(D251:E251)</f>
        <v>0.70598977355734116</v>
      </c>
    </row>
    <row r="252" spans="2:15" ht="15.75" thickBot="1" x14ac:dyDescent="0.3"/>
    <row r="253" spans="2:15" ht="15.75" x14ac:dyDescent="0.25">
      <c r="B253" s="679" t="s">
        <v>98</v>
      </c>
      <c r="C253" s="680"/>
      <c r="D253" s="680"/>
      <c r="E253" s="680"/>
      <c r="F253" s="680"/>
      <c r="G253" s="680"/>
      <c r="H253" s="680"/>
      <c r="I253" s="680"/>
      <c r="J253" s="680"/>
      <c r="K253" s="680"/>
      <c r="L253" s="680"/>
      <c r="M253" s="680"/>
      <c r="N253" s="680"/>
      <c r="O253" s="681"/>
    </row>
    <row r="254" spans="2:15" ht="30" x14ac:dyDescent="0.25">
      <c r="B254" s="106" t="s">
        <v>34</v>
      </c>
      <c r="C254" s="30" t="s">
        <v>9</v>
      </c>
      <c r="D254" s="108" t="s">
        <v>85</v>
      </c>
      <c r="E254" s="163" t="s">
        <v>86</v>
      </c>
      <c r="F254" s="117">
        <v>42924</v>
      </c>
      <c r="G254" s="117">
        <f>+F254+2</f>
        <v>42926</v>
      </c>
      <c r="H254" s="117">
        <f>+G254+1</f>
        <v>42927</v>
      </c>
      <c r="I254" s="117">
        <f>+H254+1</f>
        <v>42928</v>
      </c>
      <c r="J254" s="117">
        <f>+I254+1</f>
        <v>42929</v>
      </c>
      <c r="K254" s="117">
        <f>+J254+1</f>
        <v>42930</v>
      </c>
      <c r="L254" s="108" t="s">
        <v>87</v>
      </c>
      <c r="M254" s="164" t="s">
        <v>88</v>
      </c>
      <c r="N254" s="117" t="s">
        <v>89</v>
      </c>
      <c r="O254" s="235" t="s">
        <v>90</v>
      </c>
    </row>
    <row r="255" spans="2:15" x14ac:dyDescent="0.25">
      <c r="B255" s="7">
        <v>254849</v>
      </c>
      <c r="C255" s="3" t="s">
        <v>0</v>
      </c>
      <c r="D255" s="138">
        <v>0</v>
      </c>
      <c r="E255" s="139"/>
      <c r="F255" s="52"/>
      <c r="G255" s="234"/>
      <c r="H255" s="229"/>
      <c r="I255" s="52"/>
      <c r="J255" s="230"/>
      <c r="K255" s="230"/>
      <c r="L255" s="138">
        <f>SUM(F255:K255)</f>
        <v>0</v>
      </c>
      <c r="M255" s="143">
        <f>+SUM(D255:E255)-L255</f>
        <v>0</v>
      </c>
      <c r="N255" s="121">
        <f t="shared" ref="N255:N278" si="49">IF(L255=0,0,IFERROR(L255/D255,"REQ ADICIONAL"))</f>
        <v>0</v>
      </c>
      <c r="O255" s="186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8">
        <v>180</v>
      </c>
      <c r="E256" s="139"/>
      <c r="F256" s="52"/>
      <c r="G256" s="234"/>
      <c r="H256" s="229"/>
      <c r="I256" s="52"/>
      <c r="J256" s="230"/>
      <c r="K256" s="230"/>
      <c r="L256" s="138">
        <f t="shared" ref="L256:L272" si="50">SUM(F256:K256)</f>
        <v>0</v>
      </c>
      <c r="M256" s="143">
        <f>+SUM(D256:E256)-L256</f>
        <v>180</v>
      </c>
      <c r="N256" s="121">
        <f t="shared" si="49"/>
        <v>0</v>
      </c>
      <c r="O256" s="186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8">
        <v>0</v>
      </c>
      <c r="E257" s="139"/>
      <c r="F257" s="52"/>
      <c r="G257" s="234"/>
      <c r="H257" s="229"/>
      <c r="I257" s="52"/>
      <c r="J257" s="230"/>
      <c r="K257" s="230"/>
      <c r="L257" s="138">
        <f t="shared" si="50"/>
        <v>0</v>
      </c>
      <c r="M257" s="143">
        <f>+SUM(D257:E257)-L257</f>
        <v>0</v>
      </c>
      <c r="N257" s="121">
        <f t="shared" si="49"/>
        <v>0</v>
      </c>
      <c r="O257" s="186">
        <f t="shared" si="51"/>
        <v>0</v>
      </c>
    </row>
    <row r="258" spans="2:15" x14ac:dyDescent="0.25">
      <c r="B258" s="7">
        <v>254850</v>
      </c>
      <c r="C258" s="3" t="s">
        <v>3</v>
      </c>
      <c r="D258" s="138">
        <v>3840</v>
      </c>
      <c r="E258" s="139"/>
      <c r="F258" s="52">
        <f>12*60</f>
        <v>720</v>
      </c>
      <c r="G258" s="234">
        <f>8*60</f>
        <v>480</v>
      </c>
      <c r="H258" s="229">
        <v>480</v>
      </c>
      <c r="I258" s="52">
        <f>12*60</f>
        <v>720</v>
      </c>
      <c r="J258" s="230">
        <v>360</v>
      </c>
      <c r="K258" s="230">
        <f>6*60</f>
        <v>360</v>
      </c>
      <c r="L258" s="138">
        <f t="shared" si="50"/>
        <v>3120</v>
      </c>
      <c r="M258" s="143">
        <f>+SUM(D258:E258)-L258</f>
        <v>720</v>
      </c>
      <c r="N258" s="121">
        <f t="shared" si="49"/>
        <v>0.8125</v>
      </c>
      <c r="O258" s="186">
        <f t="shared" si="51"/>
        <v>0.8125</v>
      </c>
    </row>
    <row r="259" spans="2:15" x14ac:dyDescent="0.25">
      <c r="B259" s="18">
        <v>251385</v>
      </c>
      <c r="C259" s="3" t="s">
        <v>4</v>
      </c>
      <c r="D259" s="138">
        <v>0</v>
      </c>
      <c r="E259" s="139"/>
      <c r="F259" s="52"/>
      <c r="G259" s="234"/>
      <c r="H259" s="229"/>
      <c r="I259" s="52"/>
      <c r="J259" s="230"/>
      <c r="K259" s="230"/>
      <c r="L259" s="138">
        <f t="shared" si="50"/>
        <v>0</v>
      </c>
      <c r="M259" s="143">
        <f>+SUM(D259:E259)-L259</f>
        <v>0</v>
      </c>
      <c r="N259" s="121">
        <f t="shared" si="49"/>
        <v>0</v>
      </c>
      <c r="O259" s="186">
        <f t="shared" si="51"/>
        <v>0</v>
      </c>
    </row>
    <row r="260" spans="2:15" x14ac:dyDescent="0.25">
      <c r="B260" s="18">
        <v>251196</v>
      </c>
      <c r="C260" s="3" t="s">
        <v>5</v>
      </c>
      <c r="D260" s="138">
        <v>0</v>
      </c>
      <c r="E260" s="139"/>
      <c r="F260" s="52"/>
      <c r="G260" s="234"/>
      <c r="H260" s="229"/>
      <c r="I260" s="52"/>
      <c r="J260" s="230"/>
      <c r="K260" s="230"/>
      <c r="L260" s="138">
        <f t="shared" si="50"/>
        <v>0</v>
      </c>
      <c r="M260" s="143">
        <f t="shared" ref="M260:M279" si="52">+SUM(D260:E260)-L260</f>
        <v>0</v>
      </c>
      <c r="N260" s="121">
        <f t="shared" si="49"/>
        <v>0</v>
      </c>
      <c r="O260" s="186">
        <f t="shared" si="51"/>
        <v>0</v>
      </c>
    </row>
    <row r="261" spans="2:15" x14ac:dyDescent="0.25">
      <c r="B261" s="18">
        <v>250524</v>
      </c>
      <c r="C261" s="3" t="s">
        <v>6</v>
      </c>
      <c r="D261" s="138">
        <v>0</v>
      </c>
      <c r="E261" s="139"/>
      <c r="F261" s="52"/>
      <c r="G261" s="234"/>
      <c r="H261" s="229"/>
      <c r="I261" s="52"/>
      <c r="J261" s="230"/>
      <c r="K261" s="230"/>
      <c r="L261" s="138">
        <f t="shared" si="50"/>
        <v>0</v>
      </c>
      <c r="M261" s="143">
        <f t="shared" si="52"/>
        <v>0</v>
      </c>
      <c r="N261" s="121">
        <f t="shared" si="49"/>
        <v>0</v>
      </c>
      <c r="O261" s="186">
        <f t="shared" si="51"/>
        <v>0</v>
      </c>
    </row>
    <row r="262" spans="2:15" x14ac:dyDescent="0.25">
      <c r="B262" s="18">
        <v>252534</v>
      </c>
      <c r="C262" s="3" t="s">
        <v>7</v>
      </c>
      <c r="D262" s="138">
        <v>0</v>
      </c>
      <c r="E262" s="139">
        <v>450</v>
      </c>
      <c r="F262" s="52"/>
      <c r="G262" s="234"/>
      <c r="H262" s="229"/>
      <c r="I262" s="52"/>
      <c r="J262" s="230"/>
      <c r="K262" s="230">
        <f>2*225</f>
        <v>450</v>
      </c>
      <c r="L262" s="138">
        <f t="shared" si="50"/>
        <v>450</v>
      </c>
      <c r="M262" s="143">
        <f t="shared" si="52"/>
        <v>0</v>
      </c>
      <c r="N262" s="121" t="str">
        <f t="shared" si="49"/>
        <v>REQ ADICIONAL</v>
      </c>
      <c r="O262" s="186">
        <f t="shared" si="51"/>
        <v>1</v>
      </c>
    </row>
    <row r="263" spans="2:15" x14ac:dyDescent="0.25">
      <c r="B263" s="18">
        <v>251151</v>
      </c>
      <c r="C263" s="3" t="s">
        <v>8</v>
      </c>
      <c r="D263" s="138">
        <v>225</v>
      </c>
      <c r="E263" s="139"/>
      <c r="F263" s="52"/>
      <c r="G263" s="234"/>
      <c r="H263" s="229">
        <v>225</v>
      </c>
      <c r="I263" s="52"/>
      <c r="J263" s="230"/>
      <c r="K263" s="230"/>
      <c r="L263" s="138">
        <f t="shared" si="50"/>
        <v>225</v>
      </c>
      <c r="M263" s="143">
        <f t="shared" si="52"/>
        <v>0</v>
      </c>
      <c r="N263" s="121">
        <f t="shared" si="49"/>
        <v>1</v>
      </c>
      <c r="O263" s="186">
        <f t="shared" si="51"/>
        <v>1</v>
      </c>
    </row>
    <row r="264" spans="2:15" x14ac:dyDescent="0.25">
      <c r="B264" s="18">
        <v>254852</v>
      </c>
      <c r="C264" s="3" t="s">
        <v>17</v>
      </c>
      <c r="D264" s="138">
        <v>225</v>
      </c>
      <c r="E264" s="139"/>
      <c r="F264" s="52"/>
      <c r="G264" s="234"/>
      <c r="H264" s="229"/>
      <c r="I264" s="52"/>
      <c r="J264" s="230">
        <v>225</v>
      </c>
      <c r="K264" s="230"/>
      <c r="L264" s="138">
        <f t="shared" si="50"/>
        <v>225</v>
      </c>
      <c r="M264" s="143">
        <f t="shared" si="52"/>
        <v>0</v>
      </c>
      <c r="N264" s="121">
        <f t="shared" si="49"/>
        <v>1</v>
      </c>
      <c r="O264" s="186">
        <f t="shared" si="51"/>
        <v>1</v>
      </c>
    </row>
    <row r="265" spans="2:15" x14ac:dyDescent="0.25">
      <c r="B265" s="7">
        <v>255430</v>
      </c>
      <c r="C265" s="3" t="s">
        <v>53</v>
      </c>
      <c r="D265" s="138">
        <v>250</v>
      </c>
      <c r="E265" s="139"/>
      <c r="F265" s="52"/>
      <c r="G265" s="234"/>
      <c r="H265" s="229"/>
      <c r="I265" s="52">
        <v>250</v>
      </c>
      <c r="J265" s="230"/>
      <c r="K265" s="230"/>
      <c r="L265" s="138">
        <f t="shared" si="50"/>
        <v>250</v>
      </c>
      <c r="M265" s="143">
        <f t="shared" si="52"/>
        <v>0</v>
      </c>
      <c r="N265" s="121">
        <f t="shared" si="49"/>
        <v>1</v>
      </c>
      <c r="O265" s="186">
        <f t="shared" si="51"/>
        <v>1</v>
      </c>
    </row>
    <row r="266" spans="2:15" x14ac:dyDescent="0.25">
      <c r="B266" s="18">
        <v>255341</v>
      </c>
      <c r="C266" s="19" t="s">
        <v>50</v>
      </c>
      <c r="D266" s="138">
        <v>225</v>
      </c>
      <c r="E266" s="139">
        <v>225</v>
      </c>
      <c r="F266" s="52"/>
      <c r="G266" s="234"/>
      <c r="H266" s="229"/>
      <c r="I266" s="52">
        <v>225</v>
      </c>
      <c r="J266" s="230"/>
      <c r="K266" s="230">
        <v>225</v>
      </c>
      <c r="L266" s="138">
        <f t="shared" si="50"/>
        <v>450</v>
      </c>
      <c r="M266" s="143">
        <f t="shared" si="52"/>
        <v>0</v>
      </c>
      <c r="N266" s="121">
        <f t="shared" si="49"/>
        <v>2</v>
      </c>
      <c r="O266" s="186">
        <f t="shared" si="51"/>
        <v>1</v>
      </c>
    </row>
    <row r="267" spans="2:15" x14ac:dyDescent="0.25">
      <c r="B267" s="7">
        <v>254988</v>
      </c>
      <c r="C267" s="3" t="s">
        <v>54</v>
      </c>
      <c r="D267" s="138">
        <v>1350</v>
      </c>
      <c r="E267" s="139"/>
      <c r="F267" s="52">
        <v>225</v>
      </c>
      <c r="G267" s="234">
        <v>225</v>
      </c>
      <c r="H267" s="229">
        <v>225</v>
      </c>
      <c r="I267" s="52"/>
      <c r="J267" s="230">
        <v>225</v>
      </c>
      <c r="K267" s="230"/>
      <c r="L267" s="138">
        <f t="shared" si="50"/>
        <v>900</v>
      </c>
      <c r="M267" s="143">
        <f t="shared" si="52"/>
        <v>450</v>
      </c>
      <c r="N267" s="121">
        <f t="shared" si="49"/>
        <v>0.66666666666666663</v>
      </c>
      <c r="O267" s="187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8">
        <v>3600</v>
      </c>
      <c r="E268" s="139"/>
      <c r="F268" s="52">
        <f>480</f>
        <v>480</v>
      </c>
      <c r="G268" s="234">
        <f>10*120</f>
        <v>1200</v>
      </c>
      <c r="H268" s="229"/>
      <c r="I268" s="52">
        <v>480</v>
      </c>
      <c r="J268" s="230"/>
      <c r="K268" s="230"/>
      <c r="L268" s="138">
        <f t="shared" si="50"/>
        <v>2160</v>
      </c>
      <c r="M268" s="143">
        <f t="shared" si="52"/>
        <v>1440</v>
      </c>
      <c r="N268" s="121">
        <f t="shared" si="49"/>
        <v>0.6</v>
      </c>
      <c r="O268" s="187">
        <f t="shared" si="51"/>
        <v>0.6</v>
      </c>
    </row>
    <row r="269" spans="2:15" x14ac:dyDescent="0.25">
      <c r="B269" s="7">
        <v>254987</v>
      </c>
      <c r="C269" s="3" t="s">
        <v>60</v>
      </c>
      <c r="D269" s="138">
        <v>4998</v>
      </c>
      <c r="E269" s="139"/>
      <c r="F269" s="52">
        <f>714</f>
        <v>714</v>
      </c>
      <c r="G269" s="234">
        <f>4*357</f>
        <v>1428</v>
      </c>
      <c r="H269" s="229"/>
      <c r="I269" s="52">
        <f>2*357</f>
        <v>714</v>
      </c>
      <c r="J269" s="230"/>
      <c r="K269" s="230"/>
      <c r="L269" s="138">
        <f t="shared" si="50"/>
        <v>2856</v>
      </c>
      <c r="M269" s="143">
        <f t="shared" si="52"/>
        <v>2142</v>
      </c>
      <c r="N269" s="121">
        <f t="shared" si="49"/>
        <v>0.5714285714285714</v>
      </c>
      <c r="O269" s="187">
        <f t="shared" si="51"/>
        <v>0.5714285714285714</v>
      </c>
    </row>
    <row r="270" spans="2:15" x14ac:dyDescent="0.25">
      <c r="B270" s="188">
        <v>254963</v>
      </c>
      <c r="C270" s="3" t="s">
        <v>27</v>
      </c>
      <c r="D270" s="138">
        <v>0</v>
      </c>
      <c r="E270" s="139"/>
      <c r="F270" s="52"/>
      <c r="G270" s="234"/>
      <c r="H270" s="229"/>
      <c r="I270" s="52"/>
      <c r="J270" s="230"/>
      <c r="K270" s="230"/>
      <c r="L270" s="138">
        <f t="shared" si="50"/>
        <v>0</v>
      </c>
      <c r="M270" s="143">
        <f t="shared" si="52"/>
        <v>0</v>
      </c>
      <c r="N270" s="121">
        <f t="shared" si="49"/>
        <v>0</v>
      </c>
      <c r="O270" s="187">
        <f t="shared" si="51"/>
        <v>0</v>
      </c>
    </row>
    <row r="271" spans="2:15" x14ac:dyDescent="0.25">
      <c r="B271" s="7">
        <v>255382</v>
      </c>
      <c r="C271" s="3" t="s">
        <v>56</v>
      </c>
      <c r="D271" s="138">
        <v>0</v>
      </c>
      <c r="E271" s="139"/>
      <c r="F271" s="52"/>
      <c r="G271" s="234"/>
      <c r="H271" s="229"/>
      <c r="I271" s="52"/>
      <c r="J271" s="230"/>
      <c r="K271" s="230"/>
      <c r="L271" s="138">
        <f t="shared" si="50"/>
        <v>0</v>
      </c>
      <c r="M271" s="143">
        <f t="shared" si="52"/>
        <v>0</v>
      </c>
      <c r="N271" s="121">
        <f t="shared" si="49"/>
        <v>0</v>
      </c>
      <c r="O271" s="187">
        <f t="shared" si="51"/>
        <v>0</v>
      </c>
    </row>
    <row r="272" spans="2:15" x14ac:dyDescent="0.25">
      <c r="B272" s="18">
        <v>251632</v>
      </c>
      <c r="C272" s="19" t="s">
        <v>51</v>
      </c>
      <c r="D272" s="138">
        <v>0</v>
      </c>
      <c r="E272" s="139"/>
      <c r="F272" s="52"/>
      <c r="G272" s="234"/>
      <c r="H272" s="229"/>
      <c r="I272" s="52"/>
      <c r="J272" s="230"/>
      <c r="K272" s="230"/>
      <c r="L272" s="138">
        <f t="shared" si="50"/>
        <v>0</v>
      </c>
      <c r="M272" s="143">
        <f t="shared" si="52"/>
        <v>0</v>
      </c>
      <c r="N272" s="121">
        <f t="shared" si="49"/>
        <v>0</v>
      </c>
      <c r="O272" s="187">
        <f t="shared" si="51"/>
        <v>0</v>
      </c>
    </row>
    <row r="273" spans="2:15" x14ac:dyDescent="0.25">
      <c r="B273" s="7">
        <v>251406</v>
      </c>
      <c r="C273" s="3" t="s">
        <v>42</v>
      </c>
      <c r="D273" s="138">
        <v>0</v>
      </c>
      <c r="E273" s="139"/>
      <c r="F273" s="52"/>
      <c r="G273" s="234"/>
      <c r="H273" s="229"/>
      <c r="I273" s="52"/>
      <c r="J273" s="230"/>
      <c r="K273" s="230"/>
      <c r="L273" s="138">
        <f t="shared" ref="L273:L278" si="53">SUM(F273:K273)</f>
        <v>0</v>
      </c>
      <c r="M273" s="143">
        <f t="shared" si="52"/>
        <v>0</v>
      </c>
      <c r="N273" s="121">
        <f t="shared" si="49"/>
        <v>0</v>
      </c>
      <c r="O273" s="187">
        <f t="shared" si="51"/>
        <v>0</v>
      </c>
    </row>
    <row r="274" spans="2:15" x14ac:dyDescent="0.25">
      <c r="B274" s="188">
        <v>254845</v>
      </c>
      <c r="C274" s="3" t="s">
        <v>40</v>
      </c>
      <c r="D274" s="138">
        <v>0</v>
      </c>
      <c r="E274" s="139"/>
      <c r="F274" s="52"/>
      <c r="G274" s="234"/>
      <c r="H274" s="229"/>
      <c r="I274" s="52"/>
      <c r="J274" s="230"/>
      <c r="K274" s="230"/>
      <c r="L274" s="138">
        <f t="shared" si="53"/>
        <v>0</v>
      </c>
      <c r="M274" s="143">
        <f t="shared" si="52"/>
        <v>0</v>
      </c>
      <c r="N274" s="121">
        <f t="shared" si="49"/>
        <v>0</v>
      </c>
      <c r="O274" s="187">
        <f t="shared" si="51"/>
        <v>0</v>
      </c>
    </row>
    <row r="275" spans="2:15" x14ac:dyDescent="0.25">
      <c r="B275" s="7">
        <v>254846</v>
      </c>
      <c r="C275" s="3" t="s">
        <v>41</v>
      </c>
      <c r="D275" s="138">
        <v>0</v>
      </c>
      <c r="E275" s="139"/>
      <c r="F275" s="234"/>
      <c r="G275" s="234"/>
      <c r="H275" s="229"/>
      <c r="I275" s="52"/>
      <c r="J275" s="230"/>
      <c r="K275" s="230"/>
      <c r="L275" s="138">
        <f t="shared" si="53"/>
        <v>0</v>
      </c>
      <c r="M275" s="143">
        <f t="shared" si="52"/>
        <v>0</v>
      </c>
      <c r="N275" s="121">
        <f t="shared" si="49"/>
        <v>0</v>
      </c>
      <c r="O275" s="187">
        <f t="shared" si="51"/>
        <v>0</v>
      </c>
    </row>
    <row r="276" spans="2:15" x14ac:dyDescent="0.25">
      <c r="B276" s="7">
        <v>255429</v>
      </c>
      <c r="C276" s="31" t="s">
        <v>52</v>
      </c>
      <c r="D276" s="138">
        <v>250</v>
      </c>
      <c r="E276" s="139">
        <v>250</v>
      </c>
      <c r="F276" s="234"/>
      <c r="G276" s="234"/>
      <c r="H276" s="229">
        <v>250</v>
      </c>
      <c r="I276" s="52"/>
      <c r="J276" s="230">
        <v>250</v>
      </c>
      <c r="K276" s="230"/>
      <c r="L276" s="138">
        <f t="shared" si="53"/>
        <v>500</v>
      </c>
      <c r="M276" s="143">
        <f t="shared" si="52"/>
        <v>0</v>
      </c>
      <c r="N276" s="121">
        <f t="shared" si="49"/>
        <v>2</v>
      </c>
      <c r="O276" s="187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8">
        <v>0</v>
      </c>
      <c r="E277" s="139"/>
      <c r="F277" s="234"/>
      <c r="G277" s="234"/>
      <c r="H277" s="229"/>
      <c r="I277" s="234"/>
      <c r="J277" s="230"/>
      <c r="K277" s="230"/>
      <c r="L277" s="138">
        <f t="shared" si="53"/>
        <v>0</v>
      </c>
      <c r="M277" s="143">
        <f t="shared" si="52"/>
        <v>0</v>
      </c>
      <c r="N277" s="121">
        <f t="shared" si="49"/>
        <v>0</v>
      </c>
      <c r="O277" s="187">
        <f t="shared" si="51"/>
        <v>0</v>
      </c>
    </row>
    <row r="278" spans="2:15" x14ac:dyDescent="0.25">
      <c r="B278" s="7">
        <v>255362</v>
      </c>
      <c r="C278" s="31" t="s">
        <v>58</v>
      </c>
      <c r="D278" s="138">
        <v>0</v>
      </c>
      <c r="E278" s="139"/>
      <c r="F278" s="234"/>
      <c r="G278" s="234"/>
      <c r="H278" s="229"/>
      <c r="I278" s="52"/>
      <c r="J278" s="230"/>
      <c r="K278" s="230"/>
      <c r="L278" s="138">
        <f t="shared" si="53"/>
        <v>0</v>
      </c>
      <c r="M278" s="143">
        <f t="shared" si="52"/>
        <v>0</v>
      </c>
      <c r="N278" s="121">
        <f t="shared" si="49"/>
        <v>0</v>
      </c>
      <c r="O278" s="187">
        <f t="shared" si="51"/>
        <v>0</v>
      </c>
    </row>
    <row r="279" spans="2:15" ht="16.5" thickBot="1" x14ac:dyDescent="0.3">
      <c r="B279" s="675" t="s">
        <v>87</v>
      </c>
      <c r="C279" s="674"/>
      <c r="D279" s="236">
        <f t="shared" ref="D279:L279" si="54">SUM(D255:D278)</f>
        <v>15143</v>
      </c>
      <c r="E279" s="237">
        <f t="shared" si="54"/>
        <v>925</v>
      </c>
      <c r="F279" s="238">
        <f t="shared" si="54"/>
        <v>2139</v>
      </c>
      <c r="G279" s="238">
        <f t="shared" si="54"/>
        <v>3333</v>
      </c>
      <c r="H279" s="238">
        <f t="shared" si="54"/>
        <v>1180</v>
      </c>
      <c r="I279" s="238">
        <f t="shared" si="54"/>
        <v>2389</v>
      </c>
      <c r="J279" s="238">
        <f t="shared" si="54"/>
        <v>1060</v>
      </c>
      <c r="K279" s="238">
        <f t="shared" si="54"/>
        <v>1035</v>
      </c>
      <c r="L279" s="239">
        <f t="shared" si="54"/>
        <v>11136</v>
      </c>
      <c r="M279" s="240">
        <f t="shared" si="52"/>
        <v>4932</v>
      </c>
      <c r="N279" s="241">
        <f>L279/D279</f>
        <v>0.73538928878029453</v>
      </c>
      <c r="O279" s="242">
        <f>+L279/SUM(D279:E279)</f>
        <v>0.69305451829723674</v>
      </c>
    </row>
    <row r="280" spans="2:15" ht="15.75" thickBot="1" x14ac:dyDescent="0.3"/>
    <row r="281" spans="2:15" ht="15.75" x14ac:dyDescent="0.25">
      <c r="B281" s="679" t="s">
        <v>99</v>
      </c>
      <c r="C281" s="680"/>
      <c r="D281" s="680"/>
      <c r="E281" s="680"/>
      <c r="F281" s="680"/>
      <c r="G281" s="680"/>
      <c r="H281" s="680"/>
      <c r="I281" s="680"/>
      <c r="J281" s="680"/>
      <c r="K281" s="680"/>
      <c r="L281" s="680"/>
      <c r="M281" s="680"/>
      <c r="N281" s="680"/>
      <c r="O281" s="681"/>
    </row>
    <row r="282" spans="2:15" ht="30" x14ac:dyDescent="0.25">
      <c r="B282" s="106" t="s">
        <v>34</v>
      </c>
      <c r="C282" s="30" t="s">
        <v>9</v>
      </c>
      <c r="D282" s="108" t="s">
        <v>85</v>
      </c>
      <c r="E282" s="163" t="s">
        <v>86</v>
      </c>
      <c r="F282" s="117">
        <v>42931</v>
      </c>
      <c r="G282" s="117">
        <f>+F282+2</f>
        <v>42933</v>
      </c>
      <c r="H282" s="117">
        <f>+G282+1</f>
        <v>42934</v>
      </c>
      <c r="I282" s="117">
        <f>+H282+1</f>
        <v>42935</v>
      </c>
      <c r="J282" s="117">
        <f>+I282+1</f>
        <v>42936</v>
      </c>
      <c r="K282" s="117">
        <f>+J282+1</f>
        <v>42937</v>
      </c>
      <c r="L282" s="108" t="s">
        <v>87</v>
      </c>
      <c r="M282" s="164" t="s">
        <v>88</v>
      </c>
      <c r="N282" s="117" t="s">
        <v>89</v>
      </c>
      <c r="O282" s="235" t="s">
        <v>90</v>
      </c>
    </row>
    <row r="283" spans="2:15" x14ac:dyDescent="0.25">
      <c r="B283" s="7">
        <v>254849</v>
      </c>
      <c r="C283" s="3" t="s">
        <v>0</v>
      </c>
      <c r="D283" s="138">
        <v>0</v>
      </c>
      <c r="E283" s="139"/>
      <c r="F283" s="52"/>
      <c r="G283" s="234"/>
      <c r="H283" s="229"/>
      <c r="I283" s="52"/>
      <c r="J283" s="230"/>
      <c r="K283" s="230"/>
      <c r="L283" s="138">
        <f>SUM(F283:K283)</f>
        <v>0</v>
      </c>
      <c r="M283" s="143">
        <f>+SUM(D283:E283)-L283</f>
        <v>0</v>
      </c>
      <c r="N283" s="121">
        <f t="shared" ref="N283:N306" si="55">IF(L283=0,0,IFERROR(L283/D283,"REQ ADICIONAL"))</f>
        <v>0</v>
      </c>
      <c r="O283" s="186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8">
        <v>180</v>
      </c>
      <c r="E284" s="139">
        <v>180</v>
      </c>
      <c r="F284" s="52"/>
      <c r="G284" s="234">
        <v>180</v>
      </c>
      <c r="H284" s="229"/>
      <c r="I284" s="52">
        <v>180</v>
      </c>
      <c r="J284" s="230"/>
      <c r="K284" s="230"/>
      <c r="L284" s="138">
        <f t="shared" ref="L284:L300" si="56">SUM(F284:K284)</f>
        <v>360</v>
      </c>
      <c r="M284" s="143">
        <f>+SUM(D284:E284)-L284</f>
        <v>0</v>
      </c>
      <c r="N284" s="121">
        <f t="shared" si="55"/>
        <v>2</v>
      </c>
      <c r="O284" s="186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8">
        <v>0</v>
      </c>
      <c r="E285" s="139"/>
      <c r="F285" s="52"/>
      <c r="G285" s="234"/>
      <c r="H285" s="229"/>
      <c r="I285" s="52"/>
      <c r="J285" s="230"/>
      <c r="K285" s="230"/>
      <c r="L285" s="138">
        <f t="shared" si="56"/>
        <v>0</v>
      </c>
      <c r="M285" s="143">
        <f>+SUM(D285:E285)-L285</f>
        <v>0</v>
      </c>
      <c r="N285" s="121">
        <f t="shared" si="55"/>
        <v>0</v>
      </c>
      <c r="O285" s="186">
        <f t="shared" si="57"/>
        <v>0</v>
      </c>
    </row>
    <row r="286" spans="2:15" x14ac:dyDescent="0.25">
      <c r="B286" s="7">
        <v>254850</v>
      </c>
      <c r="C286" s="3" t="s">
        <v>3</v>
      </c>
      <c r="D286" s="138">
        <v>360</v>
      </c>
      <c r="E286" s="139">
        <f>600+420</f>
        <v>1020</v>
      </c>
      <c r="F286" s="52">
        <v>360</v>
      </c>
      <c r="G286" s="234">
        <f>10*60</f>
        <v>600</v>
      </c>
      <c r="H286" s="229">
        <f>7*60</f>
        <v>420</v>
      </c>
      <c r="I286" s="52"/>
      <c r="J286" s="230"/>
      <c r="K286" s="230"/>
      <c r="L286" s="138">
        <f t="shared" si="56"/>
        <v>1380</v>
      </c>
      <c r="M286" s="143">
        <f>+SUM(D286:E286)-L286</f>
        <v>0</v>
      </c>
      <c r="N286" s="121">
        <f t="shared" si="55"/>
        <v>3.8333333333333335</v>
      </c>
      <c r="O286" s="186">
        <f t="shared" si="57"/>
        <v>1</v>
      </c>
    </row>
    <row r="287" spans="2:15" x14ac:dyDescent="0.25">
      <c r="B287" s="18">
        <v>251385</v>
      </c>
      <c r="C287" s="3" t="s">
        <v>4</v>
      </c>
      <c r="D287" s="138">
        <v>0</v>
      </c>
      <c r="E287" s="139">
        <v>160</v>
      </c>
      <c r="F287" s="52"/>
      <c r="G287" s="234"/>
      <c r="H287" s="229"/>
      <c r="I287" s="52"/>
      <c r="J287" s="230"/>
      <c r="K287" s="230">
        <f>2*80</f>
        <v>160</v>
      </c>
      <c r="L287" s="138">
        <f t="shared" si="56"/>
        <v>160</v>
      </c>
      <c r="M287" s="143">
        <f>+SUM(D287:E287)-L287</f>
        <v>0</v>
      </c>
      <c r="N287" s="121" t="str">
        <f t="shared" si="55"/>
        <v>REQ ADICIONAL</v>
      </c>
      <c r="O287" s="186">
        <f t="shared" si="57"/>
        <v>1</v>
      </c>
    </row>
    <row r="288" spans="2:15" x14ac:dyDescent="0.25">
      <c r="B288" s="18">
        <v>251196</v>
      </c>
      <c r="C288" s="3" t="s">
        <v>5</v>
      </c>
      <c r="D288" s="138">
        <v>0</v>
      </c>
      <c r="E288" s="139">
        <v>80</v>
      </c>
      <c r="F288" s="52"/>
      <c r="G288" s="234"/>
      <c r="H288" s="229"/>
      <c r="I288" s="52">
        <v>80</v>
      </c>
      <c r="J288" s="230"/>
      <c r="K288" s="230"/>
      <c r="L288" s="138">
        <f t="shared" si="56"/>
        <v>80</v>
      </c>
      <c r="M288" s="143">
        <f t="shared" ref="M288:M307" si="58">+SUM(D288:E288)-L288</f>
        <v>0</v>
      </c>
      <c r="N288" s="121" t="str">
        <f t="shared" si="55"/>
        <v>REQ ADICIONAL</v>
      </c>
      <c r="O288" s="186">
        <f t="shared" si="57"/>
        <v>1</v>
      </c>
    </row>
    <row r="289" spans="2:15" x14ac:dyDescent="0.25">
      <c r="B289" s="18">
        <v>250524</v>
      </c>
      <c r="C289" s="3" t="s">
        <v>6</v>
      </c>
      <c r="D289" s="138">
        <v>0</v>
      </c>
      <c r="E289" s="139">
        <f>320</f>
        <v>320</v>
      </c>
      <c r="F289" s="52"/>
      <c r="G289" s="234"/>
      <c r="H289" s="229"/>
      <c r="I289" s="52"/>
      <c r="J289" s="230"/>
      <c r="K289" s="230">
        <f>4*80</f>
        <v>320</v>
      </c>
      <c r="L289" s="138">
        <f t="shared" si="56"/>
        <v>320</v>
      </c>
      <c r="M289" s="143">
        <f t="shared" si="58"/>
        <v>0</v>
      </c>
      <c r="N289" s="121" t="str">
        <f t="shared" si="55"/>
        <v>REQ ADICIONAL</v>
      </c>
      <c r="O289" s="186">
        <f t="shared" si="57"/>
        <v>1</v>
      </c>
    </row>
    <row r="290" spans="2:15" x14ac:dyDescent="0.25">
      <c r="B290" s="18">
        <v>252534</v>
      </c>
      <c r="C290" s="3" t="s">
        <v>7</v>
      </c>
      <c r="D290" s="138">
        <v>225</v>
      </c>
      <c r="E290" s="139">
        <v>900</v>
      </c>
      <c r="F290" s="52">
        <v>225</v>
      </c>
      <c r="G290" s="234">
        <f>225</f>
        <v>225</v>
      </c>
      <c r="H290" s="229">
        <v>225</v>
      </c>
      <c r="I290" s="52">
        <v>225</v>
      </c>
      <c r="J290" s="230">
        <v>225</v>
      </c>
      <c r="K290" s="230"/>
      <c r="L290" s="138">
        <f t="shared" si="56"/>
        <v>1125</v>
      </c>
      <c r="M290" s="143">
        <f t="shared" si="58"/>
        <v>0</v>
      </c>
      <c r="N290" s="121">
        <f t="shared" si="55"/>
        <v>5</v>
      </c>
      <c r="O290" s="186">
        <f t="shared" si="57"/>
        <v>1</v>
      </c>
    </row>
    <row r="291" spans="2:15" x14ac:dyDescent="0.25">
      <c r="B291" s="18">
        <v>251151</v>
      </c>
      <c r="C291" s="3" t="s">
        <v>8</v>
      </c>
      <c r="D291" s="138">
        <v>0</v>
      </c>
      <c r="E291" s="139">
        <f>225+225</f>
        <v>450</v>
      </c>
      <c r="F291" s="52"/>
      <c r="G291" s="234"/>
      <c r="H291" s="229">
        <v>225</v>
      </c>
      <c r="I291" s="52"/>
      <c r="J291" s="230"/>
      <c r="K291" s="230">
        <f>1*225</f>
        <v>225</v>
      </c>
      <c r="L291" s="138">
        <f t="shared" si="56"/>
        <v>450</v>
      </c>
      <c r="M291" s="143">
        <f t="shared" si="58"/>
        <v>0</v>
      </c>
      <c r="N291" s="121" t="str">
        <f t="shared" si="55"/>
        <v>REQ ADICIONAL</v>
      </c>
      <c r="O291" s="186">
        <f t="shared" si="57"/>
        <v>1</v>
      </c>
    </row>
    <row r="292" spans="2:15" x14ac:dyDescent="0.25">
      <c r="B292" s="18">
        <v>254852</v>
      </c>
      <c r="C292" s="3" t="s">
        <v>17</v>
      </c>
      <c r="D292" s="138">
        <v>0</v>
      </c>
      <c r="E292" s="139">
        <v>225</v>
      </c>
      <c r="F292" s="52"/>
      <c r="G292" s="234"/>
      <c r="H292" s="229">
        <v>225</v>
      </c>
      <c r="I292" s="52"/>
      <c r="J292" s="230"/>
      <c r="K292" s="230"/>
      <c r="L292" s="138">
        <f t="shared" si="56"/>
        <v>225</v>
      </c>
      <c r="M292" s="143">
        <f t="shared" si="58"/>
        <v>0</v>
      </c>
      <c r="N292" s="121" t="str">
        <f t="shared" si="55"/>
        <v>REQ ADICIONAL</v>
      </c>
      <c r="O292" s="186">
        <f t="shared" si="57"/>
        <v>1</v>
      </c>
    </row>
    <row r="293" spans="2:15" x14ac:dyDescent="0.25">
      <c r="B293" s="7">
        <v>255430</v>
      </c>
      <c r="C293" s="3" t="s">
        <v>53</v>
      </c>
      <c r="D293" s="138">
        <v>0</v>
      </c>
      <c r="E293" s="139"/>
      <c r="F293" s="52"/>
      <c r="G293" s="234"/>
      <c r="H293" s="229"/>
      <c r="I293" s="52"/>
      <c r="J293" s="230"/>
      <c r="K293" s="230"/>
      <c r="L293" s="138">
        <f t="shared" si="56"/>
        <v>0</v>
      </c>
      <c r="M293" s="143">
        <f t="shared" si="58"/>
        <v>0</v>
      </c>
      <c r="N293" s="121">
        <f t="shared" si="55"/>
        <v>0</v>
      </c>
      <c r="O293" s="186">
        <f t="shared" si="57"/>
        <v>0</v>
      </c>
    </row>
    <row r="294" spans="2:15" x14ac:dyDescent="0.25">
      <c r="B294" s="18">
        <v>255341</v>
      </c>
      <c r="C294" s="19" t="s">
        <v>50</v>
      </c>
      <c r="D294" s="138">
        <f>2*225</f>
        <v>450</v>
      </c>
      <c r="E294" s="139"/>
      <c r="F294" s="52"/>
      <c r="G294" s="234"/>
      <c r="H294" s="229"/>
      <c r="I294" s="52"/>
      <c r="J294" s="230"/>
      <c r="K294" s="230"/>
      <c r="L294" s="138">
        <f t="shared" si="56"/>
        <v>0</v>
      </c>
      <c r="M294" s="143">
        <f t="shared" si="58"/>
        <v>450</v>
      </c>
      <c r="N294" s="121">
        <f t="shared" si="55"/>
        <v>0</v>
      </c>
      <c r="O294" s="186">
        <f t="shared" si="57"/>
        <v>0</v>
      </c>
    </row>
    <row r="295" spans="2:15" x14ac:dyDescent="0.25">
      <c r="B295" s="7">
        <v>254988</v>
      </c>
      <c r="C295" s="3" t="s">
        <v>54</v>
      </c>
      <c r="D295" s="138">
        <f>2*225</f>
        <v>450</v>
      </c>
      <c r="E295" s="139"/>
      <c r="F295" s="52"/>
      <c r="G295" s="234"/>
      <c r="H295" s="229"/>
      <c r="I295" s="52">
        <v>225</v>
      </c>
      <c r="J295" s="230"/>
      <c r="K295" s="230"/>
      <c r="L295" s="138">
        <f t="shared" si="56"/>
        <v>225</v>
      </c>
      <c r="M295" s="143">
        <f t="shared" si="58"/>
        <v>225</v>
      </c>
      <c r="N295" s="121">
        <f t="shared" si="55"/>
        <v>0.5</v>
      </c>
      <c r="O295" s="187">
        <f t="shared" si="57"/>
        <v>0.5</v>
      </c>
    </row>
    <row r="296" spans="2:15" x14ac:dyDescent="0.25">
      <c r="B296" s="18">
        <v>254951</v>
      </c>
      <c r="C296" s="3" t="s">
        <v>59</v>
      </c>
      <c r="D296" s="138">
        <v>0</v>
      </c>
      <c r="E296" s="139"/>
      <c r="F296" s="52"/>
      <c r="G296" s="234"/>
      <c r="H296" s="229"/>
      <c r="I296" s="52"/>
      <c r="J296" s="230"/>
      <c r="K296" s="230"/>
      <c r="L296" s="138">
        <f t="shared" si="56"/>
        <v>0</v>
      </c>
      <c r="M296" s="143">
        <f t="shared" si="58"/>
        <v>0</v>
      </c>
      <c r="N296" s="121">
        <f t="shared" si="55"/>
        <v>0</v>
      </c>
      <c r="O296" s="187">
        <f t="shared" si="57"/>
        <v>0</v>
      </c>
    </row>
    <row r="297" spans="2:15" x14ac:dyDescent="0.25">
      <c r="B297" s="7">
        <v>254987</v>
      </c>
      <c r="C297" s="3" t="s">
        <v>60</v>
      </c>
      <c r="D297" s="138">
        <v>0</v>
      </c>
      <c r="E297" s="139"/>
      <c r="F297" s="52"/>
      <c r="G297" s="234"/>
      <c r="H297" s="229"/>
      <c r="I297" s="52"/>
      <c r="J297" s="230"/>
      <c r="K297" s="230"/>
      <c r="L297" s="138">
        <f t="shared" si="56"/>
        <v>0</v>
      </c>
      <c r="M297" s="143">
        <f t="shared" si="58"/>
        <v>0</v>
      </c>
      <c r="N297" s="121">
        <f t="shared" si="55"/>
        <v>0</v>
      </c>
      <c r="O297" s="187">
        <f t="shared" si="57"/>
        <v>0</v>
      </c>
    </row>
    <row r="298" spans="2:15" x14ac:dyDescent="0.25">
      <c r="B298" s="188">
        <v>254963</v>
      </c>
      <c r="C298" s="3" t="s">
        <v>27</v>
      </c>
      <c r="D298" s="138">
        <v>0</v>
      </c>
      <c r="E298" s="139">
        <v>225</v>
      </c>
      <c r="F298" s="52">
        <v>225</v>
      </c>
      <c r="G298" s="234"/>
      <c r="H298" s="229"/>
      <c r="I298" s="52"/>
      <c r="J298" s="230"/>
      <c r="K298" s="230"/>
      <c r="L298" s="138">
        <f t="shared" si="56"/>
        <v>225</v>
      </c>
      <c r="M298" s="143">
        <f t="shared" si="58"/>
        <v>0</v>
      </c>
      <c r="N298" s="121" t="str">
        <f t="shared" si="55"/>
        <v>REQ ADICIONAL</v>
      </c>
      <c r="O298" s="187">
        <f t="shared" si="57"/>
        <v>1</v>
      </c>
    </row>
    <row r="299" spans="2:15" x14ac:dyDescent="0.25">
      <c r="B299" s="7">
        <v>255382</v>
      </c>
      <c r="C299" s="3" t="s">
        <v>56</v>
      </c>
      <c r="D299" s="138">
        <v>0</v>
      </c>
      <c r="E299" s="139"/>
      <c r="F299" s="52"/>
      <c r="G299" s="234"/>
      <c r="H299" s="229"/>
      <c r="I299" s="52"/>
      <c r="J299" s="230"/>
      <c r="K299" s="230"/>
      <c r="L299" s="138">
        <f t="shared" si="56"/>
        <v>0</v>
      </c>
      <c r="M299" s="143">
        <f t="shared" si="58"/>
        <v>0</v>
      </c>
      <c r="N299" s="121">
        <f t="shared" si="55"/>
        <v>0</v>
      </c>
      <c r="O299" s="187">
        <f t="shared" si="57"/>
        <v>0</v>
      </c>
    </row>
    <row r="300" spans="2:15" x14ac:dyDescent="0.25">
      <c r="B300" s="18">
        <v>251632</v>
      </c>
      <c r="C300" s="19" t="s">
        <v>51</v>
      </c>
      <c r="D300" s="138">
        <v>0</v>
      </c>
      <c r="E300" s="139"/>
      <c r="F300" s="52"/>
      <c r="G300" s="234"/>
      <c r="H300" s="229"/>
      <c r="I300" s="52"/>
      <c r="J300" s="230"/>
      <c r="K300" s="230"/>
      <c r="L300" s="138">
        <f t="shared" si="56"/>
        <v>0</v>
      </c>
      <c r="M300" s="143">
        <f t="shared" si="58"/>
        <v>0</v>
      </c>
      <c r="N300" s="121">
        <f t="shared" si="55"/>
        <v>0</v>
      </c>
      <c r="O300" s="187">
        <f t="shared" si="57"/>
        <v>0</v>
      </c>
    </row>
    <row r="301" spans="2:15" x14ac:dyDescent="0.25">
      <c r="B301" s="7">
        <v>251406</v>
      </c>
      <c r="C301" s="3" t="s">
        <v>42</v>
      </c>
      <c r="D301" s="138">
        <v>0</v>
      </c>
      <c r="E301" s="139"/>
      <c r="F301" s="52"/>
      <c r="G301" s="234"/>
      <c r="H301" s="229"/>
      <c r="I301" s="52"/>
      <c r="J301" s="230"/>
      <c r="K301" s="230"/>
      <c r="L301" s="138">
        <f t="shared" ref="L301:L306" si="59">SUM(F301:K301)</f>
        <v>0</v>
      </c>
      <c r="M301" s="143">
        <f t="shared" si="58"/>
        <v>0</v>
      </c>
      <c r="N301" s="121">
        <f t="shared" si="55"/>
        <v>0</v>
      </c>
      <c r="O301" s="187">
        <f t="shared" si="57"/>
        <v>0</v>
      </c>
    </row>
    <row r="302" spans="2:15" x14ac:dyDescent="0.25">
      <c r="B302" s="188">
        <v>254845</v>
      </c>
      <c r="C302" s="3" t="s">
        <v>40</v>
      </c>
      <c r="D302" s="138">
        <v>0</v>
      </c>
      <c r="E302" s="139"/>
      <c r="F302" s="52"/>
      <c r="G302" s="234"/>
      <c r="H302" s="229"/>
      <c r="I302" s="52"/>
      <c r="J302" s="230"/>
      <c r="K302" s="230"/>
      <c r="L302" s="138">
        <f t="shared" si="59"/>
        <v>0</v>
      </c>
      <c r="M302" s="143">
        <f t="shared" si="58"/>
        <v>0</v>
      </c>
      <c r="N302" s="121">
        <f t="shared" si="55"/>
        <v>0</v>
      </c>
      <c r="O302" s="187">
        <f t="shared" si="57"/>
        <v>0</v>
      </c>
    </row>
    <row r="303" spans="2:15" x14ac:dyDescent="0.25">
      <c r="B303" s="7">
        <v>254846</v>
      </c>
      <c r="C303" s="3" t="s">
        <v>41</v>
      </c>
      <c r="D303" s="138">
        <v>0</v>
      </c>
      <c r="E303" s="139"/>
      <c r="F303" s="234"/>
      <c r="G303" s="234"/>
      <c r="H303" s="229"/>
      <c r="I303" s="52"/>
      <c r="J303" s="230"/>
      <c r="K303" s="230"/>
      <c r="L303" s="138">
        <f t="shared" si="59"/>
        <v>0</v>
      </c>
      <c r="M303" s="143">
        <f t="shared" si="58"/>
        <v>0</v>
      </c>
      <c r="N303" s="121">
        <f t="shared" si="55"/>
        <v>0</v>
      </c>
      <c r="O303" s="187">
        <f t="shared" si="57"/>
        <v>0</v>
      </c>
    </row>
    <row r="304" spans="2:15" x14ac:dyDescent="0.25">
      <c r="B304" s="7">
        <v>255429</v>
      </c>
      <c r="C304" s="31" t="s">
        <v>52</v>
      </c>
      <c r="D304" s="138">
        <v>0</v>
      </c>
      <c r="E304" s="139"/>
      <c r="F304" s="234"/>
      <c r="G304" s="234"/>
      <c r="H304" s="229"/>
      <c r="I304" s="52"/>
      <c r="J304" s="230"/>
      <c r="K304" s="230"/>
      <c r="L304" s="138">
        <f t="shared" si="59"/>
        <v>0</v>
      </c>
      <c r="M304" s="143">
        <f t="shared" si="58"/>
        <v>0</v>
      </c>
      <c r="N304" s="121">
        <f t="shared" si="55"/>
        <v>0</v>
      </c>
      <c r="O304" s="187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8">
        <v>0</v>
      </c>
      <c r="E305" s="139"/>
      <c r="F305" s="234"/>
      <c r="G305" s="234"/>
      <c r="H305" s="229"/>
      <c r="I305" s="234"/>
      <c r="J305" s="230"/>
      <c r="K305" s="230"/>
      <c r="L305" s="138">
        <f t="shared" si="59"/>
        <v>0</v>
      </c>
      <c r="M305" s="143">
        <f t="shared" si="58"/>
        <v>0</v>
      </c>
      <c r="N305" s="121">
        <f t="shared" si="55"/>
        <v>0</v>
      </c>
      <c r="O305" s="187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8">
        <v>0</v>
      </c>
      <c r="E306" s="139">
        <f>320+160</f>
        <v>480</v>
      </c>
      <c r="F306" s="234"/>
      <c r="G306" s="234"/>
      <c r="H306" s="229"/>
      <c r="I306" s="52">
        <v>160</v>
      </c>
      <c r="J306" s="230">
        <f>2*80</f>
        <v>160</v>
      </c>
      <c r="K306" s="230">
        <f>2*80</f>
        <v>160</v>
      </c>
      <c r="L306" s="138">
        <f t="shared" si="59"/>
        <v>480</v>
      </c>
      <c r="M306" s="143">
        <f t="shared" si="58"/>
        <v>0</v>
      </c>
      <c r="N306" s="121" t="str">
        <f t="shared" si="55"/>
        <v>REQ ADICIONAL</v>
      </c>
      <c r="O306" s="187">
        <f>IFERROR(L306/SUM(D306:E306),0)</f>
        <v>1</v>
      </c>
    </row>
    <row r="307" spans="2:15" ht="16.5" thickBot="1" x14ac:dyDescent="0.3">
      <c r="B307" s="675" t="s">
        <v>87</v>
      </c>
      <c r="C307" s="674"/>
      <c r="D307" s="236">
        <f t="shared" ref="D307:L307" si="60">SUM(D283:D306)</f>
        <v>1665</v>
      </c>
      <c r="E307" s="237">
        <f t="shared" si="60"/>
        <v>4040</v>
      </c>
      <c r="F307" s="238">
        <f t="shared" si="60"/>
        <v>810</v>
      </c>
      <c r="G307" s="238">
        <f t="shared" si="60"/>
        <v>1005</v>
      </c>
      <c r="H307" s="238">
        <f t="shared" si="60"/>
        <v>1095</v>
      </c>
      <c r="I307" s="238">
        <f t="shared" si="60"/>
        <v>870</v>
      </c>
      <c r="J307" s="238">
        <f t="shared" si="60"/>
        <v>385</v>
      </c>
      <c r="K307" s="238">
        <f t="shared" si="60"/>
        <v>865</v>
      </c>
      <c r="L307" s="239">
        <f t="shared" si="60"/>
        <v>5030</v>
      </c>
      <c r="M307" s="240">
        <f t="shared" si="58"/>
        <v>675</v>
      </c>
      <c r="N307" s="241">
        <f>L307/D307</f>
        <v>3.0210210210210211</v>
      </c>
      <c r="O307" s="242">
        <f>+L307/SUM(D307:E307)</f>
        <v>0.88168273444347067</v>
      </c>
    </row>
    <row r="310" spans="2:15" ht="15.75" thickBot="1" x14ac:dyDescent="0.3"/>
    <row r="311" spans="2:15" ht="15.75" x14ac:dyDescent="0.25">
      <c r="B311" s="679" t="s">
        <v>100</v>
      </c>
      <c r="C311" s="680"/>
      <c r="D311" s="680"/>
      <c r="E311" s="680"/>
      <c r="F311" s="680"/>
      <c r="G311" s="680"/>
      <c r="H311" s="680"/>
      <c r="I311" s="680"/>
      <c r="J311" s="680"/>
      <c r="K311" s="680"/>
      <c r="L311" s="680"/>
      <c r="M311" s="680"/>
      <c r="N311" s="680"/>
      <c r="O311" s="681"/>
    </row>
    <row r="312" spans="2:15" ht="30" x14ac:dyDescent="0.25">
      <c r="B312" s="106" t="s">
        <v>34</v>
      </c>
      <c r="C312" s="30" t="s">
        <v>9</v>
      </c>
      <c r="D312" s="108" t="s">
        <v>85</v>
      </c>
      <c r="E312" s="163" t="s">
        <v>86</v>
      </c>
      <c r="F312" s="117">
        <v>42938</v>
      </c>
      <c r="G312" s="117">
        <f>+F312+2</f>
        <v>42940</v>
      </c>
      <c r="H312" s="117">
        <f>+G312+1</f>
        <v>42941</v>
      </c>
      <c r="I312" s="117">
        <f>+H312+1</f>
        <v>42942</v>
      </c>
      <c r="J312" s="117">
        <f>+I312+1</f>
        <v>42943</v>
      </c>
      <c r="K312" s="117">
        <f>+J312+1</f>
        <v>42944</v>
      </c>
      <c r="L312" s="108" t="s">
        <v>87</v>
      </c>
      <c r="M312" s="164" t="s">
        <v>88</v>
      </c>
      <c r="N312" s="117" t="s">
        <v>89</v>
      </c>
      <c r="O312" s="235" t="s">
        <v>90</v>
      </c>
    </row>
    <row r="313" spans="2:15" x14ac:dyDescent="0.25">
      <c r="B313" s="7">
        <v>254849</v>
      </c>
      <c r="C313" s="3" t="s">
        <v>0</v>
      </c>
      <c r="D313" s="138">
        <v>180</v>
      </c>
      <c r="E313" s="139"/>
      <c r="F313" s="52">
        <f>1*180</f>
        <v>180</v>
      </c>
      <c r="G313" s="234"/>
      <c r="H313" s="229"/>
      <c r="I313" s="52"/>
      <c r="J313" s="230"/>
      <c r="K313" s="230"/>
      <c r="L313" s="138">
        <f>SUM(F313:K313)</f>
        <v>180</v>
      </c>
      <c r="M313" s="143">
        <f>+SUM(D313:E313)-L313</f>
        <v>0</v>
      </c>
      <c r="N313" s="121">
        <f t="shared" ref="N313:N336" si="61">IF(L313=0,0,IFERROR(L313/D313,"REQ ADICIONAL"))</f>
        <v>1</v>
      </c>
      <c r="O313" s="186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8"/>
      <c r="E314" s="139">
        <v>180</v>
      </c>
      <c r="F314" s="52"/>
      <c r="G314" s="234"/>
      <c r="H314" s="229"/>
      <c r="I314" s="52"/>
      <c r="J314" s="230">
        <v>180</v>
      </c>
      <c r="K314" s="230"/>
      <c r="L314" s="138">
        <f t="shared" ref="L314:L330" si="62">SUM(F314:K314)</f>
        <v>180</v>
      </c>
      <c r="M314" s="143">
        <f>+SUM(D314:E314)-L314</f>
        <v>0</v>
      </c>
      <c r="N314" s="121" t="str">
        <f t="shared" si="61"/>
        <v>REQ ADICIONAL</v>
      </c>
      <c r="O314" s="186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8"/>
      <c r="E315" s="139">
        <v>180</v>
      </c>
      <c r="F315" s="52"/>
      <c r="G315" s="234"/>
      <c r="H315" s="229"/>
      <c r="I315" s="52">
        <v>180</v>
      </c>
      <c r="J315" s="230"/>
      <c r="K315" s="230"/>
      <c r="L315" s="138">
        <f t="shared" si="62"/>
        <v>180</v>
      </c>
      <c r="M315" s="143">
        <f>+SUM(D315:E315)-L315</f>
        <v>0</v>
      </c>
      <c r="N315" s="121" t="str">
        <f t="shared" si="61"/>
        <v>REQ ADICIONAL</v>
      </c>
      <c r="O315" s="186">
        <f t="shared" si="63"/>
        <v>1</v>
      </c>
    </row>
    <row r="316" spans="2:15" x14ac:dyDescent="0.25">
      <c r="B316" s="7">
        <v>254850</v>
      </c>
      <c r="C316" s="3" t="s">
        <v>3</v>
      </c>
      <c r="D316" s="138">
        <v>0</v>
      </c>
      <c r="E316" s="139">
        <f>840+960</f>
        <v>1800</v>
      </c>
      <c r="F316" s="52"/>
      <c r="G316" s="234">
        <v>60</v>
      </c>
      <c r="H316" s="229">
        <f>10*60</f>
        <v>600</v>
      </c>
      <c r="I316" s="52">
        <f>3*60</f>
        <v>180</v>
      </c>
      <c r="J316" s="230">
        <f>16*60</f>
        <v>960</v>
      </c>
      <c r="K316" s="230"/>
      <c r="L316" s="138">
        <f t="shared" si="62"/>
        <v>1800</v>
      </c>
      <c r="M316" s="143">
        <f>+SUM(D316:E316)-L316</f>
        <v>0</v>
      </c>
      <c r="N316" s="121" t="str">
        <f t="shared" si="61"/>
        <v>REQ ADICIONAL</v>
      </c>
      <c r="O316" s="186">
        <f t="shared" si="63"/>
        <v>1</v>
      </c>
    </row>
    <row r="317" spans="2:15" x14ac:dyDescent="0.25">
      <c r="B317" s="18">
        <v>251385</v>
      </c>
      <c r="C317" s="3" t="s">
        <v>4</v>
      </c>
      <c r="D317" s="138">
        <v>3200</v>
      </c>
      <c r="E317" s="139">
        <v>400</v>
      </c>
      <c r="F317" s="52">
        <f>5*80</f>
        <v>400</v>
      </c>
      <c r="G317" s="234">
        <f>15*80</f>
        <v>1200</v>
      </c>
      <c r="H317" s="229">
        <f>10*80</f>
        <v>800</v>
      </c>
      <c r="I317" s="52">
        <f>5*80</f>
        <v>400</v>
      </c>
      <c r="J317" s="230">
        <f>10*80</f>
        <v>800</v>
      </c>
      <c r="K317" s="230"/>
      <c r="L317" s="138">
        <f t="shared" si="62"/>
        <v>3600</v>
      </c>
      <c r="M317" s="143">
        <f>+SUM(D317:E317)-L317</f>
        <v>0</v>
      </c>
      <c r="N317" s="121">
        <f t="shared" si="61"/>
        <v>1.125</v>
      </c>
      <c r="O317" s="186">
        <f t="shared" si="63"/>
        <v>1</v>
      </c>
    </row>
    <row r="318" spans="2:15" x14ac:dyDescent="0.25">
      <c r="B318" s="18">
        <v>251196</v>
      </c>
      <c r="C318" s="3" t="s">
        <v>5</v>
      </c>
      <c r="D318" s="138">
        <v>800</v>
      </c>
      <c r="E318" s="139"/>
      <c r="F318" s="52">
        <f>2*80</f>
        <v>160</v>
      </c>
      <c r="G318" s="234">
        <f>2*80</f>
        <v>160</v>
      </c>
      <c r="H318" s="229">
        <f>2*80</f>
        <v>160</v>
      </c>
      <c r="I318" s="52">
        <f>4*80</f>
        <v>320</v>
      </c>
      <c r="J318" s="230"/>
      <c r="K318" s="230"/>
      <c r="L318" s="138">
        <f t="shared" si="62"/>
        <v>800</v>
      </c>
      <c r="M318" s="143">
        <f t="shared" ref="M318:M337" si="64">+SUM(D318:E318)-L318</f>
        <v>0</v>
      </c>
      <c r="N318" s="121">
        <f t="shared" si="61"/>
        <v>1</v>
      </c>
      <c r="O318" s="186">
        <f t="shared" si="63"/>
        <v>1</v>
      </c>
    </row>
    <row r="319" spans="2:15" x14ac:dyDescent="0.25">
      <c r="B319" s="18">
        <v>250524</v>
      </c>
      <c r="C319" s="3" t="s">
        <v>6</v>
      </c>
      <c r="D319" s="138">
        <v>1120</v>
      </c>
      <c r="E319" s="139">
        <f>880+400</f>
        <v>1280</v>
      </c>
      <c r="F319" s="52">
        <f>6*80</f>
        <v>480</v>
      </c>
      <c r="G319" s="234">
        <v>80</v>
      </c>
      <c r="H319" s="229">
        <f>9*80</f>
        <v>720</v>
      </c>
      <c r="I319" s="52">
        <f>9*80</f>
        <v>720</v>
      </c>
      <c r="J319" s="230">
        <f>5*80</f>
        <v>400</v>
      </c>
      <c r="K319" s="230"/>
      <c r="L319" s="138">
        <f t="shared" si="62"/>
        <v>2400</v>
      </c>
      <c r="M319" s="143">
        <f t="shared" si="64"/>
        <v>0</v>
      </c>
      <c r="N319" s="121">
        <f t="shared" si="61"/>
        <v>2.1428571428571428</v>
      </c>
      <c r="O319" s="186">
        <f t="shared" si="63"/>
        <v>1</v>
      </c>
    </row>
    <row r="320" spans="2:15" x14ac:dyDescent="0.25">
      <c r="B320" s="18">
        <v>252534</v>
      </c>
      <c r="C320" s="3" t="s">
        <v>7</v>
      </c>
      <c r="D320" s="138">
        <v>450</v>
      </c>
      <c r="E320" s="139"/>
      <c r="F320" s="52">
        <f>1*225</f>
        <v>225</v>
      </c>
      <c r="G320" s="234">
        <v>225</v>
      </c>
      <c r="H320" s="229"/>
      <c r="I320" s="52"/>
      <c r="J320" s="230"/>
      <c r="K320" s="230"/>
      <c r="L320" s="138">
        <f t="shared" si="62"/>
        <v>450</v>
      </c>
      <c r="M320" s="143">
        <f t="shared" si="64"/>
        <v>0</v>
      </c>
      <c r="N320" s="121">
        <f t="shared" si="61"/>
        <v>1</v>
      </c>
      <c r="O320" s="186">
        <f t="shared" si="63"/>
        <v>1</v>
      </c>
    </row>
    <row r="321" spans="2:15" x14ac:dyDescent="0.25">
      <c r="B321" s="18">
        <v>251151</v>
      </c>
      <c r="C321" s="3" t="s">
        <v>8</v>
      </c>
      <c r="D321" s="138"/>
      <c r="E321" s="139"/>
      <c r="F321" s="52"/>
      <c r="G321" s="234"/>
      <c r="H321" s="229"/>
      <c r="I321" s="52"/>
      <c r="J321" s="230"/>
      <c r="K321" s="230"/>
      <c r="L321" s="138">
        <f t="shared" si="62"/>
        <v>0</v>
      </c>
      <c r="M321" s="143">
        <f t="shared" si="64"/>
        <v>0</v>
      </c>
      <c r="N321" s="121">
        <f t="shared" si="61"/>
        <v>0</v>
      </c>
      <c r="O321" s="186">
        <f t="shared" si="63"/>
        <v>0</v>
      </c>
    </row>
    <row r="322" spans="2:15" x14ac:dyDescent="0.25">
      <c r="B322" s="18">
        <v>254852</v>
      </c>
      <c r="C322" s="3" t="s">
        <v>17</v>
      </c>
      <c r="D322" s="138"/>
      <c r="E322" s="139">
        <v>225</v>
      </c>
      <c r="F322" s="52"/>
      <c r="G322" s="234"/>
      <c r="H322" s="229">
        <v>225</v>
      </c>
      <c r="I322" s="52"/>
      <c r="J322" s="230"/>
      <c r="K322" s="230"/>
      <c r="L322" s="138">
        <f t="shared" si="62"/>
        <v>225</v>
      </c>
      <c r="M322" s="143">
        <f t="shared" si="64"/>
        <v>0</v>
      </c>
      <c r="N322" s="121" t="str">
        <f t="shared" si="61"/>
        <v>REQ ADICIONAL</v>
      </c>
      <c r="O322" s="186">
        <f t="shared" si="63"/>
        <v>1</v>
      </c>
    </row>
    <row r="323" spans="2:15" x14ac:dyDescent="0.25">
      <c r="B323" s="7">
        <v>255430</v>
      </c>
      <c r="C323" s="3" t="s">
        <v>53</v>
      </c>
      <c r="D323" s="138"/>
      <c r="E323" s="139"/>
      <c r="F323" s="52"/>
      <c r="G323" s="234"/>
      <c r="H323" s="229"/>
      <c r="I323" s="52"/>
      <c r="J323" s="230"/>
      <c r="K323" s="230"/>
      <c r="L323" s="138">
        <f t="shared" si="62"/>
        <v>0</v>
      </c>
      <c r="M323" s="143">
        <f t="shared" si="64"/>
        <v>0</v>
      </c>
      <c r="N323" s="121">
        <f t="shared" si="61"/>
        <v>0</v>
      </c>
      <c r="O323" s="186">
        <f t="shared" si="63"/>
        <v>0</v>
      </c>
    </row>
    <row r="324" spans="2:15" x14ac:dyDescent="0.25">
      <c r="B324" s="18">
        <v>255341</v>
      </c>
      <c r="C324" s="19" t="s">
        <v>50</v>
      </c>
      <c r="D324" s="138"/>
      <c r="E324" s="139"/>
      <c r="F324" s="52"/>
      <c r="G324" s="234"/>
      <c r="H324" s="229"/>
      <c r="I324" s="52"/>
      <c r="J324" s="230"/>
      <c r="K324" s="230"/>
      <c r="L324" s="138">
        <f t="shared" si="62"/>
        <v>0</v>
      </c>
      <c r="M324" s="143">
        <f t="shared" si="64"/>
        <v>0</v>
      </c>
      <c r="N324" s="121">
        <f t="shared" si="61"/>
        <v>0</v>
      </c>
      <c r="O324" s="186">
        <f t="shared" si="63"/>
        <v>0</v>
      </c>
    </row>
    <row r="325" spans="2:15" x14ac:dyDescent="0.25">
      <c r="B325" s="7">
        <v>254988</v>
      </c>
      <c r="C325" s="3" t="s">
        <v>54</v>
      </c>
      <c r="D325" s="138">
        <v>1125</v>
      </c>
      <c r="E325" s="139"/>
      <c r="F325" s="52">
        <f>225</f>
        <v>225</v>
      </c>
      <c r="G325" s="234">
        <v>225</v>
      </c>
      <c r="H325" s="229"/>
      <c r="I325" s="52"/>
      <c r="J325" s="230"/>
      <c r="K325" s="230"/>
      <c r="L325" s="138">
        <f t="shared" si="62"/>
        <v>450</v>
      </c>
      <c r="M325" s="143">
        <f t="shared" si="64"/>
        <v>675</v>
      </c>
      <c r="N325" s="121">
        <f t="shared" si="61"/>
        <v>0.4</v>
      </c>
      <c r="O325" s="187">
        <f t="shared" si="63"/>
        <v>0.4</v>
      </c>
    </row>
    <row r="326" spans="2:15" x14ac:dyDescent="0.25">
      <c r="B326" s="18">
        <v>254951</v>
      </c>
      <c r="C326" s="3" t="s">
        <v>59</v>
      </c>
      <c r="D326" s="138"/>
      <c r="E326" s="139"/>
      <c r="F326" s="52"/>
      <c r="G326" s="234"/>
      <c r="H326" s="229"/>
      <c r="I326" s="52"/>
      <c r="J326" s="230"/>
      <c r="K326" s="230"/>
      <c r="L326" s="138">
        <f t="shared" si="62"/>
        <v>0</v>
      </c>
      <c r="M326" s="143">
        <f t="shared" si="64"/>
        <v>0</v>
      </c>
      <c r="N326" s="121">
        <f t="shared" si="61"/>
        <v>0</v>
      </c>
      <c r="O326" s="187">
        <f t="shared" si="63"/>
        <v>0</v>
      </c>
    </row>
    <row r="327" spans="2:15" x14ac:dyDescent="0.25">
      <c r="B327" s="18">
        <v>254950</v>
      </c>
      <c r="C327" s="3" t="s">
        <v>101</v>
      </c>
      <c r="D327" s="138">
        <v>180</v>
      </c>
      <c r="E327" s="139"/>
      <c r="F327" s="52"/>
      <c r="G327" s="234">
        <v>180</v>
      </c>
      <c r="H327" s="229"/>
      <c r="I327" s="52"/>
      <c r="J327" s="230"/>
      <c r="K327" s="230"/>
      <c r="L327" s="138">
        <f t="shared" si="62"/>
        <v>180</v>
      </c>
      <c r="M327" s="143">
        <f t="shared" si="64"/>
        <v>0</v>
      </c>
      <c r="N327" s="121">
        <f t="shared" si="61"/>
        <v>1</v>
      </c>
      <c r="O327" s="187">
        <f t="shared" si="63"/>
        <v>1</v>
      </c>
    </row>
    <row r="328" spans="2:15" x14ac:dyDescent="0.25">
      <c r="B328" s="188">
        <v>254963</v>
      </c>
      <c r="C328" s="3" t="s">
        <v>27</v>
      </c>
      <c r="D328" s="138"/>
      <c r="E328" s="139"/>
      <c r="F328" s="52"/>
      <c r="G328" s="234"/>
      <c r="H328" s="229"/>
      <c r="I328" s="52"/>
      <c r="J328" s="230"/>
      <c r="K328" s="230"/>
      <c r="L328" s="138">
        <f t="shared" si="62"/>
        <v>0</v>
      </c>
      <c r="M328" s="143">
        <f t="shared" si="64"/>
        <v>0</v>
      </c>
      <c r="N328" s="121">
        <f t="shared" si="61"/>
        <v>0</v>
      </c>
      <c r="O328" s="187">
        <f t="shared" si="63"/>
        <v>0</v>
      </c>
    </row>
    <row r="329" spans="2:15" x14ac:dyDescent="0.25">
      <c r="B329" s="7">
        <v>255382</v>
      </c>
      <c r="C329" s="3" t="s">
        <v>56</v>
      </c>
      <c r="D329" s="138"/>
      <c r="E329" s="139"/>
      <c r="F329" s="52"/>
      <c r="G329" s="234"/>
      <c r="H329" s="229"/>
      <c r="I329" s="52"/>
      <c r="J329" s="230"/>
      <c r="K329" s="230"/>
      <c r="L329" s="138">
        <f t="shared" si="62"/>
        <v>0</v>
      </c>
      <c r="M329" s="143">
        <f t="shared" si="64"/>
        <v>0</v>
      </c>
      <c r="N329" s="121">
        <f t="shared" si="61"/>
        <v>0</v>
      </c>
      <c r="O329" s="187">
        <f t="shared" si="63"/>
        <v>0</v>
      </c>
    </row>
    <row r="330" spans="2:15" x14ac:dyDescent="0.25">
      <c r="B330" s="18">
        <v>251632</v>
      </c>
      <c r="C330" s="19" t="s">
        <v>51</v>
      </c>
      <c r="D330" s="138"/>
      <c r="E330" s="139"/>
      <c r="F330" s="52"/>
      <c r="G330" s="234"/>
      <c r="H330" s="229"/>
      <c r="I330" s="52"/>
      <c r="J330" s="230"/>
      <c r="K330" s="230"/>
      <c r="L330" s="138">
        <f t="shared" si="62"/>
        <v>0</v>
      </c>
      <c r="M330" s="143">
        <f t="shared" si="64"/>
        <v>0</v>
      </c>
      <c r="N330" s="121">
        <f t="shared" si="61"/>
        <v>0</v>
      </c>
      <c r="O330" s="187">
        <f t="shared" si="63"/>
        <v>0</v>
      </c>
    </row>
    <row r="331" spans="2:15" x14ac:dyDescent="0.25">
      <c r="B331" s="7">
        <v>251406</v>
      </c>
      <c r="C331" s="3" t="s">
        <v>42</v>
      </c>
      <c r="D331" s="138">
        <v>180</v>
      </c>
      <c r="E331" s="139"/>
      <c r="F331" s="52"/>
      <c r="G331" s="234"/>
      <c r="H331" s="229"/>
      <c r="I331" s="52"/>
      <c r="J331" s="230"/>
      <c r="K331" s="230"/>
      <c r="L331" s="138">
        <f t="shared" ref="L331:L336" si="65">SUM(F331:K331)</f>
        <v>0</v>
      </c>
      <c r="M331" s="143">
        <f t="shared" si="64"/>
        <v>180</v>
      </c>
      <c r="N331" s="121">
        <f t="shared" si="61"/>
        <v>0</v>
      </c>
      <c r="O331" s="187">
        <f t="shared" si="63"/>
        <v>0</v>
      </c>
    </row>
    <row r="332" spans="2:15" x14ac:dyDescent="0.25">
      <c r="B332" s="188">
        <v>254845</v>
      </c>
      <c r="C332" s="3" t="s">
        <v>40</v>
      </c>
      <c r="D332" s="138"/>
      <c r="E332" s="139"/>
      <c r="F332" s="52"/>
      <c r="G332" s="234"/>
      <c r="H332" s="229"/>
      <c r="I332" s="52"/>
      <c r="J332" s="230"/>
      <c r="K332" s="230"/>
      <c r="L332" s="138">
        <f t="shared" si="65"/>
        <v>0</v>
      </c>
      <c r="M332" s="143">
        <f t="shared" si="64"/>
        <v>0</v>
      </c>
      <c r="N332" s="121">
        <f t="shared" si="61"/>
        <v>0</v>
      </c>
      <c r="O332" s="187">
        <f t="shared" si="63"/>
        <v>0</v>
      </c>
    </row>
    <row r="333" spans="2:15" x14ac:dyDescent="0.25">
      <c r="B333" s="7">
        <v>254846</v>
      </c>
      <c r="C333" s="3" t="s">
        <v>41</v>
      </c>
      <c r="D333" s="138"/>
      <c r="E333" s="139"/>
      <c r="F333" s="234"/>
      <c r="G333" s="234"/>
      <c r="H333" s="229"/>
      <c r="I333" s="52"/>
      <c r="J333" s="230"/>
      <c r="K333" s="230"/>
      <c r="L333" s="138">
        <f t="shared" si="65"/>
        <v>0</v>
      </c>
      <c r="M333" s="143">
        <f t="shared" si="64"/>
        <v>0</v>
      </c>
      <c r="N333" s="121">
        <f t="shared" si="61"/>
        <v>0</v>
      </c>
      <c r="O333" s="187">
        <f t="shared" si="63"/>
        <v>0</v>
      </c>
    </row>
    <row r="334" spans="2:15" x14ac:dyDescent="0.25">
      <c r="B334" s="7">
        <v>255429</v>
      </c>
      <c r="C334" s="31" t="s">
        <v>52</v>
      </c>
      <c r="D334" s="138"/>
      <c r="E334" s="139"/>
      <c r="F334" s="234"/>
      <c r="G334" s="234"/>
      <c r="H334" s="229"/>
      <c r="I334" s="52"/>
      <c r="J334" s="230"/>
      <c r="K334" s="230"/>
      <c r="L334" s="138">
        <f t="shared" si="65"/>
        <v>0</v>
      </c>
      <c r="M334" s="143">
        <f t="shared" si="64"/>
        <v>0</v>
      </c>
      <c r="N334" s="121">
        <f t="shared" si="61"/>
        <v>0</v>
      </c>
      <c r="O334" s="187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8"/>
      <c r="E335" s="139"/>
      <c r="F335" s="234"/>
      <c r="G335" s="234"/>
      <c r="H335" s="229"/>
      <c r="I335" s="234"/>
      <c r="J335" s="230"/>
      <c r="K335" s="230"/>
      <c r="L335" s="138">
        <f t="shared" si="65"/>
        <v>0</v>
      </c>
      <c r="M335" s="143">
        <f t="shared" si="64"/>
        <v>0</v>
      </c>
      <c r="N335" s="121">
        <f t="shared" si="61"/>
        <v>0</v>
      </c>
      <c r="O335" s="187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8">
        <v>240</v>
      </c>
      <c r="E336" s="139">
        <f>160+240</f>
        <v>400</v>
      </c>
      <c r="F336" s="234">
        <v>80</v>
      </c>
      <c r="G336" s="234"/>
      <c r="H336" s="229">
        <v>80</v>
      </c>
      <c r="I336" s="52">
        <f>3*80</f>
        <v>240</v>
      </c>
      <c r="J336" s="230">
        <f>3*80</f>
        <v>240</v>
      </c>
      <c r="K336" s="230"/>
      <c r="L336" s="138">
        <f t="shared" si="65"/>
        <v>640</v>
      </c>
      <c r="M336" s="143">
        <f t="shared" si="64"/>
        <v>0</v>
      </c>
      <c r="N336" s="121">
        <f t="shared" si="61"/>
        <v>2.6666666666666665</v>
      </c>
      <c r="O336" s="187">
        <f>IFERROR(L336/SUM(D336:E336),0)</f>
        <v>1</v>
      </c>
    </row>
    <row r="337" spans="2:15" ht="16.5" thickBot="1" x14ac:dyDescent="0.3">
      <c r="B337" s="675" t="s">
        <v>87</v>
      </c>
      <c r="C337" s="674"/>
      <c r="D337" s="236">
        <f t="shared" ref="D337:L337" si="66">SUM(D313:D336)</f>
        <v>7475</v>
      </c>
      <c r="E337" s="237">
        <f t="shared" si="66"/>
        <v>4465</v>
      </c>
      <c r="F337" s="238">
        <f t="shared" si="66"/>
        <v>1750</v>
      </c>
      <c r="G337" s="238">
        <f t="shared" si="66"/>
        <v>2130</v>
      </c>
      <c r="H337" s="238">
        <f t="shared" si="66"/>
        <v>2585</v>
      </c>
      <c r="I337" s="238">
        <f t="shared" si="66"/>
        <v>2040</v>
      </c>
      <c r="J337" s="238">
        <f t="shared" si="66"/>
        <v>2580</v>
      </c>
      <c r="K337" s="238">
        <f t="shared" si="66"/>
        <v>0</v>
      </c>
      <c r="L337" s="239">
        <f t="shared" si="66"/>
        <v>11085</v>
      </c>
      <c r="M337" s="240">
        <f t="shared" si="64"/>
        <v>855</v>
      </c>
      <c r="N337" s="241">
        <f>L337/D337</f>
        <v>1.482943143812709</v>
      </c>
      <c r="O337" s="242">
        <f>+L337/SUM(D337:E337)</f>
        <v>0.92839195979899503</v>
      </c>
    </row>
    <row r="340" spans="2:15" ht="15.75" thickBot="1" x14ac:dyDescent="0.3"/>
    <row r="341" spans="2:15" ht="15.75" x14ac:dyDescent="0.25">
      <c r="B341" s="679" t="s">
        <v>102</v>
      </c>
      <c r="C341" s="680"/>
      <c r="D341" s="680"/>
      <c r="E341" s="680"/>
      <c r="F341" s="680"/>
      <c r="G341" s="680"/>
      <c r="H341" s="680"/>
      <c r="I341" s="680"/>
      <c r="J341" s="680"/>
      <c r="K341" s="680"/>
      <c r="L341" s="680"/>
      <c r="M341" s="680"/>
      <c r="N341" s="680"/>
      <c r="O341" s="681"/>
    </row>
    <row r="342" spans="2:15" ht="30" x14ac:dyDescent="0.25">
      <c r="B342" s="106" t="s">
        <v>34</v>
      </c>
      <c r="C342" s="30" t="s">
        <v>9</v>
      </c>
      <c r="D342" s="108" t="s">
        <v>85</v>
      </c>
      <c r="E342" s="163" t="s">
        <v>86</v>
      </c>
      <c r="F342" s="117">
        <v>42947</v>
      </c>
      <c r="G342" s="117">
        <v>42948</v>
      </c>
      <c r="H342" s="117">
        <f>+G342+1</f>
        <v>42949</v>
      </c>
      <c r="I342" s="117">
        <f>+H342+1</f>
        <v>42950</v>
      </c>
      <c r="J342" s="117">
        <f>+I342+1</f>
        <v>42951</v>
      </c>
      <c r="K342" s="117">
        <f>+J342+1</f>
        <v>42952</v>
      </c>
      <c r="L342" s="108" t="s">
        <v>87</v>
      </c>
      <c r="M342" s="164" t="s">
        <v>88</v>
      </c>
      <c r="N342" s="117" t="s">
        <v>89</v>
      </c>
      <c r="O342" s="235" t="s">
        <v>90</v>
      </c>
    </row>
    <row r="343" spans="2:15" x14ac:dyDescent="0.25">
      <c r="B343" s="7">
        <v>254849</v>
      </c>
      <c r="C343" s="3" t="s">
        <v>0</v>
      </c>
      <c r="D343" s="138"/>
      <c r="E343" s="139">
        <v>180</v>
      </c>
      <c r="F343" s="52"/>
      <c r="G343" s="234"/>
      <c r="H343" s="229"/>
      <c r="I343" s="52">
        <v>180</v>
      </c>
      <c r="J343" s="230"/>
      <c r="K343" s="230"/>
      <c r="L343" s="138">
        <f>SUM(F343:K343)</f>
        <v>180</v>
      </c>
      <c r="M343" s="143">
        <f>+SUM(D343:E343)-L343</f>
        <v>0</v>
      </c>
      <c r="N343" s="121" t="str">
        <f t="shared" ref="N343:N366" si="67">IF(L343=0,0,IFERROR(L343/D343,"REQ ADICIONAL"))</f>
        <v>REQ ADICIONAL</v>
      </c>
      <c r="O343" s="186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8"/>
      <c r="E344" s="139">
        <v>180</v>
      </c>
      <c r="F344" s="52">
        <v>180</v>
      </c>
      <c r="G344" s="234"/>
      <c r="H344" s="229"/>
      <c r="I344" s="52"/>
      <c r="J344" s="230"/>
      <c r="K344" s="230"/>
      <c r="L344" s="138">
        <f t="shared" ref="L344:L360" si="68">SUM(F344:K344)</f>
        <v>180</v>
      </c>
      <c r="M344" s="143">
        <f>+SUM(D344:E344)-L344</f>
        <v>0</v>
      </c>
      <c r="N344" s="121" t="str">
        <f t="shared" si="67"/>
        <v>REQ ADICIONAL</v>
      </c>
      <c r="O344" s="186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8"/>
      <c r="E345" s="139"/>
      <c r="F345" s="52"/>
      <c r="G345" s="234"/>
      <c r="H345" s="229"/>
      <c r="I345" s="52"/>
      <c r="J345" s="230"/>
      <c r="K345" s="230"/>
      <c r="L345" s="138">
        <f t="shared" si="68"/>
        <v>0</v>
      </c>
      <c r="M345" s="143">
        <f>+SUM(D345:E345)-L345</f>
        <v>0</v>
      </c>
      <c r="N345" s="121">
        <f t="shared" si="67"/>
        <v>0</v>
      </c>
      <c r="O345" s="186">
        <f t="shared" si="69"/>
        <v>0</v>
      </c>
    </row>
    <row r="346" spans="2:15" x14ac:dyDescent="0.25">
      <c r="B346" s="7">
        <v>254850</v>
      </c>
      <c r="C346" s="3" t="s">
        <v>3</v>
      </c>
      <c r="D346" s="138">
        <f>14*60</f>
        <v>840</v>
      </c>
      <c r="E346" s="139">
        <f>1680+480+480</f>
        <v>2640</v>
      </c>
      <c r="F346" s="52"/>
      <c r="G346" s="234">
        <f>12*60</f>
        <v>720</v>
      </c>
      <c r="H346" s="229">
        <f>30*60</f>
        <v>1800</v>
      </c>
      <c r="I346" s="52">
        <f>8*60</f>
        <v>480</v>
      </c>
      <c r="J346" s="230">
        <f>8*60</f>
        <v>480</v>
      </c>
      <c r="K346" s="230"/>
      <c r="L346" s="138">
        <f t="shared" si="68"/>
        <v>3480</v>
      </c>
      <c r="M346" s="143">
        <f>+SUM(D346:E346)-L346</f>
        <v>0</v>
      </c>
      <c r="N346" s="121">
        <f t="shared" si="67"/>
        <v>4.1428571428571432</v>
      </c>
      <c r="O346" s="186">
        <f t="shared" si="69"/>
        <v>1</v>
      </c>
    </row>
    <row r="347" spans="2:15" x14ac:dyDescent="0.25">
      <c r="B347" s="18">
        <v>251385</v>
      </c>
      <c r="C347" s="3" t="s">
        <v>4</v>
      </c>
      <c r="D347" s="138">
        <f>5*80</f>
        <v>400</v>
      </c>
      <c r="E347" s="139"/>
      <c r="F347" s="52"/>
      <c r="G347" s="234"/>
      <c r="H347" s="229"/>
      <c r="I347" s="52"/>
      <c r="J347" s="230"/>
      <c r="K347" s="230"/>
      <c r="L347" s="138">
        <f t="shared" si="68"/>
        <v>0</v>
      </c>
      <c r="M347" s="143">
        <f>+SUM(D347:E347)-L347</f>
        <v>400</v>
      </c>
      <c r="N347" s="121">
        <f t="shared" si="67"/>
        <v>0</v>
      </c>
      <c r="O347" s="186">
        <f t="shared" si="69"/>
        <v>0</v>
      </c>
    </row>
    <row r="348" spans="2:15" x14ac:dyDescent="0.25">
      <c r="B348" s="18">
        <v>251196</v>
      </c>
      <c r="C348" s="3" t="s">
        <v>5</v>
      </c>
      <c r="D348" s="138"/>
      <c r="E348" s="139"/>
      <c r="F348" s="52"/>
      <c r="G348" s="234"/>
      <c r="H348" s="229"/>
      <c r="I348" s="52"/>
      <c r="J348" s="230"/>
      <c r="K348" s="230"/>
      <c r="L348" s="138">
        <f t="shared" si="68"/>
        <v>0</v>
      </c>
      <c r="M348" s="143">
        <f t="shared" ref="M348:M367" si="70">+SUM(D348:E348)-L348</f>
        <v>0</v>
      </c>
      <c r="N348" s="121">
        <f t="shared" si="67"/>
        <v>0</v>
      </c>
      <c r="O348" s="186">
        <f t="shared" si="69"/>
        <v>0</v>
      </c>
    </row>
    <row r="349" spans="2:15" x14ac:dyDescent="0.25">
      <c r="B349" s="18">
        <v>250524</v>
      </c>
      <c r="C349" s="3" t="s">
        <v>6</v>
      </c>
      <c r="D349" s="138"/>
      <c r="E349" s="139"/>
      <c r="F349" s="52"/>
      <c r="G349" s="234"/>
      <c r="H349" s="229"/>
      <c r="I349" s="52"/>
      <c r="J349" s="230"/>
      <c r="K349" s="230"/>
      <c r="L349" s="138">
        <f t="shared" si="68"/>
        <v>0</v>
      </c>
      <c r="M349" s="143">
        <f t="shared" si="70"/>
        <v>0</v>
      </c>
      <c r="N349" s="121">
        <f t="shared" si="67"/>
        <v>0</v>
      </c>
      <c r="O349" s="186">
        <f t="shared" si="69"/>
        <v>0</v>
      </c>
    </row>
    <row r="350" spans="2:15" x14ac:dyDescent="0.25">
      <c r="B350" s="18">
        <v>252534</v>
      </c>
      <c r="C350" s="3" t="s">
        <v>7</v>
      </c>
      <c r="D350" s="138">
        <v>225</v>
      </c>
      <c r="E350" s="139"/>
      <c r="F350" s="52">
        <v>225</v>
      </c>
      <c r="G350" s="234"/>
      <c r="H350" s="229"/>
      <c r="I350" s="52"/>
      <c r="J350" s="230"/>
      <c r="K350" s="230"/>
      <c r="L350" s="138">
        <f t="shared" si="68"/>
        <v>225</v>
      </c>
      <c r="M350" s="143">
        <f t="shared" si="70"/>
        <v>0</v>
      </c>
      <c r="N350" s="121">
        <f t="shared" si="67"/>
        <v>1</v>
      </c>
      <c r="O350" s="186">
        <f t="shared" si="69"/>
        <v>1</v>
      </c>
    </row>
    <row r="351" spans="2:15" x14ac:dyDescent="0.25">
      <c r="B351" s="18">
        <v>251151</v>
      </c>
      <c r="C351" s="3" t="s">
        <v>8</v>
      </c>
      <c r="D351" s="138"/>
      <c r="E351" s="139">
        <v>225</v>
      </c>
      <c r="F351" s="52">
        <v>225</v>
      </c>
      <c r="G351" s="234"/>
      <c r="H351" s="229"/>
      <c r="I351" s="52"/>
      <c r="J351" s="230"/>
      <c r="K351" s="230"/>
      <c r="L351" s="138">
        <f t="shared" si="68"/>
        <v>225</v>
      </c>
      <c r="M351" s="143">
        <f t="shared" si="70"/>
        <v>0</v>
      </c>
      <c r="N351" s="121" t="str">
        <f t="shared" si="67"/>
        <v>REQ ADICIONAL</v>
      </c>
      <c r="O351" s="186">
        <f t="shared" si="69"/>
        <v>1</v>
      </c>
    </row>
    <row r="352" spans="2:15" x14ac:dyDescent="0.25">
      <c r="B352" s="18">
        <v>254852</v>
      </c>
      <c r="C352" s="3" t="s">
        <v>17</v>
      </c>
      <c r="D352" s="138"/>
      <c r="E352" s="139">
        <v>225</v>
      </c>
      <c r="F352" s="52">
        <v>225</v>
      </c>
      <c r="G352" s="234"/>
      <c r="H352" s="229"/>
      <c r="I352" s="52"/>
      <c r="J352" s="230"/>
      <c r="K352" s="230"/>
      <c r="L352" s="138">
        <f t="shared" si="68"/>
        <v>225</v>
      </c>
      <c r="M352" s="143">
        <f t="shared" si="70"/>
        <v>0</v>
      </c>
      <c r="N352" s="121" t="str">
        <f t="shared" si="67"/>
        <v>REQ ADICIONAL</v>
      </c>
      <c r="O352" s="186">
        <f t="shared" si="69"/>
        <v>1</v>
      </c>
    </row>
    <row r="353" spans="2:15" x14ac:dyDescent="0.25">
      <c r="B353" s="7">
        <v>255430</v>
      </c>
      <c r="C353" s="3" t="s">
        <v>53</v>
      </c>
      <c r="D353" s="138"/>
      <c r="E353" s="139"/>
      <c r="F353" s="52"/>
      <c r="G353" s="234"/>
      <c r="H353" s="229"/>
      <c r="I353" s="52"/>
      <c r="J353" s="230"/>
      <c r="K353" s="230"/>
      <c r="L353" s="138">
        <f t="shared" si="68"/>
        <v>0</v>
      </c>
      <c r="M353" s="143">
        <f t="shared" si="70"/>
        <v>0</v>
      </c>
      <c r="N353" s="121">
        <f t="shared" si="67"/>
        <v>0</v>
      </c>
      <c r="O353" s="186">
        <f t="shared" si="69"/>
        <v>0</v>
      </c>
    </row>
    <row r="354" spans="2:15" x14ac:dyDescent="0.25">
      <c r="B354" s="18">
        <v>255341</v>
      </c>
      <c r="C354" s="19" t="s">
        <v>50</v>
      </c>
      <c r="D354" s="138"/>
      <c r="E354" s="139"/>
      <c r="F354" s="52"/>
      <c r="G354" s="234"/>
      <c r="H354" s="229"/>
      <c r="I354" s="52"/>
      <c r="J354" s="230"/>
      <c r="K354" s="230"/>
      <c r="L354" s="138">
        <f t="shared" si="68"/>
        <v>0</v>
      </c>
      <c r="M354" s="143">
        <f t="shared" si="70"/>
        <v>0</v>
      </c>
      <c r="N354" s="121">
        <f t="shared" si="67"/>
        <v>0</v>
      </c>
      <c r="O354" s="186">
        <f t="shared" si="69"/>
        <v>0</v>
      </c>
    </row>
    <row r="355" spans="2:15" x14ac:dyDescent="0.25">
      <c r="B355" s="7">
        <v>254988</v>
      </c>
      <c r="C355" s="3" t="s">
        <v>54</v>
      </c>
      <c r="D355" s="138">
        <f>3*225</f>
        <v>675</v>
      </c>
      <c r="E355" s="139"/>
      <c r="F355" s="52"/>
      <c r="G355" s="234"/>
      <c r="H355" s="229"/>
      <c r="I355" s="52"/>
      <c r="J355" s="230"/>
      <c r="K355" s="230"/>
      <c r="L355" s="138">
        <f t="shared" si="68"/>
        <v>0</v>
      </c>
      <c r="M355" s="143">
        <f t="shared" si="70"/>
        <v>675</v>
      </c>
      <c r="N355" s="121">
        <f t="shared" si="67"/>
        <v>0</v>
      </c>
      <c r="O355" s="187">
        <f t="shared" si="69"/>
        <v>0</v>
      </c>
    </row>
    <row r="356" spans="2:15" x14ac:dyDescent="0.25">
      <c r="B356" s="18">
        <v>254951</v>
      </c>
      <c r="C356" s="3" t="s">
        <v>59</v>
      </c>
      <c r="D356" s="138">
        <v>120</v>
      </c>
      <c r="E356" s="139"/>
      <c r="F356" s="52"/>
      <c r="G356" s="234"/>
      <c r="H356" s="229"/>
      <c r="I356" s="52"/>
      <c r="J356" s="230"/>
      <c r="K356" s="230"/>
      <c r="L356" s="138">
        <f t="shared" si="68"/>
        <v>0</v>
      </c>
      <c r="M356" s="143">
        <f t="shared" si="70"/>
        <v>120</v>
      </c>
      <c r="N356" s="121">
        <f t="shared" si="67"/>
        <v>0</v>
      </c>
      <c r="O356" s="187">
        <f t="shared" si="69"/>
        <v>0</v>
      </c>
    </row>
    <row r="357" spans="2:15" x14ac:dyDescent="0.25">
      <c r="B357" s="18">
        <v>254950</v>
      </c>
      <c r="C357" s="3" t="s">
        <v>101</v>
      </c>
      <c r="D357" s="138"/>
      <c r="E357" s="139"/>
      <c r="F357" s="52"/>
      <c r="G357" s="234"/>
      <c r="H357" s="229"/>
      <c r="I357" s="52"/>
      <c r="J357" s="230"/>
      <c r="K357" s="230"/>
      <c r="L357" s="138">
        <f t="shared" si="68"/>
        <v>0</v>
      </c>
      <c r="M357" s="143">
        <f t="shared" si="70"/>
        <v>0</v>
      </c>
      <c r="N357" s="121">
        <f t="shared" si="67"/>
        <v>0</v>
      </c>
      <c r="O357" s="187">
        <f t="shared" si="69"/>
        <v>0</v>
      </c>
    </row>
    <row r="358" spans="2:15" x14ac:dyDescent="0.25">
      <c r="B358" s="188">
        <v>254963</v>
      </c>
      <c r="C358" s="3" t="s">
        <v>27</v>
      </c>
      <c r="D358" s="138"/>
      <c r="E358" s="139"/>
      <c r="F358" s="52"/>
      <c r="G358" s="234"/>
      <c r="H358" s="229"/>
      <c r="I358" s="52"/>
      <c r="J358" s="230"/>
      <c r="K358" s="230"/>
      <c r="L358" s="138">
        <f t="shared" si="68"/>
        <v>0</v>
      </c>
      <c r="M358" s="143">
        <f t="shared" si="70"/>
        <v>0</v>
      </c>
      <c r="N358" s="121">
        <f t="shared" si="67"/>
        <v>0</v>
      </c>
      <c r="O358" s="187">
        <f t="shared" si="69"/>
        <v>0</v>
      </c>
    </row>
    <row r="359" spans="2:15" x14ac:dyDescent="0.25">
      <c r="B359" s="7">
        <v>255382</v>
      </c>
      <c r="C359" s="3" t="s">
        <v>56</v>
      </c>
      <c r="D359" s="138"/>
      <c r="E359" s="139"/>
      <c r="F359" s="52"/>
      <c r="G359" s="234"/>
      <c r="H359" s="229"/>
      <c r="I359" s="52"/>
      <c r="J359" s="230"/>
      <c r="K359" s="230"/>
      <c r="L359" s="138">
        <f t="shared" si="68"/>
        <v>0</v>
      </c>
      <c r="M359" s="143">
        <f t="shared" si="70"/>
        <v>0</v>
      </c>
      <c r="N359" s="121">
        <f t="shared" si="67"/>
        <v>0</v>
      </c>
      <c r="O359" s="187">
        <f t="shared" si="69"/>
        <v>0</v>
      </c>
    </row>
    <row r="360" spans="2:15" x14ac:dyDescent="0.25">
      <c r="B360" s="18">
        <v>251632</v>
      </c>
      <c r="C360" s="19" t="s">
        <v>51</v>
      </c>
      <c r="D360" s="138"/>
      <c r="E360" s="139"/>
      <c r="F360" s="52"/>
      <c r="G360" s="234"/>
      <c r="H360" s="229"/>
      <c r="I360" s="52"/>
      <c r="J360" s="230"/>
      <c r="K360" s="230"/>
      <c r="L360" s="138">
        <f t="shared" si="68"/>
        <v>0</v>
      </c>
      <c r="M360" s="143">
        <f t="shared" si="70"/>
        <v>0</v>
      </c>
      <c r="N360" s="121">
        <f t="shared" si="67"/>
        <v>0</v>
      </c>
      <c r="O360" s="187">
        <f t="shared" si="69"/>
        <v>0</v>
      </c>
    </row>
    <row r="361" spans="2:15" x14ac:dyDescent="0.25">
      <c r="B361" s="7">
        <v>251406</v>
      </c>
      <c r="C361" s="3" t="s">
        <v>42</v>
      </c>
      <c r="D361" s="138"/>
      <c r="E361" s="139"/>
      <c r="F361" s="52"/>
      <c r="G361" s="234"/>
      <c r="H361" s="229"/>
      <c r="I361" s="52"/>
      <c r="J361" s="230"/>
      <c r="K361" s="230"/>
      <c r="L361" s="138">
        <f t="shared" ref="L361:L366" si="71">SUM(F361:K361)</f>
        <v>0</v>
      </c>
      <c r="M361" s="143">
        <f t="shared" si="70"/>
        <v>0</v>
      </c>
      <c r="N361" s="121">
        <f t="shared" si="67"/>
        <v>0</v>
      </c>
      <c r="O361" s="187">
        <f t="shared" si="69"/>
        <v>0</v>
      </c>
    </row>
    <row r="362" spans="2:15" x14ac:dyDescent="0.25">
      <c r="B362" s="188">
        <v>254845</v>
      </c>
      <c r="C362" s="3" t="s">
        <v>40</v>
      </c>
      <c r="D362" s="138"/>
      <c r="E362" s="139"/>
      <c r="F362" s="52"/>
      <c r="G362" s="234"/>
      <c r="H362" s="229"/>
      <c r="I362" s="52"/>
      <c r="J362" s="230"/>
      <c r="K362" s="230"/>
      <c r="L362" s="138">
        <f t="shared" si="71"/>
        <v>0</v>
      </c>
      <c r="M362" s="143">
        <f t="shared" si="70"/>
        <v>0</v>
      </c>
      <c r="N362" s="121">
        <f t="shared" si="67"/>
        <v>0</v>
      </c>
      <c r="O362" s="187">
        <f t="shared" si="69"/>
        <v>0</v>
      </c>
    </row>
    <row r="363" spans="2:15" x14ac:dyDescent="0.25">
      <c r="B363" s="7">
        <v>254846</v>
      </c>
      <c r="C363" s="3" t="s">
        <v>41</v>
      </c>
      <c r="D363" s="138"/>
      <c r="E363" s="139"/>
      <c r="F363" s="234"/>
      <c r="G363" s="234"/>
      <c r="H363" s="229"/>
      <c r="I363" s="52"/>
      <c r="J363" s="230"/>
      <c r="K363" s="230"/>
      <c r="L363" s="138">
        <f t="shared" si="71"/>
        <v>0</v>
      </c>
      <c r="M363" s="143">
        <f t="shared" si="70"/>
        <v>0</v>
      </c>
      <c r="N363" s="121">
        <f t="shared" si="67"/>
        <v>0</v>
      </c>
      <c r="O363" s="187">
        <f t="shared" si="69"/>
        <v>0</v>
      </c>
    </row>
    <row r="364" spans="2:15" x14ac:dyDescent="0.25">
      <c r="B364" s="7">
        <v>255429</v>
      </c>
      <c r="C364" s="31" t="s">
        <v>52</v>
      </c>
      <c r="D364" s="138"/>
      <c r="E364" s="139">
        <v>250</v>
      </c>
      <c r="F364" s="234"/>
      <c r="G364" s="234"/>
      <c r="H364" s="229"/>
      <c r="I364" s="52">
        <v>250</v>
      </c>
      <c r="J364" s="230"/>
      <c r="K364" s="230"/>
      <c r="L364" s="138">
        <f t="shared" si="71"/>
        <v>250</v>
      </c>
      <c r="M364" s="143">
        <f t="shared" si="70"/>
        <v>0</v>
      </c>
      <c r="N364" s="121" t="str">
        <f t="shared" si="67"/>
        <v>REQ ADICIONAL</v>
      </c>
      <c r="O364" s="187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8">
        <v>225</v>
      </c>
      <c r="E365" s="139"/>
      <c r="F365" s="234"/>
      <c r="G365" s="234"/>
      <c r="H365" s="229"/>
      <c r="I365" s="234"/>
      <c r="J365" s="230"/>
      <c r="K365" s="230"/>
      <c r="L365" s="138">
        <f t="shared" si="71"/>
        <v>0</v>
      </c>
      <c r="M365" s="143">
        <f t="shared" si="70"/>
        <v>225</v>
      </c>
      <c r="N365" s="121">
        <f t="shared" si="67"/>
        <v>0</v>
      </c>
      <c r="O365" s="187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8">
        <f>3*80</f>
        <v>240</v>
      </c>
      <c r="E366" s="139">
        <v>160</v>
      </c>
      <c r="F366" s="234">
        <f>5*80</f>
        <v>400</v>
      </c>
      <c r="G366" s="234"/>
      <c r="H366" s="229"/>
      <c r="I366" s="52"/>
      <c r="J366" s="230"/>
      <c r="K366" s="230"/>
      <c r="L366" s="138">
        <f t="shared" si="71"/>
        <v>400</v>
      </c>
      <c r="M366" s="143">
        <f t="shared" si="70"/>
        <v>0</v>
      </c>
      <c r="N366" s="121">
        <f t="shared" si="67"/>
        <v>1.6666666666666667</v>
      </c>
      <c r="O366" s="187">
        <f>IFERROR(L366/SUM(D366:E366),0)</f>
        <v>1</v>
      </c>
    </row>
    <row r="367" spans="2:15" ht="16.5" thickBot="1" x14ac:dyDescent="0.3">
      <c r="B367" s="675" t="s">
        <v>87</v>
      </c>
      <c r="C367" s="674"/>
      <c r="D367" s="236">
        <f t="shared" ref="D367:L367" si="72">SUM(D343:D366)</f>
        <v>2725</v>
      </c>
      <c r="E367" s="237">
        <f t="shared" si="72"/>
        <v>3860</v>
      </c>
      <c r="F367" s="238">
        <f t="shared" si="72"/>
        <v>1255</v>
      </c>
      <c r="G367" s="238">
        <f t="shared" si="72"/>
        <v>720</v>
      </c>
      <c r="H367" s="238">
        <f t="shared" si="72"/>
        <v>1800</v>
      </c>
      <c r="I367" s="238">
        <f t="shared" si="72"/>
        <v>910</v>
      </c>
      <c r="J367" s="238">
        <f t="shared" si="72"/>
        <v>480</v>
      </c>
      <c r="K367" s="238">
        <f t="shared" si="72"/>
        <v>0</v>
      </c>
      <c r="L367" s="239">
        <f t="shared" si="72"/>
        <v>5165</v>
      </c>
      <c r="M367" s="240">
        <f t="shared" si="70"/>
        <v>1420</v>
      </c>
      <c r="N367" s="241">
        <f>L367/D367</f>
        <v>1.8954128440366973</v>
      </c>
      <c r="O367" s="242">
        <f>+L367/SUM(D367:E367)</f>
        <v>0.78435839028094156</v>
      </c>
    </row>
    <row r="368" spans="2:15" ht="15.75" thickBot="1" x14ac:dyDescent="0.3"/>
    <row r="369" spans="2:15" ht="16.5" thickBot="1" x14ac:dyDescent="0.3">
      <c r="B369" s="684" t="s">
        <v>103</v>
      </c>
      <c r="C369" s="685"/>
      <c r="D369" s="685"/>
      <c r="E369" s="685"/>
      <c r="F369" s="685"/>
      <c r="G369" s="685"/>
      <c r="H369" s="685"/>
      <c r="I369" s="685"/>
      <c r="J369" s="685"/>
      <c r="K369" s="685"/>
      <c r="L369" s="685"/>
      <c r="M369" s="685"/>
      <c r="N369" s="685"/>
      <c r="O369" s="686"/>
    </row>
    <row r="370" spans="2:15" ht="30" x14ac:dyDescent="0.25">
      <c r="B370" s="174" t="s">
        <v>34</v>
      </c>
      <c r="C370" s="243" t="s">
        <v>9</v>
      </c>
      <c r="D370" s="244" t="s">
        <v>85</v>
      </c>
      <c r="E370" s="245" t="s">
        <v>86</v>
      </c>
      <c r="F370" s="246">
        <v>42952</v>
      </c>
      <c r="G370" s="178">
        <v>42954</v>
      </c>
      <c r="H370" s="178">
        <f>+G370+1</f>
        <v>42955</v>
      </c>
      <c r="I370" s="178">
        <f>+H370+1</f>
        <v>42956</v>
      </c>
      <c r="J370" s="178">
        <f>+I370+1</f>
        <v>42957</v>
      </c>
      <c r="K370" s="247">
        <f>+J370+1</f>
        <v>42958</v>
      </c>
      <c r="L370" s="248" t="s">
        <v>87</v>
      </c>
      <c r="M370" s="249" t="s">
        <v>88</v>
      </c>
      <c r="N370" s="250" t="s">
        <v>89</v>
      </c>
      <c r="O370" s="251" t="s">
        <v>90</v>
      </c>
    </row>
    <row r="371" spans="2:15" x14ac:dyDescent="0.25">
      <c r="B371" s="7">
        <v>254849</v>
      </c>
      <c r="C371" s="252" t="s">
        <v>0</v>
      </c>
      <c r="D371" s="253">
        <v>0</v>
      </c>
      <c r="E371" s="253">
        <v>180</v>
      </c>
      <c r="F371" s="4"/>
      <c r="G371" s="52">
        <v>180</v>
      </c>
      <c r="H371" s="52"/>
      <c r="I371" s="52"/>
      <c r="J371" s="52"/>
      <c r="K371" s="254"/>
      <c r="L371" s="255">
        <f>SUM(F371:K371)</f>
        <v>180</v>
      </c>
      <c r="M371" s="256">
        <f>+SUM(D371:E371)-L371</f>
        <v>0</v>
      </c>
      <c r="N371" s="257" t="str">
        <f t="shared" ref="N371:N392" si="73">IF(L371=0,0,IFERROR(L371/D371,"REQ ADICIONAL"))</f>
        <v>REQ ADICIONAL</v>
      </c>
      <c r="O371" s="258">
        <f>IFERROR(L371/SUM(D371:E371),0)</f>
        <v>1</v>
      </c>
    </row>
    <row r="372" spans="2:15" x14ac:dyDescent="0.25">
      <c r="B372" s="7">
        <v>254851</v>
      </c>
      <c r="C372" s="252" t="s">
        <v>1</v>
      </c>
      <c r="D372" s="259">
        <v>180</v>
      </c>
      <c r="E372" s="259"/>
      <c r="F372" s="4"/>
      <c r="G372" s="52"/>
      <c r="H372" s="52">
        <v>180</v>
      </c>
      <c r="I372" s="52"/>
      <c r="J372" s="52"/>
      <c r="K372" s="254"/>
      <c r="L372" s="255">
        <f t="shared" ref="L372:L388" si="74">SUM(F372:K372)</f>
        <v>180</v>
      </c>
      <c r="M372" s="256">
        <f>+SUM(D372:E372)-L372</f>
        <v>0</v>
      </c>
      <c r="N372" s="257">
        <f t="shared" si="73"/>
        <v>1</v>
      </c>
      <c r="O372" s="258">
        <f t="shared" ref="O372:O391" si="75">IFERROR(L372/SUM(D372:E372),0)</f>
        <v>1</v>
      </c>
    </row>
    <row r="373" spans="2:15" x14ac:dyDescent="0.25">
      <c r="B373" s="7">
        <v>254853</v>
      </c>
      <c r="C373" s="252" t="s">
        <v>2</v>
      </c>
      <c r="D373" s="259">
        <v>0</v>
      </c>
      <c r="E373" s="259">
        <v>0</v>
      </c>
      <c r="F373" s="4"/>
      <c r="G373" s="52"/>
      <c r="H373" s="52"/>
      <c r="I373" s="52"/>
      <c r="J373" s="52"/>
      <c r="K373" s="254"/>
      <c r="L373" s="255">
        <f t="shared" si="74"/>
        <v>0</v>
      </c>
      <c r="M373" s="256">
        <f>+SUM(D373:E373)-L373</f>
        <v>0</v>
      </c>
      <c r="N373" s="257">
        <f t="shared" si="73"/>
        <v>0</v>
      </c>
      <c r="O373" s="258">
        <f t="shared" si="75"/>
        <v>0</v>
      </c>
    </row>
    <row r="374" spans="2:15" x14ac:dyDescent="0.25">
      <c r="B374" s="7">
        <v>254850</v>
      </c>
      <c r="C374" s="252" t="s">
        <v>3</v>
      </c>
      <c r="D374" s="259">
        <v>1200</v>
      </c>
      <c r="E374" s="259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4">
        <v>720</v>
      </c>
      <c r="L374" s="255">
        <f t="shared" si="74"/>
        <v>2400</v>
      </c>
      <c r="M374" s="256">
        <f>+SUM(D374:E374)-L374</f>
        <v>0</v>
      </c>
      <c r="N374" s="257">
        <f t="shared" si="73"/>
        <v>2</v>
      </c>
      <c r="O374" s="258">
        <f t="shared" si="75"/>
        <v>1</v>
      </c>
    </row>
    <row r="375" spans="2:15" x14ac:dyDescent="0.25">
      <c r="B375" s="18">
        <v>251385</v>
      </c>
      <c r="C375" s="252" t="s">
        <v>4</v>
      </c>
      <c r="D375" s="259">
        <v>1200</v>
      </c>
      <c r="E375" s="260"/>
      <c r="F375" s="4"/>
      <c r="G375" s="52"/>
      <c r="H375" s="52">
        <f>5*80</f>
        <v>400</v>
      </c>
      <c r="I375" s="52"/>
      <c r="J375" s="52"/>
      <c r="K375" s="254"/>
      <c r="L375" s="255">
        <f t="shared" si="74"/>
        <v>400</v>
      </c>
      <c r="M375" s="256">
        <f>+SUM(D375:E375)-L375</f>
        <v>800</v>
      </c>
      <c r="N375" s="257">
        <f t="shared" si="73"/>
        <v>0.33333333333333331</v>
      </c>
      <c r="O375" s="258">
        <f t="shared" si="75"/>
        <v>0.33333333333333331</v>
      </c>
    </row>
    <row r="376" spans="2:15" x14ac:dyDescent="0.25">
      <c r="B376" s="18">
        <v>251196</v>
      </c>
      <c r="C376" s="252" t="s">
        <v>5</v>
      </c>
      <c r="D376" s="259">
        <v>0</v>
      </c>
      <c r="E376" s="260">
        <v>80</v>
      </c>
      <c r="F376" s="4"/>
      <c r="G376" s="52"/>
      <c r="H376" s="52"/>
      <c r="I376" s="52"/>
      <c r="J376" s="52">
        <v>80</v>
      </c>
      <c r="K376" s="254"/>
      <c r="L376" s="255">
        <f t="shared" si="74"/>
        <v>80</v>
      </c>
      <c r="M376" s="256">
        <f t="shared" ref="M376:M392" si="76">+SUM(D376:E376)-L376</f>
        <v>0</v>
      </c>
      <c r="N376" s="257" t="str">
        <f t="shared" si="73"/>
        <v>REQ ADICIONAL</v>
      </c>
      <c r="O376" s="258">
        <f t="shared" si="75"/>
        <v>1</v>
      </c>
    </row>
    <row r="377" spans="2:15" x14ac:dyDescent="0.25">
      <c r="B377" s="18">
        <v>250524</v>
      </c>
      <c r="C377" s="252" t="s">
        <v>6</v>
      </c>
      <c r="D377" s="259">
        <v>400</v>
      </c>
      <c r="E377" s="260"/>
      <c r="F377" s="4"/>
      <c r="G377" s="52"/>
      <c r="H377" s="52">
        <f>5*80</f>
        <v>400</v>
      </c>
      <c r="I377" s="52"/>
      <c r="J377" s="52"/>
      <c r="K377" s="254"/>
      <c r="L377" s="255">
        <f t="shared" si="74"/>
        <v>400</v>
      </c>
      <c r="M377" s="256">
        <f t="shared" si="76"/>
        <v>0</v>
      </c>
      <c r="N377" s="257">
        <f t="shared" si="73"/>
        <v>1</v>
      </c>
      <c r="O377" s="258">
        <f t="shared" si="75"/>
        <v>1</v>
      </c>
    </row>
    <row r="378" spans="2:15" x14ac:dyDescent="0.25">
      <c r="B378" s="18">
        <v>252534</v>
      </c>
      <c r="C378" s="252" t="s">
        <v>7</v>
      </c>
      <c r="D378" s="259">
        <v>225</v>
      </c>
      <c r="E378" s="260"/>
      <c r="F378" s="4"/>
      <c r="G378" s="52"/>
      <c r="H378" s="52"/>
      <c r="I378" s="52"/>
      <c r="J378" s="52"/>
      <c r="K378" s="254"/>
      <c r="L378" s="255">
        <f t="shared" si="74"/>
        <v>0</v>
      </c>
      <c r="M378" s="256">
        <f t="shared" si="76"/>
        <v>225</v>
      </c>
      <c r="N378" s="257">
        <f t="shared" si="73"/>
        <v>0</v>
      </c>
      <c r="O378" s="258">
        <f t="shared" si="75"/>
        <v>0</v>
      </c>
    </row>
    <row r="379" spans="2:15" x14ac:dyDescent="0.25">
      <c r="B379" s="18">
        <v>251151</v>
      </c>
      <c r="C379" s="252" t="s">
        <v>8</v>
      </c>
      <c r="D379" s="259">
        <v>225</v>
      </c>
      <c r="E379" s="259"/>
      <c r="F379" s="4"/>
      <c r="G379" s="52"/>
      <c r="H379" s="52"/>
      <c r="I379" s="52"/>
      <c r="J379" s="52">
        <v>225</v>
      </c>
      <c r="K379" s="254"/>
      <c r="L379" s="255">
        <f t="shared" si="74"/>
        <v>225</v>
      </c>
      <c r="M379" s="256">
        <f t="shared" si="76"/>
        <v>0</v>
      </c>
      <c r="N379" s="257">
        <f t="shared" si="73"/>
        <v>1</v>
      </c>
      <c r="O379" s="258">
        <f t="shared" si="75"/>
        <v>1</v>
      </c>
    </row>
    <row r="380" spans="2:15" x14ac:dyDescent="0.25">
      <c r="B380" s="18">
        <v>254852</v>
      </c>
      <c r="C380" s="252" t="s">
        <v>17</v>
      </c>
      <c r="D380" s="259">
        <v>0</v>
      </c>
      <c r="E380" s="259">
        <v>225</v>
      </c>
      <c r="F380" s="4"/>
      <c r="G380" s="52"/>
      <c r="H380" s="52"/>
      <c r="I380" s="52"/>
      <c r="J380" s="52">
        <v>225</v>
      </c>
      <c r="K380" s="254"/>
      <c r="L380" s="255">
        <f t="shared" si="74"/>
        <v>225</v>
      </c>
      <c r="M380" s="256">
        <f t="shared" si="76"/>
        <v>0</v>
      </c>
      <c r="N380" s="257" t="str">
        <f t="shared" si="73"/>
        <v>REQ ADICIONAL</v>
      </c>
      <c r="O380" s="258">
        <f t="shared" si="75"/>
        <v>1</v>
      </c>
    </row>
    <row r="381" spans="2:15" x14ac:dyDescent="0.25">
      <c r="B381" s="7">
        <v>255430</v>
      </c>
      <c r="C381" s="252" t="s">
        <v>53</v>
      </c>
      <c r="D381" s="259">
        <v>0</v>
      </c>
      <c r="E381" s="260">
        <v>250</v>
      </c>
      <c r="F381" s="4"/>
      <c r="G381" s="52"/>
      <c r="H381" s="52"/>
      <c r="I381" s="52"/>
      <c r="J381" s="52">
        <v>250</v>
      </c>
      <c r="K381" s="254"/>
      <c r="L381" s="255">
        <f t="shared" si="74"/>
        <v>250</v>
      </c>
      <c r="M381" s="256">
        <f t="shared" si="76"/>
        <v>0</v>
      </c>
      <c r="N381" s="257" t="str">
        <f t="shared" si="73"/>
        <v>REQ ADICIONAL</v>
      </c>
      <c r="O381" s="258">
        <f t="shared" si="75"/>
        <v>1</v>
      </c>
    </row>
    <row r="382" spans="2:15" x14ac:dyDescent="0.25">
      <c r="B382" s="18">
        <v>254954</v>
      </c>
      <c r="C382" s="60" t="s">
        <v>33</v>
      </c>
      <c r="D382" s="259">
        <v>0</v>
      </c>
      <c r="E382" s="259">
        <v>180</v>
      </c>
      <c r="F382" s="4"/>
      <c r="G382" s="52"/>
      <c r="H382" s="52"/>
      <c r="I382" s="52">
        <v>180</v>
      </c>
      <c r="J382" s="52"/>
      <c r="K382" s="254"/>
      <c r="L382" s="255">
        <f t="shared" si="74"/>
        <v>180</v>
      </c>
      <c r="M382" s="256">
        <f t="shared" si="76"/>
        <v>0</v>
      </c>
      <c r="N382" s="257" t="str">
        <f t="shared" si="73"/>
        <v>REQ ADICIONAL</v>
      </c>
      <c r="O382" s="258">
        <f t="shared" si="75"/>
        <v>1</v>
      </c>
    </row>
    <row r="383" spans="2:15" x14ac:dyDescent="0.25">
      <c r="B383" s="7">
        <v>254988</v>
      </c>
      <c r="C383" s="252" t="s">
        <v>54</v>
      </c>
      <c r="D383" s="259">
        <v>675</v>
      </c>
      <c r="E383" s="259"/>
      <c r="F383" s="4"/>
      <c r="G383" s="52"/>
      <c r="H383" s="52"/>
      <c r="I383" s="52"/>
      <c r="J383" s="52"/>
      <c r="K383" s="254"/>
      <c r="L383" s="255">
        <f t="shared" si="74"/>
        <v>0</v>
      </c>
      <c r="M383" s="256">
        <f t="shared" si="76"/>
        <v>675</v>
      </c>
      <c r="N383" s="257">
        <f t="shared" si="73"/>
        <v>0</v>
      </c>
      <c r="O383" s="261">
        <f t="shared" si="75"/>
        <v>0</v>
      </c>
    </row>
    <row r="384" spans="2:15" x14ac:dyDescent="0.25">
      <c r="B384" s="18">
        <v>254951</v>
      </c>
      <c r="C384" s="252" t="s">
        <v>59</v>
      </c>
      <c r="D384" s="259">
        <v>120</v>
      </c>
      <c r="E384" s="259">
        <v>120</v>
      </c>
      <c r="F384" s="262">
        <v>120</v>
      </c>
      <c r="G384" s="52">
        <v>120</v>
      </c>
      <c r="H384" s="52"/>
      <c r="I384" s="52"/>
      <c r="J384" s="52"/>
      <c r="K384" s="254"/>
      <c r="L384" s="255">
        <f t="shared" si="74"/>
        <v>240</v>
      </c>
      <c r="M384" s="256">
        <f t="shared" si="76"/>
        <v>0</v>
      </c>
      <c r="N384" s="257">
        <f t="shared" si="73"/>
        <v>2</v>
      </c>
      <c r="O384" s="261">
        <f>IFERROR(L384/SUM(D384:E384),0)</f>
        <v>1</v>
      </c>
    </row>
    <row r="385" spans="2:15" x14ac:dyDescent="0.25">
      <c r="B385" s="18">
        <v>254950</v>
      </c>
      <c r="C385" s="252" t="s">
        <v>32</v>
      </c>
      <c r="D385" s="259">
        <v>0</v>
      </c>
      <c r="E385" s="259">
        <v>0</v>
      </c>
      <c r="F385" s="263"/>
      <c r="G385" s="52"/>
      <c r="H385" s="52"/>
      <c r="I385" s="52"/>
      <c r="J385" s="52"/>
      <c r="K385" s="254"/>
      <c r="L385" s="255">
        <f t="shared" si="74"/>
        <v>0</v>
      </c>
      <c r="M385" s="256">
        <f t="shared" si="76"/>
        <v>0</v>
      </c>
      <c r="N385" s="257">
        <f t="shared" si="73"/>
        <v>0</v>
      </c>
      <c r="O385" s="261">
        <f t="shared" si="75"/>
        <v>0</v>
      </c>
    </row>
    <row r="386" spans="2:15" x14ac:dyDescent="0.25">
      <c r="B386" s="188">
        <v>254963</v>
      </c>
      <c r="C386" s="252" t="s">
        <v>27</v>
      </c>
      <c r="D386" s="259">
        <v>0</v>
      </c>
      <c r="E386" s="260">
        <v>0</v>
      </c>
      <c r="F386" s="263"/>
      <c r="G386" s="52"/>
      <c r="H386" s="52"/>
      <c r="I386" s="52"/>
      <c r="J386" s="52"/>
      <c r="K386" s="254"/>
      <c r="L386" s="255">
        <f t="shared" si="74"/>
        <v>0</v>
      </c>
      <c r="M386" s="256">
        <f t="shared" si="76"/>
        <v>0</v>
      </c>
      <c r="N386" s="257">
        <f t="shared" si="73"/>
        <v>0</v>
      </c>
      <c r="O386" s="261">
        <f t="shared" si="75"/>
        <v>0</v>
      </c>
    </row>
    <row r="387" spans="2:15" x14ac:dyDescent="0.25">
      <c r="B387" s="7">
        <v>255382</v>
      </c>
      <c r="C387" s="252" t="s">
        <v>56</v>
      </c>
      <c r="D387" s="259">
        <v>0</v>
      </c>
      <c r="E387" s="260">
        <v>0</v>
      </c>
      <c r="F387" s="263"/>
      <c r="G387" s="52"/>
      <c r="H387" s="52"/>
      <c r="I387" s="52"/>
      <c r="J387" s="52"/>
      <c r="K387" s="254"/>
      <c r="L387" s="255">
        <f t="shared" si="74"/>
        <v>0</v>
      </c>
      <c r="M387" s="256">
        <f t="shared" si="76"/>
        <v>0</v>
      </c>
      <c r="N387" s="257">
        <f t="shared" si="73"/>
        <v>0</v>
      </c>
      <c r="O387" s="261">
        <f t="shared" si="75"/>
        <v>0</v>
      </c>
    </row>
    <row r="388" spans="2:15" x14ac:dyDescent="0.25">
      <c r="B388" s="18">
        <v>251632</v>
      </c>
      <c r="C388" s="60" t="s">
        <v>51</v>
      </c>
      <c r="D388" s="259">
        <v>0</v>
      </c>
      <c r="E388" s="259">
        <v>0</v>
      </c>
      <c r="F388" s="263"/>
      <c r="G388" s="52"/>
      <c r="H388" s="52"/>
      <c r="I388" s="52"/>
      <c r="J388" s="52"/>
      <c r="K388" s="254"/>
      <c r="L388" s="255">
        <f t="shared" si="74"/>
        <v>0</v>
      </c>
      <c r="M388" s="256">
        <f t="shared" si="76"/>
        <v>0</v>
      </c>
      <c r="N388" s="257">
        <f t="shared" si="73"/>
        <v>0</v>
      </c>
      <c r="O388" s="261">
        <f t="shared" si="75"/>
        <v>0</v>
      </c>
    </row>
    <row r="389" spans="2:15" x14ac:dyDescent="0.25">
      <c r="B389" s="7">
        <v>251406</v>
      </c>
      <c r="C389" s="252" t="s">
        <v>42</v>
      </c>
      <c r="D389" s="253">
        <v>0</v>
      </c>
      <c r="E389" s="253">
        <v>0</v>
      </c>
      <c r="F389" s="263"/>
      <c r="G389" s="52"/>
      <c r="H389" s="52"/>
      <c r="I389" s="52"/>
      <c r="J389" s="52"/>
      <c r="K389" s="254"/>
      <c r="L389" s="255">
        <f>SUM(F389:K389)</f>
        <v>0</v>
      </c>
      <c r="M389" s="256">
        <f t="shared" si="76"/>
        <v>0</v>
      </c>
      <c r="N389" s="257">
        <f t="shared" si="73"/>
        <v>0</v>
      </c>
      <c r="O389" s="261">
        <f t="shared" si="75"/>
        <v>0</v>
      </c>
    </row>
    <row r="390" spans="2:15" x14ac:dyDescent="0.25">
      <c r="B390" s="188">
        <v>255349</v>
      </c>
      <c r="C390" s="252" t="s">
        <v>57</v>
      </c>
      <c r="D390" s="253">
        <v>225</v>
      </c>
      <c r="E390" s="253"/>
      <c r="F390" s="263"/>
      <c r="G390" s="52"/>
      <c r="H390" s="52"/>
      <c r="I390" s="52"/>
      <c r="J390" s="52"/>
      <c r="K390" s="254"/>
      <c r="L390" s="255">
        <f>SUM(F390:K390)</f>
        <v>0</v>
      </c>
      <c r="M390" s="256">
        <f t="shared" si="76"/>
        <v>225</v>
      </c>
      <c r="N390" s="257">
        <f t="shared" si="73"/>
        <v>0</v>
      </c>
      <c r="O390" s="261">
        <f t="shared" si="75"/>
        <v>0</v>
      </c>
    </row>
    <row r="391" spans="2:15" x14ac:dyDescent="0.25">
      <c r="B391" s="7">
        <v>255362</v>
      </c>
      <c r="C391" s="252" t="s">
        <v>58</v>
      </c>
      <c r="D391" s="253">
        <v>480</v>
      </c>
      <c r="E391" s="253"/>
      <c r="F391" s="263">
        <f>3*80</f>
        <v>240</v>
      </c>
      <c r="G391" s="3"/>
      <c r="H391" s="52"/>
      <c r="I391" s="52"/>
      <c r="J391" s="52"/>
      <c r="K391" s="254"/>
      <c r="L391" s="255">
        <f>SUM(F391:K391)</f>
        <v>240</v>
      </c>
      <c r="M391" s="256">
        <f t="shared" si="76"/>
        <v>240</v>
      </c>
      <c r="N391" s="257">
        <f t="shared" si="73"/>
        <v>0.5</v>
      </c>
      <c r="O391" s="261">
        <f t="shared" si="75"/>
        <v>0.5</v>
      </c>
    </row>
    <row r="392" spans="2:15" ht="15.75" thickBot="1" x14ac:dyDescent="0.3">
      <c r="B392" s="264">
        <v>255429</v>
      </c>
      <c r="C392" s="62" t="s">
        <v>52</v>
      </c>
      <c r="D392" s="265">
        <v>0</v>
      </c>
      <c r="E392" s="265">
        <v>250</v>
      </c>
      <c r="F392" s="266"/>
      <c r="G392" s="33"/>
      <c r="H392" s="33"/>
      <c r="I392" s="57">
        <v>250</v>
      </c>
      <c r="J392" s="33"/>
      <c r="K392" s="51"/>
      <c r="L392" s="267">
        <f>SUM(F392:K392)</f>
        <v>250</v>
      </c>
      <c r="M392" s="268">
        <f t="shared" si="76"/>
        <v>0</v>
      </c>
      <c r="N392" s="269" t="str">
        <f t="shared" si="73"/>
        <v>REQ ADICIONAL</v>
      </c>
      <c r="O392" s="270">
        <f>IFERROR(L392/SUM(D392:E392),0)</f>
        <v>1</v>
      </c>
    </row>
    <row r="393" spans="2:15" ht="16.5" thickBot="1" x14ac:dyDescent="0.3">
      <c r="B393" s="682" t="s">
        <v>87</v>
      </c>
      <c r="C393" s="683"/>
      <c r="D393" s="271">
        <f>SUM(D371:D392)</f>
        <v>4930</v>
      </c>
      <c r="E393" s="272">
        <f t="shared" ref="E393:M393" si="77">SUM(E371:E392)</f>
        <v>2485</v>
      </c>
      <c r="F393" s="273">
        <f t="shared" si="77"/>
        <v>360</v>
      </c>
      <c r="G393" s="157">
        <f t="shared" si="77"/>
        <v>900</v>
      </c>
      <c r="H393" s="157">
        <f t="shared" si="77"/>
        <v>1100</v>
      </c>
      <c r="I393" s="157">
        <f t="shared" si="77"/>
        <v>430</v>
      </c>
      <c r="J393" s="157">
        <f t="shared" si="77"/>
        <v>1740</v>
      </c>
      <c r="K393" s="157">
        <f t="shared" si="77"/>
        <v>720</v>
      </c>
      <c r="L393" s="155">
        <f t="shared" si="77"/>
        <v>5250</v>
      </c>
      <c r="M393" s="274">
        <f t="shared" si="77"/>
        <v>2165</v>
      </c>
      <c r="N393" s="275">
        <f>L393/D393</f>
        <v>1.0649087221095335</v>
      </c>
      <c r="O393" s="276">
        <f>+L393/SUM(D393:E393)</f>
        <v>0.70802427511800403</v>
      </c>
    </row>
    <row r="394" spans="2:15" ht="15.75" thickBot="1" x14ac:dyDescent="0.3"/>
    <row r="395" spans="2:15" ht="16.5" thickBot="1" x14ac:dyDescent="0.3">
      <c r="B395" s="684" t="s">
        <v>104</v>
      </c>
      <c r="C395" s="685"/>
      <c r="D395" s="685"/>
      <c r="E395" s="685"/>
      <c r="F395" s="685"/>
      <c r="G395" s="685"/>
      <c r="H395" s="685"/>
      <c r="I395" s="685"/>
      <c r="J395" s="685"/>
      <c r="K395" s="685"/>
      <c r="L395" s="685"/>
      <c r="M395" s="685"/>
      <c r="N395" s="685"/>
      <c r="O395" s="686"/>
    </row>
    <row r="396" spans="2:15" ht="30" x14ac:dyDescent="0.25">
      <c r="B396" s="174" t="s">
        <v>34</v>
      </c>
      <c r="C396" s="243" t="s">
        <v>9</v>
      </c>
      <c r="D396" s="244" t="s">
        <v>85</v>
      </c>
      <c r="E396" s="245" t="s">
        <v>86</v>
      </c>
      <c r="F396" s="246">
        <v>42959</v>
      </c>
      <c r="G396" s="178">
        <f>+F396+2</f>
        <v>42961</v>
      </c>
      <c r="H396" s="178">
        <f>+G396+1</f>
        <v>42962</v>
      </c>
      <c r="I396" s="178">
        <f>+H396+1</f>
        <v>42963</v>
      </c>
      <c r="J396" s="178">
        <f>+I396+1</f>
        <v>42964</v>
      </c>
      <c r="K396" s="247">
        <f>+J396+1</f>
        <v>42965</v>
      </c>
      <c r="L396" s="248" t="s">
        <v>87</v>
      </c>
      <c r="M396" s="249" t="s">
        <v>88</v>
      </c>
      <c r="N396" s="250" t="s">
        <v>89</v>
      </c>
      <c r="O396" s="251" t="s">
        <v>90</v>
      </c>
    </row>
    <row r="397" spans="2:15" x14ac:dyDescent="0.25">
      <c r="B397" s="7">
        <v>254849</v>
      </c>
      <c r="C397" s="252" t="s">
        <v>0</v>
      </c>
      <c r="D397" s="253">
        <v>0</v>
      </c>
      <c r="E397" s="253">
        <v>180</v>
      </c>
      <c r="F397" s="262"/>
      <c r="G397" s="52"/>
      <c r="H397" s="52"/>
      <c r="I397" s="52"/>
      <c r="J397" s="52"/>
      <c r="K397" s="254">
        <v>180</v>
      </c>
      <c r="L397" s="255">
        <f>SUM(F397:K397)</f>
        <v>180</v>
      </c>
      <c r="M397" s="256">
        <f>+SUM(D397:E397)-L397</f>
        <v>0</v>
      </c>
      <c r="N397" s="257" t="str">
        <f t="shared" ref="N397:N418" si="78">IF(L397=0,0,IFERROR(L397/D397,"REQ ADICIONAL"))</f>
        <v>REQ ADICIONAL</v>
      </c>
      <c r="O397" s="258">
        <f>IFERROR(L397/SUM(D397:E397),0)</f>
        <v>1</v>
      </c>
    </row>
    <row r="398" spans="2:15" x14ac:dyDescent="0.25">
      <c r="B398" s="7">
        <v>254851</v>
      </c>
      <c r="C398" s="252" t="s">
        <v>1</v>
      </c>
      <c r="D398" s="259">
        <v>0</v>
      </c>
      <c r="E398" s="259">
        <v>180</v>
      </c>
      <c r="F398" s="262"/>
      <c r="G398" s="52"/>
      <c r="H398" s="52"/>
      <c r="I398" s="52"/>
      <c r="J398" s="52"/>
      <c r="K398" s="254">
        <v>180</v>
      </c>
      <c r="L398" s="255">
        <f t="shared" ref="L398:L418" si="79">SUM(F398:K398)</f>
        <v>180</v>
      </c>
      <c r="M398" s="256">
        <f>+SUM(D398:E398)-L398</f>
        <v>0</v>
      </c>
      <c r="N398" s="257" t="str">
        <f t="shared" si="78"/>
        <v>REQ ADICIONAL</v>
      </c>
      <c r="O398" s="258">
        <f t="shared" ref="O398:O409" si="80">IFERROR(L398/SUM(D398:E398),0)</f>
        <v>1</v>
      </c>
    </row>
    <row r="399" spans="2:15" x14ac:dyDescent="0.25">
      <c r="B399" s="7">
        <v>254853</v>
      </c>
      <c r="C399" s="252" t="s">
        <v>2</v>
      </c>
      <c r="D399" s="259">
        <v>0</v>
      </c>
      <c r="E399" s="259">
        <v>0</v>
      </c>
      <c r="F399" s="262"/>
      <c r="G399" s="52"/>
      <c r="H399" s="52"/>
      <c r="I399" s="52"/>
      <c r="J399" s="52"/>
      <c r="K399" s="254"/>
      <c r="L399" s="255">
        <f t="shared" si="79"/>
        <v>0</v>
      </c>
      <c r="M399" s="256">
        <f>+SUM(D399:E399)-L399</f>
        <v>0</v>
      </c>
      <c r="N399" s="257">
        <f t="shared" si="78"/>
        <v>0</v>
      </c>
      <c r="O399" s="258">
        <f t="shared" si="80"/>
        <v>0</v>
      </c>
    </row>
    <row r="400" spans="2:15" x14ac:dyDescent="0.25">
      <c r="B400" s="277">
        <v>254850</v>
      </c>
      <c r="C400" s="252" t="s">
        <v>3</v>
      </c>
      <c r="D400" s="259">
        <v>2400</v>
      </c>
      <c r="E400" s="259">
        <v>0</v>
      </c>
      <c r="F400" s="262">
        <f>5*60</f>
        <v>300</v>
      </c>
      <c r="G400" s="52"/>
      <c r="H400" s="52"/>
      <c r="I400" s="52"/>
      <c r="J400" s="52">
        <f>60*5</f>
        <v>300</v>
      </c>
      <c r="K400" s="254"/>
      <c r="L400" s="255">
        <f t="shared" si="79"/>
        <v>600</v>
      </c>
      <c r="M400" s="256">
        <f>+SUM(D400:E400)-L400</f>
        <v>1800</v>
      </c>
      <c r="N400" s="257">
        <f t="shared" si="78"/>
        <v>0.25</v>
      </c>
      <c r="O400" s="258">
        <f t="shared" si="80"/>
        <v>0.25</v>
      </c>
    </row>
    <row r="401" spans="2:15" x14ac:dyDescent="0.25">
      <c r="B401" s="278">
        <v>251385</v>
      </c>
      <c r="C401" s="252" t="s">
        <v>4</v>
      </c>
      <c r="D401" s="259">
        <v>0</v>
      </c>
      <c r="E401" s="260">
        <f>160+480+(19*80)</f>
        <v>2160</v>
      </c>
      <c r="F401" s="262"/>
      <c r="G401" s="52"/>
      <c r="H401" s="52"/>
      <c r="I401" s="52">
        <v>160</v>
      </c>
      <c r="J401" s="52">
        <f>6*80</f>
        <v>480</v>
      </c>
      <c r="K401" s="254">
        <f>19*80</f>
        <v>1520</v>
      </c>
      <c r="L401" s="255">
        <f t="shared" si="79"/>
        <v>2160</v>
      </c>
      <c r="M401" s="256">
        <f>+SUM(D401:E401)-L401</f>
        <v>0</v>
      </c>
      <c r="N401" s="257" t="str">
        <f t="shared" si="78"/>
        <v>REQ ADICIONAL</v>
      </c>
      <c r="O401" s="258">
        <f t="shared" si="80"/>
        <v>1</v>
      </c>
    </row>
    <row r="402" spans="2:15" x14ac:dyDescent="0.25">
      <c r="B402" s="278">
        <v>251196</v>
      </c>
      <c r="C402" s="252" t="s">
        <v>5</v>
      </c>
      <c r="D402" s="259">
        <v>0</v>
      </c>
      <c r="E402" s="260">
        <f>560+400</f>
        <v>960</v>
      </c>
      <c r="F402" s="262">
        <v>80</v>
      </c>
      <c r="G402" s="52"/>
      <c r="H402" s="52"/>
      <c r="I402" s="52">
        <f>6*80</f>
        <v>480</v>
      </c>
      <c r="J402" s="52">
        <f>5*80</f>
        <v>400</v>
      </c>
      <c r="K402" s="254"/>
      <c r="L402" s="255">
        <f t="shared" si="79"/>
        <v>960</v>
      </c>
      <c r="M402" s="256">
        <f t="shared" ref="M402:M418" si="81">+SUM(D402:E402)-L402</f>
        <v>0</v>
      </c>
      <c r="N402" s="257" t="str">
        <f t="shared" si="78"/>
        <v>REQ ADICIONAL</v>
      </c>
      <c r="O402" s="258">
        <f t="shared" si="80"/>
        <v>1</v>
      </c>
    </row>
    <row r="403" spans="2:15" x14ac:dyDescent="0.25">
      <c r="B403" s="278">
        <v>250524</v>
      </c>
      <c r="C403" s="252" t="s">
        <v>6</v>
      </c>
      <c r="D403" s="259">
        <v>0</v>
      </c>
      <c r="E403" s="260">
        <v>0</v>
      </c>
      <c r="F403" s="262"/>
      <c r="G403" s="52"/>
      <c r="H403" s="52"/>
      <c r="I403" s="52"/>
      <c r="J403" s="52"/>
      <c r="K403" s="254"/>
      <c r="L403" s="255">
        <f t="shared" si="79"/>
        <v>0</v>
      </c>
      <c r="M403" s="256">
        <f t="shared" si="81"/>
        <v>0</v>
      </c>
      <c r="N403" s="257">
        <f t="shared" si="78"/>
        <v>0</v>
      </c>
      <c r="O403" s="258">
        <f t="shared" si="80"/>
        <v>0</v>
      </c>
    </row>
    <row r="404" spans="2:15" x14ac:dyDescent="0.25">
      <c r="B404" s="278">
        <v>252534</v>
      </c>
      <c r="C404" s="252" t="s">
        <v>7</v>
      </c>
      <c r="D404" s="259">
        <v>900</v>
      </c>
      <c r="E404" s="260">
        <v>0</v>
      </c>
      <c r="F404" s="262">
        <v>450</v>
      </c>
      <c r="G404" s="52">
        <v>225</v>
      </c>
      <c r="H404" s="52"/>
      <c r="I404" s="52"/>
      <c r="J404" s="52"/>
      <c r="K404" s="254"/>
      <c r="L404" s="255">
        <f t="shared" si="79"/>
        <v>675</v>
      </c>
      <c r="M404" s="256">
        <f t="shared" si="81"/>
        <v>225</v>
      </c>
      <c r="N404" s="257">
        <f t="shared" si="78"/>
        <v>0.75</v>
      </c>
      <c r="O404" s="258">
        <f t="shared" si="80"/>
        <v>0.75</v>
      </c>
    </row>
    <row r="405" spans="2:15" x14ac:dyDescent="0.25">
      <c r="B405" s="278">
        <v>251151</v>
      </c>
      <c r="C405" s="252" t="s">
        <v>8</v>
      </c>
      <c r="D405" s="259">
        <v>225</v>
      </c>
      <c r="E405" s="259">
        <f>225+225</f>
        <v>450</v>
      </c>
      <c r="F405" s="262">
        <v>225</v>
      </c>
      <c r="G405" s="52"/>
      <c r="H405" s="52"/>
      <c r="I405" s="52">
        <v>225</v>
      </c>
      <c r="J405" s="52">
        <v>225</v>
      </c>
      <c r="K405" s="254"/>
      <c r="L405" s="255">
        <f t="shared" si="79"/>
        <v>675</v>
      </c>
      <c r="M405" s="256">
        <f t="shared" si="81"/>
        <v>0</v>
      </c>
      <c r="N405" s="257">
        <f t="shared" si="78"/>
        <v>3</v>
      </c>
      <c r="O405" s="258">
        <f t="shared" si="80"/>
        <v>1</v>
      </c>
    </row>
    <row r="406" spans="2:15" x14ac:dyDescent="0.25">
      <c r="B406" s="278">
        <v>254852</v>
      </c>
      <c r="C406" s="252" t="s">
        <v>17</v>
      </c>
      <c r="D406" s="259">
        <v>225</v>
      </c>
      <c r="E406" s="259">
        <f>225</f>
        <v>225</v>
      </c>
      <c r="F406" s="262"/>
      <c r="G406" s="52">
        <v>225</v>
      </c>
      <c r="H406" s="52"/>
      <c r="I406" s="52"/>
      <c r="J406" s="52">
        <v>225</v>
      </c>
      <c r="K406" s="254"/>
      <c r="L406" s="255">
        <f t="shared" si="79"/>
        <v>450</v>
      </c>
      <c r="M406" s="256">
        <f t="shared" si="81"/>
        <v>0</v>
      </c>
      <c r="N406" s="257">
        <f t="shared" si="78"/>
        <v>2</v>
      </c>
      <c r="O406" s="258">
        <f t="shared" si="80"/>
        <v>1</v>
      </c>
    </row>
    <row r="407" spans="2:15" x14ac:dyDescent="0.25">
      <c r="B407" s="277">
        <v>255430</v>
      </c>
      <c r="C407" s="252" t="s">
        <v>53</v>
      </c>
      <c r="D407" s="259">
        <v>250</v>
      </c>
      <c r="E407" s="260">
        <v>0</v>
      </c>
      <c r="F407" s="262"/>
      <c r="G407" s="52">
        <v>250</v>
      </c>
      <c r="H407" s="52"/>
      <c r="I407" s="52"/>
      <c r="J407" s="52"/>
      <c r="K407" s="254"/>
      <c r="L407" s="255">
        <f t="shared" si="79"/>
        <v>250</v>
      </c>
      <c r="M407" s="256">
        <f t="shared" si="81"/>
        <v>0</v>
      </c>
      <c r="N407" s="257">
        <f t="shared" si="78"/>
        <v>1</v>
      </c>
      <c r="O407" s="258">
        <f t="shared" si="80"/>
        <v>1</v>
      </c>
    </row>
    <row r="408" spans="2:15" x14ac:dyDescent="0.25">
      <c r="B408" s="278">
        <v>254954</v>
      </c>
      <c r="C408" s="60" t="s">
        <v>33</v>
      </c>
      <c r="D408" s="259">
        <v>0</v>
      </c>
      <c r="E408" s="259">
        <v>180</v>
      </c>
      <c r="F408" s="262"/>
      <c r="G408" s="52"/>
      <c r="H408" s="52"/>
      <c r="I408" s="52"/>
      <c r="J408" s="52"/>
      <c r="K408" s="254">
        <v>180</v>
      </c>
      <c r="L408" s="255">
        <f t="shared" si="79"/>
        <v>180</v>
      </c>
      <c r="M408" s="256">
        <f t="shared" si="81"/>
        <v>0</v>
      </c>
      <c r="N408" s="257" t="str">
        <f t="shared" si="78"/>
        <v>REQ ADICIONAL</v>
      </c>
      <c r="O408" s="258">
        <f t="shared" si="80"/>
        <v>1</v>
      </c>
    </row>
    <row r="409" spans="2:15" x14ac:dyDescent="0.25">
      <c r="B409" s="277">
        <v>254988</v>
      </c>
      <c r="C409" s="252" t="s">
        <v>54</v>
      </c>
      <c r="D409" s="259">
        <v>0</v>
      </c>
      <c r="E409" s="259">
        <v>450</v>
      </c>
      <c r="F409" s="262"/>
      <c r="G409" s="52"/>
      <c r="H409" s="52">
        <v>225</v>
      </c>
      <c r="I409" s="52"/>
      <c r="J409" s="52"/>
      <c r="K409" s="254">
        <v>225</v>
      </c>
      <c r="L409" s="255">
        <f t="shared" si="79"/>
        <v>450</v>
      </c>
      <c r="M409" s="256">
        <f t="shared" si="81"/>
        <v>0</v>
      </c>
      <c r="N409" s="257" t="str">
        <f t="shared" si="78"/>
        <v>REQ ADICIONAL</v>
      </c>
      <c r="O409" s="261">
        <f t="shared" si="80"/>
        <v>1</v>
      </c>
    </row>
    <row r="410" spans="2:15" x14ac:dyDescent="0.25">
      <c r="B410" s="278">
        <v>254951</v>
      </c>
      <c r="C410" s="252" t="s">
        <v>59</v>
      </c>
      <c r="D410" s="259">
        <v>120</v>
      </c>
      <c r="E410" s="259">
        <v>0</v>
      </c>
      <c r="F410" s="262"/>
      <c r="G410" s="52"/>
      <c r="H410" s="52"/>
      <c r="I410" s="52"/>
      <c r="J410" s="52"/>
      <c r="K410" s="254"/>
      <c r="L410" s="255">
        <f t="shared" si="79"/>
        <v>0</v>
      </c>
      <c r="M410" s="256">
        <f t="shared" si="81"/>
        <v>120</v>
      </c>
      <c r="N410" s="257">
        <f t="shared" si="78"/>
        <v>0</v>
      </c>
      <c r="O410" s="261">
        <f>IFERROR(L410/SUM(D410:E410),0)</f>
        <v>0</v>
      </c>
    </row>
    <row r="411" spans="2:15" x14ac:dyDescent="0.25">
      <c r="B411" s="278">
        <v>254950</v>
      </c>
      <c r="C411" s="252" t="s">
        <v>32</v>
      </c>
      <c r="D411" s="259">
        <v>0</v>
      </c>
      <c r="E411" s="259">
        <v>0</v>
      </c>
      <c r="F411" s="262"/>
      <c r="G411" s="52"/>
      <c r="H411" s="52"/>
      <c r="I411" s="52"/>
      <c r="J411" s="52"/>
      <c r="K411" s="254"/>
      <c r="L411" s="255">
        <f t="shared" si="79"/>
        <v>0</v>
      </c>
      <c r="M411" s="256">
        <f t="shared" si="81"/>
        <v>0</v>
      </c>
      <c r="N411" s="257">
        <f t="shared" si="78"/>
        <v>0</v>
      </c>
      <c r="O411" s="261">
        <f t="shared" ref="O411:O417" si="82">IFERROR(L411/SUM(D411:E411),0)</f>
        <v>0</v>
      </c>
    </row>
    <row r="412" spans="2:15" x14ac:dyDescent="0.25">
      <c r="B412" s="279">
        <v>254963</v>
      </c>
      <c r="C412" s="252" t="s">
        <v>27</v>
      </c>
      <c r="D412" s="259">
        <v>0</v>
      </c>
      <c r="E412" s="260">
        <v>0</v>
      </c>
      <c r="F412" s="262"/>
      <c r="G412" s="52"/>
      <c r="H412" s="52"/>
      <c r="I412" s="52"/>
      <c r="J412" s="52"/>
      <c r="K412" s="254"/>
      <c r="L412" s="255">
        <f t="shared" si="79"/>
        <v>0</v>
      </c>
      <c r="M412" s="256">
        <f t="shared" si="81"/>
        <v>0</v>
      </c>
      <c r="N412" s="257">
        <f t="shared" si="78"/>
        <v>0</v>
      </c>
      <c r="O412" s="261">
        <f t="shared" si="82"/>
        <v>0</v>
      </c>
    </row>
    <row r="413" spans="2:15" x14ac:dyDescent="0.25">
      <c r="B413" s="277">
        <v>255382</v>
      </c>
      <c r="C413" s="252" t="s">
        <v>56</v>
      </c>
      <c r="D413" s="259">
        <v>0</v>
      </c>
      <c r="E413" s="260">
        <v>0</v>
      </c>
      <c r="F413" s="262"/>
      <c r="G413" s="52"/>
      <c r="H413" s="52"/>
      <c r="I413" s="52"/>
      <c r="J413" s="52"/>
      <c r="K413" s="254"/>
      <c r="L413" s="255">
        <f t="shared" si="79"/>
        <v>0</v>
      </c>
      <c r="M413" s="256">
        <f t="shared" si="81"/>
        <v>0</v>
      </c>
      <c r="N413" s="257">
        <f t="shared" si="78"/>
        <v>0</v>
      </c>
      <c r="O413" s="261">
        <f t="shared" si="82"/>
        <v>0</v>
      </c>
    </row>
    <row r="414" spans="2:15" x14ac:dyDescent="0.25">
      <c r="B414" s="278">
        <v>251632</v>
      </c>
      <c r="C414" s="60" t="s">
        <v>51</v>
      </c>
      <c r="D414" s="259">
        <v>0</v>
      </c>
      <c r="E414" s="259">
        <v>0</v>
      </c>
      <c r="F414" s="262"/>
      <c r="G414" s="52"/>
      <c r="H414" s="52"/>
      <c r="I414" s="52"/>
      <c r="J414" s="52"/>
      <c r="K414" s="254"/>
      <c r="L414" s="255">
        <f t="shared" si="79"/>
        <v>0</v>
      </c>
      <c r="M414" s="256">
        <f t="shared" si="81"/>
        <v>0</v>
      </c>
      <c r="N414" s="257">
        <f t="shared" si="78"/>
        <v>0</v>
      </c>
      <c r="O414" s="261">
        <f t="shared" si="82"/>
        <v>0</v>
      </c>
    </row>
    <row r="415" spans="2:15" x14ac:dyDescent="0.25">
      <c r="B415" s="277">
        <v>251406</v>
      </c>
      <c r="C415" s="252" t="s">
        <v>42</v>
      </c>
      <c r="D415" s="253">
        <v>180</v>
      </c>
      <c r="E415" s="253">
        <v>180</v>
      </c>
      <c r="F415" s="262"/>
      <c r="G415" s="52"/>
      <c r="H415" s="52"/>
      <c r="I415" s="52"/>
      <c r="J415" s="52">
        <f>2*180</f>
        <v>360</v>
      </c>
      <c r="K415" s="254"/>
      <c r="L415" s="255">
        <f t="shared" si="79"/>
        <v>360</v>
      </c>
      <c r="M415" s="256">
        <f t="shared" si="81"/>
        <v>0</v>
      </c>
      <c r="N415" s="257">
        <f t="shared" si="78"/>
        <v>2</v>
      </c>
      <c r="O415" s="261">
        <f t="shared" si="82"/>
        <v>1</v>
      </c>
    </row>
    <row r="416" spans="2:15" x14ac:dyDescent="0.25">
      <c r="B416" s="279">
        <v>255349</v>
      </c>
      <c r="C416" s="252" t="s">
        <v>57</v>
      </c>
      <c r="D416" s="253">
        <v>0</v>
      </c>
      <c r="E416" s="253">
        <v>0</v>
      </c>
      <c r="F416" s="262"/>
      <c r="G416" s="52"/>
      <c r="H416" s="52"/>
      <c r="I416" s="52"/>
      <c r="J416" s="52"/>
      <c r="K416" s="254"/>
      <c r="L416" s="255">
        <f t="shared" si="79"/>
        <v>0</v>
      </c>
      <c r="M416" s="256">
        <f t="shared" si="81"/>
        <v>0</v>
      </c>
      <c r="N416" s="257">
        <f t="shared" si="78"/>
        <v>0</v>
      </c>
      <c r="O416" s="261">
        <f t="shared" si="82"/>
        <v>0</v>
      </c>
    </row>
    <row r="417" spans="2:15" x14ac:dyDescent="0.25">
      <c r="B417" s="277">
        <v>255362</v>
      </c>
      <c r="C417" s="252" t="s">
        <v>58</v>
      </c>
      <c r="D417" s="253">
        <v>240</v>
      </c>
      <c r="E417" s="253"/>
      <c r="F417" s="262"/>
      <c r="G417" s="3"/>
      <c r="H417" s="52"/>
      <c r="I417" s="52"/>
      <c r="J417" s="52"/>
      <c r="K417" s="254"/>
      <c r="L417" s="255">
        <f t="shared" si="79"/>
        <v>0</v>
      </c>
      <c r="M417" s="256">
        <f t="shared" si="81"/>
        <v>240</v>
      </c>
      <c r="N417" s="257">
        <f t="shared" si="78"/>
        <v>0</v>
      </c>
      <c r="O417" s="261">
        <f t="shared" si="82"/>
        <v>0</v>
      </c>
    </row>
    <row r="418" spans="2:15" ht="15.75" thickBot="1" x14ac:dyDescent="0.3">
      <c r="B418" s="280">
        <v>255429</v>
      </c>
      <c r="C418" s="62" t="s">
        <v>52</v>
      </c>
      <c r="D418" s="265">
        <v>0</v>
      </c>
      <c r="E418" s="265">
        <f>250+250</f>
        <v>500</v>
      </c>
      <c r="F418" s="281">
        <v>250</v>
      </c>
      <c r="G418" s="33"/>
      <c r="H418" s="33"/>
      <c r="I418" s="57"/>
      <c r="J418" s="57">
        <v>250</v>
      </c>
      <c r="K418" s="51"/>
      <c r="L418" s="267">
        <f t="shared" si="79"/>
        <v>500</v>
      </c>
      <c r="M418" s="268">
        <f t="shared" si="81"/>
        <v>0</v>
      </c>
      <c r="N418" s="269" t="str">
        <f t="shared" si="78"/>
        <v>REQ ADICIONAL</v>
      </c>
      <c r="O418" s="270">
        <f>IFERROR(L418/SUM(D418:E418),0)</f>
        <v>1</v>
      </c>
    </row>
    <row r="419" spans="2:15" ht="16.5" thickBot="1" x14ac:dyDescent="0.3">
      <c r="B419" s="682" t="s">
        <v>87</v>
      </c>
      <c r="C419" s="683"/>
      <c r="D419" s="271">
        <f>SUM(D397:D418)</f>
        <v>4540</v>
      </c>
      <c r="E419" s="272">
        <f t="shared" ref="E419:M419" si="83">SUM(E397:E418)</f>
        <v>5465</v>
      </c>
      <c r="F419" s="273">
        <f t="shared" si="83"/>
        <v>1305</v>
      </c>
      <c r="G419" s="157">
        <f t="shared" si="83"/>
        <v>700</v>
      </c>
      <c r="H419" s="157">
        <f t="shared" si="83"/>
        <v>225</v>
      </c>
      <c r="I419" s="157">
        <f t="shared" si="83"/>
        <v>865</v>
      </c>
      <c r="J419" s="157">
        <f t="shared" si="83"/>
        <v>2240</v>
      </c>
      <c r="K419" s="157">
        <f t="shared" si="83"/>
        <v>2285</v>
      </c>
      <c r="L419" s="155">
        <f t="shared" si="83"/>
        <v>7620</v>
      </c>
      <c r="M419" s="282">
        <f t="shared" si="83"/>
        <v>2385</v>
      </c>
      <c r="N419" s="275">
        <f>L419/D419</f>
        <v>1.6784140969162995</v>
      </c>
      <c r="O419" s="276">
        <f>+L419/SUM(D419:E419)</f>
        <v>0.76161919040479764</v>
      </c>
    </row>
    <row r="420" spans="2:15" ht="15.75" thickBot="1" x14ac:dyDescent="0.3"/>
    <row r="421" spans="2:15" ht="16.5" thickBot="1" x14ac:dyDescent="0.3">
      <c r="B421" s="684" t="s">
        <v>105</v>
      </c>
      <c r="C421" s="685"/>
      <c r="D421" s="685"/>
      <c r="E421" s="685"/>
      <c r="F421" s="685"/>
      <c r="G421" s="685"/>
      <c r="H421" s="685"/>
      <c r="I421" s="685"/>
      <c r="J421" s="685"/>
      <c r="K421" s="685"/>
      <c r="L421" s="685"/>
      <c r="M421" s="685"/>
      <c r="N421" s="685"/>
      <c r="O421" s="686"/>
    </row>
    <row r="422" spans="2:15" ht="30" x14ac:dyDescent="0.25">
      <c r="B422" s="174" t="s">
        <v>34</v>
      </c>
      <c r="C422" s="243" t="s">
        <v>9</v>
      </c>
      <c r="D422" s="244" t="s">
        <v>85</v>
      </c>
      <c r="E422" s="245" t="s">
        <v>86</v>
      </c>
      <c r="F422" s="246">
        <v>42966</v>
      </c>
      <c r="G422" s="178">
        <f>+F422+2</f>
        <v>42968</v>
      </c>
      <c r="H422" s="178">
        <f>+G422+1</f>
        <v>42969</v>
      </c>
      <c r="I422" s="178">
        <f>+H422+1</f>
        <v>42970</v>
      </c>
      <c r="J422" s="178">
        <f>+I422+1</f>
        <v>42971</v>
      </c>
      <c r="K422" s="247">
        <f>+J422+1</f>
        <v>42972</v>
      </c>
      <c r="L422" s="248" t="s">
        <v>87</v>
      </c>
      <c r="M422" s="249" t="s">
        <v>88</v>
      </c>
      <c r="N422" s="250" t="s">
        <v>89</v>
      </c>
      <c r="O422" s="251" t="s">
        <v>90</v>
      </c>
    </row>
    <row r="423" spans="2:15" x14ac:dyDescent="0.25">
      <c r="B423" s="7">
        <v>254849</v>
      </c>
      <c r="C423" s="252" t="s">
        <v>0</v>
      </c>
      <c r="D423" s="253">
        <v>0</v>
      </c>
      <c r="E423" s="253">
        <v>180</v>
      </c>
      <c r="F423" s="262"/>
      <c r="G423" s="52"/>
      <c r="H423" s="52"/>
      <c r="I423" s="52"/>
      <c r="J423" s="52"/>
      <c r="K423" s="254">
        <v>180</v>
      </c>
      <c r="L423" s="255">
        <f>SUM(F423:K423)</f>
        <v>180</v>
      </c>
      <c r="M423" s="256">
        <f>+SUM(D423:E423)-L423</f>
        <v>0</v>
      </c>
      <c r="N423" s="257" t="str">
        <f t="shared" ref="N423:N444" si="84">IF(L423=0,0,IFERROR(L423/D423,"REQ ADICIONAL"))</f>
        <v>REQ ADICIONAL</v>
      </c>
      <c r="O423" s="258">
        <f>IFERROR(L423/SUM(D423:E423),0)</f>
        <v>1</v>
      </c>
    </row>
    <row r="424" spans="2:15" x14ac:dyDescent="0.25">
      <c r="B424" s="7">
        <v>254851</v>
      </c>
      <c r="C424" s="252" t="s">
        <v>1</v>
      </c>
      <c r="D424" s="259">
        <v>0</v>
      </c>
      <c r="E424" s="259">
        <v>180</v>
      </c>
      <c r="F424" s="262"/>
      <c r="G424" s="52"/>
      <c r="H424" s="52"/>
      <c r="I424" s="52"/>
      <c r="J424" s="52"/>
      <c r="K424" s="254">
        <v>180</v>
      </c>
      <c r="L424" s="255">
        <f t="shared" ref="L424:L444" si="85">SUM(F424:K424)</f>
        <v>180</v>
      </c>
      <c r="M424" s="256">
        <f>+SUM(D424:E424)-L424</f>
        <v>0</v>
      </c>
      <c r="N424" s="257" t="str">
        <f t="shared" si="84"/>
        <v>REQ ADICIONAL</v>
      </c>
      <c r="O424" s="258">
        <f t="shared" ref="O424:O435" si="86">IFERROR(L424/SUM(D424:E424),0)</f>
        <v>1</v>
      </c>
    </row>
    <row r="425" spans="2:15" x14ac:dyDescent="0.25">
      <c r="B425" s="7">
        <v>254853</v>
      </c>
      <c r="C425" s="252" t="s">
        <v>2</v>
      </c>
      <c r="D425" s="259">
        <v>360</v>
      </c>
      <c r="E425" s="259">
        <v>0</v>
      </c>
      <c r="F425" s="262"/>
      <c r="G425" s="52">
        <v>180</v>
      </c>
      <c r="H425" s="52"/>
      <c r="I425" s="52"/>
      <c r="J425" s="52"/>
      <c r="K425" s="254"/>
      <c r="L425" s="255">
        <f t="shared" si="85"/>
        <v>180</v>
      </c>
      <c r="M425" s="256">
        <f>+SUM(D425:E425)-L425</f>
        <v>180</v>
      </c>
      <c r="N425" s="257">
        <f t="shared" si="84"/>
        <v>0.5</v>
      </c>
      <c r="O425" s="258">
        <f t="shared" si="86"/>
        <v>0.5</v>
      </c>
    </row>
    <row r="426" spans="2:15" x14ac:dyDescent="0.25">
      <c r="B426" s="277">
        <v>254850</v>
      </c>
      <c r="C426" s="252" t="s">
        <v>3</v>
      </c>
      <c r="D426" s="259">
        <f>15*60</f>
        <v>900</v>
      </c>
      <c r="E426" s="259">
        <v>0</v>
      </c>
      <c r="F426" s="262">
        <f>6*60</f>
        <v>360</v>
      </c>
      <c r="G426" s="52"/>
      <c r="H426" s="52"/>
      <c r="I426" s="52"/>
      <c r="J426" s="52"/>
      <c r="K426" s="254"/>
      <c r="L426" s="255">
        <f t="shared" si="85"/>
        <v>360</v>
      </c>
      <c r="M426" s="256">
        <f>+SUM(D426:E426)-L426</f>
        <v>540</v>
      </c>
      <c r="N426" s="257">
        <f t="shared" si="84"/>
        <v>0.4</v>
      </c>
      <c r="O426" s="258">
        <f t="shared" si="86"/>
        <v>0.4</v>
      </c>
    </row>
    <row r="427" spans="2:15" x14ac:dyDescent="0.25">
      <c r="B427" s="278">
        <v>251385</v>
      </c>
      <c r="C427" s="252" t="s">
        <v>4</v>
      </c>
      <c r="D427" s="259">
        <f>15*80</f>
        <v>1200</v>
      </c>
      <c r="E427" s="260">
        <v>400</v>
      </c>
      <c r="F427" s="262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4">
        <f>2*80</f>
        <v>160</v>
      </c>
      <c r="L427" s="255">
        <f t="shared" si="85"/>
        <v>1600</v>
      </c>
      <c r="M427" s="256">
        <f>+SUM(D427:E427)-L427</f>
        <v>0</v>
      </c>
      <c r="N427" s="257">
        <f t="shared" si="84"/>
        <v>1.3333333333333333</v>
      </c>
      <c r="O427" s="258">
        <f t="shared" si="86"/>
        <v>1</v>
      </c>
    </row>
    <row r="428" spans="2:15" x14ac:dyDescent="0.25">
      <c r="B428" s="278">
        <v>251196</v>
      </c>
      <c r="C428" s="252" t="s">
        <v>5</v>
      </c>
      <c r="D428" s="259">
        <v>0</v>
      </c>
      <c r="E428" s="260">
        <v>0</v>
      </c>
      <c r="F428" s="262"/>
      <c r="G428" s="52"/>
      <c r="H428" s="52"/>
      <c r="I428" s="52"/>
      <c r="J428" s="52"/>
      <c r="K428" s="254"/>
      <c r="L428" s="255">
        <f t="shared" si="85"/>
        <v>0</v>
      </c>
      <c r="M428" s="256">
        <f t="shared" ref="M428:M444" si="87">+SUM(D428:E428)-L428</f>
        <v>0</v>
      </c>
      <c r="N428" s="257">
        <f t="shared" si="84"/>
        <v>0</v>
      </c>
      <c r="O428" s="258">
        <f t="shared" si="86"/>
        <v>0</v>
      </c>
    </row>
    <row r="429" spans="2:15" x14ac:dyDescent="0.25">
      <c r="B429" s="278">
        <v>250524</v>
      </c>
      <c r="C429" s="252" t="s">
        <v>6</v>
      </c>
      <c r="D429" s="259">
        <v>0</v>
      </c>
      <c r="E429" s="260">
        <v>80</v>
      </c>
      <c r="F429" s="262"/>
      <c r="G429" s="52"/>
      <c r="H429" s="52"/>
      <c r="I429" s="52"/>
      <c r="J429" s="52">
        <v>80</v>
      </c>
      <c r="K429" s="254"/>
      <c r="L429" s="255">
        <f t="shared" si="85"/>
        <v>80</v>
      </c>
      <c r="M429" s="256">
        <f t="shared" si="87"/>
        <v>0</v>
      </c>
      <c r="N429" s="257" t="str">
        <f t="shared" si="84"/>
        <v>REQ ADICIONAL</v>
      </c>
      <c r="O429" s="258">
        <f t="shared" si="86"/>
        <v>1</v>
      </c>
    </row>
    <row r="430" spans="2:15" x14ac:dyDescent="0.25">
      <c r="B430" s="278">
        <v>252534</v>
      </c>
      <c r="C430" s="252" t="s">
        <v>7</v>
      </c>
      <c r="D430" s="259">
        <v>0</v>
      </c>
      <c r="E430" s="260">
        <v>0</v>
      </c>
      <c r="F430" s="262"/>
      <c r="G430" s="52"/>
      <c r="H430" s="52"/>
      <c r="I430" s="52"/>
      <c r="J430" s="52"/>
      <c r="K430" s="254"/>
      <c r="L430" s="255">
        <f t="shared" si="85"/>
        <v>0</v>
      </c>
      <c r="M430" s="256">
        <f t="shared" si="87"/>
        <v>0</v>
      </c>
      <c r="N430" s="257">
        <f t="shared" si="84"/>
        <v>0</v>
      </c>
      <c r="O430" s="258">
        <f t="shared" si="86"/>
        <v>0</v>
      </c>
    </row>
    <row r="431" spans="2:15" x14ac:dyDescent="0.25">
      <c r="B431" s="278">
        <v>251151</v>
      </c>
      <c r="C431" s="252" t="s">
        <v>8</v>
      </c>
      <c r="D431" s="259">
        <v>0</v>
      </c>
      <c r="E431" s="259">
        <v>0</v>
      </c>
      <c r="F431" s="262"/>
      <c r="G431" s="52"/>
      <c r="H431" s="52"/>
      <c r="I431" s="52"/>
      <c r="J431" s="52"/>
      <c r="K431" s="254"/>
      <c r="L431" s="255">
        <f t="shared" si="85"/>
        <v>0</v>
      </c>
      <c r="M431" s="256">
        <f t="shared" si="87"/>
        <v>0</v>
      </c>
      <c r="N431" s="257">
        <f t="shared" si="84"/>
        <v>0</v>
      </c>
      <c r="O431" s="258">
        <f t="shared" si="86"/>
        <v>0</v>
      </c>
    </row>
    <row r="432" spans="2:15" x14ac:dyDescent="0.25">
      <c r="B432" s="278">
        <v>254852</v>
      </c>
      <c r="C432" s="252" t="s">
        <v>17</v>
      </c>
      <c r="D432" s="259">
        <v>0</v>
      </c>
      <c r="E432" s="259">
        <v>225</v>
      </c>
      <c r="F432" s="262"/>
      <c r="G432" s="52"/>
      <c r="H432" s="52">
        <v>225</v>
      </c>
      <c r="I432" s="52"/>
      <c r="J432" s="52"/>
      <c r="K432" s="254"/>
      <c r="L432" s="255">
        <f t="shared" si="85"/>
        <v>225</v>
      </c>
      <c r="M432" s="256">
        <f t="shared" si="87"/>
        <v>0</v>
      </c>
      <c r="N432" s="257" t="str">
        <f t="shared" si="84"/>
        <v>REQ ADICIONAL</v>
      </c>
      <c r="O432" s="258">
        <f t="shared" si="86"/>
        <v>1</v>
      </c>
    </row>
    <row r="433" spans="2:15" x14ac:dyDescent="0.25">
      <c r="B433" s="277">
        <v>255430</v>
      </c>
      <c r="C433" s="252" t="s">
        <v>53</v>
      </c>
      <c r="D433" s="259">
        <v>0</v>
      </c>
      <c r="E433" s="260">
        <v>0</v>
      </c>
      <c r="F433" s="262"/>
      <c r="G433" s="52"/>
      <c r="H433" s="52"/>
      <c r="I433" s="52"/>
      <c r="J433" s="52"/>
      <c r="K433" s="254"/>
      <c r="L433" s="255">
        <f t="shared" si="85"/>
        <v>0</v>
      </c>
      <c r="M433" s="256">
        <f t="shared" si="87"/>
        <v>0</v>
      </c>
      <c r="N433" s="257">
        <f t="shared" si="84"/>
        <v>0</v>
      </c>
      <c r="O433" s="258">
        <f t="shared" si="86"/>
        <v>0</v>
      </c>
    </row>
    <row r="434" spans="2:15" x14ac:dyDescent="0.25">
      <c r="B434" s="278">
        <v>254954</v>
      </c>
      <c r="C434" s="60" t="s">
        <v>33</v>
      </c>
      <c r="D434" s="259">
        <v>0</v>
      </c>
      <c r="E434" s="259">
        <v>180</v>
      </c>
      <c r="F434" s="262"/>
      <c r="G434" s="52">
        <v>180</v>
      </c>
      <c r="H434" s="52"/>
      <c r="I434" s="52"/>
      <c r="J434" s="52"/>
      <c r="K434" s="254"/>
      <c r="L434" s="255">
        <f t="shared" si="85"/>
        <v>180</v>
      </c>
      <c r="M434" s="256">
        <f t="shared" si="87"/>
        <v>0</v>
      </c>
      <c r="N434" s="257" t="str">
        <f t="shared" si="84"/>
        <v>REQ ADICIONAL</v>
      </c>
      <c r="O434" s="258">
        <f t="shared" si="86"/>
        <v>1</v>
      </c>
    </row>
    <row r="435" spans="2:15" x14ac:dyDescent="0.25">
      <c r="B435" s="277">
        <v>254988</v>
      </c>
      <c r="C435" s="252" t="s">
        <v>54</v>
      </c>
      <c r="D435" s="259">
        <f>2*225</f>
        <v>450</v>
      </c>
      <c r="E435" s="259">
        <v>0</v>
      </c>
      <c r="F435" s="262"/>
      <c r="G435" s="52">
        <v>225</v>
      </c>
      <c r="H435" s="52"/>
      <c r="I435" s="52"/>
      <c r="J435" s="52"/>
      <c r="K435" s="254"/>
      <c r="L435" s="255">
        <f t="shared" si="85"/>
        <v>225</v>
      </c>
      <c r="M435" s="256">
        <f t="shared" si="87"/>
        <v>225</v>
      </c>
      <c r="N435" s="257">
        <f t="shared" si="84"/>
        <v>0.5</v>
      </c>
      <c r="O435" s="261">
        <f t="shared" si="86"/>
        <v>0.5</v>
      </c>
    </row>
    <row r="436" spans="2:15" x14ac:dyDescent="0.25">
      <c r="B436" s="278">
        <v>254951</v>
      </c>
      <c r="C436" s="252" t="s">
        <v>59</v>
      </c>
      <c r="D436" s="259">
        <v>0</v>
      </c>
      <c r="E436" s="259">
        <v>240</v>
      </c>
      <c r="F436" s="262"/>
      <c r="G436" s="52"/>
      <c r="H436" s="52"/>
      <c r="I436" s="52"/>
      <c r="J436" s="52">
        <v>120</v>
      </c>
      <c r="K436" s="254">
        <v>120</v>
      </c>
      <c r="L436" s="255">
        <f t="shared" si="85"/>
        <v>240</v>
      </c>
      <c r="M436" s="256">
        <f t="shared" si="87"/>
        <v>0</v>
      </c>
      <c r="N436" s="257" t="str">
        <f t="shared" si="84"/>
        <v>REQ ADICIONAL</v>
      </c>
      <c r="O436" s="261">
        <f>IFERROR(L436/SUM(D436:E436),0)</f>
        <v>1</v>
      </c>
    </row>
    <row r="437" spans="2:15" x14ac:dyDescent="0.25">
      <c r="B437" s="278">
        <v>254950</v>
      </c>
      <c r="C437" s="252" t="s">
        <v>32</v>
      </c>
      <c r="D437" s="259">
        <f>2*180</f>
        <v>360</v>
      </c>
      <c r="E437" s="259">
        <v>0</v>
      </c>
      <c r="F437" s="262">
        <v>180</v>
      </c>
      <c r="G437" s="52">
        <v>180</v>
      </c>
      <c r="H437" s="52"/>
      <c r="I437" s="52"/>
      <c r="J437" s="52"/>
      <c r="K437" s="254"/>
      <c r="L437" s="255">
        <f t="shared" si="85"/>
        <v>360</v>
      </c>
      <c r="M437" s="256">
        <f t="shared" si="87"/>
        <v>0</v>
      </c>
      <c r="N437" s="257">
        <f t="shared" si="84"/>
        <v>1</v>
      </c>
      <c r="O437" s="261">
        <f t="shared" ref="O437:O443" si="88">IFERROR(L437/SUM(D437:E437),0)</f>
        <v>1</v>
      </c>
    </row>
    <row r="438" spans="2:15" x14ac:dyDescent="0.25">
      <c r="B438" s="279">
        <v>255341</v>
      </c>
      <c r="C438" s="252" t="s">
        <v>50</v>
      </c>
      <c r="D438" s="259">
        <v>0</v>
      </c>
      <c r="E438" s="260">
        <v>225</v>
      </c>
      <c r="F438" s="262"/>
      <c r="G438" s="52"/>
      <c r="H438" s="52">
        <v>225</v>
      </c>
      <c r="I438" s="52"/>
      <c r="J438" s="52"/>
      <c r="K438" s="254"/>
      <c r="L438" s="255">
        <f t="shared" si="85"/>
        <v>225</v>
      </c>
      <c r="M438" s="256">
        <f t="shared" si="87"/>
        <v>0</v>
      </c>
      <c r="N438" s="257" t="str">
        <f t="shared" si="84"/>
        <v>REQ ADICIONAL</v>
      </c>
      <c r="O438" s="261">
        <f t="shared" si="88"/>
        <v>1</v>
      </c>
    </row>
    <row r="439" spans="2:15" x14ac:dyDescent="0.25">
      <c r="B439" s="277">
        <v>255382</v>
      </c>
      <c r="C439" s="252" t="s">
        <v>56</v>
      </c>
      <c r="D439" s="259">
        <v>0</v>
      </c>
      <c r="E439" s="260">
        <v>260</v>
      </c>
      <c r="F439" s="262"/>
      <c r="G439" s="52">
        <v>260</v>
      </c>
      <c r="H439" s="52"/>
      <c r="I439" s="52"/>
      <c r="J439" s="52"/>
      <c r="K439" s="254"/>
      <c r="L439" s="255">
        <f t="shared" si="85"/>
        <v>260</v>
      </c>
      <c r="M439" s="256">
        <f t="shared" si="87"/>
        <v>0</v>
      </c>
      <c r="N439" s="257" t="str">
        <f t="shared" si="84"/>
        <v>REQ ADICIONAL</v>
      </c>
      <c r="O439" s="261">
        <f t="shared" si="88"/>
        <v>1</v>
      </c>
    </row>
    <row r="440" spans="2:15" x14ac:dyDescent="0.25">
      <c r="B440" s="278">
        <v>251632</v>
      </c>
      <c r="C440" s="60" t="s">
        <v>51</v>
      </c>
      <c r="D440" s="259">
        <v>0</v>
      </c>
      <c r="E440" s="259">
        <v>0</v>
      </c>
      <c r="F440" s="262"/>
      <c r="G440" s="52"/>
      <c r="H440" s="52"/>
      <c r="I440" s="52"/>
      <c r="J440" s="52"/>
      <c r="K440" s="254"/>
      <c r="L440" s="255">
        <f t="shared" si="85"/>
        <v>0</v>
      </c>
      <c r="M440" s="256">
        <f t="shared" si="87"/>
        <v>0</v>
      </c>
      <c r="N440" s="257">
        <f t="shared" si="84"/>
        <v>0</v>
      </c>
      <c r="O440" s="261">
        <f t="shared" si="88"/>
        <v>0</v>
      </c>
    </row>
    <row r="441" spans="2:15" x14ac:dyDescent="0.25">
      <c r="B441" s="277">
        <v>251406</v>
      </c>
      <c r="C441" s="252" t="s">
        <v>42</v>
      </c>
      <c r="D441" s="253">
        <v>0</v>
      </c>
      <c r="E441" s="253">
        <v>180</v>
      </c>
      <c r="F441" s="262"/>
      <c r="G441" s="52"/>
      <c r="H441" s="52">
        <v>180</v>
      </c>
      <c r="I441" s="52"/>
      <c r="J441" s="52"/>
      <c r="K441" s="254"/>
      <c r="L441" s="255">
        <f t="shared" si="85"/>
        <v>180</v>
      </c>
      <c r="M441" s="256">
        <f t="shared" si="87"/>
        <v>0</v>
      </c>
      <c r="N441" s="257" t="str">
        <f t="shared" si="84"/>
        <v>REQ ADICIONAL</v>
      </c>
      <c r="O441" s="261">
        <f t="shared" si="88"/>
        <v>1</v>
      </c>
    </row>
    <row r="442" spans="2:15" x14ac:dyDescent="0.25">
      <c r="B442" s="279">
        <v>255349</v>
      </c>
      <c r="C442" s="252" t="s">
        <v>57</v>
      </c>
      <c r="D442" s="253">
        <v>0</v>
      </c>
      <c r="E442" s="253">
        <v>225</v>
      </c>
      <c r="F442" s="262"/>
      <c r="G442" s="52"/>
      <c r="H442" s="52">
        <v>225</v>
      </c>
      <c r="I442" s="52"/>
      <c r="J442" s="52"/>
      <c r="K442" s="254"/>
      <c r="L442" s="255">
        <f t="shared" si="85"/>
        <v>225</v>
      </c>
      <c r="M442" s="256">
        <f t="shared" si="87"/>
        <v>0</v>
      </c>
      <c r="N442" s="257" t="str">
        <f t="shared" si="84"/>
        <v>REQ ADICIONAL</v>
      </c>
      <c r="O442" s="261">
        <f t="shared" si="88"/>
        <v>1</v>
      </c>
    </row>
    <row r="443" spans="2:15" x14ac:dyDescent="0.25">
      <c r="B443" s="277">
        <v>255362</v>
      </c>
      <c r="C443" s="252" t="s">
        <v>58</v>
      </c>
      <c r="D443" s="253">
        <v>0</v>
      </c>
      <c r="E443" s="253">
        <v>320</v>
      </c>
      <c r="F443" s="262"/>
      <c r="G443" s="3"/>
      <c r="H443" s="52"/>
      <c r="I443" s="52"/>
      <c r="J443" s="52">
        <v>80</v>
      </c>
      <c r="K443" s="254">
        <f>3*80</f>
        <v>240</v>
      </c>
      <c r="L443" s="255">
        <f t="shared" si="85"/>
        <v>320</v>
      </c>
      <c r="M443" s="256">
        <f t="shared" si="87"/>
        <v>0</v>
      </c>
      <c r="N443" s="257" t="str">
        <f t="shared" si="84"/>
        <v>REQ ADICIONAL</v>
      </c>
      <c r="O443" s="261">
        <f t="shared" si="88"/>
        <v>1</v>
      </c>
    </row>
    <row r="444" spans="2:15" ht="15.75" thickBot="1" x14ac:dyDescent="0.3">
      <c r="B444" s="280">
        <v>255429</v>
      </c>
      <c r="C444" s="62" t="s">
        <v>52</v>
      </c>
      <c r="D444" s="265">
        <v>0</v>
      </c>
      <c r="E444" s="265">
        <v>0</v>
      </c>
      <c r="F444" s="281"/>
      <c r="G444" s="33"/>
      <c r="H444" s="33"/>
      <c r="I444" s="57"/>
      <c r="J444" s="57"/>
      <c r="K444" s="51"/>
      <c r="L444" s="267">
        <f t="shared" si="85"/>
        <v>0</v>
      </c>
      <c r="M444" s="268">
        <f t="shared" si="87"/>
        <v>0</v>
      </c>
      <c r="N444" s="269">
        <f t="shared" si="84"/>
        <v>0</v>
      </c>
      <c r="O444" s="270">
        <f>IFERROR(L444/SUM(D444:E444),0)</f>
        <v>0</v>
      </c>
    </row>
    <row r="445" spans="2:15" ht="16.5" thickBot="1" x14ac:dyDescent="0.3">
      <c r="B445" s="682" t="s">
        <v>87</v>
      </c>
      <c r="C445" s="683"/>
      <c r="D445" s="271">
        <f>SUM(D423:D444)</f>
        <v>3270</v>
      </c>
      <c r="E445" s="272">
        <f t="shared" ref="E445:M445" si="89">SUM(E423:E444)</f>
        <v>2695</v>
      </c>
      <c r="F445" s="273">
        <f t="shared" si="89"/>
        <v>1100</v>
      </c>
      <c r="G445" s="157">
        <f t="shared" si="89"/>
        <v>1025</v>
      </c>
      <c r="H445" s="157">
        <f t="shared" si="89"/>
        <v>1175</v>
      </c>
      <c r="I445" s="157">
        <f t="shared" si="89"/>
        <v>400</v>
      </c>
      <c r="J445" s="157">
        <f t="shared" si="89"/>
        <v>440</v>
      </c>
      <c r="K445" s="157">
        <f t="shared" si="89"/>
        <v>880</v>
      </c>
      <c r="L445" s="155">
        <f t="shared" si="89"/>
        <v>5020</v>
      </c>
      <c r="M445" s="282">
        <f t="shared" si="89"/>
        <v>945</v>
      </c>
      <c r="N445" s="275">
        <f>L445/D445</f>
        <v>1.5351681957186545</v>
      </c>
      <c r="O445" s="276">
        <f>+L445/SUM(D445:E445)</f>
        <v>0.8415758591785415</v>
      </c>
    </row>
    <row r="446" spans="2:15" ht="15.75" thickBot="1" x14ac:dyDescent="0.3"/>
    <row r="447" spans="2:15" ht="16.5" thickBot="1" x14ac:dyDescent="0.3">
      <c r="B447" s="684" t="s">
        <v>106</v>
      </c>
      <c r="C447" s="685"/>
      <c r="D447" s="685"/>
      <c r="E447" s="685"/>
      <c r="F447" s="685"/>
      <c r="G447" s="685"/>
      <c r="H447" s="685"/>
      <c r="I447" s="685"/>
      <c r="J447" s="685"/>
      <c r="K447" s="685"/>
      <c r="L447" s="685"/>
      <c r="M447" s="685"/>
      <c r="N447" s="685"/>
      <c r="O447" s="686"/>
    </row>
    <row r="448" spans="2:15" ht="30" x14ac:dyDescent="0.25">
      <c r="B448" s="174" t="s">
        <v>34</v>
      </c>
      <c r="C448" s="243" t="s">
        <v>9</v>
      </c>
      <c r="D448" s="244" t="s">
        <v>85</v>
      </c>
      <c r="E448" s="245" t="s">
        <v>86</v>
      </c>
      <c r="F448" s="246">
        <v>42973</v>
      </c>
      <c r="G448" s="178">
        <f>+F448+2</f>
        <v>42975</v>
      </c>
      <c r="H448" s="178">
        <f>+G448+1</f>
        <v>42976</v>
      </c>
      <c r="I448" s="178">
        <f>+H448+1</f>
        <v>42977</v>
      </c>
      <c r="J448" s="178">
        <f>+I448+1</f>
        <v>42978</v>
      </c>
      <c r="K448" s="247">
        <f>+J448+1</f>
        <v>42979</v>
      </c>
      <c r="L448" s="248" t="s">
        <v>87</v>
      </c>
      <c r="M448" s="249" t="s">
        <v>88</v>
      </c>
      <c r="N448" s="250" t="s">
        <v>89</v>
      </c>
      <c r="O448" s="251" t="s">
        <v>90</v>
      </c>
    </row>
    <row r="449" spans="2:15" x14ac:dyDescent="0.25">
      <c r="B449" s="7">
        <v>254849</v>
      </c>
      <c r="C449" s="252" t="s">
        <v>0</v>
      </c>
      <c r="D449" s="253">
        <v>0</v>
      </c>
      <c r="E449" s="253">
        <v>0</v>
      </c>
      <c r="F449" s="262"/>
      <c r="G449" s="52"/>
      <c r="H449" s="52"/>
      <c r="I449" s="52"/>
      <c r="J449" s="52"/>
      <c r="K449" s="254"/>
      <c r="L449" s="255">
        <f>SUM(F449:K449)</f>
        <v>0</v>
      </c>
      <c r="M449" s="256">
        <f>+SUM(D449:E449)-L449</f>
        <v>0</v>
      </c>
      <c r="N449" s="257">
        <f t="shared" ref="N449:N470" si="90">IF(L449=0,0,IFERROR(L449/D449,"REQ ADICIONAL"))</f>
        <v>0</v>
      </c>
      <c r="O449" s="258">
        <f>IFERROR(L449/SUM(D449:E449),0)</f>
        <v>0</v>
      </c>
    </row>
    <row r="450" spans="2:15" x14ac:dyDescent="0.25">
      <c r="B450" s="7">
        <v>254851</v>
      </c>
      <c r="C450" s="252" t="s">
        <v>1</v>
      </c>
      <c r="D450" s="259">
        <v>0</v>
      </c>
      <c r="E450" s="259">
        <v>180</v>
      </c>
      <c r="F450" s="262"/>
      <c r="G450" s="52"/>
      <c r="H450" s="52"/>
      <c r="I450" s="52"/>
      <c r="J450" s="52"/>
      <c r="K450" s="254">
        <v>180</v>
      </c>
      <c r="L450" s="255">
        <f t="shared" ref="L450:L470" si="91">SUM(F450:K450)</f>
        <v>180</v>
      </c>
      <c r="M450" s="256">
        <f>+SUM(D450:E450)-L450</f>
        <v>0</v>
      </c>
      <c r="N450" s="257" t="str">
        <f t="shared" si="90"/>
        <v>REQ ADICIONAL</v>
      </c>
      <c r="O450" s="258">
        <f t="shared" ref="O450:O461" si="92">IFERROR(L450/SUM(D450:E450),0)</f>
        <v>1</v>
      </c>
    </row>
    <row r="451" spans="2:15" x14ac:dyDescent="0.25">
      <c r="B451" s="7">
        <v>254853</v>
      </c>
      <c r="C451" s="252" t="s">
        <v>2</v>
      </c>
      <c r="D451" s="259">
        <v>540</v>
      </c>
      <c r="E451" s="259">
        <v>0</v>
      </c>
      <c r="F451" s="262"/>
      <c r="G451" s="52">
        <v>180</v>
      </c>
      <c r="H451" s="52"/>
      <c r="I451" s="52"/>
      <c r="J451" s="52">
        <v>180</v>
      </c>
      <c r="K451" s="254"/>
      <c r="L451" s="255">
        <f t="shared" si="91"/>
        <v>360</v>
      </c>
      <c r="M451" s="256">
        <f>+SUM(D451:E451)-L451</f>
        <v>180</v>
      </c>
      <c r="N451" s="257">
        <f t="shared" si="90"/>
        <v>0.66666666666666663</v>
      </c>
      <c r="O451" s="258">
        <f t="shared" si="92"/>
        <v>0.66666666666666663</v>
      </c>
    </row>
    <row r="452" spans="2:15" x14ac:dyDescent="0.25">
      <c r="B452" s="277">
        <v>254850</v>
      </c>
      <c r="C452" s="252" t="s">
        <v>3</v>
      </c>
      <c r="D452" s="259">
        <v>480</v>
      </c>
      <c r="E452" s="259">
        <v>0</v>
      </c>
      <c r="F452" s="262"/>
      <c r="G452" s="52">
        <v>180</v>
      </c>
      <c r="H452" s="52">
        <f>2*60</f>
        <v>120</v>
      </c>
      <c r="I452" s="52"/>
      <c r="J452" s="52">
        <v>120</v>
      </c>
      <c r="K452" s="254"/>
      <c r="L452" s="255">
        <f t="shared" si="91"/>
        <v>420</v>
      </c>
      <c r="M452" s="256">
        <f>+SUM(D452:E452)-L452</f>
        <v>60</v>
      </c>
      <c r="N452" s="257">
        <f t="shared" si="90"/>
        <v>0.875</v>
      </c>
      <c r="O452" s="258">
        <f t="shared" si="92"/>
        <v>0.875</v>
      </c>
    </row>
    <row r="453" spans="2:15" x14ac:dyDescent="0.25">
      <c r="B453" s="278">
        <v>251385</v>
      </c>
      <c r="C453" s="252" t="s">
        <v>4</v>
      </c>
      <c r="D453" s="259">
        <v>2080</v>
      </c>
      <c r="E453" s="260">
        <v>80</v>
      </c>
      <c r="F453" s="262">
        <v>160</v>
      </c>
      <c r="G453" s="52">
        <v>640</v>
      </c>
      <c r="H453" s="52">
        <f>11*80</f>
        <v>880</v>
      </c>
      <c r="I453" s="52"/>
      <c r="J453" s="52">
        <v>320</v>
      </c>
      <c r="K453" s="254">
        <v>160</v>
      </c>
      <c r="L453" s="255">
        <f t="shared" si="91"/>
        <v>2160</v>
      </c>
      <c r="M453" s="256">
        <f>+SUM(D453:E453)-L453</f>
        <v>0</v>
      </c>
      <c r="N453" s="257">
        <f t="shared" si="90"/>
        <v>1.0384615384615385</v>
      </c>
      <c r="O453" s="258">
        <f t="shared" si="92"/>
        <v>1</v>
      </c>
    </row>
    <row r="454" spans="2:15" x14ac:dyDescent="0.25">
      <c r="B454" s="278">
        <v>251196</v>
      </c>
      <c r="C454" s="252" t="s">
        <v>5</v>
      </c>
      <c r="D454" s="259">
        <v>80</v>
      </c>
      <c r="E454" s="260">
        <v>0</v>
      </c>
      <c r="F454" s="262"/>
      <c r="G454" s="52"/>
      <c r="H454" s="52"/>
      <c r="I454" s="52"/>
      <c r="J454" s="52"/>
      <c r="K454" s="254"/>
      <c r="L454" s="255">
        <f t="shared" si="91"/>
        <v>0</v>
      </c>
      <c r="M454" s="256">
        <f t="shared" ref="M454:M470" si="93">+SUM(D454:E454)-L454</f>
        <v>80</v>
      </c>
      <c r="N454" s="257">
        <f t="shared" si="90"/>
        <v>0</v>
      </c>
      <c r="O454" s="258">
        <f t="shared" si="92"/>
        <v>0</v>
      </c>
    </row>
    <row r="455" spans="2:15" x14ac:dyDescent="0.25">
      <c r="B455" s="278">
        <v>250524</v>
      </c>
      <c r="C455" s="252" t="s">
        <v>6</v>
      </c>
      <c r="D455" s="259">
        <v>320</v>
      </c>
      <c r="E455" s="260">
        <v>0</v>
      </c>
      <c r="F455" s="262">
        <v>80</v>
      </c>
      <c r="G455" s="52">
        <v>80</v>
      </c>
      <c r="H455" s="52">
        <f>80</f>
        <v>80</v>
      </c>
      <c r="I455" s="52"/>
      <c r="J455" s="52"/>
      <c r="K455" s="254"/>
      <c r="L455" s="255">
        <f t="shared" si="91"/>
        <v>240</v>
      </c>
      <c r="M455" s="256">
        <f t="shared" si="93"/>
        <v>80</v>
      </c>
      <c r="N455" s="257">
        <f t="shared" si="90"/>
        <v>0.75</v>
      </c>
      <c r="O455" s="258">
        <f t="shared" si="92"/>
        <v>0.75</v>
      </c>
    </row>
    <row r="456" spans="2:15" x14ac:dyDescent="0.25">
      <c r="B456" s="278">
        <v>252534</v>
      </c>
      <c r="C456" s="252" t="s">
        <v>7</v>
      </c>
      <c r="D456" s="259">
        <v>225</v>
      </c>
      <c r="E456" s="260">
        <v>225</v>
      </c>
      <c r="F456" s="262"/>
      <c r="G456" s="52"/>
      <c r="H456" s="52"/>
      <c r="I456" s="52"/>
      <c r="J456" s="52">
        <v>225</v>
      </c>
      <c r="K456" s="254">
        <v>225</v>
      </c>
      <c r="L456" s="255">
        <f t="shared" si="91"/>
        <v>450</v>
      </c>
      <c r="M456" s="256">
        <f t="shared" si="93"/>
        <v>0</v>
      </c>
      <c r="N456" s="257">
        <f t="shared" si="90"/>
        <v>2</v>
      </c>
      <c r="O456" s="258">
        <f t="shared" si="92"/>
        <v>1</v>
      </c>
    </row>
    <row r="457" spans="2:15" x14ac:dyDescent="0.25">
      <c r="B457" s="278">
        <v>251151</v>
      </c>
      <c r="C457" s="252" t="s">
        <v>8</v>
      </c>
      <c r="D457" s="259">
        <v>450</v>
      </c>
      <c r="E457" s="259">
        <v>0</v>
      </c>
      <c r="F457" s="262"/>
      <c r="G457" s="52"/>
      <c r="H457" s="52"/>
      <c r="I457" s="52"/>
      <c r="J457" s="52">
        <v>225</v>
      </c>
      <c r="K457" s="254"/>
      <c r="L457" s="255">
        <f t="shared" si="91"/>
        <v>225</v>
      </c>
      <c r="M457" s="256">
        <f t="shared" si="93"/>
        <v>225</v>
      </c>
      <c r="N457" s="257">
        <f t="shared" si="90"/>
        <v>0.5</v>
      </c>
      <c r="O457" s="258">
        <f t="shared" si="92"/>
        <v>0.5</v>
      </c>
    </row>
    <row r="458" spans="2:15" x14ac:dyDescent="0.25">
      <c r="B458" s="278">
        <v>254852</v>
      </c>
      <c r="C458" s="252" t="s">
        <v>17</v>
      </c>
      <c r="D458" s="259">
        <v>0</v>
      </c>
      <c r="E458" s="259">
        <v>225</v>
      </c>
      <c r="F458" s="262"/>
      <c r="G458" s="52"/>
      <c r="H458" s="52">
        <v>225</v>
      </c>
      <c r="I458" s="52"/>
      <c r="J458" s="52"/>
      <c r="K458" s="254"/>
      <c r="L458" s="255">
        <f t="shared" si="91"/>
        <v>225</v>
      </c>
      <c r="M458" s="256">
        <f t="shared" si="93"/>
        <v>0</v>
      </c>
      <c r="N458" s="257" t="str">
        <f t="shared" si="90"/>
        <v>REQ ADICIONAL</v>
      </c>
      <c r="O458" s="258">
        <f t="shared" si="92"/>
        <v>1</v>
      </c>
    </row>
    <row r="459" spans="2:15" x14ac:dyDescent="0.25">
      <c r="B459" s="277">
        <v>255430</v>
      </c>
      <c r="C459" s="252" t="s">
        <v>53</v>
      </c>
      <c r="D459" s="259">
        <v>250</v>
      </c>
      <c r="E459" s="260">
        <v>0</v>
      </c>
      <c r="F459" s="262"/>
      <c r="G459" s="52"/>
      <c r="H459" s="52"/>
      <c r="I459" s="52"/>
      <c r="J459" s="52">
        <v>250</v>
      </c>
      <c r="K459" s="254"/>
      <c r="L459" s="255">
        <f t="shared" si="91"/>
        <v>250</v>
      </c>
      <c r="M459" s="256">
        <f t="shared" si="93"/>
        <v>0</v>
      </c>
      <c r="N459" s="257">
        <f t="shared" si="90"/>
        <v>1</v>
      </c>
      <c r="O459" s="258">
        <f t="shared" si="92"/>
        <v>1</v>
      </c>
    </row>
    <row r="460" spans="2:15" x14ac:dyDescent="0.25">
      <c r="B460" s="278">
        <v>254954</v>
      </c>
      <c r="C460" s="60" t="s">
        <v>33</v>
      </c>
      <c r="D460" s="259">
        <v>0</v>
      </c>
      <c r="E460" s="259">
        <v>0</v>
      </c>
      <c r="F460" s="262"/>
      <c r="G460" s="52"/>
      <c r="H460" s="52"/>
      <c r="I460" s="52"/>
      <c r="J460" s="52"/>
      <c r="K460" s="254"/>
      <c r="L460" s="255">
        <f t="shared" si="91"/>
        <v>0</v>
      </c>
      <c r="M460" s="256">
        <f t="shared" si="93"/>
        <v>0</v>
      </c>
      <c r="N460" s="257">
        <f t="shared" si="90"/>
        <v>0</v>
      </c>
      <c r="O460" s="258">
        <f t="shared" si="92"/>
        <v>0</v>
      </c>
    </row>
    <row r="461" spans="2:15" x14ac:dyDescent="0.25">
      <c r="B461" s="277">
        <v>254988</v>
      </c>
      <c r="C461" s="252" t="s">
        <v>54</v>
      </c>
      <c r="D461" s="259">
        <v>675</v>
      </c>
      <c r="E461" s="259">
        <v>0</v>
      </c>
      <c r="F461" s="262">
        <v>225</v>
      </c>
      <c r="G461" s="52">
        <v>225</v>
      </c>
      <c r="H461" s="52"/>
      <c r="I461" s="52"/>
      <c r="J461" s="52"/>
      <c r="K461" s="254"/>
      <c r="L461" s="255">
        <f t="shared" si="91"/>
        <v>450</v>
      </c>
      <c r="M461" s="256">
        <f t="shared" si="93"/>
        <v>225</v>
      </c>
      <c r="N461" s="257">
        <f t="shared" si="90"/>
        <v>0.66666666666666663</v>
      </c>
      <c r="O461" s="261">
        <f t="shared" si="92"/>
        <v>0.66666666666666663</v>
      </c>
    </row>
    <row r="462" spans="2:15" x14ac:dyDescent="0.25">
      <c r="B462" s="278">
        <v>254951</v>
      </c>
      <c r="C462" s="252" t="s">
        <v>59</v>
      </c>
      <c r="D462" s="259">
        <v>480</v>
      </c>
      <c r="E462" s="259">
        <v>0</v>
      </c>
      <c r="F462" s="262">
        <v>240</v>
      </c>
      <c r="G462" s="52"/>
      <c r="H462" s="52"/>
      <c r="I462" s="52"/>
      <c r="J462" s="52"/>
      <c r="K462" s="254"/>
      <c r="L462" s="255">
        <f t="shared" si="91"/>
        <v>240</v>
      </c>
      <c r="M462" s="256">
        <f t="shared" si="93"/>
        <v>240</v>
      </c>
      <c r="N462" s="257">
        <f t="shared" si="90"/>
        <v>0.5</v>
      </c>
      <c r="O462" s="261">
        <f>IFERROR(L462/SUM(D462:E462),0)</f>
        <v>0.5</v>
      </c>
    </row>
    <row r="463" spans="2:15" x14ac:dyDescent="0.25">
      <c r="B463" s="278">
        <v>254950</v>
      </c>
      <c r="C463" s="252" t="s">
        <v>32</v>
      </c>
      <c r="D463" s="259">
        <v>540</v>
      </c>
      <c r="E463" s="259">
        <v>0</v>
      </c>
      <c r="F463" s="262"/>
      <c r="G463" s="52">
        <v>180</v>
      </c>
      <c r="H463" s="52"/>
      <c r="I463" s="52"/>
      <c r="J463" s="52"/>
      <c r="K463" s="254"/>
      <c r="L463" s="255">
        <f t="shared" si="91"/>
        <v>180</v>
      </c>
      <c r="M463" s="256">
        <f t="shared" si="93"/>
        <v>360</v>
      </c>
      <c r="N463" s="257">
        <f t="shared" si="90"/>
        <v>0.33333333333333331</v>
      </c>
      <c r="O463" s="261">
        <f t="shared" ref="O463:O469" si="94">IFERROR(L463/SUM(D463:E463),0)</f>
        <v>0.33333333333333331</v>
      </c>
    </row>
    <row r="464" spans="2:15" x14ac:dyDescent="0.25">
      <c r="B464" s="279">
        <v>255341</v>
      </c>
      <c r="C464" s="252" t="s">
        <v>50</v>
      </c>
      <c r="D464" s="259">
        <v>450</v>
      </c>
      <c r="E464" s="260">
        <v>450</v>
      </c>
      <c r="F464" s="262">
        <v>225</v>
      </c>
      <c r="G464" s="52"/>
      <c r="H464" s="52"/>
      <c r="I464" s="52"/>
      <c r="J464" s="52">
        <v>450</v>
      </c>
      <c r="K464" s="254">
        <v>225</v>
      </c>
      <c r="L464" s="255">
        <f t="shared" si="91"/>
        <v>900</v>
      </c>
      <c r="M464" s="256">
        <f t="shared" si="93"/>
        <v>0</v>
      </c>
      <c r="N464" s="257">
        <f t="shared" si="90"/>
        <v>2</v>
      </c>
      <c r="O464" s="261">
        <f t="shared" si="94"/>
        <v>1</v>
      </c>
    </row>
    <row r="465" spans="2:15" x14ac:dyDescent="0.25">
      <c r="B465" s="277">
        <v>254963</v>
      </c>
      <c r="C465" s="252" t="s">
        <v>27</v>
      </c>
      <c r="D465" s="259">
        <v>225</v>
      </c>
      <c r="E465" s="260">
        <v>0</v>
      </c>
      <c r="F465" s="262"/>
      <c r="G465" s="52"/>
      <c r="H465" s="52"/>
      <c r="I465" s="52"/>
      <c r="J465" s="52"/>
      <c r="K465" s="254"/>
      <c r="L465" s="255">
        <f t="shared" si="91"/>
        <v>0</v>
      </c>
      <c r="M465" s="256">
        <f t="shared" si="93"/>
        <v>225</v>
      </c>
      <c r="N465" s="257">
        <f t="shared" si="90"/>
        <v>0</v>
      </c>
      <c r="O465" s="261">
        <f t="shared" si="94"/>
        <v>0</v>
      </c>
    </row>
    <row r="466" spans="2:15" x14ac:dyDescent="0.25">
      <c r="B466" s="278">
        <v>251632</v>
      </c>
      <c r="C466" s="60" t="s">
        <v>51</v>
      </c>
      <c r="D466" s="259">
        <v>0</v>
      </c>
      <c r="E466" s="259">
        <v>0</v>
      </c>
      <c r="F466" s="262"/>
      <c r="G466" s="52"/>
      <c r="H466" s="52"/>
      <c r="I466" s="52"/>
      <c r="J466" s="52"/>
      <c r="K466" s="254"/>
      <c r="L466" s="255">
        <f t="shared" si="91"/>
        <v>0</v>
      </c>
      <c r="M466" s="256">
        <f t="shared" si="93"/>
        <v>0</v>
      </c>
      <c r="N466" s="257">
        <f t="shared" si="90"/>
        <v>0</v>
      </c>
      <c r="O466" s="261">
        <f t="shared" si="94"/>
        <v>0</v>
      </c>
    </row>
    <row r="467" spans="2:15" x14ac:dyDescent="0.25">
      <c r="B467" s="277">
        <v>251406</v>
      </c>
      <c r="C467" s="252" t="s">
        <v>42</v>
      </c>
      <c r="D467" s="253">
        <v>360</v>
      </c>
      <c r="E467" s="253">
        <v>0</v>
      </c>
      <c r="F467" s="262"/>
      <c r="G467" s="52"/>
      <c r="H467" s="52"/>
      <c r="I467" s="52"/>
      <c r="J467" s="52">
        <v>180</v>
      </c>
      <c r="K467" s="254"/>
      <c r="L467" s="255">
        <f t="shared" si="91"/>
        <v>180</v>
      </c>
      <c r="M467" s="256">
        <f t="shared" si="93"/>
        <v>180</v>
      </c>
      <c r="N467" s="257">
        <f t="shared" si="90"/>
        <v>0.5</v>
      </c>
      <c r="O467" s="261">
        <f t="shared" si="94"/>
        <v>0.5</v>
      </c>
    </row>
    <row r="468" spans="2:15" x14ac:dyDescent="0.25">
      <c r="B468" s="279">
        <v>254987</v>
      </c>
      <c r="C468" s="252" t="s">
        <v>25</v>
      </c>
      <c r="D468" s="253">
        <v>0</v>
      </c>
      <c r="E468" s="253">
        <f>357*2</f>
        <v>714</v>
      </c>
      <c r="F468" s="262"/>
      <c r="G468" s="52">
        <v>357</v>
      </c>
      <c r="H468" s="52">
        <v>357</v>
      </c>
      <c r="I468" s="52"/>
      <c r="J468" s="52"/>
      <c r="K468" s="254"/>
      <c r="L468" s="255">
        <f t="shared" si="91"/>
        <v>714</v>
      </c>
      <c r="M468" s="256">
        <f t="shared" si="93"/>
        <v>0</v>
      </c>
      <c r="N468" s="257" t="str">
        <f t="shared" si="90"/>
        <v>REQ ADICIONAL</v>
      </c>
      <c r="O468" s="261">
        <f t="shared" si="94"/>
        <v>1</v>
      </c>
    </row>
    <row r="469" spans="2:15" x14ac:dyDescent="0.25">
      <c r="B469" s="277">
        <v>255362</v>
      </c>
      <c r="C469" s="252" t="s">
        <v>58</v>
      </c>
      <c r="D469" s="253">
        <v>160</v>
      </c>
      <c r="E469" s="253">
        <v>640</v>
      </c>
      <c r="F469" s="262">
        <v>80</v>
      </c>
      <c r="G469" s="3"/>
      <c r="H469" s="52">
        <f>3*80</f>
        <v>240</v>
      </c>
      <c r="I469" s="52"/>
      <c r="J469" s="52">
        <v>240</v>
      </c>
      <c r="K469" s="254">
        <v>240</v>
      </c>
      <c r="L469" s="255">
        <f t="shared" si="91"/>
        <v>800</v>
      </c>
      <c r="M469" s="256">
        <f t="shared" si="93"/>
        <v>0</v>
      </c>
      <c r="N469" s="257">
        <f t="shared" si="90"/>
        <v>5</v>
      </c>
      <c r="O469" s="261">
        <f t="shared" si="94"/>
        <v>1</v>
      </c>
    </row>
    <row r="470" spans="2:15" ht="15.75" thickBot="1" x14ac:dyDescent="0.3">
      <c r="B470" s="280">
        <v>255429</v>
      </c>
      <c r="C470" s="62" t="s">
        <v>52</v>
      </c>
      <c r="D470" s="265">
        <v>250</v>
      </c>
      <c r="E470" s="265">
        <v>0</v>
      </c>
      <c r="F470" s="281"/>
      <c r="G470" s="33"/>
      <c r="H470" s="33"/>
      <c r="I470" s="57"/>
      <c r="J470" s="57"/>
      <c r="K470" s="51"/>
      <c r="L470" s="267">
        <f t="shared" si="91"/>
        <v>0</v>
      </c>
      <c r="M470" s="268">
        <f t="shared" si="93"/>
        <v>250</v>
      </c>
      <c r="N470" s="269">
        <f t="shared" si="90"/>
        <v>0</v>
      </c>
      <c r="O470" s="270">
        <f>IFERROR(L470/SUM(D470:E470),0)</f>
        <v>0</v>
      </c>
    </row>
    <row r="471" spans="2:15" ht="16.5" thickBot="1" x14ac:dyDescent="0.3">
      <c r="B471" s="682" t="s">
        <v>87</v>
      </c>
      <c r="C471" s="683"/>
      <c r="D471" s="271">
        <f>SUM(D449:D470)</f>
        <v>7565</v>
      </c>
      <c r="E471" s="272">
        <f t="shared" ref="E471:M471" si="95">SUM(E449:E470)</f>
        <v>2514</v>
      </c>
      <c r="F471" s="273">
        <f t="shared" si="95"/>
        <v>1010</v>
      </c>
      <c r="G471" s="157">
        <f t="shared" si="95"/>
        <v>1842</v>
      </c>
      <c r="H471" s="157">
        <f t="shared" si="95"/>
        <v>1902</v>
      </c>
      <c r="I471" s="157">
        <f t="shared" si="95"/>
        <v>0</v>
      </c>
      <c r="J471" s="157">
        <f t="shared" si="95"/>
        <v>2190</v>
      </c>
      <c r="K471" s="157">
        <f t="shared" si="95"/>
        <v>1030</v>
      </c>
      <c r="L471" s="155">
        <f t="shared" si="95"/>
        <v>7974</v>
      </c>
      <c r="M471" s="282">
        <f t="shared" si="95"/>
        <v>2105</v>
      </c>
      <c r="N471" s="275">
        <f>L471/D471</f>
        <v>1.0540647719762062</v>
      </c>
      <c r="O471" s="276">
        <f>+L471/SUM(D471:E471)</f>
        <v>0.79114991566623671</v>
      </c>
    </row>
    <row r="473" spans="2:15" ht="15.75" thickBot="1" x14ac:dyDescent="0.3"/>
    <row r="474" spans="2:15" ht="15.75" x14ac:dyDescent="0.25">
      <c r="B474" s="679" t="s">
        <v>107</v>
      </c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1"/>
    </row>
    <row r="475" spans="2:15" ht="30" x14ac:dyDescent="0.25">
      <c r="B475" s="106" t="s">
        <v>34</v>
      </c>
      <c r="C475" s="30" t="s">
        <v>9</v>
      </c>
      <c r="D475" s="108" t="s">
        <v>85</v>
      </c>
      <c r="E475" s="163" t="s">
        <v>86</v>
      </c>
      <c r="F475" s="117">
        <v>42980</v>
      </c>
      <c r="G475" s="117">
        <f>+F475+2</f>
        <v>42982</v>
      </c>
      <c r="H475" s="117">
        <f>+G475+1</f>
        <v>42983</v>
      </c>
      <c r="I475" s="117">
        <f>+H475+1</f>
        <v>42984</v>
      </c>
      <c r="J475" s="117">
        <f>+I475+1</f>
        <v>42985</v>
      </c>
      <c r="K475" s="117">
        <f>+J475+1</f>
        <v>42986</v>
      </c>
      <c r="L475" s="108" t="s">
        <v>87</v>
      </c>
      <c r="M475" s="164" t="s">
        <v>88</v>
      </c>
      <c r="N475" s="117" t="s">
        <v>89</v>
      </c>
      <c r="O475" s="235" t="s">
        <v>90</v>
      </c>
    </row>
    <row r="476" spans="2:15" x14ac:dyDescent="0.25">
      <c r="B476" s="277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8">
        <f>SUM(F476:K476)</f>
        <v>540</v>
      </c>
      <c r="M476" s="143">
        <f>+SUM(D476:E476)-L476</f>
        <v>0</v>
      </c>
      <c r="N476" s="121">
        <f t="shared" ref="N476:N497" si="96">IF(L476=0,0,IFERROR(L476/D476,"REQ ADICIONAL"))</f>
        <v>3</v>
      </c>
      <c r="O476" s="186">
        <f>IFERROR(L476/SUM(D476:E476),0)</f>
        <v>1</v>
      </c>
    </row>
    <row r="477" spans="2:15" x14ac:dyDescent="0.25">
      <c r="B477" s="277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8">
        <f t="shared" ref="L477:L497" si="97">SUM(F477:K477)</f>
        <v>360</v>
      </c>
      <c r="M477" s="143">
        <f>+SUM(D477:E477)-L477</f>
        <v>0</v>
      </c>
      <c r="N477" s="121" t="str">
        <f t="shared" si="96"/>
        <v>REQ ADICIONAL</v>
      </c>
      <c r="O477" s="186">
        <f t="shared" ref="O477:O488" si="98">IFERROR(L477/SUM(D477:E477),0)</f>
        <v>1</v>
      </c>
    </row>
    <row r="478" spans="2:15" x14ac:dyDescent="0.25">
      <c r="B478" s="277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8">
        <f t="shared" si="97"/>
        <v>180</v>
      </c>
      <c r="M478" s="143">
        <f>+SUM(D478:E478)-L478</f>
        <v>0</v>
      </c>
      <c r="N478" s="121">
        <f t="shared" si="96"/>
        <v>1</v>
      </c>
      <c r="O478" s="186">
        <f t="shared" si="98"/>
        <v>1</v>
      </c>
    </row>
    <row r="479" spans="2:15" x14ac:dyDescent="0.25">
      <c r="B479" s="277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8">
        <f t="shared" si="97"/>
        <v>600</v>
      </c>
      <c r="M479" s="143">
        <f>+SUM(D479:E479)-L479</f>
        <v>0</v>
      </c>
      <c r="N479" s="121">
        <f t="shared" si="96"/>
        <v>5</v>
      </c>
      <c r="O479" s="186">
        <f t="shared" si="98"/>
        <v>1</v>
      </c>
    </row>
    <row r="480" spans="2:15" x14ac:dyDescent="0.25">
      <c r="B480" s="278">
        <v>251385</v>
      </c>
      <c r="C480" s="3" t="s">
        <v>4</v>
      </c>
      <c r="D480" s="55">
        <f>10*80</f>
        <v>800</v>
      </c>
      <c r="E480" s="63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8">
        <f t="shared" si="97"/>
        <v>1440</v>
      </c>
      <c r="M480" s="143">
        <f>+SUM(D480:E480)-L480</f>
        <v>0</v>
      </c>
      <c r="N480" s="121">
        <f t="shared" si="96"/>
        <v>1.8</v>
      </c>
      <c r="O480" s="186">
        <f t="shared" si="98"/>
        <v>1</v>
      </c>
    </row>
    <row r="481" spans="2:15" x14ac:dyDescent="0.25">
      <c r="B481" s="278">
        <v>251196</v>
      </c>
      <c r="C481" s="3" t="s">
        <v>5</v>
      </c>
      <c r="D481" s="55">
        <f>1*80</f>
        <v>80</v>
      </c>
      <c r="E481" s="63"/>
      <c r="F481" s="49"/>
      <c r="G481" s="52"/>
      <c r="H481" s="52"/>
      <c r="I481" s="52"/>
      <c r="J481" s="52"/>
      <c r="K481" s="52"/>
      <c r="L481" s="138">
        <f t="shared" si="97"/>
        <v>0</v>
      </c>
      <c r="M481" s="143">
        <f t="shared" ref="M481:M497" si="99">+SUM(D481:E481)-L481</f>
        <v>80</v>
      </c>
      <c r="N481" s="121">
        <f t="shared" si="96"/>
        <v>0</v>
      </c>
      <c r="O481" s="186">
        <f t="shared" si="98"/>
        <v>0</v>
      </c>
    </row>
    <row r="482" spans="2:15" x14ac:dyDescent="0.25">
      <c r="B482" s="278">
        <v>250524</v>
      </c>
      <c r="C482" s="3" t="s">
        <v>6</v>
      </c>
      <c r="D482" s="55"/>
      <c r="E482" s="63"/>
      <c r="F482" s="49"/>
      <c r="G482" s="52"/>
      <c r="H482" s="52"/>
      <c r="I482" s="52"/>
      <c r="J482" s="52"/>
      <c r="K482" s="52"/>
      <c r="L482" s="138">
        <f t="shared" si="97"/>
        <v>0</v>
      </c>
      <c r="M482" s="143">
        <f t="shared" si="99"/>
        <v>0</v>
      </c>
      <c r="N482" s="121">
        <f t="shared" si="96"/>
        <v>0</v>
      </c>
      <c r="O482" s="186">
        <f t="shared" si="98"/>
        <v>0</v>
      </c>
    </row>
    <row r="483" spans="2:15" x14ac:dyDescent="0.25">
      <c r="B483" s="278">
        <v>252534</v>
      </c>
      <c r="C483" s="3" t="s">
        <v>7</v>
      </c>
      <c r="D483" s="55">
        <f>2*225</f>
        <v>450</v>
      </c>
      <c r="E483" s="63"/>
      <c r="F483" s="49">
        <v>225</v>
      </c>
      <c r="G483" s="52"/>
      <c r="H483" s="52"/>
      <c r="I483" s="52">
        <v>225</v>
      </c>
      <c r="J483" s="52"/>
      <c r="K483" s="52"/>
      <c r="L483" s="138">
        <f t="shared" si="97"/>
        <v>450</v>
      </c>
      <c r="M483" s="143">
        <f t="shared" si="99"/>
        <v>0</v>
      </c>
      <c r="N483" s="121">
        <f t="shared" si="96"/>
        <v>1</v>
      </c>
      <c r="O483" s="186">
        <f t="shared" si="98"/>
        <v>1</v>
      </c>
    </row>
    <row r="484" spans="2:15" x14ac:dyDescent="0.25">
      <c r="B484" s="278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8">
        <f t="shared" si="97"/>
        <v>450</v>
      </c>
      <c r="M484" s="143">
        <f t="shared" si="99"/>
        <v>0</v>
      </c>
      <c r="N484" s="121">
        <f t="shared" si="96"/>
        <v>2</v>
      </c>
      <c r="O484" s="186">
        <f t="shared" si="98"/>
        <v>1</v>
      </c>
    </row>
    <row r="485" spans="2:15" x14ac:dyDescent="0.25">
      <c r="B485" s="278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8">
        <f t="shared" si="97"/>
        <v>675</v>
      </c>
      <c r="M485" s="143">
        <f t="shared" si="99"/>
        <v>0</v>
      </c>
      <c r="N485" s="121" t="str">
        <f t="shared" si="96"/>
        <v>REQ ADICIONAL</v>
      </c>
      <c r="O485" s="186">
        <f t="shared" si="98"/>
        <v>1</v>
      </c>
    </row>
    <row r="486" spans="2:15" x14ac:dyDescent="0.25">
      <c r="B486" s="277">
        <v>255430</v>
      </c>
      <c r="C486" s="3" t="s">
        <v>53</v>
      </c>
      <c r="D486" s="55"/>
      <c r="E486" s="63">
        <v>500</v>
      </c>
      <c r="F486" s="49"/>
      <c r="G486" s="52">
        <v>250</v>
      </c>
      <c r="H486" s="52"/>
      <c r="I486" s="52"/>
      <c r="J486" s="52"/>
      <c r="K486" s="52">
        <v>250</v>
      </c>
      <c r="L486" s="138">
        <f t="shared" si="97"/>
        <v>500</v>
      </c>
      <c r="M486" s="143">
        <f t="shared" si="99"/>
        <v>0</v>
      </c>
      <c r="N486" s="121" t="str">
        <f t="shared" si="96"/>
        <v>REQ ADICIONAL</v>
      </c>
      <c r="O486" s="186">
        <f t="shared" si="98"/>
        <v>1</v>
      </c>
    </row>
    <row r="487" spans="2:15" x14ac:dyDescent="0.25">
      <c r="B487" s="278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8">
        <f t="shared" si="97"/>
        <v>0</v>
      </c>
      <c r="M487" s="143">
        <f t="shared" si="99"/>
        <v>180</v>
      </c>
      <c r="N487" s="121">
        <f t="shared" si="96"/>
        <v>0</v>
      </c>
      <c r="O487" s="186">
        <f t="shared" si="98"/>
        <v>0</v>
      </c>
    </row>
    <row r="488" spans="2:15" x14ac:dyDescent="0.25">
      <c r="B488" s="277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8">
        <f t="shared" si="97"/>
        <v>675</v>
      </c>
      <c r="M488" s="143">
        <f t="shared" si="99"/>
        <v>0</v>
      </c>
      <c r="N488" s="121">
        <f t="shared" si="96"/>
        <v>1</v>
      </c>
      <c r="O488" s="187">
        <f t="shared" si="98"/>
        <v>1</v>
      </c>
    </row>
    <row r="489" spans="2:15" x14ac:dyDescent="0.25">
      <c r="B489" s="278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8">
        <f t="shared" si="97"/>
        <v>0</v>
      </c>
      <c r="M489" s="143">
        <f t="shared" si="99"/>
        <v>120</v>
      </c>
      <c r="N489" s="121">
        <f t="shared" si="96"/>
        <v>0</v>
      </c>
      <c r="O489" s="187">
        <f>IFERROR(L489/SUM(D489:E489),0)</f>
        <v>0</v>
      </c>
    </row>
    <row r="490" spans="2:15" x14ac:dyDescent="0.25">
      <c r="B490" s="278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8">
        <f t="shared" si="97"/>
        <v>180</v>
      </c>
      <c r="M490" s="143">
        <f t="shared" si="99"/>
        <v>180</v>
      </c>
      <c r="N490" s="121">
        <f t="shared" si="96"/>
        <v>0.5</v>
      </c>
      <c r="O490" s="187">
        <f t="shared" ref="O490:O496" si="100">IFERROR(L490/SUM(D490:E490),0)</f>
        <v>0.5</v>
      </c>
    </row>
    <row r="491" spans="2:15" x14ac:dyDescent="0.25">
      <c r="B491" s="279">
        <v>255341</v>
      </c>
      <c r="C491" s="3" t="s">
        <v>50</v>
      </c>
      <c r="D491" s="55">
        <f>1*225</f>
        <v>225</v>
      </c>
      <c r="E491" s="63"/>
      <c r="F491" s="49"/>
      <c r="G491" s="52"/>
      <c r="H491" s="52"/>
      <c r="I491" s="52">
        <v>225</v>
      </c>
      <c r="J491" s="52"/>
      <c r="K491" s="52"/>
      <c r="L491" s="138">
        <f t="shared" si="97"/>
        <v>225</v>
      </c>
      <c r="M491" s="143">
        <f t="shared" si="99"/>
        <v>0</v>
      </c>
      <c r="N491" s="121">
        <f t="shared" si="96"/>
        <v>1</v>
      </c>
      <c r="O491" s="187">
        <f t="shared" si="100"/>
        <v>1</v>
      </c>
    </row>
    <row r="492" spans="2:15" x14ac:dyDescent="0.25">
      <c r="B492" s="277">
        <v>254963</v>
      </c>
      <c r="C492" s="3" t="s">
        <v>27</v>
      </c>
      <c r="D492" s="55">
        <f>1*225</f>
        <v>225</v>
      </c>
      <c r="E492" s="63"/>
      <c r="F492" s="49"/>
      <c r="G492" s="52">
        <v>225</v>
      </c>
      <c r="H492" s="52"/>
      <c r="I492" s="52"/>
      <c r="J492" s="52"/>
      <c r="K492" s="52"/>
      <c r="L492" s="138">
        <f t="shared" si="97"/>
        <v>225</v>
      </c>
      <c r="M492" s="143">
        <f t="shared" si="99"/>
        <v>0</v>
      </c>
      <c r="N492" s="121">
        <f t="shared" si="96"/>
        <v>1</v>
      </c>
      <c r="O492" s="187">
        <f t="shared" si="100"/>
        <v>1</v>
      </c>
    </row>
    <row r="493" spans="2:15" x14ac:dyDescent="0.25">
      <c r="B493" s="278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8">
        <f t="shared" si="97"/>
        <v>360</v>
      </c>
      <c r="M493" s="143">
        <f t="shared" si="99"/>
        <v>0</v>
      </c>
      <c r="N493" s="121" t="str">
        <f t="shared" si="96"/>
        <v>REQ ADICIONAL</v>
      </c>
      <c r="O493" s="187">
        <f t="shared" si="100"/>
        <v>1</v>
      </c>
    </row>
    <row r="494" spans="2:15" x14ac:dyDescent="0.25">
      <c r="B494" s="277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8">
        <f t="shared" si="97"/>
        <v>0</v>
      </c>
      <c r="M494" s="143">
        <f t="shared" si="99"/>
        <v>180</v>
      </c>
      <c r="N494" s="121">
        <f t="shared" si="96"/>
        <v>0</v>
      </c>
      <c r="O494" s="187">
        <f t="shared" si="100"/>
        <v>0</v>
      </c>
    </row>
    <row r="495" spans="2:15" x14ac:dyDescent="0.25">
      <c r="B495" s="279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8">
        <f t="shared" si="97"/>
        <v>357</v>
      </c>
      <c r="M495" s="143">
        <f t="shared" si="99"/>
        <v>0</v>
      </c>
      <c r="N495" s="121">
        <f t="shared" si="96"/>
        <v>1</v>
      </c>
      <c r="O495" s="187">
        <f t="shared" si="100"/>
        <v>1</v>
      </c>
    </row>
    <row r="496" spans="2:15" x14ac:dyDescent="0.25">
      <c r="B496" s="277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8">
        <f t="shared" si="97"/>
        <v>240</v>
      </c>
      <c r="M496" s="143">
        <f t="shared" si="99"/>
        <v>80</v>
      </c>
      <c r="N496" s="121">
        <f t="shared" si="96"/>
        <v>0.75</v>
      </c>
      <c r="O496" s="187">
        <f t="shared" si="100"/>
        <v>0.75</v>
      </c>
    </row>
    <row r="497" spans="2:15" x14ac:dyDescent="0.25">
      <c r="B497" s="277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8">
        <f t="shared" si="97"/>
        <v>750</v>
      </c>
      <c r="M497" s="143">
        <f t="shared" si="99"/>
        <v>0</v>
      </c>
      <c r="N497" s="121">
        <f t="shared" si="96"/>
        <v>3</v>
      </c>
      <c r="O497" s="187">
        <f>IFERROR(L497/SUM(D497:E497),0)</f>
        <v>1</v>
      </c>
    </row>
    <row r="498" spans="2:15" x14ac:dyDescent="0.25">
      <c r="B498" s="277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8">
        <f>SUM(F498:K498)</f>
        <v>260</v>
      </c>
      <c r="M498" s="143">
        <f>+SUM(D498:E498)-L498</f>
        <v>260</v>
      </c>
      <c r="N498" s="121">
        <f>IF(L498=0,0,IFERROR(L498/D498,"REQ ADICIONAL"))</f>
        <v>0.5</v>
      </c>
      <c r="O498" s="186">
        <f>IFERROR(L498/SUM(D498:E498),0)</f>
        <v>0.5</v>
      </c>
    </row>
    <row r="499" spans="2:15" x14ac:dyDescent="0.25">
      <c r="B499" s="277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8">
        <f>SUM(F499:K499)</f>
        <v>342</v>
      </c>
      <c r="M499" s="143">
        <f>+SUM(D499:E499)-L499</f>
        <v>0</v>
      </c>
      <c r="N499" s="121" t="str">
        <f>IF(L499=0,0,IFERROR(L499/D499,"REQ ADICIONAL"))</f>
        <v>REQ ADICIONAL</v>
      </c>
      <c r="O499" s="186">
        <f>IFERROR(L499/SUM(D499:E499),0)</f>
        <v>1</v>
      </c>
    </row>
    <row r="500" spans="2:15" ht="16.5" thickBot="1" x14ac:dyDescent="0.3">
      <c r="B500" s="675" t="s">
        <v>87</v>
      </c>
      <c r="C500" s="674"/>
      <c r="D500" s="236">
        <f>SUM(D476:D499)</f>
        <v>5447</v>
      </c>
      <c r="E500" s="283">
        <f>SUM(E476:E499)</f>
        <v>4442</v>
      </c>
      <c r="F500" s="238">
        <f t="shared" ref="F500:K500" si="101">SUM(F476:F497)</f>
        <v>1087</v>
      </c>
      <c r="G500" s="238">
        <f>SUM(G476:G499)</f>
        <v>1880</v>
      </c>
      <c r="H500" s="238">
        <f t="shared" si="101"/>
        <v>785</v>
      </c>
      <c r="I500" s="238">
        <f t="shared" si="101"/>
        <v>1035</v>
      </c>
      <c r="J500" s="238">
        <f>SUM(J476:J499)</f>
        <v>2537</v>
      </c>
      <c r="K500" s="238">
        <f t="shared" si="101"/>
        <v>1485</v>
      </c>
      <c r="L500" s="236">
        <f>SUM(L476:L499)</f>
        <v>8809</v>
      </c>
      <c r="M500" s="284">
        <f>SUM(M476:M499)</f>
        <v>1080</v>
      </c>
      <c r="N500" s="241">
        <f>L500/D500</f>
        <v>1.6172204883422068</v>
      </c>
      <c r="O500" s="242">
        <f>+L500/SUM(D500:E500)</f>
        <v>0.89078774395793303</v>
      </c>
    </row>
    <row r="502" spans="2:15" ht="15.75" thickBot="1" x14ac:dyDescent="0.3"/>
    <row r="503" spans="2:15" ht="15.75" x14ac:dyDescent="0.25">
      <c r="B503" s="679" t="s">
        <v>108</v>
      </c>
      <c r="C503" s="680"/>
      <c r="D503" s="680"/>
      <c r="E503" s="680"/>
      <c r="F503" s="680"/>
      <c r="G503" s="680"/>
      <c r="H503" s="680"/>
      <c r="I503" s="680"/>
      <c r="J503" s="680"/>
      <c r="K503" s="680"/>
      <c r="L503" s="680"/>
      <c r="M503" s="680"/>
      <c r="N503" s="680"/>
      <c r="O503" s="681"/>
    </row>
    <row r="504" spans="2:15" ht="30" x14ac:dyDescent="0.25">
      <c r="B504" s="106" t="s">
        <v>34</v>
      </c>
      <c r="C504" s="30" t="s">
        <v>9</v>
      </c>
      <c r="D504" s="108" t="s">
        <v>85</v>
      </c>
      <c r="E504" s="163" t="s">
        <v>86</v>
      </c>
      <c r="F504" s="117">
        <v>42987</v>
      </c>
      <c r="G504" s="117">
        <f>+F504+2</f>
        <v>42989</v>
      </c>
      <c r="H504" s="117">
        <f>+G504+1</f>
        <v>42990</v>
      </c>
      <c r="I504" s="117">
        <f>+H504+1</f>
        <v>42991</v>
      </c>
      <c r="J504" s="117">
        <f>+I504+1</f>
        <v>42992</v>
      </c>
      <c r="K504" s="117">
        <f>+J504+1</f>
        <v>42993</v>
      </c>
      <c r="L504" s="108" t="s">
        <v>87</v>
      </c>
      <c r="M504" s="164" t="s">
        <v>88</v>
      </c>
      <c r="N504" s="117" t="s">
        <v>89</v>
      </c>
      <c r="O504" s="235" t="s">
        <v>90</v>
      </c>
    </row>
    <row r="505" spans="2:15" x14ac:dyDescent="0.25">
      <c r="B505" s="277">
        <v>254849</v>
      </c>
      <c r="C505" s="3" t="s">
        <v>0</v>
      </c>
      <c r="D505" s="285">
        <v>0</v>
      </c>
      <c r="E505" s="52"/>
      <c r="F505" s="49"/>
      <c r="G505" s="52"/>
      <c r="H505" s="52"/>
      <c r="I505" s="52"/>
      <c r="J505" s="52"/>
      <c r="K505" s="52"/>
      <c r="L505" s="138">
        <f>SUM(F505:K505)</f>
        <v>0</v>
      </c>
      <c r="M505" s="143">
        <f>+SUM(D505:E505)-L505</f>
        <v>0</v>
      </c>
      <c r="N505" s="121">
        <f t="shared" ref="N505:N526" si="102">IF(L505=0,0,IFERROR(L505/D505,"REQ ADICIONAL"))</f>
        <v>0</v>
      </c>
      <c r="O505" s="186">
        <f>IFERROR(L505/SUM(D505:E505),0)</f>
        <v>0</v>
      </c>
    </row>
    <row r="506" spans="2:15" x14ac:dyDescent="0.25">
      <c r="B506" s="277">
        <v>254851</v>
      </c>
      <c r="C506" s="3" t="s">
        <v>1</v>
      </c>
      <c r="D506" s="229">
        <v>180</v>
      </c>
      <c r="E506" s="55"/>
      <c r="F506" s="49"/>
      <c r="G506" s="52"/>
      <c r="H506" s="52"/>
      <c r="I506" s="52"/>
      <c r="J506" s="52"/>
      <c r="K506" s="52"/>
      <c r="L506" s="138">
        <f t="shared" ref="L506:L526" si="103">SUM(F506:K506)</f>
        <v>0</v>
      </c>
      <c r="M506" s="143">
        <f>+SUM(D506:E506)-L506</f>
        <v>180</v>
      </c>
      <c r="N506" s="121">
        <f t="shared" si="102"/>
        <v>0</v>
      </c>
      <c r="O506" s="186">
        <f t="shared" ref="O506:O517" si="104">IFERROR(L506/SUM(D506:E506),0)</f>
        <v>0</v>
      </c>
    </row>
    <row r="507" spans="2:15" x14ac:dyDescent="0.25">
      <c r="B507" s="277">
        <v>254853</v>
      </c>
      <c r="C507" s="3" t="s">
        <v>2</v>
      </c>
      <c r="D507" s="229">
        <f>2*180</f>
        <v>360</v>
      </c>
      <c r="E507" s="55"/>
      <c r="F507" s="49"/>
      <c r="G507" s="52"/>
      <c r="H507" s="52"/>
      <c r="I507" s="52"/>
      <c r="J507" s="52"/>
      <c r="K507" s="52"/>
      <c r="L507" s="138">
        <f t="shared" si="103"/>
        <v>0</v>
      </c>
      <c r="M507" s="143">
        <f>+SUM(D507:E507)-L507</f>
        <v>360</v>
      </c>
      <c r="N507" s="121">
        <f t="shared" si="102"/>
        <v>0</v>
      </c>
      <c r="O507" s="186">
        <f t="shared" si="104"/>
        <v>0</v>
      </c>
    </row>
    <row r="508" spans="2:15" x14ac:dyDescent="0.25">
      <c r="B508" s="277">
        <v>254850</v>
      </c>
      <c r="C508" s="3" t="s">
        <v>3</v>
      </c>
      <c r="D508" s="229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8">
        <f t="shared" si="103"/>
        <v>240</v>
      </c>
      <c r="M508" s="143">
        <f>+SUM(D508:E508)-L508</f>
        <v>0</v>
      </c>
      <c r="N508" s="121">
        <f t="shared" si="102"/>
        <v>1</v>
      </c>
      <c r="O508" s="186">
        <f t="shared" si="104"/>
        <v>1</v>
      </c>
    </row>
    <row r="509" spans="2:15" x14ac:dyDescent="0.25">
      <c r="B509" s="278">
        <v>251385</v>
      </c>
      <c r="C509" s="3" t="s">
        <v>4</v>
      </c>
      <c r="D509" s="229">
        <f>48*80</f>
        <v>3840</v>
      </c>
      <c r="E509" s="63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8">
        <f t="shared" si="103"/>
        <v>4000</v>
      </c>
      <c r="M509" s="143">
        <f>+SUM(D509:E509)-L509</f>
        <v>0</v>
      </c>
      <c r="N509" s="121">
        <f t="shared" si="102"/>
        <v>1.0416666666666667</v>
      </c>
      <c r="O509" s="186">
        <f t="shared" si="104"/>
        <v>1</v>
      </c>
    </row>
    <row r="510" spans="2:15" x14ac:dyDescent="0.25">
      <c r="B510" s="278">
        <v>251196</v>
      </c>
      <c r="C510" s="3" t="s">
        <v>5</v>
      </c>
      <c r="D510" s="229">
        <f>320</f>
        <v>320</v>
      </c>
      <c r="E510" s="63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8">
        <f t="shared" si="103"/>
        <v>2000</v>
      </c>
      <c r="M510" s="143">
        <f t="shared" ref="M510:M526" si="105">+SUM(D510:E510)-L510</f>
        <v>0</v>
      </c>
      <c r="N510" s="121">
        <f t="shared" si="102"/>
        <v>6.25</v>
      </c>
      <c r="O510" s="186">
        <f t="shared" si="104"/>
        <v>1</v>
      </c>
    </row>
    <row r="511" spans="2:15" x14ac:dyDescent="0.25">
      <c r="B511" s="278">
        <v>250524</v>
      </c>
      <c r="C511" s="3" t="s">
        <v>6</v>
      </c>
      <c r="D511" s="229">
        <f>80</f>
        <v>80</v>
      </c>
      <c r="E511" s="63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8">
        <f>SUM(F511:K511)</f>
        <v>1600</v>
      </c>
      <c r="M511" s="143">
        <f t="shared" si="105"/>
        <v>0</v>
      </c>
      <c r="N511" s="121">
        <f t="shared" si="102"/>
        <v>20</v>
      </c>
      <c r="O511" s="186">
        <f t="shared" si="104"/>
        <v>1</v>
      </c>
    </row>
    <row r="512" spans="2:15" x14ac:dyDescent="0.25">
      <c r="B512" s="278">
        <v>252534</v>
      </c>
      <c r="C512" s="3" t="s">
        <v>7</v>
      </c>
      <c r="D512" s="229">
        <v>225</v>
      </c>
      <c r="E512" s="63">
        <v>225</v>
      </c>
      <c r="F512" s="49"/>
      <c r="G512" s="52">
        <v>225</v>
      </c>
      <c r="H512" s="52"/>
      <c r="I512" s="52"/>
      <c r="J512" s="52">
        <v>45</v>
      </c>
      <c r="K512" s="52"/>
      <c r="L512" s="138">
        <f>SUM(F512:K512)</f>
        <v>270</v>
      </c>
      <c r="M512" s="143">
        <f t="shared" si="105"/>
        <v>180</v>
      </c>
      <c r="N512" s="121">
        <f t="shared" si="102"/>
        <v>1.2</v>
      </c>
      <c r="O512" s="186">
        <f t="shared" si="104"/>
        <v>0.6</v>
      </c>
    </row>
    <row r="513" spans="2:15" x14ac:dyDescent="0.25">
      <c r="B513" s="278">
        <v>251151</v>
      </c>
      <c r="C513" s="3" t="s">
        <v>8</v>
      </c>
      <c r="D513" s="229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8">
        <f t="shared" si="103"/>
        <v>225</v>
      </c>
      <c r="M513" s="143">
        <f t="shared" si="105"/>
        <v>225</v>
      </c>
      <c r="N513" s="121">
        <f t="shared" si="102"/>
        <v>0.5</v>
      </c>
      <c r="O513" s="186">
        <f t="shared" si="104"/>
        <v>0.5</v>
      </c>
    </row>
    <row r="514" spans="2:15" x14ac:dyDescent="0.25">
      <c r="B514" s="278">
        <v>254852</v>
      </c>
      <c r="C514" s="3" t="s">
        <v>17</v>
      </c>
      <c r="D514" s="229">
        <v>0</v>
      </c>
      <c r="E514" s="55"/>
      <c r="F514" s="49"/>
      <c r="G514" s="52"/>
      <c r="H514" s="52"/>
      <c r="I514" s="52"/>
      <c r="J514" s="52"/>
      <c r="K514" s="52"/>
      <c r="L514" s="138">
        <f t="shared" si="103"/>
        <v>0</v>
      </c>
      <c r="M514" s="143">
        <f t="shared" si="105"/>
        <v>0</v>
      </c>
      <c r="N514" s="121">
        <f t="shared" si="102"/>
        <v>0</v>
      </c>
      <c r="O514" s="186">
        <f t="shared" si="104"/>
        <v>0</v>
      </c>
    </row>
    <row r="515" spans="2:15" x14ac:dyDescent="0.25">
      <c r="B515" s="277">
        <v>255430</v>
      </c>
      <c r="C515" s="3" t="s">
        <v>53</v>
      </c>
      <c r="D515" s="229">
        <v>0</v>
      </c>
      <c r="E515" s="63"/>
      <c r="F515" s="49"/>
      <c r="G515" s="52"/>
      <c r="H515" s="52"/>
      <c r="I515" s="52"/>
      <c r="J515" s="52"/>
      <c r="K515" s="52"/>
      <c r="L515" s="138">
        <f t="shared" si="103"/>
        <v>0</v>
      </c>
      <c r="M515" s="143">
        <f t="shared" si="105"/>
        <v>0</v>
      </c>
      <c r="N515" s="121">
        <f t="shared" si="102"/>
        <v>0</v>
      </c>
      <c r="O515" s="186">
        <f t="shared" si="104"/>
        <v>0</v>
      </c>
    </row>
    <row r="516" spans="2:15" x14ac:dyDescent="0.25">
      <c r="B516" s="278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8">
        <f t="shared" si="103"/>
        <v>180</v>
      </c>
      <c r="M516" s="143">
        <f t="shared" si="105"/>
        <v>180</v>
      </c>
      <c r="N516" s="121">
        <f t="shared" si="102"/>
        <v>0.5</v>
      </c>
      <c r="O516" s="186">
        <f t="shared" si="104"/>
        <v>0.5</v>
      </c>
    </row>
    <row r="517" spans="2:15" x14ac:dyDescent="0.25">
      <c r="B517" s="277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8">
        <f t="shared" si="103"/>
        <v>225</v>
      </c>
      <c r="M517" s="143">
        <f t="shared" si="105"/>
        <v>225</v>
      </c>
      <c r="N517" s="121">
        <f t="shared" si="102"/>
        <v>0.5</v>
      </c>
      <c r="O517" s="187">
        <f t="shared" si="104"/>
        <v>0.5</v>
      </c>
    </row>
    <row r="518" spans="2:15" x14ac:dyDescent="0.25">
      <c r="B518" s="278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8">
        <f t="shared" si="103"/>
        <v>960</v>
      </c>
      <c r="M518" s="143">
        <f t="shared" si="105"/>
        <v>0</v>
      </c>
      <c r="N518" s="121" t="str">
        <f t="shared" si="102"/>
        <v>REQ ADICIONAL</v>
      </c>
      <c r="O518" s="187">
        <f>IFERROR(L518/SUM(D518:E518),0)</f>
        <v>1</v>
      </c>
    </row>
    <row r="519" spans="2:15" x14ac:dyDescent="0.25">
      <c r="B519" s="278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8">
        <f t="shared" si="103"/>
        <v>180</v>
      </c>
      <c r="M519" s="143">
        <f t="shared" si="105"/>
        <v>0</v>
      </c>
      <c r="N519" s="121">
        <f t="shared" si="102"/>
        <v>1</v>
      </c>
      <c r="O519" s="187">
        <f t="shared" ref="O519:O525" si="106">IFERROR(L519/SUM(D519:E519),0)</f>
        <v>1</v>
      </c>
    </row>
    <row r="520" spans="2:15" x14ac:dyDescent="0.25">
      <c r="B520" s="279">
        <v>255341</v>
      </c>
      <c r="C520" s="3" t="s">
        <v>50</v>
      </c>
      <c r="D520" s="55">
        <v>0</v>
      </c>
      <c r="E520" s="63"/>
      <c r="F520" s="49"/>
      <c r="G520" s="52"/>
      <c r="H520" s="52"/>
      <c r="I520" s="52"/>
      <c r="J520" s="52"/>
      <c r="K520" s="52"/>
      <c r="L520" s="138">
        <f t="shared" si="103"/>
        <v>0</v>
      </c>
      <c r="M520" s="143">
        <f t="shared" si="105"/>
        <v>0</v>
      </c>
      <c r="N520" s="121">
        <f t="shared" si="102"/>
        <v>0</v>
      </c>
      <c r="O520" s="187">
        <f t="shared" si="106"/>
        <v>0</v>
      </c>
    </row>
    <row r="521" spans="2:15" x14ac:dyDescent="0.25">
      <c r="B521" s="277">
        <v>254963</v>
      </c>
      <c r="C521" s="3" t="s">
        <v>27</v>
      </c>
      <c r="D521" s="55">
        <v>225</v>
      </c>
      <c r="E521" s="63"/>
      <c r="F521" s="49"/>
      <c r="G521" s="52"/>
      <c r="H521" s="52"/>
      <c r="I521" s="52"/>
      <c r="J521" s="52"/>
      <c r="K521" s="52"/>
      <c r="L521" s="138">
        <f t="shared" si="103"/>
        <v>0</v>
      </c>
      <c r="M521" s="143">
        <f t="shared" si="105"/>
        <v>225</v>
      </c>
      <c r="N521" s="121">
        <f t="shared" si="102"/>
        <v>0</v>
      </c>
      <c r="O521" s="187">
        <f t="shared" si="106"/>
        <v>0</v>
      </c>
    </row>
    <row r="522" spans="2:15" x14ac:dyDescent="0.25">
      <c r="B522" s="278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8">
        <f t="shared" si="103"/>
        <v>0</v>
      </c>
      <c r="M522" s="143">
        <f t="shared" si="105"/>
        <v>0</v>
      </c>
      <c r="N522" s="121">
        <f t="shared" si="102"/>
        <v>0</v>
      </c>
      <c r="O522" s="187">
        <f t="shared" si="106"/>
        <v>0</v>
      </c>
    </row>
    <row r="523" spans="2:15" x14ac:dyDescent="0.25">
      <c r="B523" s="277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8">
        <f t="shared" si="103"/>
        <v>180</v>
      </c>
      <c r="M523" s="143">
        <f t="shared" si="105"/>
        <v>0</v>
      </c>
      <c r="N523" s="121">
        <f t="shared" si="102"/>
        <v>1</v>
      </c>
      <c r="O523" s="187">
        <f t="shared" si="106"/>
        <v>1</v>
      </c>
    </row>
    <row r="524" spans="2:15" x14ac:dyDescent="0.25">
      <c r="B524" s="279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8">
        <f t="shared" si="103"/>
        <v>1071</v>
      </c>
      <c r="M524" s="143">
        <f t="shared" si="105"/>
        <v>0</v>
      </c>
      <c r="N524" s="121" t="str">
        <f t="shared" si="102"/>
        <v>REQ ADICIONAL</v>
      </c>
      <c r="O524" s="187">
        <f t="shared" si="106"/>
        <v>1</v>
      </c>
    </row>
    <row r="525" spans="2:15" x14ac:dyDescent="0.25">
      <c r="B525" s="277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8">
        <f t="shared" si="103"/>
        <v>0</v>
      </c>
      <c r="M525" s="143">
        <f t="shared" si="105"/>
        <v>0</v>
      </c>
      <c r="N525" s="121">
        <f t="shared" si="102"/>
        <v>0</v>
      </c>
      <c r="O525" s="187">
        <f t="shared" si="106"/>
        <v>0</v>
      </c>
    </row>
    <row r="526" spans="2:15" x14ac:dyDescent="0.25">
      <c r="B526" s="277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8">
        <f t="shared" si="103"/>
        <v>225</v>
      </c>
      <c r="M526" s="143">
        <f t="shared" si="105"/>
        <v>25</v>
      </c>
      <c r="N526" s="121">
        <f t="shared" si="102"/>
        <v>0.9</v>
      </c>
      <c r="O526" s="187">
        <f>IFERROR(L526/SUM(D526:E526),0)</f>
        <v>0.9</v>
      </c>
    </row>
    <row r="527" spans="2:15" x14ac:dyDescent="0.25">
      <c r="B527" s="277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8">
        <f>SUM(F527:K527)</f>
        <v>368</v>
      </c>
      <c r="M527" s="143">
        <f>+SUM(D527:E527)-L527</f>
        <v>152</v>
      </c>
      <c r="N527" s="121">
        <f>IF(L527=0,0,IFERROR(L527/D527,"REQ ADICIONAL"))</f>
        <v>0.70769230769230773</v>
      </c>
      <c r="O527" s="186">
        <f>IFERROR(L527/SUM(D527:E527),0)</f>
        <v>0.70769230769230773</v>
      </c>
    </row>
    <row r="528" spans="2:15" x14ac:dyDescent="0.25">
      <c r="B528" s="277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8">
        <f>SUM(F528:K528)</f>
        <v>0</v>
      </c>
      <c r="M528" s="143">
        <f>+SUM(D528:E528)-L528</f>
        <v>0</v>
      </c>
      <c r="N528" s="121">
        <f>IF(L528=0,0,IFERROR(L528/D528,"REQ ADICIONAL"))</f>
        <v>0</v>
      </c>
      <c r="O528" s="186">
        <f>IFERROR(L528/SUM(D528:E528),0)</f>
        <v>0</v>
      </c>
    </row>
    <row r="529" spans="2:15" ht="16.5" thickBot="1" x14ac:dyDescent="0.3">
      <c r="B529" s="675" t="s">
        <v>87</v>
      </c>
      <c r="C529" s="674"/>
      <c r="D529" s="236">
        <f>SUM(D505:D528)</f>
        <v>7860</v>
      </c>
      <c r="E529" s="283">
        <f>SUM(E505:E528)</f>
        <v>5616</v>
      </c>
      <c r="F529" s="238">
        <f>SUM(F505:F526)</f>
        <v>800</v>
      </c>
      <c r="G529" s="238">
        <f t="shared" ref="G529:M529" si="107">SUM(G505:G528)</f>
        <v>1095</v>
      </c>
      <c r="H529" s="238">
        <f t="shared" si="107"/>
        <v>1860</v>
      </c>
      <c r="I529" s="238">
        <f t="shared" si="107"/>
        <v>3951</v>
      </c>
      <c r="J529" s="238">
        <f t="shared" si="107"/>
        <v>1550</v>
      </c>
      <c r="K529" s="238">
        <f t="shared" si="107"/>
        <v>2468</v>
      </c>
      <c r="L529" s="236">
        <f t="shared" si="107"/>
        <v>11724</v>
      </c>
      <c r="M529" s="284">
        <f t="shared" si="107"/>
        <v>1752</v>
      </c>
      <c r="N529" s="241">
        <f>L529/D529</f>
        <v>1.4916030534351146</v>
      </c>
      <c r="O529" s="242">
        <f>+L529/SUM(D529:E529)</f>
        <v>0.86999109528049867</v>
      </c>
    </row>
    <row r="531" spans="2:15" ht="15.75" thickBot="1" x14ac:dyDescent="0.3"/>
    <row r="532" spans="2:15" ht="15.75" x14ac:dyDescent="0.25">
      <c r="B532" s="679" t="s">
        <v>109</v>
      </c>
      <c r="C532" s="680"/>
      <c r="D532" s="680"/>
      <c r="E532" s="680"/>
      <c r="F532" s="680"/>
      <c r="G532" s="680"/>
      <c r="H532" s="680"/>
      <c r="I532" s="680"/>
      <c r="J532" s="680"/>
      <c r="K532" s="680"/>
      <c r="L532" s="680"/>
      <c r="M532" s="680"/>
      <c r="N532" s="680"/>
      <c r="O532" s="681"/>
    </row>
    <row r="533" spans="2:15" ht="30" x14ac:dyDescent="0.25">
      <c r="B533" s="106" t="s">
        <v>34</v>
      </c>
      <c r="C533" s="30" t="s">
        <v>9</v>
      </c>
      <c r="D533" s="108" t="s">
        <v>85</v>
      </c>
      <c r="E533" s="163" t="s">
        <v>86</v>
      </c>
      <c r="F533" s="117">
        <v>42994</v>
      </c>
      <c r="G533" s="117">
        <f>+F533+2</f>
        <v>42996</v>
      </c>
      <c r="H533" s="117">
        <f>+G533+1</f>
        <v>42997</v>
      </c>
      <c r="I533" s="117">
        <f>+H533+1</f>
        <v>42998</v>
      </c>
      <c r="J533" s="117">
        <f>+I533+1</f>
        <v>42999</v>
      </c>
      <c r="K533" s="117">
        <f>+J533+1</f>
        <v>43000</v>
      </c>
      <c r="L533" s="108" t="s">
        <v>87</v>
      </c>
      <c r="M533" s="164" t="s">
        <v>88</v>
      </c>
      <c r="N533" s="117" t="s">
        <v>89</v>
      </c>
      <c r="O533" s="235" t="s">
        <v>90</v>
      </c>
    </row>
    <row r="534" spans="2:15" x14ac:dyDescent="0.25">
      <c r="B534" s="277">
        <v>255337</v>
      </c>
      <c r="C534" s="3" t="s">
        <v>26</v>
      </c>
      <c r="D534" s="285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8">
        <f t="shared" ref="L534:L541" si="108">SUM(F534:K534)</f>
        <v>880</v>
      </c>
      <c r="M534" s="143">
        <f>+SUM(D534:E534)-L534</f>
        <v>0</v>
      </c>
      <c r="N534" s="121" t="str">
        <f t="shared" ref="N534:N555" si="109">IF(L534=0,0,IFERROR(L534/D534,"REQ ADICIONAL"))</f>
        <v>REQ ADICIONAL</v>
      </c>
      <c r="O534" s="186">
        <f>IFERROR(L534/SUM(D534:E534),0)</f>
        <v>1</v>
      </c>
    </row>
    <row r="535" spans="2:15" x14ac:dyDescent="0.25">
      <c r="B535" s="277">
        <v>254851</v>
      </c>
      <c r="C535" s="3" t="s">
        <v>1</v>
      </c>
      <c r="D535" s="229">
        <v>180</v>
      </c>
      <c r="E535" s="55"/>
      <c r="F535" s="49"/>
      <c r="G535" s="52"/>
      <c r="H535" s="52"/>
      <c r="I535" s="52"/>
      <c r="J535" s="52">
        <v>180</v>
      </c>
      <c r="K535" s="52"/>
      <c r="L535" s="138">
        <f t="shared" si="108"/>
        <v>180</v>
      </c>
      <c r="M535" s="143">
        <f>+SUM(D535:E535)-L535</f>
        <v>0</v>
      </c>
      <c r="N535" s="121">
        <f t="shared" si="109"/>
        <v>1</v>
      </c>
      <c r="O535" s="186">
        <f t="shared" ref="O535:O546" si="110">IFERROR(L535/SUM(D535:E535),0)</f>
        <v>1</v>
      </c>
    </row>
    <row r="536" spans="2:15" x14ac:dyDescent="0.25">
      <c r="B536" s="277">
        <v>254853</v>
      </c>
      <c r="C536" s="3" t="s">
        <v>2</v>
      </c>
      <c r="D536" s="229">
        <v>360</v>
      </c>
      <c r="E536" s="55"/>
      <c r="F536" s="49"/>
      <c r="G536" s="52"/>
      <c r="H536" s="52"/>
      <c r="I536" s="52"/>
      <c r="J536" s="52">
        <v>180</v>
      </c>
      <c r="K536" s="52"/>
      <c r="L536" s="138">
        <f t="shared" si="108"/>
        <v>180</v>
      </c>
      <c r="M536" s="143">
        <f>+SUM(D536:E536)-L536</f>
        <v>180</v>
      </c>
      <c r="N536" s="121">
        <f t="shared" si="109"/>
        <v>0.5</v>
      </c>
      <c r="O536" s="186">
        <f t="shared" si="110"/>
        <v>0.5</v>
      </c>
    </row>
    <row r="537" spans="2:15" x14ac:dyDescent="0.25">
      <c r="B537" s="277">
        <v>254850</v>
      </c>
      <c r="C537" s="3" t="s">
        <v>3</v>
      </c>
      <c r="D537" s="229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8">
        <f t="shared" si="108"/>
        <v>540</v>
      </c>
      <c r="M537" s="143">
        <f>+SUM(D537:E537)-L537</f>
        <v>840</v>
      </c>
      <c r="N537" s="121">
        <f t="shared" si="109"/>
        <v>0.39130434782608697</v>
      </c>
      <c r="O537" s="186">
        <f t="shared" si="110"/>
        <v>0.39130434782608697</v>
      </c>
    </row>
    <row r="538" spans="2:15" x14ac:dyDescent="0.25">
      <c r="B538" s="278">
        <v>251385</v>
      </c>
      <c r="C538" s="3" t="s">
        <v>4</v>
      </c>
      <c r="D538" s="229">
        <v>3840</v>
      </c>
      <c r="E538" s="63"/>
      <c r="F538" s="49">
        <v>1120</v>
      </c>
      <c r="G538" s="52">
        <v>240</v>
      </c>
      <c r="H538" s="52"/>
      <c r="I538" s="52">
        <v>320</v>
      </c>
      <c r="J538" s="52"/>
      <c r="K538" s="52"/>
      <c r="L538" s="138">
        <f t="shared" si="108"/>
        <v>1680</v>
      </c>
      <c r="M538" s="143">
        <f>+SUM(D538:E538)-L538</f>
        <v>2160</v>
      </c>
      <c r="N538" s="121">
        <f t="shared" si="109"/>
        <v>0.4375</v>
      </c>
      <c r="O538" s="186">
        <f t="shared" si="110"/>
        <v>0.4375</v>
      </c>
    </row>
    <row r="539" spans="2:15" x14ac:dyDescent="0.25">
      <c r="B539" s="278">
        <v>251196</v>
      </c>
      <c r="C539" s="3" t="s">
        <v>5</v>
      </c>
      <c r="D539" s="229">
        <v>2000</v>
      </c>
      <c r="E539" s="63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8">
        <f t="shared" si="108"/>
        <v>1120</v>
      </c>
      <c r="M539" s="143">
        <f t="shared" ref="M539:M555" si="111">+SUM(D539:E539)-L539</f>
        <v>880</v>
      </c>
      <c r="N539" s="121">
        <f t="shared" si="109"/>
        <v>0.56000000000000005</v>
      </c>
      <c r="O539" s="186">
        <f t="shared" si="110"/>
        <v>0.56000000000000005</v>
      </c>
    </row>
    <row r="540" spans="2:15" x14ac:dyDescent="0.25">
      <c r="B540" s="278">
        <v>250524</v>
      </c>
      <c r="C540" s="3" t="s">
        <v>6</v>
      </c>
      <c r="D540" s="229">
        <f>80*27</f>
        <v>2160</v>
      </c>
      <c r="E540" s="63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8">
        <f t="shared" si="108"/>
        <v>1600</v>
      </c>
      <c r="M540" s="143">
        <f t="shared" si="111"/>
        <v>560</v>
      </c>
      <c r="N540" s="121">
        <f t="shared" si="109"/>
        <v>0.7407407407407407</v>
      </c>
      <c r="O540" s="186">
        <f t="shared" si="110"/>
        <v>0.7407407407407407</v>
      </c>
    </row>
    <row r="541" spans="2:15" x14ac:dyDescent="0.25">
      <c r="B541" s="278">
        <v>252534</v>
      </c>
      <c r="C541" s="3" t="s">
        <v>7</v>
      </c>
      <c r="D541" s="229">
        <f>225*4</f>
        <v>900</v>
      </c>
      <c r="E541" s="63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8">
        <f t="shared" si="108"/>
        <v>1305</v>
      </c>
      <c r="M541" s="143">
        <f t="shared" si="111"/>
        <v>0</v>
      </c>
      <c r="N541" s="121">
        <f t="shared" si="109"/>
        <v>1.45</v>
      </c>
      <c r="O541" s="186">
        <f t="shared" si="110"/>
        <v>1</v>
      </c>
    </row>
    <row r="542" spans="2:15" x14ac:dyDescent="0.25">
      <c r="B542" s="278">
        <v>251151</v>
      </c>
      <c r="C542" s="3" t="s">
        <v>8</v>
      </c>
      <c r="D542" s="229">
        <v>450</v>
      </c>
      <c r="E542" s="55"/>
      <c r="F542" s="49"/>
      <c r="G542" s="52"/>
      <c r="H542" s="52"/>
      <c r="I542" s="52"/>
      <c r="J542" s="52"/>
      <c r="K542" s="52">
        <v>225</v>
      </c>
      <c r="L542" s="138">
        <f t="shared" ref="L542:L555" si="112">SUM(F542:K542)</f>
        <v>225</v>
      </c>
      <c r="M542" s="143">
        <f t="shared" si="111"/>
        <v>225</v>
      </c>
      <c r="N542" s="121">
        <f t="shared" si="109"/>
        <v>0.5</v>
      </c>
      <c r="O542" s="186">
        <f t="shared" si="110"/>
        <v>0.5</v>
      </c>
    </row>
    <row r="543" spans="2:15" x14ac:dyDescent="0.25">
      <c r="B543" s="278">
        <v>254852</v>
      </c>
      <c r="C543" s="3" t="s">
        <v>17</v>
      </c>
      <c r="D543" s="229">
        <v>225</v>
      </c>
      <c r="E543" s="55"/>
      <c r="F543" s="49"/>
      <c r="G543" s="52">
        <v>225</v>
      </c>
      <c r="H543" s="52"/>
      <c r="I543" s="52"/>
      <c r="J543" s="52"/>
      <c r="K543" s="52"/>
      <c r="L543" s="138">
        <f t="shared" si="112"/>
        <v>225</v>
      </c>
      <c r="M543" s="143">
        <f t="shared" si="111"/>
        <v>0</v>
      </c>
      <c r="N543" s="121">
        <f t="shared" si="109"/>
        <v>1</v>
      </c>
      <c r="O543" s="186">
        <f t="shared" si="110"/>
        <v>1</v>
      </c>
    </row>
    <row r="544" spans="2:15" x14ac:dyDescent="0.25">
      <c r="B544" s="277">
        <v>255430</v>
      </c>
      <c r="C544" s="3" t="s">
        <v>53</v>
      </c>
      <c r="D544" s="229">
        <v>500</v>
      </c>
      <c r="E544" s="63"/>
      <c r="F544" s="49">
        <v>250</v>
      </c>
      <c r="G544" s="52"/>
      <c r="H544" s="52"/>
      <c r="I544" s="52"/>
      <c r="J544" s="52"/>
      <c r="K544" s="52"/>
      <c r="L544" s="138">
        <f t="shared" si="112"/>
        <v>250</v>
      </c>
      <c r="M544" s="143">
        <f>+SUM(D544:E544)-L544</f>
        <v>250</v>
      </c>
      <c r="N544" s="121">
        <f t="shared" si="109"/>
        <v>0.5</v>
      </c>
      <c r="O544" s="186">
        <f t="shared" si="110"/>
        <v>0.5</v>
      </c>
    </row>
    <row r="545" spans="2:15" x14ac:dyDescent="0.25">
      <c r="B545" s="278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8">
        <f t="shared" si="112"/>
        <v>180</v>
      </c>
      <c r="M545" s="143">
        <f t="shared" si="111"/>
        <v>0</v>
      </c>
      <c r="N545" s="121">
        <f t="shared" si="109"/>
        <v>1</v>
      </c>
      <c r="O545" s="186">
        <f t="shared" si="110"/>
        <v>1</v>
      </c>
    </row>
    <row r="546" spans="2:15" x14ac:dyDescent="0.25">
      <c r="B546" s="277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8">
        <f t="shared" si="112"/>
        <v>675</v>
      </c>
      <c r="M546" s="143">
        <f>+SUM(D546:E546)-L546</f>
        <v>0</v>
      </c>
      <c r="N546" s="121">
        <f t="shared" si="109"/>
        <v>1.5</v>
      </c>
      <c r="O546" s="187">
        <f t="shared" si="110"/>
        <v>1</v>
      </c>
    </row>
    <row r="547" spans="2:15" x14ac:dyDescent="0.25">
      <c r="B547" s="278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8">
        <f t="shared" si="112"/>
        <v>960</v>
      </c>
      <c r="M547" s="143">
        <f t="shared" si="111"/>
        <v>0</v>
      </c>
      <c r="N547" s="121">
        <f t="shared" si="109"/>
        <v>2</v>
      </c>
      <c r="O547" s="187">
        <f>IFERROR(L547/SUM(D547:E547),0)</f>
        <v>1</v>
      </c>
    </row>
    <row r="548" spans="2:15" x14ac:dyDescent="0.25">
      <c r="B548" s="278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8">
        <f t="shared" si="112"/>
        <v>0</v>
      </c>
      <c r="M548" s="143">
        <f t="shared" si="111"/>
        <v>180</v>
      </c>
      <c r="N548" s="121">
        <f t="shared" si="109"/>
        <v>0</v>
      </c>
      <c r="O548" s="187">
        <f t="shared" ref="O548:O554" si="113">IFERROR(L548/SUM(D548:E548),0)</f>
        <v>0</v>
      </c>
    </row>
    <row r="549" spans="2:15" x14ac:dyDescent="0.25">
      <c r="B549" s="279">
        <v>255341</v>
      </c>
      <c r="C549" s="3" t="s">
        <v>50</v>
      </c>
      <c r="D549" s="55">
        <v>450</v>
      </c>
      <c r="E549" s="63"/>
      <c r="F549" s="49"/>
      <c r="G549" s="52"/>
      <c r="H549" s="52">
        <v>225</v>
      </c>
      <c r="I549" s="52"/>
      <c r="J549" s="52"/>
      <c r="K549" s="52">
        <v>225</v>
      </c>
      <c r="L549" s="138">
        <f t="shared" si="112"/>
        <v>450</v>
      </c>
      <c r="M549" s="143">
        <f t="shared" si="111"/>
        <v>0</v>
      </c>
      <c r="N549" s="121">
        <f t="shared" si="109"/>
        <v>1</v>
      </c>
      <c r="O549" s="187">
        <f t="shared" si="113"/>
        <v>1</v>
      </c>
    </row>
    <row r="550" spans="2:15" x14ac:dyDescent="0.25">
      <c r="B550" s="277">
        <v>254963</v>
      </c>
      <c r="C550" s="3" t="s">
        <v>27</v>
      </c>
      <c r="D550" s="55">
        <v>0</v>
      </c>
      <c r="E550" s="63"/>
      <c r="F550" s="49"/>
      <c r="G550" s="52"/>
      <c r="H550" s="52"/>
      <c r="I550" s="52"/>
      <c r="J550" s="52"/>
      <c r="K550" s="52"/>
      <c r="L550" s="138">
        <f t="shared" si="112"/>
        <v>0</v>
      </c>
      <c r="M550" s="143">
        <f t="shared" si="111"/>
        <v>0</v>
      </c>
      <c r="N550" s="121">
        <f t="shared" si="109"/>
        <v>0</v>
      </c>
      <c r="O550" s="187">
        <f t="shared" si="113"/>
        <v>0</v>
      </c>
    </row>
    <row r="551" spans="2:15" x14ac:dyDescent="0.25">
      <c r="B551" s="278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8">
        <f t="shared" si="112"/>
        <v>600</v>
      </c>
      <c r="M551" s="143">
        <f t="shared" si="111"/>
        <v>0</v>
      </c>
      <c r="N551" s="121" t="str">
        <f t="shared" si="109"/>
        <v>REQ ADICIONAL</v>
      </c>
      <c r="O551" s="187">
        <f t="shared" si="113"/>
        <v>1</v>
      </c>
    </row>
    <row r="552" spans="2:15" x14ac:dyDescent="0.25">
      <c r="B552" s="277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8">
        <f t="shared" si="112"/>
        <v>0</v>
      </c>
      <c r="M552" s="143">
        <f t="shared" si="111"/>
        <v>180</v>
      </c>
      <c r="N552" s="121">
        <f t="shared" si="109"/>
        <v>0</v>
      </c>
      <c r="O552" s="187">
        <f t="shared" si="113"/>
        <v>0</v>
      </c>
    </row>
    <row r="553" spans="2:15" x14ac:dyDescent="0.25">
      <c r="B553" s="279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8">
        <f t="shared" si="112"/>
        <v>714</v>
      </c>
      <c r="M553" s="143">
        <f>+SUM(D553:E553)-L553</f>
        <v>0</v>
      </c>
      <c r="N553" s="121">
        <f t="shared" si="109"/>
        <v>1</v>
      </c>
      <c r="O553" s="187">
        <f t="shared" si="113"/>
        <v>1</v>
      </c>
    </row>
    <row r="554" spans="2:15" x14ac:dyDescent="0.25">
      <c r="B554" s="277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8">
        <f t="shared" si="112"/>
        <v>240</v>
      </c>
      <c r="M554" s="143">
        <f t="shared" si="111"/>
        <v>0</v>
      </c>
      <c r="N554" s="121">
        <f t="shared" si="109"/>
        <v>1.5</v>
      </c>
      <c r="O554" s="187">
        <f t="shared" si="113"/>
        <v>1</v>
      </c>
    </row>
    <row r="555" spans="2:15" x14ac:dyDescent="0.25">
      <c r="B555" s="277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8">
        <f t="shared" si="112"/>
        <v>25</v>
      </c>
      <c r="M555" s="143">
        <f t="shared" si="111"/>
        <v>225</v>
      </c>
      <c r="N555" s="121">
        <f t="shared" si="109"/>
        <v>0.1</v>
      </c>
      <c r="O555" s="187">
        <f>IFERROR(L555/SUM(D555:E555),0)</f>
        <v>0.1</v>
      </c>
    </row>
    <row r="556" spans="2:15" x14ac:dyDescent="0.25">
      <c r="B556" s="277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8">
        <f>SUM(F556:K556)</f>
        <v>672</v>
      </c>
      <c r="M556" s="143">
        <f>+SUM(D556:E556)-L556</f>
        <v>0</v>
      </c>
      <c r="N556" s="121">
        <f>IF(L556=0,0,IFERROR(L556/D556,"REQ ADICIONAL"))</f>
        <v>2.5846153846153848</v>
      </c>
      <c r="O556" s="186">
        <f>IFERROR(L556/SUM(D556:E556),0)</f>
        <v>1</v>
      </c>
    </row>
    <row r="557" spans="2:15" x14ac:dyDescent="0.25">
      <c r="B557" s="277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8">
        <f>SUM(F557:K557)</f>
        <v>0</v>
      </c>
      <c r="M557" s="143">
        <f>+SUM(D557:E557)-L557</f>
        <v>0</v>
      </c>
      <c r="N557" s="121">
        <f>IF(L557=0,0,IFERROR(L557/D557,"REQ ADICIONAL"))</f>
        <v>0</v>
      </c>
      <c r="O557" s="186">
        <f>IFERROR(L557/SUM(D557:E557),0)</f>
        <v>0</v>
      </c>
    </row>
    <row r="558" spans="2:15" x14ac:dyDescent="0.25">
      <c r="B558" s="277">
        <v>251632</v>
      </c>
      <c r="C558" s="44" t="s">
        <v>51</v>
      </c>
      <c r="D558" s="92">
        <v>0</v>
      </c>
      <c r="E558" s="92">
        <v>180</v>
      </c>
      <c r="F558" s="50"/>
      <c r="G558" s="57"/>
      <c r="H558" s="33"/>
      <c r="I558" s="57"/>
      <c r="J558" s="57"/>
      <c r="K558" s="57">
        <v>180</v>
      </c>
      <c r="L558" s="138">
        <f>SUM(F558:K558)</f>
        <v>180</v>
      </c>
      <c r="M558" s="152"/>
      <c r="N558" s="153"/>
      <c r="O558" s="286"/>
    </row>
    <row r="559" spans="2:15" ht="16.5" thickBot="1" x14ac:dyDescent="0.3">
      <c r="B559" s="675" t="s">
        <v>87</v>
      </c>
      <c r="C559" s="674"/>
      <c r="D559" s="236">
        <f>SUM(D534:D558)</f>
        <v>15299</v>
      </c>
      <c r="E559" s="283">
        <f>SUM(E534:E558)</f>
        <v>3262</v>
      </c>
      <c r="F559" s="238">
        <f>SUM(F534:F557)</f>
        <v>4187</v>
      </c>
      <c r="G559" s="238">
        <f>SUM(G534:G557)</f>
        <v>2024</v>
      </c>
      <c r="H559" s="238">
        <f>SUM(H534:H557)</f>
        <v>1450</v>
      </c>
      <c r="I559" s="238">
        <f>SUM(I534:I557)</f>
        <v>1430</v>
      </c>
      <c r="J559" s="238">
        <f>SUM(J534:J557)</f>
        <v>1835</v>
      </c>
      <c r="K559" s="238">
        <f>SUM(K534:K558)</f>
        <v>1955</v>
      </c>
      <c r="L559" s="236">
        <f>SUM(L534:L558)</f>
        <v>12881</v>
      </c>
      <c r="M559" s="284">
        <f>SUM(M534:M557)</f>
        <v>5680</v>
      </c>
      <c r="N559" s="241">
        <f>L559/D559</f>
        <v>0.84195045427805737</v>
      </c>
      <c r="O559" s="242">
        <f>+L559/SUM(D559:E559)</f>
        <v>0.69398200527988796</v>
      </c>
    </row>
    <row r="561" spans="2:15" ht="15.75" thickBot="1" x14ac:dyDescent="0.3"/>
    <row r="562" spans="2:15" ht="15.75" x14ac:dyDescent="0.25">
      <c r="B562" s="679" t="s">
        <v>110</v>
      </c>
      <c r="C562" s="680"/>
      <c r="D562" s="680"/>
      <c r="E562" s="680"/>
      <c r="F562" s="680"/>
      <c r="G562" s="680"/>
      <c r="H562" s="680"/>
      <c r="I562" s="680"/>
      <c r="J562" s="680"/>
      <c r="K562" s="680"/>
      <c r="L562" s="680"/>
      <c r="M562" s="680"/>
      <c r="N562" s="680"/>
      <c r="O562" s="681"/>
    </row>
    <row r="563" spans="2:15" ht="30" x14ac:dyDescent="0.25">
      <c r="B563" s="106" t="s">
        <v>34</v>
      </c>
      <c r="C563" s="30" t="s">
        <v>9</v>
      </c>
      <c r="D563" s="108" t="s">
        <v>85</v>
      </c>
      <c r="E563" s="163" t="s">
        <v>86</v>
      </c>
      <c r="F563" s="117">
        <v>43001</v>
      </c>
      <c r="G563" s="117">
        <f>+F563+2</f>
        <v>43003</v>
      </c>
      <c r="H563" s="117">
        <f>+G563+1</f>
        <v>43004</v>
      </c>
      <c r="I563" s="117">
        <f>+H563+1</f>
        <v>43005</v>
      </c>
      <c r="J563" s="117">
        <f>+I563+1</f>
        <v>43006</v>
      </c>
      <c r="K563" s="117">
        <f>+J563+1</f>
        <v>43007</v>
      </c>
      <c r="L563" s="108" t="s">
        <v>87</v>
      </c>
      <c r="M563" s="164" t="s">
        <v>88</v>
      </c>
      <c r="N563" s="117" t="s">
        <v>89</v>
      </c>
      <c r="O563" s="235" t="s">
        <v>90</v>
      </c>
    </row>
    <row r="564" spans="2:15" x14ac:dyDescent="0.25">
      <c r="B564" s="277">
        <v>255337</v>
      </c>
      <c r="C564" s="3" t="s">
        <v>26</v>
      </c>
      <c r="D564" s="285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8">
        <f t="shared" ref="L564:L571" si="114">SUM(F564:K564)</f>
        <v>640</v>
      </c>
      <c r="M564" s="143">
        <f>+SUM(D564:E564)-L564</f>
        <v>720</v>
      </c>
      <c r="N564" s="121">
        <f t="shared" ref="N564:N585" si="115">IF(L564=0,0,IFERROR(L564/D564,"REQ ADICIONAL"))</f>
        <v>0.47058823529411764</v>
      </c>
      <c r="O564" s="186">
        <f>IFERROR(L564/SUM(D564:E564),0)</f>
        <v>0.47058823529411764</v>
      </c>
    </row>
    <row r="565" spans="2:15" x14ac:dyDescent="0.25">
      <c r="B565" s="277">
        <v>254851</v>
      </c>
      <c r="C565" s="3" t="s">
        <v>1</v>
      </c>
      <c r="D565" s="229"/>
      <c r="E565" s="55">
        <v>180</v>
      </c>
      <c r="F565" s="49"/>
      <c r="G565" s="52"/>
      <c r="H565" s="52"/>
      <c r="I565" s="52"/>
      <c r="J565" s="52">
        <v>180</v>
      </c>
      <c r="K565" s="52"/>
      <c r="L565" s="138">
        <f t="shared" si="114"/>
        <v>180</v>
      </c>
      <c r="M565" s="143">
        <f t="shared" ref="M565:M588" si="116">+SUM(D565:E565)-L565</f>
        <v>0</v>
      </c>
      <c r="N565" s="121" t="str">
        <f t="shared" si="115"/>
        <v>REQ ADICIONAL</v>
      </c>
      <c r="O565" s="186">
        <f t="shared" ref="O565:O576" si="117">IFERROR(L565/SUM(D565:E565),0)</f>
        <v>1</v>
      </c>
    </row>
    <row r="566" spans="2:15" x14ac:dyDescent="0.25">
      <c r="B566" s="277">
        <v>254853</v>
      </c>
      <c r="C566" s="3" t="s">
        <v>2</v>
      </c>
      <c r="D566" s="229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8">
        <f t="shared" si="114"/>
        <v>360</v>
      </c>
      <c r="M566" s="143">
        <f t="shared" si="116"/>
        <v>0</v>
      </c>
      <c r="N566" s="121">
        <f t="shared" si="115"/>
        <v>2</v>
      </c>
      <c r="O566" s="186">
        <f t="shared" si="117"/>
        <v>1</v>
      </c>
    </row>
    <row r="567" spans="2:15" x14ac:dyDescent="0.25">
      <c r="B567" s="277">
        <v>254850</v>
      </c>
      <c r="C567" s="3" t="s">
        <v>3</v>
      </c>
      <c r="D567" s="229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8">
        <f t="shared" si="114"/>
        <v>4080</v>
      </c>
      <c r="M567" s="143">
        <f t="shared" si="116"/>
        <v>0</v>
      </c>
      <c r="N567" s="121">
        <f t="shared" si="115"/>
        <v>1.7894736842105263</v>
      </c>
      <c r="O567" s="186">
        <f t="shared" si="117"/>
        <v>1</v>
      </c>
    </row>
    <row r="568" spans="2:15" x14ac:dyDescent="0.25">
      <c r="B568" s="278">
        <v>251385</v>
      </c>
      <c r="C568" s="3" t="s">
        <v>4</v>
      </c>
      <c r="D568" s="229">
        <v>3200</v>
      </c>
      <c r="E568" s="63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8">
        <f t="shared" si="114"/>
        <v>4320</v>
      </c>
      <c r="M568" s="143">
        <f t="shared" si="116"/>
        <v>0</v>
      </c>
      <c r="N568" s="121">
        <f t="shared" si="115"/>
        <v>1.35</v>
      </c>
      <c r="O568" s="186">
        <f t="shared" si="117"/>
        <v>1</v>
      </c>
    </row>
    <row r="569" spans="2:15" x14ac:dyDescent="0.25">
      <c r="B569" s="278">
        <v>251196</v>
      </c>
      <c r="C569" s="3" t="s">
        <v>5</v>
      </c>
      <c r="D569" s="229">
        <v>960</v>
      </c>
      <c r="E569" s="63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8">
        <f t="shared" si="114"/>
        <v>640</v>
      </c>
      <c r="M569" s="143">
        <f t="shared" si="116"/>
        <v>320</v>
      </c>
      <c r="N569" s="121">
        <f t="shared" si="115"/>
        <v>0.66666666666666663</v>
      </c>
      <c r="O569" s="186">
        <f t="shared" si="117"/>
        <v>0.66666666666666663</v>
      </c>
    </row>
    <row r="570" spans="2:15" x14ac:dyDescent="0.25">
      <c r="B570" s="278">
        <v>250524</v>
      </c>
      <c r="C570" s="3" t="s">
        <v>6</v>
      </c>
      <c r="D570" s="229">
        <v>1120</v>
      </c>
      <c r="E570" s="63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8">
        <f t="shared" si="114"/>
        <v>1360</v>
      </c>
      <c r="M570" s="143">
        <f t="shared" si="116"/>
        <v>0</v>
      </c>
      <c r="N570" s="121">
        <f t="shared" si="115"/>
        <v>1.2142857142857142</v>
      </c>
      <c r="O570" s="186">
        <f t="shared" si="117"/>
        <v>1</v>
      </c>
    </row>
    <row r="571" spans="2:15" x14ac:dyDescent="0.25">
      <c r="B571" s="278">
        <v>252534</v>
      </c>
      <c r="C571" s="3" t="s">
        <v>7</v>
      </c>
      <c r="D571" s="229">
        <v>225</v>
      </c>
      <c r="E571" s="63"/>
      <c r="F571" s="49"/>
      <c r="G571" s="52"/>
      <c r="H571" s="52"/>
      <c r="I571" s="52"/>
      <c r="J571" s="52">
        <v>225</v>
      </c>
      <c r="K571" s="52"/>
      <c r="L571" s="138">
        <f t="shared" si="114"/>
        <v>225</v>
      </c>
      <c r="M571" s="143">
        <f t="shared" si="116"/>
        <v>0</v>
      </c>
      <c r="N571" s="121">
        <f t="shared" si="115"/>
        <v>1</v>
      </c>
      <c r="O571" s="186">
        <f t="shared" si="117"/>
        <v>1</v>
      </c>
    </row>
    <row r="572" spans="2:15" x14ac:dyDescent="0.25">
      <c r="B572" s="278">
        <v>251151</v>
      </c>
      <c r="C572" s="3" t="s">
        <v>8</v>
      </c>
      <c r="D572" s="229">
        <v>225</v>
      </c>
      <c r="E572" s="55"/>
      <c r="F572" s="49"/>
      <c r="G572" s="52"/>
      <c r="H572" s="52"/>
      <c r="I572" s="52">
        <v>225</v>
      </c>
      <c r="J572" s="52"/>
      <c r="K572" s="52"/>
      <c r="L572" s="138">
        <f t="shared" ref="L572:L585" si="118">SUM(F572:K572)</f>
        <v>225</v>
      </c>
      <c r="M572" s="143">
        <f t="shared" si="116"/>
        <v>0</v>
      </c>
      <c r="N572" s="121">
        <f t="shared" si="115"/>
        <v>1</v>
      </c>
      <c r="O572" s="186">
        <f t="shared" si="117"/>
        <v>1</v>
      </c>
    </row>
    <row r="573" spans="2:15" x14ac:dyDescent="0.25">
      <c r="B573" s="278">
        <v>254852</v>
      </c>
      <c r="C573" s="3" t="s">
        <v>17</v>
      </c>
      <c r="D573" s="229">
        <v>225</v>
      </c>
      <c r="E573" s="55"/>
      <c r="F573" s="49"/>
      <c r="G573" s="52"/>
      <c r="H573" s="52"/>
      <c r="I573" s="52"/>
      <c r="J573" s="52">
        <v>225</v>
      </c>
      <c r="K573" s="52"/>
      <c r="L573" s="138">
        <f t="shared" si="118"/>
        <v>225</v>
      </c>
      <c r="M573" s="143">
        <f t="shared" si="116"/>
        <v>0</v>
      </c>
      <c r="N573" s="121">
        <f t="shared" si="115"/>
        <v>1</v>
      </c>
      <c r="O573" s="186">
        <f t="shared" si="117"/>
        <v>1</v>
      </c>
    </row>
    <row r="574" spans="2:15" x14ac:dyDescent="0.25">
      <c r="B574" s="277">
        <v>254849</v>
      </c>
      <c r="C574" s="3" t="s">
        <v>0</v>
      </c>
      <c r="D574" s="229"/>
      <c r="E574" s="63">
        <v>180</v>
      </c>
      <c r="F574" s="49"/>
      <c r="G574" s="52"/>
      <c r="H574" s="52"/>
      <c r="I574" s="52"/>
      <c r="J574" s="52">
        <v>180</v>
      </c>
      <c r="K574" s="52"/>
      <c r="L574" s="138">
        <f t="shared" si="118"/>
        <v>180</v>
      </c>
      <c r="M574" s="143">
        <f t="shared" si="116"/>
        <v>0</v>
      </c>
      <c r="N574" s="121" t="str">
        <f t="shared" si="115"/>
        <v>REQ ADICIONAL</v>
      </c>
      <c r="O574" s="186">
        <f t="shared" si="117"/>
        <v>1</v>
      </c>
    </row>
    <row r="575" spans="2:15" x14ac:dyDescent="0.25">
      <c r="B575" s="278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8">
        <f t="shared" si="118"/>
        <v>0</v>
      </c>
      <c r="M575" s="143">
        <f t="shared" si="116"/>
        <v>0</v>
      </c>
      <c r="N575" s="121">
        <f t="shared" si="115"/>
        <v>0</v>
      </c>
      <c r="O575" s="186">
        <f t="shared" si="117"/>
        <v>0</v>
      </c>
    </row>
    <row r="576" spans="2:15" x14ac:dyDescent="0.25">
      <c r="B576" s="277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8">
        <f t="shared" si="118"/>
        <v>225</v>
      </c>
      <c r="M576" s="143">
        <f t="shared" si="116"/>
        <v>225</v>
      </c>
      <c r="N576" s="121">
        <f t="shared" si="115"/>
        <v>0.5</v>
      </c>
      <c r="O576" s="187">
        <f t="shared" si="117"/>
        <v>0.5</v>
      </c>
    </row>
    <row r="577" spans="2:15" x14ac:dyDescent="0.25">
      <c r="B577" s="278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8">
        <f t="shared" si="118"/>
        <v>600</v>
      </c>
      <c r="M577" s="143">
        <f t="shared" si="116"/>
        <v>0</v>
      </c>
      <c r="N577" s="121">
        <f t="shared" si="115"/>
        <v>1.25</v>
      </c>
      <c r="O577" s="187">
        <f>IFERROR(L577/SUM(D577:E577),0)</f>
        <v>1</v>
      </c>
    </row>
    <row r="578" spans="2:15" x14ac:dyDescent="0.25">
      <c r="B578" s="278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8">
        <f t="shared" si="118"/>
        <v>0</v>
      </c>
      <c r="M578" s="143">
        <f t="shared" si="116"/>
        <v>0</v>
      </c>
      <c r="N578" s="121">
        <f t="shared" si="115"/>
        <v>0</v>
      </c>
      <c r="O578" s="187">
        <f t="shared" ref="O578:O584" si="119">IFERROR(L578/SUM(D578:E578),0)</f>
        <v>0</v>
      </c>
    </row>
    <row r="579" spans="2:15" x14ac:dyDescent="0.25">
      <c r="B579" s="279">
        <v>255341</v>
      </c>
      <c r="C579" s="3" t="s">
        <v>50</v>
      </c>
      <c r="D579" s="55"/>
      <c r="E579" s="63">
        <v>225</v>
      </c>
      <c r="F579" s="49"/>
      <c r="G579" s="52"/>
      <c r="H579" s="52"/>
      <c r="I579" s="52"/>
      <c r="J579" s="52">
        <v>225</v>
      </c>
      <c r="K579" s="52"/>
      <c r="L579" s="138">
        <f t="shared" si="118"/>
        <v>225</v>
      </c>
      <c r="M579" s="143">
        <f t="shared" si="116"/>
        <v>0</v>
      </c>
      <c r="N579" s="121" t="str">
        <f t="shared" si="115"/>
        <v>REQ ADICIONAL</v>
      </c>
      <c r="O579" s="187">
        <f t="shared" si="119"/>
        <v>1</v>
      </c>
    </row>
    <row r="580" spans="2:15" x14ac:dyDescent="0.25">
      <c r="B580" s="277">
        <v>254963</v>
      </c>
      <c r="C580" s="3" t="s">
        <v>27</v>
      </c>
      <c r="D580" s="55"/>
      <c r="E580" s="63"/>
      <c r="F580" s="49"/>
      <c r="G580" s="52"/>
      <c r="H580" s="52"/>
      <c r="I580" s="52"/>
      <c r="J580" s="52"/>
      <c r="K580" s="52"/>
      <c r="L580" s="138">
        <f t="shared" si="118"/>
        <v>0</v>
      </c>
      <c r="M580" s="143">
        <f t="shared" si="116"/>
        <v>0</v>
      </c>
      <c r="N580" s="121">
        <f t="shared" si="115"/>
        <v>0</v>
      </c>
      <c r="O580" s="187">
        <f t="shared" si="119"/>
        <v>0</v>
      </c>
    </row>
    <row r="581" spans="2:15" x14ac:dyDescent="0.25">
      <c r="B581" s="278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8">
        <f t="shared" si="118"/>
        <v>120</v>
      </c>
      <c r="M581" s="143">
        <f t="shared" si="116"/>
        <v>180</v>
      </c>
      <c r="N581" s="121">
        <f t="shared" si="115"/>
        <v>0.4</v>
      </c>
      <c r="O581" s="187">
        <f t="shared" si="119"/>
        <v>0.4</v>
      </c>
    </row>
    <row r="582" spans="2:15" x14ac:dyDescent="0.25">
      <c r="B582" s="277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8">
        <f>SUM(F582:K582)</f>
        <v>1080</v>
      </c>
      <c r="M582" s="143">
        <f t="shared" si="116"/>
        <v>0</v>
      </c>
      <c r="N582" s="121">
        <f t="shared" si="115"/>
        <v>6</v>
      </c>
      <c r="O582" s="187">
        <f t="shared" si="119"/>
        <v>1</v>
      </c>
    </row>
    <row r="583" spans="2:15" x14ac:dyDescent="0.25">
      <c r="B583" s="279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8">
        <f t="shared" si="118"/>
        <v>0</v>
      </c>
      <c r="M583" s="143">
        <f t="shared" si="116"/>
        <v>0</v>
      </c>
      <c r="N583" s="121">
        <f t="shared" si="115"/>
        <v>0</v>
      </c>
      <c r="O583" s="187">
        <f t="shared" si="119"/>
        <v>0</v>
      </c>
    </row>
    <row r="584" spans="2:15" x14ac:dyDescent="0.25">
      <c r="B584" s="277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8">
        <f t="shared" si="118"/>
        <v>289</v>
      </c>
      <c r="M584" s="143">
        <f t="shared" si="116"/>
        <v>0</v>
      </c>
      <c r="N584" s="121" t="str">
        <f t="shared" si="115"/>
        <v>REQ ADICIONAL</v>
      </c>
      <c r="O584" s="187">
        <f t="shared" si="119"/>
        <v>1</v>
      </c>
    </row>
    <row r="585" spans="2:15" x14ac:dyDescent="0.25">
      <c r="B585" s="277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8">
        <f t="shared" si="118"/>
        <v>250</v>
      </c>
      <c r="M585" s="143">
        <f t="shared" si="116"/>
        <v>0</v>
      </c>
      <c r="N585" s="121">
        <f t="shared" si="115"/>
        <v>1</v>
      </c>
      <c r="O585" s="187">
        <f>IFERROR(L585/SUM(D585:E585),0)</f>
        <v>1</v>
      </c>
    </row>
    <row r="586" spans="2:15" x14ac:dyDescent="0.25">
      <c r="B586" s="277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8">
        <f>SUM(F586:K586)</f>
        <v>0</v>
      </c>
      <c r="M586" s="143">
        <f t="shared" si="116"/>
        <v>260</v>
      </c>
      <c r="N586" s="121">
        <f>IF(L586=0,0,IFERROR(L586/D586,"REQ ADICIONAL"))</f>
        <v>0</v>
      </c>
      <c r="O586" s="186">
        <f>IFERROR(L586/SUM(D586:E586),0)</f>
        <v>0</v>
      </c>
    </row>
    <row r="587" spans="2:15" x14ac:dyDescent="0.25">
      <c r="B587" s="277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8">
        <f>SUM(F587:K587)</f>
        <v>0</v>
      </c>
      <c r="M587" s="143">
        <f t="shared" si="116"/>
        <v>0</v>
      </c>
      <c r="N587" s="121">
        <f>IF(L587=0,0,IFERROR(L587/D587,"REQ ADICIONAL"))</f>
        <v>0</v>
      </c>
      <c r="O587" s="186">
        <f>IFERROR(L587/SUM(D587:E587),0)</f>
        <v>0</v>
      </c>
    </row>
    <row r="588" spans="2:15" x14ac:dyDescent="0.25">
      <c r="B588" s="277">
        <v>251632</v>
      </c>
      <c r="C588" s="44" t="s">
        <v>51</v>
      </c>
      <c r="D588" s="92"/>
      <c r="E588" s="92">
        <v>180</v>
      </c>
      <c r="F588" s="50">
        <v>180</v>
      </c>
      <c r="G588" s="57"/>
      <c r="H588" s="33"/>
      <c r="I588" s="57"/>
      <c r="J588" s="57"/>
      <c r="K588" s="57"/>
      <c r="L588" s="138">
        <f>SUM(F588:K588)</f>
        <v>180</v>
      </c>
      <c r="M588" s="143">
        <f t="shared" si="116"/>
        <v>0</v>
      </c>
      <c r="N588" s="121" t="str">
        <f>IF(L588=0,0,IFERROR(L588/D588,"REQ ADICIONAL"))</f>
        <v>REQ ADICIONAL</v>
      </c>
      <c r="O588" s="186">
        <f>IFERROR(L588/SUM(D588:E588),0)</f>
        <v>1</v>
      </c>
    </row>
    <row r="589" spans="2:15" ht="16.5" thickBot="1" x14ac:dyDescent="0.3">
      <c r="B589" s="675" t="s">
        <v>87</v>
      </c>
      <c r="C589" s="674"/>
      <c r="D589" s="236">
        <f>SUM(D564:D588)</f>
        <v>11695</v>
      </c>
      <c r="E589" s="283">
        <f>SUM(E564:E588)</f>
        <v>5414</v>
      </c>
      <c r="F589" s="238">
        <f>SUM(F564:F588)</f>
        <v>1860</v>
      </c>
      <c r="G589" s="238">
        <f>SUM(G564:G587)</f>
        <v>1080</v>
      </c>
      <c r="H589" s="238">
        <f>SUM(H564:H587)</f>
        <v>2880</v>
      </c>
      <c r="I589" s="238">
        <f>SUM(I564:I587)</f>
        <v>4360</v>
      </c>
      <c r="J589" s="238">
        <f>SUM(J564:J587)</f>
        <v>3204</v>
      </c>
      <c r="K589" s="238">
        <f>SUM(K564:K588)</f>
        <v>2020</v>
      </c>
      <c r="L589" s="236">
        <f>SUM(L564:L588)</f>
        <v>15404</v>
      </c>
      <c r="M589" s="284">
        <f>SUM(M564:M588)</f>
        <v>1705</v>
      </c>
      <c r="N589" s="241">
        <f>L589/D589</f>
        <v>1.3171440786660966</v>
      </c>
      <c r="O589" s="242">
        <f>+L589/SUM(D589:E589)</f>
        <v>0.90034484774095502</v>
      </c>
    </row>
    <row r="591" spans="2:15" ht="15.75" thickBot="1" x14ac:dyDescent="0.3">
      <c r="G591" s="287"/>
    </row>
    <row r="592" spans="2:15" ht="15.75" x14ac:dyDescent="0.25">
      <c r="B592" s="679" t="s">
        <v>111</v>
      </c>
      <c r="C592" s="680"/>
      <c r="D592" s="680"/>
      <c r="E592" s="680"/>
      <c r="F592" s="680"/>
      <c r="G592" s="680"/>
      <c r="H592" s="680"/>
      <c r="I592" s="680"/>
      <c r="J592" s="680"/>
      <c r="K592" s="680"/>
      <c r="L592" s="680"/>
      <c r="M592" s="680"/>
      <c r="N592" s="680"/>
      <c r="O592" s="681"/>
    </row>
    <row r="593" spans="2:15" ht="30" x14ac:dyDescent="0.25">
      <c r="B593" s="106" t="s">
        <v>34</v>
      </c>
      <c r="C593" s="30" t="s">
        <v>9</v>
      </c>
      <c r="D593" s="108" t="s">
        <v>85</v>
      </c>
      <c r="E593" s="163" t="s">
        <v>86</v>
      </c>
      <c r="F593" s="117">
        <v>43008</v>
      </c>
      <c r="G593" s="117">
        <f>+F593+2</f>
        <v>43010</v>
      </c>
      <c r="H593" s="117">
        <f>+G593+1</f>
        <v>43011</v>
      </c>
      <c r="I593" s="117">
        <f>+H593+1</f>
        <v>43012</v>
      </c>
      <c r="J593" s="117">
        <f>+I593+1</f>
        <v>43013</v>
      </c>
      <c r="K593" s="117">
        <f>+J593+1</f>
        <v>43014</v>
      </c>
      <c r="L593" s="108" t="s">
        <v>87</v>
      </c>
      <c r="M593" s="164" t="s">
        <v>88</v>
      </c>
      <c r="N593" s="117" t="s">
        <v>89</v>
      </c>
      <c r="O593" s="235" t="s">
        <v>90</v>
      </c>
    </row>
    <row r="594" spans="2:15" x14ac:dyDescent="0.25">
      <c r="B594" s="277">
        <v>255337</v>
      </c>
      <c r="C594" s="3" t="s">
        <v>26</v>
      </c>
      <c r="D594" s="285">
        <v>960</v>
      </c>
      <c r="E594" s="52"/>
      <c r="F594" s="49"/>
      <c r="G594" s="52"/>
      <c r="H594" s="52"/>
      <c r="I594" s="52"/>
      <c r="J594" s="52"/>
      <c r="K594" s="52"/>
      <c r="L594" s="138">
        <f t="shared" ref="L594:L601" si="120">SUM(F594:K594)</f>
        <v>0</v>
      </c>
      <c r="M594" s="143">
        <f>+SUM(D594:E594)-L594</f>
        <v>960</v>
      </c>
      <c r="N594" s="121">
        <f t="shared" ref="N594:N616" si="121">IF(L594=0,0,IFERROR(L594/D594,"REQ ADICIONAL"))</f>
        <v>0</v>
      </c>
      <c r="O594" s="186">
        <f>IFERROR(L594/SUM(D594:E594),0)</f>
        <v>0</v>
      </c>
    </row>
    <row r="595" spans="2:15" x14ac:dyDescent="0.25">
      <c r="B595" s="277">
        <v>254851</v>
      </c>
      <c r="C595" s="3" t="s">
        <v>1</v>
      </c>
      <c r="D595" s="229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8">
        <f t="shared" si="120"/>
        <v>360</v>
      </c>
      <c r="M595" s="143">
        <f t="shared" ref="M595:M619" si="122">+SUM(D595:E595)-L595</f>
        <v>0</v>
      </c>
      <c r="N595" s="121" t="str">
        <f t="shared" si="121"/>
        <v>REQ ADICIONAL</v>
      </c>
      <c r="O595" s="186">
        <f t="shared" ref="O595:O607" si="123">IFERROR(L595/SUM(D595:E595),0)</f>
        <v>1</v>
      </c>
    </row>
    <row r="596" spans="2:15" x14ac:dyDescent="0.25">
      <c r="B596" s="277">
        <v>254853</v>
      </c>
      <c r="C596" s="3" t="s">
        <v>2</v>
      </c>
      <c r="D596" s="229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8">
        <f t="shared" si="120"/>
        <v>1080</v>
      </c>
      <c r="M596" s="143">
        <f t="shared" si="122"/>
        <v>0</v>
      </c>
      <c r="N596" s="121" t="str">
        <f t="shared" si="121"/>
        <v>REQ ADICIONAL</v>
      </c>
      <c r="O596" s="186">
        <f t="shared" si="123"/>
        <v>1</v>
      </c>
    </row>
    <row r="597" spans="2:15" x14ac:dyDescent="0.25">
      <c r="B597" s="277">
        <v>254850</v>
      </c>
      <c r="C597" s="3" t="s">
        <v>3</v>
      </c>
      <c r="D597" s="229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8">
        <f t="shared" si="120"/>
        <v>2220</v>
      </c>
      <c r="M597" s="143">
        <f t="shared" si="122"/>
        <v>0</v>
      </c>
      <c r="N597" s="121">
        <f t="shared" si="121"/>
        <v>1.4230769230769231</v>
      </c>
      <c r="O597" s="186">
        <f t="shared" si="123"/>
        <v>1</v>
      </c>
    </row>
    <row r="598" spans="2:15" x14ac:dyDescent="0.25">
      <c r="B598" s="278">
        <v>251385</v>
      </c>
      <c r="C598" s="3" t="s">
        <v>4</v>
      </c>
      <c r="D598" s="229">
        <v>3520</v>
      </c>
      <c r="E598" s="63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8">
        <f t="shared" si="120"/>
        <v>3040</v>
      </c>
      <c r="M598" s="143">
        <f t="shared" si="122"/>
        <v>480</v>
      </c>
      <c r="N598" s="121">
        <f t="shared" si="121"/>
        <v>0.86363636363636365</v>
      </c>
      <c r="O598" s="186">
        <f t="shared" si="123"/>
        <v>0.86363636363636365</v>
      </c>
    </row>
    <row r="599" spans="2:15" x14ac:dyDescent="0.25">
      <c r="B599" s="278">
        <v>251196</v>
      </c>
      <c r="C599" s="3" t="s">
        <v>5</v>
      </c>
      <c r="D599" s="229">
        <v>800</v>
      </c>
      <c r="E599" s="63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8">
        <f t="shared" si="120"/>
        <v>720</v>
      </c>
      <c r="M599" s="143">
        <f t="shared" si="122"/>
        <v>80</v>
      </c>
      <c r="N599" s="121">
        <f t="shared" si="121"/>
        <v>0.9</v>
      </c>
      <c r="O599" s="186">
        <f t="shared" si="123"/>
        <v>0.9</v>
      </c>
    </row>
    <row r="600" spans="2:15" x14ac:dyDescent="0.25">
      <c r="B600" s="278">
        <v>250524</v>
      </c>
      <c r="C600" s="3" t="s">
        <v>6</v>
      </c>
      <c r="D600" s="229">
        <v>1120</v>
      </c>
      <c r="E600" s="63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8">
        <f t="shared" si="120"/>
        <v>1280</v>
      </c>
      <c r="M600" s="143">
        <f t="shared" si="122"/>
        <v>0</v>
      </c>
      <c r="N600" s="121">
        <f t="shared" si="121"/>
        <v>1.1428571428571428</v>
      </c>
      <c r="O600" s="186">
        <f t="shared" si="123"/>
        <v>1</v>
      </c>
    </row>
    <row r="601" spans="2:15" x14ac:dyDescent="0.25">
      <c r="B601" s="278">
        <v>252534</v>
      </c>
      <c r="C601" s="3" t="s">
        <v>7</v>
      </c>
      <c r="D601" s="229">
        <v>225</v>
      </c>
      <c r="E601" s="63">
        <v>225</v>
      </c>
      <c r="F601" s="49"/>
      <c r="G601" s="52"/>
      <c r="H601" s="52"/>
      <c r="I601" s="52"/>
      <c r="J601" s="52">
        <v>225</v>
      </c>
      <c r="K601" s="52">
        <v>225</v>
      </c>
      <c r="L601" s="138">
        <f t="shared" si="120"/>
        <v>450</v>
      </c>
      <c r="M601" s="143">
        <f t="shared" si="122"/>
        <v>0</v>
      </c>
      <c r="N601" s="121">
        <f t="shared" si="121"/>
        <v>2</v>
      </c>
      <c r="O601" s="186">
        <f t="shared" si="123"/>
        <v>1</v>
      </c>
    </row>
    <row r="602" spans="2:15" x14ac:dyDescent="0.25">
      <c r="B602" s="278">
        <v>251151</v>
      </c>
      <c r="C602" s="3" t="s">
        <v>8</v>
      </c>
      <c r="D602" s="229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8">
        <f t="shared" ref="L602:L619" si="124">SUM(F602:K602)</f>
        <v>450</v>
      </c>
      <c r="M602" s="143">
        <f t="shared" si="122"/>
        <v>0</v>
      </c>
      <c r="N602" s="121">
        <f t="shared" si="121"/>
        <v>2</v>
      </c>
      <c r="O602" s="186">
        <f t="shared" si="123"/>
        <v>1</v>
      </c>
    </row>
    <row r="603" spans="2:15" x14ac:dyDescent="0.25">
      <c r="B603" s="278">
        <v>254852</v>
      </c>
      <c r="C603" s="3" t="s">
        <v>17</v>
      </c>
      <c r="D603" s="229">
        <v>450</v>
      </c>
      <c r="E603" s="55"/>
      <c r="F603" s="49"/>
      <c r="G603" s="52">
        <v>225</v>
      </c>
      <c r="H603" s="52"/>
      <c r="I603" s="52"/>
      <c r="J603" s="52"/>
      <c r="K603" s="52"/>
      <c r="L603" s="138">
        <f>SUM(F603:K603)</f>
        <v>225</v>
      </c>
      <c r="M603" s="143">
        <f t="shared" si="122"/>
        <v>225</v>
      </c>
      <c r="N603" s="121">
        <f t="shared" si="121"/>
        <v>0.5</v>
      </c>
      <c r="O603" s="186">
        <f t="shared" si="123"/>
        <v>0.5</v>
      </c>
    </row>
    <row r="604" spans="2:15" x14ac:dyDescent="0.25">
      <c r="B604" s="278">
        <v>255430</v>
      </c>
      <c r="C604" s="44" t="s">
        <v>53</v>
      </c>
      <c r="D604" s="229">
        <v>250</v>
      </c>
      <c r="E604" s="55"/>
      <c r="F604" s="49"/>
      <c r="G604" s="52"/>
      <c r="H604" s="52"/>
      <c r="I604" s="52"/>
      <c r="J604" s="52">
        <v>250</v>
      </c>
      <c r="K604" s="52"/>
      <c r="L604" s="138">
        <f>SUM(F604:K604)</f>
        <v>250</v>
      </c>
      <c r="M604" s="143">
        <f>+SUM(D604:E604)-L604</f>
        <v>0</v>
      </c>
      <c r="N604" s="121">
        <f>IF(L604=0,0,IFERROR(L604/D604,"REQ ADICIONAL"))</f>
        <v>1</v>
      </c>
      <c r="O604" s="186">
        <f>IFERROR(L604/SUM(D604:E604),0)</f>
        <v>1</v>
      </c>
    </row>
    <row r="605" spans="2:15" x14ac:dyDescent="0.25">
      <c r="B605" s="277">
        <v>254849</v>
      </c>
      <c r="C605" s="3" t="s">
        <v>0</v>
      </c>
      <c r="D605" s="229"/>
      <c r="E605" s="63">
        <v>360</v>
      </c>
      <c r="F605" s="49"/>
      <c r="G605" s="52"/>
      <c r="H605" s="52"/>
      <c r="I605" s="52"/>
      <c r="J605" s="52">
        <v>180</v>
      </c>
      <c r="K605" s="52">
        <v>180</v>
      </c>
      <c r="L605" s="138">
        <f t="shared" si="124"/>
        <v>360</v>
      </c>
      <c r="M605" s="143">
        <f t="shared" si="122"/>
        <v>0</v>
      </c>
      <c r="N605" s="121" t="str">
        <f t="shared" si="121"/>
        <v>REQ ADICIONAL</v>
      </c>
      <c r="O605" s="186">
        <f t="shared" si="123"/>
        <v>1</v>
      </c>
    </row>
    <row r="606" spans="2:15" x14ac:dyDescent="0.25">
      <c r="B606" s="278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8">
        <f t="shared" si="124"/>
        <v>0</v>
      </c>
      <c r="M606" s="143">
        <f t="shared" si="122"/>
        <v>0</v>
      </c>
      <c r="N606" s="121">
        <f t="shared" si="121"/>
        <v>0</v>
      </c>
      <c r="O606" s="186">
        <f t="shared" si="123"/>
        <v>0</v>
      </c>
    </row>
    <row r="607" spans="2:15" x14ac:dyDescent="0.25">
      <c r="B607" s="277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8">
        <f t="shared" si="124"/>
        <v>225</v>
      </c>
      <c r="M607" s="143">
        <f t="shared" si="122"/>
        <v>450</v>
      </c>
      <c r="N607" s="121">
        <f t="shared" si="121"/>
        <v>0.33333333333333331</v>
      </c>
      <c r="O607" s="187">
        <f t="shared" si="123"/>
        <v>0.33333333333333331</v>
      </c>
    </row>
    <row r="608" spans="2:15" x14ac:dyDescent="0.25">
      <c r="B608" s="278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8">
        <f t="shared" si="124"/>
        <v>0</v>
      </c>
      <c r="M608" s="143">
        <f t="shared" si="122"/>
        <v>480</v>
      </c>
      <c r="N608" s="121">
        <f t="shared" si="121"/>
        <v>0</v>
      </c>
      <c r="O608" s="187">
        <f>IFERROR(L608/SUM(D608:E608),0)</f>
        <v>0</v>
      </c>
    </row>
    <row r="609" spans="2:17" x14ac:dyDescent="0.25">
      <c r="B609" s="278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8">
        <f t="shared" si="124"/>
        <v>360</v>
      </c>
      <c r="M609" s="143">
        <f t="shared" si="122"/>
        <v>0</v>
      </c>
      <c r="N609" s="121" t="str">
        <f t="shared" si="121"/>
        <v>REQ ADICIONAL</v>
      </c>
      <c r="O609" s="187">
        <f t="shared" ref="O609:O615" si="125">IFERROR(L609/SUM(D609:E609),0)</f>
        <v>1</v>
      </c>
    </row>
    <row r="610" spans="2:17" x14ac:dyDescent="0.25">
      <c r="B610" s="279">
        <v>255341</v>
      </c>
      <c r="C610" s="3" t="s">
        <v>50</v>
      </c>
      <c r="D610" s="55">
        <v>450</v>
      </c>
      <c r="E610" s="63"/>
      <c r="F610" s="49"/>
      <c r="G610" s="52">
        <v>225</v>
      </c>
      <c r="H610" s="52">
        <v>225</v>
      </c>
      <c r="I610" s="52"/>
      <c r="J610" s="52"/>
      <c r="K610" s="52"/>
      <c r="L610" s="138">
        <f t="shared" si="124"/>
        <v>450</v>
      </c>
      <c r="M610" s="143">
        <f t="shared" si="122"/>
        <v>0</v>
      </c>
      <c r="N610" s="121">
        <f t="shared" si="121"/>
        <v>1</v>
      </c>
      <c r="O610" s="187">
        <f t="shared" si="125"/>
        <v>1</v>
      </c>
    </row>
    <row r="611" spans="2:17" x14ac:dyDescent="0.25">
      <c r="B611" s="277">
        <v>254963</v>
      </c>
      <c r="C611" s="3" t="s">
        <v>27</v>
      </c>
      <c r="D611" s="55"/>
      <c r="E611" s="63"/>
      <c r="F611" s="49"/>
      <c r="G611" s="52"/>
      <c r="H611" s="52"/>
      <c r="I611" s="52"/>
      <c r="J611" s="52"/>
      <c r="K611" s="52"/>
      <c r="L611" s="138">
        <f t="shared" si="124"/>
        <v>0</v>
      </c>
      <c r="M611" s="143">
        <f t="shared" si="122"/>
        <v>0</v>
      </c>
      <c r="N611" s="121">
        <f t="shared" si="121"/>
        <v>0</v>
      </c>
      <c r="O611" s="187">
        <f t="shared" si="125"/>
        <v>0</v>
      </c>
    </row>
    <row r="612" spans="2:17" x14ac:dyDescent="0.25">
      <c r="B612" s="278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8">
        <f t="shared" si="124"/>
        <v>0</v>
      </c>
      <c r="M612" s="143">
        <f t="shared" si="122"/>
        <v>480</v>
      </c>
      <c r="N612" s="121">
        <f t="shared" si="121"/>
        <v>0</v>
      </c>
      <c r="O612" s="187">
        <f t="shared" si="125"/>
        <v>0</v>
      </c>
    </row>
    <row r="613" spans="2:17" x14ac:dyDescent="0.25">
      <c r="B613" s="277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8">
        <f t="shared" si="124"/>
        <v>360</v>
      </c>
      <c r="M613" s="143">
        <f t="shared" si="122"/>
        <v>180</v>
      </c>
      <c r="N613" s="121">
        <f t="shared" si="121"/>
        <v>0.66666666666666663</v>
      </c>
      <c r="O613" s="187">
        <f t="shared" si="125"/>
        <v>0.66666666666666663</v>
      </c>
    </row>
    <row r="614" spans="2:17" x14ac:dyDescent="0.25">
      <c r="B614" s="279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8">
        <f t="shared" si="124"/>
        <v>0</v>
      </c>
      <c r="M614" s="143">
        <f t="shared" si="122"/>
        <v>0</v>
      </c>
      <c r="N614" s="121">
        <f t="shared" si="121"/>
        <v>0</v>
      </c>
      <c r="O614" s="187">
        <f t="shared" si="125"/>
        <v>0</v>
      </c>
    </row>
    <row r="615" spans="2:17" x14ac:dyDescent="0.25">
      <c r="B615" s="277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8">
        <f t="shared" si="124"/>
        <v>251</v>
      </c>
      <c r="M615" s="143">
        <f t="shared" si="122"/>
        <v>0</v>
      </c>
      <c r="N615" s="121" t="str">
        <f t="shared" si="121"/>
        <v>REQ ADICIONAL</v>
      </c>
      <c r="O615" s="187">
        <f t="shared" si="125"/>
        <v>1</v>
      </c>
    </row>
    <row r="616" spans="2:17" x14ac:dyDescent="0.25">
      <c r="B616" s="277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8">
        <f t="shared" si="124"/>
        <v>0</v>
      </c>
      <c r="M616" s="143">
        <f t="shared" si="122"/>
        <v>250</v>
      </c>
      <c r="N616" s="121">
        <f t="shared" si="121"/>
        <v>0</v>
      </c>
      <c r="O616" s="187">
        <f>IFERROR(L616/SUM(D616:E616),0)</f>
        <v>0</v>
      </c>
    </row>
    <row r="617" spans="2:17" x14ac:dyDescent="0.25">
      <c r="B617" s="277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8">
        <f t="shared" si="124"/>
        <v>260</v>
      </c>
      <c r="M617" s="143">
        <f t="shared" si="122"/>
        <v>0</v>
      </c>
      <c r="N617" s="121">
        <f>IF(L617=0,0,IFERROR(L617/D617,"REQ ADICIONAL"))</f>
        <v>1</v>
      </c>
      <c r="O617" s="186">
        <f>IFERROR(L617/SUM(D617:E617),0)</f>
        <v>1</v>
      </c>
    </row>
    <row r="618" spans="2:17" x14ac:dyDescent="0.25">
      <c r="B618" s="277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8">
        <f t="shared" si="124"/>
        <v>0</v>
      </c>
      <c r="M618" s="143">
        <f t="shared" si="122"/>
        <v>0</v>
      </c>
      <c r="N618" s="121">
        <f>IF(L618=0,0,IFERROR(L618/D618,"REQ ADICIONAL"))</f>
        <v>0</v>
      </c>
      <c r="O618" s="186">
        <f>IFERROR(L618/SUM(D618:E618),0)</f>
        <v>0</v>
      </c>
    </row>
    <row r="619" spans="2:17" x14ac:dyDescent="0.25">
      <c r="B619" s="277">
        <v>251632</v>
      </c>
      <c r="C619" s="44" t="s">
        <v>51</v>
      </c>
      <c r="D619" s="92"/>
      <c r="E619" s="92">
        <v>180</v>
      </c>
      <c r="F619" s="50"/>
      <c r="G619" s="57">
        <v>180</v>
      </c>
      <c r="H619" s="33"/>
      <c r="I619" s="57"/>
      <c r="J619" s="57"/>
      <c r="K619" s="57"/>
      <c r="L619" s="138">
        <f t="shared" si="124"/>
        <v>180</v>
      </c>
      <c r="M619" s="143">
        <f t="shared" si="122"/>
        <v>0</v>
      </c>
      <c r="N619" s="121" t="str">
        <f>IF(L619=0,0,IFERROR(L619/D619,"REQ ADICIONAL"))</f>
        <v>REQ ADICIONAL</v>
      </c>
      <c r="O619" s="186">
        <f>IFERROR(L619/SUM(D619:E619),0)</f>
        <v>1</v>
      </c>
    </row>
    <row r="620" spans="2:17" ht="16.5" thickBot="1" x14ac:dyDescent="0.3">
      <c r="B620" s="675" t="s">
        <v>87</v>
      </c>
      <c r="C620" s="674"/>
      <c r="D620" s="236">
        <f>SUM(D594:D619)</f>
        <v>12245</v>
      </c>
      <c r="E620" s="283">
        <f>SUM(E594:E619)</f>
        <v>3861</v>
      </c>
      <c r="F620" s="238">
        <f>SUM(F594:F619)</f>
        <v>1860</v>
      </c>
      <c r="G620" s="238">
        <f>SUM(G594:G619)</f>
        <v>2386</v>
      </c>
      <c r="H620" s="238">
        <f>SUM(H594:H618)</f>
        <v>2930</v>
      </c>
      <c r="I620" s="238">
        <f>SUM(I594:I618)</f>
        <v>1325</v>
      </c>
      <c r="J620" s="238">
        <f>SUM(J594:J618)</f>
        <v>1655</v>
      </c>
      <c r="K620" s="238">
        <f>SUM(K594:K619)</f>
        <v>2365</v>
      </c>
      <c r="L620" s="236">
        <f>SUM(L594:L619)</f>
        <v>12521</v>
      </c>
      <c r="M620" s="284">
        <f>SUM(M594:M619)</f>
        <v>3585</v>
      </c>
      <c r="N620" s="241">
        <f>L620/D620</f>
        <v>1.0225398121682319</v>
      </c>
      <c r="O620" s="242">
        <f>+L620/SUM(D620:E620)</f>
        <v>0.77741214454240659</v>
      </c>
      <c r="Q620" s="67"/>
    </row>
    <row r="622" spans="2:17" ht="15.75" thickBot="1" x14ac:dyDescent="0.3"/>
    <row r="623" spans="2:17" ht="27" customHeight="1" x14ac:dyDescent="0.25">
      <c r="B623" s="670" t="s">
        <v>112</v>
      </c>
      <c r="C623" s="671"/>
      <c r="D623" s="671"/>
      <c r="E623" s="671"/>
      <c r="F623" s="671"/>
      <c r="G623" s="671"/>
      <c r="H623" s="671"/>
      <c r="I623" s="671"/>
      <c r="J623" s="671"/>
      <c r="K623" s="671"/>
      <c r="L623" s="671"/>
      <c r="M623" s="671"/>
      <c r="N623" s="671"/>
      <c r="O623" s="672"/>
    </row>
    <row r="624" spans="2:17" ht="30" x14ac:dyDescent="0.25">
      <c r="B624" s="106" t="s">
        <v>34</v>
      </c>
      <c r="C624" s="30" t="s">
        <v>9</v>
      </c>
      <c r="D624" s="108" t="s">
        <v>85</v>
      </c>
      <c r="E624" s="163" t="s">
        <v>86</v>
      </c>
      <c r="F624" s="117">
        <v>43015</v>
      </c>
      <c r="G624" s="117">
        <f>+F624+2</f>
        <v>43017</v>
      </c>
      <c r="H624" s="117">
        <f>+G624+1</f>
        <v>43018</v>
      </c>
      <c r="I624" s="117">
        <f>+H624+1</f>
        <v>43019</v>
      </c>
      <c r="J624" s="117">
        <f>+I624+1</f>
        <v>43020</v>
      </c>
      <c r="K624" s="117">
        <f>+J624+1</f>
        <v>43021</v>
      </c>
      <c r="L624" s="108" t="s">
        <v>87</v>
      </c>
      <c r="M624" s="164" t="s">
        <v>88</v>
      </c>
      <c r="N624" s="117" t="s">
        <v>89</v>
      </c>
      <c r="O624" s="235" t="s">
        <v>90</v>
      </c>
      <c r="Q624" s="288"/>
    </row>
    <row r="625" spans="2:15" x14ac:dyDescent="0.25">
      <c r="B625" s="277">
        <v>255337</v>
      </c>
      <c r="C625" s="3" t="s">
        <v>26</v>
      </c>
      <c r="D625" s="285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8">
        <f t="shared" ref="L625:L632" si="126">SUM(F625:K625)</f>
        <v>720</v>
      </c>
      <c r="M625" s="143">
        <f>+SUM(D625:E625)-L625</f>
        <v>0</v>
      </c>
      <c r="N625" s="121" t="str">
        <f t="shared" ref="N625:N647" si="127">IF(L625=0,0,IFERROR(L625/D625,"REQ ADICIONAL"))</f>
        <v>REQ ADICIONAL</v>
      </c>
      <c r="O625" s="186">
        <f>IFERROR(L625/SUM(D625:E625),0)</f>
        <v>1</v>
      </c>
    </row>
    <row r="626" spans="2:15" x14ac:dyDescent="0.25">
      <c r="B626" s="277">
        <v>254851</v>
      </c>
      <c r="C626" s="3" t="s">
        <v>1</v>
      </c>
      <c r="D626" s="229">
        <v>180</v>
      </c>
      <c r="E626" s="55"/>
      <c r="F626" s="49"/>
      <c r="G626" s="52"/>
      <c r="H626" s="52"/>
      <c r="I626" s="52"/>
      <c r="J626" s="52"/>
      <c r="K626" s="52"/>
      <c r="L626" s="138">
        <f t="shared" si="126"/>
        <v>0</v>
      </c>
      <c r="M626" s="143">
        <f t="shared" ref="M626:M634" si="128">+SUM(D626:E626)-L626</f>
        <v>180</v>
      </c>
      <c r="N626" s="121">
        <f t="shared" si="127"/>
        <v>0</v>
      </c>
      <c r="O626" s="186">
        <f t="shared" ref="O626:O634" si="129">IFERROR(L626/SUM(D626:E626),0)</f>
        <v>0</v>
      </c>
    </row>
    <row r="627" spans="2:15" x14ac:dyDescent="0.25">
      <c r="B627" s="277">
        <v>254853</v>
      </c>
      <c r="C627" s="3" t="s">
        <v>2</v>
      </c>
      <c r="D627" s="229"/>
      <c r="E627" s="55"/>
      <c r="F627" s="49"/>
      <c r="G627" s="52"/>
      <c r="H627" s="52"/>
      <c r="I627" s="52"/>
      <c r="J627" s="52"/>
      <c r="K627" s="52"/>
      <c r="L627" s="138">
        <f t="shared" si="126"/>
        <v>0</v>
      </c>
      <c r="M627" s="143">
        <f t="shared" si="128"/>
        <v>0</v>
      </c>
      <c r="N627" s="121">
        <f t="shared" si="127"/>
        <v>0</v>
      </c>
      <c r="O627" s="186">
        <f t="shared" si="129"/>
        <v>0</v>
      </c>
    </row>
    <row r="628" spans="2:15" x14ac:dyDescent="0.25">
      <c r="B628" s="277">
        <v>254850</v>
      </c>
      <c r="C628" s="3" t="s">
        <v>3</v>
      </c>
      <c r="D628" s="229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8">
        <f t="shared" si="126"/>
        <v>2460</v>
      </c>
      <c r="M628" s="143">
        <f t="shared" si="128"/>
        <v>0</v>
      </c>
      <c r="N628" s="121">
        <f t="shared" si="127"/>
        <v>3.7272727272727271</v>
      </c>
      <c r="O628" s="186">
        <f t="shared" si="129"/>
        <v>1</v>
      </c>
    </row>
    <row r="629" spans="2:15" x14ac:dyDescent="0.25">
      <c r="B629" s="278">
        <v>251385</v>
      </c>
      <c r="C629" s="3" t="s">
        <v>4</v>
      </c>
      <c r="D629" s="229">
        <v>4000</v>
      </c>
      <c r="E629" s="63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8">
        <f t="shared" si="126"/>
        <v>1960</v>
      </c>
      <c r="M629" s="143">
        <f t="shared" si="128"/>
        <v>2040</v>
      </c>
      <c r="N629" s="121">
        <f t="shared" si="127"/>
        <v>0.49</v>
      </c>
      <c r="O629" s="186">
        <f t="shared" si="129"/>
        <v>0.49</v>
      </c>
    </row>
    <row r="630" spans="2:15" x14ac:dyDescent="0.25">
      <c r="B630" s="278">
        <v>251196</v>
      </c>
      <c r="C630" s="3" t="s">
        <v>5</v>
      </c>
      <c r="D630" s="229">
        <v>800</v>
      </c>
      <c r="E630" s="63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8">
        <f t="shared" si="126"/>
        <v>1120</v>
      </c>
      <c r="M630" s="143">
        <f t="shared" si="128"/>
        <v>0</v>
      </c>
      <c r="N630" s="121">
        <f t="shared" si="127"/>
        <v>1.4</v>
      </c>
      <c r="O630" s="186">
        <f t="shared" si="129"/>
        <v>1</v>
      </c>
    </row>
    <row r="631" spans="2:15" x14ac:dyDescent="0.25">
      <c r="B631" s="278">
        <v>250524</v>
      </c>
      <c r="C631" s="3" t="s">
        <v>6</v>
      </c>
      <c r="D631" s="229">
        <v>1200</v>
      </c>
      <c r="E631" s="63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8">
        <f t="shared" si="126"/>
        <v>1440</v>
      </c>
      <c r="M631" s="143">
        <f t="shared" si="128"/>
        <v>0</v>
      </c>
      <c r="N631" s="121">
        <f t="shared" si="127"/>
        <v>1.2</v>
      </c>
      <c r="O631" s="186">
        <f t="shared" si="129"/>
        <v>1</v>
      </c>
    </row>
    <row r="632" spans="2:15" x14ac:dyDescent="0.25">
      <c r="B632" s="278">
        <v>252534</v>
      </c>
      <c r="C632" s="3" t="s">
        <v>7</v>
      </c>
      <c r="D632" s="229">
        <v>225</v>
      </c>
      <c r="E632" s="63"/>
      <c r="F632" s="49"/>
      <c r="G632" s="52"/>
      <c r="H632" s="52"/>
      <c r="I632" s="52"/>
      <c r="J632" s="52"/>
      <c r="K632" s="52"/>
      <c r="L632" s="138">
        <f t="shared" si="126"/>
        <v>0</v>
      </c>
      <c r="M632" s="143">
        <f t="shared" si="128"/>
        <v>225</v>
      </c>
      <c r="N632" s="121">
        <f t="shared" si="127"/>
        <v>0</v>
      </c>
      <c r="O632" s="186">
        <f t="shared" si="129"/>
        <v>0</v>
      </c>
    </row>
    <row r="633" spans="2:15" x14ac:dyDescent="0.25">
      <c r="B633" s="278">
        <v>251151</v>
      </c>
      <c r="C633" s="3" t="s">
        <v>8</v>
      </c>
      <c r="D633" s="229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8">
        <f>SUM(F633:K633)</f>
        <v>450</v>
      </c>
      <c r="M633" s="143">
        <f t="shared" si="128"/>
        <v>0</v>
      </c>
      <c r="N633" s="121" t="str">
        <f t="shared" si="127"/>
        <v>REQ ADICIONAL</v>
      </c>
      <c r="O633" s="186">
        <f t="shared" si="129"/>
        <v>1</v>
      </c>
    </row>
    <row r="634" spans="2:15" x14ac:dyDescent="0.25">
      <c r="B634" s="278">
        <v>254852</v>
      </c>
      <c r="C634" s="3" t="s">
        <v>17</v>
      </c>
      <c r="D634" s="229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8">
        <f>SUM(F634:K634)</f>
        <v>450</v>
      </c>
      <c r="M634" s="143">
        <f t="shared" si="128"/>
        <v>0</v>
      </c>
      <c r="N634" s="121" t="str">
        <f t="shared" si="127"/>
        <v>REQ ADICIONAL</v>
      </c>
      <c r="O634" s="186">
        <f t="shared" si="129"/>
        <v>1</v>
      </c>
    </row>
    <row r="635" spans="2:15" x14ac:dyDescent="0.25">
      <c r="B635" s="278">
        <v>255430</v>
      </c>
      <c r="C635" s="44" t="s">
        <v>53</v>
      </c>
      <c r="D635" s="229">
        <v>250</v>
      </c>
      <c r="E635" s="55"/>
      <c r="F635" s="49">
        <v>250</v>
      </c>
      <c r="G635" s="52"/>
      <c r="H635" s="52"/>
      <c r="I635" s="52"/>
      <c r="J635" s="52"/>
      <c r="K635" s="52"/>
      <c r="L635" s="138">
        <f>SUM(F635:K635)</f>
        <v>250</v>
      </c>
      <c r="M635" s="143">
        <f>+SUM(D635:E635)-L635</f>
        <v>0</v>
      </c>
      <c r="N635" s="121">
        <f t="shared" si="127"/>
        <v>1</v>
      </c>
      <c r="O635" s="186">
        <f>IFERROR(L635/SUM(D635:E635),0)</f>
        <v>1</v>
      </c>
    </row>
    <row r="636" spans="2:15" x14ac:dyDescent="0.25">
      <c r="B636" s="277">
        <v>254849</v>
      </c>
      <c r="C636" s="3" t="s">
        <v>0</v>
      </c>
      <c r="D636" s="229">
        <v>180</v>
      </c>
      <c r="E636" s="63"/>
      <c r="F636" s="49"/>
      <c r="G636" s="52"/>
      <c r="H636" s="52"/>
      <c r="I636" s="52"/>
      <c r="J636" s="52"/>
      <c r="K636" s="52"/>
      <c r="L636" s="138">
        <f t="shared" ref="L636:L643" si="130">SUM(F636:K636)</f>
        <v>0</v>
      </c>
      <c r="M636" s="143">
        <f t="shared" ref="M636:M650" si="131">+SUM(D636:E636)-L636</f>
        <v>180</v>
      </c>
      <c r="N636" s="121">
        <f t="shared" si="127"/>
        <v>0</v>
      </c>
      <c r="O636" s="186">
        <f>IFERROR(L636/SUM(D636:E636),0)</f>
        <v>0</v>
      </c>
    </row>
    <row r="637" spans="2:15" x14ac:dyDescent="0.25">
      <c r="B637" s="278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8">
        <f t="shared" si="130"/>
        <v>0</v>
      </c>
      <c r="M637" s="143">
        <f t="shared" si="131"/>
        <v>0</v>
      </c>
      <c r="N637" s="121">
        <f t="shared" si="127"/>
        <v>0</v>
      </c>
      <c r="O637" s="186">
        <f>IFERROR(L637/SUM(D637:E637),0)</f>
        <v>0</v>
      </c>
    </row>
    <row r="638" spans="2:15" x14ac:dyDescent="0.25">
      <c r="B638" s="277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8">
        <f t="shared" si="130"/>
        <v>450</v>
      </c>
      <c r="M638" s="143">
        <f t="shared" si="131"/>
        <v>225</v>
      </c>
      <c r="N638" s="121">
        <f t="shared" si="127"/>
        <v>0.66666666666666663</v>
      </c>
      <c r="O638" s="187">
        <f>IFERROR(L638/SUM(D638:E638),0)</f>
        <v>0.66666666666666663</v>
      </c>
    </row>
    <row r="639" spans="2:15" x14ac:dyDescent="0.25">
      <c r="B639" s="278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8">
        <f t="shared" si="130"/>
        <v>960</v>
      </c>
      <c r="M639" s="143">
        <f t="shared" si="131"/>
        <v>0</v>
      </c>
      <c r="N639" s="121" t="str">
        <f t="shared" si="127"/>
        <v>REQ ADICIONAL</v>
      </c>
      <c r="O639" s="187">
        <f>IFERROR(L639/SUM(D639:E639),0)</f>
        <v>1</v>
      </c>
    </row>
    <row r="640" spans="2:15" x14ac:dyDescent="0.25">
      <c r="B640" s="278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8">
        <f t="shared" si="130"/>
        <v>0</v>
      </c>
      <c r="M640" s="143">
        <f t="shared" si="131"/>
        <v>0</v>
      </c>
      <c r="N640" s="121">
        <f t="shared" si="127"/>
        <v>0</v>
      </c>
      <c r="O640" s="187">
        <f t="shared" ref="O640:O646" si="132">IFERROR(L640/SUM(D640:E640),0)</f>
        <v>0</v>
      </c>
    </row>
    <row r="641" spans="2:15" x14ac:dyDescent="0.25">
      <c r="B641" s="279">
        <v>255341</v>
      </c>
      <c r="C641" s="3" t="s">
        <v>50</v>
      </c>
      <c r="D641" s="55">
        <v>225</v>
      </c>
      <c r="E641" s="63"/>
      <c r="F641" s="49"/>
      <c r="G641" s="52"/>
      <c r="H641" s="52">
        <v>225</v>
      </c>
      <c r="I641" s="52"/>
      <c r="J641" s="52"/>
      <c r="K641" s="52"/>
      <c r="L641" s="138">
        <f t="shared" si="130"/>
        <v>225</v>
      </c>
      <c r="M641" s="143">
        <f t="shared" si="131"/>
        <v>0</v>
      </c>
      <c r="N641" s="121">
        <f t="shared" si="127"/>
        <v>1</v>
      </c>
      <c r="O641" s="187">
        <f t="shared" si="132"/>
        <v>1</v>
      </c>
    </row>
    <row r="642" spans="2:15" x14ac:dyDescent="0.25">
      <c r="B642" s="277">
        <v>254963</v>
      </c>
      <c r="C642" s="3" t="s">
        <v>27</v>
      </c>
      <c r="D642" s="55"/>
      <c r="E642" s="63"/>
      <c r="F642" s="49"/>
      <c r="G642" s="52"/>
      <c r="H642" s="52"/>
      <c r="I642" s="52"/>
      <c r="J642" s="52"/>
      <c r="K642" s="52"/>
      <c r="L642" s="138">
        <f t="shared" si="130"/>
        <v>0</v>
      </c>
      <c r="M642" s="143">
        <f t="shared" si="131"/>
        <v>0</v>
      </c>
      <c r="N642" s="121">
        <f t="shared" si="127"/>
        <v>0</v>
      </c>
      <c r="O642" s="187">
        <f t="shared" si="132"/>
        <v>0</v>
      </c>
    </row>
    <row r="643" spans="2:15" x14ac:dyDescent="0.25">
      <c r="B643" s="278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8">
        <f t="shared" si="130"/>
        <v>0</v>
      </c>
      <c r="M643" s="143">
        <f t="shared" si="131"/>
        <v>0</v>
      </c>
      <c r="N643" s="121">
        <f t="shared" si="127"/>
        <v>0</v>
      </c>
      <c r="O643" s="187">
        <f t="shared" si="132"/>
        <v>0</v>
      </c>
    </row>
    <row r="644" spans="2:15" x14ac:dyDescent="0.25">
      <c r="B644" s="277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8">
        <f t="shared" ref="L644:L650" si="133">SUM(F644:K644)</f>
        <v>0</v>
      </c>
      <c r="M644" s="143">
        <f t="shared" si="131"/>
        <v>0</v>
      </c>
      <c r="N644" s="121">
        <f t="shared" si="127"/>
        <v>0</v>
      </c>
      <c r="O644" s="187">
        <f t="shared" si="132"/>
        <v>0</v>
      </c>
    </row>
    <row r="645" spans="2:15" x14ac:dyDescent="0.25">
      <c r="B645" s="279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8">
        <f t="shared" si="133"/>
        <v>0</v>
      </c>
      <c r="M645" s="143">
        <f t="shared" si="131"/>
        <v>0</v>
      </c>
      <c r="N645" s="121">
        <f t="shared" si="127"/>
        <v>0</v>
      </c>
      <c r="O645" s="187">
        <f t="shared" si="132"/>
        <v>0</v>
      </c>
    </row>
    <row r="646" spans="2:15" x14ac:dyDescent="0.25">
      <c r="B646" s="277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8">
        <f t="shared" si="133"/>
        <v>1120</v>
      </c>
      <c r="M646" s="143">
        <f t="shared" si="131"/>
        <v>0</v>
      </c>
      <c r="N646" s="121" t="str">
        <f t="shared" si="127"/>
        <v>REQ ADICIONAL</v>
      </c>
      <c r="O646" s="187">
        <f t="shared" si="132"/>
        <v>1</v>
      </c>
    </row>
    <row r="647" spans="2:15" x14ac:dyDescent="0.25">
      <c r="B647" s="277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8">
        <f t="shared" si="133"/>
        <v>250</v>
      </c>
      <c r="M647" s="143">
        <f t="shared" si="131"/>
        <v>0</v>
      </c>
      <c r="N647" s="121">
        <f t="shared" si="127"/>
        <v>1</v>
      </c>
      <c r="O647" s="187">
        <f>IFERROR(L647/SUM(D647:E647),0)</f>
        <v>1</v>
      </c>
    </row>
    <row r="648" spans="2:15" x14ac:dyDescent="0.25">
      <c r="B648" s="277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8">
        <f t="shared" si="133"/>
        <v>260</v>
      </c>
      <c r="M648" s="143">
        <f t="shared" si="131"/>
        <v>0</v>
      </c>
      <c r="N648" s="121">
        <f>IF(L648=0,0,IFERROR(L648/D648,"REQ ADICIONAL"))</f>
        <v>1</v>
      </c>
      <c r="O648" s="186">
        <f>IFERROR(L648/SUM(D648:E648),0)</f>
        <v>1</v>
      </c>
    </row>
    <row r="649" spans="2:15" x14ac:dyDescent="0.25">
      <c r="B649" s="277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8">
        <f t="shared" si="133"/>
        <v>0</v>
      </c>
      <c r="M649" s="143">
        <f t="shared" si="131"/>
        <v>0</v>
      </c>
      <c r="N649" s="121">
        <f>IF(L649=0,0,IFERROR(L649/D649,"REQ ADICIONAL"))</f>
        <v>0</v>
      </c>
      <c r="O649" s="186">
        <f>IFERROR(L649/SUM(D649:E649),0)</f>
        <v>0</v>
      </c>
    </row>
    <row r="650" spans="2:15" x14ac:dyDescent="0.25">
      <c r="B650" s="277">
        <v>251632</v>
      </c>
      <c r="C650" s="44" t="s">
        <v>51</v>
      </c>
      <c r="D650" s="92"/>
      <c r="E650" s="92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8">
        <f t="shared" si="133"/>
        <v>360</v>
      </c>
      <c r="M650" s="143">
        <f t="shared" si="131"/>
        <v>0</v>
      </c>
      <c r="N650" s="121" t="str">
        <f>IF(L650=0,0,IFERROR(L650/D650,"REQ ADICIONAL"))</f>
        <v>REQ ADICIONAL</v>
      </c>
      <c r="O650" s="186">
        <f>IFERROR(L650/SUM(D650:E650),0)</f>
        <v>1</v>
      </c>
    </row>
    <row r="651" spans="2:15" ht="16.5" thickBot="1" x14ac:dyDescent="0.3">
      <c r="B651" s="675" t="s">
        <v>87</v>
      </c>
      <c r="C651" s="674"/>
      <c r="D651" s="236">
        <f t="shared" ref="D651:M651" si="134">SUM(D625:D650)</f>
        <v>8905</v>
      </c>
      <c r="E651" s="283">
        <f t="shared" si="134"/>
        <v>6420</v>
      </c>
      <c r="F651" s="238">
        <f t="shared" si="134"/>
        <v>2340</v>
      </c>
      <c r="G651" s="238">
        <f t="shared" si="134"/>
        <v>1715</v>
      </c>
      <c r="H651" s="238">
        <f t="shared" si="134"/>
        <v>1605</v>
      </c>
      <c r="I651" s="238">
        <f t="shared" si="134"/>
        <v>2465</v>
      </c>
      <c r="J651" s="238">
        <f t="shared" si="134"/>
        <v>2825</v>
      </c>
      <c r="K651" s="238">
        <f t="shared" si="134"/>
        <v>1525</v>
      </c>
      <c r="L651" s="236">
        <f t="shared" si="134"/>
        <v>12475</v>
      </c>
      <c r="M651" s="284">
        <f t="shared" si="134"/>
        <v>2850</v>
      </c>
      <c r="N651" s="241">
        <f>L651/D651</f>
        <v>1.4008983717012915</v>
      </c>
      <c r="O651" s="242">
        <f>+L651/SUM(D651:E651)</f>
        <v>0.81402936378466562</v>
      </c>
    </row>
    <row r="653" spans="2:15" ht="15.75" thickBot="1" x14ac:dyDescent="0.3"/>
    <row r="654" spans="2:15" ht="18.75" x14ac:dyDescent="0.25">
      <c r="B654" s="670" t="s">
        <v>113</v>
      </c>
      <c r="C654" s="671"/>
      <c r="D654" s="671"/>
      <c r="E654" s="671"/>
      <c r="F654" s="671"/>
      <c r="G654" s="671"/>
      <c r="H654" s="671"/>
      <c r="I654" s="671"/>
      <c r="J654" s="671"/>
      <c r="K654" s="671"/>
      <c r="L654" s="671"/>
      <c r="M654" s="671"/>
      <c r="N654" s="671"/>
      <c r="O654" s="672"/>
    </row>
    <row r="655" spans="2:15" ht="30" x14ac:dyDescent="0.25">
      <c r="B655" s="106" t="s">
        <v>34</v>
      </c>
      <c r="C655" s="30" t="s">
        <v>9</v>
      </c>
      <c r="D655" s="108" t="s">
        <v>85</v>
      </c>
      <c r="E655" s="163" t="s">
        <v>86</v>
      </c>
      <c r="F655" s="117">
        <v>43022</v>
      </c>
      <c r="G655" s="117">
        <f>+F655+2</f>
        <v>43024</v>
      </c>
      <c r="H655" s="117">
        <f>+G655+1</f>
        <v>43025</v>
      </c>
      <c r="I655" s="117">
        <f>+H655+1</f>
        <v>43026</v>
      </c>
      <c r="J655" s="117">
        <f>+I655+1</f>
        <v>43027</v>
      </c>
      <c r="K655" s="117">
        <f>+J655+1</f>
        <v>43028</v>
      </c>
      <c r="L655" s="108" t="s">
        <v>87</v>
      </c>
      <c r="M655" s="164" t="s">
        <v>88</v>
      </c>
      <c r="N655" s="117" t="s">
        <v>89</v>
      </c>
      <c r="O655" s="235" t="s">
        <v>90</v>
      </c>
    </row>
    <row r="656" spans="2:15" x14ac:dyDescent="0.25">
      <c r="B656" s="277">
        <v>255337</v>
      </c>
      <c r="C656" s="3" t="s">
        <v>26</v>
      </c>
      <c r="D656" s="285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8">
        <f t="shared" ref="L656:L663" si="135">SUM(F656:K656)</f>
        <v>960</v>
      </c>
      <c r="M656" s="143">
        <f>+SUM(D656:E656)-L656</f>
        <v>0</v>
      </c>
      <c r="N656" s="121">
        <f t="shared" ref="N656:N678" si="136">IF(L656=0,0,IFERROR(L656/D656,"REQ ADICIONAL"))</f>
        <v>2</v>
      </c>
      <c r="O656" s="186">
        <f>IFERROR(L656/SUM(D656:E656),0)</f>
        <v>1</v>
      </c>
    </row>
    <row r="657" spans="2:15" x14ac:dyDescent="0.25">
      <c r="B657" s="277">
        <v>254851</v>
      </c>
      <c r="C657" s="3" t="s">
        <v>1</v>
      </c>
      <c r="D657" s="229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8">
        <f t="shared" si="135"/>
        <v>540</v>
      </c>
      <c r="M657" s="143">
        <f t="shared" ref="M657:M665" si="137">+SUM(D657:E657)-L657</f>
        <v>0</v>
      </c>
      <c r="N657" s="121">
        <f t="shared" si="136"/>
        <v>3</v>
      </c>
      <c r="O657" s="186">
        <f t="shared" ref="O657:O669" si="138">IFERROR(L657/SUM(D657:E657),0)</f>
        <v>1</v>
      </c>
    </row>
    <row r="658" spans="2:15" x14ac:dyDescent="0.25">
      <c r="B658" s="277">
        <v>254853</v>
      </c>
      <c r="C658" s="3" t="s">
        <v>2</v>
      </c>
      <c r="D658" s="229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8">
        <f t="shared" si="135"/>
        <v>1080</v>
      </c>
      <c r="M658" s="143">
        <f t="shared" si="137"/>
        <v>0</v>
      </c>
      <c r="N658" s="121">
        <f t="shared" si="136"/>
        <v>1</v>
      </c>
      <c r="O658" s="186">
        <f t="shared" si="138"/>
        <v>1</v>
      </c>
    </row>
    <row r="659" spans="2:15" x14ac:dyDescent="0.25">
      <c r="B659" s="277">
        <v>254850</v>
      </c>
      <c r="C659" s="3" t="s">
        <v>3</v>
      </c>
      <c r="D659" s="229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8">
        <f t="shared" si="135"/>
        <v>480</v>
      </c>
      <c r="M659" s="143">
        <f t="shared" si="137"/>
        <v>360</v>
      </c>
      <c r="N659" s="121">
        <f t="shared" si="136"/>
        <v>0.5714285714285714</v>
      </c>
      <c r="O659" s="186">
        <f t="shared" si="138"/>
        <v>0.5714285714285714</v>
      </c>
    </row>
    <row r="660" spans="2:15" x14ac:dyDescent="0.25">
      <c r="B660" s="278">
        <v>251385</v>
      </c>
      <c r="C660" s="3" t="s">
        <v>4</v>
      </c>
      <c r="D660" s="229">
        <v>3120</v>
      </c>
      <c r="E660" s="63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8">
        <f t="shared" si="135"/>
        <v>3520</v>
      </c>
      <c r="M660" s="143">
        <f t="shared" si="137"/>
        <v>0</v>
      </c>
      <c r="N660" s="121">
        <f t="shared" si="136"/>
        <v>1.1282051282051282</v>
      </c>
      <c r="O660" s="186">
        <f t="shared" si="138"/>
        <v>1</v>
      </c>
    </row>
    <row r="661" spans="2:15" x14ac:dyDescent="0.25">
      <c r="B661" s="278">
        <v>251196</v>
      </c>
      <c r="C661" s="3" t="s">
        <v>5</v>
      </c>
      <c r="D661" s="229">
        <v>1520</v>
      </c>
      <c r="E661" s="63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8">
        <f t="shared" si="135"/>
        <v>1440</v>
      </c>
      <c r="M661" s="143">
        <f t="shared" si="137"/>
        <v>80</v>
      </c>
      <c r="N661" s="121">
        <f t="shared" si="136"/>
        <v>0.94736842105263153</v>
      </c>
      <c r="O661" s="186">
        <f t="shared" si="138"/>
        <v>0.94736842105263153</v>
      </c>
    </row>
    <row r="662" spans="2:15" x14ac:dyDescent="0.25">
      <c r="B662" s="278">
        <v>250524</v>
      </c>
      <c r="C662" s="3" t="s">
        <v>6</v>
      </c>
      <c r="D662" s="229">
        <v>880</v>
      </c>
      <c r="E662" s="63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8">
        <f t="shared" si="135"/>
        <v>1680</v>
      </c>
      <c r="M662" s="143">
        <f t="shared" si="137"/>
        <v>0</v>
      </c>
      <c r="N662" s="121">
        <f t="shared" si="136"/>
        <v>1.9090909090909092</v>
      </c>
      <c r="O662" s="186">
        <f t="shared" si="138"/>
        <v>1</v>
      </c>
    </row>
    <row r="663" spans="2:15" x14ac:dyDescent="0.25">
      <c r="B663" s="278">
        <v>252534</v>
      </c>
      <c r="C663" s="3" t="s">
        <v>7</v>
      </c>
      <c r="D663" s="229">
        <v>675</v>
      </c>
      <c r="E663" s="63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8">
        <f t="shared" si="135"/>
        <v>1800</v>
      </c>
      <c r="M663" s="143">
        <f t="shared" si="137"/>
        <v>0</v>
      </c>
      <c r="N663" s="121">
        <f t="shared" si="136"/>
        <v>2.6666666666666665</v>
      </c>
      <c r="O663" s="186">
        <f t="shared" si="138"/>
        <v>1</v>
      </c>
    </row>
    <row r="664" spans="2:15" x14ac:dyDescent="0.25">
      <c r="B664" s="278">
        <v>251151</v>
      </c>
      <c r="C664" s="3" t="s">
        <v>8</v>
      </c>
      <c r="D664" s="229">
        <v>675</v>
      </c>
      <c r="E664" s="55"/>
      <c r="F664" s="49"/>
      <c r="G664" s="52"/>
      <c r="H664" s="52">
        <v>450</v>
      </c>
      <c r="I664" s="52"/>
      <c r="J664" s="52"/>
      <c r="K664" s="52"/>
      <c r="L664" s="138">
        <f>SUM(F664:K664)</f>
        <v>450</v>
      </c>
      <c r="M664" s="143">
        <f t="shared" si="137"/>
        <v>225</v>
      </c>
      <c r="N664" s="121">
        <f t="shared" si="136"/>
        <v>0.66666666666666663</v>
      </c>
      <c r="O664" s="186">
        <f t="shared" si="138"/>
        <v>0.66666666666666663</v>
      </c>
    </row>
    <row r="665" spans="2:15" x14ac:dyDescent="0.25">
      <c r="B665" s="278">
        <v>254852</v>
      </c>
      <c r="C665" s="3" t="s">
        <v>17</v>
      </c>
      <c r="D665" s="229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8">
        <f>SUM(F665:K665)</f>
        <v>450</v>
      </c>
      <c r="M665" s="143">
        <f t="shared" si="137"/>
        <v>0</v>
      </c>
      <c r="N665" s="121">
        <f t="shared" si="136"/>
        <v>1</v>
      </c>
      <c r="O665" s="186">
        <f t="shared" si="138"/>
        <v>1</v>
      </c>
    </row>
    <row r="666" spans="2:15" x14ac:dyDescent="0.25">
      <c r="B666" s="278">
        <v>255430</v>
      </c>
      <c r="C666" s="44" t="s">
        <v>53</v>
      </c>
      <c r="D666" s="229">
        <v>250</v>
      </c>
      <c r="E666" s="55"/>
      <c r="F666" s="49"/>
      <c r="G666" s="52"/>
      <c r="H666" s="52"/>
      <c r="I666" s="52"/>
      <c r="J666" s="52"/>
      <c r="K666" s="52"/>
      <c r="L666" s="138">
        <f>SUM(F666:K666)</f>
        <v>0</v>
      </c>
      <c r="M666" s="143">
        <f t="shared" ref="M666:M683" si="139">+SUM(D666:E666)-L666</f>
        <v>250</v>
      </c>
      <c r="N666" s="121">
        <f t="shared" si="136"/>
        <v>0</v>
      </c>
      <c r="O666" s="186">
        <f t="shared" si="138"/>
        <v>0</v>
      </c>
    </row>
    <row r="667" spans="2:15" x14ac:dyDescent="0.25">
      <c r="B667" s="277">
        <v>254849</v>
      </c>
      <c r="C667" s="3" t="s">
        <v>0</v>
      </c>
      <c r="D667" s="229"/>
      <c r="E667" s="63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8">
        <f t="shared" ref="L667:L674" si="140">SUM(F667:K667)</f>
        <v>540</v>
      </c>
      <c r="M667" s="143">
        <f t="shared" si="139"/>
        <v>0</v>
      </c>
      <c r="N667" s="121" t="str">
        <f t="shared" si="136"/>
        <v>REQ ADICIONAL</v>
      </c>
      <c r="O667" s="186">
        <f t="shared" si="138"/>
        <v>1</v>
      </c>
    </row>
    <row r="668" spans="2:15" x14ac:dyDescent="0.25">
      <c r="B668" s="278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8">
        <f t="shared" si="140"/>
        <v>180</v>
      </c>
      <c r="M668" s="143">
        <f t="shared" si="139"/>
        <v>0</v>
      </c>
      <c r="N668" s="121" t="str">
        <f t="shared" si="136"/>
        <v>REQ ADICIONAL</v>
      </c>
      <c r="O668" s="186">
        <f t="shared" si="138"/>
        <v>1</v>
      </c>
    </row>
    <row r="669" spans="2:15" x14ac:dyDescent="0.25">
      <c r="B669" s="277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8">
        <f t="shared" si="140"/>
        <v>225</v>
      </c>
      <c r="M669" s="143">
        <f t="shared" si="139"/>
        <v>450</v>
      </c>
      <c r="N669" s="121">
        <f t="shared" si="136"/>
        <v>0.33333333333333331</v>
      </c>
      <c r="O669" s="187">
        <f t="shared" si="138"/>
        <v>0.33333333333333331</v>
      </c>
    </row>
    <row r="670" spans="2:15" x14ac:dyDescent="0.25">
      <c r="B670" s="278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8">
        <f t="shared" si="140"/>
        <v>600</v>
      </c>
      <c r="M670" s="143">
        <f t="shared" si="139"/>
        <v>0</v>
      </c>
      <c r="N670" s="121">
        <f t="shared" si="136"/>
        <v>1.25</v>
      </c>
      <c r="O670" s="187">
        <f>IFERROR(L670/SUM(D670:E670),0)</f>
        <v>1</v>
      </c>
    </row>
    <row r="671" spans="2:15" x14ac:dyDescent="0.25">
      <c r="B671" s="278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8">
        <f t="shared" si="140"/>
        <v>540</v>
      </c>
      <c r="M671" s="143">
        <f t="shared" si="139"/>
        <v>0</v>
      </c>
      <c r="N671" s="121">
        <f t="shared" si="136"/>
        <v>3</v>
      </c>
      <c r="O671" s="187">
        <f t="shared" ref="O671:O683" si="141">IFERROR(L671/SUM(D671:E671),0)</f>
        <v>1</v>
      </c>
    </row>
    <row r="672" spans="2:15" x14ac:dyDescent="0.25">
      <c r="B672" s="279">
        <v>255341</v>
      </c>
      <c r="C672" s="3" t="s">
        <v>50</v>
      </c>
      <c r="D672" s="55">
        <v>450</v>
      </c>
      <c r="E672" s="63"/>
      <c r="F672" s="49"/>
      <c r="G672" s="52"/>
      <c r="H672" s="52"/>
      <c r="I672" s="52">
        <v>225</v>
      </c>
      <c r="J672" s="52">
        <v>225</v>
      </c>
      <c r="K672" s="52"/>
      <c r="L672" s="138">
        <f t="shared" si="140"/>
        <v>450</v>
      </c>
      <c r="M672" s="143">
        <f t="shared" si="139"/>
        <v>0</v>
      </c>
      <c r="N672" s="121">
        <f t="shared" si="136"/>
        <v>1</v>
      </c>
      <c r="O672" s="187">
        <f t="shared" si="141"/>
        <v>1</v>
      </c>
    </row>
    <row r="673" spans="2:15" x14ac:dyDescent="0.25">
      <c r="B673" s="277">
        <v>254963</v>
      </c>
      <c r="C673" s="3" t="s">
        <v>27</v>
      </c>
      <c r="D673" s="55"/>
      <c r="E673" s="63"/>
      <c r="F673" s="49"/>
      <c r="G673" s="52"/>
      <c r="H673" s="52"/>
      <c r="I673" s="52"/>
      <c r="J673" s="52"/>
      <c r="K673" s="52"/>
      <c r="L673" s="138">
        <f t="shared" si="140"/>
        <v>0</v>
      </c>
      <c r="M673" s="143">
        <f t="shared" si="139"/>
        <v>0</v>
      </c>
      <c r="N673" s="121">
        <f t="shared" si="136"/>
        <v>0</v>
      </c>
      <c r="O673" s="187">
        <f t="shared" si="141"/>
        <v>0</v>
      </c>
    </row>
    <row r="674" spans="2:15" x14ac:dyDescent="0.25">
      <c r="B674" s="278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8">
        <f t="shared" si="140"/>
        <v>0</v>
      </c>
      <c r="M674" s="143">
        <f t="shared" si="139"/>
        <v>0</v>
      </c>
      <c r="N674" s="121">
        <f t="shared" si="136"/>
        <v>0</v>
      </c>
      <c r="O674" s="187">
        <f t="shared" si="141"/>
        <v>0</v>
      </c>
    </row>
    <row r="675" spans="2:15" x14ac:dyDescent="0.25">
      <c r="B675" s="277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8">
        <f t="shared" ref="L675:L683" si="142">SUM(F675:K675)</f>
        <v>180</v>
      </c>
      <c r="M675" s="143">
        <f t="shared" si="139"/>
        <v>0</v>
      </c>
      <c r="N675" s="121">
        <f t="shared" si="136"/>
        <v>1</v>
      </c>
      <c r="O675" s="187">
        <f t="shared" si="141"/>
        <v>1</v>
      </c>
    </row>
    <row r="676" spans="2:15" x14ac:dyDescent="0.25">
      <c r="B676" s="279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8">
        <f t="shared" si="142"/>
        <v>0</v>
      </c>
      <c r="M676" s="143">
        <f t="shared" si="139"/>
        <v>0</v>
      </c>
      <c r="N676" s="121">
        <f t="shared" si="136"/>
        <v>0</v>
      </c>
      <c r="O676" s="187">
        <f t="shared" si="141"/>
        <v>0</v>
      </c>
    </row>
    <row r="677" spans="2:15" x14ac:dyDescent="0.25">
      <c r="B677" s="277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8">
        <f t="shared" si="142"/>
        <v>240</v>
      </c>
      <c r="M677" s="143">
        <f t="shared" si="139"/>
        <v>0</v>
      </c>
      <c r="N677" s="121">
        <f t="shared" si="136"/>
        <v>1.5</v>
      </c>
      <c r="O677" s="187">
        <f t="shared" si="141"/>
        <v>1</v>
      </c>
    </row>
    <row r="678" spans="2:15" x14ac:dyDescent="0.25">
      <c r="B678" s="277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8">
        <f t="shared" si="142"/>
        <v>250</v>
      </c>
      <c r="M678" s="143">
        <f t="shared" si="139"/>
        <v>0</v>
      </c>
      <c r="N678" s="121">
        <f t="shared" si="136"/>
        <v>1</v>
      </c>
      <c r="O678" s="187">
        <f t="shared" si="141"/>
        <v>1</v>
      </c>
    </row>
    <row r="679" spans="2:15" x14ac:dyDescent="0.25">
      <c r="B679" s="277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8">
        <f t="shared" si="142"/>
        <v>0</v>
      </c>
      <c r="M679" s="143">
        <f t="shared" si="139"/>
        <v>0</v>
      </c>
      <c r="N679" s="121">
        <f>IF(L679=0,0,IFERROR(L679/D679,"REQ ADICIONAL"))</f>
        <v>0</v>
      </c>
      <c r="O679" s="186">
        <f t="shared" si="141"/>
        <v>0</v>
      </c>
    </row>
    <row r="680" spans="2:15" x14ac:dyDescent="0.25">
      <c r="B680" s="277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8">
        <f t="shared" si="142"/>
        <v>0</v>
      </c>
      <c r="M680" s="143">
        <f t="shared" si="139"/>
        <v>0</v>
      </c>
      <c r="N680" s="121">
        <f>IF(L680=0,0,IFERROR(L680/D680,"REQ ADICIONAL"))</f>
        <v>0</v>
      </c>
      <c r="O680" s="186">
        <f t="shared" si="141"/>
        <v>0</v>
      </c>
    </row>
    <row r="681" spans="2:15" x14ac:dyDescent="0.25">
      <c r="B681" s="277">
        <v>255417</v>
      </c>
      <c r="C681" s="31" t="s">
        <v>75</v>
      </c>
      <c r="D681" s="92">
        <v>270</v>
      </c>
      <c r="E681" s="92"/>
      <c r="F681" s="50"/>
      <c r="G681" s="57"/>
      <c r="H681" s="33"/>
      <c r="I681" s="57"/>
      <c r="J681" s="57">
        <v>270</v>
      </c>
      <c r="K681" s="33"/>
      <c r="L681" s="138">
        <f t="shared" si="142"/>
        <v>270</v>
      </c>
      <c r="M681" s="143">
        <f t="shared" si="139"/>
        <v>0</v>
      </c>
      <c r="N681" s="121">
        <f>IF(L681=0,0,IFERROR(L681/D681,"REQ ADICIONAL"))</f>
        <v>1</v>
      </c>
      <c r="O681" s="186">
        <f t="shared" si="141"/>
        <v>1</v>
      </c>
    </row>
    <row r="682" spans="2:15" x14ac:dyDescent="0.25">
      <c r="B682" s="277">
        <v>255418</v>
      </c>
      <c r="C682" s="31" t="s">
        <v>76</v>
      </c>
      <c r="D682" s="92">
        <v>270</v>
      </c>
      <c r="E682" s="92"/>
      <c r="F682" s="50"/>
      <c r="G682" s="57"/>
      <c r="H682" s="33"/>
      <c r="I682" s="57"/>
      <c r="J682" s="57">
        <v>270</v>
      </c>
      <c r="K682" s="33"/>
      <c r="L682" s="138">
        <f t="shared" si="142"/>
        <v>270</v>
      </c>
      <c r="M682" s="143">
        <f t="shared" si="139"/>
        <v>0</v>
      </c>
      <c r="N682" s="121">
        <f>IF(L682=0,0,IFERROR(L682/D682,"REQ ADICIONAL"))</f>
        <v>1</v>
      </c>
      <c r="O682" s="186">
        <f t="shared" si="141"/>
        <v>1</v>
      </c>
    </row>
    <row r="683" spans="2:15" x14ac:dyDescent="0.25">
      <c r="B683" s="277">
        <v>251632</v>
      </c>
      <c r="C683" s="44" t="s">
        <v>51</v>
      </c>
      <c r="D683" s="92"/>
      <c r="E683" s="92"/>
      <c r="F683" s="50"/>
      <c r="G683" s="57"/>
      <c r="H683" s="33"/>
      <c r="I683" s="57"/>
      <c r="J683" s="57"/>
      <c r="K683" s="57"/>
      <c r="L683" s="138">
        <f t="shared" si="142"/>
        <v>0</v>
      </c>
      <c r="M683" s="143">
        <f t="shared" si="139"/>
        <v>0</v>
      </c>
      <c r="N683" s="121">
        <f>IF(L683=0,0,IFERROR(L683/D683,"REQ ADICIONAL"))</f>
        <v>0</v>
      </c>
      <c r="O683" s="186">
        <f t="shared" si="141"/>
        <v>0</v>
      </c>
    </row>
    <row r="684" spans="2:15" ht="16.5" thickBot="1" x14ac:dyDescent="0.3">
      <c r="B684" s="675" t="s">
        <v>87</v>
      </c>
      <c r="C684" s="674"/>
      <c r="D684" s="236">
        <f>SUM(D656:D683)</f>
        <v>13065</v>
      </c>
      <c r="E684" s="283">
        <f t="shared" ref="E684:J684" si="143">SUM(E656:E683)</f>
        <v>4445</v>
      </c>
      <c r="F684" s="238">
        <f>SUM(F656:F683)</f>
        <v>2395</v>
      </c>
      <c r="G684" s="238">
        <f t="shared" si="143"/>
        <v>1245</v>
      </c>
      <c r="H684" s="238">
        <f t="shared" si="143"/>
        <v>2080</v>
      </c>
      <c r="I684" s="238">
        <f t="shared" si="143"/>
        <v>2545</v>
      </c>
      <c r="J684" s="238">
        <f t="shared" si="143"/>
        <v>3865</v>
      </c>
      <c r="K684" s="238">
        <f>SUM(K656:K683)</f>
        <v>4015</v>
      </c>
      <c r="L684" s="236">
        <f>SUM(L656:L683)</f>
        <v>16145</v>
      </c>
      <c r="M684" s="284">
        <f>SUM(M656:M683)</f>
        <v>1365</v>
      </c>
      <c r="N684" s="241">
        <f>L684/D684</f>
        <v>1.2357443551473402</v>
      </c>
      <c r="O684" s="242">
        <f>+L684/SUM(D684:E684)</f>
        <v>0.92204454597372931</v>
      </c>
    </row>
    <row r="686" spans="2:15" ht="15.75" thickBot="1" x14ac:dyDescent="0.3"/>
    <row r="687" spans="2:15" ht="18.75" x14ac:dyDescent="0.25">
      <c r="B687" s="670" t="s">
        <v>114</v>
      </c>
      <c r="C687" s="671"/>
      <c r="D687" s="671"/>
      <c r="E687" s="671"/>
      <c r="F687" s="671"/>
      <c r="G687" s="671"/>
      <c r="H687" s="671"/>
      <c r="I687" s="671"/>
      <c r="J687" s="671"/>
      <c r="K687" s="671"/>
      <c r="L687" s="671"/>
      <c r="M687" s="671"/>
      <c r="N687" s="671"/>
      <c r="O687" s="672"/>
    </row>
    <row r="688" spans="2:15" ht="30" x14ac:dyDescent="0.25">
      <c r="B688" s="106" t="s">
        <v>34</v>
      </c>
      <c r="C688" s="30" t="s">
        <v>9</v>
      </c>
      <c r="D688" s="108" t="s">
        <v>85</v>
      </c>
      <c r="E688" s="163" t="s">
        <v>86</v>
      </c>
      <c r="F688" s="117">
        <v>43029</v>
      </c>
      <c r="G688" s="117">
        <f>+F688+2</f>
        <v>43031</v>
      </c>
      <c r="H688" s="117">
        <f>+G688+1</f>
        <v>43032</v>
      </c>
      <c r="I688" s="117">
        <f>+H688+1</f>
        <v>43033</v>
      </c>
      <c r="J688" s="117">
        <f>+I688+1</f>
        <v>43034</v>
      </c>
      <c r="K688" s="117">
        <f>+J688+1</f>
        <v>43035</v>
      </c>
      <c r="L688" s="108" t="s">
        <v>87</v>
      </c>
      <c r="M688" s="164" t="s">
        <v>88</v>
      </c>
      <c r="N688" s="117" t="s">
        <v>89</v>
      </c>
      <c r="O688" s="235" t="s">
        <v>90</v>
      </c>
    </row>
    <row r="689" spans="2:15" x14ac:dyDescent="0.25">
      <c r="B689" s="277">
        <v>255337</v>
      </c>
      <c r="C689" s="3" t="s">
        <v>26</v>
      </c>
      <c r="D689" s="285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8">
        <f t="shared" ref="L689:L696" si="144">SUM(F689:K689)</f>
        <v>1040</v>
      </c>
      <c r="M689" s="143">
        <f>+SUM(D689:E689)-L689</f>
        <v>0</v>
      </c>
      <c r="N689" s="121">
        <f t="shared" ref="N689:N720" si="145">IF(L689=0,0,IFERROR(L689/D689,"REQ ADICIONAL"))</f>
        <v>1.0833333333333333</v>
      </c>
      <c r="O689" s="186">
        <f>IFERROR(L689/SUM(D689:E689),0)</f>
        <v>1</v>
      </c>
    </row>
    <row r="690" spans="2:15" x14ac:dyDescent="0.25">
      <c r="B690" s="277">
        <v>254851</v>
      </c>
      <c r="C690" s="3" t="s">
        <v>1</v>
      </c>
      <c r="D690" s="229"/>
      <c r="E690" s="55">
        <v>180</v>
      </c>
      <c r="F690" s="49"/>
      <c r="G690" s="52"/>
      <c r="H690" s="52"/>
      <c r="I690" s="52"/>
      <c r="J690" s="52"/>
      <c r="K690" s="52">
        <v>180</v>
      </c>
      <c r="L690" s="138">
        <f t="shared" si="144"/>
        <v>180</v>
      </c>
      <c r="M690" s="143">
        <f t="shared" ref="M690:M698" si="146">+SUM(D690:E690)-L690</f>
        <v>0</v>
      </c>
      <c r="N690" s="121" t="str">
        <f t="shared" si="145"/>
        <v>REQ ADICIONAL</v>
      </c>
      <c r="O690" s="186">
        <f t="shared" ref="O690:O702" si="147">IFERROR(L690/SUM(D690:E690),0)</f>
        <v>1</v>
      </c>
    </row>
    <row r="691" spans="2:15" x14ac:dyDescent="0.25">
      <c r="B691" s="277">
        <v>254853</v>
      </c>
      <c r="C691" s="3" t="s">
        <v>2</v>
      </c>
      <c r="D691" s="229">
        <v>540</v>
      </c>
      <c r="E691" s="55"/>
      <c r="F691" s="49"/>
      <c r="G691" s="52"/>
      <c r="H691" s="52"/>
      <c r="I691" s="52"/>
      <c r="J691" s="52"/>
      <c r="K691" s="52"/>
      <c r="L691" s="138">
        <f t="shared" si="144"/>
        <v>0</v>
      </c>
      <c r="M691" s="143">
        <f t="shared" si="146"/>
        <v>540</v>
      </c>
      <c r="N691" s="121">
        <f t="shared" si="145"/>
        <v>0</v>
      </c>
      <c r="O691" s="186">
        <f t="shared" si="147"/>
        <v>0</v>
      </c>
    </row>
    <row r="692" spans="2:15" x14ac:dyDescent="0.25">
      <c r="B692" s="277">
        <v>254850</v>
      </c>
      <c r="C692" s="3" t="s">
        <v>3</v>
      </c>
      <c r="D692" s="229">
        <v>300</v>
      </c>
      <c r="E692" s="55"/>
      <c r="F692" s="49"/>
      <c r="G692" s="52"/>
      <c r="H692" s="52"/>
      <c r="I692" s="52"/>
      <c r="J692" s="52"/>
      <c r="K692" s="52">
        <v>240</v>
      </c>
      <c r="L692" s="138">
        <f t="shared" si="144"/>
        <v>240</v>
      </c>
      <c r="M692" s="143">
        <f t="shared" si="146"/>
        <v>60</v>
      </c>
      <c r="N692" s="121">
        <f t="shared" si="145"/>
        <v>0.8</v>
      </c>
      <c r="O692" s="186">
        <f t="shared" si="147"/>
        <v>0.8</v>
      </c>
    </row>
    <row r="693" spans="2:15" x14ac:dyDescent="0.25">
      <c r="B693" s="278">
        <v>251385</v>
      </c>
      <c r="C693" s="3" t="s">
        <v>4</v>
      </c>
      <c r="D693" s="229">
        <v>1600</v>
      </c>
      <c r="E693" s="63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8">
        <f t="shared" si="144"/>
        <v>2880</v>
      </c>
      <c r="M693" s="143">
        <f t="shared" si="146"/>
        <v>0</v>
      </c>
      <c r="N693" s="121">
        <f t="shared" si="145"/>
        <v>1.8</v>
      </c>
      <c r="O693" s="186">
        <f t="shared" si="147"/>
        <v>1</v>
      </c>
    </row>
    <row r="694" spans="2:15" x14ac:dyDescent="0.25">
      <c r="B694" s="278">
        <v>251196</v>
      </c>
      <c r="C694" s="3" t="s">
        <v>5</v>
      </c>
      <c r="D694" s="229">
        <v>480</v>
      </c>
      <c r="E694" s="63"/>
      <c r="F694" s="49">
        <v>240</v>
      </c>
      <c r="G694" s="52">
        <v>80</v>
      </c>
      <c r="H694" s="52"/>
      <c r="I694" s="52">
        <v>80</v>
      </c>
      <c r="J694" s="52"/>
      <c r="K694" s="52"/>
      <c r="L694" s="138">
        <f t="shared" si="144"/>
        <v>400</v>
      </c>
      <c r="M694" s="143">
        <f t="shared" si="146"/>
        <v>80</v>
      </c>
      <c r="N694" s="121">
        <f t="shared" si="145"/>
        <v>0.83333333333333337</v>
      </c>
      <c r="O694" s="186">
        <f t="shared" si="147"/>
        <v>0.83333333333333337</v>
      </c>
    </row>
    <row r="695" spans="2:15" x14ac:dyDescent="0.25">
      <c r="B695" s="278">
        <v>250524</v>
      </c>
      <c r="C695" s="3" t="s">
        <v>6</v>
      </c>
      <c r="D695" s="229">
        <v>1600</v>
      </c>
      <c r="E695" s="63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8">
        <f t="shared" si="144"/>
        <v>1040</v>
      </c>
      <c r="M695" s="143">
        <f t="shared" si="146"/>
        <v>560</v>
      </c>
      <c r="N695" s="121">
        <f t="shared" si="145"/>
        <v>0.65</v>
      </c>
      <c r="O695" s="186">
        <f t="shared" si="147"/>
        <v>0.65</v>
      </c>
    </row>
    <row r="696" spans="2:15" x14ac:dyDescent="0.25">
      <c r="B696" s="278">
        <v>252534</v>
      </c>
      <c r="C696" s="3" t="s">
        <v>7</v>
      </c>
      <c r="D696" s="229">
        <v>1350</v>
      </c>
      <c r="E696" s="63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8">
        <f t="shared" si="144"/>
        <v>900</v>
      </c>
      <c r="M696" s="143">
        <f t="shared" si="146"/>
        <v>450</v>
      </c>
      <c r="N696" s="121">
        <f t="shared" si="145"/>
        <v>0.66666666666666663</v>
      </c>
      <c r="O696" s="186">
        <f t="shared" si="147"/>
        <v>0.66666666666666663</v>
      </c>
    </row>
    <row r="697" spans="2:15" x14ac:dyDescent="0.25">
      <c r="B697" s="278">
        <v>251151</v>
      </c>
      <c r="C697" s="3" t="s">
        <v>8</v>
      </c>
      <c r="D697" s="229"/>
      <c r="E697" s="55"/>
      <c r="F697" s="49"/>
      <c r="G697" s="52"/>
      <c r="H697" s="52"/>
      <c r="I697" s="52"/>
      <c r="J697" s="52"/>
      <c r="K697" s="52"/>
      <c r="L697" s="138">
        <f>SUM(F697:K697)</f>
        <v>0</v>
      </c>
      <c r="M697" s="143">
        <f t="shared" si="146"/>
        <v>0</v>
      </c>
      <c r="N697" s="121">
        <f t="shared" si="145"/>
        <v>0</v>
      </c>
      <c r="O697" s="186">
        <f t="shared" si="147"/>
        <v>0</v>
      </c>
    </row>
    <row r="698" spans="2:15" x14ac:dyDescent="0.25">
      <c r="B698" s="278">
        <v>254852</v>
      </c>
      <c r="C698" s="3" t="s">
        <v>17</v>
      </c>
      <c r="D698" s="229"/>
      <c r="E698" s="55"/>
      <c r="F698" s="49"/>
      <c r="G698" s="52"/>
      <c r="H698" s="52"/>
      <c r="I698" s="52"/>
      <c r="J698" s="52"/>
      <c r="K698" s="52"/>
      <c r="L698" s="138">
        <f>SUM(F698:K698)</f>
        <v>0</v>
      </c>
      <c r="M698" s="143">
        <f t="shared" si="146"/>
        <v>0</v>
      </c>
      <c r="N698" s="121">
        <f t="shared" si="145"/>
        <v>0</v>
      </c>
      <c r="O698" s="186">
        <f t="shared" si="147"/>
        <v>0</v>
      </c>
    </row>
    <row r="699" spans="2:15" x14ac:dyDescent="0.25">
      <c r="B699" s="278">
        <v>255430</v>
      </c>
      <c r="C699" s="44" t="s">
        <v>53</v>
      </c>
      <c r="D699" s="229">
        <v>750</v>
      </c>
      <c r="E699" s="55"/>
      <c r="F699" s="49"/>
      <c r="G699" s="52"/>
      <c r="H699" s="52"/>
      <c r="I699" s="52"/>
      <c r="J699" s="52"/>
      <c r="K699" s="52"/>
      <c r="L699" s="138">
        <f>SUM(F699:K699)</f>
        <v>0</v>
      </c>
      <c r="M699" s="143">
        <f t="shared" ref="M699:M715" si="148">+SUM(D699:E699)-L699</f>
        <v>750</v>
      </c>
      <c r="N699" s="121">
        <f t="shared" si="145"/>
        <v>0</v>
      </c>
      <c r="O699" s="186">
        <f t="shared" si="147"/>
        <v>0</v>
      </c>
    </row>
    <row r="700" spans="2:15" x14ac:dyDescent="0.25">
      <c r="B700" s="277">
        <v>254849</v>
      </c>
      <c r="C700" s="3" t="s">
        <v>0</v>
      </c>
      <c r="D700" s="229">
        <v>720</v>
      </c>
      <c r="E700" s="63"/>
      <c r="F700" s="49"/>
      <c r="G700" s="52"/>
      <c r="H700" s="52"/>
      <c r="I700" s="52"/>
      <c r="J700" s="52"/>
      <c r="K700" s="52"/>
      <c r="L700" s="138">
        <f t="shared" ref="L700:L707" si="149">SUM(F700:K700)</f>
        <v>0</v>
      </c>
      <c r="M700" s="143">
        <f t="shared" si="148"/>
        <v>720</v>
      </c>
      <c r="N700" s="121">
        <f t="shared" si="145"/>
        <v>0</v>
      </c>
      <c r="O700" s="186">
        <f t="shared" si="147"/>
        <v>0</v>
      </c>
    </row>
    <row r="701" spans="2:15" x14ac:dyDescent="0.25">
      <c r="B701" s="278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8">
        <f t="shared" si="149"/>
        <v>180</v>
      </c>
      <c r="M701" s="143">
        <f t="shared" si="148"/>
        <v>180</v>
      </c>
      <c r="N701" s="121">
        <f t="shared" si="145"/>
        <v>0.5</v>
      </c>
      <c r="O701" s="186">
        <f t="shared" si="147"/>
        <v>0.5</v>
      </c>
    </row>
    <row r="702" spans="2:15" x14ac:dyDescent="0.25">
      <c r="B702" s="277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8">
        <f t="shared" si="149"/>
        <v>450</v>
      </c>
      <c r="M702" s="143">
        <f t="shared" si="148"/>
        <v>900</v>
      </c>
      <c r="N702" s="121">
        <f t="shared" si="145"/>
        <v>0.33333333333333331</v>
      </c>
      <c r="O702" s="187">
        <f t="shared" si="147"/>
        <v>0.33333333333333331</v>
      </c>
    </row>
    <row r="703" spans="2:15" x14ac:dyDescent="0.25">
      <c r="B703" s="278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8">
        <f t="shared" si="149"/>
        <v>1440</v>
      </c>
      <c r="M703" s="143">
        <f t="shared" si="148"/>
        <v>0</v>
      </c>
      <c r="N703" s="121">
        <f t="shared" si="145"/>
        <v>1.2</v>
      </c>
      <c r="O703" s="187">
        <f>IFERROR(L703/SUM(D703:E703),0)</f>
        <v>1</v>
      </c>
    </row>
    <row r="704" spans="2:15" x14ac:dyDescent="0.25">
      <c r="B704" s="278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8">
        <f t="shared" si="149"/>
        <v>360</v>
      </c>
      <c r="M704" s="143">
        <f t="shared" si="148"/>
        <v>360</v>
      </c>
      <c r="N704" s="121">
        <f t="shared" si="145"/>
        <v>0.5</v>
      </c>
      <c r="O704" s="187">
        <f t="shared" ref="O704:O720" si="150">IFERROR(L704/SUM(D704:E704),0)</f>
        <v>0.5</v>
      </c>
    </row>
    <row r="705" spans="2:15" x14ac:dyDescent="0.25">
      <c r="B705" s="279">
        <v>255341</v>
      </c>
      <c r="C705" s="3" t="s">
        <v>50</v>
      </c>
      <c r="D705" s="55"/>
      <c r="E705" s="63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8">
        <f t="shared" si="149"/>
        <v>450</v>
      </c>
      <c r="M705" s="143">
        <f t="shared" si="148"/>
        <v>0</v>
      </c>
      <c r="N705" s="121" t="str">
        <f t="shared" si="145"/>
        <v>REQ ADICIONAL</v>
      </c>
      <c r="O705" s="187">
        <f t="shared" si="150"/>
        <v>1</v>
      </c>
    </row>
    <row r="706" spans="2:15" x14ac:dyDescent="0.25">
      <c r="B706" s="277">
        <v>254963</v>
      </c>
      <c r="C706" s="3" t="s">
        <v>27</v>
      </c>
      <c r="D706" s="55"/>
      <c r="E706" s="63"/>
      <c r="F706" s="49"/>
      <c r="G706" s="52"/>
      <c r="H706" s="52"/>
      <c r="I706" s="52"/>
      <c r="J706" s="52"/>
      <c r="K706" s="52"/>
      <c r="L706" s="138">
        <f t="shared" si="149"/>
        <v>0</v>
      </c>
      <c r="M706" s="143">
        <f t="shared" si="148"/>
        <v>0</v>
      </c>
      <c r="N706" s="121">
        <f t="shared" si="145"/>
        <v>0</v>
      </c>
      <c r="O706" s="187">
        <f t="shared" si="150"/>
        <v>0</v>
      </c>
    </row>
    <row r="707" spans="2:15" x14ac:dyDescent="0.25">
      <c r="B707" s="278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8">
        <f t="shared" si="149"/>
        <v>0</v>
      </c>
      <c r="M707" s="143">
        <f t="shared" si="148"/>
        <v>0</v>
      </c>
      <c r="N707" s="121">
        <f t="shared" si="145"/>
        <v>0</v>
      </c>
      <c r="O707" s="187">
        <f t="shared" si="150"/>
        <v>0</v>
      </c>
    </row>
    <row r="708" spans="2:15" x14ac:dyDescent="0.25">
      <c r="B708" s="277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8">
        <f t="shared" ref="L708:L720" si="151">SUM(F708:K708)</f>
        <v>360</v>
      </c>
      <c r="M708" s="143">
        <f t="shared" si="148"/>
        <v>0</v>
      </c>
      <c r="N708" s="121" t="str">
        <f t="shared" si="145"/>
        <v>REQ ADICIONAL</v>
      </c>
      <c r="O708" s="187">
        <f t="shared" si="150"/>
        <v>1</v>
      </c>
    </row>
    <row r="709" spans="2:15" x14ac:dyDescent="0.25">
      <c r="B709" s="279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8">
        <f t="shared" si="151"/>
        <v>0</v>
      </c>
      <c r="M709" s="143">
        <f t="shared" si="148"/>
        <v>0</v>
      </c>
      <c r="N709" s="121">
        <f t="shared" si="145"/>
        <v>0</v>
      </c>
      <c r="O709" s="187">
        <f t="shared" si="150"/>
        <v>0</v>
      </c>
    </row>
    <row r="710" spans="2:15" x14ac:dyDescent="0.25">
      <c r="B710" s="277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8">
        <f t="shared" si="151"/>
        <v>44</v>
      </c>
      <c r="M710" s="143">
        <f t="shared" si="148"/>
        <v>0</v>
      </c>
      <c r="N710" s="121" t="str">
        <f t="shared" si="145"/>
        <v>REQ ADICIONAL</v>
      </c>
      <c r="O710" s="187">
        <f t="shared" si="150"/>
        <v>1</v>
      </c>
    </row>
    <row r="711" spans="2:15" x14ac:dyDescent="0.25">
      <c r="B711" s="277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8">
        <f t="shared" si="151"/>
        <v>0</v>
      </c>
      <c r="M711" s="143">
        <f t="shared" si="148"/>
        <v>750</v>
      </c>
      <c r="N711" s="121">
        <f t="shared" si="145"/>
        <v>0</v>
      </c>
      <c r="O711" s="187">
        <f t="shared" si="150"/>
        <v>0</v>
      </c>
    </row>
    <row r="712" spans="2:15" x14ac:dyDescent="0.25">
      <c r="B712" s="277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8">
        <f t="shared" si="151"/>
        <v>0</v>
      </c>
      <c r="M712" s="143">
        <f t="shared" si="148"/>
        <v>0</v>
      </c>
      <c r="N712" s="121">
        <f t="shared" si="145"/>
        <v>0</v>
      </c>
      <c r="O712" s="186">
        <f t="shared" si="150"/>
        <v>0</v>
      </c>
    </row>
    <row r="713" spans="2:15" x14ac:dyDescent="0.25">
      <c r="B713" s="277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8">
        <f t="shared" si="151"/>
        <v>0</v>
      </c>
      <c r="M713" s="143">
        <f t="shared" si="148"/>
        <v>0</v>
      </c>
      <c r="N713" s="121">
        <f t="shared" si="145"/>
        <v>0</v>
      </c>
      <c r="O713" s="186">
        <f t="shared" si="150"/>
        <v>0</v>
      </c>
    </row>
    <row r="714" spans="2:15" x14ac:dyDescent="0.25">
      <c r="B714" s="277">
        <v>255417</v>
      </c>
      <c r="C714" s="31" t="s">
        <v>75</v>
      </c>
      <c r="D714" s="92"/>
      <c r="E714" s="92"/>
      <c r="F714" s="50"/>
      <c r="G714" s="57"/>
      <c r="H714" s="33"/>
      <c r="I714" s="57"/>
      <c r="J714" s="57"/>
      <c r="K714" s="57"/>
      <c r="L714" s="138">
        <f t="shared" si="151"/>
        <v>0</v>
      </c>
      <c r="M714" s="143">
        <f t="shared" si="148"/>
        <v>0</v>
      </c>
      <c r="N714" s="121">
        <f t="shared" si="145"/>
        <v>0</v>
      </c>
      <c r="O714" s="186">
        <f t="shared" si="150"/>
        <v>0</v>
      </c>
    </row>
    <row r="715" spans="2:15" x14ac:dyDescent="0.25">
      <c r="B715" s="277">
        <v>255418</v>
      </c>
      <c r="C715" s="31" t="s">
        <v>76</v>
      </c>
      <c r="D715" s="92"/>
      <c r="E715" s="92"/>
      <c r="F715" s="50"/>
      <c r="G715" s="57"/>
      <c r="H715" s="33"/>
      <c r="I715" s="57"/>
      <c r="J715" s="57"/>
      <c r="K715" s="57"/>
      <c r="L715" s="138">
        <f t="shared" si="151"/>
        <v>0</v>
      </c>
      <c r="M715" s="143">
        <f t="shared" si="148"/>
        <v>0</v>
      </c>
      <c r="N715" s="121">
        <f t="shared" si="145"/>
        <v>0</v>
      </c>
      <c r="O715" s="186">
        <f t="shared" si="150"/>
        <v>0</v>
      </c>
    </row>
    <row r="716" spans="2:15" x14ac:dyDescent="0.25">
      <c r="B716" s="277">
        <v>256329</v>
      </c>
      <c r="C716" s="289" t="s">
        <v>81</v>
      </c>
      <c r="D716" s="92"/>
      <c r="E716" s="92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8">
        <f t="shared" si="151"/>
        <v>780</v>
      </c>
      <c r="M716" s="143">
        <f>+SUM(D716:E716)-L716</f>
        <v>0</v>
      </c>
      <c r="N716" s="121" t="str">
        <f t="shared" si="145"/>
        <v>REQ ADICIONAL</v>
      </c>
      <c r="O716" s="186">
        <f t="shared" si="150"/>
        <v>1</v>
      </c>
    </row>
    <row r="717" spans="2:15" x14ac:dyDescent="0.25">
      <c r="B717" s="277">
        <v>256330</v>
      </c>
      <c r="C717" s="289" t="s">
        <v>82</v>
      </c>
      <c r="D717" s="92"/>
      <c r="E717" s="92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8">
        <f t="shared" si="151"/>
        <v>720</v>
      </c>
      <c r="M717" s="143">
        <f>+SUM(D717:E717)-L717</f>
        <v>0</v>
      </c>
      <c r="N717" s="121" t="str">
        <f t="shared" si="145"/>
        <v>REQ ADICIONAL</v>
      </c>
      <c r="O717" s="186">
        <f t="shared" si="150"/>
        <v>1</v>
      </c>
    </row>
    <row r="718" spans="2:15" x14ac:dyDescent="0.25">
      <c r="B718" s="277">
        <v>256331</v>
      </c>
      <c r="C718" s="289" t="s">
        <v>115</v>
      </c>
      <c r="D718" s="92"/>
      <c r="E718" s="92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8">
        <f t="shared" si="151"/>
        <v>780</v>
      </c>
      <c r="M718" s="143">
        <f>+SUM(D718:E718)-L718</f>
        <v>0</v>
      </c>
      <c r="N718" s="121" t="str">
        <f t="shared" si="145"/>
        <v>REQ ADICIONAL</v>
      </c>
      <c r="O718" s="186">
        <f t="shared" si="150"/>
        <v>1</v>
      </c>
    </row>
    <row r="719" spans="2:15" x14ac:dyDescent="0.25">
      <c r="B719" s="277">
        <v>256332</v>
      </c>
      <c r="C719" s="289" t="s">
        <v>116</v>
      </c>
      <c r="D719" s="92"/>
      <c r="E719" s="92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8">
        <f t="shared" si="151"/>
        <v>720</v>
      </c>
      <c r="M719" s="143">
        <f>+SUM(D719:E719)-L719</f>
        <v>0</v>
      </c>
      <c r="N719" s="121" t="str">
        <f t="shared" si="145"/>
        <v>REQ ADICIONAL</v>
      </c>
      <c r="O719" s="186">
        <f t="shared" si="150"/>
        <v>1</v>
      </c>
    </row>
    <row r="720" spans="2:15" x14ac:dyDescent="0.25">
      <c r="B720" s="277">
        <v>251632</v>
      </c>
      <c r="C720" s="44" t="s">
        <v>51</v>
      </c>
      <c r="D720" s="92"/>
      <c r="E720" s="92"/>
      <c r="F720" s="50"/>
      <c r="G720" s="57"/>
      <c r="H720" s="33"/>
      <c r="I720" s="57"/>
      <c r="J720" s="57"/>
      <c r="K720" s="57"/>
      <c r="L720" s="138">
        <f t="shared" si="151"/>
        <v>0</v>
      </c>
      <c r="M720" s="143">
        <f>+SUM(D720:E720)-L720</f>
        <v>0</v>
      </c>
      <c r="N720" s="121">
        <f t="shared" si="145"/>
        <v>0</v>
      </c>
      <c r="O720" s="186">
        <f t="shared" si="150"/>
        <v>0</v>
      </c>
    </row>
    <row r="721" spans="2:15" ht="16.5" thickBot="1" x14ac:dyDescent="0.3">
      <c r="B721" s="675" t="s">
        <v>87</v>
      </c>
      <c r="C721" s="674"/>
      <c r="D721" s="236">
        <f t="shared" ref="D721:M721" si="152">SUM(D689:D720)</f>
        <v>12680</v>
      </c>
      <c r="E721" s="283">
        <f t="shared" si="152"/>
        <v>5634</v>
      </c>
      <c r="F721" s="238">
        <f t="shared" si="152"/>
        <v>1854</v>
      </c>
      <c r="G721" s="238">
        <f t="shared" si="152"/>
        <v>1320</v>
      </c>
      <c r="H721" s="238">
        <f t="shared" si="152"/>
        <v>1915</v>
      </c>
      <c r="I721" s="238">
        <f t="shared" si="152"/>
        <v>1665</v>
      </c>
      <c r="J721" s="238">
        <f t="shared" si="152"/>
        <v>3405</v>
      </c>
      <c r="K721" s="238">
        <f t="shared" si="152"/>
        <v>2805</v>
      </c>
      <c r="L721" s="236">
        <f t="shared" si="152"/>
        <v>12964</v>
      </c>
      <c r="M721" s="284">
        <f t="shared" si="152"/>
        <v>5350</v>
      </c>
      <c r="N721" s="241">
        <f>L721/D721</f>
        <v>1.022397476340694</v>
      </c>
      <c r="O721" s="242">
        <f>+L721/SUM(D721:E721)</f>
        <v>0.70787375778093264</v>
      </c>
    </row>
    <row r="723" spans="2:15" ht="15.75" thickBot="1" x14ac:dyDescent="0.3"/>
    <row r="724" spans="2:15" ht="18.75" x14ac:dyDescent="0.25">
      <c r="B724" s="670" t="s">
        <v>117</v>
      </c>
      <c r="C724" s="671"/>
      <c r="D724" s="671"/>
      <c r="E724" s="671"/>
      <c r="F724" s="671"/>
      <c r="G724" s="671"/>
      <c r="H724" s="671"/>
      <c r="I724" s="671"/>
      <c r="J724" s="671"/>
      <c r="K724" s="671"/>
      <c r="L724" s="671"/>
      <c r="M724" s="671"/>
      <c r="N724" s="671"/>
      <c r="O724" s="672"/>
    </row>
    <row r="725" spans="2:15" ht="30.75" thickBot="1" x14ac:dyDescent="0.3">
      <c r="B725" s="290" t="s">
        <v>34</v>
      </c>
      <c r="C725" s="30" t="s">
        <v>9</v>
      </c>
      <c r="D725" s="108" t="s">
        <v>85</v>
      </c>
      <c r="E725" s="163" t="s">
        <v>86</v>
      </c>
      <c r="F725" s="117">
        <v>43036</v>
      </c>
      <c r="G725" s="117">
        <f>+F725+2</f>
        <v>43038</v>
      </c>
      <c r="H725" s="117">
        <f>+G725+1</f>
        <v>43039</v>
      </c>
      <c r="I725" s="117">
        <f>+H725+1</f>
        <v>43040</v>
      </c>
      <c r="J725" s="117">
        <f>+I725+1</f>
        <v>43041</v>
      </c>
      <c r="K725" s="117">
        <f>+J725+1</f>
        <v>43042</v>
      </c>
      <c r="L725" s="108" t="s">
        <v>87</v>
      </c>
      <c r="M725" s="164" t="s">
        <v>88</v>
      </c>
      <c r="N725" s="117" t="s">
        <v>89</v>
      </c>
      <c r="O725" s="235" t="s">
        <v>90</v>
      </c>
    </row>
    <row r="726" spans="2:15" x14ac:dyDescent="0.25">
      <c r="B726" s="291">
        <v>255337</v>
      </c>
      <c r="C726" s="4" t="s">
        <v>26</v>
      </c>
      <c r="D726" s="285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8">
        <f t="shared" ref="L726:L733" si="153">SUM(F726:K726)</f>
        <v>320</v>
      </c>
      <c r="M726" s="143">
        <f>+SUM(D726:E726)-L726</f>
        <v>800</v>
      </c>
      <c r="N726" s="121">
        <f t="shared" ref="N726:N758" si="154">IF(L726=0,0,IFERROR(L726/D726,"REQ ADICIONAL"))</f>
        <v>0.2857142857142857</v>
      </c>
      <c r="O726" s="186">
        <f>IFERROR(L726/SUM(D726:E726),0)</f>
        <v>0.2857142857142857</v>
      </c>
    </row>
    <row r="727" spans="2:15" x14ac:dyDescent="0.25">
      <c r="B727" s="292">
        <v>254851</v>
      </c>
      <c r="C727" s="4" t="s">
        <v>1</v>
      </c>
      <c r="D727" s="229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8">
        <f t="shared" si="153"/>
        <v>900</v>
      </c>
      <c r="M727" s="143">
        <f t="shared" ref="M727:M735" si="155">+SUM(D727:E727)-L727</f>
        <v>0</v>
      </c>
      <c r="N727" s="121">
        <f t="shared" si="154"/>
        <v>2.5</v>
      </c>
      <c r="O727" s="186">
        <f t="shared" ref="O727:O739" si="156">IFERROR(L727/SUM(D727:E727),0)</f>
        <v>1</v>
      </c>
    </row>
    <row r="728" spans="2:15" x14ac:dyDescent="0.25">
      <c r="B728" s="292">
        <v>254853</v>
      </c>
      <c r="C728" s="4" t="s">
        <v>2</v>
      </c>
      <c r="D728" s="229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8">
        <f t="shared" si="153"/>
        <v>360</v>
      </c>
      <c r="M728" s="143">
        <f t="shared" si="155"/>
        <v>540</v>
      </c>
      <c r="N728" s="121">
        <f t="shared" si="154"/>
        <v>0.4</v>
      </c>
      <c r="O728" s="186">
        <f t="shared" si="156"/>
        <v>0.4</v>
      </c>
    </row>
    <row r="729" spans="2:15" x14ac:dyDescent="0.25">
      <c r="B729" s="292">
        <v>254850</v>
      </c>
      <c r="C729" s="4" t="s">
        <v>3</v>
      </c>
      <c r="D729" s="229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8">
        <f t="shared" si="153"/>
        <v>600</v>
      </c>
      <c r="M729" s="143">
        <f t="shared" si="155"/>
        <v>1080</v>
      </c>
      <c r="N729" s="121">
        <f t="shared" si="154"/>
        <v>0.35714285714285715</v>
      </c>
      <c r="O729" s="186">
        <f t="shared" si="156"/>
        <v>0.35714285714285715</v>
      </c>
    </row>
    <row r="730" spans="2:15" x14ac:dyDescent="0.25">
      <c r="B730" s="293">
        <v>251385</v>
      </c>
      <c r="C730" s="4" t="s">
        <v>4</v>
      </c>
      <c r="D730" s="229">
        <v>640</v>
      </c>
      <c r="E730" s="63"/>
      <c r="F730" s="49">
        <v>160</v>
      </c>
      <c r="G730" s="52"/>
      <c r="H730" s="52"/>
      <c r="I730" s="52"/>
      <c r="J730" s="52"/>
      <c r="K730" s="52"/>
      <c r="L730" s="138">
        <f t="shared" si="153"/>
        <v>160</v>
      </c>
      <c r="M730" s="143">
        <f t="shared" si="155"/>
        <v>480</v>
      </c>
      <c r="N730" s="121">
        <f t="shared" si="154"/>
        <v>0.25</v>
      </c>
      <c r="O730" s="186">
        <f t="shared" si="156"/>
        <v>0.25</v>
      </c>
    </row>
    <row r="731" spans="2:15" x14ac:dyDescent="0.25">
      <c r="B731" s="293">
        <v>251196</v>
      </c>
      <c r="C731" s="4" t="s">
        <v>5</v>
      </c>
      <c r="D731" s="229"/>
      <c r="E731" s="63"/>
      <c r="F731" s="49"/>
      <c r="G731" s="52"/>
      <c r="H731" s="52"/>
      <c r="I731" s="52"/>
      <c r="J731" s="52"/>
      <c r="K731" s="52"/>
      <c r="L731" s="138">
        <f t="shared" si="153"/>
        <v>0</v>
      </c>
      <c r="M731" s="143">
        <f t="shared" si="155"/>
        <v>0</v>
      </c>
      <c r="N731" s="121">
        <f t="shared" si="154"/>
        <v>0</v>
      </c>
      <c r="O731" s="186">
        <f t="shared" si="156"/>
        <v>0</v>
      </c>
    </row>
    <row r="732" spans="2:15" x14ac:dyDescent="0.25">
      <c r="B732" s="293">
        <v>250524</v>
      </c>
      <c r="C732" s="4" t="s">
        <v>6</v>
      </c>
      <c r="D732" s="229"/>
      <c r="E732" s="63"/>
      <c r="F732" s="49"/>
      <c r="G732" s="52"/>
      <c r="H732" s="52"/>
      <c r="I732" s="52"/>
      <c r="J732" s="52"/>
      <c r="K732" s="52"/>
      <c r="L732" s="138">
        <f t="shared" si="153"/>
        <v>0</v>
      </c>
      <c r="M732" s="143">
        <f t="shared" si="155"/>
        <v>0</v>
      </c>
      <c r="N732" s="121">
        <f t="shared" si="154"/>
        <v>0</v>
      </c>
      <c r="O732" s="186">
        <f t="shared" si="156"/>
        <v>0</v>
      </c>
    </row>
    <row r="733" spans="2:15" x14ac:dyDescent="0.25">
      <c r="B733" s="293">
        <v>252534</v>
      </c>
      <c r="C733" s="4" t="s">
        <v>7</v>
      </c>
      <c r="D733" s="229">
        <v>1350</v>
      </c>
      <c r="E733" s="63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8">
        <f t="shared" si="153"/>
        <v>900</v>
      </c>
      <c r="M733" s="143">
        <f t="shared" si="155"/>
        <v>450</v>
      </c>
      <c r="N733" s="121">
        <f t="shared" si="154"/>
        <v>0.66666666666666663</v>
      </c>
      <c r="O733" s="186">
        <f t="shared" si="156"/>
        <v>0.66666666666666663</v>
      </c>
    </row>
    <row r="734" spans="2:15" x14ac:dyDescent="0.25">
      <c r="B734" s="293">
        <v>251151</v>
      </c>
      <c r="C734" s="4" t="s">
        <v>8</v>
      </c>
      <c r="D734" s="229"/>
      <c r="E734" s="55"/>
      <c r="F734" s="49"/>
      <c r="G734" s="52"/>
      <c r="H734" s="52"/>
      <c r="I734" s="52"/>
      <c r="J734" s="52"/>
      <c r="K734" s="52"/>
      <c r="L734" s="138">
        <f>SUM(F734:K734)</f>
        <v>0</v>
      </c>
      <c r="M734" s="143">
        <f t="shared" si="155"/>
        <v>0</v>
      </c>
      <c r="N734" s="121">
        <f t="shared" si="154"/>
        <v>0</v>
      </c>
      <c r="O734" s="186">
        <f t="shared" si="156"/>
        <v>0</v>
      </c>
    </row>
    <row r="735" spans="2:15" x14ac:dyDescent="0.25">
      <c r="B735" s="293">
        <v>254852</v>
      </c>
      <c r="C735" s="4" t="s">
        <v>17</v>
      </c>
      <c r="D735" s="229"/>
      <c r="E735" s="55"/>
      <c r="F735" s="49"/>
      <c r="G735" s="52"/>
      <c r="H735" s="52"/>
      <c r="I735" s="52"/>
      <c r="J735" s="52"/>
      <c r="K735" s="52"/>
      <c r="L735" s="138">
        <f>SUM(F735:K735)</f>
        <v>0</v>
      </c>
      <c r="M735" s="143">
        <f t="shared" si="155"/>
        <v>0</v>
      </c>
      <c r="N735" s="121">
        <f t="shared" si="154"/>
        <v>0</v>
      </c>
      <c r="O735" s="186">
        <f t="shared" si="156"/>
        <v>0</v>
      </c>
    </row>
    <row r="736" spans="2:15" x14ac:dyDescent="0.25">
      <c r="B736" s="293">
        <v>255430</v>
      </c>
      <c r="C736" s="99" t="s">
        <v>53</v>
      </c>
      <c r="D736" s="229"/>
      <c r="E736" s="55"/>
      <c r="F736" s="49"/>
      <c r="G736" s="52"/>
      <c r="H736" s="52"/>
      <c r="I736" s="52"/>
      <c r="J736" s="52"/>
      <c r="K736" s="52"/>
      <c r="L736" s="138">
        <f>SUM(F736:K736)</f>
        <v>0</v>
      </c>
      <c r="M736" s="143">
        <f t="shared" ref="M736:M747" si="157">+SUM(D736:E736)-L736</f>
        <v>0</v>
      </c>
      <c r="N736" s="121">
        <f t="shared" si="154"/>
        <v>0</v>
      </c>
      <c r="O736" s="186">
        <f t="shared" si="156"/>
        <v>0</v>
      </c>
    </row>
    <row r="737" spans="2:15" x14ac:dyDescent="0.25">
      <c r="B737" s="292">
        <v>254849</v>
      </c>
      <c r="C737" s="4" t="s">
        <v>0</v>
      </c>
      <c r="D737" s="229">
        <v>180</v>
      </c>
      <c r="E737" s="63">
        <v>360</v>
      </c>
      <c r="F737" s="49"/>
      <c r="G737" s="52"/>
      <c r="H737" s="52">
        <f>3*180</f>
        <v>540</v>
      </c>
      <c r="I737" s="52"/>
      <c r="J737" s="52"/>
      <c r="K737" s="52"/>
      <c r="L737" s="138">
        <f t="shared" ref="L737:L744" si="158">SUM(F737:K737)</f>
        <v>540</v>
      </c>
      <c r="M737" s="143">
        <f t="shared" si="157"/>
        <v>0</v>
      </c>
      <c r="N737" s="121">
        <f t="shared" si="154"/>
        <v>3</v>
      </c>
      <c r="O737" s="186">
        <f t="shared" si="156"/>
        <v>1</v>
      </c>
    </row>
    <row r="738" spans="2:15" x14ac:dyDescent="0.25">
      <c r="B738" s="293">
        <v>254954</v>
      </c>
      <c r="C738" s="100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8">
        <f t="shared" si="158"/>
        <v>180</v>
      </c>
      <c r="M738" s="143">
        <f t="shared" si="157"/>
        <v>0</v>
      </c>
      <c r="N738" s="121" t="str">
        <f t="shared" si="154"/>
        <v>REQ ADICIONAL</v>
      </c>
      <c r="O738" s="186">
        <f t="shared" si="156"/>
        <v>1</v>
      </c>
    </row>
    <row r="739" spans="2:15" x14ac:dyDescent="0.25">
      <c r="B739" s="292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8">
        <f t="shared" si="158"/>
        <v>450</v>
      </c>
      <c r="M739" s="143">
        <f t="shared" si="157"/>
        <v>450</v>
      </c>
      <c r="N739" s="121">
        <f t="shared" si="154"/>
        <v>0.5</v>
      </c>
      <c r="O739" s="187">
        <f t="shared" si="156"/>
        <v>0.5</v>
      </c>
    </row>
    <row r="740" spans="2:15" x14ac:dyDescent="0.25">
      <c r="B740" s="293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8">
        <f t="shared" si="158"/>
        <v>960</v>
      </c>
      <c r="M740" s="143">
        <f t="shared" si="157"/>
        <v>1920</v>
      </c>
      <c r="N740" s="121">
        <f t="shared" si="154"/>
        <v>0.33333333333333331</v>
      </c>
      <c r="O740" s="187">
        <f>IFERROR(L740/SUM(D740:E740),0)</f>
        <v>0.33333333333333331</v>
      </c>
    </row>
    <row r="741" spans="2:15" x14ac:dyDescent="0.25">
      <c r="B741" s="293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8">
        <f t="shared" si="158"/>
        <v>180</v>
      </c>
      <c r="M741" s="143">
        <f t="shared" si="157"/>
        <v>0</v>
      </c>
      <c r="N741" s="121" t="str">
        <f t="shared" si="154"/>
        <v>REQ ADICIONAL</v>
      </c>
      <c r="O741" s="187">
        <f t="shared" ref="O741:O747" si="159">IFERROR(L741/SUM(D741:E741),0)</f>
        <v>1</v>
      </c>
    </row>
    <row r="742" spans="2:15" x14ac:dyDescent="0.25">
      <c r="B742" s="294">
        <v>255341</v>
      </c>
      <c r="C742" s="4" t="s">
        <v>50</v>
      </c>
      <c r="D742" s="55">
        <v>450</v>
      </c>
      <c r="E742" s="63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8">
        <f t="shared" si="158"/>
        <v>675</v>
      </c>
      <c r="M742" s="143">
        <f t="shared" si="157"/>
        <v>0</v>
      </c>
      <c r="N742" s="121">
        <f t="shared" si="154"/>
        <v>1.5</v>
      </c>
      <c r="O742" s="187">
        <f t="shared" si="159"/>
        <v>1</v>
      </c>
    </row>
    <row r="743" spans="2:15" x14ac:dyDescent="0.25">
      <c r="B743" s="292">
        <v>254963</v>
      </c>
      <c r="C743" s="4" t="s">
        <v>27</v>
      </c>
      <c r="D743" s="55"/>
      <c r="E743" s="63">
        <v>450</v>
      </c>
      <c r="F743" s="49">
        <v>450</v>
      </c>
      <c r="G743" s="52"/>
      <c r="H743" s="52"/>
      <c r="I743" s="52"/>
      <c r="J743" s="52"/>
      <c r="K743" s="52"/>
      <c r="L743" s="138">
        <f t="shared" si="158"/>
        <v>450</v>
      </c>
      <c r="M743" s="143">
        <f t="shared" si="157"/>
        <v>0</v>
      </c>
      <c r="N743" s="121" t="str">
        <f t="shared" si="154"/>
        <v>REQ ADICIONAL</v>
      </c>
      <c r="O743" s="187">
        <f t="shared" si="159"/>
        <v>1</v>
      </c>
    </row>
    <row r="744" spans="2:15" x14ac:dyDescent="0.25">
      <c r="B744" s="293">
        <v>255454</v>
      </c>
      <c r="C744" s="100" t="s">
        <v>74</v>
      </c>
      <c r="D744" s="55"/>
      <c r="E744" s="55"/>
      <c r="F744" s="49"/>
      <c r="G744" s="52"/>
      <c r="H744" s="52"/>
      <c r="I744" s="52"/>
      <c r="J744" s="52"/>
      <c r="K744" s="52"/>
      <c r="L744" s="138">
        <f t="shared" si="158"/>
        <v>0</v>
      </c>
      <c r="M744" s="143">
        <f t="shared" si="157"/>
        <v>0</v>
      </c>
      <c r="N744" s="121">
        <f t="shared" si="154"/>
        <v>0</v>
      </c>
      <c r="O744" s="187">
        <f t="shared" si="159"/>
        <v>0</v>
      </c>
    </row>
    <row r="745" spans="2:15" x14ac:dyDescent="0.25">
      <c r="B745" s="292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8">
        <f>SUM(F745:K745)</f>
        <v>360</v>
      </c>
      <c r="M745" s="143">
        <f t="shared" si="157"/>
        <v>180</v>
      </c>
      <c r="N745" s="121">
        <f t="shared" si="154"/>
        <v>0.66666666666666663</v>
      </c>
      <c r="O745" s="187">
        <f t="shared" si="159"/>
        <v>0.66666666666666663</v>
      </c>
    </row>
    <row r="746" spans="2:15" x14ac:dyDescent="0.25">
      <c r="B746" s="294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8">
        <f t="shared" ref="L746:L756" si="160">SUM(F746:K746)</f>
        <v>0</v>
      </c>
      <c r="M746" s="143">
        <f t="shared" si="157"/>
        <v>0</v>
      </c>
      <c r="N746" s="121">
        <f t="shared" si="154"/>
        <v>0</v>
      </c>
      <c r="O746" s="187">
        <f t="shared" si="159"/>
        <v>0</v>
      </c>
    </row>
    <row r="747" spans="2:15" x14ac:dyDescent="0.25">
      <c r="B747" s="292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8">
        <f t="shared" si="160"/>
        <v>0</v>
      </c>
      <c r="M747" s="143">
        <f t="shared" si="157"/>
        <v>0</v>
      </c>
      <c r="N747" s="121">
        <f t="shared" si="154"/>
        <v>0</v>
      </c>
      <c r="O747" s="187">
        <f t="shared" si="159"/>
        <v>0</v>
      </c>
    </row>
    <row r="748" spans="2:15" x14ac:dyDescent="0.25">
      <c r="B748" s="292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8">
        <f>SUM(F748:K748)</f>
        <v>225</v>
      </c>
      <c r="M748" s="143">
        <f t="shared" ref="M748:M758" si="161">+SUM(D748:E748)-L748</f>
        <v>450</v>
      </c>
      <c r="N748" s="121">
        <f t="shared" si="154"/>
        <v>0.5</v>
      </c>
      <c r="O748" s="187">
        <f t="shared" ref="O748:O758" si="162">IFERROR(L748/SUM(D748:E748),0)</f>
        <v>0.33333333333333331</v>
      </c>
    </row>
    <row r="749" spans="2:15" x14ac:dyDescent="0.25">
      <c r="B749" s="292">
        <v>255429</v>
      </c>
      <c r="C749" s="295" t="s">
        <v>52</v>
      </c>
      <c r="D749" s="52"/>
      <c r="E749" s="52"/>
      <c r="F749" s="49"/>
      <c r="G749" s="55"/>
      <c r="H749" s="3"/>
      <c r="I749" s="55"/>
      <c r="J749" s="55"/>
      <c r="K749" s="52"/>
      <c r="L749" s="138">
        <f t="shared" si="160"/>
        <v>0</v>
      </c>
      <c r="M749" s="143">
        <f t="shared" si="161"/>
        <v>0</v>
      </c>
      <c r="N749" s="121">
        <f t="shared" si="154"/>
        <v>0</v>
      </c>
      <c r="O749" s="187">
        <f t="shared" si="162"/>
        <v>0</v>
      </c>
    </row>
    <row r="750" spans="2:15" x14ac:dyDescent="0.25">
      <c r="B750" s="292">
        <v>255382</v>
      </c>
      <c r="C750" s="295" t="s">
        <v>56</v>
      </c>
      <c r="D750" s="52"/>
      <c r="E750" s="52"/>
      <c r="F750" s="49"/>
      <c r="G750" s="55"/>
      <c r="H750" s="55"/>
      <c r="I750" s="55"/>
      <c r="J750" s="55"/>
      <c r="K750" s="52"/>
      <c r="L750" s="138">
        <f t="shared" si="160"/>
        <v>0</v>
      </c>
      <c r="M750" s="143">
        <f t="shared" si="161"/>
        <v>0</v>
      </c>
      <c r="N750" s="121">
        <f t="shared" si="154"/>
        <v>0</v>
      </c>
      <c r="O750" s="187">
        <f t="shared" si="162"/>
        <v>0</v>
      </c>
    </row>
    <row r="751" spans="2:15" x14ac:dyDescent="0.25">
      <c r="B751" s="292">
        <v>256319</v>
      </c>
      <c r="C751" s="295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8">
        <f t="shared" si="160"/>
        <v>0</v>
      </c>
      <c r="M751" s="143">
        <f t="shared" si="161"/>
        <v>675</v>
      </c>
      <c r="N751" s="121">
        <f t="shared" si="154"/>
        <v>0</v>
      </c>
      <c r="O751" s="187">
        <f t="shared" si="162"/>
        <v>0</v>
      </c>
    </row>
    <row r="752" spans="2:15" x14ac:dyDescent="0.25">
      <c r="B752" s="292">
        <v>255417</v>
      </c>
      <c r="C752" s="295" t="s">
        <v>75</v>
      </c>
      <c r="D752" s="92">
        <v>270</v>
      </c>
      <c r="E752" s="92"/>
      <c r="F752" s="50"/>
      <c r="G752" s="57"/>
      <c r="H752" s="33"/>
      <c r="I752" s="57"/>
      <c r="J752" s="57"/>
      <c r="K752" s="33"/>
      <c r="L752" s="138">
        <f t="shared" si="160"/>
        <v>0</v>
      </c>
      <c r="M752" s="143">
        <f t="shared" si="161"/>
        <v>270</v>
      </c>
      <c r="N752" s="121">
        <f t="shared" si="154"/>
        <v>0</v>
      </c>
      <c r="O752" s="187">
        <f t="shared" si="162"/>
        <v>0</v>
      </c>
    </row>
    <row r="753" spans="2:15" x14ac:dyDescent="0.25">
      <c r="B753" s="292">
        <v>255418</v>
      </c>
      <c r="C753" s="295" t="s">
        <v>76</v>
      </c>
      <c r="D753" s="92"/>
      <c r="E753" s="92"/>
      <c r="F753" s="50"/>
      <c r="G753" s="57"/>
      <c r="H753" s="33"/>
      <c r="I753" s="57"/>
      <c r="J753" s="57"/>
      <c r="K753" s="33"/>
      <c r="L753" s="138">
        <f t="shared" si="160"/>
        <v>0</v>
      </c>
      <c r="M753" s="143">
        <f t="shared" si="161"/>
        <v>0</v>
      </c>
      <c r="N753" s="121">
        <f t="shared" si="154"/>
        <v>0</v>
      </c>
      <c r="O753" s="187">
        <f t="shared" si="162"/>
        <v>0</v>
      </c>
    </row>
    <row r="754" spans="2:15" x14ac:dyDescent="0.25">
      <c r="B754" s="296">
        <v>256332</v>
      </c>
      <c r="C754" s="101" t="s">
        <v>80</v>
      </c>
      <c r="D754" s="55">
        <v>480</v>
      </c>
      <c r="E754" s="92"/>
      <c r="F754" s="50"/>
      <c r="G754" s="57"/>
      <c r="H754" s="57"/>
      <c r="I754" s="57"/>
      <c r="J754" s="57">
        <v>240</v>
      </c>
      <c r="K754" s="33"/>
      <c r="L754" s="138">
        <f t="shared" si="160"/>
        <v>240</v>
      </c>
      <c r="M754" s="143">
        <f t="shared" si="161"/>
        <v>240</v>
      </c>
      <c r="N754" s="121">
        <f t="shared" si="154"/>
        <v>0.5</v>
      </c>
      <c r="O754" s="187">
        <f t="shared" si="162"/>
        <v>0.5</v>
      </c>
    </row>
    <row r="755" spans="2:15" x14ac:dyDescent="0.25">
      <c r="B755" s="296">
        <v>256331</v>
      </c>
      <c r="C755" s="101" t="s">
        <v>78</v>
      </c>
      <c r="D755" s="55">
        <v>780</v>
      </c>
      <c r="E755" s="92"/>
      <c r="F755" s="50"/>
      <c r="G755" s="57"/>
      <c r="H755" s="57">
        <v>260</v>
      </c>
      <c r="I755" s="57"/>
      <c r="J755" s="57">
        <v>260</v>
      </c>
      <c r="K755" s="33"/>
      <c r="L755" s="138">
        <f t="shared" si="160"/>
        <v>520</v>
      </c>
      <c r="M755" s="143">
        <f t="shared" si="161"/>
        <v>260</v>
      </c>
      <c r="N755" s="121">
        <f t="shared" si="154"/>
        <v>0.66666666666666663</v>
      </c>
      <c r="O755" s="187">
        <f t="shared" si="162"/>
        <v>0.66666666666666663</v>
      </c>
    </row>
    <row r="756" spans="2:15" x14ac:dyDescent="0.25">
      <c r="B756" s="296">
        <v>256330</v>
      </c>
      <c r="C756" s="100" t="s">
        <v>82</v>
      </c>
      <c r="D756" s="55">
        <v>480</v>
      </c>
      <c r="E756" s="92"/>
      <c r="F756" s="50"/>
      <c r="G756" s="57"/>
      <c r="H756" s="57"/>
      <c r="I756" s="57"/>
      <c r="J756" s="57">
        <v>240</v>
      </c>
      <c r="K756" s="33"/>
      <c r="L756" s="138">
        <f t="shared" si="160"/>
        <v>240</v>
      </c>
      <c r="M756" s="143">
        <f t="shared" si="161"/>
        <v>240</v>
      </c>
      <c r="N756" s="121">
        <f t="shared" si="154"/>
        <v>0.5</v>
      </c>
      <c r="O756" s="187">
        <f t="shared" si="162"/>
        <v>0.5</v>
      </c>
    </row>
    <row r="757" spans="2:15" x14ac:dyDescent="0.25">
      <c r="B757" s="296">
        <v>256329</v>
      </c>
      <c r="C757" s="100" t="s">
        <v>81</v>
      </c>
      <c r="D757" s="55">
        <v>780</v>
      </c>
      <c r="E757" s="92"/>
      <c r="F757" s="50"/>
      <c r="G757" s="57"/>
      <c r="H757" s="57">
        <v>260</v>
      </c>
      <c r="I757" s="57"/>
      <c r="J757" s="57">
        <v>260</v>
      </c>
      <c r="K757" s="33"/>
      <c r="L757" s="138">
        <f>SUM(F757:K757)</f>
        <v>520</v>
      </c>
      <c r="M757" s="143">
        <f t="shared" si="161"/>
        <v>260</v>
      </c>
      <c r="N757" s="121">
        <f t="shared" si="154"/>
        <v>0.66666666666666663</v>
      </c>
      <c r="O757" s="187">
        <f t="shared" si="162"/>
        <v>0.66666666666666663</v>
      </c>
    </row>
    <row r="758" spans="2:15" ht="15.75" thickBot="1" x14ac:dyDescent="0.3">
      <c r="B758" s="297">
        <v>251632</v>
      </c>
      <c r="C758" s="99" t="s">
        <v>51</v>
      </c>
      <c r="D758" s="92">
        <v>360</v>
      </c>
      <c r="E758" s="92"/>
      <c r="F758" s="50">
        <v>180</v>
      </c>
      <c r="G758" s="57"/>
      <c r="H758" s="33"/>
      <c r="I758" s="57"/>
      <c r="J758" s="57"/>
      <c r="K758" s="57">
        <v>180</v>
      </c>
      <c r="L758" s="138">
        <f>SUM(F758:K758)</f>
        <v>360</v>
      </c>
      <c r="M758" s="143">
        <f t="shared" si="161"/>
        <v>0</v>
      </c>
      <c r="N758" s="121">
        <f t="shared" si="154"/>
        <v>1</v>
      </c>
      <c r="O758" s="187">
        <f t="shared" si="162"/>
        <v>1</v>
      </c>
    </row>
    <row r="759" spans="2:15" ht="16.5" thickBot="1" x14ac:dyDescent="0.3">
      <c r="B759" s="673" t="s">
        <v>87</v>
      </c>
      <c r="C759" s="674"/>
      <c r="D759" s="236">
        <f t="shared" ref="D759:M759" si="163">SUM(D726:D758)</f>
        <v>15275</v>
      </c>
      <c r="E759" s="283">
        <f t="shared" si="163"/>
        <v>2160</v>
      </c>
      <c r="F759" s="238">
        <f t="shared" si="163"/>
        <v>2585</v>
      </c>
      <c r="G759" s="238">
        <f t="shared" si="163"/>
        <v>585</v>
      </c>
      <c r="H759" s="238">
        <f t="shared" si="163"/>
        <v>2795</v>
      </c>
      <c r="I759" s="238">
        <f t="shared" si="163"/>
        <v>0</v>
      </c>
      <c r="J759" s="238">
        <f t="shared" si="163"/>
        <v>2530</v>
      </c>
      <c r="K759" s="238">
        <f t="shared" si="163"/>
        <v>645</v>
      </c>
      <c r="L759" s="236">
        <f t="shared" si="163"/>
        <v>9140</v>
      </c>
      <c r="M759" s="284">
        <f t="shared" si="163"/>
        <v>8295</v>
      </c>
      <c r="N759" s="241">
        <f>L759/D759</f>
        <v>0.59836333878887071</v>
      </c>
      <c r="O759" s="242">
        <f>+L759/SUM(D759:E759)</f>
        <v>0.52423286492687127</v>
      </c>
    </row>
    <row r="761" spans="2:15" ht="15.75" thickBot="1" x14ac:dyDescent="0.3"/>
    <row r="762" spans="2:15" ht="18.75" x14ac:dyDescent="0.25">
      <c r="B762" s="670" t="s">
        <v>118</v>
      </c>
      <c r="C762" s="671"/>
      <c r="D762" s="671"/>
      <c r="E762" s="671"/>
      <c r="F762" s="671"/>
      <c r="G762" s="671"/>
      <c r="H762" s="671"/>
      <c r="I762" s="671"/>
      <c r="J762" s="671"/>
      <c r="K762" s="671"/>
      <c r="L762" s="671"/>
      <c r="M762" s="671"/>
      <c r="N762" s="671"/>
      <c r="O762" s="672"/>
    </row>
    <row r="763" spans="2:15" ht="30" x14ac:dyDescent="0.25">
      <c r="B763" s="106" t="s">
        <v>34</v>
      </c>
      <c r="C763" s="30" t="s">
        <v>9</v>
      </c>
      <c r="D763" s="108" t="s">
        <v>85</v>
      </c>
      <c r="E763" s="163" t="s">
        <v>86</v>
      </c>
      <c r="F763" s="117">
        <v>43043</v>
      </c>
      <c r="G763" s="117">
        <f>+F763+2</f>
        <v>43045</v>
      </c>
      <c r="H763" s="117">
        <f>+G763+1</f>
        <v>43046</v>
      </c>
      <c r="I763" s="117">
        <f>+H763+1</f>
        <v>43047</v>
      </c>
      <c r="J763" s="117">
        <f>+I763+1</f>
        <v>43048</v>
      </c>
      <c r="K763" s="117">
        <f>+J763+1</f>
        <v>43049</v>
      </c>
      <c r="L763" s="108" t="s">
        <v>87</v>
      </c>
      <c r="M763" s="164" t="s">
        <v>88</v>
      </c>
      <c r="N763" s="117" t="s">
        <v>89</v>
      </c>
      <c r="O763" s="235" t="s">
        <v>90</v>
      </c>
    </row>
    <row r="764" spans="2:15" x14ac:dyDescent="0.25">
      <c r="B764" s="277">
        <v>255337</v>
      </c>
      <c r="C764" s="3" t="s">
        <v>26</v>
      </c>
      <c r="D764" s="285">
        <v>480</v>
      </c>
      <c r="E764" s="52"/>
      <c r="F764" s="49">
        <v>160</v>
      </c>
      <c r="G764" s="52"/>
      <c r="H764" s="52"/>
      <c r="I764" s="52"/>
      <c r="J764" s="52"/>
      <c r="K764" s="52"/>
      <c r="L764" s="138">
        <f t="shared" ref="L764:L771" si="164">SUM(F764:K764)</f>
        <v>160</v>
      </c>
      <c r="M764" s="143">
        <f>+SUM(D764:E764)-L764</f>
        <v>320</v>
      </c>
      <c r="N764" s="121">
        <f t="shared" ref="N764:N787" si="165">IF(L764=0,0,IFERROR(L764/D764,"REQ ADICIONAL"))</f>
        <v>0.33333333333333331</v>
      </c>
      <c r="O764" s="186">
        <f>IFERROR(L764/SUM(D764:E764),0)</f>
        <v>0.33333333333333331</v>
      </c>
    </row>
    <row r="765" spans="2:15" x14ac:dyDescent="0.25">
      <c r="B765" s="277">
        <v>254851</v>
      </c>
      <c r="C765" s="3" t="s">
        <v>1</v>
      </c>
      <c r="D765" s="229">
        <v>360</v>
      </c>
      <c r="E765" s="55">
        <f>540+180+180</f>
        <v>900</v>
      </c>
      <c r="F765" s="49">
        <v>180</v>
      </c>
      <c r="G765" s="52">
        <v>180</v>
      </c>
      <c r="H765" s="310">
        <v>180</v>
      </c>
      <c r="I765" s="52">
        <v>360</v>
      </c>
      <c r="J765" s="52">
        <v>180</v>
      </c>
      <c r="K765" s="52">
        <v>180</v>
      </c>
      <c r="L765" s="138">
        <f t="shared" si="164"/>
        <v>1260</v>
      </c>
      <c r="M765" s="143">
        <f t="shared" ref="M765:M773" si="166">+SUM(D765:E765)-L765</f>
        <v>0</v>
      </c>
      <c r="N765" s="121">
        <f t="shared" si="165"/>
        <v>3.5</v>
      </c>
      <c r="O765" s="186">
        <f t="shared" ref="O765:O777" si="167">IFERROR(L765/SUM(D765:E765),0)</f>
        <v>1</v>
      </c>
    </row>
    <row r="766" spans="2:15" x14ac:dyDescent="0.25">
      <c r="B766" s="277">
        <v>254853</v>
      </c>
      <c r="C766" s="3" t="s">
        <v>2</v>
      </c>
      <c r="D766" s="229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8">
        <f t="shared" si="164"/>
        <v>360</v>
      </c>
      <c r="M766" s="143">
        <f t="shared" si="166"/>
        <v>540</v>
      </c>
      <c r="N766" s="121">
        <f t="shared" si="165"/>
        <v>0.4</v>
      </c>
      <c r="O766" s="186">
        <f t="shared" si="167"/>
        <v>0.4</v>
      </c>
    </row>
    <row r="767" spans="2:15" x14ac:dyDescent="0.25">
      <c r="B767" s="277">
        <v>254850</v>
      </c>
      <c r="C767" s="3" t="s">
        <v>3</v>
      </c>
      <c r="D767" s="229">
        <v>2400</v>
      </c>
      <c r="E767" s="55"/>
      <c r="F767" s="49">
        <f>60*4</f>
        <v>240</v>
      </c>
      <c r="G767" s="52">
        <v>120</v>
      </c>
      <c r="H767" s="310">
        <f>6*60</f>
        <v>360</v>
      </c>
      <c r="I767" s="52">
        <v>480</v>
      </c>
      <c r="J767" s="52">
        <v>360</v>
      </c>
      <c r="K767" s="52">
        <f>4*60</f>
        <v>240</v>
      </c>
      <c r="L767" s="138">
        <f t="shared" si="164"/>
        <v>1800</v>
      </c>
      <c r="M767" s="143">
        <f t="shared" si="166"/>
        <v>600</v>
      </c>
      <c r="N767" s="121">
        <f t="shared" si="165"/>
        <v>0.75</v>
      </c>
      <c r="O767" s="186">
        <f t="shared" si="167"/>
        <v>0.75</v>
      </c>
    </row>
    <row r="768" spans="2:15" x14ac:dyDescent="0.25">
      <c r="B768" s="278">
        <v>251385</v>
      </c>
      <c r="C768" s="3" t="s">
        <v>4</v>
      </c>
      <c r="D768" s="229">
        <v>160</v>
      </c>
      <c r="E768" s="63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8">
        <f t="shared" si="164"/>
        <v>3680</v>
      </c>
      <c r="M768" s="143">
        <f t="shared" si="166"/>
        <v>0</v>
      </c>
      <c r="N768" s="121">
        <f t="shared" si="165"/>
        <v>23</v>
      </c>
      <c r="O768" s="186">
        <f t="shared" si="167"/>
        <v>1</v>
      </c>
    </row>
    <row r="769" spans="2:15" x14ac:dyDescent="0.25">
      <c r="B769" s="278">
        <v>251196</v>
      </c>
      <c r="C769" s="3" t="s">
        <v>5</v>
      </c>
      <c r="D769" s="229"/>
      <c r="E769" s="63"/>
      <c r="F769" s="49"/>
      <c r="G769" s="52"/>
      <c r="H769" s="52"/>
      <c r="I769" s="52"/>
      <c r="J769" s="52"/>
      <c r="K769" s="52"/>
      <c r="L769" s="138">
        <f t="shared" si="164"/>
        <v>0</v>
      </c>
      <c r="M769" s="143">
        <f t="shared" si="166"/>
        <v>0</v>
      </c>
      <c r="N769" s="121">
        <f t="shared" si="165"/>
        <v>0</v>
      </c>
      <c r="O769" s="186">
        <f t="shared" si="167"/>
        <v>0</v>
      </c>
    </row>
    <row r="770" spans="2:15" x14ac:dyDescent="0.25">
      <c r="B770" s="278">
        <v>250524</v>
      </c>
      <c r="C770" s="3" t="s">
        <v>6</v>
      </c>
      <c r="D770" s="229"/>
      <c r="E770" s="63"/>
      <c r="F770" s="49"/>
      <c r="G770" s="52"/>
      <c r="H770" s="52"/>
      <c r="I770" s="52"/>
      <c r="J770" s="52"/>
      <c r="K770" s="52"/>
      <c r="L770" s="138">
        <f t="shared" si="164"/>
        <v>0</v>
      </c>
      <c r="M770" s="143">
        <f t="shared" si="166"/>
        <v>0</v>
      </c>
      <c r="N770" s="121">
        <f t="shared" si="165"/>
        <v>0</v>
      </c>
      <c r="O770" s="186">
        <f t="shared" si="167"/>
        <v>0</v>
      </c>
    </row>
    <row r="771" spans="2:15" x14ac:dyDescent="0.25">
      <c r="B771" s="278">
        <v>252534</v>
      </c>
      <c r="C771" s="3" t="s">
        <v>7</v>
      </c>
      <c r="D771" s="229">
        <v>675</v>
      </c>
      <c r="E771" s="63"/>
      <c r="F771" s="49">
        <v>225</v>
      </c>
      <c r="G771" s="52"/>
      <c r="H771" s="310">
        <v>225</v>
      </c>
      <c r="I771" s="52"/>
      <c r="J771" s="52"/>
      <c r="K771" s="52">
        <f>225</f>
        <v>225</v>
      </c>
      <c r="L771" s="138">
        <f t="shared" si="164"/>
        <v>675</v>
      </c>
      <c r="M771" s="143">
        <f t="shared" si="166"/>
        <v>0</v>
      </c>
      <c r="N771" s="121">
        <f t="shared" si="165"/>
        <v>1</v>
      </c>
      <c r="O771" s="186">
        <f t="shared" si="167"/>
        <v>1</v>
      </c>
    </row>
    <row r="772" spans="2:15" x14ac:dyDescent="0.25">
      <c r="B772" s="278">
        <v>251151</v>
      </c>
      <c r="C772" s="3" t="s">
        <v>8</v>
      </c>
      <c r="D772" s="229"/>
      <c r="E772" s="55"/>
      <c r="F772" s="49"/>
      <c r="G772" s="52"/>
      <c r="H772" s="52"/>
      <c r="I772" s="52"/>
      <c r="J772" s="52"/>
      <c r="K772" s="52"/>
      <c r="L772" s="138">
        <f>SUM(F772:K772)</f>
        <v>0</v>
      </c>
      <c r="M772" s="143">
        <f t="shared" si="166"/>
        <v>0</v>
      </c>
      <c r="N772" s="121">
        <f t="shared" si="165"/>
        <v>0</v>
      </c>
      <c r="O772" s="186">
        <f t="shared" si="167"/>
        <v>0</v>
      </c>
    </row>
    <row r="773" spans="2:15" x14ac:dyDescent="0.25">
      <c r="B773" s="278">
        <v>254852</v>
      </c>
      <c r="C773" s="3" t="s">
        <v>17</v>
      </c>
      <c r="D773" s="229"/>
      <c r="E773" s="55"/>
      <c r="F773" s="49"/>
      <c r="G773" s="52"/>
      <c r="H773" s="52"/>
      <c r="I773" s="52"/>
      <c r="J773" s="52"/>
      <c r="K773" s="52"/>
      <c r="L773" s="138">
        <f>SUM(F773:K773)</f>
        <v>0</v>
      </c>
      <c r="M773" s="143">
        <f t="shared" si="166"/>
        <v>0</v>
      </c>
      <c r="N773" s="121">
        <f t="shared" si="165"/>
        <v>0</v>
      </c>
      <c r="O773" s="186">
        <f t="shared" si="167"/>
        <v>0</v>
      </c>
    </row>
    <row r="774" spans="2:15" x14ac:dyDescent="0.25">
      <c r="B774" s="278">
        <v>255430</v>
      </c>
      <c r="C774" s="44" t="s">
        <v>53</v>
      </c>
      <c r="D774" s="229"/>
      <c r="E774" s="55"/>
      <c r="F774" s="49"/>
      <c r="G774" s="52"/>
      <c r="H774" s="52"/>
      <c r="I774" s="52"/>
      <c r="J774" s="52"/>
      <c r="K774" s="52"/>
      <c r="L774" s="138">
        <f>SUM(F774:K774)</f>
        <v>0</v>
      </c>
      <c r="M774" s="143">
        <f t="shared" ref="M774:M796" si="168">+SUM(D774:E774)-L774</f>
        <v>0</v>
      </c>
      <c r="N774" s="121">
        <f t="shared" si="165"/>
        <v>0</v>
      </c>
      <c r="O774" s="186">
        <f t="shared" si="167"/>
        <v>0</v>
      </c>
    </row>
    <row r="775" spans="2:15" x14ac:dyDescent="0.25">
      <c r="B775" s="277">
        <v>254849</v>
      </c>
      <c r="C775" s="3" t="s">
        <v>0</v>
      </c>
      <c r="D775" s="229">
        <v>180</v>
      </c>
      <c r="E775" s="63">
        <f>720+180+180</f>
        <v>1080</v>
      </c>
      <c r="F775" s="49">
        <v>180</v>
      </c>
      <c r="G775" s="52">
        <v>180</v>
      </c>
      <c r="H775" s="310">
        <v>180</v>
      </c>
      <c r="I775" s="52">
        <v>360</v>
      </c>
      <c r="J775" s="52">
        <v>180</v>
      </c>
      <c r="K775" s="52">
        <v>180</v>
      </c>
      <c r="L775" s="138">
        <f t="shared" ref="L775:L783" si="169">SUM(F775:K775)</f>
        <v>1260</v>
      </c>
      <c r="M775" s="143">
        <f t="shared" si="168"/>
        <v>0</v>
      </c>
      <c r="N775" s="121">
        <f t="shared" si="165"/>
        <v>7</v>
      </c>
      <c r="O775" s="186">
        <f t="shared" si="167"/>
        <v>1</v>
      </c>
    </row>
    <row r="776" spans="2:15" x14ac:dyDescent="0.25">
      <c r="B776" s="278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8">
        <f t="shared" si="169"/>
        <v>180</v>
      </c>
      <c r="M776" s="143">
        <f t="shared" si="168"/>
        <v>0</v>
      </c>
      <c r="N776" s="121" t="str">
        <f t="shared" si="165"/>
        <v>REQ ADICIONAL</v>
      </c>
      <c r="O776" s="186">
        <f t="shared" si="167"/>
        <v>1</v>
      </c>
    </row>
    <row r="777" spans="2:15" x14ac:dyDescent="0.25">
      <c r="B777" s="277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8">
        <f t="shared" si="169"/>
        <v>0</v>
      </c>
      <c r="M777" s="143">
        <f t="shared" si="168"/>
        <v>1350</v>
      </c>
      <c r="N777" s="121">
        <f t="shared" si="165"/>
        <v>0</v>
      </c>
      <c r="O777" s="187">
        <f t="shared" si="167"/>
        <v>0</v>
      </c>
    </row>
    <row r="778" spans="2:15" x14ac:dyDescent="0.25">
      <c r="B778" s="278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8">
        <f t="shared" si="169"/>
        <v>0</v>
      </c>
      <c r="M778" s="143">
        <f t="shared" si="168"/>
        <v>240</v>
      </c>
      <c r="N778" s="121">
        <f t="shared" si="165"/>
        <v>0</v>
      </c>
      <c r="O778" s="187">
        <f>IFERROR(L778/SUM(D778:E778),0)</f>
        <v>0</v>
      </c>
    </row>
    <row r="779" spans="2:15" x14ac:dyDescent="0.25">
      <c r="B779" s="278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8">
        <f t="shared" si="169"/>
        <v>180</v>
      </c>
      <c r="M779" s="143">
        <f t="shared" si="168"/>
        <v>0</v>
      </c>
      <c r="N779" s="121">
        <f t="shared" si="165"/>
        <v>1</v>
      </c>
      <c r="O779" s="187">
        <f t="shared" ref="O779:O786" si="170">IFERROR(L779/SUM(D779:E779),0)</f>
        <v>1</v>
      </c>
    </row>
    <row r="780" spans="2:15" x14ac:dyDescent="0.25">
      <c r="B780" s="279">
        <v>255341</v>
      </c>
      <c r="C780" s="3" t="s">
        <v>50</v>
      </c>
      <c r="D780" s="55">
        <v>675</v>
      </c>
      <c r="E780" s="63"/>
      <c r="F780" s="49"/>
      <c r="G780" s="52"/>
      <c r="H780" s="52"/>
      <c r="I780" s="52"/>
      <c r="J780" s="52"/>
      <c r="K780" s="52">
        <f>225</f>
        <v>225</v>
      </c>
      <c r="L780" s="138">
        <f t="shared" si="169"/>
        <v>225</v>
      </c>
      <c r="M780" s="143">
        <f t="shared" si="168"/>
        <v>450</v>
      </c>
      <c r="N780" s="121">
        <f t="shared" si="165"/>
        <v>0.33333333333333331</v>
      </c>
      <c r="O780" s="187">
        <f t="shared" si="170"/>
        <v>0.33333333333333331</v>
      </c>
    </row>
    <row r="781" spans="2:15" x14ac:dyDescent="0.25">
      <c r="B781" s="279">
        <v>255349</v>
      </c>
      <c r="C781" s="3" t="s">
        <v>57</v>
      </c>
      <c r="D781" s="55"/>
      <c r="E781" s="63">
        <v>225</v>
      </c>
      <c r="F781" s="49"/>
      <c r="G781" s="52"/>
      <c r="H781" s="310">
        <v>225</v>
      </c>
      <c r="I781" s="52"/>
      <c r="J781" s="52"/>
      <c r="K781" s="52"/>
      <c r="L781" s="138">
        <f>SUM(F781:K781)</f>
        <v>225</v>
      </c>
      <c r="M781" s="143">
        <f>+SUM(D781:E781)-L781</f>
        <v>0</v>
      </c>
      <c r="N781" s="121" t="str">
        <f>IF(L781=0,0,IFERROR(L781/D781,"REQ ADICIONAL"))</f>
        <v>REQ ADICIONAL</v>
      </c>
      <c r="O781" s="187">
        <f>IFERROR(L781/SUM(D781:E781),0)</f>
        <v>1</v>
      </c>
    </row>
    <row r="782" spans="2:15" x14ac:dyDescent="0.25">
      <c r="B782" s="277">
        <v>254963</v>
      </c>
      <c r="C782" s="3" t="s">
        <v>27</v>
      </c>
      <c r="D782" s="55">
        <v>450</v>
      </c>
      <c r="E782" s="63"/>
      <c r="F782" s="49"/>
      <c r="G782" s="52"/>
      <c r="H782" s="310">
        <v>225</v>
      </c>
      <c r="I782" s="52"/>
      <c r="J782" s="52"/>
      <c r="K782" s="52"/>
      <c r="L782" s="138">
        <f t="shared" si="169"/>
        <v>225</v>
      </c>
      <c r="M782" s="143">
        <f t="shared" si="168"/>
        <v>225</v>
      </c>
      <c r="N782" s="121">
        <f t="shared" si="165"/>
        <v>0.5</v>
      </c>
      <c r="O782" s="187">
        <f t="shared" si="170"/>
        <v>0.5</v>
      </c>
    </row>
    <row r="783" spans="2:15" x14ac:dyDescent="0.25">
      <c r="B783" s="278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8">
        <f t="shared" si="169"/>
        <v>0</v>
      </c>
      <c r="M783" s="143">
        <f t="shared" si="168"/>
        <v>0</v>
      </c>
      <c r="N783" s="121">
        <f t="shared" si="165"/>
        <v>0</v>
      </c>
      <c r="O783" s="187">
        <f t="shared" si="170"/>
        <v>0</v>
      </c>
    </row>
    <row r="784" spans="2:15" x14ac:dyDescent="0.25">
      <c r="B784" s="277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8">
        <f t="shared" ref="L784:L797" si="171">SUM(F784:K784)</f>
        <v>180</v>
      </c>
      <c r="M784" s="143">
        <f t="shared" si="168"/>
        <v>180</v>
      </c>
      <c r="N784" s="121">
        <f t="shared" si="165"/>
        <v>0.5</v>
      </c>
      <c r="O784" s="187">
        <f t="shared" si="170"/>
        <v>0.5</v>
      </c>
    </row>
    <row r="785" spans="2:15" x14ac:dyDescent="0.25">
      <c r="B785" s="279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8">
        <f t="shared" si="171"/>
        <v>0</v>
      </c>
      <c r="M785" s="143">
        <f t="shared" si="168"/>
        <v>0</v>
      </c>
      <c r="N785" s="121">
        <f t="shared" si="165"/>
        <v>0</v>
      </c>
      <c r="O785" s="187">
        <f t="shared" si="170"/>
        <v>0</v>
      </c>
    </row>
    <row r="786" spans="2:15" x14ac:dyDescent="0.25">
      <c r="B786" s="277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8">
        <f t="shared" si="171"/>
        <v>0</v>
      </c>
      <c r="M786" s="143">
        <f t="shared" si="168"/>
        <v>0</v>
      </c>
      <c r="N786" s="121">
        <f t="shared" si="165"/>
        <v>0</v>
      </c>
      <c r="O786" s="187">
        <f t="shared" si="170"/>
        <v>0</v>
      </c>
    </row>
    <row r="787" spans="2:15" x14ac:dyDescent="0.25">
      <c r="B787" s="277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8">
        <f t="shared" si="171"/>
        <v>0</v>
      </c>
      <c r="M787" s="143">
        <f t="shared" si="168"/>
        <v>0</v>
      </c>
      <c r="N787" s="121">
        <f t="shared" si="165"/>
        <v>0</v>
      </c>
      <c r="O787" s="187">
        <f>IFERROR(L787/SUM(D787:E787),0)</f>
        <v>0</v>
      </c>
    </row>
    <row r="788" spans="2:15" x14ac:dyDescent="0.25">
      <c r="B788" s="277">
        <v>255382</v>
      </c>
      <c r="C788" s="295" t="s">
        <v>56</v>
      </c>
      <c r="D788" s="52"/>
      <c r="E788" s="52"/>
      <c r="F788" s="49"/>
      <c r="G788" s="55"/>
      <c r="H788" s="55"/>
      <c r="I788" s="55"/>
      <c r="J788" s="55"/>
      <c r="K788" s="52"/>
      <c r="L788" s="138">
        <f t="shared" si="171"/>
        <v>0</v>
      </c>
      <c r="M788" s="143">
        <f t="shared" si="168"/>
        <v>0</v>
      </c>
      <c r="N788" s="121">
        <f>IF(L788=0,0,IFERROR(L788/D788,"REQ ADICIONAL"))</f>
        <v>0</v>
      </c>
      <c r="O788" s="186">
        <f>IFERROR(L788/SUM(D788:E788),0)</f>
        <v>0</v>
      </c>
    </row>
    <row r="789" spans="2:15" x14ac:dyDescent="0.25">
      <c r="B789" s="277">
        <v>256319</v>
      </c>
      <c r="C789" s="295" t="s">
        <v>69</v>
      </c>
      <c r="D789" s="52"/>
      <c r="E789" s="52"/>
      <c r="F789" s="49"/>
      <c r="G789" s="55"/>
      <c r="H789" s="3"/>
      <c r="I789" s="55"/>
      <c r="J789" s="55"/>
      <c r="K789" s="55"/>
      <c r="L789" s="138">
        <f t="shared" si="171"/>
        <v>0</v>
      </c>
      <c r="M789" s="143">
        <f t="shared" si="168"/>
        <v>0</v>
      </c>
      <c r="N789" s="121">
        <f t="shared" ref="N789:N796" si="172">IF(L789=0,0,IFERROR(L789/D789,"REQ ADICIONAL"))</f>
        <v>0</v>
      </c>
      <c r="O789" s="186">
        <f t="shared" ref="O789:O796" si="173">IFERROR(L789/SUM(D789:E789),0)</f>
        <v>0</v>
      </c>
    </row>
    <row r="790" spans="2:15" x14ac:dyDescent="0.25">
      <c r="B790" s="277">
        <v>255417</v>
      </c>
      <c r="C790" s="295" t="s">
        <v>75</v>
      </c>
      <c r="D790" s="92"/>
      <c r="E790" s="92"/>
      <c r="F790" s="50"/>
      <c r="G790" s="57"/>
      <c r="H790" s="33"/>
      <c r="I790" s="57"/>
      <c r="J790" s="57"/>
      <c r="K790" s="57"/>
      <c r="L790" s="138">
        <f t="shared" si="171"/>
        <v>0</v>
      </c>
      <c r="M790" s="143">
        <f t="shared" si="168"/>
        <v>0</v>
      </c>
      <c r="N790" s="121">
        <f t="shared" si="172"/>
        <v>0</v>
      </c>
      <c r="O790" s="186">
        <f t="shared" si="173"/>
        <v>0</v>
      </c>
    </row>
    <row r="791" spans="2:15" x14ac:dyDescent="0.25">
      <c r="B791" s="277">
        <v>255418</v>
      </c>
      <c r="C791" s="295" t="s">
        <v>76</v>
      </c>
      <c r="D791" s="92"/>
      <c r="E791" s="92"/>
      <c r="F791" s="50"/>
      <c r="G791" s="57"/>
      <c r="H791" s="33"/>
      <c r="I791" s="57"/>
      <c r="J791" s="57"/>
      <c r="K791" s="57"/>
      <c r="L791" s="138">
        <f t="shared" si="171"/>
        <v>0</v>
      </c>
      <c r="M791" s="143">
        <f t="shared" si="168"/>
        <v>0</v>
      </c>
      <c r="N791" s="121">
        <f t="shared" si="172"/>
        <v>0</v>
      </c>
      <c r="O791" s="186">
        <f t="shared" si="173"/>
        <v>0</v>
      </c>
    </row>
    <row r="792" spans="2:15" x14ac:dyDescent="0.25">
      <c r="B792" s="277">
        <v>256329</v>
      </c>
      <c r="C792" s="289" t="s">
        <v>81</v>
      </c>
      <c r="D792" s="92">
        <v>260</v>
      </c>
      <c r="E792" s="92"/>
      <c r="F792" s="50"/>
      <c r="G792" s="57"/>
      <c r="H792" s="311">
        <v>260</v>
      </c>
      <c r="I792" s="57"/>
      <c r="J792" s="57"/>
      <c r="K792" s="57"/>
      <c r="L792" s="138">
        <f t="shared" si="171"/>
        <v>260</v>
      </c>
      <c r="M792" s="143">
        <f t="shared" si="168"/>
        <v>0</v>
      </c>
      <c r="N792" s="121">
        <f t="shared" si="172"/>
        <v>1</v>
      </c>
      <c r="O792" s="186">
        <f t="shared" si="173"/>
        <v>1</v>
      </c>
    </row>
    <row r="793" spans="2:15" x14ac:dyDescent="0.25">
      <c r="B793" s="277">
        <v>256330</v>
      </c>
      <c r="C793" s="289" t="s">
        <v>82</v>
      </c>
      <c r="D793" s="92">
        <v>240</v>
      </c>
      <c r="E793" s="92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8">
        <f t="shared" si="171"/>
        <v>720</v>
      </c>
      <c r="M793" s="143">
        <f t="shared" si="168"/>
        <v>0</v>
      </c>
      <c r="N793" s="121">
        <f t="shared" si="172"/>
        <v>3</v>
      </c>
      <c r="O793" s="186">
        <f t="shared" si="173"/>
        <v>1</v>
      </c>
    </row>
    <row r="794" spans="2:15" x14ac:dyDescent="0.25">
      <c r="B794" s="277">
        <v>256331</v>
      </c>
      <c r="C794" s="289" t="s">
        <v>115</v>
      </c>
      <c r="D794" s="92">
        <v>260</v>
      </c>
      <c r="E794" s="92"/>
      <c r="F794" s="50"/>
      <c r="G794" s="57"/>
      <c r="H794" s="33"/>
      <c r="I794" s="57"/>
      <c r="J794" s="57"/>
      <c r="K794" s="57">
        <f>260</f>
        <v>260</v>
      </c>
      <c r="L794" s="138">
        <f t="shared" si="171"/>
        <v>260</v>
      </c>
      <c r="M794" s="143">
        <f t="shared" si="168"/>
        <v>0</v>
      </c>
      <c r="N794" s="121">
        <f t="shared" si="172"/>
        <v>1</v>
      </c>
      <c r="O794" s="186">
        <f t="shared" si="173"/>
        <v>1</v>
      </c>
    </row>
    <row r="795" spans="2:15" x14ac:dyDescent="0.25">
      <c r="B795" s="277">
        <v>256332</v>
      </c>
      <c r="C795" s="289" t="s">
        <v>116</v>
      </c>
      <c r="D795" s="92">
        <v>240</v>
      </c>
      <c r="E795" s="92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8">
        <f t="shared" si="171"/>
        <v>720</v>
      </c>
      <c r="M795" s="143">
        <f t="shared" si="168"/>
        <v>0</v>
      </c>
      <c r="N795" s="121">
        <f t="shared" si="172"/>
        <v>3</v>
      </c>
      <c r="O795" s="186">
        <f t="shared" si="173"/>
        <v>1</v>
      </c>
    </row>
    <row r="796" spans="2:15" x14ac:dyDescent="0.25">
      <c r="B796" s="277">
        <v>251632</v>
      </c>
      <c r="C796" s="99" t="s">
        <v>51</v>
      </c>
      <c r="D796" s="92">
        <v>180</v>
      </c>
      <c r="E796" s="92"/>
      <c r="F796" s="50"/>
      <c r="G796" s="57"/>
      <c r="H796" s="33"/>
      <c r="I796" s="57"/>
      <c r="J796" s="57"/>
      <c r="K796" s="57"/>
      <c r="L796" s="138">
        <f t="shared" si="171"/>
        <v>0</v>
      </c>
      <c r="M796" s="143">
        <f t="shared" si="168"/>
        <v>180</v>
      </c>
      <c r="N796" s="121">
        <f t="shared" si="172"/>
        <v>0</v>
      </c>
      <c r="O796" s="186">
        <f t="shared" si="173"/>
        <v>0</v>
      </c>
    </row>
    <row r="797" spans="2:15" x14ac:dyDescent="0.25">
      <c r="B797" s="277">
        <v>256375</v>
      </c>
      <c r="C797" s="99" t="s">
        <v>83</v>
      </c>
      <c r="D797" s="92"/>
      <c r="E797" s="92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8">
        <f t="shared" si="171"/>
        <v>1520</v>
      </c>
      <c r="M797" s="143">
        <f>+SUM(D797:E797)-L797</f>
        <v>0</v>
      </c>
      <c r="N797" s="121" t="str">
        <f>IF(L797=0,0,IFERROR(L797/D797,"REQ ADICIONAL"))</f>
        <v>REQ ADICIONAL</v>
      </c>
      <c r="O797" s="186">
        <f>IFERROR(L797/SUM(D797:E797),0)</f>
        <v>1</v>
      </c>
    </row>
    <row r="798" spans="2:15" ht="16.5" thickBot="1" x14ac:dyDescent="0.3">
      <c r="B798" s="675" t="s">
        <v>87</v>
      </c>
      <c r="C798" s="674"/>
      <c r="D798" s="236">
        <f t="shared" ref="D798:I798" si="174">SUM(D764:D797)</f>
        <v>9590</v>
      </c>
      <c r="E798" s="283">
        <f t="shared" si="174"/>
        <v>8385</v>
      </c>
      <c r="F798" s="238">
        <f t="shared" si="174"/>
        <v>1165</v>
      </c>
      <c r="G798" s="238">
        <f t="shared" si="174"/>
        <v>1900</v>
      </c>
      <c r="H798" s="238">
        <f t="shared" si="174"/>
        <v>1655</v>
      </c>
      <c r="I798" s="238">
        <f t="shared" si="174"/>
        <v>1860</v>
      </c>
      <c r="J798" s="238">
        <f>SUM(J764:J797)</f>
        <v>3920</v>
      </c>
      <c r="K798" s="238">
        <f>SUM(K764:K797)</f>
        <v>3390</v>
      </c>
      <c r="L798" s="236">
        <f>SUM(L764:L797)</f>
        <v>13890</v>
      </c>
      <c r="M798" s="284">
        <f>SUM(M764:M797)</f>
        <v>4085</v>
      </c>
      <c r="N798" s="241">
        <f>L798/D798</f>
        <v>1.4483837330552658</v>
      </c>
      <c r="O798" s="242">
        <f>+L798/SUM(D798:E798)</f>
        <v>0.7727399165507649</v>
      </c>
    </row>
    <row r="800" spans="2:15" ht="15.75" thickBot="1" x14ac:dyDescent="0.3"/>
    <row r="801" spans="2:15" ht="18.75" x14ac:dyDescent="0.25">
      <c r="B801" s="670" t="s">
        <v>119</v>
      </c>
      <c r="C801" s="671"/>
      <c r="D801" s="671"/>
      <c r="E801" s="671"/>
      <c r="F801" s="671"/>
      <c r="G801" s="671"/>
      <c r="H801" s="671"/>
      <c r="I801" s="671"/>
      <c r="J801" s="671"/>
      <c r="K801" s="671"/>
      <c r="L801" s="671"/>
      <c r="M801" s="671"/>
      <c r="N801" s="671"/>
      <c r="O801" s="672"/>
    </row>
    <row r="802" spans="2:15" ht="30" x14ac:dyDescent="0.25">
      <c r="B802" s="106" t="s">
        <v>34</v>
      </c>
      <c r="C802" s="30" t="s">
        <v>9</v>
      </c>
      <c r="D802" s="108" t="s">
        <v>85</v>
      </c>
      <c r="E802" s="163" t="s">
        <v>86</v>
      </c>
      <c r="F802" s="117">
        <v>43050</v>
      </c>
      <c r="G802" s="117">
        <f>+F802+2</f>
        <v>43052</v>
      </c>
      <c r="H802" s="117">
        <f>+G802+1</f>
        <v>43053</v>
      </c>
      <c r="I802" s="117">
        <f>+H802+1</f>
        <v>43054</v>
      </c>
      <c r="J802" s="117">
        <f>+I802+1</f>
        <v>43055</v>
      </c>
      <c r="K802" s="117">
        <f>+J802+1</f>
        <v>43056</v>
      </c>
      <c r="L802" s="108" t="s">
        <v>87</v>
      </c>
      <c r="M802" s="164" t="s">
        <v>88</v>
      </c>
      <c r="N802" s="117" t="s">
        <v>89</v>
      </c>
      <c r="O802" s="235" t="s">
        <v>90</v>
      </c>
    </row>
    <row r="803" spans="2:15" x14ac:dyDescent="0.25">
      <c r="B803" s="277">
        <v>255337</v>
      </c>
      <c r="C803" s="3" t="s">
        <v>26</v>
      </c>
      <c r="D803" s="285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8">
        <f t="shared" ref="L803:L810" si="175">SUM(F803:K803)</f>
        <v>800</v>
      </c>
      <c r="M803" s="143">
        <f>+SUM(D803:E803)-L803</f>
        <v>0</v>
      </c>
      <c r="N803" s="121" t="str">
        <f t="shared" ref="N803:N826" si="176">IF(L803=0,0,IFERROR(L803/D803,"REQ ADICIONAL"))</f>
        <v>REQ ADICIONAL</v>
      </c>
      <c r="O803" s="186">
        <f>IFERROR(L803/SUM(D803:E803),0)</f>
        <v>1</v>
      </c>
    </row>
    <row r="804" spans="2:15" x14ac:dyDescent="0.25">
      <c r="B804" s="277">
        <v>254851</v>
      </c>
      <c r="C804" s="3" t="s">
        <v>1</v>
      </c>
      <c r="D804" s="229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8">
        <f t="shared" si="175"/>
        <v>360</v>
      </c>
      <c r="M804" s="143">
        <f t="shared" ref="M804:M812" si="177">+SUM(D804:E804)-L804</f>
        <v>0</v>
      </c>
      <c r="N804" s="121">
        <f t="shared" si="176"/>
        <v>2</v>
      </c>
      <c r="O804" s="186">
        <f t="shared" ref="O804:O827" si="178">IFERROR(L804/SUM(D804:E804),0)</f>
        <v>1</v>
      </c>
    </row>
    <row r="805" spans="2:15" x14ac:dyDescent="0.25">
      <c r="B805" s="277">
        <v>254853</v>
      </c>
      <c r="C805" s="3" t="s">
        <v>2</v>
      </c>
      <c r="D805" s="229">
        <v>360</v>
      </c>
      <c r="E805" s="55"/>
      <c r="F805" s="49"/>
      <c r="G805" s="52">
        <v>180</v>
      </c>
      <c r="H805" s="52"/>
      <c r="I805" s="52"/>
      <c r="J805" s="52"/>
      <c r="K805" s="52"/>
      <c r="L805" s="138">
        <f t="shared" si="175"/>
        <v>180</v>
      </c>
      <c r="M805" s="143">
        <f t="shared" si="177"/>
        <v>180</v>
      </c>
      <c r="N805" s="121">
        <f t="shared" si="176"/>
        <v>0.5</v>
      </c>
      <c r="O805" s="186">
        <f t="shared" si="178"/>
        <v>0.5</v>
      </c>
    </row>
    <row r="806" spans="2:15" x14ac:dyDescent="0.25">
      <c r="B806" s="277">
        <v>254850</v>
      </c>
      <c r="C806" s="3" t="s">
        <v>3</v>
      </c>
      <c r="D806" s="229">
        <v>2400</v>
      </c>
      <c r="E806" s="55"/>
      <c r="F806" s="49">
        <v>360</v>
      </c>
      <c r="G806" s="52"/>
      <c r="H806" s="52"/>
      <c r="I806" s="52"/>
      <c r="J806" s="52"/>
      <c r="K806" s="52"/>
      <c r="L806" s="138">
        <f t="shared" si="175"/>
        <v>360</v>
      </c>
      <c r="M806" s="143">
        <f t="shared" si="177"/>
        <v>2040</v>
      </c>
      <c r="N806" s="121">
        <f t="shared" si="176"/>
        <v>0.15</v>
      </c>
      <c r="O806" s="186">
        <f t="shared" si="178"/>
        <v>0.15</v>
      </c>
    </row>
    <row r="807" spans="2:15" x14ac:dyDescent="0.25">
      <c r="B807" s="278">
        <v>251385</v>
      </c>
      <c r="C807" s="3" t="s">
        <v>4</v>
      </c>
      <c r="D807" s="229">
        <v>5920</v>
      </c>
      <c r="E807" s="63"/>
      <c r="F807" s="49">
        <v>1440</v>
      </c>
      <c r="G807" s="52"/>
      <c r="H807" s="52">
        <f>5*80</f>
        <v>400</v>
      </c>
      <c r="I807" s="52"/>
      <c r="J807" s="52"/>
      <c r="K807" s="52"/>
      <c r="L807" s="138">
        <f t="shared" si="175"/>
        <v>1840</v>
      </c>
      <c r="M807" s="143">
        <f t="shared" si="177"/>
        <v>4080</v>
      </c>
      <c r="N807" s="121">
        <f t="shared" si="176"/>
        <v>0.3108108108108108</v>
      </c>
      <c r="O807" s="186">
        <f t="shared" si="178"/>
        <v>0.3108108108108108</v>
      </c>
    </row>
    <row r="808" spans="2:15" x14ac:dyDescent="0.25">
      <c r="B808" s="278">
        <v>251196</v>
      </c>
      <c r="C808" s="3" t="s">
        <v>5</v>
      </c>
      <c r="D808" s="229"/>
      <c r="E808" s="63"/>
      <c r="F808" s="49"/>
      <c r="G808" s="52"/>
      <c r="H808" s="52"/>
      <c r="I808" s="52"/>
      <c r="J808" s="52"/>
      <c r="K808" s="52"/>
      <c r="L808" s="138">
        <f t="shared" si="175"/>
        <v>0</v>
      </c>
      <c r="M808" s="143">
        <f t="shared" si="177"/>
        <v>0</v>
      </c>
      <c r="N808" s="121">
        <f t="shared" si="176"/>
        <v>0</v>
      </c>
      <c r="O808" s="186">
        <f t="shared" si="178"/>
        <v>0</v>
      </c>
    </row>
    <row r="809" spans="2:15" x14ac:dyDescent="0.25">
      <c r="B809" s="278">
        <v>250524</v>
      </c>
      <c r="C809" s="3" t="s">
        <v>6</v>
      </c>
      <c r="D809" s="229"/>
      <c r="E809" s="63"/>
      <c r="F809" s="49"/>
      <c r="G809" s="52"/>
      <c r="H809" s="52"/>
      <c r="I809" s="52"/>
      <c r="J809" s="52"/>
      <c r="K809" s="52"/>
      <c r="L809" s="138">
        <f t="shared" si="175"/>
        <v>0</v>
      </c>
      <c r="M809" s="143">
        <f t="shared" si="177"/>
        <v>0</v>
      </c>
      <c r="N809" s="121">
        <f t="shared" si="176"/>
        <v>0</v>
      </c>
      <c r="O809" s="186">
        <f t="shared" si="178"/>
        <v>0</v>
      </c>
    </row>
    <row r="810" spans="2:15" x14ac:dyDescent="0.25">
      <c r="B810" s="278">
        <v>252534</v>
      </c>
      <c r="C810" s="3" t="s">
        <v>7</v>
      </c>
      <c r="D810" s="229">
        <v>900</v>
      </c>
      <c r="E810" s="63"/>
      <c r="F810" s="49"/>
      <c r="G810" s="52">
        <v>225</v>
      </c>
      <c r="H810" s="52"/>
      <c r="I810" s="52">
        <v>225</v>
      </c>
      <c r="J810" s="52">
        <v>225</v>
      </c>
      <c r="K810" s="52"/>
      <c r="L810" s="138">
        <f t="shared" si="175"/>
        <v>675</v>
      </c>
      <c r="M810" s="143">
        <f t="shared" si="177"/>
        <v>225</v>
      </c>
      <c r="N810" s="121">
        <f t="shared" si="176"/>
        <v>0.75</v>
      </c>
      <c r="O810" s="186">
        <f t="shared" si="178"/>
        <v>0.75</v>
      </c>
    </row>
    <row r="811" spans="2:15" x14ac:dyDescent="0.25">
      <c r="B811" s="278">
        <v>251151</v>
      </c>
      <c r="C811" s="3" t="s">
        <v>8</v>
      </c>
      <c r="D811" s="229"/>
      <c r="E811" s="55"/>
      <c r="F811" s="49"/>
      <c r="G811" s="52"/>
      <c r="H811" s="52"/>
      <c r="I811" s="52"/>
      <c r="J811" s="52"/>
      <c r="K811" s="52"/>
      <c r="L811" s="138">
        <f>SUM(F811:K811)</f>
        <v>0</v>
      </c>
      <c r="M811" s="143">
        <f t="shared" si="177"/>
        <v>0</v>
      </c>
      <c r="N811" s="121">
        <f t="shared" si="176"/>
        <v>0</v>
      </c>
      <c r="O811" s="186">
        <f t="shared" si="178"/>
        <v>0</v>
      </c>
    </row>
    <row r="812" spans="2:15" x14ac:dyDescent="0.25">
      <c r="B812" s="278">
        <v>254852</v>
      </c>
      <c r="C812" s="3" t="s">
        <v>17</v>
      </c>
      <c r="D812" s="229"/>
      <c r="E812" s="55"/>
      <c r="F812" s="49"/>
      <c r="G812" s="52"/>
      <c r="H812" s="52"/>
      <c r="I812" s="52"/>
      <c r="J812" s="52"/>
      <c r="K812" s="52"/>
      <c r="L812" s="138">
        <f>SUM(F812:K812)</f>
        <v>0</v>
      </c>
      <c r="M812" s="143">
        <f t="shared" si="177"/>
        <v>0</v>
      </c>
      <c r="N812" s="121">
        <f t="shared" si="176"/>
        <v>0</v>
      </c>
      <c r="O812" s="186">
        <f t="shared" si="178"/>
        <v>0</v>
      </c>
    </row>
    <row r="813" spans="2:15" x14ac:dyDescent="0.25">
      <c r="B813" s="278">
        <v>255430</v>
      </c>
      <c r="C813" s="44" t="s">
        <v>53</v>
      </c>
      <c r="D813" s="229"/>
      <c r="E813" s="55"/>
      <c r="F813" s="49"/>
      <c r="G813" s="52"/>
      <c r="H813" s="52"/>
      <c r="I813" s="52"/>
      <c r="J813" s="52"/>
      <c r="K813" s="52"/>
      <c r="L813" s="138">
        <f>SUM(F813:K813)</f>
        <v>0</v>
      </c>
      <c r="M813" s="143">
        <f t="shared" ref="M813:M836" si="179">+SUM(D813:E813)-L813</f>
        <v>0</v>
      </c>
      <c r="N813" s="121">
        <f t="shared" si="176"/>
        <v>0</v>
      </c>
      <c r="O813" s="186">
        <f t="shared" si="178"/>
        <v>0</v>
      </c>
    </row>
    <row r="814" spans="2:15" x14ac:dyDescent="0.25">
      <c r="B814" s="277">
        <v>254849</v>
      </c>
      <c r="C814" s="3" t="s">
        <v>0</v>
      </c>
      <c r="D814" s="229"/>
      <c r="E814" s="63">
        <v>180</v>
      </c>
      <c r="F814" s="49">
        <v>180</v>
      </c>
      <c r="G814" s="52"/>
      <c r="H814" s="52"/>
      <c r="I814" s="52"/>
      <c r="J814" s="52"/>
      <c r="K814" s="52"/>
      <c r="L814" s="138">
        <f t="shared" ref="L814:L819" si="180">SUM(F814:K814)</f>
        <v>180</v>
      </c>
      <c r="M814" s="143">
        <f t="shared" si="179"/>
        <v>0</v>
      </c>
      <c r="N814" s="121" t="str">
        <f t="shared" si="176"/>
        <v>REQ ADICIONAL</v>
      </c>
      <c r="O814" s="186">
        <f t="shared" si="178"/>
        <v>1</v>
      </c>
    </row>
    <row r="815" spans="2:15" x14ac:dyDescent="0.25">
      <c r="B815" s="278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8">
        <f t="shared" si="180"/>
        <v>180</v>
      </c>
      <c r="M815" s="143">
        <f t="shared" si="179"/>
        <v>0</v>
      </c>
      <c r="N815" s="121" t="str">
        <f t="shared" si="176"/>
        <v>REQ ADICIONAL</v>
      </c>
      <c r="O815" s="186">
        <f t="shared" si="178"/>
        <v>1</v>
      </c>
    </row>
    <row r="816" spans="2:15" x14ac:dyDescent="0.25">
      <c r="B816" s="277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8">
        <f t="shared" si="180"/>
        <v>0</v>
      </c>
      <c r="M816" s="143">
        <f t="shared" si="179"/>
        <v>1350</v>
      </c>
      <c r="N816" s="121">
        <f t="shared" si="176"/>
        <v>0</v>
      </c>
      <c r="O816" s="187">
        <f t="shared" si="178"/>
        <v>0</v>
      </c>
    </row>
    <row r="817" spans="2:15" x14ac:dyDescent="0.25">
      <c r="B817" s="278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8">
        <f t="shared" si="180"/>
        <v>720</v>
      </c>
      <c r="M817" s="143">
        <f t="shared" si="179"/>
        <v>0</v>
      </c>
      <c r="N817" s="121" t="str">
        <f t="shared" si="176"/>
        <v>REQ ADICIONAL</v>
      </c>
      <c r="O817" s="187">
        <f t="shared" si="178"/>
        <v>1</v>
      </c>
    </row>
    <row r="818" spans="2:15" x14ac:dyDescent="0.25">
      <c r="B818" s="278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8">
        <f t="shared" si="180"/>
        <v>0</v>
      </c>
      <c r="M818" s="143">
        <f t="shared" si="179"/>
        <v>0</v>
      </c>
      <c r="N818" s="121">
        <f t="shared" si="176"/>
        <v>0</v>
      </c>
      <c r="O818" s="187">
        <f t="shared" si="178"/>
        <v>0</v>
      </c>
    </row>
    <row r="819" spans="2:15" x14ac:dyDescent="0.25">
      <c r="B819" s="279">
        <v>255341</v>
      </c>
      <c r="C819" s="3" t="s">
        <v>50</v>
      </c>
      <c r="D819" s="55">
        <v>900</v>
      </c>
      <c r="E819" s="63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8">
        <f t="shared" si="180"/>
        <v>900</v>
      </c>
      <c r="M819" s="143">
        <f t="shared" si="179"/>
        <v>0</v>
      </c>
      <c r="N819" s="121">
        <f t="shared" si="176"/>
        <v>1</v>
      </c>
      <c r="O819" s="187">
        <f t="shared" si="178"/>
        <v>1</v>
      </c>
    </row>
    <row r="820" spans="2:15" x14ac:dyDescent="0.25">
      <c r="B820" s="279">
        <v>255349</v>
      </c>
      <c r="C820" s="3" t="s">
        <v>57</v>
      </c>
      <c r="D820" s="55"/>
      <c r="E820" s="63"/>
      <c r="F820" s="49"/>
      <c r="G820" s="52"/>
      <c r="H820" s="52"/>
      <c r="I820" s="52"/>
      <c r="J820" s="52"/>
      <c r="K820" s="52"/>
      <c r="L820" s="138">
        <f t="shared" ref="L820:L836" si="181">SUM(F820:K820)</f>
        <v>0</v>
      </c>
      <c r="M820" s="143">
        <f t="shared" si="179"/>
        <v>0</v>
      </c>
      <c r="N820" s="121">
        <f t="shared" si="176"/>
        <v>0</v>
      </c>
      <c r="O820" s="187">
        <f t="shared" si="178"/>
        <v>0</v>
      </c>
    </row>
    <row r="821" spans="2:15" x14ac:dyDescent="0.25">
      <c r="B821" s="277">
        <v>254963</v>
      </c>
      <c r="C821" s="3" t="s">
        <v>27</v>
      </c>
      <c r="D821" s="55"/>
      <c r="E821" s="63"/>
      <c r="F821" s="49"/>
      <c r="G821" s="52"/>
      <c r="H821" s="52"/>
      <c r="I821" s="52"/>
      <c r="J821" s="52"/>
      <c r="K821" s="52"/>
      <c r="L821" s="138">
        <f t="shared" si="181"/>
        <v>0</v>
      </c>
      <c r="M821" s="143">
        <f t="shared" si="179"/>
        <v>0</v>
      </c>
      <c r="N821" s="121">
        <f t="shared" si="176"/>
        <v>0</v>
      </c>
      <c r="O821" s="187">
        <f t="shared" si="178"/>
        <v>0</v>
      </c>
    </row>
    <row r="822" spans="2:15" x14ac:dyDescent="0.25">
      <c r="B822" s="278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8">
        <f t="shared" si="181"/>
        <v>0</v>
      </c>
      <c r="M822" s="143">
        <f t="shared" si="179"/>
        <v>0</v>
      </c>
      <c r="N822" s="121">
        <f t="shared" si="176"/>
        <v>0</v>
      </c>
      <c r="O822" s="187">
        <f t="shared" si="178"/>
        <v>0</v>
      </c>
    </row>
    <row r="823" spans="2:15" x14ac:dyDescent="0.25">
      <c r="B823" s="277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8">
        <f t="shared" si="181"/>
        <v>180</v>
      </c>
      <c r="M823" s="143">
        <f t="shared" si="179"/>
        <v>180</v>
      </c>
      <c r="N823" s="121">
        <f t="shared" si="176"/>
        <v>0.5</v>
      </c>
      <c r="O823" s="187">
        <f t="shared" si="178"/>
        <v>0.5</v>
      </c>
    </row>
    <row r="824" spans="2:15" x14ac:dyDescent="0.25">
      <c r="B824" s="279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8">
        <f t="shared" si="181"/>
        <v>0</v>
      </c>
      <c r="M824" s="143">
        <f t="shared" si="179"/>
        <v>0</v>
      </c>
      <c r="N824" s="121">
        <f t="shared" si="176"/>
        <v>0</v>
      </c>
      <c r="O824" s="187">
        <f t="shared" si="178"/>
        <v>0</v>
      </c>
    </row>
    <row r="825" spans="2:15" x14ac:dyDescent="0.25">
      <c r="B825" s="277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8">
        <f t="shared" si="181"/>
        <v>0</v>
      </c>
      <c r="M825" s="143">
        <f t="shared" si="179"/>
        <v>0</v>
      </c>
      <c r="N825" s="121">
        <f t="shared" si="176"/>
        <v>0</v>
      </c>
      <c r="O825" s="187">
        <f t="shared" si="178"/>
        <v>0</v>
      </c>
    </row>
    <row r="826" spans="2:15" x14ac:dyDescent="0.25">
      <c r="B826" s="277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8">
        <f t="shared" si="181"/>
        <v>0</v>
      </c>
      <c r="M826" s="143">
        <f t="shared" si="179"/>
        <v>0</v>
      </c>
      <c r="N826" s="121">
        <f t="shared" si="176"/>
        <v>0</v>
      </c>
      <c r="O826" s="187">
        <f t="shared" si="178"/>
        <v>0</v>
      </c>
    </row>
    <row r="827" spans="2:15" x14ac:dyDescent="0.25">
      <c r="B827" s="277">
        <v>255382</v>
      </c>
      <c r="C827" s="295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8">
        <f t="shared" si="181"/>
        <v>0</v>
      </c>
      <c r="M827" s="143">
        <f t="shared" si="179"/>
        <v>260</v>
      </c>
      <c r="N827" s="121">
        <f>IF(L827=0,0,IFERROR(L827/D827,"REQ ADICIONAL"))</f>
        <v>0</v>
      </c>
      <c r="O827" s="186">
        <f t="shared" si="178"/>
        <v>0</v>
      </c>
    </row>
    <row r="828" spans="2:15" x14ac:dyDescent="0.25">
      <c r="B828" s="277">
        <v>256319</v>
      </c>
      <c r="C828" s="295" t="s">
        <v>69</v>
      </c>
      <c r="D828" s="52"/>
      <c r="E828" s="52"/>
      <c r="F828" s="49"/>
      <c r="G828" s="55"/>
      <c r="H828" s="3"/>
      <c r="I828" s="55"/>
      <c r="J828" s="55"/>
      <c r="K828" s="55"/>
      <c r="L828" s="138">
        <f t="shared" si="181"/>
        <v>0</v>
      </c>
      <c r="M828" s="143">
        <f t="shared" si="179"/>
        <v>0</v>
      </c>
      <c r="N828" s="121">
        <f t="shared" ref="N828:N836" si="182">IF(L828=0,0,IFERROR(L828/D828,"REQ ADICIONAL"))</f>
        <v>0</v>
      </c>
      <c r="O828" s="186">
        <f t="shared" ref="O828:O836" si="183">IFERROR(L828/SUM(D828:E828),0)</f>
        <v>0</v>
      </c>
    </row>
    <row r="829" spans="2:15" x14ac:dyDescent="0.25">
      <c r="B829" s="277">
        <v>255417</v>
      </c>
      <c r="C829" s="295" t="s">
        <v>75</v>
      </c>
      <c r="D829" s="92"/>
      <c r="E829" s="92"/>
      <c r="F829" s="50"/>
      <c r="G829" s="57"/>
      <c r="H829" s="33"/>
      <c r="I829" s="57"/>
      <c r="J829" s="57"/>
      <c r="K829" s="57"/>
      <c r="L829" s="138">
        <f t="shared" si="181"/>
        <v>0</v>
      </c>
      <c r="M829" s="143">
        <f t="shared" si="179"/>
        <v>0</v>
      </c>
      <c r="N829" s="121">
        <f t="shared" si="182"/>
        <v>0</v>
      </c>
      <c r="O829" s="186">
        <f t="shared" si="183"/>
        <v>0</v>
      </c>
    </row>
    <row r="830" spans="2:15" x14ac:dyDescent="0.25">
      <c r="B830" s="277">
        <v>255418</v>
      </c>
      <c r="C830" s="295" t="s">
        <v>76</v>
      </c>
      <c r="D830" s="92"/>
      <c r="E830" s="92"/>
      <c r="F830" s="50"/>
      <c r="G830" s="57"/>
      <c r="H830" s="33"/>
      <c r="I830" s="57"/>
      <c r="J830" s="57"/>
      <c r="K830" s="57"/>
      <c r="L830" s="138">
        <f t="shared" si="181"/>
        <v>0</v>
      </c>
      <c r="M830" s="143">
        <f t="shared" si="179"/>
        <v>0</v>
      </c>
      <c r="N830" s="121">
        <f t="shared" si="182"/>
        <v>0</v>
      </c>
      <c r="O830" s="186">
        <f t="shared" si="183"/>
        <v>0</v>
      </c>
    </row>
    <row r="831" spans="2:15" x14ac:dyDescent="0.25">
      <c r="B831" s="277">
        <v>256329</v>
      </c>
      <c r="C831" s="289" t="s">
        <v>81</v>
      </c>
      <c r="D831" s="92">
        <v>260</v>
      </c>
      <c r="E831" s="92"/>
      <c r="F831" s="50"/>
      <c r="G831" s="57"/>
      <c r="H831" s="57"/>
      <c r="I831" s="57"/>
      <c r="J831" s="57"/>
      <c r="K831" s="57"/>
      <c r="L831" s="138">
        <f t="shared" si="181"/>
        <v>0</v>
      </c>
      <c r="M831" s="143">
        <f t="shared" si="179"/>
        <v>260</v>
      </c>
      <c r="N831" s="121">
        <f t="shared" si="182"/>
        <v>0</v>
      </c>
      <c r="O831" s="186">
        <f t="shared" si="183"/>
        <v>0</v>
      </c>
    </row>
    <row r="832" spans="2:15" x14ac:dyDescent="0.25">
      <c r="B832" s="277">
        <v>256330</v>
      </c>
      <c r="C832" s="289" t="s">
        <v>82</v>
      </c>
      <c r="D832" s="92"/>
      <c r="E832" s="92">
        <v>240</v>
      </c>
      <c r="F832" s="50"/>
      <c r="G832" s="57">
        <v>240</v>
      </c>
      <c r="H832" s="33"/>
      <c r="I832" s="57"/>
      <c r="J832" s="57"/>
      <c r="K832" s="57"/>
      <c r="L832" s="138">
        <f t="shared" si="181"/>
        <v>240</v>
      </c>
      <c r="M832" s="143">
        <f t="shared" si="179"/>
        <v>0</v>
      </c>
      <c r="N832" s="121" t="str">
        <f t="shared" si="182"/>
        <v>REQ ADICIONAL</v>
      </c>
      <c r="O832" s="186">
        <f t="shared" si="183"/>
        <v>1</v>
      </c>
    </row>
    <row r="833" spans="2:15" x14ac:dyDescent="0.25">
      <c r="B833" s="277">
        <v>256331</v>
      </c>
      <c r="C833" s="289" t="s">
        <v>115</v>
      </c>
      <c r="D833" s="92"/>
      <c r="E833" s="92"/>
      <c r="F833" s="50"/>
      <c r="G833" s="57"/>
      <c r="H833" s="33"/>
      <c r="I833" s="57"/>
      <c r="J833" s="57"/>
      <c r="K833" s="57"/>
      <c r="L833" s="138">
        <f t="shared" si="181"/>
        <v>0</v>
      </c>
      <c r="M833" s="143">
        <f t="shared" si="179"/>
        <v>0</v>
      </c>
      <c r="N833" s="121">
        <f t="shared" si="182"/>
        <v>0</v>
      </c>
      <c r="O833" s="186">
        <f t="shared" si="183"/>
        <v>0</v>
      </c>
    </row>
    <row r="834" spans="2:15" x14ac:dyDescent="0.25">
      <c r="B834" s="277">
        <v>256332</v>
      </c>
      <c r="C834" s="289" t="s">
        <v>116</v>
      </c>
      <c r="D834" s="92">
        <v>240</v>
      </c>
      <c r="E834" s="92"/>
      <c r="F834" s="50"/>
      <c r="G834" s="57"/>
      <c r="H834" s="33"/>
      <c r="I834" s="57"/>
      <c r="J834" s="57"/>
      <c r="K834" s="57"/>
      <c r="L834" s="138">
        <f t="shared" si="181"/>
        <v>0</v>
      </c>
      <c r="M834" s="143">
        <f t="shared" si="179"/>
        <v>240</v>
      </c>
      <c r="N834" s="121">
        <f t="shared" si="182"/>
        <v>0</v>
      </c>
      <c r="O834" s="186">
        <f t="shared" si="183"/>
        <v>0</v>
      </c>
    </row>
    <row r="835" spans="2:15" x14ac:dyDescent="0.25">
      <c r="B835" s="277">
        <v>251632</v>
      </c>
      <c r="C835" s="99" t="s">
        <v>51</v>
      </c>
      <c r="D835" s="92"/>
      <c r="E835" s="92"/>
      <c r="F835" s="50"/>
      <c r="G835" s="57"/>
      <c r="H835" s="33"/>
      <c r="I835" s="57"/>
      <c r="J835" s="57"/>
      <c r="K835" s="57"/>
      <c r="L835" s="138">
        <f t="shared" si="181"/>
        <v>0</v>
      </c>
      <c r="M835" s="143">
        <f t="shared" si="179"/>
        <v>0</v>
      </c>
      <c r="N835" s="121">
        <f t="shared" si="182"/>
        <v>0</v>
      </c>
      <c r="O835" s="186">
        <f t="shared" si="183"/>
        <v>0</v>
      </c>
    </row>
    <row r="836" spans="2:15" x14ac:dyDescent="0.25">
      <c r="B836" s="277">
        <v>256375</v>
      </c>
      <c r="C836" s="99" t="s">
        <v>83</v>
      </c>
      <c r="D836" s="92">
        <v>760</v>
      </c>
      <c r="E836" s="92">
        <v>760</v>
      </c>
      <c r="F836" s="50"/>
      <c r="G836" s="57"/>
      <c r="H836" s="33"/>
      <c r="I836" s="57"/>
      <c r="J836" s="57">
        <v>760</v>
      </c>
      <c r="K836" s="57">
        <v>760</v>
      </c>
      <c r="L836" s="138">
        <f t="shared" si="181"/>
        <v>1520</v>
      </c>
      <c r="M836" s="143">
        <f t="shared" si="179"/>
        <v>0</v>
      </c>
      <c r="N836" s="121">
        <f t="shared" si="182"/>
        <v>2</v>
      </c>
      <c r="O836" s="186">
        <f t="shared" si="183"/>
        <v>1</v>
      </c>
    </row>
    <row r="837" spans="2:15" ht="16.5" thickBot="1" x14ac:dyDescent="0.3">
      <c r="B837" s="675" t="s">
        <v>87</v>
      </c>
      <c r="C837" s="674"/>
      <c r="D837" s="236">
        <f t="shared" ref="D837:I837" si="184">SUM(D803:D836)</f>
        <v>13890</v>
      </c>
      <c r="E837" s="283">
        <f t="shared" si="184"/>
        <v>3060</v>
      </c>
      <c r="F837" s="238">
        <f t="shared" si="184"/>
        <v>2385</v>
      </c>
      <c r="G837" s="238">
        <f t="shared" si="184"/>
        <v>1050</v>
      </c>
      <c r="H837" s="238">
        <f t="shared" si="184"/>
        <v>580</v>
      </c>
      <c r="I837" s="238">
        <f t="shared" si="184"/>
        <v>450</v>
      </c>
      <c r="J837" s="238">
        <f>SUM(J803:J836)</f>
        <v>1390</v>
      </c>
      <c r="K837" s="238">
        <f>SUM(K803:K836)</f>
        <v>2280</v>
      </c>
      <c r="L837" s="236">
        <f>SUM(L803:L836)</f>
        <v>8135</v>
      </c>
      <c r="M837" s="284">
        <f>SUM(M803:M836)</f>
        <v>8815</v>
      </c>
      <c r="N837" s="241">
        <f>L837/D837</f>
        <v>0.58567314614830812</v>
      </c>
      <c r="O837" s="242">
        <f>+L837/SUM(D837:E837)</f>
        <v>0.47994100294985248</v>
      </c>
    </row>
    <row r="839" spans="2:15" ht="15.75" thickBot="1" x14ac:dyDescent="0.3"/>
    <row r="840" spans="2:15" ht="18.75" x14ac:dyDescent="0.25">
      <c r="B840" s="670" t="s">
        <v>120</v>
      </c>
      <c r="C840" s="671"/>
      <c r="D840" s="671"/>
      <c r="E840" s="671"/>
      <c r="F840" s="671"/>
      <c r="G840" s="671"/>
      <c r="H840" s="671"/>
      <c r="I840" s="671"/>
      <c r="J840" s="671"/>
      <c r="K840" s="671"/>
      <c r="L840" s="671"/>
      <c r="M840" s="671"/>
      <c r="N840" s="671"/>
      <c r="O840" s="672"/>
    </row>
    <row r="841" spans="2:15" ht="30" x14ac:dyDescent="0.25">
      <c r="B841" s="106" t="s">
        <v>34</v>
      </c>
      <c r="C841" s="30" t="s">
        <v>9</v>
      </c>
      <c r="D841" s="108" t="s">
        <v>85</v>
      </c>
      <c r="E841" s="163" t="s">
        <v>86</v>
      </c>
      <c r="F841" s="117">
        <v>43057</v>
      </c>
      <c r="G841" s="117">
        <f>+F841+2</f>
        <v>43059</v>
      </c>
      <c r="H841" s="117">
        <f>+G841+1</f>
        <v>43060</v>
      </c>
      <c r="I841" s="117">
        <f>+H841+1</f>
        <v>43061</v>
      </c>
      <c r="J841" s="117">
        <f>+I841+1</f>
        <v>43062</v>
      </c>
      <c r="K841" s="117">
        <f>+J841+1</f>
        <v>43063</v>
      </c>
      <c r="L841" s="108" t="s">
        <v>87</v>
      </c>
      <c r="M841" s="164" t="s">
        <v>88</v>
      </c>
      <c r="N841" s="117" t="s">
        <v>89</v>
      </c>
      <c r="O841" s="235" t="s">
        <v>90</v>
      </c>
    </row>
    <row r="842" spans="2:15" x14ac:dyDescent="0.25">
      <c r="B842" s="277">
        <v>255337</v>
      </c>
      <c r="C842" s="3" t="s">
        <v>26</v>
      </c>
      <c r="D842" s="285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8">
        <f t="shared" ref="L842:L849" si="185">SUM(F842:K842)</f>
        <v>1400</v>
      </c>
      <c r="M842" s="143">
        <f>+SUM(D842:E842)-L842</f>
        <v>0</v>
      </c>
      <c r="N842" s="121" t="str">
        <f t="shared" ref="N842:N862" si="186">IF(L842=0,0,IFERROR(L842/D842,"REQ ADICIONAL"))</f>
        <v>REQ ADICIONAL</v>
      </c>
      <c r="O842" s="186">
        <f>IFERROR(L842/SUM(D842:E842),0)</f>
        <v>1</v>
      </c>
    </row>
    <row r="843" spans="2:15" x14ac:dyDescent="0.25">
      <c r="B843" s="277">
        <v>254851</v>
      </c>
      <c r="C843" s="3" t="s">
        <v>1</v>
      </c>
      <c r="D843" s="229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8">
        <f t="shared" si="185"/>
        <v>540</v>
      </c>
      <c r="M843" s="143">
        <f t="shared" ref="M843:M849" si="187">+SUM(D843:E843)-L843</f>
        <v>0</v>
      </c>
      <c r="N843" s="121">
        <f t="shared" si="186"/>
        <v>1.5</v>
      </c>
      <c r="O843" s="186">
        <f t="shared" ref="O843:O863" si="188">IFERROR(L843/SUM(D843:E843),0)</f>
        <v>1</v>
      </c>
    </row>
    <row r="844" spans="2:15" x14ac:dyDescent="0.25">
      <c r="B844" s="277">
        <v>254853</v>
      </c>
      <c r="C844" s="3" t="s">
        <v>2</v>
      </c>
      <c r="D844" s="229"/>
      <c r="E844" s="55"/>
      <c r="F844" s="49"/>
      <c r="G844" s="49"/>
      <c r="H844" s="52"/>
      <c r="I844" s="52"/>
      <c r="J844" s="52"/>
      <c r="K844" s="52"/>
      <c r="L844" s="138">
        <f t="shared" si="185"/>
        <v>0</v>
      </c>
      <c r="M844" s="143">
        <f t="shared" si="187"/>
        <v>0</v>
      </c>
      <c r="N844" s="121">
        <f t="shared" si="186"/>
        <v>0</v>
      </c>
      <c r="O844" s="186">
        <f t="shared" si="188"/>
        <v>0</v>
      </c>
    </row>
    <row r="845" spans="2:15" x14ac:dyDescent="0.25">
      <c r="B845" s="277">
        <v>254850</v>
      </c>
      <c r="C845" s="3" t="s">
        <v>3</v>
      </c>
      <c r="D845" s="229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8">
        <f t="shared" si="185"/>
        <v>840</v>
      </c>
      <c r="M845" s="143">
        <f t="shared" si="187"/>
        <v>1320</v>
      </c>
      <c r="N845" s="121">
        <f t="shared" si="186"/>
        <v>0.3888888888888889</v>
      </c>
      <c r="O845" s="186">
        <f t="shared" si="188"/>
        <v>0.3888888888888889</v>
      </c>
    </row>
    <row r="846" spans="2:15" x14ac:dyDescent="0.25">
      <c r="B846" s="278">
        <v>251385</v>
      </c>
      <c r="C846" s="3" t="s">
        <v>4</v>
      </c>
      <c r="D846" s="229">
        <v>1600</v>
      </c>
      <c r="E846" s="63"/>
      <c r="F846" s="49"/>
      <c r="G846" s="49"/>
      <c r="H846" s="52"/>
      <c r="I846" s="52"/>
      <c r="J846" s="52"/>
      <c r="K846" s="52"/>
      <c r="L846" s="138">
        <f t="shared" si="185"/>
        <v>0</v>
      </c>
      <c r="M846" s="143">
        <f t="shared" si="187"/>
        <v>1600</v>
      </c>
      <c r="N846" s="121">
        <f t="shared" si="186"/>
        <v>0</v>
      </c>
      <c r="O846" s="186">
        <f t="shared" si="188"/>
        <v>0</v>
      </c>
    </row>
    <row r="847" spans="2:15" x14ac:dyDescent="0.25">
      <c r="B847" s="278">
        <v>251196</v>
      </c>
      <c r="C847" s="3" t="s">
        <v>5</v>
      </c>
      <c r="D847" s="229">
        <v>640</v>
      </c>
      <c r="E847" s="63"/>
      <c r="F847" s="49"/>
      <c r="G847" s="49"/>
      <c r="H847" s="52"/>
      <c r="I847" s="52"/>
      <c r="J847" s="52"/>
      <c r="K847" s="52"/>
      <c r="L847" s="138">
        <f t="shared" si="185"/>
        <v>0</v>
      </c>
      <c r="M847" s="143">
        <f t="shared" si="187"/>
        <v>640</v>
      </c>
      <c r="N847" s="121">
        <f t="shared" si="186"/>
        <v>0</v>
      </c>
      <c r="O847" s="186">
        <f t="shared" si="188"/>
        <v>0</v>
      </c>
    </row>
    <row r="848" spans="2:15" x14ac:dyDescent="0.25">
      <c r="B848" s="278">
        <v>250524</v>
      </c>
      <c r="C848" s="3" t="s">
        <v>6</v>
      </c>
      <c r="D848" s="229">
        <v>960</v>
      </c>
      <c r="E848" s="63"/>
      <c r="F848" s="49"/>
      <c r="G848" s="49"/>
      <c r="H848" s="52"/>
      <c r="I848" s="52"/>
      <c r="J848" s="52"/>
      <c r="K848" s="52"/>
      <c r="L848" s="138">
        <f t="shared" si="185"/>
        <v>0</v>
      </c>
      <c r="M848" s="143">
        <f t="shared" si="187"/>
        <v>960</v>
      </c>
      <c r="N848" s="121">
        <f t="shared" si="186"/>
        <v>0</v>
      </c>
      <c r="O848" s="186">
        <f t="shared" si="188"/>
        <v>0</v>
      </c>
    </row>
    <row r="849" spans="2:15" x14ac:dyDescent="0.25">
      <c r="B849" s="278">
        <v>252534</v>
      </c>
      <c r="C849" s="3" t="s">
        <v>7</v>
      </c>
      <c r="D849" s="229">
        <v>1125</v>
      </c>
      <c r="E849" s="63"/>
      <c r="F849" s="49"/>
      <c r="G849" s="49"/>
      <c r="H849" s="52">
        <v>450</v>
      </c>
      <c r="I849" s="52">
        <v>450</v>
      </c>
      <c r="J849" s="52">
        <v>225</v>
      </c>
      <c r="K849" s="52"/>
      <c r="L849" s="138">
        <f t="shared" si="185"/>
        <v>1125</v>
      </c>
      <c r="M849" s="143">
        <f t="shared" si="187"/>
        <v>0</v>
      </c>
      <c r="N849" s="121">
        <f t="shared" si="186"/>
        <v>1</v>
      </c>
      <c r="O849" s="186">
        <f t="shared" si="188"/>
        <v>1</v>
      </c>
    </row>
    <row r="850" spans="2:15" x14ac:dyDescent="0.25">
      <c r="B850" s="277">
        <v>254849</v>
      </c>
      <c r="C850" s="3" t="s">
        <v>0</v>
      </c>
      <c r="D850" s="229">
        <v>180</v>
      </c>
      <c r="E850" s="63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8">
        <f t="shared" ref="L850:L855" si="189">SUM(F850:K850)</f>
        <v>540</v>
      </c>
      <c r="M850" s="143">
        <f t="shared" ref="M850:M872" si="190">+SUM(D850:E850)-L850</f>
        <v>0</v>
      </c>
      <c r="N850" s="121">
        <f t="shared" si="186"/>
        <v>3</v>
      </c>
      <c r="O850" s="186">
        <f t="shared" si="188"/>
        <v>1</v>
      </c>
    </row>
    <row r="851" spans="2:15" x14ac:dyDescent="0.25">
      <c r="B851" s="278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8">
        <f t="shared" si="189"/>
        <v>0</v>
      </c>
      <c r="M851" s="143">
        <f t="shared" si="190"/>
        <v>0</v>
      </c>
      <c r="N851" s="121">
        <f t="shared" si="186"/>
        <v>0</v>
      </c>
      <c r="O851" s="186">
        <f t="shared" si="188"/>
        <v>0</v>
      </c>
    </row>
    <row r="852" spans="2:15" x14ac:dyDescent="0.25">
      <c r="B852" s="277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8">
        <f t="shared" si="189"/>
        <v>675</v>
      </c>
      <c r="M852" s="143">
        <f t="shared" si="190"/>
        <v>450</v>
      </c>
      <c r="N852" s="121">
        <f t="shared" si="186"/>
        <v>0.6</v>
      </c>
      <c r="O852" s="187">
        <f t="shared" si="188"/>
        <v>0.6</v>
      </c>
    </row>
    <row r="853" spans="2:15" x14ac:dyDescent="0.25">
      <c r="B853" s="278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8">
        <f t="shared" si="189"/>
        <v>2040</v>
      </c>
      <c r="M853" s="143">
        <f t="shared" si="190"/>
        <v>0</v>
      </c>
      <c r="N853" s="121" t="str">
        <f t="shared" si="186"/>
        <v>REQ ADICIONAL</v>
      </c>
      <c r="O853" s="187">
        <f t="shared" si="188"/>
        <v>1</v>
      </c>
    </row>
    <row r="854" spans="2:15" x14ac:dyDescent="0.25">
      <c r="B854" s="278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8">
        <f t="shared" si="189"/>
        <v>900</v>
      </c>
      <c r="M854" s="143">
        <f t="shared" si="190"/>
        <v>0</v>
      </c>
      <c r="N854" s="121">
        <f t="shared" si="186"/>
        <v>2.5</v>
      </c>
      <c r="O854" s="187">
        <f t="shared" si="188"/>
        <v>1</v>
      </c>
    </row>
    <row r="855" spans="2:15" x14ac:dyDescent="0.25">
      <c r="B855" s="279">
        <v>255341</v>
      </c>
      <c r="C855" s="3" t="s">
        <v>50</v>
      </c>
      <c r="D855" s="55">
        <v>225</v>
      </c>
      <c r="E855" s="63"/>
      <c r="F855" s="49"/>
      <c r="G855" s="49"/>
      <c r="H855" s="52"/>
      <c r="I855" s="52"/>
      <c r="J855" s="52"/>
      <c r="K855" s="52"/>
      <c r="L855" s="138">
        <f t="shared" si="189"/>
        <v>0</v>
      </c>
      <c r="M855" s="143">
        <f t="shared" si="190"/>
        <v>225</v>
      </c>
      <c r="N855" s="121">
        <f t="shared" si="186"/>
        <v>0</v>
      </c>
      <c r="O855" s="187">
        <f t="shared" si="188"/>
        <v>0</v>
      </c>
    </row>
    <row r="856" spans="2:15" x14ac:dyDescent="0.25">
      <c r="B856" s="279">
        <v>255349</v>
      </c>
      <c r="C856" s="3" t="s">
        <v>57</v>
      </c>
      <c r="D856" s="55"/>
      <c r="E856" s="63"/>
      <c r="F856" s="49"/>
      <c r="G856" s="49"/>
      <c r="H856" s="52"/>
      <c r="I856" s="52"/>
      <c r="J856" s="52"/>
      <c r="K856" s="52"/>
      <c r="L856" s="138">
        <f t="shared" ref="L856:L866" si="191">SUM(F856:K856)</f>
        <v>0</v>
      </c>
      <c r="M856" s="143">
        <f t="shared" si="190"/>
        <v>0</v>
      </c>
      <c r="N856" s="121">
        <f t="shared" si="186"/>
        <v>0</v>
      </c>
      <c r="O856" s="187">
        <f t="shared" si="188"/>
        <v>0</v>
      </c>
    </row>
    <row r="857" spans="2:15" x14ac:dyDescent="0.25">
      <c r="B857" s="277">
        <v>254963</v>
      </c>
      <c r="C857" s="3" t="s">
        <v>27</v>
      </c>
      <c r="D857" s="55">
        <v>225</v>
      </c>
      <c r="E857" s="63"/>
      <c r="F857" s="49"/>
      <c r="G857" s="49"/>
      <c r="H857" s="52"/>
      <c r="I857" s="52"/>
      <c r="J857" s="52">
        <v>225</v>
      </c>
      <c r="K857" s="52"/>
      <c r="L857" s="138">
        <f t="shared" si="191"/>
        <v>225</v>
      </c>
      <c r="M857" s="143">
        <f t="shared" si="190"/>
        <v>0</v>
      </c>
      <c r="N857" s="121">
        <f t="shared" si="186"/>
        <v>1</v>
      </c>
      <c r="O857" s="187">
        <f t="shared" si="188"/>
        <v>1</v>
      </c>
    </row>
    <row r="858" spans="2:15" x14ac:dyDescent="0.25">
      <c r="B858" s="278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8">
        <f t="shared" si="191"/>
        <v>360</v>
      </c>
      <c r="M858" s="143">
        <f t="shared" si="190"/>
        <v>0</v>
      </c>
      <c r="N858" s="121" t="str">
        <f t="shared" si="186"/>
        <v>REQ ADICIONAL</v>
      </c>
      <c r="O858" s="187">
        <f t="shared" si="188"/>
        <v>1</v>
      </c>
    </row>
    <row r="859" spans="2:15" x14ac:dyDescent="0.25">
      <c r="B859" s="277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8">
        <f t="shared" si="191"/>
        <v>360</v>
      </c>
      <c r="M859" s="143">
        <f t="shared" si="190"/>
        <v>0</v>
      </c>
      <c r="N859" s="121">
        <f t="shared" si="186"/>
        <v>1</v>
      </c>
      <c r="O859" s="187">
        <f t="shared" si="188"/>
        <v>1</v>
      </c>
    </row>
    <row r="860" spans="2:15" x14ac:dyDescent="0.25">
      <c r="B860" s="279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8">
        <f t="shared" si="191"/>
        <v>70</v>
      </c>
      <c r="M860" s="143">
        <f t="shared" si="190"/>
        <v>0</v>
      </c>
      <c r="N860" s="121" t="str">
        <f t="shared" si="186"/>
        <v>REQ ADICIONAL</v>
      </c>
      <c r="O860" s="187">
        <f t="shared" si="188"/>
        <v>1</v>
      </c>
    </row>
    <row r="861" spans="2:15" x14ac:dyDescent="0.25">
      <c r="B861" s="277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8">
        <f t="shared" si="191"/>
        <v>0</v>
      </c>
      <c r="M861" s="143">
        <f t="shared" si="190"/>
        <v>0</v>
      </c>
      <c r="N861" s="121">
        <f t="shared" si="186"/>
        <v>0</v>
      </c>
      <c r="O861" s="187">
        <f t="shared" si="188"/>
        <v>0</v>
      </c>
    </row>
    <row r="862" spans="2:15" x14ac:dyDescent="0.25">
      <c r="B862" s="277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8">
        <f t="shared" si="191"/>
        <v>0</v>
      </c>
      <c r="M862" s="143">
        <f t="shared" si="190"/>
        <v>0</v>
      </c>
      <c r="N862" s="121">
        <f t="shared" si="186"/>
        <v>0</v>
      </c>
      <c r="O862" s="187">
        <f t="shared" si="188"/>
        <v>0</v>
      </c>
    </row>
    <row r="863" spans="2:15" x14ac:dyDescent="0.25">
      <c r="B863" s="277">
        <v>255382</v>
      </c>
      <c r="C863" s="295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8">
        <f t="shared" si="191"/>
        <v>520</v>
      </c>
      <c r="M863" s="143">
        <f t="shared" si="190"/>
        <v>0</v>
      </c>
      <c r="N863" s="121" t="str">
        <f>IF(L863=0,0,IFERROR(L863/D863,"REQ ADICIONAL"))</f>
        <v>REQ ADICIONAL</v>
      </c>
      <c r="O863" s="186">
        <f t="shared" si="188"/>
        <v>1</v>
      </c>
    </row>
    <row r="864" spans="2:15" x14ac:dyDescent="0.25">
      <c r="B864" s="277">
        <v>256319</v>
      </c>
      <c r="C864" s="295" t="s">
        <v>69</v>
      </c>
      <c r="D864" s="52"/>
      <c r="E864" s="52"/>
      <c r="F864" s="49"/>
      <c r="G864" s="49"/>
      <c r="H864" s="55"/>
      <c r="I864" s="55"/>
      <c r="J864" s="55"/>
      <c r="K864" s="55"/>
      <c r="L864" s="138">
        <f t="shared" si="191"/>
        <v>0</v>
      </c>
      <c r="M864" s="143">
        <f t="shared" si="190"/>
        <v>0</v>
      </c>
      <c r="N864" s="121">
        <f t="shared" ref="N864:N872" si="192">IF(L864=0,0,IFERROR(L864/D864,"REQ ADICIONAL"))</f>
        <v>0</v>
      </c>
      <c r="O864" s="186">
        <f t="shared" ref="O864:O872" si="193">IFERROR(L864/SUM(D864:E864),0)</f>
        <v>0</v>
      </c>
    </row>
    <row r="865" spans="2:15" x14ac:dyDescent="0.25">
      <c r="B865" s="277">
        <v>255417</v>
      </c>
      <c r="C865" s="295" t="s">
        <v>75</v>
      </c>
      <c r="D865" s="92"/>
      <c r="E865" s="92"/>
      <c r="F865" s="50"/>
      <c r="G865" s="50"/>
      <c r="H865" s="57"/>
      <c r="I865" s="57"/>
      <c r="J865" s="57"/>
      <c r="K865" s="57"/>
      <c r="L865" s="138">
        <f t="shared" si="191"/>
        <v>0</v>
      </c>
      <c r="M865" s="143">
        <f t="shared" si="190"/>
        <v>0</v>
      </c>
      <c r="N865" s="121">
        <f t="shared" si="192"/>
        <v>0</v>
      </c>
      <c r="O865" s="186">
        <f t="shared" si="193"/>
        <v>0</v>
      </c>
    </row>
    <row r="866" spans="2:15" x14ac:dyDescent="0.25">
      <c r="B866" s="277">
        <v>255418</v>
      </c>
      <c r="C866" s="295" t="s">
        <v>76</v>
      </c>
      <c r="D866" s="92"/>
      <c r="E866" s="92"/>
      <c r="F866" s="50"/>
      <c r="G866" s="50"/>
      <c r="H866" s="57"/>
      <c r="I866" s="57"/>
      <c r="J866" s="57"/>
      <c r="K866" s="57"/>
      <c r="L866" s="138">
        <f t="shared" si="191"/>
        <v>0</v>
      </c>
      <c r="M866" s="143">
        <f t="shared" si="190"/>
        <v>0</v>
      </c>
      <c r="N866" s="121">
        <f t="shared" si="192"/>
        <v>0</v>
      </c>
      <c r="O866" s="186">
        <f t="shared" si="193"/>
        <v>0</v>
      </c>
    </row>
    <row r="867" spans="2:15" x14ac:dyDescent="0.25">
      <c r="B867" s="277">
        <v>256329</v>
      </c>
      <c r="C867" s="289" t="s">
        <v>81</v>
      </c>
      <c r="D867" s="92">
        <v>260</v>
      </c>
      <c r="E867" s="92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8">
        <f t="shared" ref="L867:L872" si="194">SUM(F867:K867)</f>
        <v>1040</v>
      </c>
      <c r="M867" s="143">
        <f t="shared" si="190"/>
        <v>0</v>
      </c>
      <c r="N867" s="121">
        <f t="shared" si="192"/>
        <v>4</v>
      </c>
      <c r="O867" s="186">
        <f t="shared" si="193"/>
        <v>1</v>
      </c>
    </row>
    <row r="868" spans="2:15" x14ac:dyDescent="0.25">
      <c r="B868" s="277">
        <v>256330</v>
      </c>
      <c r="C868" s="289" t="s">
        <v>82</v>
      </c>
      <c r="D868" s="92">
        <v>240</v>
      </c>
      <c r="E868" s="92"/>
      <c r="F868" s="50"/>
      <c r="G868" s="50"/>
      <c r="H868" s="57"/>
      <c r="I868" s="57"/>
      <c r="J868" s="57"/>
      <c r="K868" s="57"/>
      <c r="L868" s="138">
        <f t="shared" si="194"/>
        <v>0</v>
      </c>
      <c r="M868" s="143">
        <f t="shared" si="190"/>
        <v>240</v>
      </c>
      <c r="N868" s="121">
        <f t="shared" si="192"/>
        <v>0</v>
      </c>
      <c r="O868" s="186">
        <f t="shared" si="193"/>
        <v>0</v>
      </c>
    </row>
    <row r="869" spans="2:15" x14ac:dyDescent="0.25">
      <c r="B869" s="277">
        <v>256331</v>
      </c>
      <c r="C869" s="289" t="s">
        <v>115</v>
      </c>
      <c r="D869" s="92">
        <v>260</v>
      </c>
      <c r="E869" s="92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8">
        <f t="shared" si="194"/>
        <v>780</v>
      </c>
      <c r="M869" s="143">
        <f t="shared" si="190"/>
        <v>0</v>
      </c>
      <c r="N869" s="121">
        <f t="shared" si="192"/>
        <v>3</v>
      </c>
      <c r="O869" s="186">
        <f t="shared" si="193"/>
        <v>1</v>
      </c>
    </row>
    <row r="870" spans="2:15" x14ac:dyDescent="0.25">
      <c r="B870" s="277">
        <v>256332</v>
      </c>
      <c r="C870" s="289" t="s">
        <v>116</v>
      </c>
      <c r="D870" s="92">
        <v>240</v>
      </c>
      <c r="E870" s="92">
        <v>240</v>
      </c>
      <c r="F870" s="50"/>
      <c r="G870" s="50"/>
      <c r="H870" s="57">
        <v>240</v>
      </c>
      <c r="I870" s="57"/>
      <c r="J870" s="57">
        <v>240</v>
      </c>
      <c r="K870" s="57"/>
      <c r="L870" s="138">
        <f t="shared" si="194"/>
        <v>480</v>
      </c>
      <c r="M870" s="143">
        <f t="shared" si="190"/>
        <v>0</v>
      </c>
      <c r="N870" s="121">
        <f t="shared" si="192"/>
        <v>2</v>
      </c>
      <c r="O870" s="186">
        <f t="shared" si="193"/>
        <v>1</v>
      </c>
    </row>
    <row r="871" spans="2:15" x14ac:dyDescent="0.25">
      <c r="B871" s="277">
        <v>251519</v>
      </c>
      <c r="C871" s="99" t="s">
        <v>84</v>
      </c>
      <c r="D871" s="92"/>
      <c r="E871" s="92">
        <v>880</v>
      </c>
      <c r="F871" s="50"/>
      <c r="G871" s="50"/>
      <c r="H871" s="57"/>
      <c r="I871" s="57"/>
      <c r="J871" s="57"/>
      <c r="K871" s="57">
        <v>880</v>
      </c>
      <c r="L871" s="138"/>
      <c r="M871" s="143"/>
      <c r="N871" s="121"/>
      <c r="O871" s="186"/>
    </row>
    <row r="872" spans="2:15" x14ac:dyDescent="0.25">
      <c r="B872" s="277">
        <v>256375</v>
      </c>
      <c r="C872" s="99" t="s">
        <v>83</v>
      </c>
      <c r="D872" s="92"/>
      <c r="E872" s="92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8">
        <f t="shared" si="194"/>
        <v>3800</v>
      </c>
      <c r="M872" s="143">
        <f t="shared" si="190"/>
        <v>0</v>
      </c>
      <c r="N872" s="121" t="str">
        <f t="shared" si="192"/>
        <v>REQ ADICIONAL</v>
      </c>
      <c r="O872" s="186">
        <f t="shared" si="193"/>
        <v>1</v>
      </c>
    </row>
    <row r="873" spans="2:15" ht="16.5" thickBot="1" x14ac:dyDescent="0.3">
      <c r="B873" s="675" t="s">
        <v>87</v>
      </c>
      <c r="C873" s="674"/>
      <c r="D873" s="236">
        <f t="shared" ref="D873:I873" si="195">SUM(D842:D872)</f>
        <v>10320</v>
      </c>
      <c r="E873" s="283">
        <f t="shared" si="195"/>
        <v>11690</v>
      </c>
      <c r="F873" s="238">
        <f t="shared" si="195"/>
        <v>0</v>
      </c>
      <c r="G873" s="238">
        <f t="shared" si="195"/>
        <v>2790</v>
      </c>
      <c r="H873" s="238">
        <f>SUM(H842:H872)</f>
        <v>4930</v>
      </c>
      <c r="I873" s="238">
        <f t="shared" si="195"/>
        <v>3650</v>
      </c>
      <c r="J873" s="238">
        <f>SUM(J842:J872)</f>
        <v>3180</v>
      </c>
      <c r="K873" s="238">
        <f>SUM(K842:K872)</f>
        <v>2025</v>
      </c>
      <c r="L873" s="236">
        <f>SUM(L842:L872)</f>
        <v>15695</v>
      </c>
      <c r="M873" s="284">
        <f>SUM(M842:M872)</f>
        <v>5435</v>
      </c>
      <c r="N873" s="241">
        <f>L873/D873</f>
        <v>1.5208333333333333</v>
      </c>
      <c r="O873" s="242">
        <f>+L873/SUM(D873:E873)</f>
        <v>0.71308496138119037</v>
      </c>
    </row>
    <row r="876" spans="2:15" ht="15.75" thickBot="1" x14ac:dyDescent="0.3"/>
    <row r="877" spans="2:15" ht="18.75" x14ac:dyDescent="0.25">
      <c r="B877" s="670" t="s">
        <v>121</v>
      </c>
      <c r="C877" s="671"/>
      <c r="D877" s="671"/>
      <c r="E877" s="671"/>
      <c r="F877" s="671"/>
      <c r="G877" s="671"/>
      <c r="H877" s="671"/>
      <c r="I877" s="671"/>
      <c r="J877" s="671"/>
      <c r="K877" s="671"/>
      <c r="L877" s="671"/>
      <c r="M877" s="671"/>
      <c r="N877" s="671"/>
      <c r="O877" s="672"/>
    </row>
    <row r="878" spans="2:15" ht="30" x14ac:dyDescent="0.25">
      <c r="B878" s="106" t="s">
        <v>34</v>
      </c>
      <c r="C878" s="30" t="s">
        <v>9</v>
      </c>
      <c r="D878" s="108" t="s">
        <v>85</v>
      </c>
      <c r="E878" s="163" t="s">
        <v>86</v>
      </c>
      <c r="F878" s="117">
        <v>43064</v>
      </c>
      <c r="G878" s="117">
        <f>+F878+2</f>
        <v>43066</v>
      </c>
      <c r="H878" s="117">
        <f>+G878+1</f>
        <v>43067</v>
      </c>
      <c r="I878" s="117">
        <f>+H878+1</f>
        <v>43068</v>
      </c>
      <c r="J878" s="117">
        <f>+I878+1</f>
        <v>43069</v>
      </c>
      <c r="K878" s="117">
        <f>+J878+1</f>
        <v>43070</v>
      </c>
      <c r="L878" s="108" t="s">
        <v>87</v>
      </c>
      <c r="M878" s="164" t="s">
        <v>88</v>
      </c>
      <c r="N878" s="117" t="s">
        <v>89</v>
      </c>
      <c r="O878" s="235" t="s">
        <v>90</v>
      </c>
    </row>
    <row r="879" spans="2:15" x14ac:dyDescent="0.25">
      <c r="B879" s="277">
        <v>255337</v>
      </c>
      <c r="C879" s="3" t="s">
        <v>26</v>
      </c>
      <c r="D879" s="285"/>
      <c r="E879" s="52"/>
      <c r="F879" s="49"/>
      <c r="G879" s="49"/>
      <c r="H879" s="52"/>
      <c r="I879" s="52"/>
      <c r="J879" s="52"/>
      <c r="K879" s="52"/>
      <c r="L879" s="138">
        <f t="shared" ref="L879:L886" si="196">SUM(F879:K879)</f>
        <v>0</v>
      </c>
      <c r="M879" s="143">
        <f>+SUM(D879:E879)-L879</f>
        <v>0</v>
      </c>
      <c r="N879" s="121">
        <f t="shared" ref="N879:N899" si="197">IF(L879=0,0,IFERROR(L879/D879,"REQ ADICIONAL"))</f>
        <v>0</v>
      </c>
      <c r="O879" s="186">
        <f>IFERROR(L879/SUM(D879:E879),0)</f>
        <v>0</v>
      </c>
    </row>
    <row r="880" spans="2:15" x14ac:dyDescent="0.25">
      <c r="B880" s="277">
        <v>254851</v>
      </c>
      <c r="C880" s="3" t="s">
        <v>1</v>
      </c>
      <c r="D880" s="229">
        <v>720</v>
      </c>
      <c r="E880" s="55"/>
      <c r="F880" s="49"/>
      <c r="G880" s="49">
        <v>180</v>
      </c>
      <c r="H880" s="52"/>
      <c r="I880" s="52"/>
      <c r="J880" s="52"/>
      <c r="K880" s="52"/>
      <c r="L880" s="138">
        <f t="shared" si="196"/>
        <v>180</v>
      </c>
      <c r="M880" s="143">
        <f t="shared" ref="M880:M886" si="198">+SUM(D880:E880)-L880</f>
        <v>540</v>
      </c>
      <c r="N880" s="121">
        <f t="shared" si="197"/>
        <v>0.25</v>
      </c>
      <c r="O880" s="186">
        <f t="shared" ref="O880:O900" si="199">IFERROR(L880/SUM(D880:E880),0)</f>
        <v>0.25</v>
      </c>
    </row>
    <row r="881" spans="2:15" x14ac:dyDescent="0.25">
      <c r="B881" s="277">
        <v>254853</v>
      </c>
      <c r="C881" s="3" t="s">
        <v>2</v>
      </c>
      <c r="D881" s="229">
        <v>180</v>
      </c>
      <c r="E881" s="55"/>
      <c r="F881" s="49"/>
      <c r="G881" s="49"/>
      <c r="H881" s="52"/>
      <c r="I881" s="52"/>
      <c r="J881" s="52"/>
      <c r="K881" s="52"/>
      <c r="L881" s="138">
        <f t="shared" si="196"/>
        <v>0</v>
      </c>
      <c r="M881" s="143">
        <f t="shared" si="198"/>
        <v>180</v>
      </c>
      <c r="N881" s="121">
        <f t="shared" si="197"/>
        <v>0</v>
      </c>
      <c r="O881" s="186">
        <f t="shared" si="199"/>
        <v>0</v>
      </c>
    </row>
    <row r="882" spans="2:15" x14ac:dyDescent="0.25">
      <c r="B882" s="277">
        <v>254850</v>
      </c>
      <c r="C882" s="3" t="s">
        <v>3</v>
      </c>
      <c r="D882" s="229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8">
        <f t="shared" si="196"/>
        <v>1380</v>
      </c>
      <c r="M882" s="143">
        <f t="shared" si="198"/>
        <v>180</v>
      </c>
      <c r="N882" s="121">
        <f t="shared" si="197"/>
        <v>0.88461538461538458</v>
      </c>
      <c r="O882" s="186">
        <f t="shared" si="199"/>
        <v>0.88461538461538458</v>
      </c>
    </row>
    <row r="883" spans="2:15" x14ac:dyDescent="0.25">
      <c r="B883" s="278">
        <v>251385</v>
      </c>
      <c r="C883" s="3" t="s">
        <v>4</v>
      </c>
      <c r="D883" s="229">
        <v>1600</v>
      </c>
      <c r="E883" s="63"/>
      <c r="F883" s="49"/>
      <c r="G883" s="49"/>
      <c r="H883" s="52"/>
      <c r="I883" s="52"/>
      <c r="J883" s="52"/>
      <c r="K883" s="52"/>
      <c r="L883" s="138">
        <f t="shared" si="196"/>
        <v>0</v>
      </c>
      <c r="M883" s="143">
        <f t="shared" si="198"/>
        <v>1600</v>
      </c>
      <c r="N883" s="121">
        <f t="shared" si="197"/>
        <v>0</v>
      </c>
      <c r="O883" s="186">
        <f t="shared" si="199"/>
        <v>0</v>
      </c>
    </row>
    <row r="884" spans="2:15" x14ac:dyDescent="0.25">
      <c r="B884" s="278">
        <v>251196</v>
      </c>
      <c r="C884" s="3" t="s">
        <v>5</v>
      </c>
      <c r="D884" s="229">
        <v>240</v>
      </c>
      <c r="E884" s="63"/>
      <c r="F884" s="49"/>
      <c r="G884" s="49"/>
      <c r="H884" s="52"/>
      <c r="I884" s="52"/>
      <c r="J884" s="52"/>
      <c r="K884" s="52"/>
      <c r="L884" s="138">
        <f t="shared" si="196"/>
        <v>0</v>
      </c>
      <c r="M884" s="143">
        <f t="shared" si="198"/>
        <v>240</v>
      </c>
      <c r="N884" s="121">
        <f t="shared" si="197"/>
        <v>0</v>
      </c>
      <c r="O884" s="186">
        <f t="shared" si="199"/>
        <v>0</v>
      </c>
    </row>
    <row r="885" spans="2:15" x14ac:dyDescent="0.25">
      <c r="B885" s="278">
        <v>250524</v>
      </c>
      <c r="C885" s="3" t="s">
        <v>6</v>
      </c>
      <c r="D885" s="229">
        <v>800</v>
      </c>
      <c r="E885" s="63"/>
      <c r="F885" s="49"/>
      <c r="G885" s="49"/>
      <c r="H885" s="52">
        <v>80</v>
      </c>
      <c r="I885" s="52">
        <v>80</v>
      </c>
      <c r="J885" s="52"/>
      <c r="K885" s="52"/>
      <c r="L885" s="138">
        <f t="shared" si="196"/>
        <v>160</v>
      </c>
      <c r="M885" s="143">
        <f t="shared" si="198"/>
        <v>640</v>
      </c>
      <c r="N885" s="121">
        <f t="shared" si="197"/>
        <v>0.2</v>
      </c>
      <c r="O885" s="186">
        <f t="shared" si="199"/>
        <v>0.2</v>
      </c>
    </row>
    <row r="886" spans="2:15" x14ac:dyDescent="0.25">
      <c r="B886" s="278">
        <v>252534</v>
      </c>
      <c r="C886" s="3" t="s">
        <v>7</v>
      </c>
      <c r="D886" s="229">
        <v>675</v>
      </c>
      <c r="E886" s="63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8">
        <f t="shared" si="196"/>
        <v>900</v>
      </c>
      <c r="M886" s="143">
        <f t="shared" si="198"/>
        <v>0</v>
      </c>
      <c r="N886" s="121">
        <f t="shared" si="197"/>
        <v>1.3333333333333333</v>
      </c>
      <c r="O886" s="186">
        <f t="shared" si="199"/>
        <v>1</v>
      </c>
    </row>
    <row r="887" spans="2:15" x14ac:dyDescent="0.25">
      <c r="B887" s="277">
        <v>254849</v>
      </c>
      <c r="C887" s="3" t="s">
        <v>0</v>
      </c>
      <c r="D887" s="229">
        <v>540</v>
      </c>
      <c r="E887" s="63"/>
      <c r="F887" s="49">
        <v>180</v>
      </c>
      <c r="G887" s="49"/>
      <c r="H887" s="52">
        <v>180</v>
      </c>
      <c r="I887" s="52"/>
      <c r="J887" s="52"/>
      <c r="K887" s="52"/>
      <c r="L887" s="138">
        <f t="shared" ref="L887:L903" si="200">SUM(F887:K887)</f>
        <v>360</v>
      </c>
      <c r="M887" s="143">
        <f t="shared" ref="M887:M909" si="201">+SUM(D887:E887)-L887</f>
        <v>180</v>
      </c>
      <c r="N887" s="121">
        <f t="shared" si="197"/>
        <v>0.66666666666666663</v>
      </c>
      <c r="O887" s="186">
        <f t="shared" si="199"/>
        <v>0.66666666666666663</v>
      </c>
    </row>
    <row r="888" spans="2:15" x14ac:dyDescent="0.25">
      <c r="B888" s="278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8">
        <f t="shared" si="200"/>
        <v>0</v>
      </c>
      <c r="M888" s="143">
        <f t="shared" si="201"/>
        <v>180</v>
      </c>
      <c r="N888" s="121">
        <f t="shared" si="197"/>
        <v>0</v>
      </c>
      <c r="O888" s="186">
        <f t="shared" si="199"/>
        <v>0</v>
      </c>
    </row>
    <row r="889" spans="2:15" x14ac:dyDescent="0.25">
      <c r="B889" s="277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8">
        <f t="shared" si="200"/>
        <v>450</v>
      </c>
      <c r="M889" s="143">
        <f t="shared" si="201"/>
        <v>450</v>
      </c>
      <c r="N889" s="121">
        <f t="shared" si="197"/>
        <v>0.5</v>
      </c>
      <c r="O889" s="187">
        <f t="shared" si="199"/>
        <v>0.5</v>
      </c>
    </row>
    <row r="890" spans="2:15" x14ac:dyDescent="0.25">
      <c r="B890" s="278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8">
        <f t="shared" si="200"/>
        <v>840</v>
      </c>
      <c r="M890" s="143">
        <f t="shared" si="201"/>
        <v>840</v>
      </c>
      <c r="N890" s="121">
        <f t="shared" si="197"/>
        <v>0.5</v>
      </c>
      <c r="O890" s="187">
        <f t="shared" si="199"/>
        <v>0.5</v>
      </c>
    </row>
    <row r="891" spans="2:15" x14ac:dyDescent="0.25">
      <c r="B891" s="278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8">
        <f t="shared" si="200"/>
        <v>0</v>
      </c>
      <c r="M891" s="143">
        <f t="shared" si="201"/>
        <v>0</v>
      </c>
      <c r="N891" s="121">
        <f t="shared" si="197"/>
        <v>0</v>
      </c>
      <c r="O891" s="187">
        <f t="shared" si="199"/>
        <v>0</v>
      </c>
    </row>
    <row r="892" spans="2:15" x14ac:dyDescent="0.25">
      <c r="B892" s="279">
        <v>255341</v>
      </c>
      <c r="C892" s="3" t="s">
        <v>50</v>
      </c>
      <c r="D892" s="55">
        <v>675</v>
      </c>
      <c r="E892" s="63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8">
        <f t="shared" si="200"/>
        <v>675</v>
      </c>
      <c r="M892" s="143">
        <f t="shared" si="201"/>
        <v>0</v>
      </c>
      <c r="N892" s="121">
        <f t="shared" si="197"/>
        <v>1</v>
      </c>
      <c r="O892" s="187">
        <f t="shared" si="199"/>
        <v>1</v>
      </c>
    </row>
    <row r="893" spans="2:15" x14ac:dyDescent="0.25">
      <c r="B893" s="279">
        <v>255349</v>
      </c>
      <c r="C893" s="3" t="s">
        <v>57</v>
      </c>
      <c r="D893" s="55"/>
      <c r="E893" s="63"/>
      <c r="F893" s="49"/>
      <c r="G893" s="49"/>
      <c r="H893" s="52"/>
      <c r="I893" s="52"/>
      <c r="J893" s="52"/>
      <c r="K893" s="52"/>
      <c r="L893" s="138">
        <f t="shared" si="200"/>
        <v>0</v>
      </c>
      <c r="M893" s="143">
        <f t="shared" si="201"/>
        <v>0</v>
      </c>
      <c r="N893" s="121">
        <f t="shared" si="197"/>
        <v>0</v>
      </c>
      <c r="O893" s="187">
        <f t="shared" si="199"/>
        <v>0</v>
      </c>
    </row>
    <row r="894" spans="2:15" x14ac:dyDescent="0.25">
      <c r="B894" s="277">
        <v>254963</v>
      </c>
      <c r="C894" s="3" t="s">
        <v>27</v>
      </c>
      <c r="D894" s="55">
        <v>225</v>
      </c>
      <c r="E894" s="63"/>
      <c r="F894" s="49"/>
      <c r="G894" s="49"/>
      <c r="H894" s="52"/>
      <c r="I894" s="52"/>
      <c r="J894" s="52"/>
      <c r="K894" s="52"/>
      <c r="L894" s="138">
        <f t="shared" si="200"/>
        <v>0</v>
      </c>
      <c r="M894" s="143">
        <f t="shared" si="201"/>
        <v>225</v>
      </c>
      <c r="N894" s="121">
        <f t="shared" si="197"/>
        <v>0</v>
      </c>
      <c r="O894" s="187">
        <f t="shared" si="199"/>
        <v>0</v>
      </c>
    </row>
    <row r="895" spans="2:15" x14ac:dyDescent="0.25">
      <c r="B895" s="278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8">
        <f t="shared" si="200"/>
        <v>360</v>
      </c>
      <c r="M895" s="143">
        <f t="shared" si="201"/>
        <v>0</v>
      </c>
      <c r="N895" s="121">
        <f t="shared" si="197"/>
        <v>2</v>
      </c>
      <c r="O895" s="187">
        <f t="shared" si="199"/>
        <v>1</v>
      </c>
    </row>
    <row r="896" spans="2:15" x14ac:dyDescent="0.25">
      <c r="B896" s="277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8">
        <f t="shared" si="200"/>
        <v>0</v>
      </c>
      <c r="M896" s="143">
        <f t="shared" si="201"/>
        <v>180</v>
      </c>
      <c r="N896" s="121">
        <f t="shared" si="197"/>
        <v>0</v>
      </c>
      <c r="O896" s="187">
        <f t="shared" si="199"/>
        <v>0</v>
      </c>
    </row>
    <row r="897" spans="2:15" x14ac:dyDescent="0.25">
      <c r="B897" s="279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8">
        <f t="shared" si="200"/>
        <v>0</v>
      </c>
      <c r="M897" s="143">
        <f t="shared" si="201"/>
        <v>0</v>
      </c>
      <c r="N897" s="121">
        <f t="shared" si="197"/>
        <v>0</v>
      </c>
      <c r="O897" s="187">
        <f t="shared" si="199"/>
        <v>0</v>
      </c>
    </row>
    <row r="898" spans="2:15" x14ac:dyDescent="0.25">
      <c r="B898" s="277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8">
        <f t="shared" si="200"/>
        <v>0</v>
      </c>
      <c r="M898" s="143">
        <f t="shared" si="201"/>
        <v>0</v>
      </c>
      <c r="N898" s="121">
        <f t="shared" si="197"/>
        <v>0</v>
      </c>
      <c r="O898" s="187">
        <f t="shared" si="199"/>
        <v>0</v>
      </c>
    </row>
    <row r="899" spans="2:15" x14ac:dyDescent="0.25">
      <c r="B899" s="277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8">
        <f t="shared" si="200"/>
        <v>0</v>
      </c>
      <c r="M899" s="143">
        <f t="shared" si="201"/>
        <v>0</v>
      </c>
      <c r="N899" s="121">
        <f t="shared" si="197"/>
        <v>0</v>
      </c>
      <c r="O899" s="187">
        <f t="shared" si="199"/>
        <v>0</v>
      </c>
    </row>
    <row r="900" spans="2:15" x14ac:dyDescent="0.25">
      <c r="B900" s="277">
        <v>255382</v>
      </c>
      <c r="C900" s="295" t="s">
        <v>56</v>
      </c>
      <c r="D900" s="52"/>
      <c r="E900" s="52"/>
      <c r="F900" s="49"/>
      <c r="G900" s="49"/>
      <c r="H900" s="55"/>
      <c r="I900" s="55"/>
      <c r="J900" s="55"/>
      <c r="K900" s="52"/>
      <c r="L900" s="138">
        <f t="shared" si="200"/>
        <v>0</v>
      </c>
      <c r="M900" s="143">
        <f t="shared" si="201"/>
        <v>0</v>
      </c>
      <c r="N900" s="121">
        <f>IF(L900=0,0,IFERROR(L900/D900,"REQ ADICIONAL"))</f>
        <v>0</v>
      </c>
      <c r="O900" s="186">
        <f t="shared" si="199"/>
        <v>0</v>
      </c>
    </row>
    <row r="901" spans="2:15" x14ac:dyDescent="0.25">
      <c r="B901" s="277">
        <v>256319</v>
      </c>
      <c r="C901" s="295" t="s">
        <v>69</v>
      </c>
      <c r="D901" s="52"/>
      <c r="E901" s="52"/>
      <c r="F901" s="49"/>
      <c r="G901" s="49"/>
      <c r="H901" s="55"/>
      <c r="I901" s="55"/>
      <c r="J901" s="55"/>
      <c r="K901" s="55"/>
      <c r="L901" s="138">
        <f t="shared" si="200"/>
        <v>0</v>
      </c>
      <c r="M901" s="143">
        <f t="shared" si="201"/>
        <v>0</v>
      </c>
      <c r="N901" s="121">
        <f t="shared" ref="N901:N909" si="202">IF(L901=0,0,IFERROR(L901/D901,"REQ ADICIONAL"))</f>
        <v>0</v>
      </c>
      <c r="O901" s="186">
        <f t="shared" ref="O901:O909" si="203">IFERROR(L901/SUM(D901:E901),0)</f>
        <v>0</v>
      </c>
    </row>
    <row r="902" spans="2:15" x14ac:dyDescent="0.25">
      <c r="B902" s="277">
        <v>255417</v>
      </c>
      <c r="C902" s="295" t="s">
        <v>75</v>
      </c>
      <c r="D902" s="92"/>
      <c r="E902" s="92"/>
      <c r="F902" s="50"/>
      <c r="G902" s="50"/>
      <c r="H902" s="57"/>
      <c r="I902" s="57"/>
      <c r="J902" s="57"/>
      <c r="K902" s="57"/>
      <c r="L902" s="138">
        <f t="shared" si="200"/>
        <v>0</v>
      </c>
      <c r="M902" s="143">
        <f t="shared" si="201"/>
        <v>0</v>
      </c>
      <c r="N902" s="121">
        <f t="shared" si="202"/>
        <v>0</v>
      </c>
      <c r="O902" s="186">
        <f t="shared" si="203"/>
        <v>0</v>
      </c>
    </row>
    <row r="903" spans="2:15" x14ac:dyDescent="0.25">
      <c r="B903" s="277">
        <v>255418</v>
      </c>
      <c r="C903" s="295" t="s">
        <v>76</v>
      </c>
      <c r="D903" s="92"/>
      <c r="E903" s="92"/>
      <c r="F903" s="50"/>
      <c r="G903" s="50"/>
      <c r="H903" s="57"/>
      <c r="I903" s="57"/>
      <c r="J903" s="57"/>
      <c r="K903" s="57"/>
      <c r="L903" s="138">
        <f t="shared" si="200"/>
        <v>0</v>
      </c>
      <c r="M903" s="143">
        <f t="shared" si="201"/>
        <v>0</v>
      </c>
      <c r="N903" s="121">
        <f t="shared" si="202"/>
        <v>0</v>
      </c>
      <c r="O903" s="186">
        <f t="shared" si="203"/>
        <v>0</v>
      </c>
    </row>
    <row r="904" spans="2:15" x14ac:dyDescent="0.25">
      <c r="B904" s="277">
        <v>256329</v>
      </c>
      <c r="C904" s="289" t="s">
        <v>81</v>
      </c>
      <c r="D904" s="92">
        <v>260</v>
      </c>
      <c r="E904" s="92"/>
      <c r="F904" s="50"/>
      <c r="G904" s="50"/>
      <c r="H904" s="57"/>
      <c r="I904" s="57"/>
      <c r="J904" s="57"/>
      <c r="K904" s="57"/>
      <c r="L904" s="138">
        <f t="shared" ref="L904:L909" si="204">SUM(F904:K904)</f>
        <v>0</v>
      </c>
      <c r="M904" s="143">
        <f t="shared" si="201"/>
        <v>260</v>
      </c>
      <c r="N904" s="121">
        <f t="shared" si="202"/>
        <v>0</v>
      </c>
      <c r="O904" s="186">
        <f t="shared" si="203"/>
        <v>0</v>
      </c>
    </row>
    <row r="905" spans="2:15" x14ac:dyDescent="0.25">
      <c r="B905" s="277">
        <v>256330</v>
      </c>
      <c r="C905" s="289" t="s">
        <v>82</v>
      </c>
      <c r="D905" s="92">
        <v>240</v>
      </c>
      <c r="E905" s="92">
        <v>240</v>
      </c>
      <c r="F905" s="50"/>
      <c r="G905" s="50"/>
      <c r="H905" s="57"/>
      <c r="I905" s="57">
        <v>240</v>
      </c>
      <c r="J905" s="57">
        <v>240</v>
      </c>
      <c r="K905" s="57"/>
      <c r="L905" s="138">
        <f t="shared" si="204"/>
        <v>480</v>
      </c>
      <c r="M905" s="143">
        <f t="shared" si="201"/>
        <v>0</v>
      </c>
      <c r="N905" s="121">
        <f t="shared" si="202"/>
        <v>2</v>
      </c>
      <c r="O905" s="186">
        <f t="shared" si="203"/>
        <v>1</v>
      </c>
    </row>
    <row r="906" spans="2:15" x14ac:dyDescent="0.25">
      <c r="B906" s="277">
        <v>256331</v>
      </c>
      <c r="C906" s="289" t="s">
        <v>115</v>
      </c>
      <c r="D906" s="92">
        <v>260</v>
      </c>
      <c r="E906" s="92"/>
      <c r="F906" s="50"/>
      <c r="G906" s="50">
        <v>260</v>
      </c>
      <c r="H906" s="57"/>
      <c r="I906" s="57"/>
      <c r="J906" s="57"/>
      <c r="K906" s="57"/>
      <c r="L906" s="138">
        <f t="shared" si="204"/>
        <v>260</v>
      </c>
      <c r="M906" s="143">
        <f t="shared" si="201"/>
        <v>0</v>
      </c>
      <c r="N906" s="121">
        <f t="shared" si="202"/>
        <v>1</v>
      </c>
      <c r="O906" s="186">
        <f t="shared" si="203"/>
        <v>1</v>
      </c>
    </row>
    <row r="907" spans="2:15" x14ac:dyDescent="0.25">
      <c r="B907" s="277">
        <v>256332</v>
      </c>
      <c r="C907" s="289" t="s">
        <v>116</v>
      </c>
      <c r="D907" s="92">
        <v>240</v>
      </c>
      <c r="E907" s="92"/>
      <c r="F907" s="50"/>
      <c r="G907" s="50">
        <v>240</v>
      </c>
      <c r="H907" s="57"/>
      <c r="I907" s="57"/>
      <c r="J907" s="57"/>
      <c r="K907" s="57"/>
      <c r="L907" s="138">
        <f t="shared" si="204"/>
        <v>240</v>
      </c>
      <c r="M907" s="143">
        <f t="shared" si="201"/>
        <v>0</v>
      </c>
      <c r="N907" s="121">
        <f t="shared" si="202"/>
        <v>1</v>
      </c>
      <c r="O907" s="186">
        <f t="shared" si="203"/>
        <v>1</v>
      </c>
    </row>
    <row r="908" spans="2:15" x14ac:dyDescent="0.25">
      <c r="B908" s="277">
        <v>251519</v>
      </c>
      <c r="C908" s="99" t="s">
        <v>84</v>
      </c>
      <c r="D908" s="92">
        <v>2720</v>
      </c>
      <c r="E908" s="92"/>
      <c r="F908" s="50"/>
      <c r="G908" s="50">
        <v>160</v>
      </c>
      <c r="H908" s="57"/>
      <c r="I908" s="57"/>
      <c r="J908" s="57"/>
      <c r="K908" s="57"/>
      <c r="L908" s="138">
        <f t="shared" si="204"/>
        <v>160</v>
      </c>
      <c r="M908" s="143">
        <f t="shared" si="201"/>
        <v>2560</v>
      </c>
      <c r="N908" s="121">
        <f t="shared" si="202"/>
        <v>5.8823529411764705E-2</v>
      </c>
      <c r="O908" s="186">
        <f t="shared" si="203"/>
        <v>5.8823529411764705E-2</v>
      </c>
    </row>
    <row r="909" spans="2:15" x14ac:dyDescent="0.25">
      <c r="B909" s="277">
        <v>256375</v>
      </c>
      <c r="C909" s="99" t="s">
        <v>83</v>
      </c>
      <c r="D909" s="92"/>
      <c r="E909" s="92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8">
        <f t="shared" si="204"/>
        <v>6840</v>
      </c>
      <c r="M909" s="143">
        <f t="shared" si="201"/>
        <v>0</v>
      </c>
      <c r="N909" s="121" t="str">
        <f t="shared" si="202"/>
        <v>REQ ADICIONAL</v>
      </c>
      <c r="O909" s="186">
        <f t="shared" si="203"/>
        <v>1</v>
      </c>
    </row>
    <row r="910" spans="2:15" ht="16.5" thickBot="1" x14ac:dyDescent="0.3">
      <c r="B910" s="675" t="s">
        <v>87</v>
      </c>
      <c r="C910" s="674"/>
      <c r="D910" s="236">
        <f t="shared" ref="D910:M910" si="205">SUM(D879:D909)</f>
        <v>14055</v>
      </c>
      <c r="E910" s="283">
        <f t="shared" si="205"/>
        <v>7485</v>
      </c>
      <c r="F910" s="238">
        <f t="shared" si="205"/>
        <v>1570</v>
      </c>
      <c r="G910" s="238">
        <f t="shared" si="205"/>
        <v>1700</v>
      </c>
      <c r="H910" s="238">
        <f t="shared" si="205"/>
        <v>2166</v>
      </c>
      <c r="I910" s="238">
        <f t="shared" si="205"/>
        <v>2334</v>
      </c>
      <c r="J910" s="238">
        <f t="shared" si="205"/>
        <v>2960</v>
      </c>
      <c r="K910" s="238">
        <f t="shared" si="205"/>
        <v>2555</v>
      </c>
      <c r="L910" s="236">
        <f t="shared" si="205"/>
        <v>13285</v>
      </c>
      <c r="M910" s="284">
        <f t="shared" si="205"/>
        <v>8255</v>
      </c>
      <c r="N910" s="241">
        <f>L910/D910</f>
        <v>0.94521522589825679</v>
      </c>
      <c r="O910" s="242">
        <f>+L910/SUM(D910:E910)</f>
        <v>0.61675951717734445</v>
      </c>
    </row>
    <row r="911" spans="2:15" ht="15.75" thickBot="1" x14ac:dyDescent="0.3"/>
    <row r="912" spans="2:15" ht="18.75" x14ac:dyDescent="0.25">
      <c r="B912" s="670" t="s">
        <v>123</v>
      </c>
      <c r="C912" s="671"/>
      <c r="D912" s="671"/>
      <c r="E912" s="671"/>
      <c r="F912" s="671"/>
      <c r="G912" s="671"/>
      <c r="H912" s="671"/>
      <c r="I912" s="671"/>
      <c r="J912" s="671"/>
      <c r="K912" s="671"/>
      <c r="L912" s="671"/>
      <c r="M912" s="671"/>
      <c r="N912" s="671"/>
      <c r="O912" s="672"/>
    </row>
    <row r="913" spans="2:15" ht="30.75" thickBot="1" x14ac:dyDescent="0.3">
      <c r="B913" s="298" t="s">
        <v>34</v>
      </c>
      <c r="C913" s="30" t="s">
        <v>9</v>
      </c>
      <c r="D913" s="299" t="s">
        <v>85</v>
      </c>
      <c r="E913" s="163" t="s">
        <v>86</v>
      </c>
      <c r="F913" s="117">
        <v>43071</v>
      </c>
      <c r="G913" s="117">
        <f>+F913+2</f>
        <v>43073</v>
      </c>
      <c r="H913" s="117">
        <f>+G913+1</f>
        <v>43074</v>
      </c>
      <c r="I913" s="117">
        <f>+H913+1</f>
        <v>43075</v>
      </c>
      <c r="J913" s="117">
        <f>+I913+1</f>
        <v>43076</v>
      </c>
      <c r="K913" s="117">
        <f>+J913+1</f>
        <v>43077</v>
      </c>
      <c r="L913" s="299" t="s">
        <v>87</v>
      </c>
      <c r="M913" s="164" t="s">
        <v>88</v>
      </c>
      <c r="N913" s="117" t="s">
        <v>89</v>
      </c>
      <c r="O913" s="235" t="s">
        <v>90</v>
      </c>
    </row>
    <row r="914" spans="2:15" x14ac:dyDescent="0.25">
      <c r="B914" s="112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8">
        <f t="shared" ref="L914:L921" si="206">SUM(F914:K914)</f>
        <v>0</v>
      </c>
      <c r="M914" s="143">
        <f>+SUM(D914:E914)-L914</f>
        <v>180</v>
      </c>
      <c r="N914" s="121">
        <f t="shared" ref="N914:N932" si="207">IF(L914=0,0,IFERROR(L914/D914,"REQ ADICIONAL"))</f>
        <v>0</v>
      </c>
      <c r="O914" s="186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300"/>
      <c r="I915" s="52"/>
      <c r="J915" s="52"/>
      <c r="K915" s="52"/>
      <c r="L915" s="138">
        <f t="shared" si="206"/>
        <v>0</v>
      </c>
      <c r="M915" s="143">
        <f t="shared" ref="M915:M921" si="208">+SUM(D915:E915)-L915</f>
        <v>180</v>
      </c>
      <c r="N915" s="121">
        <f t="shared" si="207"/>
        <v>0</v>
      </c>
      <c r="O915" s="186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1">
        <v>240</v>
      </c>
      <c r="H916" s="300">
        <f>5*60</f>
        <v>300</v>
      </c>
      <c r="I916" s="52">
        <f>8*60</f>
        <v>480</v>
      </c>
      <c r="J916" s="52">
        <f>60*6</f>
        <v>360</v>
      </c>
      <c r="K916" s="52"/>
      <c r="L916" s="138">
        <f t="shared" si="206"/>
        <v>1620</v>
      </c>
      <c r="M916" s="143">
        <f t="shared" si="208"/>
        <v>60</v>
      </c>
      <c r="N916" s="121">
        <f t="shared" si="207"/>
        <v>0.9642857142857143</v>
      </c>
      <c r="O916" s="186">
        <f t="shared" si="209"/>
        <v>0.9642857142857143</v>
      </c>
    </row>
    <row r="917" spans="2:15" x14ac:dyDescent="0.25">
      <c r="B917" s="95">
        <v>251385</v>
      </c>
      <c r="C917" s="19" t="s">
        <v>4</v>
      </c>
      <c r="D917" s="3">
        <v>1200</v>
      </c>
      <c r="E917" s="3"/>
      <c r="F917" s="49"/>
      <c r="G917" s="49"/>
      <c r="H917" s="300"/>
      <c r="I917" s="52"/>
      <c r="J917" s="52">
        <f>80*8</f>
        <v>640</v>
      </c>
      <c r="K917" s="52"/>
      <c r="L917" s="138">
        <f t="shared" si="206"/>
        <v>640</v>
      </c>
      <c r="M917" s="143">
        <f t="shared" si="208"/>
        <v>560</v>
      </c>
      <c r="N917" s="121">
        <f t="shared" si="207"/>
        <v>0.53333333333333333</v>
      </c>
      <c r="O917" s="186">
        <f t="shared" si="209"/>
        <v>0.53333333333333333</v>
      </c>
    </row>
    <row r="918" spans="2:15" x14ac:dyDescent="0.25">
      <c r="B918" s="95">
        <v>251196</v>
      </c>
      <c r="C918" s="3" t="s">
        <v>5</v>
      </c>
      <c r="D918" s="3">
        <v>400</v>
      </c>
      <c r="E918" s="3"/>
      <c r="F918" s="49"/>
      <c r="G918" s="302">
        <v>10</v>
      </c>
      <c r="H918" s="300">
        <v>80</v>
      </c>
      <c r="I918" s="52">
        <f>80+70</f>
        <v>150</v>
      </c>
      <c r="J918" s="52"/>
      <c r="K918" s="52"/>
      <c r="L918" s="138">
        <f t="shared" si="206"/>
        <v>240</v>
      </c>
      <c r="M918" s="143">
        <f t="shared" si="208"/>
        <v>160</v>
      </c>
      <c r="N918" s="121">
        <f t="shared" si="207"/>
        <v>0.6</v>
      </c>
      <c r="O918" s="186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300">
        <v>80</v>
      </c>
      <c r="I919" s="52">
        <v>80</v>
      </c>
      <c r="J919" s="52">
        <v>80</v>
      </c>
      <c r="K919" s="52"/>
      <c r="L919" s="138">
        <f t="shared" si="206"/>
        <v>240</v>
      </c>
      <c r="M919" s="143">
        <f t="shared" si="208"/>
        <v>80</v>
      </c>
      <c r="N919" s="121">
        <f t="shared" si="207"/>
        <v>0.75</v>
      </c>
      <c r="O919" s="186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300">
        <v>225</v>
      </c>
      <c r="I920" s="52">
        <v>225</v>
      </c>
      <c r="J920" s="52">
        <v>225</v>
      </c>
      <c r="K920" s="52"/>
      <c r="L920" s="138">
        <f t="shared" si="206"/>
        <v>675</v>
      </c>
      <c r="M920" s="143">
        <f t="shared" si="208"/>
        <v>0</v>
      </c>
      <c r="N920" s="121">
        <f t="shared" si="207"/>
        <v>1</v>
      </c>
      <c r="O920" s="186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300"/>
      <c r="I921" s="52"/>
      <c r="J921" s="52"/>
      <c r="K921" s="52"/>
      <c r="L921" s="138">
        <f t="shared" si="206"/>
        <v>260</v>
      </c>
      <c r="M921" s="143">
        <f t="shared" si="208"/>
        <v>0</v>
      </c>
      <c r="N921" s="121">
        <f t="shared" si="207"/>
        <v>1</v>
      </c>
      <c r="O921" s="186">
        <f t="shared" si="209"/>
        <v>1</v>
      </c>
    </row>
    <row r="922" spans="2:15" x14ac:dyDescent="0.25">
      <c r="B922" s="95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300"/>
      <c r="I922" s="52"/>
      <c r="J922" s="52"/>
      <c r="K922" s="52"/>
      <c r="L922" s="138">
        <f t="shared" ref="L922:L932" si="210">SUM(F922:K922)</f>
        <v>520</v>
      </c>
      <c r="M922" s="143">
        <f t="shared" ref="M922:M932" si="211">+SUM(D922:E922)-L922</f>
        <v>0</v>
      </c>
      <c r="N922" s="121">
        <f t="shared" si="207"/>
        <v>2</v>
      </c>
      <c r="O922" s="186">
        <f t="shared" si="209"/>
        <v>1</v>
      </c>
    </row>
    <row r="923" spans="2:15" x14ac:dyDescent="0.25">
      <c r="B923" s="95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8">
        <f t="shared" si="210"/>
        <v>225</v>
      </c>
      <c r="M923" s="143">
        <f t="shared" si="211"/>
        <v>0</v>
      </c>
      <c r="N923" s="121">
        <f t="shared" si="207"/>
        <v>1</v>
      </c>
      <c r="O923" s="186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8">
        <f t="shared" si="210"/>
        <v>0</v>
      </c>
      <c r="M924" s="143">
        <f t="shared" si="211"/>
        <v>180</v>
      </c>
      <c r="N924" s="121">
        <f t="shared" si="207"/>
        <v>0</v>
      </c>
      <c r="O924" s="187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8">
        <f t="shared" si="210"/>
        <v>240</v>
      </c>
      <c r="M925" s="143">
        <f t="shared" si="211"/>
        <v>0</v>
      </c>
      <c r="N925" s="121">
        <f t="shared" si="207"/>
        <v>1</v>
      </c>
      <c r="O925" s="187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8">
        <f t="shared" si="210"/>
        <v>0</v>
      </c>
      <c r="M926" s="143">
        <f t="shared" si="211"/>
        <v>225</v>
      </c>
      <c r="N926" s="121">
        <f t="shared" si="207"/>
        <v>0</v>
      </c>
      <c r="O926" s="187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8">
        <f t="shared" si="210"/>
        <v>225</v>
      </c>
      <c r="M927" s="143">
        <f t="shared" si="211"/>
        <v>225</v>
      </c>
      <c r="N927" s="121">
        <f t="shared" si="207"/>
        <v>0.5</v>
      </c>
      <c r="O927" s="187">
        <f t="shared" si="209"/>
        <v>0.5</v>
      </c>
    </row>
    <row r="928" spans="2:15" x14ac:dyDescent="0.25">
      <c r="B928" s="95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8">
        <f t="shared" si="210"/>
        <v>675</v>
      </c>
      <c r="M928" s="143">
        <f t="shared" si="211"/>
        <v>0</v>
      </c>
      <c r="N928" s="121">
        <f t="shared" si="207"/>
        <v>1.5</v>
      </c>
      <c r="O928" s="187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8">
        <f t="shared" si="210"/>
        <v>0</v>
      </c>
      <c r="M929" s="143">
        <f t="shared" si="211"/>
        <v>1200</v>
      </c>
      <c r="N929" s="121">
        <f t="shared" si="207"/>
        <v>0</v>
      </c>
      <c r="O929" s="187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8">
        <f t="shared" si="210"/>
        <v>0</v>
      </c>
      <c r="M930" s="143">
        <f t="shared" si="211"/>
        <v>1520</v>
      </c>
      <c r="N930" s="121">
        <f t="shared" si="207"/>
        <v>0</v>
      </c>
      <c r="O930" s="187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2"/>
      <c r="I931" s="92">
        <v>180</v>
      </c>
      <c r="J931" s="92"/>
      <c r="K931" s="92"/>
      <c r="L931" s="138">
        <f t="shared" si="210"/>
        <v>180</v>
      </c>
      <c r="M931" s="143">
        <f t="shared" si="211"/>
        <v>0</v>
      </c>
      <c r="N931" s="121" t="str">
        <f t="shared" si="207"/>
        <v>REQ ADICIONAL</v>
      </c>
      <c r="O931" s="187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8"/>
      <c r="E932" s="33">
        <v>320</v>
      </c>
      <c r="F932" s="50"/>
      <c r="G932" s="50"/>
      <c r="H932" s="92"/>
      <c r="I932" s="92">
        <v>320</v>
      </c>
      <c r="J932" s="92"/>
      <c r="K932" s="92"/>
      <c r="L932" s="138">
        <f t="shared" si="210"/>
        <v>320</v>
      </c>
      <c r="M932" s="143">
        <f t="shared" si="211"/>
        <v>0</v>
      </c>
      <c r="N932" s="121" t="str">
        <f t="shared" si="207"/>
        <v>REQ ADICIONAL</v>
      </c>
      <c r="O932" s="187">
        <f t="shared" si="209"/>
        <v>1</v>
      </c>
    </row>
    <row r="933" spans="2:15" ht="16.5" thickBot="1" x14ac:dyDescent="0.3">
      <c r="D933" s="303">
        <f>SUM(D914:D932)</f>
        <v>9645</v>
      </c>
      <c r="E933" s="163">
        <f>SUM(E914:E932)</f>
        <v>985</v>
      </c>
      <c r="F933" s="238">
        <f t="shared" ref="F933:M933" si="212">SUM(F914:F932)</f>
        <v>500</v>
      </c>
      <c r="G933" s="238">
        <f t="shared" si="212"/>
        <v>770</v>
      </c>
      <c r="H933" s="238">
        <f t="shared" si="212"/>
        <v>910</v>
      </c>
      <c r="I933" s="238">
        <f t="shared" si="212"/>
        <v>1885</v>
      </c>
      <c r="J933" s="238">
        <f t="shared" si="212"/>
        <v>1995</v>
      </c>
      <c r="K933" s="238">
        <f t="shared" si="212"/>
        <v>0</v>
      </c>
      <c r="L933" s="236">
        <f t="shared" si="212"/>
        <v>6060</v>
      </c>
      <c r="M933" s="284">
        <f t="shared" si="212"/>
        <v>4570</v>
      </c>
      <c r="N933" s="241">
        <f>L933/D933</f>
        <v>0.6283048211508554</v>
      </c>
      <c r="O933" s="242">
        <f>L933/(SUM(D933:E933))</f>
        <v>0.5700846660395108</v>
      </c>
    </row>
    <row r="934" spans="2:15" ht="15.75" thickBot="1" x14ac:dyDescent="0.3"/>
    <row r="935" spans="2:15" ht="18.75" x14ac:dyDescent="0.25">
      <c r="B935" s="670" t="s">
        <v>125</v>
      </c>
      <c r="C935" s="671"/>
      <c r="D935" s="671"/>
      <c r="E935" s="671"/>
      <c r="F935" s="671"/>
      <c r="G935" s="671"/>
      <c r="H935" s="671"/>
      <c r="I935" s="671"/>
      <c r="J935" s="671"/>
      <c r="K935" s="671"/>
      <c r="L935" s="671"/>
      <c r="M935" s="671"/>
      <c r="N935" s="671"/>
      <c r="O935" s="672"/>
    </row>
    <row r="936" spans="2:15" ht="30.75" thickBot="1" x14ac:dyDescent="0.3">
      <c r="B936" s="305" t="s">
        <v>34</v>
      </c>
      <c r="C936" s="30" t="s">
        <v>9</v>
      </c>
      <c r="D936" s="306" t="s">
        <v>85</v>
      </c>
      <c r="E936" s="163" t="s">
        <v>86</v>
      </c>
      <c r="F936" s="117">
        <v>43078</v>
      </c>
      <c r="G936" s="117">
        <f>+F936+2</f>
        <v>43080</v>
      </c>
      <c r="H936" s="117">
        <f>+G936+1</f>
        <v>43081</v>
      </c>
      <c r="I936" s="117">
        <f>+H936+1</f>
        <v>43082</v>
      </c>
      <c r="J936" s="117">
        <f>+I936+1</f>
        <v>43083</v>
      </c>
      <c r="K936" s="117">
        <f>+J936+1</f>
        <v>43084</v>
      </c>
      <c r="L936" s="306" t="s">
        <v>87</v>
      </c>
      <c r="M936" s="164" t="s">
        <v>88</v>
      </c>
      <c r="N936" s="117" t="s">
        <v>89</v>
      </c>
      <c r="O936" s="235" t="s">
        <v>90</v>
      </c>
    </row>
    <row r="937" spans="2:15" x14ac:dyDescent="0.25">
      <c r="B937" s="112">
        <v>254851</v>
      </c>
      <c r="C937" s="6" t="s">
        <v>1</v>
      </c>
      <c r="D937" s="309">
        <v>360</v>
      </c>
      <c r="E937" s="309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8">
        <f t="shared" ref="L937:L944" si="213">SUM(F937:K937)</f>
        <v>720</v>
      </c>
      <c r="M937" s="143">
        <f>+SUM(D937:E937)-L937</f>
        <v>0</v>
      </c>
      <c r="N937" s="121">
        <f t="shared" ref="N937:N956" si="214">IF(L937=0,0,IFERROR(L937/D937,"REQ ADICIONAL"))</f>
        <v>2</v>
      </c>
      <c r="O937" s="186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300">
        <v>180</v>
      </c>
      <c r="I938" s="52">
        <v>180</v>
      </c>
      <c r="J938" s="52"/>
      <c r="K938" s="52">
        <v>180</v>
      </c>
      <c r="L938" s="138">
        <f t="shared" si="213"/>
        <v>720</v>
      </c>
      <c r="M938" s="143">
        <f t="shared" ref="M938:M944" si="215">+SUM(D938:E938)-L938</f>
        <v>0</v>
      </c>
      <c r="N938" s="121">
        <f t="shared" si="214"/>
        <v>4</v>
      </c>
      <c r="O938" s="186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7"/>
      <c r="H939" s="300">
        <v>600</v>
      </c>
      <c r="I939" s="52">
        <v>600</v>
      </c>
      <c r="J939" s="52">
        <v>780</v>
      </c>
      <c r="K939" s="52">
        <v>360</v>
      </c>
      <c r="L939" s="138">
        <f t="shared" si="213"/>
        <v>2580</v>
      </c>
      <c r="M939" s="143">
        <f t="shared" si="215"/>
        <v>0</v>
      </c>
      <c r="N939" s="121">
        <f t="shared" si="214"/>
        <v>5.375</v>
      </c>
      <c r="O939" s="186">
        <f t="shared" si="216"/>
        <v>1</v>
      </c>
    </row>
    <row r="940" spans="2:15" x14ac:dyDescent="0.25">
      <c r="B940" s="95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300"/>
      <c r="I940" s="52"/>
      <c r="J940" s="52"/>
      <c r="K940" s="52"/>
      <c r="L940" s="138">
        <f t="shared" si="213"/>
        <v>640</v>
      </c>
      <c r="M940" s="143">
        <f t="shared" si="215"/>
        <v>3520</v>
      </c>
      <c r="N940" s="121">
        <f t="shared" si="214"/>
        <v>0.15384615384615385</v>
      </c>
      <c r="O940" s="186">
        <f t="shared" si="216"/>
        <v>0.15384615384615385</v>
      </c>
    </row>
    <row r="941" spans="2:15" x14ac:dyDescent="0.25">
      <c r="B941" s="95">
        <v>251196</v>
      </c>
      <c r="C941" s="3" t="s">
        <v>5</v>
      </c>
      <c r="D941" s="52">
        <v>160</v>
      </c>
      <c r="E941" s="52"/>
      <c r="F941" s="52"/>
      <c r="G941" s="308"/>
      <c r="H941" s="300"/>
      <c r="I941" s="52"/>
      <c r="J941" s="52"/>
      <c r="K941" s="52"/>
      <c r="L941" s="138">
        <f t="shared" si="213"/>
        <v>0</v>
      </c>
      <c r="M941" s="143">
        <f t="shared" si="215"/>
        <v>160</v>
      </c>
      <c r="N941" s="121">
        <f t="shared" si="214"/>
        <v>0</v>
      </c>
      <c r="O941" s="186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300">
        <v>225</v>
      </c>
      <c r="I942" s="52"/>
      <c r="J942" s="52">
        <v>225</v>
      </c>
      <c r="K942" s="52"/>
      <c r="L942" s="138">
        <f t="shared" si="213"/>
        <v>1125</v>
      </c>
      <c r="M942" s="143">
        <f t="shared" si="215"/>
        <v>450</v>
      </c>
      <c r="N942" s="121">
        <f t="shared" si="214"/>
        <v>0.7142857142857143</v>
      </c>
      <c r="O942" s="186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300"/>
      <c r="I943" s="52"/>
      <c r="J943" s="52"/>
      <c r="K943" s="52"/>
      <c r="L943" s="138">
        <f t="shared" si="213"/>
        <v>520</v>
      </c>
      <c r="M943" s="143">
        <f t="shared" si="215"/>
        <v>0</v>
      </c>
      <c r="N943" s="121">
        <f t="shared" si="214"/>
        <v>1</v>
      </c>
      <c r="O943" s="186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300"/>
      <c r="I944" s="52"/>
      <c r="J944" s="52"/>
      <c r="K944" s="52"/>
      <c r="L944" s="138">
        <f t="shared" si="213"/>
        <v>260</v>
      </c>
      <c r="M944" s="143">
        <f t="shared" si="215"/>
        <v>0</v>
      </c>
      <c r="N944" s="121">
        <f t="shared" si="214"/>
        <v>1</v>
      </c>
      <c r="O944" s="186">
        <f t="shared" si="216"/>
        <v>1</v>
      </c>
    </row>
    <row r="945" spans="2:15" x14ac:dyDescent="0.25">
      <c r="B945" s="95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300"/>
      <c r="I945" s="52">
        <v>180</v>
      </c>
      <c r="J945" s="52"/>
      <c r="K945" s="52">
        <v>180</v>
      </c>
      <c r="L945" s="138">
        <f t="shared" ref="L945:L956" si="217">SUM(F945:K945)</f>
        <v>540</v>
      </c>
      <c r="M945" s="143">
        <f t="shared" ref="M945:M956" si="218">+SUM(D945:E945)-L945</f>
        <v>0</v>
      </c>
      <c r="N945" s="121">
        <f t="shared" si="214"/>
        <v>3</v>
      </c>
      <c r="O945" s="186">
        <f t="shared" si="216"/>
        <v>1</v>
      </c>
    </row>
    <row r="946" spans="2:15" x14ac:dyDescent="0.25">
      <c r="B946" s="95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8">
        <f t="shared" si="217"/>
        <v>240</v>
      </c>
      <c r="M946" s="143">
        <f t="shared" si="218"/>
        <v>0</v>
      </c>
      <c r="N946" s="121">
        <f t="shared" si="214"/>
        <v>1</v>
      </c>
      <c r="O946" s="186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8">
        <f t="shared" si="217"/>
        <v>480</v>
      </c>
      <c r="M947" s="143">
        <f t="shared" si="218"/>
        <v>0</v>
      </c>
      <c r="N947" s="121">
        <f t="shared" si="214"/>
        <v>1</v>
      </c>
      <c r="O947" s="187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8">
        <f t="shared" si="217"/>
        <v>540</v>
      </c>
      <c r="M948" s="143">
        <f t="shared" si="218"/>
        <v>0</v>
      </c>
      <c r="N948" s="121">
        <f t="shared" si="214"/>
        <v>3</v>
      </c>
      <c r="O948" s="187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8">
        <f t="shared" si="217"/>
        <v>0</v>
      </c>
      <c r="M949" s="143">
        <f t="shared" si="218"/>
        <v>225</v>
      </c>
      <c r="N949" s="121">
        <f t="shared" si="214"/>
        <v>0</v>
      </c>
      <c r="O949" s="187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8">
        <f t="shared" si="217"/>
        <v>450</v>
      </c>
      <c r="M950" s="143">
        <f t="shared" si="218"/>
        <v>0</v>
      </c>
      <c r="N950" s="121">
        <f t="shared" si="214"/>
        <v>2</v>
      </c>
      <c r="O950" s="187">
        <f t="shared" si="216"/>
        <v>1</v>
      </c>
    </row>
    <row r="951" spans="2:15" x14ac:dyDescent="0.25">
      <c r="B951" s="95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8">
        <f t="shared" si="217"/>
        <v>450</v>
      </c>
      <c r="M951" s="143">
        <f t="shared" si="218"/>
        <v>225</v>
      </c>
      <c r="N951" s="121">
        <f t="shared" si="214"/>
        <v>0.66666666666666663</v>
      </c>
      <c r="O951" s="187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8">
        <f t="shared" si="217"/>
        <v>1800</v>
      </c>
      <c r="M952" s="143">
        <f t="shared" si="218"/>
        <v>0</v>
      </c>
      <c r="N952" s="121" t="str">
        <f t="shared" si="214"/>
        <v>REQ ADICIONAL</v>
      </c>
      <c r="O952" s="187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8">
        <f t="shared" si="217"/>
        <v>540</v>
      </c>
      <c r="M953" s="143">
        <f t="shared" si="218"/>
        <v>0</v>
      </c>
      <c r="N953" s="121" t="str">
        <f t="shared" si="214"/>
        <v>REQ ADICIONAL</v>
      </c>
      <c r="O953" s="187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2"/>
      <c r="I954" s="92"/>
      <c r="J954" s="92">
        <v>180</v>
      </c>
      <c r="K954" s="92"/>
      <c r="L954" s="138">
        <f t="shared" si="217"/>
        <v>180</v>
      </c>
      <c r="M954" s="143">
        <f t="shared" si="218"/>
        <v>0</v>
      </c>
      <c r="N954" s="121" t="str">
        <f t="shared" si="214"/>
        <v>REQ ADICIONAL</v>
      </c>
      <c r="O954" s="187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2">
        <v>160</v>
      </c>
      <c r="F955" s="50"/>
      <c r="G955" s="50"/>
      <c r="H955" s="92"/>
      <c r="I955" s="92"/>
      <c r="J955" s="92">
        <v>160</v>
      </c>
      <c r="K955" s="92"/>
      <c r="L955" s="138">
        <f>SUM(F955:K955)</f>
        <v>160</v>
      </c>
      <c r="M955" s="143">
        <f>+SUM(D955:E955)-L955</f>
        <v>0</v>
      </c>
      <c r="N955" s="121" t="str">
        <f>IF(L955=0,0,IFERROR(L955/D955,"REQ ADICIONAL"))</f>
        <v>REQ ADICIONAL</v>
      </c>
      <c r="O955" s="187">
        <f>IFERROR(L955/SUM(D955:E955),0)</f>
        <v>1</v>
      </c>
    </row>
    <row r="956" spans="2:15" ht="15.75" thickBot="1" x14ac:dyDescent="0.3">
      <c r="B956" s="218">
        <v>256375</v>
      </c>
      <c r="C956" s="314" t="s">
        <v>83</v>
      </c>
      <c r="D956" s="218"/>
      <c r="E956" s="92">
        <v>460</v>
      </c>
      <c r="F956" s="50"/>
      <c r="G956" s="50"/>
      <c r="H956" s="92"/>
      <c r="I956" s="92"/>
      <c r="J956" s="92"/>
      <c r="K956" s="92">
        <v>460</v>
      </c>
      <c r="L956" s="138">
        <f t="shared" si="217"/>
        <v>460</v>
      </c>
      <c r="M956" s="143">
        <f t="shared" si="218"/>
        <v>0</v>
      </c>
      <c r="N956" s="121" t="str">
        <f t="shared" si="214"/>
        <v>REQ ADICIONAL</v>
      </c>
      <c r="O956" s="187">
        <f t="shared" si="216"/>
        <v>1</v>
      </c>
    </row>
    <row r="957" spans="2:15" ht="16.5" thickBot="1" x14ac:dyDescent="0.3">
      <c r="D957" s="306">
        <f>SUM(D937:D956)</f>
        <v>9900</v>
      </c>
      <c r="E957" s="163">
        <f>SUM(E937:E956)</f>
        <v>7085</v>
      </c>
      <c r="F957" s="238">
        <f t="shared" ref="F957:M957" si="219">SUM(F937:F956)</f>
        <v>2010</v>
      </c>
      <c r="G957" s="238">
        <f t="shared" si="219"/>
        <v>2050</v>
      </c>
      <c r="H957" s="238">
        <f t="shared" si="219"/>
        <v>1845</v>
      </c>
      <c r="I957" s="238">
        <f t="shared" si="219"/>
        <v>2505</v>
      </c>
      <c r="J957" s="238">
        <f t="shared" si="219"/>
        <v>2230</v>
      </c>
      <c r="K957" s="238">
        <f t="shared" si="219"/>
        <v>1765</v>
      </c>
      <c r="L957" s="236">
        <f t="shared" si="219"/>
        <v>12405</v>
      </c>
      <c r="M957" s="284">
        <f t="shared" si="219"/>
        <v>4580</v>
      </c>
      <c r="N957" s="241">
        <f>L957/D957</f>
        <v>1.2530303030303029</v>
      </c>
      <c r="O957" s="242">
        <f>L957/(SUM(D957:E957))</f>
        <v>0.73035030909626142</v>
      </c>
    </row>
    <row r="958" spans="2:15" ht="15.75" thickBot="1" x14ac:dyDescent="0.3"/>
    <row r="959" spans="2:15" ht="18.75" x14ac:dyDescent="0.25">
      <c r="B959" s="670" t="s">
        <v>126</v>
      </c>
      <c r="C959" s="671"/>
      <c r="D959" s="671"/>
      <c r="E959" s="671"/>
      <c r="F959" s="671"/>
      <c r="G959" s="671"/>
      <c r="H959" s="671"/>
      <c r="I959" s="671"/>
      <c r="J959" s="671"/>
      <c r="K959" s="671"/>
      <c r="L959" s="671"/>
      <c r="M959" s="671"/>
      <c r="N959" s="671"/>
      <c r="O959" s="672"/>
    </row>
    <row r="960" spans="2:15" ht="30.75" thickBot="1" x14ac:dyDescent="0.3">
      <c r="B960" s="290" t="s">
        <v>34</v>
      </c>
      <c r="C960" s="114" t="s">
        <v>9</v>
      </c>
      <c r="D960" s="133" t="s">
        <v>85</v>
      </c>
      <c r="E960" s="316" t="s">
        <v>86</v>
      </c>
      <c r="F960" s="317">
        <v>43085</v>
      </c>
      <c r="G960" s="317">
        <f>+F960+2</f>
        <v>43087</v>
      </c>
      <c r="H960" s="317">
        <f>+G960+1</f>
        <v>43088</v>
      </c>
      <c r="I960" s="317">
        <f>+H960+1</f>
        <v>43089</v>
      </c>
      <c r="J960" s="317">
        <f>+I960+1</f>
        <v>43090</v>
      </c>
      <c r="K960" s="317">
        <f>+J960+1</f>
        <v>43091</v>
      </c>
      <c r="L960" s="133" t="s">
        <v>87</v>
      </c>
      <c r="M960" s="318" t="s">
        <v>88</v>
      </c>
      <c r="N960" s="317" t="s">
        <v>89</v>
      </c>
      <c r="O960" s="319" t="s">
        <v>90</v>
      </c>
    </row>
    <row r="961" spans="2:15" x14ac:dyDescent="0.25">
      <c r="B961" s="324">
        <v>254849</v>
      </c>
      <c r="C961" s="6" t="s">
        <v>0</v>
      </c>
      <c r="D961" s="309">
        <v>540</v>
      </c>
      <c r="E961" s="309"/>
      <c r="F961" s="309">
        <v>180</v>
      </c>
      <c r="G961" s="309">
        <v>180</v>
      </c>
      <c r="H961" s="309"/>
      <c r="I961" s="309">
        <v>180</v>
      </c>
      <c r="J961" s="309"/>
      <c r="K961" s="309"/>
      <c r="L961" s="325">
        <f t="shared" ref="L961:L968" si="220">SUM(F961:K961)</f>
        <v>540</v>
      </c>
      <c r="M961" s="326">
        <f>+SUM(D961:E961)-L961</f>
        <v>0</v>
      </c>
      <c r="N961" s="327">
        <f t="shared" ref="N961:N987" si="221">IF(L961=0,0,IFERROR(L961/D961,"REQ ADICIONAL"))</f>
        <v>1</v>
      </c>
      <c r="O961" s="328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5"/>
      <c r="F962" s="52"/>
      <c r="G962" s="52"/>
      <c r="H962" s="52"/>
      <c r="I962" s="52">
        <v>180</v>
      </c>
      <c r="J962" s="52"/>
      <c r="K962" s="285"/>
      <c r="L962" s="138">
        <f t="shared" si="220"/>
        <v>180</v>
      </c>
      <c r="M962" s="143">
        <f t="shared" ref="M962:M968" si="222">+SUM(D962:E962)-L962</f>
        <v>360</v>
      </c>
      <c r="N962" s="121">
        <f t="shared" si="221"/>
        <v>0.33333333333333331</v>
      </c>
      <c r="O962" s="186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5"/>
      <c r="F963" s="52"/>
      <c r="G963" s="52"/>
      <c r="H963" s="52"/>
      <c r="I963" s="52">
        <v>180</v>
      </c>
      <c r="J963" s="52"/>
      <c r="K963" s="285"/>
      <c r="L963" s="138">
        <f t="shared" si="220"/>
        <v>180</v>
      </c>
      <c r="M963" s="143">
        <f t="shared" si="222"/>
        <v>360</v>
      </c>
      <c r="N963" s="121">
        <f t="shared" si="221"/>
        <v>0.33333333333333331</v>
      </c>
      <c r="O963" s="186">
        <f t="shared" si="223"/>
        <v>0.33333333333333331</v>
      </c>
    </row>
    <row r="964" spans="2:15" x14ac:dyDescent="0.25">
      <c r="B964" s="329">
        <v>254850</v>
      </c>
      <c r="C964" s="19" t="s">
        <v>3</v>
      </c>
      <c r="D964" s="52">
        <v>1920</v>
      </c>
      <c r="E964" s="285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5">
        <v>960</v>
      </c>
      <c r="L964" s="138">
        <f t="shared" si="220"/>
        <v>2460</v>
      </c>
      <c r="M964" s="143">
        <f t="shared" si="222"/>
        <v>0</v>
      </c>
      <c r="N964" s="121">
        <f t="shared" si="221"/>
        <v>1.28125</v>
      </c>
      <c r="O964" s="186">
        <f t="shared" si="223"/>
        <v>1</v>
      </c>
    </row>
    <row r="965" spans="2:15" x14ac:dyDescent="0.25">
      <c r="B965" s="329">
        <v>251385</v>
      </c>
      <c r="C965" s="3" t="s">
        <v>4</v>
      </c>
      <c r="D965" s="52">
        <v>640</v>
      </c>
      <c r="E965" s="285"/>
      <c r="F965" s="52"/>
      <c r="G965" s="52"/>
      <c r="H965" s="52">
        <f>160</f>
        <v>160</v>
      </c>
      <c r="I965" s="52"/>
      <c r="J965" s="52">
        <v>80</v>
      </c>
      <c r="K965" s="285">
        <v>160</v>
      </c>
      <c r="L965" s="138">
        <f t="shared" si="220"/>
        <v>400</v>
      </c>
      <c r="M965" s="143">
        <f t="shared" si="222"/>
        <v>240</v>
      </c>
      <c r="N965" s="121">
        <f t="shared" si="221"/>
        <v>0.625</v>
      </c>
      <c r="O965" s="186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5"/>
      <c r="F966" s="52"/>
      <c r="G966" s="52"/>
      <c r="H966" s="52">
        <f>2*80</f>
        <v>160</v>
      </c>
      <c r="I966" s="52"/>
      <c r="J966" s="52">
        <v>160</v>
      </c>
      <c r="K966" s="285"/>
      <c r="L966" s="138">
        <f t="shared" si="220"/>
        <v>320</v>
      </c>
      <c r="M966" s="143">
        <f t="shared" si="222"/>
        <v>80</v>
      </c>
      <c r="N966" s="121">
        <f t="shared" si="221"/>
        <v>0.8</v>
      </c>
      <c r="O966" s="186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5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5">
        <v>320</v>
      </c>
      <c r="L967" s="138">
        <f t="shared" si="220"/>
        <v>960</v>
      </c>
      <c r="M967" s="143">
        <f t="shared" si="222"/>
        <v>0</v>
      </c>
      <c r="N967" s="121">
        <f t="shared" si="221"/>
        <v>12</v>
      </c>
      <c r="O967" s="186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5"/>
      <c r="F968" s="52"/>
      <c r="G968" s="52">
        <v>225</v>
      </c>
      <c r="H968" s="52"/>
      <c r="I968" s="52"/>
      <c r="J968" s="52"/>
      <c r="K968" s="285">
        <v>187</v>
      </c>
      <c r="L968" s="138">
        <f t="shared" si="220"/>
        <v>412</v>
      </c>
      <c r="M968" s="143">
        <f t="shared" si="222"/>
        <v>938</v>
      </c>
      <c r="N968" s="121">
        <f t="shared" si="221"/>
        <v>0.30518518518518517</v>
      </c>
      <c r="O968" s="186">
        <f t="shared" si="223"/>
        <v>0.30518518518518517</v>
      </c>
    </row>
    <row r="969" spans="2:15" x14ac:dyDescent="0.25">
      <c r="B969" s="329">
        <v>256329</v>
      </c>
      <c r="C969" s="19" t="s">
        <v>81</v>
      </c>
      <c r="D969" s="52">
        <v>520</v>
      </c>
      <c r="E969" s="285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5">
        <v>56</v>
      </c>
      <c r="L969" s="138">
        <f t="shared" ref="L969:L981" si="224">SUM(F969:K969)</f>
        <v>836</v>
      </c>
      <c r="M969" s="143">
        <f t="shared" ref="M969:M981" si="225">+SUM(D969:E969)-L969</f>
        <v>0</v>
      </c>
      <c r="N969" s="121">
        <f t="shared" si="221"/>
        <v>1.6076923076923078</v>
      </c>
      <c r="O969" s="186">
        <f t="shared" si="223"/>
        <v>1</v>
      </c>
    </row>
    <row r="970" spans="2:15" x14ac:dyDescent="0.25">
      <c r="B970" s="329">
        <v>256331</v>
      </c>
      <c r="C970" s="3" t="s">
        <v>78</v>
      </c>
      <c r="D970" s="52">
        <v>520</v>
      </c>
      <c r="E970" s="285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5">
        <v>112</v>
      </c>
      <c r="L970" s="138">
        <f t="shared" si="224"/>
        <v>892</v>
      </c>
      <c r="M970" s="143">
        <f t="shared" si="225"/>
        <v>0</v>
      </c>
      <c r="N970" s="121">
        <f t="shared" si="221"/>
        <v>1.7153846153846153</v>
      </c>
      <c r="O970" s="186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5"/>
      <c r="F971" s="52"/>
      <c r="G971" s="52"/>
      <c r="H971" s="52"/>
      <c r="I971" s="52"/>
      <c r="J971" s="52"/>
      <c r="K971" s="285"/>
      <c r="L971" s="138">
        <f t="shared" si="224"/>
        <v>0</v>
      </c>
      <c r="M971" s="143">
        <f t="shared" si="225"/>
        <v>225</v>
      </c>
      <c r="N971" s="121">
        <f t="shared" si="221"/>
        <v>0</v>
      </c>
      <c r="O971" s="187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5"/>
      <c r="F972" s="52"/>
      <c r="G972" s="52"/>
      <c r="H972" s="52">
        <v>180</v>
      </c>
      <c r="I972" s="52"/>
      <c r="J972" s="52"/>
      <c r="K972" s="285"/>
      <c r="L972" s="138">
        <f t="shared" si="224"/>
        <v>180</v>
      </c>
      <c r="M972" s="143">
        <f t="shared" si="225"/>
        <v>180</v>
      </c>
      <c r="N972" s="121">
        <f t="shared" si="221"/>
        <v>0.5</v>
      </c>
      <c r="O972" s="187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5"/>
      <c r="F973" s="52"/>
      <c r="G973" s="52"/>
      <c r="H973" s="52"/>
      <c r="I973" s="52">
        <v>180</v>
      </c>
      <c r="J973" s="52"/>
      <c r="K973" s="285"/>
      <c r="L973" s="138">
        <f t="shared" si="224"/>
        <v>180</v>
      </c>
      <c r="M973" s="143">
        <f t="shared" si="225"/>
        <v>180</v>
      </c>
      <c r="N973" s="121">
        <f t="shared" si="221"/>
        <v>0.5</v>
      </c>
      <c r="O973" s="187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5"/>
      <c r="F974" s="52"/>
      <c r="G974" s="52"/>
      <c r="H974" s="52"/>
      <c r="I974" s="52">
        <v>240</v>
      </c>
      <c r="J974" s="52">
        <v>240</v>
      </c>
      <c r="K974" s="285">
        <v>240</v>
      </c>
      <c r="L974" s="138">
        <f t="shared" si="224"/>
        <v>720</v>
      </c>
      <c r="M974" s="143">
        <f t="shared" si="225"/>
        <v>0</v>
      </c>
      <c r="N974" s="121">
        <f t="shared" si="221"/>
        <v>1</v>
      </c>
      <c r="O974" s="187">
        <f t="shared" si="223"/>
        <v>1</v>
      </c>
    </row>
    <row r="975" spans="2:15" x14ac:dyDescent="0.25">
      <c r="B975" s="329">
        <v>256332</v>
      </c>
      <c r="C975" s="3" t="s">
        <v>80</v>
      </c>
      <c r="D975" s="52">
        <v>240</v>
      </c>
      <c r="E975" s="285">
        <v>240</v>
      </c>
      <c r="F975" s="52"/>
      <c r="G975" s="52">
        <v>240</v>
      </c>
      <c r="H975" s="52"/>
      <c r="I975" s="52"/>
      <c r="J975" s="52">
        <v>240</v>
      </c>
      <c r="K975" s="285"/>
      <c r="L975" s="138">
        <f t="shared" si="224"/>
        <v>480</v>
      </c>
      <c r="M975" s="143">
        <f t="shared" si="225"/>
        <v>0</v>
      </c>
      <c r="N975" s="121">
        <f t="shared" si="221"/>
        <v>2</v>
      </c>
      <c r="O975" s="187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9"/>
      <c r="F976" s="52"/>
      <c r="G976" s="52"/>
      <c r="H976" s="52"/>
      <c r="I976" s="52"/>
      <c r="J976" s="52"/>
      <c r="K976" s="285"/>
      <c r="L976" s="138">
        <f t="shared" si="224"/>
        <v>0</v>
      </c>
      <c r="M976" s="143">
        <f t="shared" si="225"/>
        <v>260</v>
      </c>
      <c r="N976" s="121">
        <f t="shared" si="221"/>
        <v>0</v>
      </c>
      <c r="O976" s="187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9"/>
      <c r="F977" s="49"/>
      <c r="G977" s="52"/>
      <c r="H977" s="52"/>
      <c r="I977" s="52"/>
      <c r="J977" s="52"/>
      <c r="K977" s="285"/>
      <c r="L977" s="138">
        <f t="shared" si="224"/>
        <v>0</v>
      </c>
      <c r="M977" s="143">
        <f t="shared" si="225"/>
        <v>225</v>
      </c>
      <c r="N977" s="121">
        <f t="shared" si="221"/>
        <v>0</v>
      </c>
      <c r="O977" s="187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9"/>
      <c r="F978" s="49"/>
      <c r="G978" s="49"/>
      <c r="H978" s="52"/>
      <c r="I978" s="52"/>
      <c r="J978" s="52"/>
      <c r="K978" s="285"/>
      <c r="L978" s="138">
        <f t="shared" si="224"/>
        <v>0</v>
      </c>
      <c r="M978" s="143">
        <f t="shared" si="225"/>
        <v>450</v>
      </c>
      <c r="N978" s="121">
        <f>IF(L978=0,0,IFERROR(L978/D978,"REQ ADICIONAL"))</f>
        <v>0</v>
      </c>
      <c r="O978" s="187">
        <f t="shared" si="223"/>
        <v>0</v>
      </c>
    </row>
    <row r="979" spans="2:15" x14ac:dyDescent="0.25">
      <c r="B979" s="7">
        <v>255341</v>
      </c>
      <c r="C979" s="31" t="s">
        <v>50</v>
      </c>
      <c r="D979" s="315">
        <v>900</v>
      </c>
      <c r="E979" s="285"/>
      <c r="F979" s="49">
        <v>225</v>
      </c>
      <c r="G979" s="49"/>
      <c r="H979" s="52"/>
      <c r="I979" s="52"/>
      <c r="J979" s="52">
        <v>225</v>
      </c>
      <c r="K979" s="285"/>
      <c r="L979" s="138">
        <f t="shared" si="224"/>
        <v>450</v>
      </c>
      <c r="M979" s="143">
        <f t="shared" si="225"/>
        <v>450</v>
      </c>
      <c r="N979" s="121">
        <f>IF(L979=0,0,IFERROR(L979/D979,"REQ ADICIONAL"))</f>
        <v>0.5</v>
      </c>
      <c r="O979" s="187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9">
        <v>600</v>
      </c>
      <c r="F980" s="49"/>
      <c r="G980" s="49"/>
      <c r="H980" s="52">
        <f>3*120</f>
        <v>360</v>
      </c>
      <c r="I980" s="52"/>
      <c r="J980" s="52">
        <v>120</v>
      </c>
      <c r="K980" s="285">
        <v>600</v>
      </c>
      <c r="L980" s="138">
        <f t="shared" si="224"/>
        <v>1080</v>
      </c>
      <c r="M980" s="143">
        <f t="shared" si="225"/>
        <v>0</v>
      </c>
      <c r="N980" s="121">
        <f t="shared" si="221"/>
        <v>2.25</v>
      </c>
      <c r="O980" s="187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5">
        <v>180</v>
      </c>
      <c r="F981" s="49">
        <v>180</v>
      </c>
      <c r="G981" s="49"/>
      <c r="H981" s="52"/>
      <c r="I981" s="52"/>
      <c r="J981" s="52"/>
      <c r="K981" s="285"/>
      <c r="L981" s="138">
        <f t="shared" si="224"/>
        <v>180</v>
      </c>
      <c r="M981" s="143">
        <f t="shared" si="225"/>
        <v>0</v>
      </c>
      <c r="N981" s="121" t="str">
        <f t="shared" si="221"/>
        <v>REQ ADICIONAL</v>
      </c>
      <c r="O981" s="187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2">
        <v>350</v>
      </c>
      <c r="F982" s="50"/>
      <c r="G982" s="50"/>
      <c r="H982" s="92">
        <v>350</v>
      </c>
      <c r="I982" s="92"/>
      <c r="J982" s="92"/>
      <c r="K982" s="332"/>
      <c r="L982" s="138">
        <f t="shared" ref="L982:L987" si="226">SUM(F982:K982)</f>
        <v>350</v>
      </c>
      <c r="M982" s="143">
        <f t="shared" ref="M982:M987" si="227">+SUM(D982:E982)-L982</f>
        <v>0</v>
      </c>
      <c r="N982" s="121" t="str">
        <f>IF(L982=0,0,IFERROR(L982/D982,"REQ ADICIONAL"))</f>
        <v>REQ ADICIONAL</v>
      </c>
      <c r="O982" s="187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2">
        <v>350</v>
      </c>
      <c r="F983" s="50"/>
      <c r="G983" s="50"/>
      <c r="H983" s="92">
        <v>350</v>
      </c>
      <c r="I983" s="92"/>
      <c r="J983" s="92"/>
      <c r="K983" s="332"/>
      <c r="L983" s="138">
        <f t="shared" si="226"/>
        <v>350</v>
      </c>
      <c r="M983" s="143">
        <f t="shared" si="227"/>
        <v>0</v>
      </c>
      <c r="N983" s="121" t="str">
        <f>IF(L983=0,0,IFERROR(L983/D983,"REQ ADICIONAL"))</f>
        <v>REQ ADICIONAL</v>
      </c>
      <c r="O983" s="187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2">
        <v>175</v>
      </c>
      <c r="F984" s="50"/>
      <c r="G984" s="50"/>
      <c r="H984" s="92">
        <v>175</v>
      </c>
      <c r="I984" s="92"/>
      <c r="J984" s="92"/>
      <c r="K984" s="332"/>
      <c r="L984" s="138">
        <f t="shared" si="226"/>
        <v>175</v>
      </c>
      <c r="M984" s="143">
        <f t="shared" si="227"/>
        <v>0</v>
      </c>
      <c r="N984" s="121" t="str">
        <f>IF(L984=0,0,IFERROR(L984/D984,"REQ ADICIONAL"))</f>
        <v>REQ ADICIONAL</v>
      </c>
      <c r="O984" s="187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2">
        <v>160</v>
      </c>
      <c r="F985" s="50"/>
      <c r="G985" s="50"/>
      <c r="H985" s="92"/>
      <c r="I985" s="92"/>
      <c r="J985" s="92"/>
      <c r="K985" s="332">
        <v>160</v>
      </c>
      <c r="L985" s="138">
        <f t="shared" si="226"/>
        <v>160</v>
      </c>
      <c r="M985" s="143">
        <f t="shared" si="227"/>
        <v>0</v>
      </c>
      <c r="N985" s="121" t="str">
        <f>IF(L985=0,0,IFERROR(L985/D985,"REQ ADICIONAL"))</f>
        <v>REQ ADICIONAL</v>
      </c>
      <c r="O985" s="187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2">
        <v>175</v>
      </c>
      <c r="F986" s="50"/>
      <c r="G986" s="50"/>
      <c r="H986" s="92">
        <v>175</v>
      </c>
      <c r="I986" s="92"/>
      <c r="J986" s="92"/>
      <c r="K986" s="332"/>
      <c r="L986" s="138">
        <f t="shared" si="226"/>
        <v>175</v>
      </c>
      <c r="M986" s="143">
        <f t="shared" si="227"/>
        <v>0</v>
      </c>
      <c r="N986" s="121" t="str">
        <f>IF(L986=0,0,IFERROR(L986/D986,"REQ ADICIONAL"))</f>
        <v>REQ ADICIONAL</v>
      </c>
      <c r="O986" s="187">
        <f t="shared" si="228"/>
        <v>1</v>
      </c>
    </row>
    <row r="987" spans="2:15" ht="15.75" thickBot="1" x14ac:dyDescent="0.3">
      <c r="B987" s="189">
        <v>254950</v>
      </c>
      <c r="C987" s="8" t="s">
        <v>32</v>
      </c>
      <c r="D987" s="8"/>
      <c r="E987" s="333">
        <f>180+180</f>
        <v>360</v>
      </c>
      <c r="F987" s="113"/>
      <c r="G987" s="113"/>
      <c r="H987" s="330">
        <v>180</v>
      </c>
      <c r="I987" s="330"/>
      <c r="J987" s="330">
        <v>180</v>
      </c>
      <c r="K987" s="330"/>
      <c r="L987" s="190">
        <f t="shared" si="226"/>
        <v>360</v>
      </c>
      <c r="M987" s="196">
        <f t="shared" si="227"/>
        <v>0</v>
      </c>
      <c r="N987" s="197" t="str">
        <f t="shared" si="221"/>
        <v>REQ ADICIONAL</v>
      </c>
      <c r="O987" s="198">
        <f t="shared" si="228"/>
        <v>1</v>
      </c>
    </row>
    <row r="988" spans="2:15" ht="16.5" thickBot="1" x14ac:dyDescent="0.3">
      <c r="D988" s="320">
        <f t="shared" ref="D988:M988" si="229">SUM(D961:D987)</f>
        <v>11270</v>
      </c>
      <c r="E988" s="321">
        <f t="shared" si="229"/>
        <v>4698</v>
      </c>
      <c r="F988" s="201">
        <f t="shared" si="229"/>
        <v>1345</v>
      </c>
      <c r="G988" s="201">
        <f t="shared" si="229"/>
        <v>1005</v>
      </c>
      <c r="H988" s="201">
        <f t="shared" si="229"/>
        <v>2710</v>
      </c>
      <c r="I988" s="201">
        <f t="shared" si="229"/>
        <v>2240</v>
      </c>
      <c r="J988" s="201">
        <f t="shared" si="229"/>
        <v>1925</v>
      </c>
      <c r="K988" s="201">
        <f t="shared" si="229"/>
        <v>2795</v>
      </c>
      <c r="L988" s="322">
        <f t="shared" si="229"/>
        <v>12020</v>
      </c>
      <c r="M988" s="323">
        <f t="shared" si="229"/>
        <v>3948</v>
      </c>
      <c r="N988" s="204">
        <f>L988/D988</f>
        <v>1.0665483584738242</v>
      </c>
      <c r="O988" s="205">
        <f>L988/(SUM(D988:E988))</f>
        <v>0.75275551102204408</v>
      </c>
    </row>
    <row r="989" spans="2:15" ht="15.75" thickBot="1" x14ac:dyDescent="0.3"/>
    <row r="990" spans="2:15" ht="19.5" thickBot="1" x14ac:dyDescent="0.3">
      <c r="B990" s="676" t="s">
        <v>131</v>
      </c>
      <c r="C990" s="677"/>
      <c r="D990" s="677"/>
      <c r="E990" s="677"/>
      <c r="F990" s="677"/>
      <c r="G990" s="677"/>
      <c r="H990" s="677"/>
      <c r="I990" s="677"/>
      <c r="J990" s="677"/>
      <c r="K990" s="677"/>
      <c r="L990" s="677"/>
      <c r="M990" s="677"/>
      <c r="N990" s="677"/>
      <c r="O990" s="678"/>
    </row>
    <row r="991" spans="2:15" ht="30.75" thickBot="1" x14ac:dyDescent="0.3">
      <c r="B991" s="174" t="s">
        <v>34</v>
      </c>
      <c r="C991" s="243" t="s">
        <v>9</v>
      </c>
      <c r="D991" s="248" t="s">
        <v>85</v>
      </c>
      <c r="E991" s="353" t="s">
        <v>86</v>
      </c>
      <c r="F991" s="338">
        <v>43092</v>
      </c>
      <c r="G991" s="178">
        <f>+F991+2</f>
        <v>43094</v>
      </c>
      <c r="H991" s="178">
        <f>+G991+1</f>
        <v>43095</v>
      </c>
      <c r="I991" s="178">
        <f>+H991+1</f>
        <v>43096</v>
      </c>
      <c r="J991" s="178">
        <f>+I991+1</f>
        <v>43097</v>
      </c>
      <c r="K991" s="339">
        <f>+J991+1</f>
        <v>43098</v>
      </c>
      <c r="L991" s="359" t="s">
        <v>87</v>
      </c>
      <c r="M991" s="360" t="s">
        <v>88</v>
      </c>
      <c r="N991" s="178" t="s">
        <v>89</v>
      </c>
      <c r="O991" s="339" t="s">
        <v>90</v>
      </c>
    </row>
    <row r="992" spans="2:15" x14ac:dyDescent="0.25">
      <c r="B992" s="324">
        <v>254849</v>
      </c>
      <c r="C992" s="351" t="s">
        <v>0</v>
      </c>
      <c r="D992" s="340">
        <v>720</v>
      </c>
      <c r="E992" s="341"/>
      <c r="F992" s="340"/>
      <c r="G992" s="309"/>
      <c r="H992" s="309">
        <v>180</v>
      </c>
      <c r="I992" s="309"/>
      <c r="J992" s="309">
        <v>180</v>
      </c>
      <c r="K992" s="341"/>
      <c r="L992" s="335">
        <f t="shared" ref="L992:L999" si="230">SUM(F992:K992)</f>
        <v>360</v>
      </c>
      <c r="M992" s="326">
        <f>+SUM(D992:E992)-L992</f>
        <v>360</v>
      </c>
      <c r="N992" s="327">
        <f t="shared" ref="N992:N1015" si="231">IF(L992=0,0,IFERROR(L992/D992,"REQ ADICIONAL"))</f>
        <v>0.5</v>
      </c>
      <c r="O992" s="328">
        <f>IFERROR(L992/SUM(D992:E992),0)</f>
        <v>0.5</v>
      </c>
    </row>
    <row r="993" spans="2:15" x14ac:dyDescent="0.25">
      <c r="B993" s="18">
        <v>254851</v>
      </c>
      <c r="C993" s="252" t="s">
        <v>1</v>
      </c>
      <c r="D993" s="342">
        <v>900</v>
      </c>
      <c r="E993" s="343"/>
      <c r="F993" s="342"/>
      <c r="G993" s="52"/>
      <c r="H993" s="52">
        <v>180</v>
      </c>
      <c r="I993" s="52">
        <v>180</v>
      </c>
      <c r="J993" s="52">
        <v>180</v>
      </c>
      <c r="K993" s="343">
        <v>180</v>
      </c>
      <c r="L993" s="145">
        <f t="shared" si="230"/>
        <v>720</v>
      </c>
      <c r="M993" s="143">
        <f t="shared" ref="M993:M999" si="232">+SUM(D993:E993)-L993</f>
        <v>180</v>
      </c>
      <c r="N993" s="121">
        <f t="shared" si="231"/>
        <v>0.8</v>
      </c>
      <c r="O993" s="186">
        <f t="shared" ref="O993:O1012" si="233">IFERROR(L993/SUM(D993:E993),0)</f>
        <v>0.8</v>
      </c>
    </row>
    <row r="994" spans="2:15" x14ac:dyDescent="0.25">
      <c r="B994" s="18">
        <v>254853</v>
      </c>
      <c r="C994" s="252" t="s">
        <v>2</v>
      </c>
      <c r="D994" s="342">
        <v>360</v>
      </c>
      <c r="E994" s="343">
        <v>360</v>
      </c>
      <c r="F994" s="342"/>
      <c r="G994" s="52"/>
      <c r="H994" s="52"/>
      <c r="I994" s="52">
        <v>180</v>
      </c>
      <c r="J994" s="52">
        <v>180</v>
      </c>
      <c r="K994" s="343">
        <v>360</v>
      </c>
      <c r="L994" s="145">
        <f t="shared" si="230"/>
        <v>720</v>
      </c>
      <c r="M994" s="143">
        <f t="shared" si="232"/>
        <v>0</v>
      </c>
      <c r="N994" s="121">
        <f t="shared" si="231"/>
        <v>2</v>
      </c>
      <c r="O994" s="186">
        <f t="shared" si="233"/>
        <v>1</v>
      </c>
    </row>
    <row r="995" spans="2:15" x14ac:dyDescent="0.25">
      <c r="B995" s="329">
        <v>254850</v>
      </c>
      <c r="C995" s="60" t="s">
        <v>3</v>
      </c>
      <c r="D995" s="342">
        <v>2640</v>
      </c>
      <c r="E995" s="343">
        <f>2160+2040</f>
        <v>4200</v>
      </c>
      <c r="F995" s="342">
        <v>960</v>
      </c>
      <c r="G995" s="52"/>
      <c r="H995" s="52">
        <v>1440</v>
      </c>
      <c r="I995" s="52">
        <v>1200</v>
      </c>
      <c r="J995" s="52">
        <f>20*60</f>
        <v>1200</v>
      </c>
      <c r="K995" s="343">
        <v>2040</v>
      </c>
      <c r="L995" s="145">
        <f t="shared" si="230"/>
        <v>6840</v>
      </c>
      <c r="M995" s="143">
        <f t="shared" si="232"/>
        <v>0</v>
      </c>
      <c r="N995" s="121">
        <f t="shared" si="231"/>
        <v>2.5909090909090908</v>
      </c>
      <c r="O995" s="186">
        <f t="shared" si="233"/>
        <v>1</v>
      </c>
    </row>
    <row r="996" spans="2:15" x14ac:dyDescent="0.25">
      <c r="B996" s="329">
        <v>251385</v>
      </c>
      <c r="C996" s="252" t="s">
        <v>4</v>
      </c>
      <c r="D996" s="342">
        <v>1280</v>
      </c>
      <c r="E996" s="343">
        <f>1120+960</f>
        <v>2080</v>
      </c>
      <c r="F996" s="342"/>
      <c r="G996" s="52"/>
      <c r="H996" s="52">
        <v>1120</v>
      </c>
      <c r="I996" s="52">
        <v>800</v>
      </c>
      <c r="J996" s="52">
        <v>480</v>
      </c>
      <c r="K996" s="343">
        <v>960</v>
      </c>
      <c r="L996" s="145">
        <f t="shared" si="230"/>
        <v>3360</v>
      </c>
      <c r="M996" s="143">
        <f t="shared" si="232"/>
        <v>0</v>
      </c>
      <c r="N996" s="121">
        <f t="shared" si="231"/>
        <v>2.625</v>
      </c>
      <c r="O996" s="186">
        <f t="shared" si="233"/>
        <v>1</v>
      </c>
    </row>
    <row r="997" spans="2:15" x14ac:dyDescent="0.25">
      <c r="B997" s="7">
        <v>251196</v>
      </c>
      <c r="C997" s="252" t="s">
        <v>5</v>
      </c>
      <c r="D997" s="342">
        <v>240</v>
      </c>
      <c r="E997" s="343">
        <v>640</v>
      </c>
      <c r="F997" s="342"/>
      <c r="G997" s="52"/>
      <c r="H997" s="52">
        <v>320</v>
      </c>
      <c r="I997" s="52">
        <v>160</v>
      </c>
      <c r="J997" s="52">
        <v>80</v>
      </c>
      <c r="K997" s="343">
        <v>320</v>
      </c>
      <c r="L997" s="145">
        <f t="shared" si="230"/>
        <v>880</v>
      </c>
      <c r="M997" s="143">
        <f t="shared" si="232"/>
        <v>0</v>
      </c>
      <c r="N997" s="121">
        <f t="shared" si="231"/>
        <v>3.6666666666666665</v>
      </c>
      <c r="O997" s="186">
        <f t="shared" si="233"/>
        <v>1</v>
      </c>
    </row>
    <row r="998" spans="2:15" x14ac:dyDescent="0.25">
      <c r="B998" s="18">
        <v>250524</v>
      </c>
      <c r="C998" s="252" t="s">
        <v>6</v>
      </c>
      <c r="D998" s="342">
        <v>160</v>
      </c>
      <c r="E998" s="343">
        <f>960+560</f>
        <v>1520</v>
      </c>
      <c r="F998" s="342"/>
      <c r="G998" s="52"/>
      <c r="H998" s="52"/>
      <c r="I998" s="52">
        <v>720</v>
      </c>
      <c r="J998" s="52">
        <f>240+160</f>
        <v>400</v>
      </c>
      <c r="K998" s="343">
        <v>560</v>
      </c>
      <c r="L998" s="145">
        <f t="shared" si="230"/>
        <v>1680</v>
      </c>
      <c r="M998" s="143">
        <f t="shared" si="232"/>
        <v>0</v>
      </c>
      <c r="N998" s="121">
        <f t="shared" si="231"/>
        <v>10.5</v>
      </c>
      <c r="O998" s="186">
        <f t="shared" si="233"/>
        <v>1</v>
      </c>
    </row>
    <row r="999" spans="2:15" x14ac:dyDescent="0.25">
      <c r="B999" s="18">
        <v>252534</v>
      </c>
      <c r="C999" s="252" t="s">
        <v>7</v>
      </c>
      <c r="D999" s="342">
        <v>1125</v>
      </c>
      <c r="E999" s="343"/>
      <c r="F999" s="342">
        <v>38</v>
      </c>
      <c r="G999" s="52"/>
      <c r="H999" s="52"/>
      <c r="I999" s="52"/>
      <c r="J999" s="52">
        <v>450</v>
      </c>
      <c r="K999" s="343"/>
      <c r="L999" s="145">
        <f t="shared" si="230"/>
        <v>488</v>
      </c>
      <c r="M999" s="143">
        <f t="shared" si="232"/>
        <v>637</v>
      </c>
      <c r="N999" s="121">
        <f t="shared" si="231"/>
        <v>0.43377777777777776</v>
      </c>
      <c r="O999" s="186">
        <f t="shared" si="233"/>
        <v>0.43377777777777776</v>
      </c>
    </row>
    <row r="1000" spans="2:15" x14ac:dyDescent="0.25">
      <c r="B1000" s="329">
        <v>256329</v>
      </c>
      <c r="C1000" s="60" t="s">
        <v>81</v>
      </c>
      <c r="D1000" s="342">
        <v>780</v>
      </c>
      <c r="E1000" s="343">
        <v>204</v>
      </c>
      <c r="F1000" s="342">
        <v>204</v>
      </c>
      <c r="G1000" s="52"/>
      <c r="H1000" s="52">
        <v>260</v>
      </c>
      <c r="I1000" s="52"/>
      <c r="J1000" s="52">
        <v>520</v>
      </c>
      <c r="K1000" s="343"/>
      <c r="L1000" s="145">
        <f t="shared" ref="L1000:L1012" si="234">SUM(F1000:K1000)</f>
        <v>984</v>
      </c>
      <c r="M1000" s="143">
        <f t="shared" ref="M1000:M1012" si="235">+SUM(D1000:E1000)-L1000</f>
        <v>0</v>
      </c>
      <c r="N1000" s="121">
        <f t="shared" si="231"/>
        <v>1.2615384615384615</v>
      </c>
      <c r="O1000" s="186">
        <f t="shared" si="233"/>
        <v>1</v>
      </c>
    </row>
    <row r="1001" spans="2:15" x14ac:dyDescent="0.25">
      <c r="B1001" s="329">
        <v>256331</v>
      </c>
      <c r="C1001" s="252" t="s">
        <v>78</v>
      </c>
      <c r="D1001" s="342">
        <v>780</v>
      </c>
      <c r="E1001" s="343">
        <v>148</v>
      </c>
      <c r="F1001" s="342">
        <v>148</v>
      </c>
      <c r="G1001" s="52"/>
      <c r="H1001" s="52">
        <v>260</v>
      </c>
      <c r="I1001" s="52"/>
      <c r="J1001" s="52">
        <v>520</v>
      </c>
      <c r="K1001" s="343"/>
      <c r="L1001" s="145">
        <f t="shared" si="234"/>
        <v>928</v>
      </c>
      <c r="M1001" s="143">
        <f t="shared" si="235"/>
        <v>0</v>
      </c>
      <c r="N1001" s="121">
        <f t="shared" si="231"/>
        <v>1.1897435897435897</v>
      </c>
      <c r="O1001" s="186">
        <f t="shared" si="233"/>
        <v>1</v>
      </c>
    </row>
    <row r="1002" spans="2:15" x14ac:dyDescent="0.25">
      <c r="B1002" s="7">
        <v>254954</v>
      </c>
      <c r="C1002" s="252" t="s">
        <v>33</v>
      </c>
      <c r="D1002" s="342">
        <v>180</v>
      </c>
      <c r="E1002" s="343"/>
      <c r="F1002" s="342"/>
      <c r="G1002" s="52"/>
      <c r="H1002" s="52"/>
      <c r="I1002" s="52"/>
      <c r="J1002" s="52">
        <v>180</v>
      </c>
      <c r="K1002" s="343"/>
      <c r="L1002" s="145">
        <f t="shared" si="234"/>
        <v>180</v>
      </c>
      <c r="M1002" s="143">
        <f t="shared" si="235"/>
        <v>0</v>
      </c>
      <c r="N1002" s="121">
        <f t="shared" si="231"/>
        <v>1</v>
      </c>
      <c r="O1002" s="187">
        <f t="shared" si="233"/>
        <v>1</v>
      </c>
    </row>
    <row r="1003" spans="2:15" x14ac:dyDescent="0.25">
      <c r="B1003" s="18">
        <v>254950</v>
      </c>
      <c r="C1003" s="252" t="s">
        <v>32</v>
      </c>
      <c r="D1003" s="342">
        <v>540</v>
      </c>
      <c r="E1003" s="343">
        <v>180</v>
      </c>
      <c r="F1003" s="342"/>
      <c r="G1003" s="52"/>
      <c r="H1003" s="52"/>
      <c r="I1003" s="52">
        <v>360</v>
      </c>
      <c r="J1003" s="52">
        <v>180</v>
      </c>
      <c r="K1003" s="343">
        <v>180</v>
      </c>
      <c r="L1003" s="145">
        <f t="shared" si="234"/>
        <v>720</v>
      </c>
      <c r="M1003" s="143">
        <f t="shared" si="235"/>
        <v>0</v>
      </c>
      <c r="N1003" s="121">
        <f t="shared" si="231"/>
        <v>1.3333333333333333</v>
      </c>
      <c r="O1003" s="187">
        <f t="shared" si="233"/>
        <v>1</v>
      </c>
    </row>
    <row r="1004" spans="2:15" x14ac:dyDescent="0.25">
      <c r="B1004" s="18">
        <v>251406</v>
      </c>
      <c r="C1004" s="252" t="s">
        <v>42</v>
      </c>
      <c r="D1004" s="342">
        <v>720</v>
      </c>
      <c r="E1004" s="343"/>
      <c r="F1004" s="342"/>
      <c r="G1004" s="52"/>
      <c r="H1004" s="52"/>
      <c r="I1004" s="52">
        <v>360</v>
      </c>
      <c r="J1004" s="52"/>
      <c r="K1004" s="343"/>
      <c r="L1004" s="145">
        <f t="shared" si="234"/>
        <v>360</v>
      </c>
      <c r="M1004" s="143">
        <f t="shared" si="235"/>
        <v>360</v>
      </c>
      <c r="N1004" s="121">
        <f t="shared" si="231"/>
        <v>0.5</v>
      </c>
      <c r="O1004" s="187">
        <f t="shared" si="233"/>
        <v>0.5</v>
      </c>
    </row>
    <row r="1005" spans="2:15" x14ac:dyDescent="0.25">
      <c r="B1005" s="7">
        <v>256330</v>
      </c>
      <c r="C1005" s="60" t="s">
        <v>82</v>
      </c>
      <c r="D1005" s="342">
        <v>480</v>
      </c>
      <c r="E1005" s="343"/>
      <c r="F1005" s="342"/>
      <c r="G1005" s="52"/>
      <c r="H1005" s="52">
        <v>240</v>
      </c>
      <c r="I1005" s="52"/>
      <c r="J1005" s="52">
        <v>240</v>
      </c>
      <c r="K1005" s="343"/>
      <c r="L1005" s="145">
        <f t="shared" si="234"/>
        <v>480</v>
      </c>
      <c r="M1005" s="143">
        <f t="shared" si="235"/>
        <v>0</v>
      </c>
      <c r="N1005" s="121">
        <f t="shared" si="231"/>
        <v>1</v>
      </c>
      <c r="O1005" s="187">
        <f t="shared" si="233"/>
        <v>1</v>
      </c>
    </row>
    <row r="1006" spans="2:15" x14ac:dyDescent="0.25">
      <c r="B1006" s="329">
        <v>256332</v>
      </c>
      <c r="C1006" s="252" t="s">
        <v>80</v>
      </c>
      <c r="D1006" s="342">
        <v>480</v>
      </c>
      <c r="E1006" s="343">
        <v>240</v>
      </c>
      <c r="F1006" s="342"/>
      <c r="G1006" s="52"/>
      <c r="H1006" s="52">
        <v>240</v>
      </c>
      <c r="I1006" s="52"/>
      <c r="J1006" s="52">
        <v>480</v>
      </c>
      <c r="K1006" s="343"/>
      <c r="L1006" s="145">
        <f t="shared" si="234"/>
        <v>720</v>
      </c>
      <c r="M1006" s="143">
        <f t="shared" si="235"/>
        <v>0</v>
      </c>
      <c r="N1006" s="121">
        <f t="shared" si="231"/>
        <v>1.5</v>
      </c>
      <c r="O1006" s="187">
        <f t="shared" si="233"/>
        <v>1</v>
      </c>
    </row>
    <row r="1007" spans="2:15" x14ac:dyDescent="0.25">
      <c r="B1007" s="7">
        <v>251632</v>
      </c>
      <c r="C1007" s="252" t="s">
        <v>51</v>
      </c>
      <c r="D1007" s="342">
        <v>360</v>
      </c>
      <c r="E1007" s="354"/>
      <c r="F1007" s="342"/>
      <c r="G1007" s="52"/>
      <c r="H1007" s="52">
        <v>180</v>
      </c>
      <c r="I1007" s="52"/>
      <c r="J1007" s="52"/>
      <c r="K1007" s="343"/>
      <c r="L1007" s="145">
        <f t="shared" si="234"/>
        <v>180</v>
      </c>
      <c r="M1007" s="143">
        <f t="shared" si="235"/>
        <v>180</v>
      </c>
      <c r="N1007" s="121">
        <f t="shared" si="231"/>
        <v>0.5</v>
      </c>
      <c r="O1007" s="187">
        <f t="shared" si="233"/>
        <v>0.5</v>
      </c>
    </row>
    <row r="1008" spans="2:15" x14ac:dyDescent="0.25">
      <c r="B1008" s="18">
        <v>256359</v>
      </c>
      <c r="C1008" s="252" t="s">
        <v>127</v>
      </c>
      <c r="D1008" s="342">
        <v>350</v>
      </c>
      <c r="E1008" s="354"/>
      <c r="F1008" s="344"/>
      <c r="G1008" s="52"/>
      <c r="H1008" s="52"/>
      <c r="I1008" s="52">
        <v>350</v>
      </c>
      <c r="J1008" s="52"/>
      <c r="K1008" s="343"/>
      <c r="L1008" s="145">
        <f t="shared" si="234"/>
        <v>350</v>
      </c>
      <c r="M1008" s="143">
        <f t="shared" si="235"/>
        <v>0</v>
      </c>
      <c r="N1008" s="121">
        <f t="shared" si="231"/>
        <v>1</v>
      </c>
      <c r="O1008" s="187">
        <f t="shared" si="233"/>
        <v>1</v>
      </c>
    </row>
    <row r="1009" spans="2:15" x14ac:dyDescent="0.25">
      <c r="B1009" s="7">
        <v>256357</v>
      </c>
      <c r="C1009" s="252" t="s">
        <v>128</v>
      </c>
      <c r="D1009" s="342">
        <v>350</v>
      </c>
      <c r="E1009" s="354"/>
      <c r="F1009" s="344"/>
      <c r="G1009" s="49"/>
      <c r="H1009" s="52"/>
      <c r="I1009" s="52">
        <v>350</v>
      </c>
      <c r="J1009" s="52"/>
      <c r="K1009" s="343"/>
      <c r="L1009" s="145">
        <f t="shared" si="234"/>
        <v>350</v>
      </c>
      <c r="M1009" s="143">
        <f t="shared" si="235"/>
        <v>0</v>
      </c>
      <c r="N1009" s="121">
        <f t="shared" si="231"/>
        <v>1</v>
      </c>
      <c r="O1009" s="187">
        <f t="shared" si="233"/>
        <v>1</v>
      </c>
    </row>
    <row r="1010" spans="2:15" x14ac:dyDescent="0.25">
      <c r="B1010" s="7">
        <v>254975</v>
      </c>
      <c r="C1010" s="91" t="s">
        <v>129</v>
      </c>
      <c r="D1010" s="342">
        <v>350</v>
      </c>
      <c r="E1010" s="343"/>
      <c r="F1010" s="344">
        <v>36</v>
      </c>
      <c r="G1010" s="49"/>
      <c r="H1010" s="52">
        <v>139</v>
      </c>
      <c r="I1010" s="52"/>
      <c r="J1010" s="52"/>
      <c r="K1010" s="343"/>
      <c r="L1010" s="145">
        <f t="shared" si="234"/>
        <v>175</v>
      </c>
      <c r="M1010" s="143">
        <f t="shared" si="235"/>
        <v>175</v>
      </c>
      <c r="N1010" s="121">
        <f t="shared" si="231"/>
        <v>0.5</v>
      </c>
      <c r="O1010" s="187">
        <f t="shared" si="233"/>
        <v>0.5</v>
      </c>
    </row>
    <row r="1011" spans="2:15" x14ac:dyDescent="0.25">
      <c r="B1011" s="7">
        <v>254976</v>
      </c>
      <c r="C1011" s="252" t="s">
        <v>130</v>
      </c>
      <c r="D1011" s="342">
        <v>350</v>
      </c>
      <c r="E1011" s="354"/>
      <c r="F1011" s="344">
        <v>175</v>
      </c>
      <c r="G1011" s="49"/>
      <c r="H1011" s="52"/>
      <c r="I1011" s="52"/>
      <c r="J1011" s="52"/>
      <c r="K1011" s="343"/>
      <c r="L1011" s="145">
        <f t="shared" si="234"/>
        <v>175</v>
      </c>
      <c r="M1011" s="143">
        <f t="shared" si="235"/>
        <v>175</v>
      </c>
      <c r="N1011" s="121">
        <f t="shared" si="231"/>
        <v>0.5</v>
      </c>
      <c r="O1011" s="187">
        <f t="shared" si="233"/>
        <v>0.5</v>
      </c>
    </row>
    <row r="1012" spans="2:15" x14ac:dyDescent="0.25">
      <c r="B1012" s="7">
        <v>254988</v>
      </c>
      <c r="C1012" s="91" t="s">
        <v>54</v>
      </c>
      <c r="D1012" s="342">
        <v>225</v>
      </c>
      <c r="E1012" s="343"/>
      <c r="F1012" s="344"/>
      <c r="G1012" s="49"/>
      <c r="H1012" s="52"/>
      <c r="I1012" s="52"/>
      <c r="J1012" s="52"/>
      <c r="K1012" s="343"/>
      <c r="L1012" s="145">
        <f t="shared" si="234"/>
        <v>0</v>
      </c>
      <c r="M1012" s="143">
        <f t="shared" si="235"/>
        <v>225</v>
      </c>
      <c r="N1012" s="121">
        <f t="shared" si="231"/>
        <v>0</v>
      </c>
      <c r="O1012" s="187">
        <f t="shared" si="233"/>
        <v>0</v>
      </c>
    </row>
    <row r="1013" spans="2:15" x14ac:dyDescent="0.25">
      <c r="B1013" s="18">
        <v>255341</v>
      </c>
      <c r="C1013" s="60" t="s">
        <v>50</v>
      </c>
      <c r="D1013" s="355">
        <v>900</v>
      </c>
      <c r="E1013" s="346"/>
      <c r="F1013" s="345"/>
      <c r="G1013" s="50"/>
      <c r="H1013" s="92">
        <v>225</v>
      </c>
      <c r="I1013" s="92"/>
      <c r="J1013" s="92"/>
      <c r="K1013" s="346"/>
      <c r="L1013" s="145">
        <f>SUM(F1013:K1013)</f>
        <v>225</v>
      </c>
      <c r="M1013" s="143">
        <f>+SUM(D1013:E1013)-L1013</f>
        <v>675</v>
      </c>
      <c r="N1013" s="121">
        <f t="shared" si="231"/>
        <v>0.25</v>
      </c>
      <c r="O1013" s="187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5">
        <v>960</v>
      </c>
      <c r="E1014" s="346"/>
      <c r="F1014" s="345"/>
      <c r="G1014" s="50"/>
      <c r="H1014" s="92"/>
      <c r="I1014" s="92"/>
      <c r="J1014" s="92">
        <v>120</v>
      </c>
      <c r="K1014" s="346"/>
      <c r="L1014" s="145">
        <f>SUM(F1014:K1014)</f>
        <v>120</v>
      </c>
      <c r="M1014" s="143">
        <f>+SUM(D1014:E1014)-L1014</f>
        <v>840</v>
      </c>
      <c r="N1014" s="121">
        <f t="shared" si="231"/>
        <v>0.125</v>
      </c>
      <c r="O1014" s="187">
        <f>IFERROR(L1014/SUM(D1014:E1014),0)</f>
        <v>0.125</v>
      </c>
    </row>
    <row r="1015" spans="2:15" ht="15.75" thickBot="1" x14ac:dyDescent="0.3">
      <c r="B1015" s="334">
        <v>251519</v>
      </c>
      <c r="C1015" s="352" t="s">
        <v>84</v>
      </c>
      <c r="D1015" s="356">
        <v>1120</v>
      </c>
      <c r="E1015" s="348"/>
      <c r="F1015" s="347">
        <v>160</v>
      </c>
      <c r="G1015" s="113"/>
      <c r="H1015" s="330"/>
      <c r="I1015" s="330"/>
      <c r="J1015" s="330"/>
      <c r="K1015" s="348"/>
      <c r="L1015" s="336">
        <f>SUM(F1015:K1015)</f>
        <v>160</v>
      </c>
      <c r="M1015" s="196">
        <f>+SUM(D1015:E1015)-L1015</f>
        <v>960</v>
      </c>
      <c r="N1015" s="197">
        <f t="shared" si="231"/>
        <v>0.14285714285714285</v>
      </c>
      <c r="O1015" s="198">
        <f>IFERROR(L1015/SUM(D1015:E1015),0)</f>
        <v>0.14285714285714285</v>
      </c>
    </row>
    <row r="1016" spans="2:15" ht="16.5" thickBot="1" x14ac:dyDescent="0.3">
      <c r="D1016" s="357">
        <f t="shared" ref="D1016:M1016" si="236">SUM(D992:D1015)</f>
        <v>16350</v>
      </c>
      <c r="E1016" s="358">
        <f t="shared" si="236"/>
        <v>9572</v>
      </c>
      <c r="F1016" s="349">
        <f t="shared" si="236"/>
        <v>1721</v>
      </c>
      <c r="G1016" s="201">
        <f t="shared" si="236"/>
        <v>0</v>
      </c>
      <c r="H1016" s="201">
        <f t="shared" si="236"/>
        <v>4784</v>
      </c>
      <c r="I1016" s="201">
        <f t="shared" si="236"/>
        <v>4660</v>
      </c>
      <c r="J1016" s="201">
        <f t="shared" si="236"/>
        <v>5390</v>
      </c>
      <c r="K1016" s="350">
        <f t="shared" si="236"/>
        <v>4600</v>
      </c>
      <c r="L1016" s="337">
        <f t="shared" si="236"/>
        <v>21155</v>
      </c>
      <c r="M1016" s="323">
        <f t="shared" si="236"/>
        <v>4767</v>
      </c>
      <c r="N1016" s="204">
        <f>L1016/D1016</f>
        <v>1.2938837920489297</v>
      </c>
      <c r="O1016" s="205">
        <f>L1016/(SUM(D1016:E1016))</f>
        <v>0.81610215261168118</v>
      </c>
    </row>
    <row r="1019" spans="2:15" ht="15.75" thickBot="1" x14ac:dyDescent="0.3"/>
    <row r="1020" spans="2:15" ht="19.5" thickBot="1" x14ac:dyDescent="0.3">
      <c r="B1020" s="676" t="s">
        <v>132</v>
      </c>
      <c r="C1020" s="677"/>
      <c r="D1020" s="677"/>
      <c r="E1020" s="677"/>
      <c r="F1020" s="677"/>
      <c r="G1020" s="677"/>
      <c r="H1020" s="677"/>
      <c r="I1020" s="677"/>
      <c r="J1020" s="677"/>
      <c r="K1020" s="677"/>
      <c r="L1020" s="677"/>
      <c r="M1020" s="677"/>
      <c r="N1020" s="677"/>
      <c r="O1020" s="678"/>
    </row>
    <row r="1021" spans="2:15" ht="30.75" thickBot="1" x14ac:dyDescent="0.3">
      <c r="B1021" s="174" t="s">
        <v>34</v>
      </c>
      <c r="C1021" s="243" t="s">
        <v>9</v>
      </c>
      <c r="D1021" s="248" t="s">
        <v>85</v>
      </c>
      <c r="E1021" s="353" t="s">
        <v>86</v>
      </c>
      <c r="F1021" s="338">
        <v>43127</v>
      </c>
      <c r="G1021" s="178">
        <f>+F1021+2</f>
        <v>43129</v>
      </c>
      <c r="H1021" s="178">
        <f>+G1021+1</f>
        <v>43130</v>
      </c>
      <c r="I1021" s="178">
        <f>+H1021+1</f>
        <v>43131</v>
      </c>
      <c r="J1021" s="178">
        <f>+I1021+1</f>
        <v>43132</v>
      </c>
      <c r="K1021" s="339">
        <f>+J1021+1</f>
        <v>43133</v>
      </c>
      <c r="L1021" s="359" t="s">
        <v>87</v>
      </c>
      <c r="M1021" s="360" t="s">
        <v>88</v>
      </c>
      <c r="N1021" s="178" t="s">
        <v>89</v>
      </c>
      <c r="O1021" s="339" t="s">
        <v>90</v>
      </c>
    </row>
    <row r="1022" spans="2:15" x14ac:dyDescent="0.25">
      <c r="B1022" s="324">
        <v>254851</v>
      </c>
      <c r="C1022" s="351" t="s">
        <v>133</v>
      </c>
      <c r="D1022" s="340">
        <v>360</v>
      </c>
      <c r="E1022" s="341"/>
      <c r="F1022" s="340"/>
      <c r="G1022" s="309"/>
      <c r="H1022" s="309"/>
      <c r="I1022" s="309"/>
      <c r="J1022" s="309"/>
      <c r="K1022" s="341"/>
      <c r="L1022" s="335">
        <f t="shared" ref="L1022:L1029" si="237">SUM(F1022:K1022)</f>
        <v>0</v>
      </c>
      <c r="M1022" s="326">
        <f>+SUM(D1022:E1022)-L1022</f>
        <v>360</v>
      </c>
      <c r="N1022" s="327">
        <f t="shared" ref="N1022:N1044" si="238">IF(L1022=0,0,IFERROR(L1022/D1022,"REQ ADICIONAL"))</f>
        <v>0</v>
      </c>
      <c r="O1022" s="328">
        <f>IFERROR(L1022/SUM(D1022:E1022),0)</f>
        <v>0</v>
      </c>
    </row>
    <row r="1023" spans="2:15" x14ac:dyDescent="0.25">
      <c r="B1023" s="18">
        <v>254853</v>
      </c>
      <c r="C1023" s="252" t="s">
        <v>134</v>
      </c>
      <c r="D1023" s="342">
        <v>180</v>
      </c>
      <c r="E1023" s="343"/>
      <c r="F1023" s="342"/>
      <c r="G1023" s="52"/>
      <c r="H1023" s="52"/>
      <c r="I1023" s="52"/>
      <c r="J1023" s="52"/>
      <c r="K1023" s="343"/>
      <c r="L1023" s="145">
        <f t="shared" si="237"/>
        <v>0</v>
      </c>
      <c r="M1023" s="143">
        <f t="shared" ref="M1023:M1029" si="239">+SUM(D1023:E1023)-L1023</f>
        <v>180</v>
      </c>
      <c r="N1023" s="121">
        <f t="shared" si="238"/>
        <v>0</v>
      </c>
      <c r="O1023" s="186">
        <f t="shared" ref="O1023:O1042" si="240">IFERROR(L1023/SUM(D1023:E1023),0)</f>
        <v>0</v>
      </c>
    </row>
    <row r="1024" spans="2:15" x14ac:dyDescent="0.25">
      <c r="B1024" s="18">
        <v>254850</v>
      </c>
      <c r="C1024" s="252" t="s">
        <v>135</v>
      </c>
      <c r="D1024" s="342">
        <v>2400</v>
      </c>
      <c r="E1024" s="343"/>
      <c r="F1024" s="342"/>
      <c r="G1024" s="52"/>
      <c r="H1024" s="52"/>
      <c r="I1024" s="52"/>
      <c r="J1024" s="52"/>
      <c r="K1024" s="343"/>
      <c r="L1024" s="145">
        <f t="shared" si="237"/>
        <v>0</v>
      </c>
      <c r="M1024" s="143">
        <f t="shared" si="239"/>
        <v>2400</v>
      </c>
      <c r="N1024" s="121">
        <f t="shared" si="238"/>
        <v>0</v>
      </c>
      <c r="O1024" s="186">
        <f t="shared" si="240"/>
        <v>0</v>
      </c>
    </row>
    <row r="1025" spans="2:15" x14ac:dyDescent="0.25">
      <c r="B1025" s="329">
        <v>250524</v>
      </c>
      <c r="C1025" s="60" t="s">
        <v>136</v>
      </c>
      <c r="D1025" s="342">
        <v>160</v>
      </c>
      <c r="E1025" s="343"/>
      <c r="F1025" s="342"/>
      <c r="G1025" s="52"/>
      <c r="H1025" s="52"/>
      <c r="I1025" s="52"/>
      <c r="J1025" s="52"/>
      <c r="K1025" s="343"/>
      <c r="L1025" s="145">
        <f t="shared" si="237"/>
        <v>0</v>
      </c>
      <c r="M1025" s="143">
        <f t="shared" si="239"/>
        <v>160</v>
      </c>
      <c r="N1025" s="121">
        <f t="shared" si="238"/>
        <v>0</v>
      </c>
      <c r="O1025" s="186">
        <f t="shared" si="240"/>
        <v>0</v>
      </c>
    </row>
    <row r="1026" spans="2:15" x14ac:dyDescent="0.25">
      <c r="B1026" s="329">
        <v>252534</v>
      </c>
      <c r="C1026" s="252" t="s">
        <v>137</v>
      </c>
      <c r="D1026" s="342">
        <v>450</v>
      </c>
      <c r="E1026" s="343"/>
      <c r="F1026" s="342"/>
      <c r="G1026" s="52"/>
      <c r="H1026" s="52"/>
      <c r="I1026" s="52"/>
      <c r="J1026" s="52"/>
      <c r="K1026" s="343"/>
      <c r="L1026" s="145">
        <f t="shared" si="237"/>
        <v>0</v>
      </c>
      <c r="M1026" s="143">
        <f t="shared" si="239"/>
        <v>450</v>
      </c>
      <c r="N1026" s="121">
        <f t="shared" si="238"/>
        <v>0</v>
      </c>
      <c r="O1026" s="186">
        <f t="shared" si="240"/>
        <v>0</v>
      </c>
    </row>
    <row r="1027" spans="2:15" x14ac:dyDescent="0.25">
      <c r="B1027" s="7">
        <v>256329</v>
      </c>
      <c r="C1027" s="252" t="s">
        <v>81</v>
      </c>
      <c r="D1027" s="342">
        <v>780</v>
      </c>
      <c r="E1027" s="343"/>
      <c r="F1027" s="342"/>
      <c r="G1027" s="52"/>
      <c r="H1027" s="52"/>
      <c r="I1027" s="52"/>
      <c r="J1027" s="52"/>
      <c r="K1027" s="343"/>
      <c r="L1027" s="145">
        <f t="shared" si="237"/>
        <v>0</v>
      </c>
      <c r="M1027" s="143">
        <f t="shared" si="239"/>
        <v>780</v>
      </c>
      <c r="N1027" s="121">
        <f t="shared" si="238"/>
        <v>0</v>
      </c>
      <c r="O1027" s="186">
        <f t="shared" si="240"/>
        <v>0</v>
      </c>
    </row>
    <row r="1028" spans="2:15" x14ac:dyDescent="0.25">
      <c r="B1028" s="18">
        <v>256331</v>
      </c>
      <c r="C1028" s="252" t="s">
        <v>138</v>
      </c>
      <c r="D1028" s="342">
        <v>260</v>
      </c>
      <c r="E1028" s="343"/>
      <c r="F1028" s="342"/>
      <c r="G1028" s="52"/>
      <c r="H1028" s="52"/>
      <c r="I1028" s="52"/>
      <c r="J1028" s="52"/>
      <c r="K1028" s="343"/>
      <c r="L1028" s="145">
        <f t="shared" si="237"/>
        <v>0</v>
      </c>
      <c r="M1028" s="143">
        <f t="shared" si="239"/>
        <v>260</v>
      </c>
      <c r="N1028" s="121">
        <f t="shared" si="238"/>
        <v>0</v>
      </c>
      <c r="O1028" s="186">
        <f t="shared" si="240"/>
        <v>0</v>
      </c>
    </row>
    <row r="1029" spans="2:15" x14ac:dyDescent="0.25">
      <c r="B1029" s="18">
        <v>254963</v>
      </c>
      <c r="C1029" s="252" t="s">
        <v>139</v>
      </c>
      <c r="D1029" s="342">
        <v>225</v>
      </c>
      <c r="E1029" s="343"/>
      <c r="F1029" s="342"/>
      <c r="G1029" s="52"/>
      <c r="H1029" s="52"/>
      <c r="I1029" s="52"/>
      <c r="J1029" s="52"/>
      <c r="K1029" s="343"/>
      <c r="L1029" s="145">
        <f t="shared" si="237"/>
        <v>0</v>
      </c>
      <c r="M1029" s="143">
        <f t="shared" si="239"/>
        <v>225</v>
      </c>
      <c r="N1029" s="121">
        <f t="shared" si="238"/>
        <v>0</v>
      </c>
      <c r="O1029" s="186">
        <f t="shared" si="240"/>
        <v>0</v>
      </c>
    </row>
    <row r="1030" spans="2:15" x14ac:dyDescent="0.25">
      <c r="B1030" s="329">
        <v>254954</v>
      </c>
      <c r="C1030" s="60" t="s">
        <v>140</v>
      </c>
      <c r="D1030" s="342">
        <v>180</v>
      </c>
      <c r="E1030" s="343"/>
      <c r="F1030" s="342"/>
      <c r="G1030" s="52"/>
      <c r="H1030" s="52"/>
      <c r="I1030" s="52"/>
      <c r="J1030" s="52"/>
      <c r="K1030" s="343"/>
      <c r="L1030" s="145">
        <f t="shared" ref="L1030:L1042" si="241">SUM(F1030:K1030)</f>
        <v>0</v>
      </c>
      <c r="M1030" s="143">
        <f t="shared" ref="M1030:M1042" si="242">+SUM(D1030:E1030)-L1030</f>
        <v>180</v>
      </c>
      <c r="N1030" s="121">
        <f t="shared" si="238"/>
        <v>0</v>
      </c>
      <c r="O1030" s="186">
        <f t="shared" si="240"/>
        <v>0</v>
      </c>
    </row>
    <row r="1031" spans="2:15" x14ac:dyDescent="0.25">
      <c r="B1031" s="329">
        <v>254950</v>
      </c>
      <c r="C1031" s="252" t="s">
        <v>101</v>
      </c>
      <c r="D1031" s="342">
        <v>720</v>
      </c>
      <c r="E1031" s="343"/>
      <c r="F1031" s="342"/>
      <c r="G1031" s="52"/>
      <c r="H1031" s="52"/>
      <c r="I1031" s="52"/>
      <c r="J1031" s="52"/>
      <c r="K1031" s="343"/>
      <c r="L1031" s="145">
        <f t="shared" si="241"/>
        <v>0</v>
      </c>
      <c r="M1031" s="143">
        <f t="shared" si="242"/>
        <v>720</v>
      </c>
      <c r="N1031" s="121">
        <f t="shared" si="238"/>
        <v>0</v>
      </c>
      <c r="O1031" s="186">
        <f t="shared" si="240"/>
        <v>0</v>
      </c>
    </row>
    <row r="1032" spans="2:15" x14ac:dyDescent="0.25">
      <c r="B1032" s="7">
        <v>256330</v>
      </c>
      <c r="C1032" s="252" t="s">
        <v>141</v>
      </c>
      <c r="D1032" s="342">
        <v>240</v>
      </c>
      <c r="E1032" s="343"/>
      <c r="F1032" s="342"/>
      <c r="G1032" s="52"/>
      <c r="H1032" s="52"/>
      <c r="I1032" s="52"/>
      <c r="J1032" s="52"/>
      <c r="K1032" s="343"/>
      <c r="L1032" s="145">
        <f t="shared" si="241"/>
        <v>0</v>
      </c>
      <c r="M1032" s="143">
        <f t="shared" si="242"/>
        <v>240</v>
      </c>
      <c r="N1032" s="121">
        <f t="shared" si="238"/>
        <v>0</v>
      </c>
      <c r="O1032" s="187">
        <f t="shared" si="240"/>
        <v>0</v>
      </c>
    </row>
    <row r="1033" spans="2:15" x14ac:dyDescent="0.25">
      <c r="B1033" s="18">
        <v>256332</v>
      </c>
      <c r="C1033" s="252" t="s">
        <v>142</v>
      </c>
      <c r="D1033" s="342">
        <v>240</v>
      </c>
      <c r="E1033" s="343"/>
      <c r="F1033" s="342"/>
      <c r="G1033" s="52"/>
      <c r="H1033" s="52"/>
      <c r="I1033" s="52"/>
      <c r="J1033" s="52"/>
      <c r="K1033" s="343"/>
      <c r="L1033" s="145">
        <f t="shared" si="241"/>
        <v>0</v>
      </c>
      <c r="M1033" s="143">
        <f t="shared" si="242"/>
        <v>240</v>
      </c>
      <c r="N1033" s="121">
        <f t="shared" si="238"/>
        <v>0</v>
      </c>
      <c r="O1033" s="187">
        <f t="shared" si="240"/>
        <v>0</v>
      </c>
    </row>
    <row r="1034" spans="2:15" x14ac:dyDescent="0.25">
      <c r="B1034" s="18">
        <v>251632</v>
      </c>
      <c r="C1034" s="252" t="s">
        <v>51</v>
      </c>
      <c r="D1034" s="342">
        <v>180</v>
      </c>
      <c r="E1034" s="343"/>
      <c r="F1034" s="342"/>
      <c r="G1034" s="52"/>
      <c r="H1034" s="52"/>
      <c r="I1034" s="52"/>
      <c r="J1034" s="52"/>
      <c r="K1034" s="343"/>
      <c r="L1034" s="145">
        <f t="shared" si="241"/>
        <v>0</v>
      </c>
      <c r="M1034" s="143">
        <f t="shared" si="242"/>
        <v>180</v>
      </c>
      <c r="N1034" s="121">
        <f t="shared" si="238"/>
        <v>0</v>
      </c>
      <c r="O1034" s="187">
        <f t="shared" si="240"/>
        <v>0</v>
      </c>
    </row>
    <row r="1035" spans="2:15" x14ac:dyDescent="0.25">
      <c r="B1035" s="7">
        <v>255349</v>
      </c>
      <c r="C1035" s="60" t="s">
        <v>94</v>
      </c>
      <c r="D1035" s="342">
        <v>225</v>
      </c>
      <c r="E1035" s="343"/>
      <c r="F1035" s="342"/>
      <c r="G1035" s="52"/>
      <c r="H1035" s="52"/>
      <c r="I1035" s="52"/>
      <c r="J1035" s="52"/>
      <c r="K1035" s="343"/>
      <c r="L1035" s="145">
        <f t="shared" si="241"/>
        <v>0</v>
      </c>
      <c r="M1035" s="143">
        <f t="shared" si="242"/>
        <v>225</v>
      </c>
      <c r="N1035" s="121">
        <f t="shared" si="238"/>
        <v>0</v>
      </c>
      <c r="O1035" s="187">
        <f t="shared" si="240"/>
        <v>0</v>
      </c>
    </row>
    <row r="1036" spans="2:15" x14ac:dyDescent="0.25">
      <c r="B1036" s="329">
        <v>256359</v>
      </c>
      <c r="C1036" s="252" t="s">
        <v>127</v>
      </c>
      <c r="D1036" s="342">
        <v>350</v>
      </c>
      <c r="E1036" s="343"/>
      <c r="F1036" s="342"/>
      <c r="G1036" s="52"/>
      <c r="H1036" s="52"/>
      <c r="I1036" s="52"/>
      <c r="J1036" s="52"/>
      <c r="K1036" s="343"/>
      <c r="L1036" s="145">
        <f t="shared" si="241"/>
        <v>0</v>
      </c>
      <c r="M1036" s="143">
        <f t="shared" si="242"/>
        <v>350</v>
      </c>
      <c r="N1036" s="121">
        <f t="shared" si="238"/>
        <v>0</v>
      </c>
      <c r="O1036" s="187">
        <f t="shared" si="240"/>
        <v>0</v>
      </c>
    </row>
    <row r="1037" spans="2:15" x14ac:dyDescent="0.25">
      <c r="B1037" s="7">
        <v>256357</v>
      </c>
      <c r="C1037" s="252" t="s">
        <v>128</v>
      </c>
      <c r="D1037" s="342">
        <v>350</v>
      </c>
      <c r="E1037" s="354"/>
      <c r="F1037" s="342"/>
      <c r="G1037" s="52"/>
      <c r="H1037" s="52"/>
      <c r="I1037" s="52"/>
      <c r="J1037" s="52"/>
      <c r="K1037" s="343"/>
      <c r="L1037" s="145">
        <f t="shared" si="241"/>
        <v>0</v>
      </c>
      <c r="M1037" s="143">
        <f t="shared" si="242"/>
        <v>350</v>
      </c>
      <c r="N1037" s="121">
        <f t="shared" si="238"/>
        <v>0</v>
      </c>
      <c r="O1037" s="187">
        <f t="shared" si="240"/>
        <v>0</v>
      </c>
    </row>
    <row r="1038" spans="2:15" x14ac:dyDescent="0.25">
      <c r="B1038" s="18">
        <v>256355</v>
      </c>
      <c r="C1038" s="252" t="s">
        <v>143</v>
      </c>
      <c r="D1038" s="342">
        <v>350</v>
      </c>
      <c r="E1038" s="354"/>
      <c r="F1038" s="344"/>
      <c r="G1038" s="52"/>
      <c r="H1038" s="52"/>
      <c r="I1038" s="52"/>
      <c r="J1038" s="52"/>
      <c r="K1038" s="343"/>
      <c r="L1038" s="145">
        <f t="shared" si="241"/>
        <v>0</v>
      </c>
      <c r="M1038" s="143">
        <f t="shared" si="242"/>
        <v>350</v>
      </c>
      <c r="N1038" s="121">
        <f t="shared" si="238"/>
        <v>0</v>
      </c>
      <c r="O1038" s="187">
        <f t="shared" si="240"/>
        <v>0</v>
      </c>
    </row>
    <row r="1039" spans="2:15" x14ac:dyDescent="0.25">
      <c r="B1039" s="7">
        <v>256358</v>
      </c>
      <c r="C1039" s="252" t="s">
        <v>144</v>
      </c>
      <c r="D1039" s="342">
        <v>350</v>
      </c>
      <c r="E1039" s="354"/>
      <c r="F1039" s="344"/>
      <c r="G1039" s="49"/>
      <c r="H1039" s="52"/>
      <c r="I1039" s="52"/>
      <c r="J1039" s="52"/>
      <c r="K1039" s="343"/>
      <c r="L1039" s="145">
        <f t="shared" si="241"/>
        <v>0</v>
      </c>
      <c r="M1039" s="143">
        <f t="shared" si="242"/>
        <v>350</v>
      </c>
      <c r="N1039" s="121">
        <f t="shared" si="238"/>
        <v>0</v>
      </c>
      <c r="O1039" s="187">
        <f t="shared" si="240"/>
        <v>0</v>
      </c>
    </row>
    <row r="1040" spans="2:15" x14ac:dyDescent="0.25">
      <c r="B1040" s="7">
        <v>254975</v>
      </c>
      <c r="C1040" s="91" t="s">
        <v>145</v>
      </c>
      <c r="D1040" s="342">
        <v>175</v>
      </c>
      <c r="E1040" s="343"/>
      <c r="F1040" s="344"/>
      <c r="G1040" s="49"/>
      <c r="H1040" s="52"/>
      <c r="I1040" s="52"/>
      <c r="J1040" s="52"/>
      <c r="K1040" s="343"/>
      <c r="L1040" s="145">
        <f t="shared" si="241"/>
        <v>0</v>
      </c>
      <c r="M1040" s="143">
        <f t="shared" si="242"/>
        <v>175</v>
      </c>
      <c r="N1040" s="121">
        <f t="shared" si="238"/>
        <v>0</v>
      </c>
      <c r="O1040" s="187">
        <f t="shared" si="240"/>
        <v>0</v>
      </c>
    </row>
    <row r="1041" spans="2:15" x14ac:dyDescent="0.25">
      <c r="B1041" s="7">
        <v>256344</v>
      </c>
      <c r="C1041" s="252" t="s">
        <v>146</v>
      </c>
      <c r="D1041" s="342">
        <v>175</v>
      </c>
      <c r="E1041" s="354"/>
      <c r="F1041" s="344"/>
      <c r="G1041" s="49"/>
      <c r="H1041" s="52"/>
      <c r="I1041" s="52"/>
      <c r="J1041" s="52"/>
      <c r="K1041" s="343"/>
      <c r="L1041" s="145">
        <f t="shared" si="241"/>
        <v>0</v>
      </c>
      <c r="M1041" s="143">
        <f t="shared" si="242"/>
        <v>175</v>
      </c>
      <c r="N1041" s="121">
        <f t="shared" si="238"/>
        <v>0</v>
      </c>
      <c r="O1041" s="187">
        <f t="shared" si="240"/>
        <v>0</v>
      </c>
    </row>
    <row r="1042" spans="2:15" x14ac:dyDescent="0.25">
      <c r="B1042" s="7">
        <v>256343</v>
      </c>
      <c r="C1042" s="91" t="s">
        <v>147</v>
      </c>
      <c r="D1042" s="342">
        <v>175</v>
      </c>
      <c r="E1042" s="343"/>
      <c r="F1042" s="344"/>
      <c r="G1042" s="49"/>
      <c r="H1042" s="52"/>
      <c r="I1042" s="52"/>
      <c r="J1042" s="52"/>
      <c r="K1042" s="343"/>
      <c r="L1042" s="145">
        <f t="shared" si="241"/>
        <v>0</v>
      </c>
      <c r="M1042" s="143">
        <f t="shared" si="242"/>
        <v>175</v>
      </c>
      <c r="N1042" s="121">
        <f t="shared" si="238"/>
        <v>0</v>
      </c>
      <c r="O1042" s="187">
        <f t="shared" si="240"/>
        <v>0</v>
      </c>
    </row>
    <row r="1043" spans="2:15" x14ac:dyDescent="0.25">
      <c r="B1043" s="18">
        <v>254988</v>
      </c>
      <c r="C1043" s="60" t="s">
        <v>148</v>
      </c>
      <c r="D1043" s="355">
        <v>450</v>
      </c>
      <c r="E1043" s="346"/>
      <c r="F1043" s="345"/>
      <c r="G1043" s="50"/>
      <c r="H1043" s="92"/>
      <c r="I1043" s="92"/>
      <c r="J1043" s="92"/>
      <c r="K1043" s="346"/>
      <c r="L1043" s="145">
        <f>SUM(F1043:K1043)</f>
        <v>0</v>
      </c>
      <c r="M1043" s="143">
        <f>+SUM(D1043:E1043)-L1043</f>
        <v>450</v>
      </c>
      <c r="N1043" s="121">
        <f t="shared" si="238"/>
        <v>0</v>
      </c>
      <c r="O1043" s="187">
        <f>IFERROR(L1043/SUM(D1043:E1043),0)</f>
        <v>0</v>
      </c>
    </row>
    <row r="1044" spans="2:15" ht="15.75" thickBot="1" x14ac:dyDescent="0.3">
      <c r="B1044" s="334">
        <v>255341</v>
      </c>
      <c r="C1044" s="352" t="s">
        <v>50</v>
      </c>
      <c r="D1044" s="356">
        <v>675</v>
      </c>
      <c r="E1044" s="348"/>
      <c r="F1044" s="347"/>
      <c r="G1044" s="113"/>
      <c r="H1044" s="330"/>
      <c r="I1044" s="330"/>
      <c r="J1044" s="330"/>
      <c r="K1044" s="348"/>
      <c r="L1044" s="336">
        <f>SUM(F1044:K1044)</f>
        <v>0</v>
      </c>
      <c r="M1044" s="196">
        <f>+SUM(D1044:E1044)-L1044</f>
        <v>675</v>
      </c>
      <c r="N1044" s="197">
        <f t="shared" si="238"/>
        <v>0</v>
      </c>
      <c r="O1044" s="198">
        <f>IFERROR(L1044/SUM(D1044:E1044),0)</f>
        <v>0</v>
      </c>
    </row>
    <row r="1045" spans="2:15" ht="16.5" thickBot="1" x14ac:dyDescent="0.3">
      <c r="D1045" s="357">
        <f t="shared" ref="D1045:M1045" si="243">SUM(D1022:D1044)</f>
        <v>9650</v>
      </c>
      <c r="E1045" s="358">
        <f t="shared" si="243"/>
        <v>0</v>
      </c>
      <c r="F1045" s="349">
        <f t="shared" si="243"/>
        <v>0</v>
      </c>
      <c r="G1045" s="201">
        <f t="shared" si="243"/>
        <v>0</v>
      </c>
      <c r="H1045" s="201">
        <f t="shared" si="243"/>
        <v>0</v>
      </c>
      <c r="I1045" s="201">
        <f t="shared" si="243"/>
        <v>0</v>
      </c>
      <c r="J1045" s="201">
        <f t="shared" si="243"/>
        <v>0</v>
      </c>
      <c r="K1045" s="350">
        <f t="shared" si="243"/>
        <v>0</v>
      </c>
      <c r="L1045" s="337">
        <f t="shared" si="243"/>
        <v>0</v>
      </c>
      <c r="M1045" s="323">
        <f t="shared" si="243"/>
        <v>9650</v>
      </c>
      <c r="N1045" s="204">
        <f>L1045/D1045</f>
        <v>0</v>
      </c>
      <c r="O1045" s="205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648" priority="741" operator="equal">
      <formula>"REQ ADICIONAL"</formula>
    </cfRule>
  </conditionalFormatting>
  <conditionalFormatting sqref="N31:N52 N54">
    <cfRule type="cellIs" dxfId="647" priority="739" operator="equal">
      <formula>"REQ ADICIONAL"</formula>
    </cfRule>
  </conditionalFormatting>
  <conditionalFormatting sqref="N30:N52 N848:N858 N863:N872 N1042:N1044">
    <cfRule type="cellIs" dxfId="646" priority="737" operator="lessThan">
      <formula>1</formula>
    </cfRule>
    <cfRule type="cellIs" dxfId="645" priority="738" operator="equal">
      <formula>1</formula>
    </cfRule>
  </conditionalFormatting>
  <conditionalFormatting sqref="O30:O52 O842:O858 O863:O872 O1022:O1044">
    <cfRule type="cellIs" dxfId="644" priority="736" operator="equal">
      <formula>1</formula>
    </cfRule>
  </conditionalFormatting>
  <conditionalFormatting sqref="N58:N61 N76:N80 N63:N74">
    <cfRule type="cellIs" dxfId="643" priority="734" operator="equal">
      <formula>"REQ ADICIONAL"</formula>
    </cfRule>
  </conditionalFormatting>
  <conditionalFormatting sqref="N57:N61 N76:N80 N63:N74">
    <cfRule type="cellIs" dxfId="642" priority="732" operator="lessThan">
      <formula>1</formula>
    </cfRule>
    <cfRule type="cellIs" dxfId="641" priority="733" operator="equal">
      <formula>1</formula>
    </cfRule>
  </conditionalFormatting>
  <conditionalFormatting sqref="O57:O74 O76:O80">
    <cfRule type="cellIs" dxfId="640" priority="731" operator="equal">
      <formula>1</formula>
    </cfRule>
  </conditionalFormatting>
  <conditionalFormatting sqref="N75">
    <cfRule type="cellIs" dxfId="639" priority="729" operator="equal">
      <formula>"REQ ADICIONAL"</formula>
    </cfRule>
  </conditionalFormatting>
  <conditionalFormatting sqref="N75">
    <cfRule type="cellIs" dxfId="638" priority="727" operator="lessThan">
      <formula>1</formula>
    </cfRule>
    <cfRule type="cellIs" dxfId="637" priority="728" operator="equal">
      <formula>1</formula>
    </cfRule>
  </conditionalFormatting>
  <conditionalFormatting sqref="O75">
    <cfRule type="cellIs" dxfId="636" priority="726" operator="equal">
      <formula>1</formula>
    </cfRule>
  </conditionalFormatting>
  <conditionalFormatting sqref="N62">
    <cfRule type="cellIs" dxfId="635" priority="724" operator="equal">
      <formula>"REQ ADICIONAL"</formula>
    </cfRule>
  </conditionalFormatting>
  <conditionalFormatting sqref="N62">
    <cfRule type="cellIs" dxfId="634" priority="722" operator="lessThan">
      <formula>1</formula>
    </cfRule>
    <cfRule type="cellIs" dxfId="633" priority="723" operator="equal">
      <formula>1</formula>
    </cfRule>
  </conditionalFormatting>
  <conditionalFormatting sqref="N86:N89 N104:N106 N91:N102">
    <cfRule type="cellIs" dxfId="632" priority="720" operator="equal">
      <formula>"REQ ADICIONAL"</formula>
    </cfRule>
  </conditionalFormatting>
  <conditionalFormatting sqref="N85:N89 N104:N106 N91:N102">
    <cfRule type="cellIs" dxfId="631" priority="718" operator="lessThan">
      <formula>1</formula>
    </cfRule>
    <cfRule type="cellIs" dxfId="630" priority="719" operator="equal">
      <formula>1</formula>
    </cfRule>
  </conditionalFormatting>
  <conditionalFormatting sqref="O85:O102 O104:O106">
    <cfRule type="cellIs" dxfId="629" priority="717" operator="equal">
      <formula>1</formula>
    </cfRule>
  </conditionalFormatting>
  <conditionalFormatting sqref="N103">
    <cfRule type="cellIs" dxfId="628" priority="715" operator="equal">
      <formula>"REQ ADICIONAL"</formula>
    </cfRule>
  </conditionalFormatting>
  <conditionalFormatting sqref="N103">
    <cfRule type="cellIs" dxfId="627" priority="713" operator="lessThan">
      <formula>1</formula>
    </cfRule>
    <cfRule type="cellIs" dxfId="626" priority="714" operator="equal">
      <formula>1</formula>
    </cfRule>
  </conditionalFormatting>
  <conditionalFormatting sqref="O103">
    <cfRule type="cellIs" dxfId="625" priority="712" operator="equal">
      <formula>1</formula>
    </cfRule>
  </conditionalFormatting>
  <conditionalFormatting sqref="N90">
    <cfRule type="cellIs" dxfId="624" priority="710" operator="equal">
      <formula>"REQ ADICIONAL"</formula>
    </cfRule>
  </conditionalFormatting>
  <conditionalFormatting sqref="N90">
    <cfRule type="cellIs" dxfId="623" priority="708" operator="lessThan">
      <formula>1</formula>
    </cfRule>
    <cfRule type="cellIs" dxfId="622" priority="709" operator="equal">
      <formula>1</formula>
    </cfRule>
  </conditionalFormatting>
  <conditionalFormatting sqref="N114:N117 N132:N134 N119:N130">
    <cfRule type="cellIs" dxfId="621" priority="706" operator="equal">
      <formula>"REQ ADICIONAL"</formula>
    </cfRule>
  </conditionalFormatting>
  <conditionalFormatting sqref="N113:N117 N132:N134 N119:N130">
    <cfRule type="cellIs" dxfId="620" priority="704" operator="lessThan">
      <formula>1</formula>
    </cfRule>
    <cfRule type="cellIs" dxfId="619" priority="705" operator="equal">
      <formula>1</formula>
    </cfRule>
  </conditionalFormatting>
  <conditionalFormatting sqref="O113:O130 O132:O134">
    <cfRule type="cellIs" dxfId="618" priority="703" operator="equal">
      <formula>1</formula>
    </cfRule>
  </conditionalFormatting>
  <conditionalFormatting sqref="N131">
    <cfRule type="cellIs" dxfId="617" priority="701" operator="equal">
      <formula>"REQ ADICIONAL"</formula>
    </cfRule>
  </conditionalFormatting>
  <conditionalFormatting sqref="N131">
    <cfRule type="cellIs" dxfId="616" priority="699" operator="lessThan">
      <formula>1</formula>
    </cfRule>
    <cfRule type="cellIs" dxfId="615" priority="700" operator="equal">
      <formula>1</formula>
    </cfRule>
  </conditionalFormatting>
  <conditionalFormatting sqref="O131">
    <cfRule type="cellIs" dxfId="614" priority="698" operator="equal">
      <formula>1</formula>
    </cfRule>
  </conditionalFormatting>
  <conditionalFormatting sqref="N118">
    <cfRule type="cellIs" dxfId="613" priority="696" operator="equal">
      <formula>"REQ ADICIONAL"</formula>
    </cfRule>
  </conditionalFormatting>
  <conditionalFormatting sqref="N118">
    <cfRule type="cellIs" dxfId="612" priority="694" operator="lessThan">
      <formula>1</formula>
    </cfRule>
    <cfRule type="cellIs" dxfId="611" priority="695" operator="equal">
      <formula>1</formula>
    </cfRule>
  </conditionalFormatting>
  <conditionalFormatting sqref="N142:N145 N160:N161 N147:N158 N164">
    <cfRule type="cellIs" dxfId="610" priority="692" operator="equal">
      <formula>"REQ ADICIONAL"</formula>
    </cfRule>
  </conditionalFormatting>
  <conditionalFormatting sqref="N141:N145 N160:N161 N147:N158 N164">
    <cfRule type="cellIs" dxfId="609" priority="690" operator="lessThan">
      <formula>1</formula>
    </cfRule>
    <cfRule type="cellIs" dxfId="608" priority="691" operator="equal">
      <formula>1</formula>
    </cfRule>
  </conditionalFormatting>
  <conditionalFormatting sqref="O141:O158 O160:O161 O164">
    <cfRule type="cellIs" dxfId="607" priority="689" operator="equal">
      <formula>1</formula>
    </cfRule>
  </conditionalFormatting>
  <conditionalFormatting sqref="N159">
    <cfRule type="cellIs" dxfId="606" priority="687" operator="equal">
      <formula>"REQ ADICIONAL"</formula>
    </cfRule>
  </conditionalFormatting>
  <conditionalFormatting sqref="N159">
    <cfRule type="cellIs" dxfId="605" priority="685" operator="lessThan">
      <formula>1</formula>
    </cfRule>
    <cfRule type="cellIs" dxfId="604" priority="686" operator="equal">
      <formula>1</formula>
    </cfRule>
  </conditionalFormatting>
  <conditionalFormatting sqref="O159">
    <cfRule type="cellIs" dxfId="603" priority="684" operator="equal">
      <formula>1</formula>
    </cfRule>
  </conditionalFormatting>
  <conditionalFormatting sqref="N146">
    <cfRule type="cellIs" dxfId="602" priority="682" operator="equal">
      <formula>"REQ ADICIONAL"</formula>
    </cfRule>
  </conditionalFormatting>
  <conditionalFormatting sqref="N146">
    <cfRule type="cellIs" dxfId="601" priority="680" operator="lessThan">
      <formula>1</formula>
    </cfRule>
    <cfRule type="cellIs" dxfId="600" priority="681" operator="equal">
      <formula>1</formula>
    </cfRule>
  </conditionalFormatting>
  <conditionalFormatting sqref="N162">
    <cfRule type="cellIs" dxfId="599" priority="678" operator="equal">
      <formula>"REQ ADICIONAL"</formula>
    </cfRule>
  </conditionalFormatting>
  <conditionalFormatting sqref="N162">
    <cfRule type="cellIs" dxfId="598" priority="676" operator="lessThan">
      <formula>1</formula>
    </cfRule>
    <cfRule type="cellIs" dxfId="597" priority="677" operator="equal">
      <formula>1</formula>
    </cfRule>
  </conditionalFormatting>
  <conditionalFormatting sqref="O162">
    <cfRule type="cellIs" dxfId="596" priority="675" operator="equal">
      <formula>1</formula>
    </cfRule>
  </conditionalFormatting>
  <conditionalFormatting sqref="N163">
    <cfRule type="cellIs" dxfId="595" priority="673" operator="equal">
      <formula>"REQ ADICIONAL"</formula>
    </cfRule>
  </conditionalFormatting>
  <conditionalFormatting sqref="N163">
    <cfRule type="cellIs" dxfId="594" priority="671" operator="lessThan">
      <formula>1</formula>
    </cfRule>
    <cfRule type="cellIs" dxfId="593" priority="672" operator="equal">
      <formula>1</formula>
    </cfRule>
  </conditionalFormatting>
  <conditionalFormatting sqref="O163">
    <cfRule type="cellIs" dxfId="592" priority="670" operator="equal">
      <formula>1</formula>
    </cfRule>
  </conditionalFormatting>
  <conditionalFormatting sqref="N171:N174 N189:N190 N176:N187 N193">
    <cfRule type="cellIs" dxfId="591" priority="668" operator="equal">
      <formula>"REQ ADICIONAL"</formula>
    </cfRule>
  </conditionalFormatting>
  <conditionalFormatting sqref="N170:N174 N189:N190 N176:N187 N193">
    <cfRule type="cellIs" dxfId="590" priority="666" operator="lessThan">
      <formula>1</formula>
    </cfRule>
    <cfRule type="cellIs" dxfId="589" priority="667" operator="equal">
      <formula>1</formula>
    </cfRule>
  </conditionalFormatting>
  <conditionalFormatting sqref="O170:O187 O189:O190 O193">
    <cfRule type="cellIs" dxfId="588" priority="665" operator="equal">
      <formula>1</formula>
    </cfRule>
  </conditionalFormatting>
  <conditionalFormatting sqref="N188">
    <cfRule type="cellIs" dxfId="587" priority="663" operator="equal">
      <formula>"REQ ADICIONAL"</formula>
    </cfRule>
  </conditionalFormatting>
  <conditionalFormatting sqref="N188">
    <cfRule type="cellIs" dxfId="586" priority="661" operator="lessThan">
      <formula>1</formula>
    </cfRule>
    <cfRule type="cellIs" dxfId="585" priority="662" operator="equal">
      <formula>1</formula>
    </cfRule>
  </conditionalFormatting>
  <conditionalFormatting sqref="O188">
    <cfRule type="cellIs" dxfId="584" priority="660" operator="equal">
      <formula>1</formula>
    </cfRule>
  </conditionalFormatting>
  <conditionalFormatting sqref="N175">
    <cfRule type="cellIs" dxfId="583" priority="658" operator="equal">
      <formula>"REQ ADICIONAL"</formula>
    </cfRule>
  </conditionalFormatting>
  <conditionalFormatting sqref="N175">
    <cfRule type="cellIs" dxfId="582" priority="656" operator="lessThan">
      <formula>1</formula>
    </cfRule>
    <cfRule type="cellIs" dxfId="581" priority="657" operator="equal">
      <formula>1</formula>
    </cfRule>
  </conditionalFormatting>
  <conditionalFormatting sqref="N191">
    <cfRule type="cellIs" dxfId="580" priority="654" operator="equal">
      <formula>"REQ ADICIONAL"</formula>
    </cfRule>
  </conditionalFormatting>
  <conditionalFormatting sqref="N191">
    <cfRule type="cellIs" dxfId="579" priority="652" operator="lessThan">
      <formula>1</formula>
    </cfRule>
    <cfRule type="cellIs" dxfId="578" priority="653" operator="equal">
      <formula>1</formula>
    </cfRule>
  </conditionalFormatting>
  <conditionalFormatting sqref="O191">
    <cfRule type="cellIs" dxfId="577" priority="651" operator="equal">
      <formula>1</formula>
    </cfRule>
  </conditionalFormatting>
  <conditionalFormatting sqref="N192">
    <cfRule type="cellIs" dxfId="576" priority="649" operator="equal">
      <formula>"REQ ADICIONAL"</formula>
    </cfRule>
  </conditionalFormatting>
  <conditionalFormatting sqref="N192">
    <cfRule type="cellIs" dxfId="575" priority="647" operator="lessThan">
      <formula>1</formula>
    </cfRule>
    <cfRule type="cellIs" dxfId="574" priority="648" operator="equal">
      <formula>1</formula>
    </cfRule>
  </conditionalFormatting>
  <conditionalFormatting sqref="O192">
    <cfRule type="cellIs" dxfId="573" priority="646" operator="equal">
      <formula>1</formula>
    </cfRule>
  </conditionalFormatting>
  <conditionalFormatting sqref="N200:N203 N218:N219 N205:N216 N222">
    <cfRule type="cellIs" dxfId="572" priority="644" operator="equal">
      <formula>"REQ ADICIONAL"</formula>
    </cfRule>
  </conditionalFormatting>
  <conditionalFormatting sqref="N199:N203 N218:N219 N205:N216 N222">
    <cfRule type="cellIs" dxfId="571" priority="642" operator="lessThan">
      <formula>1</formula>
    </cfRule>
    <cfRule type="cellIs" dxfId="570" priority="643" operator="equal">
      <formula>1</formula>
    </cfRule>
  </conditionalFormatting>
  <conditionalFormatting sqref="O199:O216 O218:O219 O222">
    <cfRule type="cellIs" dxfId="569" priority="641" operator="equal">
      <formula>1</formula>
    </cfRule>
  </conditionalFormatting>
  <conditionalFormatting sqref="N217">
    <cfRule type="cellIs" dxfId="568" priority="639" operator="equal">
      <formula>"REQ ADICIONAL"</formula>
    </cfRule>
  </conditionalFormatting>
  <conditionalFormatting sqref="N217">
    <cfRule type="cellIs" dxfId="567" priority="637" operator="lessThan">
      <formula>1</formula>
    </cfRule>
    <cfRule type="cellIs" dxfId="566" priority="638" operator="equal">
      <formula>1</formula>
    </cfRule>
  </conditionalFormatting>
  <conditionalFormatting sqref="O217">
    <cfRule type="cellIs" dxfId="565" priority="636" operator="equal">
      <formula>1</formula>
    </cfRule>
  </conditionalFormatting>
  <conditionalFormatting sqref="N204">
    <cfRule type="cellIs" dxfId="564" priority="634" operator="equal">
      <formula>"REQ ADICIONAL"</formula>
    </cfRule>
  </conditionalFormatting>
  <conditionalFormatting sqref="N204">
    <cfRule type="cellIs" dxfId="563" priority="632" operator="lessThan">
      <formula>1</formula>
    </cfRule>
    <cfRule type="cellIs" dxfId="562" priority="633" operator="equal">
      <formula>1</formula>
    </cfRule>
  </conditionalFormatting>
  <conditionalFormatting sqref="N220">
    <cfRule type="cellIs" dxfId="561" priority="630" operator="equal">
      <formula>"REQ ADICIONAL"</formula>
    </cfRule>
  </conditionalFormatting>
  <conditionalFormatting sqref="N220">
    <cfRule type="cellIs" dxfId="560" priority="628" operator="lessThan">
      <formula>1</formula>
    </cfRule>
    <cfRule type="cellIs" dxfId="559" priority="629" operator="equal">
      <formula>1</formula>
    </cfRule>
  </conditionalFormatting>
  <conditionalFormatting sqref="O220">
    <cfRule type="cellIs" dxfId="558" priority="627" operator="equal">
      <formula>1</formula>
    </cfRule>
  </conditionalFormatting>
  <conditionalFormatting sqref="N221">
    <cfRule type="cellIs" dxfId="557" priority="625" operator="equal">
      <formula>"REQ ADICIONAL"</formula>
    </cfRule>
  </conditionalFormatting>
  <conditionalFormatting sqref="N221">
    <cfRule type="cellIs" dxfId="556" priority="623" operator="lessThan">
      <formula>1</formula>
    </cfRule>
    <cfRule type="cellIs" dxfId="555" priority="624" operator="equal">
      <formula>1</formula>
    </cfRule>
  </conditionalFormatting>
  <conditionalFormatting sqref="O221">
    <cfRule type="cellIs" dxfId="554" priority="622" operator="equal">
      <formula>1</formula>
    </cfRule>
  </conditionalFormatting>
  <conditionalFormatting sqref="N228:N231 N246:N247 N233:N244 N250">
    <cfRule type="cellIs" dxfId="553" priority="620" operator="equal">
      <formula>"REQ ADICIONAL"</formula>
    </cfRule>
  </conditionalFormatting>
  <conditionalFormatting sqref="N227:N231 N246:N247 N233:N244 N250">
    <cfRule type="cellIs" dxfId="552" priority="618" operator="lessThan">
      <formula>1</formula>
    </cfRule>
    <cfRule type="cellIs" dxfId="551" priority="619" operator="equal">
      <formula>1</formula>
    </cfRule>
  </conditionalFormatting>
  <conditionalFormatting sqref="O227:O244 O246:O247 O250">
    <cfRule type="cellIs" dxfId="550" priority="617" operator="equal">
      <formula>1</formula>
    </cfRule>
  </conditionalFormatting>
  <conditionalFormatting sqref="N245">
    <cfRule type="cellIs" dxfId="549" priority="615" operator="equal">
      <formula>"REQ ADICIONAL"</formula>
    </cfRule>
  </conditionalFormatting>
  <conditionalFormatting sqref="N245">
    <cfRule type="cellIs" dxfId="548" priority="613" operator="lessThan">
      <formula>1</formula>
    </cfRule>
    <cfRule type="cellIs" dxfId="547" priority="614" operator="equal">
      <formula>1</formula>
    </cfRule>
  </conditionalFormatting>
  <conditionalFormatting sqref="O245">
    <cfRule type="cellIs" dxfId="546" priority="612" operator="equal">
      <formula>1</formula>
    </cfRule>
  </conditionalFormatting>
  <conditionalFormatting sqref="N232">
    <cfRule type="cellIs" dxfId="545" priority="610" operator="equal">
      <formula>"REQ ADICIONAL"</formula>
    </cfRule>
  </conditionalFormatting>
  <conditionalFormatting sqref="N232">
    <cfRule type="cellIs" dxfId="544" priority="608" operator="lessThan">
      <formula>1</formula>
    </cfRule>
    <cfRule type="cellIs" dxfId="543" priority="609" operator="equal">
      <formula>1</formula>
    </cfRule>
  </conditionalFormatting>
  <conditionalFormatting sqref="N248">
    <cfRule type="cellIs" dxfId="542" priority="606" operator="equal">
      <formula>"REQ ADICIONAL"</formula>
    </cfRule>
  </conditionalFormatting>
  <conditionalFormatting sqref="N248">
    <cfRule type="cellIs" dxfId="541" priority="604" operator="lessThan">
      <formula>1</formula>
    </cfRule>
    <cfRule type="cellIs" dxfId="540" priority="605" operator="equal">
      <formula>1</formula>
    </cfRule>
  </conditionalFormatting>
  <conditionalFormatting sqref="O248">
    <cfRule type="cellIs" dxfId="539" priority="603" operator="equal">
      <formula>1</formula>
    </cfRule>
  </conditionalFormatting>
  <conditionalFormatting sqref="N249">
    <cfRule type="cellIs" dxfId="538" priority="601" operator="equal">
      <formula>"REQ ADICIONAL"</formula>
    </cfRule>
  </conditionalFormatting>
  <conditionalFormatting sqref="N249">
    <cfRule type="cellIs" dxfId="537" priority="599" operator="lessThan">
      <formula>1</formula>
    </cfRule>
    <cfRule type="cellIs" dxfId="536" priority="600" operator="equal">
      <formula>1</formula>
    </cfRule>
  </conditionalFormatting>
  <conditionalFormatting sqref="O249">
    <cfRule type="cellIs" dxfId="535" priority="598" operator="equal">
      <formula>1</formula>
    </cfRule>
  </conditionalFormatting>
  <conditionalFormatting sqref="N256:N259 N274:N275 N261:N272 N278">
    <cfRule type="cellIs" dxfId="534" priority="596" operator="equal">
      <formula>"REQ ADICIONAL"</formula>
    </cfRule>
  </conditionalFormatting>
  <conditionalFormatting sqref="N255:N259 N274:N275 N261:N272 N278">
    <cfRule type="cellIs" dxfId="533" priority="594" operator="lessThan">
      <formula>1</formula>
    </cfRule>
    <cfRule type="cellIs" dxfId="532" priority="595" operator="equal">
      <formula>1</formula>
    </cfRule>
  </conditionalFormatting>
  <conditionalFormatting sqref="O255:O272 O274:O275 O278">
    <cfRule type="cellIs" dxfId="531" priority="593" operator="equal">
      <formula>1</formula>
    </cfRule>
  </conditionalFormatting>
  <conditionalFormatting sqref="N273">
    <cfRule type="cellIs" dxfId="530" priority="591" operator="equal">
      <formula>"REQ ADICIONAL"</formula>
    </cfRule>
  </conditionalFormatting>
  <conditionalFormatting sqref="N273">
    <cfRule type="cellIs" dxfId="529" priority="589" operator="lessThan">
      <formula>1</formula>
    </cfRule>
    <cfRule type="cellIs" dxfId="528" priority="590" operator="equal">
      <formula>1</formula>
    </cfRule>
  </conditionalFormatting>
  <conditionalFormatting sqref="O273">
    <cfRule type="cellIs" dxfId="527" priority="588" operator="equal">
      <formula>1</formula>
    </cfRule>
  </conditionalFormatting>
  <conditionalFormatting sqref="N260">
    <cfRule type="cellIs" dxfId="526" priority="586" operator="equal">
      <formula>"REQ ADICIONAL"</formula>
    </cfRule>
  </conditionalFormatting>
  <conditionalFormatting sqref="N260">
    <cfRule type="cellIs" dxfId="525" priority="584" operator="lessThan">
      <formula>1</formula>
    </cfRule>
    <cfRule type="cellIs" dxfId="524" priority="585" operator="equal">
      <formula>1</formula>
    </cfRule>
  </conditionalFormatting>
  <conditionalFormatting sqref="N276">
    <cfRule type="cellIs" dxfId="523" priority="582" operator="equal">
      <formula>"REQ ADICIONAL"</formula>
    </cfRule>
  </conditionalFormatting>
  <conditionalFormatting sqref="N276">
    <cfRule type="cellIs" dxfId="522" priority="580" operator="lessThan">
      <formula>1</formula>
    </cfRule>
    <cfRule type="cellIs" dxfId="521" priority="581" operator="equal">
      <formula>1</formula>
    </cfRule>
  </conditionalFormatting>
  <conditionalFormatting sqref="O276">
    <cfRule type="cellIs" dxfId="520" priority="579" operator="equal">
      <formula>1</formula>
    </cfRule>
  </conditionalFormatting>
  <conditionalFormatting sqref="N277">
    <cfRule type="cellIs" dxfId="519" priority="577" operator="equal">
      <formula>"REQ ADICIONAL"</formula>
    </cfRule>
  </conditionalFormatting>
  <conditionalFormatting sqref="N277">
    <cfRule type="cellIs" dxfId="518" priority="575" operator="lessThan">
      <formula>1</formula>
    </cfRule>
    <cfRule type="cellIs" dxfId="517" priority="576" operator="equal">
      <formula>1</formula>
    </cfRule>
  </conditionalFormatting>
  <conditionalFormatting sqref="O277">
    <cfRule type="cellIs" dxfId="516" priority="574" operator="equal">
      <formula>1</formula>
    </cfRule>
  </conditionalFormatting>
  <conditionalFormatting sqref="N284:N287 N302:N303 N289:N300 N306">
    <cfRule type="cellIs" dxfId="515" priority="572" operator="equal">
      <formula>"REQ ADICIONAL"</formula>
    </cfRule>
  </conditionalFormatting>
  <conditionalFormatting sqref="N283:N287 N302:N303 N289:N300 N306">
    <cfRule type="cellIs" dxfId="514" priority="570" operator="lessThan">
      <formula>1</formula>
    </cfRule>
    <cfRule type="cellIs" dxfId="513" priority="571" operator="equal">
      <formula>1</formula>
    </cfRule>
  </conditionalFormatting>
  <conditionalFormatting sqref="O283:O300 O302:O303 O306">
    <cfRule type="cellIs" dxfId="512" priority="569" operator="equal">
      <formula>1</formula>
    </cfRule>
  </conditionalFormatting>
  <conditionalFormatting sqref="N301">
    <cfRule type="cellIs" dxfId="511" priority="567" operator="equal">
      <formula>"REQ ADICIONAL"</formula>
    </cfRule>
  </conditionalFormatting>
  <conditionalFormatting sqref="N301">
    <cfRule type="cellIs" dxfId="510" priority="565" operator="lessThan">
      <formula>1</formula>
    </cfRule>
    <cfRule type="cellIs" dxfId="509" priority="566" operator="equal">
      <formula>1</formula>
    </cfRule>
  </conditionalFormatting>
  <conditionalFormatting sqref="O301">
    <cfRule type="cellIs" dxfId="508" priority="564" operator="equal">
      <formula>1</formula>
    </cfRule>
  </conditionalFormatting>
  <conditionalFormatting sqref="N288">
    <cfRule type="cellIs" dxfId="507" priority="562" operator="equal">
      <formula>"REQ ADICIONAL"</formula>
    </cfRule>
  </conditionalFormatting>
  <conditionalFormatting sqref="N288">
    <cfRule type="cellIs" dxfId="506" priority="560" operator="lessThan">
      <formula>1</formula>
    </cfRule>
    <cfRule type="cellIs" dxfId="505" priority="561" operator="equal">
      <formula>1</formula>
    </cfRule>
  </conditionalFormatting>
  <conditionalFormatting sqref="N304">
    <cfRule type="cellIs" dxfId="504" priority="558" operator="equal">
      <formula>"REQ ADICIONAL"</formula>
    </cfRule>
  </conditionalFormatting>
  <conditionalFormatting sqref="N304">
    <cfRule type="cellIs" dxfId="503" priority="556" operator="lessThan">
      <formula>1</formula>
    </cfRule>
    <cfRule type="cellIs" dxfId="502" priority="557" operator="equal">
      <formula>1</formula>
    </cfRule>
  </conditionalFormatting>
  <conditionalFormatting sqref="O304">
    <cfRule type="cellIs" dxfId="501" priority="555" operator="equal">
      <formula>1</formula>
    </cfRule>
  </conditionalFormatting>
  <conditionalFormatting sqref="N305">
    <cfRule type="cellIs" dxfId="500" priority="553" operator="equal">
      <formula>"REQ ADICIONAL"</formula>
    </cfRule>
  </conditionalFormatting>
  <conditionalFormatting sqref="N305">
    <cfRule type="cellIs" dxfId="499" priority="551" operator="lessThan">
      <formula>1</formula>
    </cfRule>
    <cfRule type="cellIs" dxfId="498" priority="552" operator="equal">
      <formula>1</formula>
    </cfRule>
  </conditionalFormatting>
  <conditionalFormatting sqref="O305">
    <cfRule type="cellIs" dxfId="497" priority="550" operator="equal">
      <formula>1</formula>
    </cfRule>
  </conditionalFormatting>
  <conditionalFormatting sqref="N314:N317 N332:N333 N319:N330 N336">
    <cfRule type="cellIs" dxfId="496" priority="548" operator="equal">
      <formula>"REQ ADICIONAL"</formula>
    </cfRule>
  </conditionalFormatting>
  <conditionalFormatting sqref="N313:N317 N332:N333 N319:N330 N336">
    <cfRule type="cellIs" dxfId="495" priority="546" operator="lessThan">
      <formula>1</formula>
    </cfRule>
    <cfRule type="cellIs" dxfId="494" priority="547" operator="equal">
      <formula>1</formula>
    </cfRule>
  </conditionalFormatting>
  <conditionalFormatting sqref="O313:O330 O332:O333 O336">
    <cfRule type="cellIs" dxfId="493" priority="545" operator="equal">
      <formula>1</formula>
    </cfRule>
  </conditionalFormatting>
  <conditionalFormatting sqref="N331">
    <cfRule type="cellIs" dxfId="492" priority="543" operator="equal">
      <formula>"REQ ADICIONAL"</formula>
    </cfRule>
  </conditionalFormatting>
  <conditionalFormatting sqref="N331">
    <cfRule type="cellIs" dxfId="491" priority="541" operator="lessThan">
      <formula>1</formula>
    </cfRule>
    <cfRule type="cellIs" dxfId="490" priority="542" operator="equal">
      <formula>1</formula>
    </cfRule>
  </conditionalFormatting>
  <conditionalFormatting sqref="O331">
    <cfRule type="cellIs" dxfId="489" priority="540" operator="equal">
      <formula>1</formula>
    </cfRule>
  </conditionalFormatting>
  <conditionalFormatting sqref="N318">
    <cfRule type="cellIs" dxfId="488" priority="538" operator="equal">
      <formula>"REQ ADICIONAL"</formula>
    </cfRule>
  </conditionalFormatting>
  <conditionalFormatting sqref="N318">
    <cfRule type="cellIs" dxfId="487" priority="536" operator="lessThan">
      <formula>1</formula>
    </cfRule>
    <cfRule type="cellIs" dxfId="486" priority="537" operator="equal">
      <formula>1</formula>
    </cfRule>
  </conditionalFormatting>
  <conditionalFormatting sqref="N334">
    <cfRule type="cellIs" dxfId="485" priority="534" operator="equal">
      <formula>"REQ ADICIONAL"</formula>
    </cfRule>
  </conditionalFormatting>
  <conditionalFormatting sqref="N334">
    <cfRule type="cellIs" dxfId="484" priority="532" operator="lessThan">
      <formula>1</formula>
    </cfRule>
    <cfRule type="cellIs" dxfId="483" priority="533" operator="equal">
      <formula>1</formula>
    </cfRule>
  </conditionalFormatting>
  <conditionalFormatting sqref="O334">
    <cfRule type="cellIs" dxfId="482" priority="531" operator="equal">
      <formula>1</formula>
    </cfRule>
  </conditionalFormatting>
  <conditionalFormatting sqref="N335">
    <cfRule type="cellIs" dxfId="481" priority="529" operator="equal">
      <formula>"REQ ADICIONAL"</formula>
    </cfRule>
  </conditionalFormatting>
  <conditionalFormatting sqref="N335">
    <cfRule type="cellIs" dxfId="480" priority="527" operator="lessThan">
      <formula>1</formula>
    </cfRule>
    <cfRule type="cellIs" dxfId="479" priority="528" operator="equal">
      <formula>1</formula>
    </cfRule>
  </conditionalFormatting>
  <conditionalFormatting sqref="O335">
    <cfRule type="cellIs" dxfId="478" priority="526" operator="equal">
      <formula>1</formula>
    </cfRule>
  </conditionalFormatting>
  <conditionalFormatting sqref="N344:N347 N362:N363 N349:N360 N366">
    <cfRule type="cellIs" dxfId="477" priority="524" operator="equal">
      <formula>"REQ ADICIONAL"</formula>
    </cfRule>
  </conditionalFormatting>
  <conditionalFormatting sqref="N343:N347 N362:N363 N349:N360 N366">
    <cfRule type="cellIs" dxfId="476" priority="522" operator="lessThan">
      <formula>1</formula>
    </cfRule>
    <cfRule type="cellIs" dxfId="475" priority="523" operator="equal">
      <formula>1</formula>
    </cfRule>
  </conditionalFormatting>
  <conditionalFormatting sqref="O343:O360 O362:O363 O366">
    <cfRule type="cellIs" dxfId="474" priority="521" operator="equal">
      <formula>1</formula>
    </cfRule>
  </conditionalFormatting>
  <conditionalFormatting sqref="N361">
    <cfRule type="cellIs" dxfId="473" priority="519" operator="equal">
      <formula>"REQ ADICIONAL"</formula>
    </cfRule>
  </conditionalFormatting>
  <conditionalFormatting sqref="N361">
    <cfRule type="cellIs" dxfId="472" priority="517" operator="lessThan">
      <formula>1</formula>
    </cfRule>
    <cfRule type="cellIs" dxfId="471" priority="518" operator="equal">
      <formula>1</formula>
    </cfRule>
  </conditionalFormatting>
  <conditionalFormatting sqref="O361">
    <cfRule type="cellIs" dxfId="470" priority="516" operator="equal">
      <formula>1</formula>
    </cfRule>
  </conditionalFormatting>
  <conditionalFormatting sqref="N348">
    <cfRule type="cellIs" dxfId="469" priority="514" operator="equal">
      <formula>"REQ ADICIONAL"</formula>
    </cfRule>
  </conditionalFormatting>
  <conditionalFormatting sqref="N348">
    <cfRule type="cellIs" dxfId="468" priority="512" operator="lessThan">
      <formula>1</formula>
    </cfRule>
    <cfRule type="cellIs" dxfId="467" priority="513" operator="equal">
      <formula>1</formula>
    </cfRule>
  </conditionalFormatting>
  <conditionalFormatting sqref="N364">
    <cfRule type="cellIs" dxfId="466" priority="510" operator="equal">
      <formula>"REQ ADICIONAL"</formula>
    </cfRule>
  </conditionalFormatting>
  <conditionalFormatting sqref="N364">
    <cfRule type="cellIs" dxfId="465" priority="508" operator="lessThan">
      <formula>1</formula>
    </cfRule>
    <cfRule type="cellIs" dxfId="464" priority="509" operator="equal">
      <formula>1</formula>
    </cfRule>
  </conditionalFormatting>
  <conditionalFormatting sqref="O364">
    <cfRule type="cellIs" dxfId="463" priority="507" operator="equal">
      <formula>1</formula>
    </cfRule>
  </conditionalFormatting>
  <conditionalFormatting sqref="N365">
    <cfRule type="cellIs" dxfId="462" priority="505" operator="equal">
      <formula>"REQ ADICIONAL"</formula>
    </cfRule>
  </conditionalFormatting>
  <conditionalFormatting sqref="N365">
    <cfRule type="cellIs" dxfId="461" priority="503" operator="lessThan">
      <formula>1</formula>
    </cfRule>
    <cfRule type="cellIs" dxfId="460" priority="504" operator="equal">
      <formula>1</formula>
    </cfRule>
  </conditionalFormatting>
  <conditionalFormatting sqref="O365">
    <cfRule type="cellIs" dxfId="459" priority="502" operator="equal">
      <formula>1</formula>
    </cfRule>
  </conditionalFormatting>
  <conditionalFormatting sqref="N372:N375 N390:N391 N377:N388">
    <cfRule type="cellIs" dxfId="458" priority="500" operator="equal">
      <formula>"REQ ADICIONAL"</formula>
    </cfRule>
  </conditionalFormatting>
  <conditionalFormatting sqref="N371:N375 N390:N391 N377:N388">
    <cfRule type="cellIs" dxfId="457" priority="498" operator="lessThan">
      <formula>1</formula>
    </cfRule>
    <cfRule type="cellIs" dxfId="456" priority="499" operator="equal">
      <formula>1</formula>
    </cfRule>
  </conditionalFormatting>
  <conditionalFormatting sqref="O371:O388 O390:O391">
    <cfRule type="cellIs" dxfId="455" priority="497" operator="equal">
      <formula>1</formula>
    </cfRule>
  </conditionalFormatting>
  <conditionalFormatting sqref="N389">
    <cfRule type="cellIs" dxfId="454" priority="495" operator="equal">
      <formula>"REQ ADICIONAL"</formula>
    </cfRule>
  </conditionalFormatting>
  <conditionalFormatting sqref="N389">
    <cfRule type="cellIs" dxfId="453" priority="493" operator="lessThan">
      <formula>1</formula>
    </cfRule>
    <cfRule type="cellIs" dxfId="452" priority="494" operator="equal">
      <formula>1</formula>
    </cfRule>
  </conditionalFormatting>
  <conditionalFormatting sqref="O389">
    <cfRule type="cellIs" dxfId="451" priority="492" operator="equal">
      <formula>1</formula>
    </cfRule>
  </conditionalFormatting>
  <conditionalFormatting sqref="N376">
    <cfRule type="cellIs" dxfId="450" priority="490" operator="equal">
      <formula>"REQ ADICIONAL"</formula>
    </cfRule>
  </conditionalFormatting>
  <conditionalFormatting sqref="N376">
    <cfRule type="cellIs" dxfId="449" priority="488" operator="lessThan">
      <formula>1</formula>
    </cfRule>
    <cfRule type="cellIs" dxfId="448" priority="489" operator="equal">
      <formula>1</formula>
    </cfRule>
  </conditionalFormatting>
  <conditionalFormatting sqref="N392">
    <cfRule type="cellIs" dxfId="447" priority="486" operator="equal">
      <formula>"REQ ADICIONAL"</formula>
    </cfRule>
  </conditionalFormatting>
  <conditionalFormatting sqref="N392">
    <cfRule type="cellIs" dxfId="446" priority="484" operator="lessThan">
      <formula>1</formula>
    </cfRule>
    <cfRule type="cellIs" dxfId="445" priority="485" operator="equal">
      <formula>1</formula>
    </cfRule>
  </conditionalFormatting>
  <conditionalFormatting sqref="O392">
    <cfRule type="cellIs" dxfId="444" priority="483" operator="equal">
      <formula>1</formula>
    </cfRule>
  </conditionalFormatting>
  <conditionalFormatting sqref="N398:N401 N416:N417 N403:N414">
    <cfRule type="cellIs" dxfId="443" priority="481" operator="equal">
      <formula>"REQ ADICIONAL"</formula>
    </cfRule>
  </conditionalFormatting>
  <conditionalFormatting sqref="N397:N401 N416:N417 N403:N414">
    <cfRule type="cellIs" dxfId="442" priority="479" operator="lessThan">
      <formula>1</formula>
    </cfRule>
    <cfRule type="cellIs" dxfId="441" priority="480" operator="equal">
      <formula>1</formula>
    </cfRule>
  </conditionalFormatting>
  <conditionalFormatting sqref="O397:O414 O416:O417">
    <cfRule type="cellIs" dxfId="440" priority="478" operator="equal">
      <formula>1</formula>
    </cfRule>
  </conditionalFormatting>
  <conditionalFormatting sqref="N415">
    <cfRule type="cellIs" dxfId="439" priority="476" operator="equal">
      <formula>"REQ ADICIONAL"</formula>
    </cfRule>
  </conditionalFormatting>
  <conditionalFormatting sqref="N415">
    <cfRule type="cellIs" dxfId="438" priority="474" operator="lessThan">
      <formula>1</formula>
    </cfRule>
    <cfRule type="cellIs" dxfId="437" priority="475" operator="equal">
      <formula>1</formula>
    </cfRule>
  </conditionalFormatting>
  <conditionalFormatting sqref="O415">
    <cfRule type="cellIs" dxfId="436" priority="473" operator="equal">
      <formula>1</formula>
    </cfRule>
  </conditionalFormatting>
  <conditionalFormatting sqref="N402">
    <cfRule type="cellIs" dxfId="435" priority="471" operator="equal">
      <formula>"REQ ADICIONAL"</formula>
    </cfRule>
  </conditionalFormatting>
  <conditionalFormatting sqref="N402">
    <cfRule type="cellIs" dxfId="434" priority="469" operator="lessThan">
      <formula>1</formula>
    </cfRule>
    <cfRule type="cellIs" dxfId="433" priority="470" operator="equal">
      <formula>1</formula>
    </cfRule>
  </conditionalFormatting>
  <conditionalFormatting sqref="N418">
    <cfRule type="cellIs" dxfId="432" priority="467" operator="equal">
      <formula>"REQ ADICIONAL"</formula>
    </cfRule>
  </conditionalFormatting>
  <conditionalFormatting sqref="N418">
    <cfRule type="cellIs" dxfId="431" priority="465" operator="lessThan">
      <formula>1</formula>
    </cfRule>
    <cfRule type="cellIs" dxfId="430" priority="466" operator="equal">
      <formula>1</formula>
    </cfRule>
  </conditionalFormatting>
  <conditionalFormatting sqref="O418">
    <cfRule type="cellIs" dxfId="429" priority="464" operator="equal">
      <formula>1</formula>
    </cfRule>
  </conditionalFormatting>
  <conditionalFormatting sqref="N424:N427 N442:N443 N429:N440">
    <cfRule type="cellIs" dxfId="428" priority="462" operator="equal">
      <formula>"REQ ADICIONAL"</formula>
    </cfRule>
  </conditionalFormatting>
  <conditionalFormatting sqref="N442:N443 N429:N440 N423:N427">
    <cfRule type="cellIs" dxfId="427" priority="460" operator="lessThan">
      <formula>1</formula>
    </cfRule>
    <cfRule type="cellIs" dxfId="426" priority="461" operator="equal">
      <formula>1</formula>
    </cfRule>
  </conditionalFormatting>
  <conditionalFormatting sqref="O423:O440 O442:O443">
    <cfRule type="cellIs" dxfId="425" priority="459" operator="equal">
      <formula>1</formula>
    </cfRule>
  </conditionalFormatting>
  <conditionalFormatting sqref="N441">
    <cfRule type="cellIs" dxfId="424" priority="457" operator="equal">
      <formula>"REQ ADICIONAL"</formula>
    </cfRule>
  </conditionalFormatting>
  <conditionalFormatting sqref="N441">
    <cfRule type="cellIs" dxfId="423" priority="455" operator="lessThan">
      <formula>1</formula>
    </cfRule>
    <cfRule type="cellIs" dxfId="422" priority="456" operator="equal">
      <formula>1</formula>
    </cfRule>
  </conditionalFormatting>
  <conditionalFormatting sqref="O441">
    <cfRule type="cellIs" dxfId="421" priority="454" operator="equal">
      <formula>1</formula>
    </cfRule>
  </conditionalFormatting>
  <conditionalFormatting sqref="N428">
    <cfRule type="cellIs" dxfId="420" priority="452" operator="equal">
      <formula>"REQ ADICIONAL"</formula>
    </cfRule>
  </conditionalFormatting>
  <conditionalFormatting sqref="N428">
    <cfRule type="cellIs" dxfId="419" priority="450" operator="lessThan">
      <formula>1</formula>
    </cfRule>
    <cfRule type="cellIs" dxfId="418" priority="451" operator="equal">
      <formula>1</formula>
    </cfRule>
  </conditionalFormatting>
  <conditionalFormatting sqref="N444">
    <cfRule type="cellIs" dxfId="417" priority="448" operator="equal">
      <formula>"REQ ADICIONAL"</formula>
    </cfRule>
  </conditionalFormatting>
  <conditionalFormatting sqref="N444">
    <cfRule type="cellIs" dxfId="416" priority="446" operator="lessThan">
      <formula>1</formula>
    </cfRule>
    <cfRule type="cellIs" dxfId="415" priority="447" operator="equal">
      <formula>1</formula>
    </cfRule>
  </conditionalFormatting>
  <conditionalFormatting sqref="O444">
    <cfRule type="cellIs" dxfId="414" priority="445" operator="equal">
      <formula>1</formula>
    </cfRule>
  </conditionalFormatting>
  <conditionalFormatting sqref="N423">
    <cfRule type="cellIs" dxfId="413" priority="444" operator="equal">
      <formula>"REQ ADICIONAL"</formula>
    </cfRule>
  </conditionalFormatting>
  <conditionalFormatting sqref="N450:N453 N468:N469 N455:N466">
    <cfRule type="cellIs" dxfId="412" priority="442" operator="equal">
      <formula>"REQ ADICIONAL"</formula>
    </cfRule>
  </conditionalFormatting>
  <conditionalFormatting sqref="N468:N469 N455:N466 N449:N453">
    <cfRule type="cellIs" dxfId="411" priority="440" operator="lessThan">
      <formula>1</formula>
    </cfRule>
    <cfRule type="cellIs" dxfId="410" priority="441" operator="equal">
      <formula>1</formula>
    </cfRule>
  </conditionalFormatting>
  <conditionalFormatting sqref="O449:O466 O468:O469">
    <cfRule type="cellIs" dxfId="409" priority="439" operator="equal">
      <formula>1</formula>
    </cfRule>
  </conditionalFormatting>
  <conditionalFormatting sqref="N467">
    <cfRule type="cellIs" dxfId="408" priority="437" operator="equal">
      <formula>"REQ ADICIONAL"</formula>
    </cfRule>
  </conditionalFormatting>
  <conditionalFormatting sqref="N467">
    <cfRule type="cellIs" dxfId="407" priority="435" operator="lessThan">
      <formula>1</formula>
    </cfRule>
    <cfRule type="cellIs" dxfId="406" priority="436" operator="equal">
      <formula>1</formula>
    </cfRule>
  </conditionalFormatting>
  <conditionalFormatting sqref="O467">
    <cfRule type="cellIs" dxfId="405" priority="434" operator="equal">
      <formula>1</formula>
    </cfRule>
  </conditionalFormatting>
  <conditionalFormatting sqref="N454">
    <cfRule type="cellIs" dxfId="404" priority="432" operator="equal">
      <formula>"REQ ADICIONAL"</formula>
    </cfRule>
  </conditionalFormatting>
  <conditionalFormatting sqref="N454">
    <cfRule type="cellIs" dxfId="403" priority="430" operator="lessThan">
      <formula>1</formula>
    </cfRule>
    <cfRule type="cellIs" dxfId="402" priority="431" operator="equal">
      <formula>1</formula>
    </cfRule>
  </conditionalFormatting>
  <conditionalFormatting sqref="N470">
    <cfRule type="cellIs" dxfId="401" priority="428" operator="equal">
      <formula>"REQ ADICIONAL"</formula>
    </cfRule>
  </conditionalFormatting>
  <conditionalFormatting sqref="N470">
    <cfRule type="cellIs" dxfId="400" priority="426" operator="lessThan">
      <formula>1</formula>
    </cfRule>
    <cfRule type="cellIs" dxfId="399" priority="427" operator="equal">
      <formula>1</formula>
    </cfRule>
  </conditionalFormatting>
  <conditionalFormatting sqref="O470">
    <cfRule type="cellIs" dxfId="398" priority="425" operator="equal">
      <formula>1</formula>
    </cfRule>
  </conditionalFormatting>
  <conditionalFormatting sqref="N449">
    <cfRule type="cellIs" dxfId="397" priority="424" operator="equal">
      <formula>"REQ ADICIONAL"</formula>
    </cfRule>
  </conditionalFormatting>
  <conditionalFormatting sqref="N477:N480 N495:N496 N482:N493">
    <cfRule type="cellIs" dxfId="396" priority="422" operator="equal">
      <formula>"REQ ADICIONAL"</formula>
    </cfRule>
  </conditionalFormatting>
  <conditionalFormatting sqref="N495:N496 N482:N493 N476:N480 N499">
    <cfRule type="cellIs" dxfId="395" priority="420" operator="lessThan">
      <formula>1</formula>
    </cfRule>
    <cfRule type="cellIs" dxfId="394" priority="421" operator="equal">
      <formula>1</formula>
    </cfRule>
  </conditionalFormatting>
  <conditionalFormatting sqref="O476:O493 O495:O496 O499">
    <cfRule type="cellIs" dxfId="393" priority="419" operator="equal">
      <formula>1</formula>
    </cfRule>
  </conditionalFormatting>
  <conditionalFormatting sqref="N494">
    <cfRule type="cellIs" dxfId="392" priority="417" operator="equal">
      <formula>"REQ ADICIONAL"</formula>
    </cfRule>
  </conditionalFormatting>
  <conditionalFormatting sqref="N494">
    <cfRule type="cellIs" dxfId="391" priority="415" operator="lessThan">
      <formula>1</formula>
    </cfRule>
    <cfRule type="cellIs" dxfId="390" priority="416" operator="equal">
      <formula>1</formula>
    </cfRule>
  </conditionalFormatting>
  <conditionalFormatting sqref="O494">
    <cfRule type="cellIs" dxfId="389" priority="414" operator="equal">
      <formula>1</formula>
    </cfRule>
  </conditionalFormatting>
  <conditionalFormatting sqref="N481">
    <cfRule type="cellIs" dxfId="388" priority="412" operator="equal">
      <formula>"REQ ADICIONAL"</formula>
    </cfRule>
  </conditionalFormatting>
  <conditionalFormatting sqref="N481">
    <cfRule type="cellIs" dxfId="387" priority="410" operator="lessThan">
      <formula>1</formula>
    </cfRule>
    <cfRule type="cellIs" dxfId="386" priority="411" operator="equal">
      <formula>1</formula>
    </cfRule>
  </conditionalFormatting>
  <conditionalFormatting sqref="N497">
    <cfRule type="cellIs" dxfId="385" priority="408" operator="equal">
      <formula>"REQ ADICIONAL"</formula>
    </cfRule>
  </conditionalFormatting>
  <conditionalFormatting sqref="N497">
    <cfRule type="cellIs" dxfId="384" priority="406" operator="lessThan">
      <formula>1</formula>
    </cfRule>
    <cfRule type="cellIs" dxfId="383" priority="407" operator="equal">
      <formula>1</formula>
    </cfRule>
  </conditionalFormatting>
  <conditionalFormatting sqref="O497">
    <cfRule type="cellIs" dxfId="382" priority="405" operator="equal">
      <formula>1</formula>
    </cfRule>
  </conditionalFormatting>
  <conditionalFormatting sqref="N476 N499">
    <cfRule type="cellIs" dxfId="381" priority="404" operator="equal">
      <formula>"REQ ADICIONAL"</formula>
    </cfRule>
  </conditionalFormatting>
  <conditionalFormatting sqref="N498">
    <cfRule type="cellIs" dxfId="380" priority="401" operator="lessThan">
      <formula>1</formula>
    </cfRule>
    <cfRule type="cellIs" dxfId="379" priority="402" operator="equal">
      <formula>1</formula>
    </cfRule>
  </conditionalFormatting>
  <conditionalFormatting sqref="O498">
    <cfRule type="cellIs" dxfId="378" priority="400" operator="equal">
      <formula>1</formula>
    </cfRule>
  </conditionalFormatting>
  <conditionalFormatting sqref="N498">
    <cfRule type="cellIs" dxfId="377" priority="399" operator="equal">
      <formula>"REQ ADICIONAL"</formula>
    </cfRule>
  </conditionalFormatting>
  <conditionalFormatting sqref="N506:N509 N524:N525 N511:N522">
    <cfRule type="cellIs" dxfId="376" priority="397" operator="equal">
      <formula>"REQ ADICIONAL"</formula>
    </cfRule>
  </conditionalFormatting>
  <conditionalFormatting sqref="N524:N525 N511:N522 N505:N509 N528">
    <cfRule type="cellIs" dxfId="375" priority="395" operator="lessThan">
      <formula>1</formula>
    </cfRule>
    <cfRule type="cellIs" dxfId="374" priority="396" operator="equal">
      <formula>1</formula>
    </cfRule>
  </conditionalFormatting>
  <conditionalFormatting sqref="O505:O522 O524:O525 O528">
    <cfRule type="cellIs" dxfId="373" priority="394" operator="equal">
      <formula>1</formula>
    </cfRule>
  </conditionalFormatting>
  <conditionalFormatting sqref="N523">
    <cfRule type="cellIs" dxfId="372" priority="392" operator="equal">
      <formula>"REQ ADICIONAL"</formula>
    </cfRule>
  </conditionalFormatting>
  <conditionalFormatting sqref="N523">
    <cfRule type="cellIs" dxfId="371" priority="390" operator="lessThan">
      <formula>1</formula>
    </cfRule>
    <cfRule type="cellIs" dxfId="370" priority="391" operator="equal">
      <formula>1</formula>
    </cfRule>
  </conditionalFormatting>
  <conditionalFormatting sqref="O523">
    <cfRule type="cellIs" dxfId="369" priority="389" operator="equal">
      <formula>1</formula>
    </cfRule>
  </conditionalFormatting>
  <conditionalFormatting sqref="N510">
    <cfRule type="cellIs" dxfId="368" priority="387" operator="equal">
      <formula>"REQ ADICIONAL"</formula>
    </cfRule>
  </conditionalFormatting>
  <conditionalFormatting sqref="N510">
    <cfRule type="cellIs" dxfId="367" priority="385" operator="lessThan">
      <formula>1</formula>
    </cfRule>
    <cfRule type="cellIs" dxfId="366" priority="386" operator="equal">
      <formula>1</formula>
    </cfRule>
  </conditionalFormatting>
  <conditionalFormatting sqref="N526">
    <cfRule type="cellIs" dxfId="365" priority="383" operator="equal">
      <formula>"REQ ADICIONAL"</formula>
    </cfRule>
  </conditionalFormatting>
  <conditionalFormatting sqref="N526">
    <cfRule type="cellIs" dxfId="364" priority="381" operator="lessThan">
      <formula>1</formula>
    </cfRule>
    <cfRule type="cellIs" dxfId="363" priority="382" operator="equal">
      <formula>1</formula>
    </cfRule>
  </conditionalFormatting>
  <conditionalFormatting sqref="O526">
    <cfRule type="cellIs" dxfId="362" priority="380" operator="equal">
      <formula>1</formula>
    </cfRule>
  </conditionalFormatting>
  <conditionalFormatting sqref="N505 N528">
    <cfRule type="cellIs" dxfId="361" priority="379" operator="equal">
      <formula>"REQ ADICIONAL"</formula>
    </cfRule>
  </conditionalFormatting>
  <conditionalFormatting sqref="N527">
    <cfRule type="cellIs" dxfId="360" priority="376" operator="lessThan">
      <formula>1</formula>
    </cfRule>
    <cfRule type="cellIs" dxfId="359" priority="377" operator="equal">
      <formula>1</formula>
    </cfRule>
  </conditionalFormatting>
  <conditionalFormatting sqref="O527">
    <cfRule type="cellIs" dxfId="358" priority="375" operator="equal">
      <formula>1</formula>
    </cfRule>
  </conditionalFormatting>
  <conditionalFormatting sqref="N527">
    <cfRule type="cellIs" dxfId="357" priority="374" operator="equal">
      <formula>"REQ ADICIONAL"</formula>
    </cfRule>
  </conditionalFormatting>
  <conditionalFormatting sqref="N535:N538 N553:N554 N540:N551">
    <cfRule type="cellIs" dxfId="356" priority="372" operator="equal">
      <formula>"REQ ADICIONAL"</formula>
    </cfRule>
  </conditionalFormatting>
  <conditionalFormatting sqref="N553:N554 N540:N551 N534:N538 N557:N558">
    <cfRule type="cellIs" dxfId="355" priority="370" operator="lessThan">
      <formula>1</formula>
    </cfRule>
    <cfRule type="cellIs" dxfId="354" priority="371" operator="equal">
      <formula>1</formula>
    </cfRule>
  </conditionalFormatting>
  <conditionalFormatting sqref="O534:O551 O553:O554 O557:O558">
    <cfRule type="cellIs" dxfId="353" priority="369" operator="equal">
      <formula>1</formula>
    </cfRule>
  </conditionalFormatting>
  <conditionalFormatting sqref="N552">
    <cfRule type="cellIs" dxfId="352" priority="367" operator="equal">
      <formula>"REQ ADICIONAL"</formula>
    </cfRule>
  </conditionalFormatting>
  <conditionalFormatting sqref="N552">
    <cfRule type="cellIs" dxfId="351" priority="365" operator="lessThan">
      <formula>1</formula>
    </cfRule>
    <cfRule type="cellIs" dxfId="350" priority="366" operator="equal">
      <formula>1</formula>
    </cfRule>
  </conditionalFormatting>
  <conditionalFormatting sqref="O552">
    <cfRule type="cellIs" dxfId="349" priority="364" operator="equal">
      <formula>1</formula>
    </cfRule>
  </conditionalFormatting>
  <conditionalFormatting sqref="N539">
    <cfRule type="cellIs" dxfId="348" priority="362" operator="equal">
      <formula>"REQ ADICIONAL"</formula>
    </cfRule>
  </conditionalFormatting>
  <conditionalFormatting sqref="N539">
    <cfRule type="cellIs" dxfId="347" priority="360" operator="lessThan">
      <formula>1</formula>
    </cfRule>
    <cfRule type="cellIs" dxfId="346" priority="361" operator="equal">
      <formula>1</formula>
    </cfRule>
  </conditionalFormatting>
  <conditionalFormatting sqref="N555">
    <cfRule type="cellIs" dxfId="345" priority="358" operator="equal">
      <formula>"REQ ADICIONAL"</formula>
    </cfRule>
  </conditionalFormatting>
  <conditionalFormatting sqref="N555">
    <cfRule type="cellIs" dxfId="344" priority="356" operator="lessThan">
      <formula>1</formula>
    </cfRule>
    <cfRule type="cellIs" dxfId="343" priority="357" operator="equal">
      <formula>1</formula>
    </cfRule>
  </conditionalFormatting>
  <conditionalFormatting sqref="O555">
    <cfRule type="cellIs" dxfId="342" priority="355" operator="equal">
      <formula>1</formula>
    </cfRule>
  </conditionalFormatting>
  <conditionalFormatting sqref="N534 N557:N558">
    <cfRule type="cellIs" dxfId="341" priority="354" operator="equal">
      <formula>"REQ ADICIONAL"</formula>
    </cfRule>
  </conditionalFormatting>
  <conditionalFormatting sqref="N556">
    <cfRule type="cellIs" dxfId="340" priority="351" operator="lessThan">
      <formula>1</formula>
    </cfRule>
    <cfRule type="cellIs" dxfId="339" priority="352" operator="equal">
      <formula>1</formula>
    </cfRule>
  </conditionalFormatting>
  <conditionalFormatting sqref="O556">
    <cfRule type="cellIs" dxfId="338" priority="350" operator="equal">
      <formula>1</formula>
    </cfRule>
  </conditionalFormatting>
  <conditionalFormatting sqref="N556">
    <cfRule type="cellIs" dxfId="337" priority="349" operator="equal">
      <formula>"REQ ADICIONAL"</formula>
    </cfRule>
  </conditionalFormatting>
  <conditionalFormatting sqref="N565:N568 N583:N584 N570:N581">
    <cfRule type="cellIs" dxfId="336" priority="347" operator="equal">
      <formula>"REQ ADICIONAL"</formula>
    </cfRule>
  </conditionalFormatting>
  <conditionalFormatting sqref="N583:N584 N570:N581 N564:N568">
    <cfRule type="cellIs" dxfId="335" priority="345" operator="lessThan">
      <formula>1</formula>
    </cfRule>
    <cfRule type="cellIs" dxfId="334" priority="346" operator="equal">
      <formula>1</formula>
    </cfRule>
  </conditionalFormatting>
  <conditionalFormatting sqref="O564:O581 O583:O584">
    <cfRule type="cellIs" dxfId="333" priority="344" operator="equal">
      <formula>1</formula>
    </cfRule>
  </conditionalFormatting>
  <conditionalFormatting sqref="N582">
    <cfRule type="cellIs" dxfId="332" priority="342" operator="equal">
      <formula>"REQ ADICIONAL"</formula>
    </cfRule>
  </conditionalFormatting>
  <conditionalFormatting sqref="N582">
    <cfRule type="cellIs" dxfId="331" priority="340" operator="lessThan">
      <formula>1</formula>
    </cfRule>
    <cfRule type="cellIs" dxfId="330" priority="341" operator="equal">
      <formula>1</formula>
    </cfRule>
  </conditionalFormatting>
  <conditionalFormatting sqref="O582">
    <cfRule type="cellIs" dxfId="329" priority="339" operator="equal">
      <formula>1</formula>
    </cfRule>
  </conditionalFormatting>
  <conditionalFormatting sqref="N569">
    <cfRule type="cellIs" dxfId="328" priority="337" operator="equal">
      <formula>"REQ ADICIONAL"</formula>
    </cfRule>
  </conditionalFormatting>
  <conditionalFormatting sqref="N569">
    <cfRule type="cellIs" dxfId="327" priority="335" operator="lessThan">
      <formula>1</formula>
    </cfRule>
    <cfRule type="cellIs" dxfId="326" priority="336" operator="equal">
      <formula>1</formula>
    </cfRule>
  </conditionalFormatting>
  <conditionalFormatting sqref="N585">
    <cfRule type="cellIs" dxfId="325" priority="333" operator="equal">
      <formula>"REQ ADICIONAL"</formula>
    </cfRule>
  </conditionalFormatting>
  <conditionalFormatting sqref="N585">
    <cfRule type="cellIs" dxfId="324" priority="331" operator="lessThan">
      <formula>1</formula>
    </cfRule>
    <cfRule type="cellIs" dxfId="323" priority="332" operator="equal">
      <formula>1</formula>
    </cfRule>
  </conditionalFormatting>
  <conditionalFormatting sqref="O585">
    <cfRule type="cellIs" dxfId="322" priority="330" operator="equal">
      <formula>1</formula>
    </cfRule>
  </conditionalFormatting>
  <conditionalFormatting sqref="N564">
    <cfRule type="cellIs" dxfId="321" priority="329" operator="equal">
      <formula>"REQ ADICIONAL"</formula>
    </cfRule>
  </conditionalFormatting>
  <conditionalFormatting sqref="N586:N588">
    <cfRule type="cellIs" dxfId="320" priority="326" operator="lessThan">
      <formula>1</formula>
    </cfRule>
    <cfRule type="cellIs" dxfId="319" priority="327" operator="equal">
      <formula>1</formula>
    </cfRule>
  </conditionalFormatting>
  <conditionalFormatting sqref="O586:O588">
    <cfRule type="cellIs" dxfId="318" priority="325" operator="equal">
      <formula>1</formula>
    </cfRule>
  </conditionalFormatting>
  <conditionalFormatting sqref="N586:N588">
    <cfRule type="cellIs" dxfId="317" priority="324" operator="equal">
      <formula>"REQ ADICIONAL"</formula>
    </cfRule>
  </conditionalFormatting>
  <conditionalFormatting sqref="N595:N598 N614:N615 N600:N612">
    <cfRule type="cellIs" dxfId="316" priority="322" operator="equal">
      <formula>"REQ ADICIONAL"</formula>
    </cfRule>
  </conditionalFormatting>
  <conditionalFormatting sqref="N614:N615 N594:N598 N600:N612">
    <cfRule type="cellIs" dxfId="315" priority="320" operator="lessThan">
      <formula>1</formula>
    </cfRule>
    <cfRule type="cellIs" dxfId="314" priority="321" operator="equal">
      <formula>1</formula>
    </cfRule>
  </conditionalFormatting>
  <conditionalFormatting sqref="O614:O615 O594:O612">
    <cfRule type="cellIs" dxfId="313" priority="319" operator="equal">
      <formula>1</formula>
    </cfRule>
  </conditionalFormatting>
  <conditionalFormatting sqref="N613">
    <cfRule type="cellIs" dxfId="312" priority="317" operator="equal">
      <formula>"REQ ADICIONAL"</formula>
    </cfRule>
  </conditionalFormatting>
  <conditionalFormatting sqref="N613">
    <cfRule type="cellIs" dxfId="311" priority="315" operator="lessThan">
      <formula>1</formula>
    </cfRule>
    <cfRule type="cellIs" dxfId="310" priority="316" operator="equal">
      <formula>1</formula>
    </cfRule>
  </conditionalFormatting>
  <conditionalFormatting sqref="O613">
    <cfRule type="cellIs" dxfId="309" priority="314" operator="equal">
      <formula>1</formula>
    </cfRule>
  </conditionalFormatting>
  <conditionalFormatting sqref="N599">
    <cfRule type="cellIs" dxfId="308" priority="312" operator="equal">
      <formula>"REQ ADICIONAL"</formula>
    </cfRule>
  </conditionalFormatting>
  <conditionalFormatting sqref="N599">
    <cfRule type="cellIs" dxfId="307" priority="310" operator="lessThan">
      <formula>1</formula>
    </cfRule>
    <cfRule type="cellIs" dxfId="306" priority="311" operator="equal">
      <formula>1</formula>
    </cfRule>
  </conditionalFormatting>
  <conditionalFormatting sqref="N616">
    <cfRule type="cellIs" dxfId="305" priority="308" operator="equal">
      <formula>"REQ ADICIONAL"</formula>
    </cfRule>
  </conditionalFormatting>
  <conditionalFormatting sqref="N616">
    <cfRule type="cellIs" dxfId="304" priority="306" operator="lessThan">
      <formula>1</formula>
    </cfRule>
    <cfRule type="cellIs" dxfId="303" priority="307" operator="equal">
      <formula>1</formula>
    </cfRule>
  </conditionalFormatting>
  <conditionalFormatting sqref="O616">
    <cfRule type="cellIs" dxfId="302" priority="305" operator="equal">
      <formula>1</formula>
    </cfRule>
  </conditionalFormatting>
  <conditionalFormatting sqref="N594">
    <cfRule type="cellIs" dxfId="301" priority="304" operator="equal">
      <formula>"REQ ADICIONAL"</formula>
    </cfRule>
  </conditionalFormatting>
  <conditionalFormatting sqref="N617:N619">
    <cfRule type="cellIs" dxfId="300" priority="301" operator="lessThan">
      <formula>1</formula>
    </cfRule>
    <cfRule type="cellIs" dxfId="299" priority="302" operator="equal">
      <formula>1</formula>
    </cfRule>
  </conditionalFormatting>
  <conditionalFormatting sqref="O617:O619">
    <cfRule type="cellIs" dxfId="298" priority="300" operator="equal">
      <formula>1</formula>
    </cfRule>
  </conditionalFormatting>
  <conditionalFormatting sqref="N617:N619">
    <cfRule type="cellIs" dxfId="297" priority="299" operator="equal">
      <formula>"REQ ADICIONAL"</formula>
    </cfRule>
  </conditionalFormatting>
  <conditionalFormatting sqref="N626:N629 N645:N646 N631:N643">
    <cfRule type="cellIs" dxfId="296" priority="297" operator="equal">
      <formula>"REQ ADICIONAL"</formula>
    </cfRule>
  </conditionalFormatting>
  <conditionalFormatting sqref="N645:N646 N625:N629 N631:N643">
    <cfRule type="cellIs" dxfId="295" priority="295" operator="lessThan">
      <formula>1</formula>
    </cfRule>
    <cfRule type="cellIs" dxfId="294" priority="296" operator="equal">
      <formula>1</formula>
    </cfRule>
  </conditionalFormatting>
  <conditionalFormatting sqref="O645:O646 O625:O643">
    <cfRule type="cellIs" dxfId="293" priority="294" operator="equal">
      <formula>1</formula>
    </cfRule>
  </conditionalFormatting>
  <conditionalFormatting sqref="N644">
    <cfRule type="cellIs" dxfId="292" priority="292" operator="equal">
      <formula>"REQ ADICIONAL"</formula>
    </cfRule>
  </conditionalFormatting>
  <conditionalFormatting sqref="N644">
    <cfRule type="cellIs" dxfId="291" priority="290" operator="lessThan">
      <formula>1</formula>
    </cfRule>
    <cfRule type="cellIs" dxfId="290" priority="291" operator="equal">
      <formula>1</formula>
    </cfRule>
  </conditionalFormatting>
  <conditionalFormatting sqref="O644">
    <cfRule type="cellIs" dxfId="289" priority="289" operator="equal">
      <formula>1</formula>
    </cfRule>
  </conditionalFormatting>
  <conditionalFormatting sqref="N630">
    <cfRule type="cellIs" dxfId="288" priority="287" operator="equal">
      <formula>"REQ ADICIONAL"</formula>
    </cfRule>
  </conditionalFormatting>
  <conditionalFormatting sqref="N630">
    <cfRule type="cellIs" dxfId="287" priority="285" operator="lessThan">
      <formula>1</formula>
    </cfRule>
    <cfRule type="cellIs" dxfId="286" priority="286" operator="equal">
      <formula>1</formula>
    </cfRule>
  </conditionalFormatting>
  <conditionalFormatting sqref="N647">
    <cfRule type="cellIs" dxfId="285" priority="283" operator="equal">
      <formula>"REQ ADICIONAL"</formula>
    </cfRule>
  </conditionalFormatting>
  <conditionalFormatting sqref="N647">
    <cfRule type="cellIs" dxfId="284" priority="281" operator="lessThan">
      <formula>1</formula>
    </cfRule>
    <cfRule type="cellIs" dxfId="283" priority="282" operator="equal">
      <formula>1</formula>
    </cfRule>
  </conditionalFormatting>
  <conditionalFormatting sqref="O647">
    <cfRule type="cellIs" dxfId="282" priority="280" operator="equal">
      <formula>1</formula>
    </cfRule>
  </conditionalFormatting>
  <conditionalFormatting sqref="N625">
    <cfRule type="cellIs" dxfId="281" priority="279" operator="equal">
      <formula>"REQ ADICIONAL"</formula>
    </cfRule>
  </conditionalFormatting>
  <conditionalFormatting sqref="N648:N650">
    <cfRule type="cellIs" dxfId="280" priority="276" operator="lessThan">
      <formula>1</formula>
    </cfRule>
    <cfRule type="cellIs" dxfId="279" priority="277" operator="equal">
      <formula>1</formula>
    </cfRule>
  </conditionalFormatting>
  <conditionalFormatting sqref="O648:O650">
    <cfRule type="cellIs" dxfId="278" priority="275" operator="equal">
      <formula>1</formula>
    </cfRule>
  </conditionalFormatting>
  <conditionalFormatting sqref="N648:N650">
    <cfRule type="cellIs" dxfId="277" priority="274" operator="equal">
      <formula>"REQ ADICIONAL"</formula>
    </cfRule>
  </conditionalFormatting>
  <conditionalFormatting sqref="N657:N660 N676:N677 N662:N674">
    <cfRule type="cellIs" dxfId="276" priority="272" operator="equal">
      <formula>"REQ ADICIONAL"</formula>
    </cfRule>
  </conditionalFormatting>
  <conditionalFormatting sqref="N676:N677 N656:N660 N662:N674">
    <cfRule type="cellIs" dxfId="275" priority="270" operator="lessThan">
      <formula>1</formula>
    </cfRule>
    <cfRule type="cellIs" dxfId="274" priority="271" operator="equal">
      <formula>1</formula>
    </cfRule>
  </conditionalFormatting>
  <conditionalFormatting sqref="O676:O677 O656:O674">
    <cfRule type="cellIs" dxfId="273" priority="269" operator="equal">
      <formula>1</formula>
    </cfRule>
  </conditionalFormatting>
  <conditionalFormatting sqref="N675">
    <cfRule type="cellIs" dxfId="272" priority="267" operator="equal">
      <formula>"REQ ADICIONAL"</formula>
    </cfRule>
  </conditionalFormatting>
  <conditionalFormatting sqref="N675">
    <cfRule type="cellIs" dxfId="271" priority="265" operator="lessThan">
      <formula>1</formula>
    </cfRule>
    <cfRule type="cellIs" dxfId="270" priority="266" operator="equal">
      <formula>1</formula>
    </cfRule>
  </conditionalFormatting>
  <conditionalFormatting sqref="O675">
    <cfRule type="cellIs" dxfId="269" priority="264" operator="equal">
      <formula>1</formula>
    </cfRule>
  </conditionalFormatting>
  <conditionalFormatting sqref="N661">
    <cfRule type="cellIs" dxfId="268" priority="262" operator="equal">
      <formula>"REQ ADICIONAL"</formula>
    </cfRule>
  </conditionalFormatting>
  <conditionalFormatting sqref="N661">
    <cfRule type="cellIs" dxfId="267" priority="260" operator="lessThan">
      <formula>1</formula>
    </cfRule>
    <cfRule type="cellIs" dxfId="266" priority="261" operator="equal">
      <formula>1</formula>
    </cfRule>
  </conditionalFormatting>
  <conditionalFormatting sqref="N678">
    <cfRule type="cellIs" dxfId="265" priority="258" operator="equal">
      <formula>"REQ ADICIONAL"</formula>
    </cfRule>
  </conditionalFormatting>
  <conditionalFormatting sqref="N678">
    <cfRule type="cellIs" dxfId="264" priority="256" operator="lessThan">
      <formula>1</formula>
    </cfRule>
    <cfRule type="cellIs" dxfId="263" priority="257" operator="equal">
      <formula>1</formula>
    </cfRule>
  </conditionalFormatting>
  <conditionalFormatting sqref="O678">
    <cfRule type="cellIs" dxfId="262" priority="255" operator="equal">
      <formula>1</formula>
    </cfRule>
  </conditionalFormatting>
  <conditionalFormatting sqref="N656">
    <cfRule type="cellIs" dxfId="261" priority="254" operator="equal">
      <formula>"REQ ADICIONAL"</formula>
    </cfRule>
  </conditionalFormatting>
  <conditionalFormatting sqref="N679:N683">
    <cfRule type="cellIs" dxfId="260" priority="251" operator="lessThan">
      <formula>1</formula>
    </cfRule>
    <cfRule type="cellIs" dxfId="259" priority="252" operator="equal">
      <formula>1</formula>
    </cfRule>
  </conditionalFormatting>
  <conditionalFormatting sqref="O679:O683">
    <cfRule type="cellIs" dxfId="258" priority="250" operator="equal">
      <formula>1</formula>
    </cfRule>
  </conditionalFormatting>
  <conditionalFormatting sqref="N679:N683">
    <cfRule type="cellIs" dxfId="257" priority="249" operator="equal">
      <formula>"REQ ADICIONAL"</formula>
    </cfRule>
  </conditionalFormatting>
  <conditionalFormatting sqref="N690:N693 N709:N710 N695:N707">
    <cfRule type="cellIs" dxfId="256" priority="247" operator="equal">
      <formula>"REQ ADICIONAL"</formula>
    </cfRule>
  </conditionalFormatting>
  <conditionalFormatting sqref="N709:N710 N689:N693 N695:N707">
    <cfRule type="cellIs" dxfId="255" priority="245" operator="lessThan">
      <formula>1</formula>
    </cfRule>
    <cfRule type="cellIs" dxfId="254" priority="246" operator="equal">
      <formula>1</formula>
    </cfRule>
  </conditionalFormatting>
  <conditionalFormatting sqref="O709:O710 O689:O707">
    <cfRule type="cellIs" dxfId="253" priority="244" operator="equal">
      <formula>1</formula>
    </cfRule>
  </conditionalFormatting>
  <conditionalFormatting sqref="N708">
    <cfRule type="cellIs" dxfId="252" priority="242" operator="equal">
      <formula>"REQ ADICIONAL"</formula>
    </cfRule>
  </conditionalFormatting>
  <conditionalFormatting sqref="N708">
    <cfRule type="cellIs" dxfId="251" priority="240" operator="lessThan">
      <formula>1</formula>
    </cfRule>
    <cfRule type="cellIs" dxfId="250" priority="241" operator="equal">
      <formula>1</formula>
    </cfRule>
  </conditionalFormatting>
  <conditionalFormatting sqref="O708">
    <cfRule type="cellIs" dxfId="249" priority="239" operator="equal">
      <formula>1</formula>
    </cfRule>
  </conditionalFormatting>
  <conditionalFormatting sqref="N694">
    <cfRule type="cellIs" dxfId="248" priority="237" operator="equal">
      <formula>"REQ ADICIONAL"</formula>
    </cfRule>
  </conditionalFormatting>
  <conditionalFormatting sqref="N694">
    <cfRule type="cellIs" dxfId="247" priority="235" operator="lessThan">
      <formula>1</formula>
    </cfRule>
    <cfRule type="cellIs" dxfId="246" priority="236" operator="equal">
      <formula>1</formula>
    </cfRule>
  </conditionalFormatting>
  <conditionalFormatting sqref="N711">
    <cfRule type="cellIs" dxfId="245" priority="233" operator="equal">
      <formula>"REQ ADICIONAL"</formula>
    </cfRule>
  </conditionalFormatting>
  <conditionalFormatting sqref="N711">
    <cfRule type="cellIs" dxfId="244" priority="231" operator="lessThan">
      <formula>1</formula>
    </cfRule>
    <cfRule type="cellIs" dxfId="243" priority="232" operator="equal">
      <formula>1</formula>
    </cfRule>
  </conditionalFormatting>
  <conditionalFormatting sqref="O711">
    <cfRule type="cellIs" dxfId="242" priority="230" operator="equal">
      <formula>1</formula>
    </cfRule>
  </conditionalFormatting>
  <conditionalFormatting sqref="N689">
    <cfRule type="cellIs" dxfId="241" priority="229" operator="equal">
      <formula>"REQ ADICIONAL"</formula>
    </cfRule>
  </conditionalFormatting>
  <conditionalFormatting sqref="N712:N720">
    <cfRule type="cellIs" dxfId="240" priority="226" operator="lessThan">
      <formula>1</formula>
    </cfRule>
    <cfRule type="cellIs" dxfId="239" priority="227" operator="equal">
      <formula>1</formula>
    </cfRule>
  </conditionalFormatting>
  <conditionalFormatting sqref="O712:O720">
    <cfRule type="cellIs" dxfId="238" priority="225" operator="equal">
      <formula>1</formula>
    </cfRule>
  </conditionalFormatting>
  <conditionalFormatting sqref="N712:N720">
    <cfRule type="cellIs" dxfId="237" priority="224" operator="equal">
      <formula>"REQ ADICIONAL"</formula>
    </cfRule>
  </conditionalFormatting>
  <conditionalFormatting sqref="N727:N730 N732:N744 N746:N758">
    <cfRule type="cellIs" dxfId="236" priority="222" operator="equal">
      <formula>"REQ ADICIONAL"</formula>
    </cfRule>
  </conditionalFormatting>
  <conditionalFormatting sqref="N726:N730 N732:N744 N746:N758">
    <cfRule type="cellIs" dxfId="235" priority="220" operator="lessThan">
      <formula>1</formula>
    </cfRule>
    <cfRule type="cellIs" dxfId="234" priority="221" operator="equal">
      <formula>1</formula>
    </cfRule>
  </conditionalFormatting>
  <conditionalFormatting sqref="O726:O744 O746:O758">
    <cfRule type="cellIs" dxfId="233" priority="219" operator="equal">
      <formula>1</formula>
    </cfRule>
  </conditionalFormatting>
  <conditionalFormatting sqref="N745">
    <cfRule type="cellIs" dxfId="232" priority="217" operator="equal">
      <formula>"REQ ADICIONAL"</formula>
    </cfRule>
  </conditionalFormatting>
  <conditionalFormatting sqref="N745">
    <cfRule type="cellIs" dxfId="231" priority="215" operator="lessThan">
      <formula>1</formula>
    </cfRule>
    <cfRule type="cellIs" dxfId="230" priority="216" operator="equal">
      <formula>1</formula>
    </cfRule>
  </conditionalFormatting>
  <conditionalFormatting sqref="O745">
    <cfRule type="cellIs" dxfId="229" priority="214" operator="equal">
      <formula>1</formula>
    </cfRule>
  </conditionalFormatting>
  <conditionalFormatting sqref="N731">
    <cfRule type="cellIs" dxfId="228" priority="212" operator="equal">
      <formula>"REQ ADICIONAL"</formula>
    </cfRule>
  </conditionalFormatting>
  <conditionalFormatting sqref="N731">
    <cfRule type="cellIs" dxfId="227" priority="210" operator="lessThan">
      <formula>1</formula>
    </cfRule>
    <cfRule type="cellIs" dxfId="226" priority="211" operator="equal">
      <formula>1</formula>
    </cfRule>
  </conditionalFormatting>
  <conditionalFormatting sqref="N726">
    <cfRule type="cellIs" dxfId="225" priority="209" operator="equal">
      <formula>"REQ ADICIONAL"</formula>
    </cfRule>
  </conditionalFormatting>
  <conditionalFormatting sqref="N788:N797">
    <cfRule type="cellIs" dxfId="224" priority="184" operator="equal">
      <formula>"REQ ADICIONAL"</formula>
    </cfRule>
  </conditionalFormatting>
  <conditionalFormatting sqref="N765:N768 N785:N786 N770:N783">
    <cfRule type="cellIs" dxfId="223" priority="207" operator="equal">
      <formula>"REQ ADICIONAL"</formula>
    </cfRule>
  </conditionalFormatting>
  <conditionalFormatting sqref="N785:N786 N764:N768 N770:N783">
    <cfRule type="cellIs" dxfId="222" priority="205" operator="lessThan">
      <formula>1</formula>
    </cfRule>
    <cfRule type="cellIs" dxfId="221" priority="206" operator="equal">
      <formula>1</formula>
    </cfRule>
  </conditionalFormatting>
  <conditionalFormatting sqref="O785:O786 O764:O783">
    <cfRule type="cellIs" dxfId="220" priority="204" operator="equal">
      <formula>1</formula>
    </cfRule>
  </conditionalFormatting>
  <conditionalFormatting sqref="N784">
    <cfRule type="cellIs" dxfId="219" priority="202" operator="equal">
      <formula>"REQ ADICIONAL"</formula>
    </cfRule>
  </conditionalFormatting>
  <conditionalFormatting sqref="N784">
    <cfRule type="cellIs" dxfId="218" priority="200" operator="lessThan">
      <formula>1</formula>
    </cfRule>
    <cfRule type="cellIs" dxfId="217" priority="201" operator="equal">
      <formula>1</formula>
    </cfRule>
  </conditionalFormatting>
  <conditionalFormatting sqref="O784">
    <cfRule type="cellIs" dxfId="216" priority="199" operator="equal">
      <formula>1</formula>
    </cfRule>
  </conditionalFormatting>
  <conditionalFormatting sqref="N769">
    <cfRule type="cellIs" dxfId="215" priority="197" operator="equal">
      <formula>"REQ ADICIONAL"</formula>
    </cfRule>
  </conditionalFormatting>
  <conditionalFormatting sqref="N769">
    <cfRule type="cellIs" dxfId="214" priority="195" operator="lessThan">
      <formula>1</formula>
    </cfRule>
    <cfRule type="cellIs" dxfId="213" priority="196" operator="equal">
      <formula>1</formula>
    </cfRule>
  </conditionalFormatting>
  <conditionalFormatting sqref="N787">
    <cfRule type="cellIs" dxfId="212" priority="193" operator="equal">
      <formula>"REQ ADICIONAL"</formula>
    </cfRule>
  </conditionalFormatting>
  <conditionalFormatting sqref="N787">
    <cfRule type="cellIs" dxfId="211" priority="191" operator="lessThan">
      <formula>1</formula>
    </cfRule>
    <cfRule type="cellIs" dxfId="210" priority="192" operator="equal">
      <formula>1</formula>
    </cfRule>
  </conditionalFormatting>
  <conditionalFormatting sqref="O787">
    <cfRule type="cellIs" dxfId="209" priority="190" operator="equal">
      <formula>1</formula>
    </cfRule>
  </conditionalFormatting>
  <conditionalFormatting sqref="N764">
    <cfRule type="cellIs" dxfId="208" priority="189" operator="equal">
      <formula>"REQ ADICIONAL"</formula>
    </cfRule>
  </conditionalFormatting>
  <conditionalFormatting sqref="N788:N797">
    <cfRule type="cellIs" dxfId="207" priority="186" operator="lessThan">
      <formula>1</formula>
    </cfRule>
    <cfRule type="cellIs" dxfId="206" priority="187" operator="equal">
      <formula>1</formula>
    </cfRule>
  </conditionalFormatting>
  <conditionalFormatting sqref="O788:O797">
    <cfRule type="cellIs" dxfId="205" priority="185" operator="equal">
      <formula>1</formula>
    </cfRule>
  </conditionalFormatting>
  <conditionalFormatting sqref="N827:N836">
    <cfRule type="cellIs" dxfId="204" priority="159" operator="equal">
      <formula>"REQ ADICIONAL"</formula>
    </cfRule>
  </conditionalFormatting>
  <conditionalFormatting sqref="N804:N807 N824:N825 N809:N822">
    <cfRule type="cellIs" dxfId="203" priority="182" operator="equal">
      <formula>"REQ ADICIONAL"</formula>
    </cfRule>
  </conditionalFormatting>
  <conditionalFormatting sqref="N824:N825 N803:N807 N809:N822">
    <cfRule type="cellIs" dxfId="202" priority="180" operator="lessThan">
      <formula>1</formula>
    </cfRule>
    <cfRule type="cellIs" dxfId="201" priority="181" operator="equal">
      <formula>1</formula>
    </cfRule>
  </conditionalFormatting>
  <conditionalFormatting sqref="O824:O825 O803:O822">
    <cfRule type="cellIs" dxfId="200" priority="179" operator="equal">
      <formula>1</formula>
    </cfRule>
  </conditionalFormatting>
  <conditionalFormatting sqref="N823">
    <cfRule type="cellIs" dxfId="199" priority="177" operator="equal">
      <formula>"REQ ADICIONAL"</formula>
    </cfRule>
  </conditionalFormatting>
  <conditionalFormatting sqref="N823">
    <cfRule type="cellIs" dxfId="198" priority="175" operator="lessThan">
      <formula>1</formula>
    </cfRule>
    <cfRule type="cellIs" dxfId="197" priority="176" operator="equal">
      <formula>1</formula>
    </cfRule>
  </conditionalFormatting>
  <conditionalFormatting sqref="O823">
    <cfRule type="cellIs" dxfId="196" priority="174" operator="equal">
      <formula>1</formula>
    </cfRule>
  </conditionalFormatting>
  <conditionalFormatting sqref="N808">
    <cfRule type="cellIs" dxfId="195" priority="172" operator="equal">
      <formula>"REQ ADICIONAL"</formula>
    </cfRule>
  </conditionalFormatting>
  <conditionalFormatting sqref="N808">
    <cfRule type="cellIs" dxfId="194" priority="170" operator="lessThan">
      <formula>1</formula>
    </cfRule>
    <cfRule type="cellIs" dxfId="193" priority="171" operator="equal">
      <formula>1</formula>
    </cfRule>
  </conditionalFormatting>
  <conditionalFormatting sqref="N826">
    <cfRule type="cellIs" dxfId="192" priority="168" operator="equal">
      <formula>"REQ ADICIONAL"</formula>
    </cfRule>
  </conditionalFormatting>
  <conditionalFormatting sqref="N826">
    <cfRule type="cellIs" dxfId="191" priority="166" operator="lessThan">
      <formula>1</formula>
    </cfRule>
    <cfRule type="cellIs" dxfId="190" priority="167" operator="equal">
      <formula>1</formula>
    </cfRule>
  </conditionalFormatting>
  <conditionalFormatting sqref="O826">
    <cfRule type="cellIs" dxfId="189" priority="165" operator="equal">
      <formula>1</formula>
    </cfRule>
  </conditionalFormatting>
  <conditionalFormatting sqref="N803">
    <cfRule type="cellIs" dxfId="188" priority="164" operator="equal">
      <formula>"REQ ADICIONAL"</formula>
    </cfRule>
  </conditionalFormatting>
  <conditionalFormatting sqref="N827:N836">
    <cfRule type="cellIs" dxfId="187" priority="161" operator="lessThan">
      <formula>1</formula>
    </cfRule>
    <cfRule type="cellIs" dxfId="186" priority="162" operator="equal">
      <formula>1</formula>
    </cfRule>
  </conditionalFormatting>
  <conditionalFormatting sqref="O827:O836">
    <cfRule type="cellIs" dxfId="185" priority="160" operator="equal">
      <formula>1</formula>
    </cfRule>
  </conditionalFormatting>
  <conditionalFormatting sqref="N843:N846 N860:N861">
    <cfRule type="cellIs" dxfId="184" priority="157" operator="equal">
      <formula>"REQ ADICIONAL"</formula>
    </cfRule>
  </conditionalFormatting>
  <conditionalFormatting sqref="N860:N861 N842:N846">
    <cfRule type="cellIs" dxfId="183" priority="155" operator="lessThan">
      <formula>1</formula>
    </cfRule>
    <cfRule type="cellIs" dxfId="182" priority="156" operator="equal">
      <formula>1</formula>
    </cfRule>
  </conditionalFormatting>
  <conditionalFormatting sqref="O860:O861">
    <cfRule type="cellIs" dxfId="181" priority="154" operator="equal">
      <formula>1</formula>
    </cfRule>
  </conditionalFormatting>
  <conditionalFormatting sqref="N859">
    <cfRule type="cellIs" dxfId="180" priority="152" operator="equal">
      <formula>"REQ ADICIONAL"</formula>
    </cfRule>
  </conditionalFormatting>
  <conditionalFormatting sqref="N859">
    <cfRule type="cellIs" dxfId="179" priority="150" operator="lessThan">
      <formula>1</formula>
    </cfRule>
    <cfRule type="cellIs" dxfId="178" priority="151" operator="equal">
      <formula>1</formula>
    </cfRule>
  </conditionalFormatting>
  <conditionalFormatting sqref="O859">
    <cfRule type="cellIs" dxfId="177" priority="149" operator="equal">
      <formula>1</formula>
    </cfRule>
  </conditionalFormatting>
  <conditionalFormatting sqref="N847">
    <cfRule type="cellIs" dxfId="176" priority="147" operator="equal">
      <formula>"REQ ADICIONAL"</formula>
    </cfRule>
  </conditionalFormatting>
  <conditionalFormatting sqref="N847">
    <cfRule type="cellIs" dxfId="175" priority="145" operator="lessThan">
      <formula>1</formula>
    </cfRule>
    <cfRule type="cellIs" dxfId="174" priority="146" operator="equal">
      <formula>1</formula>
    </cfRule>
  </conditionalFormatting>
  <conditionalFormatting sqref="N862">
    <cfRule type="cellIs" dxfId="173" priority="143" operator="equal">
      <formula>"REQ ADICIONAL"</formula>
    </cfRule>
  </conditionalFormatting>
  <conditionalFormatting sqref="N862">
    <cfRule type="cellIs" dxfId="172" priority="141" operator="lessThan">
      <formula>1</formula>
    </cfRule>
    <cfRule type="cellIs" dxfId="171" priority="142" operator="equal">
      <formula>1</formula>
    </cfRule>
  </conditionalFormatting>
  <conditionalFormatting sqref="O862">
    <cfRule type="cellIs" dxfId="170" priority="140" operator="equal">
      <formula>1</formula>
    </cfRule>
  </conditionalFormatting>
  <conditionalFormatting sqref="N842">
    <cfRule type="cellIs" dxfId="169" priority="139" operator="equal">
      <formula>"REQ ADICIONAL"</formula>
    </cfRule>
  </conditionalFormatting>
  <conditionalFormatting sqref="N885:N895 N900:N909">
    <cfRule type="cellIs" dxfId="168" priority="137" operator="equal">
      <formula>"REQ ADICIONAL"</formula>
    </cfRule>
  </conditionalFormatting>
  <conditionalFormatting sqref="N885:N895 N900:N909">
    <cfRule type="cellIs" dxfId="167" priority="135" operator="lessThan">
      <formula>1</formula>
    </cfRule>
    <cfRule type="cellIs" dxfId="166" priority="136" operator="equal">
      <formula>1</formula>
    </cfRule>
  </conditionalFormatting>
  <conditionalFormatting sqref="O879:O895 O900:O909">
    <cfRule type="cellIs" dxfId="165" priority="134" operator="equal">
      <formula>1</formula>
    </cfRule>
  </conditionalFormatting>
  <conditionalFormatting sqref="N880:N883 N897:N898">
    <cfRule type="cellIs" dxfId="164" priority="132" operator="equal">
      <formula>"REQ ADICIONAL"</formula>
    </cfRule>
  </conditionalFormatting>
  <conditionalFormatting sqref="N897:N898 N879:N883">
    <cfRule type="cellIs" dxfId="163" priority="130" operator="lessThan">
      <formula>1</formula>
    </cfRule>
    <cfRule type="cellIs" dxfId="162" priority="131" operator="equal">
      <formula>1</formula>
    </cfRule>
  </conditionalFormatting>
  <conditionalFormatting sqref="O897:O898">
    <cfRule type="cellIs" dxfId="161" priority="129" operator="equal">
      <formula>1</formula>
    </cfRule>
  </conditionalFormatting>
  <conditionalFormatting sqref="N896">
    <cfRule type="cellIs" dxfId="160" priority="127" operator="equal">
      <formula>"REQ ADICIONAL"</formula>
    </cfRule>
  </conditionalFormatting>
  <conditionalFormatting sqref="N896">
    <cfRule type="cellIs" dxfId="159" priority="125" operator="lessThan">
      <formula>1</formula>
    </cfRule>
    <cfRule type="cellIs" dxfId="158" priority="126" operator="equal">
      <formula>1</formula>
    </cfRule>
  </conditionalFormatting>
  <conditionalFormatting sqref="O896">
    <cfRule type="cellIs" dxfId="157" priority="124" operator="equal">
      <formula>1</formula>
    </cfRule>
  </conditionalFormatting>
  <conditionalFormatting sqref="N884">
    <cfRule type="cellIs" dxfId="156" priority="122" operator="equal">
      <formula>"REQ ADICIONAL"</formula>
    </cfRule>
  </conditionalFormatting>
  <conditionalFormatting sqref="N884">
    <cfRule type="cellIs" dxfId="155" priority="120" operator="lessThan">
      <formula>1</formula>
    </cfRule>
    <cfRule type="cellIs" dxfId="154" priority="121" operator="equal">
      <formula>1</formula>
    </cfRule>
  </conditionalFormatting>
  <conditionalFormatting sqref="N899">
    <cfRule type="cellIs" dxfId="153" priority="118" operator="equal">
      <formula>"REQ ADICIONAL"</formula>
    </cfRule>
  </conditionalFormatting>
  <conditionalFormatting sqref="N899">
    <cfRule type="cellIs" dxfId="152" priority="116" operator="lessThan">
      <formula>1</formula>
    </cfRule>
    <cfRule type="cellIs" dxfId="151" priority="117" operator="equal">
      <formula>1</formula>
    </cfRule>
  </conditionalFormatting>
  <conditionalFormatting sqref="O899">
    <cfRule type="cellIs" dxfId="150" priority="115" operator="equal">
      <formula>1</formula>
    </cfRule>
  </conditionalFormatting>
  <conditionalFormatting sqref="N879">
    <cfRule type="cellIs" dxfId="149" priority="114" operator="equal">
      <formula>"REQ ADICIONAL"</formula>
    </cfRule>
  </conditionalFormatting>
  <conditionalFormatting sqref="N920:N932">
    <cfRule type="cellIs" dxfId="148" priority="112" operator="equal">
      <formula>"REQ ADICIONAL"</formula>
    </cfRule>
  </conditionalFormatting>
  <conditionalFormatting sqref="N920:N932">
    <cfRule type="cellIs" dxfId="147" priority="110" operator="lessThan">
      <formula>1</formula>
    </cfRule>
    <cfRule type="cellIs" dxfId="146" priority="111" operator="equal">
      <formula>1</formula>
    </cfRule>
  </conditionalFormatting>
  <conditionalFormatting sqref="O914:O932">
    <cfRule type="cellIs" dxfId="145" priority="109" operator="equal">
      <formula>1</formula>
    </cfRule>
  </conditionalFormatting>
  <conditionalFormatting sqref="N915:N918">
    <cfRule type="cellIs" dxfId="144" priority="107" operator="equal">
      <formula>"REQ ADICIONAL"</formula>
    </cfRule>
  </conditionalFormatting>
  <conditionalFormatting sqref="N914:N918">
    <cfRule type="cellIs" dxfId="143" priority="105" operator="lessThan">
      <formula>1</formula>
    </cfRule>
    <cfRule type="cellIs" dxfId="142" priority="106" operator="equal">
      <formula>1</formula>
    </cfRule>
  </conditionalFormatting>
  <conditionalFormatting sqref="N919">
    <cfRule type="cellIs" dxfId="141" priority="97" operator="equal">
      <formula>"REQ ADICIONAL"</formula>
    </cfRule>
  </conditionalFormatting>
  <conditionalFormatting sqref="N919">
    <cfRule type="cellIs" dxfId="140" priority="95" operator="lessThan">
      <formula>1</formula>
    </cfRule>
    <cfRule type="cellIs" dxfId="139" priority="96" operator="equal">
      <formula>1</formula>
    </cfRule>
  </conditionalFormatting>
  <conditionalFormatting sqref="N914">
    <cfRule type="cellIs" dxfId="138" priority="89" operator="equal">
      <formula>"REQ ADICIONAL"</formula>
    </cfRule>
  </conditionalFormatting>
  <conditionalFormatting sqref="N943:N954 N956">
    <cfRule type="cellIs" dxfId="137" priority="78" operator="equal">
      <formula>"REQ ADICIONAL"</formula>
    </cfRule>
  </conditionalFormatting>
  <conditionalFormatting sqref="N943:N954 N956">
    <cfRule type="cellIs" dxfId="136" priority="76" operator="lessThan">
      <formula>1</formula>
    </cfRule>
    <cfRule type="cellIs" dxfId="135" priority="77" operator="equal">
      <formula>1</formula>
    </cfRule>
  </conditionalFormatting>
  <conditionalFormatting sqref="O937:O954 O956">
    <cfRule type="cellIs" dxfId="134" priority="75" operator="equal">
      <formula>1</formula>
    </cfRule>
  </conditionalFormatting>
  <conditionalFormatting sqref="N938:N941">
    <cfRule type="cellIs" dxfId="133" priority="74" operator="equal">
      <formula>"REQ ADICIONAL"</formula>
    </cfRule>
  </conditionalFormatting>
  <conditionalFormatting sqref="N937:N941">
    <cfRule type="cellIs" dxfId="132" priority="72" operator="lessThan">
      <formula>1</formula>
    </cfRule>
    <cfRule type="cellIs" dxfId="131" priority="73" operator="equal">
      <formula>1</formula>
    </cfRule>
  </conditionalFormatting>
  <conditionalFormatting sqref="N942">
    <cfRule type="cellIs" dxfId="130" priority="71" operator="equal">
      <formula>"REQ ADICIONAL"</formula>
    </cfRule>
  </conditionalFormatting>
  <conditionalFormatting sqref="N942">
    <cfRule type="cellIs" dxfId="129" priority="69" operator="lessThan">
      <formula>1</formula>
    </cfRule>
    <cfRule type="cellIs" dxfId="128" priority="70" operator="equal">
      <formula>1</formula>
    </cfRule>
  </conditionalFormatting>
  <conditionalFormatting sqref="N937">
    <cfRule type="cellIs" dxfId="127" priority="68" operator="equal">
      <formula>"REQ ADICIONAL"</formula>
    </cfRule>
  </conditionalFormatting>
  <conditionalFormatting sqref="N955">
    <cfRule type="cellIs" dxfId="126" priority="67" operator="equal">
      <formula>"REQ ADICIONAL"</formula>
    </cfRule>
  </conditionalFormatting>
  <conditionalFormatting sqref="N955">
    <cfRule type="cellIs" dxfId="125" priority="65" operator="lessThan">
      <formula>1</formula>
    </cfRule>
    <cfRule type="cellIs" dxfId="124" priority="66" operator="equal">
      <formula>1</formula>
    </cfRule>
  </conditionalFormatting>
  <conditionalFormatting sqref="O955">
    <cfRule type="cellIs" dxfId="123" priority="64" operator="equal">
      <formula>1</formula>
    </cfRule>
  </conditionalFormatting>
  <conditionalFormatting sqref="N967:N977 N987 N980">
    <cfRule type="cellIs" dxfId="122" priority="63" operator="equal">
      <formula>"REQ ADICIONAL"</formula>
    </cfRule>
  </conditionalFormatting>
  <conditionalFormatting sqref="N967:N977 N987 N980">
    <cfRule type="cellIs" dxfId="121" priority="61" operator="lessThan">
      <formula>1</formula>
    </cfRule>
    <cfRule type="cellIs" dxfId="120" priority="62" operator="equal">
      <formula>1</formula>
    </cfRule>
  </conditionalFormatting>
  <conditionalFormatting sqref="O961:O987">
    <cfRule type="cellIs" dxfId="119" priority="60" operator="equal">
      <formula>1</formula>
    </cfRule>
  </conditionalFormatting>
  <conditionalFormatting sqref="N962:N965">
    <cfRule type="cellIs" dxfId="118" priority="59" operator="equal">
      <formula>"REQ ADICIONAL"</formula>
    </cfRule>
  </conditionalFormatting>
  <conditionalFormatting sqref="N961:N965">
    <cfRule type="cellIs" dxfId="117" priority="57" operator="lessThan">
      <formula>1</formula>
    </cfRule>
    <cfRule type="cellIs" dxfId="116" priority="58" operator="equal">
      <formula>1</formula>
    </cfRule>
  </conditionalFormatting>
  <conditionalFormatting sqref="N966">
    <cfRule type="cellIs" dxfId="115" priority="56" operator="equal">
      <formula>"REQ ADICIONAL"</formula>
    </cfRule>
  </conditionalFormatting>
  <conditionalFormatting sqref="N966">
    <cfRule type="cellIs" dxfId="114" priority="54" operator="lessThan">
      <formula>1</formula>
    </cfRule>
    <cfRule type="cellIs" dxfId="113" priority="55" operator="equal">
      <formula>1</formula>
    </cfRule>
  </conditionalFormatting>
  <conditionalFormatting sqref="N961">
    <cfRule type="cellIs" dxfId="112" priority="53" operator="equal">
      <formula>"REQ ADICIONAL"</formula>
    </cfRule>
  </conditionalFormatting>
  <conditionalFormatting sqref="N981:N986">
    <cfRule type="cellIs" dxfId="111" priority="52" operator="equal">
      <formula>"REQ ADICIONAL"</formula>
    </cfRule>
  </conditionalFormatting>
  <conditionalFormatting sqref="N981:N986">
    <cfRule type="cellIs" dxfId="110" priority="50" operator="lessThan">
      <formula>1</formula>
    </cfRule>
    <cfRule type="cellIs" dxfId="109" priority="51" operator="equal">
      <formula>1</formula>
    </cfRule>
  </conditionalFormatting>
  <conditionalFormatting sqref="N978">
    <cfRule type="cellIs" dxfId="108" priority="48" operator="equal">
      <formula>"REQ ADICIONAL"</formula>
    </cfRule>
  </conditionalFormatting>
  <conditionalFormatting sqref="N978">
    <cfRule type="cellIs" dxfId="107" priority="46" operator="lessThan">
      <formula>1</formula>
    </cfRule>
    <cfRule type="cellIs" dxfId="106" priority="47" operator="equal">
      <formula>1</formula>
    </cfRule>
  </conditionalFormatting>
  <conditionalFormatting sqref="N979">
    <cfRule type="cellIs" dxfId="105" priority="44" operator="equal">
      <formula>"REQ ADICIONAL"</formula>
    </cfRule>
  </conditionalFormatting>
  <conditionalFormatting sqref="N979">
    <cfRule type="cellIs" dxfId="104" priority="42" operator="lessThan">
      <formula>1</formula>
    </cfRule>
    <cfRule type="cellIs" dxfId="103" priority="43" operator="equal">
      <formula>1</formula>
    </cfRule>
  </conditionalFormatting>
  <conditionalFormatting sqref="N998:N1008 N1011">
    <cfRule type="cellIs" dxfId="102" priority="40" operator="equal">
      <formula>"REQ ADICIONAL"</formula>
    </cfRule>
  </conditionalFormatting>
  <conditionalFormatting sqref="N998:N1008 N1011">
    <cfRule type="cellIs" dxfId="101" priority="38" operator="lessThan">
      <formula>1</formula>
    </cfRule>
    <cfRule type="cellIs" dxfId="100" priority="39" operator="equal">
      <formula>1</formula>
    </cfRule>
  </conditionalFormatting>
  <conditionalFormatting sqref="O992:O1015">
    <cfRule type="cellIs" dxfId="99" priority="37" operator="equal">
      <formula>1</formula>
    </cfRule>
  </conditionalFormatting>
  <conditionalFormatting sqref="N993:N996">
    <cfRule type="cellIs" dxfId="98" priority="36" operator="equal">
      <formula>"REQ ADICIONAL"</formula>
    </cfRule>
  </conditionalFormatting>
  <conditionalFormatting sqref="N992:N996">
    <cfRule type="cellIs" dxfId="97" priority="34" operator="lessThan">
      <formula>1</formula>
    </cfRule>
    <cfRule type="cellIs" dxfId="96" priority="35" operator="equal">
      <formula>1</formula>
    </cfRule>
  </conditionalFormatting>
  <conditionalFormatting sqref="N997">
    <cfRule type="cellIs" dxfId="95" priority="33" operator="equal">
      <formula>"REQ ADICIONAL"</formula>
    </cfRule>
  </conditionalFormatting>
  <conditionalFormatting sqref="N997">
    <cfRule type="cellIs" dxfId="94" priority="31" operator="lessThan">
      <formula>1</formula>
    </cfRule>
    <cfRule type="cellIs" dxfId="93" priority="32" operator="equal">
      <formula>1</formula>
    </cfRule>
  </conditionalFormatting>
  <conditionalFormatting sqref="N992">
    <cfRule type="cellIs" dxfId="92" priority="30" operator="equal">
      <formula>"REQ ADICIONAL"</formula>
    </cfRule>
  </conditionalFormatting>
  <conditionalFormatting sqref="N1012:N1015">
    <cfRule type="cellIs" dxfId="91" priority="29" operator="equal">
      <formula>"REQ ADICIONAL"</formula>
    </cfRule>
  </conditionalFormatting>
  <conditionalFormatting sqref="N1012:N1015">
    <cfRule type="cellIs" dxfId="90" priority="27" operator="lessThan">
      <formula>1</formula>
    </cfRule>
    <cfRule type="cellIs" dxfId="89" priority="28" operator="equal">
      <formula>1</formula>
    </cfRule>
  </conditionalFormatting>
  <conditionalFormatting sqref="N1009">
    <cfRule type="cellIs" dxfId="88" priority="26" operator="equal">
      <formula>"REQ ADICIONAL"</formula>
    </cfRule>
  </conditionalFormatting>
  <conditionalFormatting sqref="N1009">
    <cfRule type="cellIs" dxfId="87" priority="24" operator="lessThan">
      <formula>1</formula>
    </cfRule>
    <cfRule type="cellIs" dxfId="86" priority="25" operator="equal">
      <formula>1</formula>
    </cfRule>
  </conditionalFormatting>
  <conditionalFormatting sqref="N1010">
    <cfRule type="cellIs" dxfId="85" priority="23" operator="equal">
      <formula>"REQ ADICIONAL"</formula>
    </cfRule>
  </conditionalFormatting>
  <conditionalFormatting sqref="N1010">
    <cfRule type="cellIs" dxfId="84" priority="21" operator="lessThan">
      <formula>1</formula>
    </cfRule>
    <cfRule type="cellIs" dxfId="83" priority="22" operator="equal">
      <formula>1</formula>
    </cfRule>
  </conditionalFormatting>
  <conditionalFormatting sqref="N1028:N1038 N1041">
    <cfRule type="cellIs" dxfId="82" priority="20" operator="equal">
      <formula>"REQ ADICIONAL"</formula>
    </cfRule>
  </conditionalFormatting>
  <conditionalFormatting sqref="N1028:N1038 N1041">
    <cfRule type="cellIs" dxfId="81" priority="18" operator="lessThan">
      <formula>1</formula>
    </cfRule>
    <cfRule type="cellIs" dxfId="80" priority="19" operator="equal">
      <formula>1</formula>
    </cfRule>
  </conditionalFormatting>
  <conditionalFormatting sqref="N1023:N1026">
    <cfRule type="cellIs" dxfId="79" priority="16" operator="equal">
      <formula>"REQ ADICIONAL"</formula>
    </cfRule>
  </conditionalFormatting>
  <conditionalFormatting sqref="N1022:N1026">
    <cfRule type="cellIs" dxfId="78" priority="14" operator="lessThan">
      <formula>1</formula>
    </cfRule>
    <cfRule type="cellIs" dxfId="77" priority="15" operator="equal">
      <formula>1</formula>
    </cfRule>
  </conditionalFormatting>
  <conditionalFormatting sqref="N1027">
    <cfRule type="cellIs" dxfId="76" priority="13" operator="equal">
      <formula>"REQ ADICIONAL"</formula>
    </cfRule>
  </conditionalFormatting>
  <conditionalFormatting sqref="N1027">
    <cfRule type="cellIs" dxfId="75" priority="11" operator="lessThan">
      <formula>1</formula>
    </cfRule>
    <cfRule type="cellIs" dxfId="74" priority="12" operator="equal">
      <formula>1</formula>
    </cfRule>
  </conditionalFormatting>
  <conditionalFormatting sqref="N1022">
    <cfRule type="cellIs" dxfId="73" priority="10" operator="equal">
      <formula>"REQ ADICIONAL"</formula>
    </cfRule>
  </conditionalFormatting>
  <conditionalFormatting sqref="N1039">
    <cfRule type="cellIs" dxfId="72" priority="6" operator="equal">
      <formula>"REQ ADICIONAL"</formula>
    </cfRule>
  </conditionalFormatting>
  <conditionalFormatting sqref="N1039">
    <cfRule type="cellIs" dxfId="71" priority="4" operator="lessThan">
      <formula>1</formula>
    </cfRule>
    <cfRule type="cellIs" dxfId="70" priority="5" operator="equal">
      <formula>1</formula>
    </cfRule>
  </conditionalFormatting>
  <conditionalFormatting sqref="N1040">
    <cfRule type="cellIs" dxfId="69" priority="3" operator="equal">
      <formula>"REQ ADICIONAL"</formula>
    </cfRule>
  </conditionalFormatting>
  <conditionalFormatting sqref="N1040">
    <cfRule type="cellIs" dxfId="68" priority="1" operator="lessThan">
      <formula>1</formula>
    </cfRule>
    <cfRule type="cellIs" dxfId="6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92" t="s">
        <v>62</v>
      </c>
      <c r="G1" s="693"/>
      <c r="H1" s="694" t="s">
        <v>67</v>
      </c>
      <c r="I1" s="695"/>
      <c r="J1" s="696" t="s">
        <v>68</v>
      </c>
      <c r="K1" s="697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2" t="s">
        <v>63</v>
      </c>
      <c r="G2" s="71" t="s">
        <v>65</v>
      </c>
      <c r="H2" s="73" t="s">
        <v>66</v>
      </c>
      <c r="I2" s="73" t="s">
        <v>65</v>
      </c>
      <c r="J2" s="84" t="s">
        <v>66</v>
      </c>
      <c r="K2" s="85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1">
        <f>+E3/8.829</f>
        <v>3.6697247706422016</v>
      </c>
      <c r="G3" s="68">
        <f>+D3/F3</f>
        <v>49.050000000000004</v>
      </c>
      <c r="H3" s="74">
        <f t="shared" ref="H3:H44" si="0">+D3/I3</f>
        <v>3</v>
      </c>
      <c r="I3" s="75">
        <v>60</v>
      </c>
      <c r="J3" s="86">
        <v>3</v>
      </c>
      <c r="K3" s="87">
        <f>+D3/J3</f>
        <v>60</v>
      </c>
      <c r="L3" s="14"/>
      <c r="M3" s="66"/>
      <c r="N3" s="67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2">
        <f t="shared" ref="F4:F44" si="2">+E4/8.829</f>
        <v>3.6697247706422016</v>
      </c>
      <c r="G4" s="69">
        <f t="shared" ref="G4:G44" si="3">+D4/F4</f>
        <v>49.050000000000004</v>
      </c>
      <c r="H4" s="76">
        <f t="shared" si="0"/>
        <v>3</v>
      </c>
      <c r="I4" s="77">
        <v>60</v>
      </c>
      <c r="J4" s="88">
        <v>3</v>
      </c>
      <c r="K4" s="87">
        <f t="shared" ref="K4:K44" si="4">+D4/J4</f>
        <v>60</v>
      </c>
      <c r="L4" s="14"/>
      <c r="M4" s="66"/>
      <c r="N4" s="67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2">
        <f t="shared" si="2"/>
        <v>3.6697247706422016</v>
      </c>
      <c r="G5" s="69">
        <f t="shared" si="3"/>
        <v>49.050000000000004</v>
      </c>
      <c r="H5" s="76">
        <f t="shared" si="0"/>
        <v>3</v>
      </c>
      <c r="I5" s="77">
        <v>60</v>
      </c>
      <c r="J5" s="88">
        <v>3</v>
      </c>
      <c r="K5" s="87">
        <f t="shared" si="4"/>
        <v>60</v>
      </c>
      <c r="L5" s="14"/>
      <c r="M5" s="66"/>
      <c r="N5" s="67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2">
        <f>+E6/8.829</f>
        <v>1.223241590214067</v>
      </c>
      <c r="G6" s="69">
        <f t="shared" si="3"/>
        <v>49.050000000000011</v>
      </c>
      <c r="H6" s="76">
        <f t="shared" si="0"/>
        <v>1</v>
      </c>
      <c r="I6" s="77">
        <v>60</v>
      </c>
      <c r="J6" s="88">
        <v>1</v>
      </c>
      <c r="K6" s="87">
        <f t="shared" si="4"/>
        <v>60</v>
      </c>
      <c r="L6" s="14"/>
      <c r="M6" s="66"/>
      <c r="N6" s="67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2">
        <f t="shared" si="2"/>
        <v>1.6309887869520894</v>
      </c>
      <c r="G7" s="69">
        <f t="shared" si="3"/>
        <v>49.050000000000011</v>
      </c>
      <c r="H7" s="76">
        <f t="shared" si="0"/>
        <v>1.3333333333333333</v>
      </c>
      <c r="I7" s="77">
        <v>60</v>
      </c>
      <c r="J7" s="88">
        <v>1.5</v>
      </c>
      <c r="K7" s="87">
        <f t="shared" si="4"/>
        <v>53.333333333333336</v>
      </c>
      <c r="L7" s="14"/>
      <c r="M7" s="66"/>
      <c r="N7" s="67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2">
        <f t="shared" si="2"/>
        <v>1.6309887869520894</v>
      </c>
      <c r="G8" s="69">
        <f t="shared" si="3"/>
        <v>49.050000000000011</v>
      </c>
      <c r="H8" s="76">
        <f t="shared" si="0"/>
        <v>1.3333333333333333</v>
      </c>
      <c r="I8" s="77">
        <v>60</v>
      </c>
      <c r="J8" s="88">
        <v>1.5</v>
      </c>
      <c r="K8" s="87">
        <f t="shared" si="4"/>
        <v>53.333333333333336</v>
      </c>
      <c r="L8" s="14"/>
      <c r="M8" s="66"/>
      <c r="N8" s="67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2">
        <f t="shared" si="2"/>
        <v>1.6309887869520894</v>
      </c>
      <c r="G9" s="69">
        <f t="shared" si="3"/>
        <v>49.050000000000011</v>
      </c>
      <c r="H9" s="76">
        <f t="shared" si="0"/>
        <v>1.3333333333333333</v>
      </c>
      <c r="I9" s="77">
        <v>60</v>
      </c>
      <c r="J9" s="88">
        <v>1.5</v>
      </c>
      <c r="K9" s="87">
        <f t="shared" si="4"/>
        <v>53.333333333333336</v>
      </c>
      <c r="L9" s="14"/>
      <c r="M9" s="66"/>
      <c r="N9" s="67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2">
        <f t="shared" si="2"/>
        <v>3.6697247706422016</v>
      </c>
      <c r="G10" s="69">
        <f t="shared" si="3"/>
        <v>49.050000000000004</v>
      </c>
      <c r="H10" s="76">
        <f t="shared" si="0"/>
        <v>3</v>
      </c>
      <c r="I10" s="77">
        <v>60</v>
      </c>
      <c r="J10" s="88">
        <v>3</v>
      </c>
      <c r="K10" s="87">
        <f t="shared" si="4"/>
        <v>60</v>
      </c>
      <c r="L10" s="14"/>
      <c r="M10" s="66"/>
      <c r="N10" s="67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2">
        <f t="shared" si="2"/>
        <v>3.6697247706422016</v>
      </c>
      <c r="G11" s="69">
        <f t="shared" si="3"/>
        <v>49.050000000000004</v>
      </c>
      <c r="H11" s="76">
        <f t="shared" si="0"/>
        <v>3</v>
      </c>
      <c r="I11" s="77">
        <v>60</v>
      </c>
      <c r="J11" s="88">
        <v>3</v>
      </c>
      <c r="K11" s="87">
        <f t="shared" si="4"/>
        <v>60</v>
      </c>
      <c r="L11" s="14"/>
      <c r="M11" s="66"/>
      <c r="N11" s="67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2">
        <f t="shared" si="2"/>
        <v>3.6697247706422016</v>
      </c>
      <c r="G12" s="69">
        <f t="shared" si="3"/>
        <v>49.050000000000004</v>
      </c>
      <c r="H12" s="76">
        <f t="shared" si="0"/>
        <v>3</v>
      </c>
      <c r="I12" s="77">
        <v>60</v>
      </c>
      <c r="J12" s="88">
        <v>3</v>
      </c>
      <c r="K12" s="87">
        <f t="shared" si="4"/>
        <v>60</v>
      </c>
      <c r="L12" s="14"/>
      <c r="M12" s="66"/>
      <c r="N12" s="67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2">
        <f t="shared" si="2"/>
        <v>4.9949031600407743</v>
      </c>
      <c r="G13" s="69">
        <f t="shared" si="3"/>
        <v>45.045918367346943</v>
      </c>
      <c r="H13" s="76">
        <f t="shared" si="0"/>
        <v>4.5</v>
      </c>
      <c r="I13" s="77">
        <v>50</v>
      </c>
      <c r="J13" s="88">
        <v>4.5</v>
      </c>
      <c r="K13" s="87">
        <f t="shared" si="4"/>
        <v>50</v>
      </c>
      <c r="L13" s="14"/>
      <c r="M13" s="66"/>
      <c r="N13" s="67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2">
        <f t="shared" si="2"/>
        <v>6.6513761467889907</v>
      </c>
      <c r="G14" s="69">
        <f t="shared" si="3"/>
        <v>33.827586206896555</v>
      </c>
      <c r="H14" s="76">
        <f t="shared" si="0"/>
        <v>5.625</v>
      </c>
      <c r="I14" s="77">
        <v>40</v>
      </c>
      <c r="J14" s="88">
        <v>6</v>
      </c>
      <c r="K14" s="87">
        <f t="shared" si="4"/>
        <v>37.5</v>
      </c>
      <c r="L14" s="14"/>
      <c r="M14" s="66"/>
      <c r="N14" s="67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2">
        <f t="shared" si="2"/>
        <v>6.6513761467889907</v>
      </c>
      <c r="G15" s="69">
        <f t="shared" si="3"/>
        <v>33.827586206896555</v>
      </c>
      <c r="H15" s="76">
        <f t="shared" si="0"/>
        <v>5.625</v>
      </c>
      <c r="I15" s="77">
        <v>40</v>
      </c>
      <c r="J15" s="88">
        <v>6</v>
      </c>
      <c r="K15" s="87">
        <f t="shared" si="4"/>
        <v>37.5</v>
      </c>
      <c r="L15" s="14"/>
      <c r="M15" s="66"/>
      <c r="N15" s="67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2">
        <f t="shared" si="2"/>
        <v>6.6513761467889907</v>
      </c>
      <c r="G16" s="69">
        <f t="shared" si="3"/>
        <v>33.827586206896555</v>
      </c>
      <c r="H16" s="76">
        <f t="shared" si="0"/>
        <v>5</v>
      </c>
      <c r="I16" s="77">
        <v>45</v>
      </c>
      <c r="J16" s="88"/>
      <c r="K16" s="87" t="e">
        <f t="shared" si="4"/>
        <v>#DIV/0!</v>
      </c>
      <c r="L16" s="14"/>
      <c r="M16" s="66"/>
      <c r="N16" s="67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2">
        <f t="shared" si="2"/>
        <v>6.6513761467889907</v>
      </c>
      <c r="G17" s="69">
        <f t="shared" si="3"/>
        <v>33.827586206896555</v>
      </c>
      <c r="H17" s="76">
        <f t="shared" si="0"/>
        <v>5</v>
      </c>
      <c r="I17" s="77">
        <v>45</v>
      </c>
      <c r="J17" s="88"/>
      <c r="K17" s="87" t="e">
        <f t="shared" si="4"/>
        <v>#DIV/0!</v>
      </c>
      <c r="L17" s="14"/>
      <c r="M17" s="66"/>
      <c r="N17" s="67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2">
        <f t="shared" si="2"/>
        <v>6.6513761467889907</v>
      </c>
      <c r="G18" s="69">
        <f t="shared" si="3"/>
        <v>33.827586206896555</v>
      </c>
      <c r="H18" s="76">
        <f t="shared" si="0"/>
        <v>5.625</v>
      </c>
      <c r="I18" s="77">
        <v>40</v>
      </c>
      <c r="J18" s="88">
        <v>6</v>
      </c>
      <c r="K18" s="87">
        <f t="shared" si="4"/>
        <v>37.5</v>
      </c>
      <c r="L18" s="14"/>
      <c r="M18" s="66"/>
      <c r="N18" s="67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2">
        <f t="shared" si="2"/>
        <v>4.0403216672329823</v>
      </c>
      <c r="G19" s="69">
        <f t="shared" si="3"/>
        <v>45.045918367346935</v>
      </c>
      <c r="H19" s="76" t="e">
        <f t="shared" si="0"/>
        <v>#DIV/0!</v>
      </c>
      <c r="I19" s="77"/>
      <c r="J19" s="88"/>
      <c r="K19" s="87" t="e">
        <f t="shared" si="4"/>
        <v>#DIV/0!</v>
      </c>
      <c r="L19" s="14"/>
      <c r="M19" s="66"/>
      <c r="N19" s="67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2">
        <f t="shared" si="2"/>
        <v>4.0403216672329823</v>
      </c>
      <c r="G20" s="69">
        <f t="shared" si="3"/>
        <v>45.045918367346935</v>
      </c>
      <c r="H20" s="76" t="e">
        <f t="shared" si="0"/>
        <v>#DIV/0!</v>
      </c>
      <c r="I20" s="77"/>
      <c r="J20" s="88"/>
      <c r="K20" s="87" t="e">
        <f t="shared" si="4"/>
        <v>#DIV/0!</v>
      </c>
      <c r="L20" s="14"/>
      <c r="M20" s="66"/>
      <c r="N20" s="67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2">
        <f t="shared" si="2"/>
        <v>3.0535734511269679</v>
      </c>
      <c r="G21" s="69">
        <f t="shared" si="3"/>
        <v>26.198813056379823</v>
      </c>
      <c r="H21" s="76" t="e">
        <f t="shared" si="0"/>
        <v>#DIV/0!</v>
      </c>
      <c r="I21" s="77"/>
      <c r="J21" s="88"/>
      <c r="K21" s="87" t="e">
        <f t="shared" si="4"/>
        <v>#DIV/0!</v>
      </c>
      <c r="L21" s="14"/>
      <c r="M21" s="66"/>
      <c r="N21" s="67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2">
        <f t="shared" si="2"/>
        <v>6.6513761467889907</v>
      </c>
      <c r="G22" s="69">
        <f t="shared" si="3"/>
        <v>33.827586206896555</v>
      </c>
      <c r="H22" s="76">
        <f t="shared" si="0"/>
        <v>5.625</v>
      </c>
      <c r="I22" s="77">
        <v>40</v>
      </c>
      <c r="J22" s="88">
        <v>6</v>
      </c>
      <c r="K22" s="87">
        <f t="shared" si="4"/>
        <v>37.5</v>
      </c>
      <c r="L22" s="14"/>
      <c r="M22" s="66"/>
      <c r="N22" s="67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2">
        <f t="shared" si="2"/>
        <v>5.3211009174311927</v>
      </c>
      <c r="G23" s="69">
        <f t="shared" si="3"/>
        <v>33.827586206896548</v>
      </c>
      <c r="H23" s="76">
        <f t="shared" si="0"/>
        <v>4.5</v>
      </c>
      <c r="I23" s="77">
        <v>40</v>
      </c>
      <c r="J23" s="88">
        <v>4.5</v>
      </c>
      <c r="K23" s="87">
        <f t="shared" si="4"/>
        <v>40</v>
      </c>
      <c r="L23" s="14"/>
      <c r="M23" s="66"/>
      <c r="N23" s="67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2">
        <f t="shared" si="2"/>
        <v>7.3904179408766559</v>
      </c>
      <c r="G24" s="69">
        <f t="shared" si="3"/>
        <v>33.827586206896555</v>
      </c>
      <c r="H24" s="76">
        <f t="shared" si="0"/>
        <v>5.5555555555555554</v>
      </c>
      <c r="I24" s="77">
        <v>45</v>
      </c>
      <c r="J24" s="88">
        <v>6</v>
      </c>
      <c r="K24" s="87">
        <f t="shared" si="4"/>
        <v>41.666666666666664</v>
      </c>
      <c r="L24" s="14"/>
      <c r="M24" s="66"/>
      <c r="N24" s="67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2">
        <f t="shared" si="2"/>
        <v>7.3904179408766559</v>
      </c>
      <c r="G25" s="69">
        <f t="shared" si="3"/>
        <v>33.827586206896555</v>
      </c>
      <c r="H25" s="76">
        <f t="shared" si="0"/>
        <v>5.5555555555555554</v>
      </c>
      <c r="I25" s="77">
        <v>45</v>
      </c>
      <c r="J25" s="88">
        <v>6</v>
      </c>
      <c r="K25" s="87">
        <f t="shared" si="4"/>
        <v>41.666666666666664</v>
      </c>
      <c r="L25" s="14"/>
      <c r="M25" s="66"/>
      <c r="N25" s="67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2">
        <f t="shared" si="2"/>
        <v>7.6860346585117219</v>
      </c>
      <c r="G26" s="69">
        <f t="shared" si="3"/>
        <v>33.827586206896555</v>
      </c>
      <c r="H26" s="76">
        <f t="shared" si="0"/>
        <v>6.5</v>
      </c>
      <c r="I26" s="77">
        <v>40</v>
      </c>
      <c r="J26" s="88">
        <v>6.5</v>
      </c>
      <c r="K26" s="87">
        <f t="shared" si="4"/>
        <v>40</v>
      </c>
      <c r="L26" s="14"/>
      <c r="M26" s="66"/>
      <c r="N26" s="67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2">
        <f t="shared" si="2"/>
        <v>6.6513761467889907</v>
      </c>
      <c r="G27" s="69">
        <f t="shared" si="3"/>
        <v>33.827586206896555</v>
      </c>
      <c r="H27" s="76">
        <f t="shared" si="0"/>
        <v>5.625</v>
      </c>
      <c r="I27" s="77">
        <v>40</v>
      </c>
      <c r="J27" s="88">
        <v>6</v>
      </c>
      <c r="K27" s="87">
        <f t="shared" si="4"/>
        <v>37.5</v>
      </c>
      <c r="L27" s="14"/>
      <c r="M27" s="66"/>
      <c r="N27" s="67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2">
        <f t="shared" si="2"/>
        <v>6.6513761467889907</v>
      </c>
      <c r="G28" s="69">
        <f t="shared" si="3"/>
        <v>33.827586206896555</v>
      </c>
      <c r="H28" s="76">
        <f t="shared" si="0"/>
        <v>5.625</v>
      </c>
      <c r="I28" s="77">
        <v>40</v>
      </c>
      <c r="J28" s="88">
        <v>6</v>
      </c>
      <c r="K28" s="87">
        <f t="shared" si="4"/>
        <v>37.5</v>
      </c>
      <c r="L28" s="14"/>
      <c r="M28" s="66"/>
      <c r="N28" s="67"/>
    </row>
    <row r="29" spans="1:14" x14ac:dyDescent="0.25">
      <c r="A29" s="64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2">
        <f t="shared" si="2"/>
        <v>4.5871559633027523</v>
      </c>
      <c r="G29" s="69">
        <f t="shared" si="3"/>
        <v>39.24</v>
      </c>
      <c r="H29" s="76">
        <f t="shared" si="0"/>
        <v>3</v>
      </c>
      <c r="I29" s="77">
        <v>60</v>
      </c>
      <c r="J29" s="88">
        <v>3</v>
      </c>
      <c r="K29" s="87">
        <f t="shared" si="4"/>
        <v>60</v>
      </c>
      <c r="L29" s="14"/>
      <c r="M29" s="66"/>
      <c r="N29" s="67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2">
        <f t="shared" si="2"/>
        <v>15.963302752293577</v>
      </c>
      <c r="G30" s="69">
        <f t="shared" si="3"/>
        <v>33.827586206896555</v>
      </c>
      <c r="H30" s="76">
        <f t="shared" si="0"/>
        <v>9</v>
      </c>
      <c r="I30" s="77">
        <v>60</v>
      </c>
      <c r="J30" s="88"/>
      <c r="K30" s="87" t="e">
        <f t="shared" si="4"/>
        <v>#DIV/0!</v>
      </c>
      <c r="L30" s="14"/>
      <c r="M30" s="66"/>
      <c r="N30" s="67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2">
        <f t="shared" si="2"/>
        <v>15.963302752293577</v>
      </c>
      <c r="G31" s="69">
        <f t="shared" si="3"/>
        <v>33.827586206896555</v>
      </c>
      <c r="H31" s="76">
        <f t="shared" si="0"/>
        <v>9</v>
      </c>
      <c r="I31" s="77">
        <v>60</v>
      </c>
      <c r="J31" s="88"/>
      <c r="K31" s="87" t="e">
        <f t="shared" si="4"/>
        <v>#DIV/0!</v>
      </c>
      <c r="L31" s="14"/>
      <c r="M31" s="66"/>
      <c r="N31" s="67"/>
    </row>
    <row r="32" spans="1:14" s="9" customFormat="1" x14ac:dyDescent="0.25">
      <c r="A32" s="43" t="s">
        <v>77</v>
      </c>
      <c r="B32" s="19"/>
      <c r="C32" s="94">
        <v>0.19600000000000001</v>
      </c>
      <c r="D32" s="3">
        <v>260</v>
      </c>
      <c r="E32" s="36">
        <f t="shared" si="1"/>
        <v>50.96</v>
      </c>
      <c r="F32" s="82">
        <f t="shared" si="2"/>
        <v>5.7718880960471175</v>
      </c>
      <c r="G32" s="69">
        <f t="shared" si="3"/>
        <v>45.045918367346935</v>
      </c>
      <c r="H32" s="76">
        <f t="shared" si="0"/>
        <v>6.5</v>
      </c>
      <c r="I32" s="77">
        <v>40</v>
      </c>
      <c r="J32" s="88">
        <v>6.5</v>
      </c>
      <c r="K32" s="87">
        <f t="shared" si="4"/>
        <v>40</v>
      </c>
      <c r="L32" s="14"/>
      <c r="M32" s="66"/>
      <c r="N32" s="67"/>
    </row>
    <row r="33" spans="1:14" s="9" customFormat="1" x14ac:dyDescent="0.25">
      <c r="A33" s="43" t="s">
        <v>78</v>
      </c>
      <c r="B33" s="19"/>
      <c r="C33" s="94">
        <v>0.19600000000000001</v>
      </c>
      <c r="D33" s="3">
        <v>260</v>
      </c>
      <c r="E33" s="36">
        <f t="shared" si="1"/>
        <v>50.96</v>
      </c>
      <c r="F33" s="82">
        <f t="shared" si="2"/>
        <v>5.7718880960471175</v>
      </c>
      <c r="G33" s="69">
        <f t="shared" si="3"/>
        <v>45.045918367346935</v>
      </c>
      <c r="H33" s="76">
        <f t="shared" si="0"/>
        <v>6.5</v>
      </c>
      <c r="I33" s="77">
        <v>40</v>
      </c>
      <c r="J33" s="88">
        <v>6.5</v>
      </c>
      <c r="K33" s="87">
        <f t="shared" si="4"/>
        <v>40</v>
      </c>
      <c r="L33" s="14"/>
      <c r="M33" s="66"/>
      <c r="N33" s="67"/>
    </row>
    <row r="34" spans="1:14" s="9" customFormat="1" x14ac:dyDescent="0.25">
      <c r="A34" s="43" t="s">
        <v>79</v>
      </c>
      <c r="B34" s="19"/>
      <c r="C34" s="94">
        <v>0.19600000000000001</v>
      </c>
      <c r="D34" s="3">
        <v>240</v>
      </c>
      <c r="E34" s="36">
        <f t="shared" si="1"/>
        <v>47.04</v>
      </c>
      <c r="F34" s="82">
        <f t="shared" si="2"/>
        <v>5.3278967040434928</v>
      </c>
      <c r="G34" s="69">
        <f t="shared" si="3"/>
        <v>45.045918367346943</v>
      </c>
      <c r="H34" s="76">
        <f t="shared" si="0"/>
        <v>5.333333333333333</v>
      </c>
      <c r="I34" s="77">
        <v>45</v>
      </c>
      <c r="J34" s="88">
        <v>6</v>
      </c>
      <c r="K34" s="87">
        <f t="shared" si="4"/>
        <v>40</v>
      </c>
      <c r="L34" s="14"/>
      <c r="M34" s="66"/>
      <c r="N34" s="67"/>
    </row>
    <row r="35" spans="1:14" s="9" customFormat="1" x14ac:dyDescent="0.25">
      <c r="A35" s="43" t="s">
        <v>80</v>
      </c>
      <c r="B35" s="19"/>
      <c r="C35" s="94">
        <v>0.19600000000000001</v>
      </c>
      <c r="D35" s="3">
        <v>240</v>
      </c>
      <c r="E35" s="36">
        <f t="shared" si="1"/>
        <v>47.04</v>
      </c>
      <c r="F35" s="82">
        <f t="shared" si="2"/>
        <v>5.3278967040434928</v>
      </c>
      <c r="G35" s="69">
        <f t="shared" si="3"/>
        <v>45.045918367346943</v>
      </c>
      <c r="H35" s="76">
        <f t="shared" si="0"/>
        <v>5.333333333333333</v>
      </c>
      <c r="I35" s="77">
        <v>45</v>
      </c>
      <c r="J35" s="88">
        <v>6</v>
      </c>
      <c r="K35" s="87">
        <f t="shared" si="4"/>
        <v>40</v>
      </c>
      <c r="L35" s="14"/>
      <c r="M35" s="66"/>
      <c r="N35" s="67"/>
    </row>
    <row r="36" spans="1:14" s="9" customFormat="1" x14ac:dyDescent="0.25">
      <c r="A36" s="103" t="s">
        <v>83</v>
      </c>
      <c r="B36" s="19"/>
      <c r="C36" s="94"/>
      <c r="D36" s="3"/>
      <c r="E36" s="36"/>
      <c r="F36" s="82"/>
      <c r="G36" s="69"/>
      <c r="H36" s="76"/>
      <c r="I36" s="77"/>
      <c r="J36" s="88"/>
      <c r="K36" s="87"/>
      <c r="L36" s="14"/>
      <c r="M36" s="66"/>
      <c r="N36" s="67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2">
        <f t="shared" si="2"/>
        <v>9.0978593272171242</v>
      </c>
      <c r="G37" s="69">
        <f t="shared" si="3"/>
        <v>39.24</v>
      </c>
      <c r="H37" s="76">
        <f t="shared" si="0"/>
        <v>5.95</v>
      </c>
      <c r="I37" s="77">
        <v>60</v>
      </c>
      <c r="J37" s="88">
        <v>6</v>
      </c>
      <c r="K37" s="87">
        <f t="shared" si="4"/>
        <v>59.5</v>
      </c>
      <c r="L37" s="14"/>
      <c r="M37" s="66"/>
      <c r="N37" s="67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2">
        <f t="shared" si="2"/>
        <v>15.963302752293577</v>
      </c>
      <c r="G38" s="69">
        <f t="shared" si="3"/>
        <v>33.827586206896555</v>
      </c>
      <c r="H38" s="76" t="e">
        <f t="shared" si="0"/>
        <v>#DIV/0!</v>
      </c>
      <c r="I38" s="77"/>
      <c r="J38" s="88"/>
      <c r="K38" s="87" t="e">
        <f t="shared" si="4"/>
        <v>#DIV/0!</v>
      </c>
      <c r="L38" s="14"/>
      <c r="M38" s="66"/>
      <c r="N38" s="67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2">
        <f t="shared" si="2"/>
        <v>15.963302752293577</v>
      </c>
      <c r="G39" s="69">
        <f t="shared" si="3"/>
        <v>33.827586206896555</v>
      </c>
      <c r="H39" s="76" t="e">
        <f t="shared" si="0"/>
        <v>#DIV/0!</v>
      </c>
      <c r="I39" s="77"/>
      <c r="J39" s="88"/>
      <c r="K39" s="87" t="e">
        <f t="shared" si="4"/>
        <v>#DIV/0!</v>
      </c>
      <c r="L39" s="14"/>
      <c r="M39" s="66"/>
      <c r="N39" s="67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2">
        <f t="shared" si="2"/>
        <v>15.963302752293577</v>
      </c>
      <c r="G40" s="69">
        <f t="shared" si="3"/>
        <v>33.827586206896555</v>
      </c>
      <c r="H40" s="76" t="e">
        <f t="shared" si="0"/>
        <v>#DIV/0!</v>
      </c>
      <c r="I40" s="77"/>
      <c r="J40" s="88"/>
      <c r="K40" s="87" t="e">
        <f t="shared" si="4"/>
        <v>#DIV/0!</v>
      </c>
      <c r="L40" s="14"/>
      <c r="M40" s="66"/>
      <c r="N40" s="67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2">
        <f t="shared" si="2"/>
        <v>15.963302752293577</v>
      </c>
      <c r="G41" s="69">
        <f t="shared" si="3"/>
        <v>33.827586206896555</v>
      </c>
      <c r="H41" s="76" t="e">
        <f t="shared" si="0"/>
        <v>#DIV/0!</v>
      </c>
      <c r="I41" s="77"/>
      <c r="J41" s="88"/>
      <c r="K41" s="87" t="e">
        <f t="shared" si="4"/>
        <v>#DIV/0!</v>
      </c>
      <c r="L41" s="14"/>
      <c r="M41" s="66"/>
      <c r="N41" s="67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2">
        <f t="shared" si="2"/>
        <v>4.0403216672329823</v>
      </c>
      <c r="G42" s="69">
        <f t="shared" si="3"/>
        <v>45.045918367346935</v>
      </c>
      <c r="H42" s="76" t="e">
        <f t="shared" si="0"/>
        <v>#DIV/0!</v>
      </c>
      <c r="I42" s="77"/>
      <c r="J42" s="88"/>
      <c r="K42" s="87" t="e">
        <f t="shared" si="4"/>
        <v>#DIV/0!</v>
      </c>
      <c r="L42" s="14"/>
      <c r="M42" s="66"/>
      <c r="N42" s="67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2">
        <f t="shared" si="2"/>
        <v>4.0403216672329823</v>
      </c>
      <c r="G43" s="69">
        <f t="shared" si="3"/>
        <v>45.045918367346935</v>
      </c>
      <c r="H43" s="76" t="e">
        <f t="shared" si="0"/>
        <v>#DIV/0!</v>
      </c>
      <c r="I43" s="77"/>
      <c r="J43" s="88"/>
      <c r="K43" s="87" t="e">
        <f t="shared" si="4"/>
        <v>#DIV/0!</v>
      </c>
      <c r="L43" s="14"/>
      <c r="M43" s="66"/>
      <c r="N43" s="67"/>
    </row>
    <row r="44" spans="1:14" ht="15" customHeight="1" thickBot="1" x14ac:dyDescent="0.3">
      <c r="A44" s="65" t="s">
        <v>58</v>
      </c>
      <c r="B44" s="8">
        <v>255362</v>
      </c>
      <c r="C44" s="8">
        <v>0.22500000000000001</v>
      </c>
      <c r="D44" s="8">
        <v>80</v>
      </c>
      <c r="E44" s="80">
        <f>C44*D44</f>
        <v>18</v>
      </c>
      <c r="F44" s="83">
        <f t="shared" si="2"/>
        <v>2.038735983690112</v>
      </c>
      <c r="G44" s="70">
        <f t="shared" si="3"/>
        <v>39.24</v>
      </c>
      <c r="H44" s="78">
        <f t="shared" si="0"/>
        <v>1.3333333333333333</v>
      </c>
      <c r="I44" s="79">
        <v>60</v>
      </c>
      <c r="J44" s="89">
        <v>1.5</v>
      </c>
      <c r="K44" s="90">
        <f t="shared" si="4"/>
        <v>53.333333333333336</v>
      </c>
      <c r="L44" s="14"/>
      <c r="M44" s="66"/>
      <c r="N44" s="67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X121"/>
  <sheetViews>
    <sheetView topLeftCell="L58" zoomScale="85" zoomScaleNormal="85" workbookViewId="0">
      <selection activeCell="T70" sqref="T70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4"/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5"/>
      <c r="O1" s="435"/>
      <c r="P1" s="435"/>
      <c r="Q1" s="436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61"/>
      <c r="F2" s="46" t="s">
        <v>70</v>
      </c>
      <c r="G2" s="410" t="s">
        <v>151</v>
      </c>
      <c r="H2" s="410" t="s">
        <v>150</v>
      </c>
      <c r="I2" s="361"/>
      <c r="J2" s="361"/>
      <c r="K2" s="361"/>
      <c r="L2" s="304" t="s">
        <v>43</v>
      </c>
      <c r="M2" s="411" t="s">
        <v>44</v>
      </c>
      <c r="N2" s="46" t="s">
        <v>19</v>
      </c>
      <c r="O2" s="411" t="s">
        <v>227</v>
      </c>
      <c r="P2" s="46" t="s">
        <v>226</v>
      </c>
      <c r="Q2" s="47" t="s">
        <v>45</v>
      </c>
    </row>
    <row r="3" spans="1:17" ht="15.75" customHeight="1" x14ac:dyDescent="0.25">
      <c r="A3" s="363" t="s">
        <v>0</v>
      </c>
      <c r="B3" s="384">
        <v>254849</v>
      </c>
      <c r="C3" s="365">
        <v>0.33700000000000002</v>
      </c>
      <c r="D3" s="379">
        <v>180</v>
      </c>
      <c r="E3" s="437">
        <f t="shared" ref="E3:E10" si="0">C3*D3</f>
        <v>60.660000000000004</v>
      </c>
      <c r="F3" s="387">
        <v>0.193</v>
      </c>
      <c r="G3" s="438">
        <f>+H3*1.0722</f>
        <v>0.192996</v>
      </c>
      <c r="H3" s="13">
        <v>0.18</v>
      </c>
      <c r="I3" s="13"/>
      <c r="J3" s="13"/>
      <c r="K3" s="13"/>
      <c r="L3" s="413">
        <v>251151</v>
      </c>
      <c r="M3" s="412" t="s">
        <v>182</v>
      </c>
      <c r="N3" s="495">
        <v>0.42</v>
      </c>
      <c r="O3" s="496"/>
      <c r="P3" s="476">
        <f t="shared" ref="P3:P35" si="1">+N3+O3</f>
        <v>0.42</v>
      </c>
      <c r="Q3" s="414">
        <v>250</v>
      </c>
    </row>
    <row r="4" spans="1:17" ht="15.75" customHeight="1" x14ac:dyDescent="0.25">
      <c r="A4" s="364" t="s">
        <v>1</v>
      </c>
      <c r="B4" s="378">
        <v>254851</v>
      </c>
      <c r="C4" s="104">
        <v>0.33700000000000002</v>
      </c>
      <c r="D4" s="380">
        <v>180</v>
      </c>
      <c r="E4" s="437">
        <f t="shared" si="0"/>
        <v>60.660000000000004</v>
      </c>
      <c r="F4" s="388">
        <v>0.193</v>
      </c>
      <c r="G4" s="438">
        <f t="shared" ref="G4:G40" si="2">+H4*1.0722</f>
        <v>0.192996</v>
      </c>
      <c r="H4" s="13">
        <v>0.18</v>
      </c>
      <c r="I4" s="13"/>
      <c r="J4" s="13"/>
      <c r="K4" s="13"/>
      <c r="L4" s="413">
        <v>251406</v>
      </c>
      <c r="M4" s="412" t="s">
        <v>186</v>
      </c>
      <c r="N4" s="495">
        <v>0.17</v>
      </c>
      <c r="O4" s="496"/>
      <c r="P4" s="476">
        <f t="shared" si="1"/>
        <v>0.17</v>
      </c>
      <c r="Q4" s="414">
        <v>198</v>
      </c>
    </row>
    <row r="5" spans="1:17" ht="15.75" customHeight="1" x14ac:dyDescent="0.25">
      <c r="A5" s="364" t="s">
        <v>2</v>
      </c>
      <c r="B5" s="378">
        <v>254853</v>
      </c>
      <c r="C5" s="104">
        <v>0.33700000000000002</v>
      </c>
      <c r="D5" s="380">
        <v>180</v>
      </c>
      <c r="E5" s="437">
        <f t="shared" si="0"/>
        <v>60.660000000000004</v>
      </c>
      <c r="F5" s="388">
        <v>0.193</v>
      </c>
      <c r="G5" s="438">
        <f t="shared" si="2"/>
        <v>0.192996</v>
      </c>
      <c r="H5" s="13">
        <v>0.18</v>
      </c>
      <c r="I5" s="13"/>
      <c r="J5" s="13"/>
      <c r="K5" s="13"/>
      <c r="L5" s="413">
        <v>251429</v>
      </c>
      <c r="M5" s="412" t="s">
        <v>200</v>
      </c>
      <c r="N5" s="495">
        <v>0.4</v>
      </c>
      <c r="O5" s="496"/>
      <c r="P5" s="476">
        <f t="shared" si="1"/>
        <v>0.4</v>
      </c>
      <c r="Q5" s="414">
        <v>48</v>
      </c>
    </row>
    <row r="6" spans="1:17" s="9" customFormat="1" ht="15.75" customHeight="1" x14ac:dyDescent="0.25">
      <c r="A6" s="402" t="s">
        <v>158</v>
      </c>
      <c r="B6" s="403">
        <v>256548</v>
      </c>
      <c r="C6" s="404">
        <v>0.33700000000000002</v>
      </c>
      <c r="D6" s="405">
        <v>180</v>
      </c>
      <c r="E6" s="439">
        <f t="shared" si="0"/>
        <v>60.660000000000004</v>
      </c>
      <c r="F6" s="406">
        <v>0.193</v>
      </c>
      <c r="G6" s="440">
        <f t="shared" ref="G6:G10" si="3">+H6*1.0722</f>
        <v>0.192996</v>
      </c>
      <c r="H6" s="441">
        <v>0.18</v>
      </c>
      <c r="I6" s="13"/>
      <c r="J6" s="13"/>
      <c r="K6" s="13"/>
      <c r="L6" s="413">
        <v>251632</v>
      </c>
      <c r="M6" s="412" t="s">
        <v>188</v>
      </c>
      <c r="N6" s="495">
        <v>0.42</v>
      </c>
      <c r="O6" s="496"/>
      <c r="P6" s="476">
        <f t="shared" si="1"/>
        <v>0.42</v>
      </c>
      <c r="Q6" s="414">
        <v>180</v>
      </c>
    </row>
    <row r="7" spans="1:17" s="9" customFormat="1" ht="15.75" customHeight="1" x14ac:dyDescent="0.25">
      <c r="A7" s="364" t="s">
        <v>2</v>
      </c>
      <c r="B7" s="378">
        <v>254853</v>
      </c>
      <c r="C7" s="104">
        <v>0.33700000000000002</v>
      </c>
      <c r="D7" s="380">
        <v>180</v>
      </c>
      <c r="E7" s="437">
        <f t="shared" si="0"/>
        <v>60.660000000000004</v>
      </c>
      <c r="F7" s="388">
        <v>0.193</v>
      </c>
      <c r="G7" s="438">
        <f t="shared" si="3"/>
        <v>0.192996</v>
      </c>
      <c r="H7" s="13">
        <v>0.18</v>
      </c>
      <c r="I7" s="13"/>
      <c r="J7" s="13"/>
      <c r="K7" s="13"/>
      <c r="L7" s="413">
        <v>251633</v>
      </c>
      <c r="M7" s="412" t="s">
        <v>187</v>
      </c>
      <c r="N7" s="495">
        <v>0.42</v>
      </c>
      <c r="O7" s="496"/>
      <c r="P7" s="476">
        <f t="shared" si="1"/>
        <v>0.42</v>
      </c>
      <c r="Q7" s="414">
        <v>180</v>
      </c>
    </row>
    <row r="8" spans="1:17" s="9" customFormat="1" ht="15" x14ac:dyDescent="0.25">
      <c r="A8" s="402" t="s">
        <v>157</v>
      </c>
      <c r="B8" s="403">
        <v>256549</v>
      </c>
      <c r="C8" s="404">
        <v>0.33700000000000002</v>
      </c>
      <c r="D8" s="405">
        <v>180</v>
      </c>
      <c r="E8" s="439">
        <f t="shared" si="0"/>
        <v>60.660000000000004</v>
      </c>
      <c r="F8" s="406">
        <v>0.193</v>
      </c>
      <c r="G8" s="440">
        <f t="shared" si="3"/>
        <v>0.192996</v>
      </c>
      <c r="H8" s="441">
        <v>0.18</v>
      </c>
      <c r="I8" s="13"/>
      <c r="J8" s="13"/>
      <c r="K8" s="13"/>
      <c r="L8" s="413">
        <v>252436</v>
      </c>
      <c r="M8" s="412" t="s">
        <v>204</v>
      </c>
      <c r="N8" s="495">
        <v>0.4</v>
      </c>
      <c r="O8" s="496"/>
      <c r="P8" s="476">
        <f t="shared" si="1"/>
        <v>0.4</v>
      </c>
      <c r="Q8" s="414">
        <v>90</v>
      </c>
    </row>
    <row r="9" spans="1:17" s="9" customFormat="1" ht="15.75" customHeight="1" x14ac:dyDescent="0.25">
      <c r="A9" s="402" t="s">
        <v>158</v>
      </c>
      <c r="B9" s="403">
        <v>256548</v>
      </c>
      <c r="C9" s="404">
        <v>0.33700000000000002</v>
      </c>
      <c r="D9" s="405">
        <v>180</v>
      </c>
      <c r="E9" s="439">
        <f t="shared" ref="E9" si="4">C9*D9</f>
        <v>60.660000000000004</v>
      </c>
      <c r="F9" s="406">
        <v>0.193</v>
      </c>
      <c r="G9" s="440">
        <f t="shared" si="3"/>
        <v>0.192996</v>
      </c>
      <c r="H9" s="441">
        <v>0.18</v>
      </c>
      <c r="I9" s="13"/>
      <c r="J9" s="13"/>
      <c r="K9" s="13"/>
      <c r="L9" s="413">
        <v>254762</v>
      </c>
      <c r="M9" s="412" t="s">
        <v>230</v>
      </c>
      <c r="N9" s="495">
        <v>0.4</v>
      </c>
      <c r="O9" s="496"/>
      <c r="P9" s="476">
        <f t="shared" si="1"/>
        <v>0.4</v>
      </c>
      <c r="Q9" s="414">
        <v>240</v>
      </c>
    </row>
    <row r="10" spans="1:17" s="9" customFormat="1" ht="15.75" customHeight="1" x14ac:dyDescent="0.25">
      <c r="A10" s="402" t="s">
        <v>158</v>
      </c>
      <c r="B10" s="403">
        <v>256548</v>
      </c>
      <c r="C10" s="404">
        <v>0.33700000000000002</v>
      </c>
      <c r="D10" s="405">
        <v>180</v>
      </c>
      <c r="E10" s="439">
        <f t="shared" si="0"/>
        <v>60.660000000000004</v>
      </c>
      <c r="F10" s="406">
        <v>0.193</v>
      </c>
      <c r="G10" s="440">
        <f t="shared" si="3"/>
        <v>0.192996</v>
      </c>
      <c r="H10" s="441">
        <v>0.18</v>
      </c>
      <c r="I10" s="13"/>
      <c r="J10" s="13"/>
      <c r="K10" s="13"/>
      <c r="L10" s="413">
        <v>254786</v>
      </c>
      <c r="M10" s="412" t="s">
        <v>159</v>
      </c>
      <c r="N10" s="495">
        <v>0.42</v>
      </c>
      <c r="O10" s="496"/>
      <c r="P10" s="476">
        <f t="shared" si="1"/>
        <v>0.42</v>
      </c>
      <c r="Q10" s="414">
        <v>240</v>
      </c>
    </row>
    <row r="11" spans="1:17" ht="15.75" customHeight="1" x14ac:dyDescent="0.25">
      <c r="A11" s="364" t="s">
        <v>8</v>
      </c>
      <c r="B11" s="378">
        <v>251151</v>
      </c>
      <c r="C11" s="104">
        <v>0.26100000000000001</v>
      </c>
      <c r="D11" s="380">
        <v>225</v>
      </c>
      <c r="E11" s="437">
        <f t="shared" ref="E11:E17" si="5">C11*D11</f>
        <v>58.725000000000001</v>
      </c>
      <c r="F11" s="388">
        <v>0.28000000000000003</v>
      </c>
      <c r="G11" s="438">
        <f t="shared" si="2"/>
        <v>0.27984420000000004</v>
      </c>
      <c r="H11" s="13">
        <v>0.26100000000000001</v>
      </c>
      <c r="I11" s="13"/>
      <c r="J11" s="13"/>
      <c r="K11" s="13"/>
      <c r="L11" s="413">
        <v>254849</v>
      </c>
      <c r="M11" s="412" t="s">
        <v>177</v>
      </c>
      <c r="N11" s="495">
        <v>0.17</v>
      </c>
      <c r="O11" s="496"/>
      <c r="P11" s="476">
        <f t="shared" si="1"/>
        <v>0.17</v>
      </c>
      <c r="Q11" s="415">
        <v>198</v>
      </c>
    </row>
    <row r="12" spans="1:17" ht="15.75" customHeight="1" x14ac:dyDescent="0.25">
      <c r="A12" s="364" t="s">
        <v>17</v>
      </c>
      <c r="B12" s="378">
        <v>254852</v>
      </c>
      <c r="C12" s="104">
        <v>0.26100000000000001</v>
      </c>
      <c r="D12" s="380">
        <v>225</v>
      </c>
      <c r="E12" s="437">
        <f t="shared" si="5"/>
        <v>58.725000000000001</v>
      </c>
      <c r="F12" s="388">
        <v>0.28000000000000003</v>
      </c>
      <c r="G12" s="438">
        <f t="shared" si="2"/>
        <v>0.27984420000000004</v>
      </c>
      <c r="H12" s="13">
        <v>0.26100000000000001</v>
      </c>
      <c r="I12" s="13"/>
      <c r="J12" s="13"/>
      <c r="K12" s="13"/>
      <c r="L12" s="413">
        <v>254851</v>
      </c>
      <c r="M12" s="412" t="s">
        <v>178</v>
      </c>
      <c r="N12" s="495">
        <v>0.17</v>
      </c>
      <c r="O12" s="496"/>
      <c r="P12" s="476">
        <f t="shared" si="1"/>
        <v>0.17</v>
      </c>
      <c r="Q12" s="415">
        <v>198</v>
      </c>
    </row>
    <row r="13" spans="1:17" ht="15.75" customHeight="1" x14ac:dyDescent="0.25">
      <c r="A13" s="329" t="s">
        <v>30</v>
      </c>
      <c r="B13" s="378">
        <v>254975</v>
      </c>
      <c r="C13" s="104">
        <v>0.19600000000000001</v>
      </c>
      <c r="D13" s="380">
        <v>182</v>
      </c>
      <c r="E13" s="437">
        <f t="shared" si="5"/>
        <v>35.672000000000004</v>
      </c>
      <c r="F13" s="388">
        <v>0.21</v>
      </c>
      <c r="G13" s="438">
        <f t="shared" si="2"/>
        <v>0</v>
      </c>
      <c r="H13" s="13"/>
      <c r="I13" s="13"/>
      <c r="J13" s="13"/>
      <c r="K13" s="13"/>
      <c r="L13" s="413">
        <v>254852</v>
      </c>
      <c r="M13" s="412" t="s">
        <v>183</v>
      </c>
      <c r="N13" s="495">
        <v>0.42</v>
      </c>
      <c r="O13" s="496"/>
      <c r="P13" s="476">
        <f t="shared" si="1"/>
        <v>0.42</v>
      </c>
      <c r="Q13" s="415">
        <v>225</v>
      </c>
    </row>
    <row r="14" spans="1:17" ht="15.75" customHeight="1" x14ac:dyDescent="0.25">
      <c r="A14" s="329" t="s">
        <v>31</v>
      </c>
      <c r="B14" s="378">
        <v>254976</v>
      </c>
      <c r="C14" s="104">
        <v>0.19600000000000001</v>
      </c>
      <c r="D14" s="380">
        <v>182</v>
      </c>
      <c r="E14" s="437">
        <f t="shared" si="5"/>
        <v>35.672000000000004</v>
      </c>
      <c r="F14" s="388">
        <v>0.21</v>
      </c>
      <c r="G14" s="438">
        <f t="shared" si="2"/>
        <v>0</v>
      </c>
      <c r="H14" s="13"/>
      <c r="I14" s="13"/>
      <c r="J14" s="13"/>
      <c r="K14" s="13"/>
      <c r="L14" s="413">
        <v>254853</v>
      </c>
      <c r="M14" s="412" t="s">
        <v>179</v>
      </c>
      <c r="N14" s="495">
        <v>0.17</v>
      </c>
      <c r="O14" s="496"/>
      <c r="P14" s="476">
        <f t="shared" si="1"/>
        <v>0.17</v>
      </c>
      <c r="Q14" s="415">
        <v>198</v>
      </c>
    </row>
    <row r="15" spans="1:17" s="9" customFormat="1" ht="15.75" customHeight="1" x14ac:dyDescent="0.25">
      <c r="A15" s="364" t="s">
        <v>42</v>
      </c>
      <c r="B15" s="378">
        <v>251406</v>
      </c>
      <c r="C15" s="104">
        <v>0.33700000000000002</v>
      </c>
      <c r="D15" s="380">
        <v>180</v>
      </c>
      <c r="E15" s="437">
        <f t="shared" si="5"/>
        <v>60.660000000000004</v>
      </c>
      <c r="F15" s="388">
        <v>0.193</v>
      </c>
      <c r="G15" s="438">
        <f t="shared" si="2"/>
        <v>0.192996</v>
      </c>
      <c r="H15" s="13">
        <v>0.18</v>
      </c>
      <c r="I15" s="13"/>
      <c r="J15" s="13"/>
      <c r="K15" s="13"/>
      <c r="L15" s="413">
        <v>254975</v>
      </c>
      <c r="M15" s="412" t="s">
        <v>184</v>
      </c>
      <c r="N15" s="495">
        <v>0.42</v>
      </c>
      <c r="O15" s="496"/>
      <c r="P15" s="476">
        <f t="shared" si="1"/>
        <v>0.42</v>
      </c>
      <c r="Q15" s="415">
        <v>175</v>
      </c>
    </row>
    <row r="16" spans="1:17" ht="15.75" customHeight="1" x14ac:dyDescent="0.25">
      <c r="A16" s="363" t="s">
        <v>51</v>
      </c>
      <c r="B16" s="384">
        <v>251632</v>
      </c>
      <c r="C16" s="365">
        <v>0.26100000000000001</v>
      </c>
      <c r="D16" s="379">
        <v>180</v>
      </c>
      <c r="E16" s="437">
        <f t="shared" si="5"/>
        <v>46.980000000000004</v>
      </c>
      <c r="F16" s="393">
        <v>0.27984420000000004</v>
      </c>
      <c r="G16" s="438">
        <f t="shared" si="2"/>
        <v>0.27984420000000004</v>
      </c>
      <c r="H16" s="13">
        <v>0.26100000000000001</v>
      </c>
      <c r="I16" s="13"/>
      <c r="J16" s="13"/>
      <c r="K16" s="13"/>
      <c r="L16" s="413">
        <v>254976</v>
      </c>
      <c r="M16" s="412" t="s">
        <v>185</v>
      </c>
      <c r="N16" s="495">
        <v>0.42</v>
      </c>
      <c r="O16" s="496"/>
      <c r="P16" s="476">
        <f t="shared" si="1"/>
        <v>0.42</v>
      </c>
      <c r="Q16" s="415">
        <v>175</v>
      </c>
    </row>
    <row r="17" spans="1:17" ht="15.75" customHeight="1" x14ac:dyDescent="0.25">
      <c r="A17" s="363" t="s">
        <v>53</v>
      </c>
      <c r="B17" s="378">
        <v>255430</v>
      </c>
      <c r="C17" s="104">
        <v>0.26100000000000001</v>
      </c>
      <c r="D17" s="380">
        <v>250</v>
      </c>
      <c r="E17" s="437">
        <f t="shared" si="5"/>
        <v>65.25</v>
      </c>
      <c r="F17" s="388">
        <v>0.28000000000000003</v>
      </c>
      <c r="G17" s="438">
        <f t="shared" si="2"/>
        <v>0.27984420000000004</v>
      </c>
      <c r="H17" s="13">
        <v>0.26100000000000001</v>
      </c>
      <c r="I17" s="13"/>
      <c r="J17" s="13"/>
      <c r="K17" s="13"/>
      <c r="L17" s="413">
        <v>255382</v>
      </c>
      <c r="M17" s="412" t="s">
        <v>191</v>
      </c>
      <c r="N17" s="495">
        <v>0.42</v>
      </c>
      <c r="O17" s="496"/>
      <c r="P17" s="476">
        <f t="shared" si="1"/>
        <v>0.42</v>
      </c>
      <c r="Q17" s="415">
        <v>260</v>
      </c>
    </row>
    <row r="18" spans="1:17" ht="15.75" customHeight="1" x14ac:dyDescent="0.25">
      <c r="A18" s="363" t="s">
        <v>56</v>
      </c>
      <c r="B18" s="378">
        <v>255382</v>
      </c>
      <c r="C18" s="104">
        <v>0.26100000000000001</v>
      </c>
      <c r="D18" s="380">
        <v>260</v>
      </c>
      <c r="E18" s="437">
        <f>C18*D18</f>
        <v>67.86</v>
      </c>
      <c r="F18" s="392">
        <v>0.27984420000000004</v>
      </c>
      <c r="G18" s="438">
        <f t="shared" si="2"/>
        <v>0.27984420000000004</v>
      </c>
      <c r="H18" s="13">
        <v>0.26100000000000001</v>
      </c>
      <c r="I18" s="13"/>
      <c r="J18" s="13"/>
      <c r="K18" s="13"/>
      <c r="L18" s="413">
        <v>255405</v>
      </c>
      <c r="M18" s="412" t="s">
        <v>149</v>
      </c>
      <c r="N18" s="495">
        <v>0.23</v>
      </c>
      <c r="O18" s="496"/>
      <c r="P18" s="476">
        <f t="shared" si="1"/>
        <v>0.23</v>
      </c>
      <c r="Q18" s="415">
        <v>350</v>
      </c>
    </row>
    <row r="19" spans="1:17" s="9" customFormat="1" ht="15.75" customHeight="1" x14ac:dyDescent="0.25">
      <c r="A19" s="442" t="s">
        <v>81</v>
      </c>
      <c r="B19" s="385">
        <v>256329</v>
      </c>
      <c r="C19" s="367">
        <v>0.19600000000000001</v>
      </c>
      <c r="D19" s="382">
        <v>260</v>
      </c>
      <c r="E19" s="443">
        <f t="shared" ref="E19:E20" si="6">C19*D19</f>
        <v>50.96</v>
      </c>
      <c r="F19" s="389">
        <v>0.21</v>
      </c>
      <c r="G19" s="438">
        <f t="shared" si="2"/>
        <v>0.21015120000000001</v>
      </c>
      <c r="H19" s="13">
        <v>0.19600000000000001</v>
      </c>
      <c r="I19" s="13"/>
      <c r="J19" s="13"/>
      <c r="K19" s="13"/>
      <c r="L19" s="413">
        <v>255429</v>
      </c>
      <c r="M19" s="412" t="s">
        <v>189</v>
      </c>
      <c r="N19" s="495">
        <v>0.23</v>
      </c>
      <c r="O19" s="496"/>
      <c r="P19" s="476">
        <f t="shared" si="1"/>
        <v>0.23</v>
      </c>
      <c r="Q19" s="415">
        <v>250</v>
      </c>
    </row>
    <row r="20" spans="1:17" s="9" customFormat="1" ht="15.75" customHeight="1" x14ac:dyDescent="0.25">
      <c r="A20" s="444" t="s">
        <v>78</v>
      </c>
      <c r="B20" s="378">
        <v>256331</v>
      </c>
      <c r="C20" s="366">
        <v>0.19600000000000001</v>
      </c>
      <c r="D20" s="377">
        <v>260</v>
      </c>
      <c r="E20" s="377">
        <f t="shared" si="6"/>
        <v>50.96</v>
      </c>
      <c r="F20" s="390">
        <v>0.21</v>
      </c>
      <c r="G20" s="438">
        <f t="shared" si="2"/>
        <v>0.21015120000000001</v>
      </c>
      <c r="H20" s="13">
        <v>0.19600000000000001</v>
      </c>
      <c r="I20" s="13"/>
      <c r="J20" s="13"/>
      <c r="K20" s="13"/>
      <c r="L20" s="413">
        <v>255430</v>
      </c>
      <c r="M20" s="412" t="s">
        <v>190</v>
      </c>
      <c r="N20" s="495">
        <v>0.23</v>
      </c>
      <c r="O20" s="496"/>
      <c r="P20" s="476">
        <f>+N20+O20</f>
        <v>0.23</v>
      </c>
      <c r="Q20" s="415">
        <v>250</v>
      </c>
    </row>
    <row r="21" spans="1:17" s="9" customFormat="1" ht="15.75" customHeight="1" x14ac:dyDescent="0.25">
      <c r="A21" s="329" t="s">
        <v>83</v>
      </c>
      <c r="B21" s="378">
        <v>256375</v>
      </c>
      <c r="C21" s="366">
        <v>0.22500000000000001</v>
      </c>
      <c r="D21" s="377">
        <v>760</v>
      </c>
      <c r="E21" s="377"/>
      <c r="F21" s="392">
        <v>0.24124500000000001</v>
      </c>
      <c r="G21" s="438">
        <f t="shared" si="2"/>
        <v>0.24124500000000001</v>
      </c>
      <c r="H21" s="13">
        <v>0.22500000000000001</v>
      </c>
      <c r="I21" s="13"/>
      <c r="J21" s="13"/>
      <c r="K21" s="13"/>
      <c r="L21" s="413">
        <v>256329</v>
      </c>
      <c r="M21" s="412" t="s">
        <v>81</v>
      </c>
      <c r="N21" s="495">
        <v>0.42</v>
      </c>
      <c r="O21" s="496"/>
      <c r="P21" s="476">
        <f t="shared" si="1"/>
        <v>0.42</v>
      </c>
      <c r="Q21" s="415">
        <v>260</v>
      </c>
    </row>
    <row r="22" spans="1:17" s="9" customFormat="1" ht="15.75" customHeight="1" x14ac:dyDescent="0.25">
      <c r="A22" s="329" t="s">
        <v>155</v>
      </c>
      <c r="B22" s="378">
        <v>254786</v>
      </c>
      <c r="C22" s="366"/>
      <c r="D22" s="377">
        <v>225</v>
      </c>
      <c r="E22" s="377"/>
      <c r="F22" s="392">
        <v>0.27984420000000004</v>
      </c>
      <c r="G22" s="438"/>
      <c r="H22" s="13"/>
      <c r="I22" s="13"/>
      <c r="J22" s="13"/>
      <c r="K22" s="13"/>
      <c r="L22" s="413">
        <v>256331</v>
      </c>
      <c r="M22" s="412" t="s">
        <v>115</v>
      </c>
      <c r="N22" s="495">
        <v>0.42</v>
      </c>
      <c r="O22" s="496"/>
      <c r="P22" s="476">
        <f t="shared" si="1"/>
        <v>0.42</v>
      </c>
      <c r="Q22" s="415">
        <v>260</v>
      </c>
    </row>
    <row r="23" spans="1:17" s="9" customFormat="1" ht="15.75" customHeight="1" x14ac:dyDescent="0.25">
      <c r="A23" s="329" t="s">
        <v>155</v>
      </c>
      <c r="B23" s="378">
        <v>254786</v>
      </c>
      <c r="C23" s="366"/>
      <c r="D23" s="377">
        <v>225</v>
      </c>
      <c r="E23" s="377"/>
      <c r="F23" s="392">
        <v>0.27984420000000004</v>
      </c>
      <c r="G23" s="438"/>
      <c r="H23" s="13"/>
      <c r="I23" s="13"/>
      <c r="J23" s="13"/>
      <c r="K23" s="13"/>
      <c r="L23" s="413">
        <v>256344</v>
      </c>
      <c r="M23" s="412" t="s">
        <v>194</v>
      </c>
      <c r="N23" s="495">
        <v>0.23</v>
      </c>
      <c r="O23" s="496"/>
      <c r="P23" s="476">
        <f t="shared" si="1"/>
        <v>0.23</v>
      </c>
      <c r="Q23" s="415">
        <v>175</v>
      </c>
    </row>
    <row r="24" spans="1:17" s="9" customFormat="1" ht="15.75" customHeight="1" x14ac:dyDescent="0.25">
      <c r="A24" s="329" t="s">
        <v>155</v>
      </c>
      <c r="B24" s="378">
        <v>254786</v>
      </c>
      <c r="C24" s="366"/>
      <c r="D24" s="377">
        <v>225</v>
      </c>
      <c r="E24" s="377"/>
      <c r="F24" s="392">
        <v>0.27984420000000004</v>
      </c>
      <c r="G24" s="438"/>
      <c r="H24" s="13"/>
      <c r="I24" s="13"/>
      <c r="J24" s="13"/>
      <c r="K24" s="13"/>
      <c r="L24" s="413">
        <v>256355</v>
      </c>
      <c r="M24" s="412" t="s">
        <v>242</v>
      </c>
      <c r="N24" s="495">
        <v>0.23</v>
      </c>
      <c r="O24" s="496"/>
      <c r="P24" s="476">
        <f t="shared" ref="P24" si="7">+N24+O24</f>
        <v>0.23</v>
      </c>
      <c r="Q24" s="415">
        <v>350</v>
      </c>
    </row>
    <row r="25" spans="1:17" s="9" customFormat="1" ht="15.75" customHeight="1" x14ac:dyDescent="0.25">
      <c r="A25" s="329" t="s">
        <v>155</v>
      </c>
      <c r="B25" s="378">
        <v>254786</v>
      </c>
      <c r="C25" s="366"/>
      <c r="D25" s="377">
        <v>225</v>
      </c>
      <c r="E25" s="377"/>
      <c r="F25" s="392">
        <v>0.27984420000000004</v>
      </c>
      <c r="G25" s="438"/>
      <c r="H25" s="13"/>
      <c r="I25" s="13"/>
      <c r="J25" s="13"/>
      <c r="K25" s="13"/>
      <c r="L25" s="413">
        <v>256357</v>
      </c>
      <c r="M25" s="412" t="s">
        <v>196</v>
      </c>
      <c r="N25" s="495">
        <v>0.23</v>
      </c>
      <c r="O25" s="496"/>
      <c r="P25" s="476">
        <f t="shared" si="1"/>
        <v>0.23</v>
      </c>
      <c r="Q25" s="415">
        <v>350</v>
      </c>
    </row>
    <row r="26" spans="1:17" s="9" customFormat="1" ht="15.75" customHeight="1" x14ac:dyDescent="0.25">
      <c r="A26" s="329" t="s">
        <v>144</v>
      </c>
      <c r="B26" s="378">
        <v>256358</v>
      </c>
      <c r="C26" s="368"/>
      <c r="D26" s="377">
        <v>350</v>
      </c>
      <c r="E26" s="377"/>
      <c r="F26" s="390">
        <v>0.21</v>
      </c>
      <c r="G26" s="438">
        <f t="shared" si="2"/>
        <v>0.21015120000000001</v>
      </c>
      <c r="H26" s="13">
        <v>0.19600000000000001</v>
      </c>
      <c r="I26" s="13"/>
      <c r="J26" s="13"/>
      <c r="K26" s="13"/>
      <c r="L26" s="413">
        <v>256358</v>
      </c>
      <c r="M26" s="412" t="s">
        <v>193</v>
      </c>
      <c r="N26" s="495">
        <v>0.23</v>
      </c>
      <c r="O26" s="496"/>
      <c r="P26" s="476">
        <f t="shared" si="1"/>
        <v>0.23</v>
      </c>
      <c r="Q26" s="415">
        <v>350</v>
      </c>
    </row>
    <row r="27" spans="1:17" s="9" customFormat="1" ht="15.75" customHeight="1" x14ac:dyDescent="0.25">
      <c r="A27" s="329" t="s">
        <v>146</v>
      </c>
      <c r="B27" s="378">
        <v>256344</v>
      </c>
      <c r="C27" s="368"/>
      <c r="D27" s="377">
        <v>175</v>
      </c>
      <c r="E27" s="377"/>
      <c r="F27" s="390">
        <v>0.21</v>
      </c>
      <c r="G27" s="438">
        <f t="shared" si="2"/>
        <v>0.21015120000000001</v>
      </c>
      <c r="H27" s="13">
        <v>0.19600000000000001</v>
      </c>
      <c r="I27" s="13"/>
      <c r="J27" s="13"/>
      <c r="K27" s="13"/>
      <c r="L27" s="413">
        <v>256359</v>
      </c>
      <c r="M27" s="412" t="s">
        <v>195</v>
      </c>
      <c r="N27" s="495">
        <v>0.23</v>
      </c>
      <c r="O27" s="496"/>
      <c r="P27" s="476">
        <f t="shared" si="1"/>
        <v>0.23</v>
      </c>
      <c r="Q27" s="415">
        <v>350</v>
      </c>
    </row>
    <row r="28" spans="1:17" s="9" customFormat="1" ht="15.75" customHeight="1" x14ac:dyDescent="0.25">
      <c r="A28" s="329" t="s">
        <v>149</v>
      </c>
      <c r="B28" s="378">
        <v>255405</v>
      </c>
      <c r="C28" s="368"/>
      <c r="D28" s="377">
        <v>350</v>
      </c>
      <c r="E28" s="377"/>
      <c r="F28" s="390">
        <v>0.21</v>
      </c>
      <c r="G28" s="438">
        <f>+H28*1.0722</f>
        <v>0.21015120000000001</v>
      </c>
      <c r="H28" s="13">
        <v>0.19600000000000001</v>
      </c>
      <c r="I28" s="13"/>
      <c r="J28" s="13"/>
      <c r="K28" s="13"/>
      <c r="L28" s="413">
        <v>256379</v>
      </c>
      <c r="M28" s="412" t="s">
        <v>167</v>
      </c>
      <c r="N28" s="495">
        <v>0.4</v>
      </c>
      <c r="O28" s="496"/>
      <c r="P28" s="476">
        <f t="shared" si="1"/>
        <v>0.4</v>
      </c>
      <c r="Q28" s="415">
        <v>50</v>
      </c>
    </row>
    <row r="29" spans="1:17" s="9" customFormat="1" ht="15.75" customHeight="1" x14ac:dyDescent="0.25">
      <c r="A29" s="18" t="s">
        <v>127</v>
      </c>
      <c r="B29" s="370">
        <v>256359</v>
      </c>
      <c r="C29" s="369"/>
      <c r="D29" s="377">
        <v>350</v>
      </c>
      <c r="E29" s="383"/>
      <c r="F29" s="388">
        <v>0.21</v>
      </c>
      <c r="G29" s="438">
        <f>+H29*1.0722</f>
        <v>0.192996</v>
      </c>
      <c r="H29" s="13">
        <v>0.18</v>
      </c>
      <c r="I29" s="13"/>
      <c r="J29" s="13"/>
      <c r="K29" s="13"/>
      <c r="L29" s="413">
        <v>256380</v>
      </c>
      <c r="M29" s="412" t="s">
        <v>168</v>
      </c>
      <c r="N29" s="495">
        <v>0.23</v>
      </c>
      <c r="O29" s="496"/>
      <c r="P29" s="476">
        <f t="shared" si="1"/>
        <v>0.23</v>
      </c>
      <c r="Q29" s="415">
        <v>40</v>
      </c>
    </row>
    <row r="30" spans="1:17" s="9" customFormat="1" ht="15.75" customHeight="1" x14ac:dyDescent="0.25">
      <c r="A30" s="18" t="s">
        <v>128</v>
      </c>
      <c r="B30" s="370">
        <v>256357</v>
      </c>
      <c r="C30" s="369"/>
      <c r="D30" s="377">
        <v>350</v>
      </c>
      <c r="E30" s="383"/>
      <c r="F30" s="388">
        <v>0.21</v>
      </c>
      <c r="G30" s="438">
        <f>+H30*1.0722</f>
        <v>0.192996</v>
      </c>
      <c r="H30" s="13">
        <v>0.18</v>
      </c>
      <c r="I30" s="13"/>
      <c r="J30" s="13"/>
      <c r="K30" s="13"/>
      <c r="L30" s="413">
        <v>256381</v>
      </c>
      <c r="M30" s="412" t="s">
        <v>212</v>
      </c>
      <c r="N30" s="495">
        <v>0.4</v>
      </c>
      <c r="O30" s="496"/>
      <c r="P30" s="476">
        <f t="shared" si="1"/>
        <v>0.4</v>
      </c>
      <c r="Q30" s="415">
        <v>30</v>
      </c>
    </row>
    <row r="31" spans="1:17" s="9" customFormat="1" ht="15.75" customHeight="1" x14ac:dyDescent="0.25">
      <c r="A31" s="18" t="s">
        <v>129</v>
      </c>
      <c r="B31" s="370">
        <v>254975</v>
      </c>
      <c r="C31" s="369"/>
      <c r="D31" s="377">
        <v>175</v>
      </c>
      <c r="E31" s="383"/>
      <c r="F31" s="392">
        <v>0.21015120000000001</v>
      </c>
      <c r="G31" s="438">
        <f>+H31*1.0722</f>
        <v>0.21015120000000001</v>
      </c>
      <c r="H31" s="13">
        <v>0.19600000000000001</v>
      </c>
      <c r="I31" s="13"/>
      <c r="J31" s="13"/>
      <c r="K31" s="13"/>
      <c r="L31" s="413">
        <v>256382</v>
      </c>
      <c r="M31" s="412" t="s">
        <v>169</v>
      </c>
      <c r="N31" s="495">
        <v>0.23</v>
      </c>
      <c r="O31" s="496"/>
      <c r="P31" s="476">
        <f t="shared" si="1"/>
        <v>0.23</v>
      </c>
      <c r="Q31" s="415">
        <v>40</v>
      </c>
    </row>
    <row r="32" spans="1:17" s="9" customFormat="1" ht="15.75" customHeight="1" x14ac:dyDescent="0.25">
      <c r="A32" s="18" t="s">
        <v>130</v>
      </c>
      <c r="B32" s="370">
        <v>254976</v>
      </c>
      <c r="C32" s="369"/>
      <c r="D32" s="377">
        <v>175</v>
      </c>
      <c r="E32" s="383"/>
      <c r="F32" s="392">
        <v>0.21015120000000001</v>
      </c>
      <c r="G32" s="438">
        <f>+H32*1.0722</f>
        <v>0.21015120000000001</v>
      </c>
      <c r="H32" s="13">
        <v>0.19600000000000001</v>
      </c>
      <c r="I32" s="13"/>
      <c r="J32" s="13"/>
      <c r="K32" s="13"/>
      <c r="L32" s="413">
        <v>256383</v>
      </c>
      <c r="M32" s="412" t="s">
        <v>203</v>
      </c>
      <c r="N32" s="495">
        <v>0.23</v>
      </c>
      <c r="O32" s="496"/>
      <c r="P32" s="476">
        <f t="shared" si="1"/>
        <v>0.23</v>
      </c>
      <c r="Q32" s="415">
        <v>30</v>
      </c>
    </row>
    <row r="33" spans="1:17" s="9" customFormat="1" ht="15.75" customHeight="1" x14ac:dyDescent="0.25">
      <c r="A33" s="329" t="s">
        <v>149</v>
      </c>
      <c r="B33" s="378">
        <v>255405</v>
      </c>
      <c r="C33" s="368"/>
      <c r="D33" s="377">
        <v>350</v>
      </c>
      <c r="E33" s="377"/>
      <c r="F33" s="390">
        <v>0.21</v>
      </c>
      <c r="G33" s="438">
        <f t="shared" si="2"/>
        <v>0.21015120000000001</v>
      </c>
      <c r="H33" s="13">
        <v>0.19600000000000001</v>
      </c>
      <c r="I33" s="13"/>
      <c r="J33" s="13"/>
      <c r="K33" s="13"/>
      <c r="L33" s="413">
        <v>256488</v>
      </c>
      <c r="M33" s="412" t="s">
        <v>197</v>
      </c>
      <c r="N33" s="495">
        <v>0.17</v>
      </c>
      <c r="O33" s="496"/>
      <c r="P33" s="476">
        <f t="shared" si="1"/>
        <v>0.17</v>
      </c>
      <c r="Q33" s="415">
        <v>120</v>
      </c>
    </row>
    <row r="34" spans="1:17" s="9" customFormat="1" ht="15.75" customHeight="1" x14ac:dyDescent="0.25">
      <c r="A34" s="18" t="s">
        <v>127</v>
      </c>
      <c r="B34" s="370">
        <v>256359</v>
      </c>
      <c r="C34" s="369"/>
      <c r="D34" s="377">
        <v>350</v>
      </c>
      <c r="E34" s="383"/>
      <c r="F34" s="388">
        <v>0.21</v>
      </c>
      <c r="G34" s="438">
        <f t="shared" si="2"/>
        <v>0.192996</v>
      </c>
      <c r="H34" s="13">
        <v>0.18</v>
      </c>
      <c r="I34" s="13"/>
      <c r="J34" s="13"/>
      <c r="K34" s="13"/>
      <c r="L34" s="413">
        <v>256548</v>
      </c>
      <c r="M34" s="412" t="s">
        <v>181</v>
      </c>
      <c r="N34" s="495">
        <v>0.17</v>
      </c>
      <c r="O34" s="496"/>
      <c r="P34" s="476">
        <f t="shared" si="1"/>
        <v>0.17</v>
      </c>
      <c r="Q34" s="415">
        <v>198</v>
      </c>
    </row>
    <row r="35" spans="1:17" s="9" customFormat="1" ht="15.75" customHeight="1" x14ac:dyDescent="0.25">
      <c r="A35" s="18" t="s">
        <v>128</v>
      </c>
      <c r="B35" s="370">
        <v>256357</v>
      </c>
      <c r="C35" s="369"/>
      <c r="D35" s="377">
        <v>350</v>
      </c>
      <c r="E35" s="383"/>
      <c r="F35" s="388">
        <v>0.21</v>
      </c>
      <c r="G35" s="438">
        <f t="shared" si="2"/>
        <v>0.192996</v>
      </c>
      <c r="H35" s="13">
        <v>0.18</v>
      </c>
      <c r="I35" s="13"/>
      <c r="J35" s="13"/>
      <c r="K35" s="13"/>
      <c r="L35" s="413">
        <v>256549</v>
      </c>
      <c r="M35" s="412" t="s">
        <v>180</v>
      </c>
      <c r="N35" s="495">
        <v>0.17</v>
      </c>
      <c r="O35" s="496"/>
      <c r="P35" s="476">
        <f t="shared" si="1"/>
        <v>0.17</v>
      </c>
      <c r="Q35" s="415">
        <v>198</v>
      </c>
    </row>
    <row r="36" spans="1:17" s="9" customFormat="1" ht="15.75" customHeight="1" x14ac:dyDescent="0.25">
      <c r="A36" s="18" t="s">
        <v>129</v>
      </c>
      <c r="B36" s="370">
        <v>254975</v>
      </c>
      <c r="C36" s="369"/>
      <c r="D36" s="377">
        <v>175</v>
      </c>
      <c r="E36" s="383"/>
      <c r="F36" s="392">
        <v>0.21015120000000001</v>
      </c>
      <c r="G36" s="438">
        <f t="shared" si="2"/>
        <v>0.21015120000000001</v>
      </c>
      <c r="H36" s="13">
        <v>0.19600000000000001</v>
      </c>
      <c r="I36" s="13"/>
      <c r="J36" s="13"/>
      <c r="K36" s="13"/>
      <c r="L36" s="413">
        <v>256556</v>
      </c>
      <c r="M36" s="412" t="s">
        <v>162</v>
      </c>
      <c r="N36" s="495">
        <v>0.17</v>
      </c>
      <c r="O36" s="496"/>
      <c r="P36" s="476">
        <f t="shared" ref="P36:P59" si="8">+N36+O36</f>
        <v>0.17</v>
      </c>
      <c r="Q36" s="415">
        <v>120</v>
      </c>
    </row>
    <row r="37" spans="1:17" s="9" customFormat="1" ht="15.75" customHeight="1" x14ac:dyDescent="0.25">
      <c r="A37" s="18" t="s">
        <v>130</v>
      </c>
      <c r="B37" s="370">
        <v>254976</v>
      </c>
      <c r="C37" s="369"/>
      <c r="D37" s="377">
        <v>175</v>
      </c>
      <c r="E37" s="383"/>
      <c r="F37" s="392">
        <v>0.21015120000000001</v>
      </c>
      <c r="G37" s="438">
        <f t="shared" si="2"/>
        <v>0.21015120000000001</v>
      </c>
      <c r="H37" s="13">
        <v>0.19600000000000001</v>
      </c>
      <c r="I37" s="13"/>
      <c r="J37" s="13"/>
      <c r="K37" s="13"/>
      <c r="L37" s="413">
        <v>256558</v>
      </c>
      <c r="M37" s="412" t="s">
        <v>160</v>
      </c>
      <c r="N37" s="495">
        <v>0.17</v>
      </c>
      <c r="O37" s="496"/>
      <c r="P37" s="476">
        <f t="shared" si="8"/>
        <v>0.17</v>
      </c>
      <c r="Q37" s="415">
        <v>90</v>
      </c>
    </row>
    <row r="38" spans="1:17" s="9" customFormat="1" ht="15.75" customHeight="1" x14ac:dyDescent="0.25">
      <c r="A38" s="18" t="s">
        <v>130</v>
      </c>
      <c r="B38" s="370">
        <v>254976</v>
      </c>
      <c r="C38" s="369"/>
      <c r="D38" s="377">
        <v>175</v>
      </c>
      <c r="E38" s="383"/>
      <c r="F38" s="392">
        <v>0.21015120000000001</v>
      </c>
      <c r="G38" s="438">
        <f>+H38*1.0722</f>
        <v>0.21015120000000001</v>
      </c>
      <c r="H38" s="13">
        <v>0.19600000000000001</v>
      </c>
      <c r="I38" s="13"/>
      <c r="J38" s="13"/>
      <c r="K38" s="13"/>
      <c r="L38" s="413">
        <v>256560</v>
      </c>
      <c r="M38" s="412" t="s">
        <v>161</v>
      </c>
      <c r="N38" s="495">
        <v>0.17</v>
      </c>
      <c r="O38" s="496"/>
      <c r="P38" s="476">
        <f t="shared" si="8"/>
        <v>0.17</v>
      </c>
      <c r="Q38" s="415">
        <v>90</v>
      </c>
    </row>
    <row r="39" spans="1:17" s="9" customFormat="1" ht="15.75" customHeight="1" x14ac:dyDescent="0.25">
      <c r="A39" s="18" t="s">
        <v>130</v>
      </c>
      <c r="B39" s="370">
        <v>254976</v>
      </c>
      <c r="C39" s="369"/>
      <c r="D39" s="377">
        <v>175</v>
      </c>
      <c r="E39" s="383"/>
      <c r="F39" s="392">
        <v>0.21015120000000001</v>
      </c>
      <c r="G39" s="438">
        <f>+H39*1.0722</f>
        <v>0.21015120000000001</v>
      </c>
      <c r="H39" s="13">
        <v>0.19600000000000001</v>
      </c>
      <c r="I39" s="13"/>
      <c r="J39" s="13"/>
      <c r="K39" s="13"/>
      <c r="L39" s="413">
        <v>256601</v>
      </c>
      <c r="M39" s="412" t="s">
        <v>201</v>
      </c>
      <c r="N39" s="495">
        <v>0.17</v>
      </c>
      <c r="O39" s="496"/>
      <c r="P39" s="476">
        <f t="shared" si="8"/>
        <v>0.17</v>
      </c>
      <c r="Q39" s="415">
        <v>162</v>
      </c>
    </row>
    <row r="40" spans="1:17" s="9" customFormat="1" ht="15.75" customHeight="1" x14ac:dyDescent="0.25">
      <c r="A40" s="7" t="s">
        <v>74</v>
      </c>
      <c r="B40" s="370">
        <v>255454</v>
      </c>
      <c r="C40" s="55">
        <v>0.22500000000000001</v>
      </c>
      <c r="D40" s="381">
        <v>60</v>
      </c>
      <c r="E40" s="381">
        <f>C40*D40</f>
        <v>13.5</v>
      </c>
      <c r="F40" s="392">
        <v>0.21015120000000001</v>
      </c>
      <c r="G40" s="438">
        <f t="shared" si="2"/>
        <v>0.21015120000000001</v>
      </c>
      <c r="H40" s="13">
        <v>0.19600000000000001</v>
      </c>
      <c r="I40" s="13"/>
      <c r="J40" s="13"/>
      <c r="K40" s="13"/>
      <c r="L40" s="413">
        <v>256616</v>
      </c>
      <c r="M40" s="412" t="s">
        <v>205</v>
      </c>
      <c r="N40" s="495">
        <v>0.17</v>
      </c>
      <c r="O40" s="496"/>
      <c r="P40" s="476">
        <f t="shared" si="8"/>
        <v>0.17</v>
      </c>
      <c r="Q40" s="415">
        <v>198</v>
      </c>
    </row>
    <row r="41" spans="1:17" s="9" customFormat="1" ht="15.75" customHeight="1" x14ac:dyDescent="0.25">
      <c r="A41" s="7"/>
      <c r="B41" s="370"/>
      <c r="C41" s="55"/>
      <c r="D41" s="381"/>
      <c r="E41" s="381"/>
      <c r="F41" s="392"/>
      <c r="G41" s="438"/>
      <c r="H41" s="13"/>
      <c r="I41" s="13"/>
      <c r="J41" s="13"/>
      <c r="K41" s="13"/>
      <c r="L41" s="413">
        <v>256617</v>
      </c>
      <c r="M41" s="412" t="s">
        <v>164</v>
      </c>
      <c r="N41" s="495">
        <v>0.17</v>
      </c>
      <c r="O41" s="496"/>
      <c r="P41" s="476">
        <f t="shared" si="8"/>
        <v>0.17</v>
      </c>
      <c r="Q41" s="415">
        <v>198</v>
      </c>
    </row>
    <row r="42" spans="1:17" s="9" customFormat="1" ht="15.75" customHeight="1" x14ac:dyDescent="0.25">
      <c r="A42" s="7" t="s">
        <v>74</v>
      </c>
      <c r="B42" s="370">
        <v>255454</v>
      </c>
      <c r="C42" s="55">
        <v>0.22500000000000001</v>
      </c>
      <c r="D42" s="381">
        <v>60</v>
      </c>
      <c r="E42" s="381">
        <f>C42*D42</f>
        <v>13.5</v>
      </c>
      <c r="F42" s="392">
        <v>0.21015120000000001</v>
      </c>
      <c r="G42" s="438">
        <f>+H42*1.0722</f>
        <v>0.21015120000000001</v>
      </c>
      <c r="H42" s="13">
        <v>0.19600000000000001</v>
      </c>
      <c r="I42" s="13"/>
      <c r="J42" s="13"/>
      <c r="K42" s="13"/>
      <c r="L42" s="413">
        <v>256652</v>
      </c>
      <c r="M42" s="412" t="s">
        <v>171</v>
      </c>
      <c r="N42" s="495">
        <v>0.17</v>
      </c>
      <c r="O42" s="496"/>
      <c r="P42" s="476">
        <f t="shared" si="8"/>
        <v>0.17</v>
      </c>
      <c r="Q42" s="415">
        <v>90</v>
      </c>
    </row>
    <row r="43" spans="1:17" s="9" customFormat="1" ht="15.75" customHeight="1" x14ac:dyDescent="0.25">
      <c r="A43" s="445" t="s">
        <v>156</v>
      </c>
      <c r="B43" s="400">
        <v>256521</v>
      </c>
      <c r="C43" s="13"/>
      <c r="D43" s="401">
        <v>180</v>
      </c>
      <c r="E43" s="13"/>
      <c r="F43" s="446">
        <f>+F3</f>
        <v>0.193</v>
      </c>
      <c r="G43" s="13"/>
      <c r="H43" s="13"/>
      <c r="I43" s="13"/>
      <c r="J43" s="13"/>
      <c r="K43" s="13"/>
      <c r="L43" s="413">
        <v>256666</v>
      </c>
      <c r="M43" s="412" t="s">
        <v>202</v>
      </c>
      <c r="N43" s="495">
        <v>0.17</v>
      </c>
      <c r="O43" s="496"/>
      <c r="P43" s="476">
        <f t="shared" si="8"/>
        <v>0.17</v>
      </c>
      <c r="Q43" s="415">
        <v>162</v>
      </c>
    </row>
    <row r="44" spans="1:17" s="9" customFormat="1" ht="15.75" customHeight="1" x14ac:dyDescent="0.25">
      <c r="A44" s="445" t="s">
        <v>156</v>
      </c>
      <c r="B44" s="400">
        <v>256521</v>
      </c>
      <c r="C44" s="13"/>
      <c r="D44" s="401">
        <v>180</v>
      </c>
      <c r="E44" s="13"/>
      <c r="F44" s="446">
        <f>+F4</f>
        <v>0.193</v>
      </c>
      <c r="G44" s="13"/>
      <c r="H44" s="13"/>
      <c r="I44" s="13"/>
      <c r="J44" s="13"/>
      <c r="K44" s="13"/>
      <c r="L44" s="413">
        <v>256674</v>
      </c>
      <c r="M44" s="412" t="s">
        <v>206</v>
      </c>
      <c r="N44" s="495">
        <v>0.17</v>
      </c>
      <c r="O44" s="496"/>
      <c r="P44" s="476">
        <f t="shared" si="8"/>
        <v>0.17</v>
      </c>
      <c r="Q44" s="415">
        <v>198</v>
      </c>
    </row>
    <row r="45" spans="1:17" s="9" customFormat="1" ht="15.75" customHeight="1" x14ac:dyDescent="0.25">
      <c r="A45" s="445" t="s">
        <v>156</v>
      </c>
      <c r="B45" s="400">
        <v>256521</v>
      </c>
      <c r="C45" s="13"/>
      <c r="D45" s="401">
        <v>180</v>
      </c>
      <c r="E45" s="13"/>
      <c r="F45" s="446">
        <f>+F4</f>
        <v>0.193</v>
      </c>
      <c r="G45" s="13"/>
      <c r="H45" s="13"/>
      <c r="I45" s="13"/>
      <c r="J45" s="13"/>
      <c r="K45" s="13"/>
      <c r="L45" s="413">
        <v>256675</v>
      </c>
      <c r="M45" s="412" t="s">
        <v>207</v>
      </c>
      <c r="N45" s="495">
        <v>0.17</v>
      </c>
      <c r="O45" s="496"/>
      <c r="P45" s="476">
        <f t="shared" si="8"/>
        <v>0.17</v>
      </c>
      <c r="Q45" s="415">
        <v>198</v>
      </c>
    </row>
    <row r="46" spans="1:17" s="9" customFormat="1" ht="15.75" customHeight="1" x14ac:dyDescent="0.25">
      <c r="A46" s="445" t="s">
        <v>156</v>
      </c>
      <c r="B46" s="400">
        <v>256521</v>
      </c>
      <c r="C46" s="13"/>
      <c r="D46" s="401">
        <v>180</v>
      </c>
      <c r="E46" s="13"/>
      <c r="F46" s="446">
        <f>+F5</f>
        <v>0.193</v>
      </c>
      <c r="G46" s="13"/>
      <c r="H46" s="13"/>
      <c r="I46" s="13"/>
      <c r="J46" s="13"/>
      <c r="K46" s="13"/>
      <c r="L46" s="413">
        <v>256676</v>
      </c>
      <c r="M46" s="412" t="s">
        <v>208</v>
      </c>
      <c r="N46" s="495">
        <v>0.17</v>
      </c>
      <c r="O46" s="496"/>
      <c r="P46" s="476">
        <f t="shared" si="8"/>
        <v>0.17</v>
      </c>
      <c r="Q46" s="415">
        <v>120</v>
      </c>
    </row>
    <row r="47" spans="1:17" s="9" customFormat="1" ht="15.75" customHeight="1" x14ac:dyDescent="0.25">
      <c r="A47" s="445" t="s">
        <v>156</v>
      </c>
      <c r="B47" s="400">
        <v>256521</v>
      </c>
      <c r="C47" s="13"/>
      <c r="D47" s="401">
        <v>180</v>
      </c>
      <c r="E47" s="13"/>
      <c r="F47" s="446">
        <f>+F5</f>
        <v>0.193</v>
      </c>
      <c r="G47" s="13"/>
      <c r="H47" s="13"/>
      <c r="I47" s="13"/>
      <c r="J47" s="13"/>
      <c r="K47" s="13"/>
      <c r="L47" s="413">
        <v>256677</v>
      </c>
      <c r="M47" s="412" t="s">
        <v>199</v>
      </c>
      <c r="N47" s="495">
        <v>0.17</v>
      </c>
      <c r="O47" s="496"/>
      <c r="P47" s="476">
        <f t="shared" si="8"/>
        <v>0.17</v>
      </c>
      <c r="Q47" s="415">
        <v>120</v>
      </c>
    </row>
    <row r="48" spans="1:17" s="9" customFormat="1" ht="15.75" customHeight="1" x14ac:dyDescent="0.25">
      <c r="A48" s="445"/>
      <c r="B48" s="400"/>
      <c r="C48" s="13"/>
      <c r="D48" s="401"/>
      <c r="E48" s="13"/>
      <c r="F48" s="446"/>
      <c r="G48" s="13"/>
      <c r="H48" s="13"/>
      <c r="I48" s="13"/>
      <c r="J48" s="13"/>
      <c r="K48" s="13"/>
      <c r="L48" s="413">
        <v>256678</v>
      </c>
      <c r="M48" s="412" t="s">
        <v>198</v>
      </c>
      <c r="N48" s="495">
        <v>0.17</v>
      </c>
      <c r="O48" s="496"/>
      <c r="P48" s="476">
        <f t="shared" si="8"/>
        <v>0.17</v>
      </c>
      <c r="Q48" s="415">
        <v>90</v>
      </c>
    </row>
    <row r="49" spans="1:24" s="9" customFormat="1" ht="15.75" customHeight="1" x14ac:dyDescent="0.25">
      <c r="A49" s="445"/>
      <c r="B49" s="400"/>
      <c r="C49" s="13"/>
      <c r="D49" s="401"/>
      <c r="E49" s="13"/>
      <c r="F49" s="446"/>
      <c r="G49" s="13"/>
      <c r="H49" s="13"/>
      <c r="I49" s="13"/>
      <c r="J49" s="13"/>
      <c r="K49" s="13"/>
      <c r="L49" s="413">
        <v>256679</v>
      </c>
      <c r="M49" s="412" t="s">
        <v>209</v>
      </c>
      <c r="N49" s="495">
        <v>0.17</v>
      </c>
      <c r="O49" s="496"/>
      <c r="P49" s="476">
        <f t="shared" si="8"/>
        <v>0.17</v>
      </c>
      <c r="Q49" s="415">
        <v>90</v>
      </c>
      <c r="S49" s="529"/>
      <c r="T49" s="529"/>
      <c r="U49" s="529"/>
      <c r="V49" s="529"/>
      <c r="W49" s="529"/>
      <c r="X49" s="529"/>
    </row>
    <row r="50" spans="1:24" s="9" customFormat="1" ht="15.75" customHeight="1" x14ac:dyDescent="0.25">
      <c r="A50" s="445"/>
      <c r="B50" s="400"/>
      <c r="C50" s="13"/>
      <c r="D50" s="401"/>
      <c r="E50" s="13"/>
      <c r="F50" s="446"/>
      <c r="G50" s="13"/>
      <c r="H50" s="13"/>
      <c r="I50" s="13"/>
      <c r="J50" s="13"/>
      <c r="K50" s="13"/>
      <c r="L50" s="413">
        <v>256680</v>
      </c>
      <c r="M50" s="412" t="s">
        <v>210</v>
      </c>
      <c r="N50" s="495">
        <v>0.17</v>
      </c>
      <c r="O50" s="496"/>
      <c r="P50" s="476">
        <f t="shared" si="8"/>
        <v>0.17</v>
      </c>
      <c r="Q50" s="415">
        <v>90</v>
      </c>
      <c r="S50" s="529"/>
      <c r="T50" s="529"/>
      <c r="U50" s="529"/>
      <c r="V50" s="529"/>
      <c r="W50" s="529"/>
      <c r="X50" s="529"/>
    </row>
    <row r="51" spans="1:24" s="9" customFormat="1" ht="15.75" customHeight="1" x14ac:dyDescent="0.25">
      <c r="A51" s="445"/>
      <c r="B51" s="400"/>
      <c r="C51" s="13"/>
      <c r="D51" s="401"/>
      <c r="E51" s="13"/>
      <c r="F51" s="446"/>
      <c r="G51" s="13"/>
      <c r="H51" s="13"/>
      <c r="I51" s="13"/>
      <c r="J51" s="13"/>
      <c r="K51" s="13"/>
      <c r="L51" s="413">
        <v>256681</v>
      </c>
      <c r="M51" s="412" t="s">
        <v>170</v>
      </c>
      <c r="N51" s="495">
        <v>0.17</v>
      </c>
      <c r="O51" s="496"/>
      <c r="P51" s="476">
        <f t="shared" si="8"/>
        <v>0.17</v>
      </c>
      <c r="Q51" s="415">
        <v>90</v>
      </c>
      <c r="S51" s="529"/>
      <c r="T51" s="529"/>
      <c r="U51" s="529"/>
      <c r="V51" s="529"/>
      <c r="W51" s="529"/>
      <c r="X51" s="529"/>
    </row>
    <row r="52" spans="1:24" s="9" customFormat="1" ht="15.75" customHeight="1" x14ac:dyDescent="0.25">
      <c r="A52" s="445"/>
      <c r="B52" s="400"/>
      <c r="C52" s="13"/>
      <c r="D52" s="401"/>
      <c r="E52" s="13"/>
      <c r="F52" s="446"/>
      <c r="G52" s="13"/>
      <c r="H52" s="13"/>
      <c r="I52" s="13"/>
      <c r="J52" s="13"/>
      <c r="K52" s="13"/>
      <c r="L52" s="413">
        <v>256682</v>
      </c>
      <c r="M52" s="412" t="s">
        <v>211</v>
      </c>
      <c r="N52" s="495">
        <v>0.17</v>
      </c>
      <c r="O52" s="496"/>
      <c r="P52" s="476">
        <f t="shared" si="8"/>
        <v>0.17</v>
      </c>
      <c r="Q52" s="415">
        <v>90</v>
      </c>
      <c r="S52" s="529"/>
      <c r="T52" s="529"/>
      <c r="U52" s="529"/>
      <c r="V52" s="529"/>
      <c r="W52" s="529"/>
      <c r="X52" s="529"/>
    </row>
    <row r="53" spans="1:24" s="9" customFormat="1" ht="15.75" customHeight="1" x14ac:dyDescent="0.25">
      <c r="A53" s="445"/>
      <c r="B53" s="400"/>
      <c r="C53" s="13"/>
      <c r="D53" s="401"/>
      <c r="E53" s="13"/>
      <c r="F53" s="446"/>
      <c r="G53" s="13"/>
      <c r="H53" s="13"/>
      <c r="I53" s="13"/>
      <c r="J53" s="13"/>
      <c r="K53" s="13"/>
      <c r="L53" s="413">
        <v>256683</v>
      </c>
      <c r="M53" s="412" t="s">
        <v>175</v>
      </c>
      <c r="N53" s="495">
        <v>0.17</v>
      </c>
      <c r="O53" s="496"/>
      <c r="P53" s="476">
        <f t="shared" si="8"/>
        <v>0.17</v>
      </c>
      <c r="Q53" s="415">
        <v>90</v>
      </c>
      <c r="S53" s="529"/>
      <c r="T53" s="529"/>
      <c r="U53" s="529"/>
      <c r="V53" s="529"/>
      <c r="W53" s="529"/>
      <c r="X53" s="529"/>
    </row>
    <row r="54" spans="1:24" s="9" customFormat="1" ht="15.75" customHeight="1" x14ac:dyDescent="0.25">
      <c r="A54" s="445"/>
      <c r="B54" s="400"/>
      <c r="C54" s="13"/>
      <c r="D54" s="401"/>
      <c r="E54" s="13"/>
      <c r="F54" s="446"/>
      <c r="G54" s="13"/>
      <c r="H54" s="13"/>
      <c r="I54" s="13"/>
      <c r="J54" s="13"/>
      <c r="K54" s="13"/>
      <c r="L54" s="413">
        <v>256685</v>
      </c>
      <c r="M54" s="412" t="s">
        <v>224</v>
      </c>
      <c r="N54" s="495">
        <v>0.4</v>
      </c>
      <c r="O54" s="496"/>
      <c r="P54" s="476">
        <f t="shared" si="8"/>
        <v>0.4</v>
      </c>
      <c r="Q54" s="415">
        <v>112</v>
      </c>
      <c r="S54" s="529"/>
      <c r="T54" s="529"/>
      <c r="U54" s="529"/>
      <c r="V54" s="529"/>
      <c r="W54" s="529"/>
      <c r="X54" s="529"/>
    </row>
    <row r="55" spans="1:24" s="9" customFormat="1" ht="15.75" customHeight="1" x14ac:dyDescent="0.25">
      <c r="A55" s="445"/>
      <c r="B55" s="400"/>
      <c r="C55" s="13"/>
      <c r="D55" s="401"/>
      <c r="E55" s="13"/>
      <c r="F55" s="446"/>
      <c r="G55" s="13"/>
      <c r="H55" s="13"/>
      <c r="I55" s="13"/>
      <c r="J55" s="13"/>
      <c r="K55" s="13"/>
      <c r="L55" s="413">
        <v>256695</v>
      </c>
      <c r="M55" s="412" t="s">
        <v>172</v>
      </c>
      <c r="N55" s="495">
        <v>0.42</v>
      </c>
      <c r="O55" s="496"/>
      <c r="P55" s="476">
        <f t="shared" si="8"/>
        <v>0.42</v>
      </c>
      <c r="Q55" s="415">
        <v>225</v>
      </c>
      <c r="S55" s="529"/>
      <c r="T55" s="529"/>
      <c r="U55" s="529"/>
      <c r="V55" s="529"/>
      <c r="W55" s="529"/>
      <c r="X55" s="529"/>
    </row>
    <row r="56" spans="1:24" s="9" customFormat="1" ht="15.75" customHeight="1" x14ac:dyDescent="0.25">
      <c r="A56" s="445"/>
      <c r="B56" s="400"/>
      <c r="C56" s="13"/>
      <c r="D56" s="401"/>
      <c r="E56" s="13"/>
      <c r="F56" s="446"/>
      <c r="G56" s="13"/>
      <c r="H56" s="13"/>
      <c r="I56" s="13"/>
      <c r="J56" s="13"/>
      <c r="K56" s="13"/>
      <c r="L56" s="413">
        <v>256708</v>
      </c>
      <c r="M56" s="412" t="s">
        <v>192</v>
      </c>
      <c r="N56" s="495">
        <v>0.4</v>
      </c>
      <c r="O56" s="496"/>
      <c r="P56" s="476">
        <f t="shared" si="8"/>
        <v>0.4</v>
      </c>
      <c r="Q56" s="415">
        <v>225</v>
      </c>
      <c r="S56" s="529"/>
      <c r="T56" s="529"/>
      <c r="U56" s="529"/>
      <c r="V56" s="529"/>
      <c r="W56" s="529"/>
      <c r="X56" s="529"/>
    </row>
    <row r="57" spans="1:24" s="9" customFormat="1" ht="15.75" customHeight="1" x14ac:dyDescent="0.25">
      <c r="A57" s="445"/>
      <c r="B57" s="400"/>
      <c r="C57" s="13"/>
      <c r="D57" s="401"/>
      <c r="E57" s="13"/>
      <c r="F57" s="446"/>
      <c r="G57" s="13"/>
      <c r="H57" s="13"/>
      <c r="I57" s="13"/>
      <c r="J57" s="13"/>
      <c r="K57" s="13"/>
      <c r="L57" s="413">
        <v>256709</v>
      </c>
      <c r="M57" s="412" t="s">
        <v>234</v>
      </c>
      <c r="N57" s="495">
        <v>0.4</v>
      </c>
      <c r="O57" s="496"/>
      <c r="P57" s="476">
        <f t="shared" si="8"/>
        <v>0.4</v>
      </c>
      <c r="Q57" s="415">
        <v>225</v>
      </c>
      <c r="S57" s="529"/>
      <c r="T57" s="529"/>
      <c r="U57" s="529"/>
      <c r="V57" s="529"/>
      <c r="W57" s="529"/>
      <c r="X57" s="529"/>
    </row>
    <row r="58" spans="1:24" s="9" customFormat="1" ht="15.75" customHeight="1" x14ac:dyDescent="0.25">
      <c r="A58" s="445"/>
      <c r="B58" s="400"/>
      <c r="C58" s="13"/>
      <c r="D58" s="401"/>
      <c r="E58" s="13"/>
      <c r="F58" s="446"/>
      <c r="G58" s="13"/>
      <c r="H58" s="13"/>
      <c r="I58" s="13"/>
      <c r="J58" s="13"/>
      <c r="K58" s="13"/>
      <c r="L58" s="413">
        <v>256720</v>
      </c>
      <c r="M58" s="412" t="s">
        <v>235</v>
      </c>
      <c r="N58" s="495">
        <v>0.42</v>
      </c>
      <c r="O58" s="496"/>
      <c r="P58" s="476">
        <f t="shared" si="8"/>
        <v>0.42</v>
      </c>
      <c r="Q58" s="415">
        <v>420</v>
      </c>
      <c r="S58" s="529"/>
      <c r="T58" s="529"/>
      <c r="U58" s="529"/>
      <c r="V58" s="529"/>
      <c r="W58" s="529"/>
      <c r="X58" s="529"/>
    </row>
    <row r="59" spans="1:24" s="9" customFormat="1" ht="15.75" customHeight="1" x14ac:dyDescent="0.25">
      <c r="A59" s="445"/>
      <c r="B59" s="400"/>
      <c r="C59" s="13"/>
      <c r="D59" s="401"/>
      <c r="E59" s="13"/>
      <c r="F59" s="446"/>
      <c r="G59" s="13"/>
      <c r="H59" s="13"/>
      <c r="I59" s="13"/>
      <c r="J59" s="13"/>
      <c r="K59" s="13"/>
      <c r="L59" s="413">
        <v>256721</v>
      </c>
      <c r="M59" s="412" t="s">
        <v>236</v>
      </c>
      <c r="N59" s="495">
        <v>0.42</v>
      </c>
      <c r="O59" s="496"/>
      <c r="P59" s="476">
        <f t="shared" si="8"/>
        <v>0.42</v>
      </c>
      <c r="Q59" s="415">
        <v>420</v>
      </c>
      <c r="S59" s="529"/>
      <c r="T59" s="529"/>
      <c r="U59" s="529"/>
      <c r="V59" s="529"/>
      <c r="W59" s="529"/>
      <c r="X59" s="529"/>
    </row>
    <row r="60" spans="1:24" s="9" customFormat="1" ht="15.75" customHeight="1" x14ac:dyDescent="0.25">
      <c r="A60" s="445"/>
      <c r="B60" s="400"/>
      <c r="C60" s="13"/>
      <c r="D60" s="401"/>
      <c r="E60" s="13"/>
      <c r="F60" s="446"/>
      <c r="G60" s="13"/>
      <c r="H60" s="13"/>
      <c r="I60" s="13"/>
      <c r="J60" s="13"/>
      <c r="K60" s="13"/>
      <c r="L60" s="413">
        <v>256727</v>
      </c>
      <c r="M60" s="412" t="s">
        <v>233</v>
      </c>
      <c r="N60" s="495">
        <v>1.2</v>
      </c>
      <c r="O60" s="496"/>
      <c r="P60" s="476">
        <f t="shared" ref="P60:P121" si="9">+N60+O60</f>
        <v>1.2</v>
      </c>
      <c r="Q60" s="415">
        <v>420</v>
      </c>
      <c r="S60" s="529"/>
      <c r="T60" s="529"/>
      <c r="U60" s="529"/>
      <c r="V60" s="529"/>
      <c r="W60" s="529"/>
      <c r="X60" s="529"/>
    </row>
    <row r="61" spans="1:24" s="9" customFormat="1" ht="15.75" customHeight="1" x14ac:dyDescent="0.25">
      <c r="A61" s="445"/>
      <c r="B61" s="400"/>
      <c r="C61" s="13"/>
      <c r="D61" s="401"/>
      <c r="E61" s="13"/>
      <c r="F61" s="446"/>
      <c r="G61" s="13"/>
      <c r="H61" s="13"/>
      <c r="I61" s="13"/>
      <c r="J61" s="13"/>
      <c r="K61" s="13"/>
      <c r="L61" s="413">
        <v>256737</v>
      </c>
      <c r="M61" s="412" t="s">
        <v>232</v>
      </c>
      <c r="N61" s="495">
        <v>0.42</v>
      </c>
      <c r="O61" s="496"/>
      <c r="P61" s="476">
        <f t="shared" si="9"/>
        <v>0.42</v>
      </c>
      <c r="Q61" s="415">
        <v>420</v>
      </c>
      <c r="S61" s="529"/>
      <c r="T61" s="529"/>
      <c r="U61" s="529"/>
      <c r="V61" s="529"/>
      <c r="W61" s="529"/>
      <c r="X61" s="529"/>
    </row>
    <row r="62" spans="1:24" s="9" customFormat="1" ht="15.75" customHeight="1" x14ac:dyDescent="0.25">
      <c r="A62" s="445"/>
      <c r="B62" s="400"/>
      <c r="C62" s="13"/>
      <c r="D62" s="401"/>
      <c r="E62" s="13"/>
      <c r="F62" s="446"/>
      <c r="G62" s="13"/>
      <c r="H62" s="13"/>
      <c r="I62" s="13"/>
      <c r="J62" s="13"/>
      <c r="K62" s="13"/>
      <c r="L62" s="413">
        <v>256753</v>
      </c>
      <c r="M62" s="412" t="s">
        <v>254</v>
      </c>
      <c r="N62" s="495">
        <v>0.21</v>
      </c>
      <c r="O62" s="496"/>
      <c r="P62" s="476">
        <f t="shared" si="9"/>
        <v>0.21</v>
      </c>
      <c r="Q62" s="415">
        <v>30</v>
      </c>
      <c r="S62" s="529"/>
      <c r="T62" s="529"/>
      <c r="U62" s="529"/>
      <c r="V62" s="529"/>
      <c r="W62" s="529"/>
      <c r="X62" s="529"/>
    </row>
    <row r="63" spans="1:24" s="9" customFormat="1" ht="15.75" customHeight="1" x14ac:dyDescent="0.25">
      <c r="A63" s="445"/>
      <c r="B63" s="400"/>
      <c r="C63" s="13"/>
      <c r="D63" s="401"/>
      <c r="E63" s="13"/>
      <c r="F63" s="446"/>
      <c r="G63" s="13"/>
      <c r="H63" s="13"/>
      <c r="I63" s="13"/>
      <c r="J63" s="13"/>
      <c r="K63" s="13"/>
      <c r="L63" s="413">
        <v>256754</v>
      </c>
      <c r="M63" s="412" t="s">
        <v>253</v>
      </c>
      <c r="N63" s="495">
        <v>0.21</v>
      </c>
      <c r="O63" s="496"/>
      <c r="P63" s="476">
        <f t="shared" si="9"/>
        <v>0.21</v>
      </c>
      <c r="Q63" s="415">
        <v>30</v>
      </c>
      <c r="S63" s="529"/>
      <c r="T63" s="529"/>
      <c r="U63" s="529"/>
      <c r="V63" s="529"/>
      <c r="W63" s="529"/>
      <c r="X63" s="529"/>
    </row>
    <row r="64" spans="1:24" s="9" customFormat="1" ht="15.75" customHeight="1" x14ac:dyDescent="0.25">
      <c r="A64" s="445"/>
      <c r="B64" s="400"/>
      <c r="C64" s="13"/>
      <c r="D64" s="401"/>
      <c r="E64" s="13"/>
      <c r="F64" s="446"/>
      <c r="G64" s="13"/>
      <c r="H64" s="13"/>
      <c r="I64" s="13"/>
      <c r="J64" s="13"/>
      <c r="K64" s="13"/>
      <c r="L64" s="413">
        <v>751315</v>
      </c>
      <c r="M64" s="412" t="s">
        <v>174</v>
      </c>
      <c r="N64" s="495">
        <v>0.42</v>
      </c>
      <c r="O64" s="497"/>
      <c r="P64" s="476">
        <f t="shared" si="9"/>
        <v>0.42</v>
      </c>
      <c r="Q64" s="415">
        <v>420</v>
      </c>
    </row>
    <row r="65" spans="1:17" s="9" customFormat="1" ht="15.75" customHeight="1" x14ac:dyDescent="0.25">
      <c r="A65" s="445"/>
      <c r="B65" s="400"/>
      <c r="C65" s="13"/>
      <c r="D65" s="401"/>
      <c r="E65" s="13"/>
      <c r="F65" s="446"/>
      <c r="G65" s="13"/>
      <c r="H65" s="13"/>
      <c r="I65" s="13"/>
      <c r="J65" s="13"/>
      <c r="K65" s="13"/>
      <c r="L65" s="413">
        <v>751468</v>
      </c>
      <c r="M65" s="592" t="s">
        <v>176</v>
      </c>
      <c r="N65" s="589">
        <v>0.42</v>
      </c>
      <c r="O65" s="593"/>
      <c r="P65" s="476">
        <f t="shared" si="9"/>
        <v>0.42</v>
      </c>
      <c r="Q65" s="415">
        <v>420</v>
      </c>
    </row>
    <row r="66" spans="1:17" s="9" customFormat="1" ht="15.75" customHeight="1" x14ac:dyDescent="0.25">
      <c r="A66" s="445"/>
      <c r="B66" s="400"/>
      <c r="C66" s="13"/>
      <c r="D66" s="401"/>
      <c r="E66" s="13"/>
      <c r="F66" s="446"/>
      <c r="G66" s="13"/>
      <c r="H66" s="13"/>
      <c r="I66" s="13"/>
      <c r="J66" s="13"/>
      <c r="K66" s="13"/>
      <c r="L66" s="590">
        <v>751544</v>
      </c>
      <c r="M66" s="591" t="s">
        <v>229</v>
      </c>
      <c r="N66" s="495">
        <v>0.42</v>
      </c>
      <c r="O66" s="497"/>
      <c r="P66" s="627">
        <f t="shared" si="9"/>
        <v>0.42</v>
      </c>
      <c r="Q66" s="414">
        <v>420</v>
      </c>
    </row>
    <row r="67" spans="1:17" s="9" customFormat="1" ht="15.75" customHeight="1" x14ac:dyDescent="0.25">
      <c r="A67" s="618"/>
      <c r="B67" s="619"/>
      <c r="C67" s="13"/>
      <c r="D67" s="443"/>
      <c r="E67" s="13"/>
      <c r="F67" s="446"/>
      <c r="G67" s="13"/>
      <c r="H67" s="13"/>
      <c r="I67" s="13"/>
      <c r="J67" s="13"/>
      <c r="K67" s="13"/>
      <c r="L67" s="590" t="s">
        <v>263</v>
      </c>
      <c r="M67" s="591" t="s">
        <v>269</v>
      </c>
      <c r="N67" s="495">
        <v>0.42</v>
      </c>
      <c r="O67" s="496"/>
      <c r="P67" s="476">
        <f t="shared" si="9"/>
        <v>0.42</v>
      </c>
      <c r="Q67" s="414">
        <v>200</v>
      </c>
    </row>
    <row r="68" spans="1:17" s="9" customFormat="1" ht="15.75" customHeight="1" x14ac:dyDescent="0.25">
      <c r="A68" s="618"/>
      <c r="B68" s="619"/>
      <c r="C68" s="13"/>
      <c r="D68" s="443"/>
      <c r="E68" s="13"/>
      <c r="F68" s="446"/>
      <c r="G68" s="13"/>
      <c r="H68" s="13"/>
      <c r="I68" s="13"/>
      <c r="J68" s="13"/>
      <c r="K68" s="13"/>
      <c r="L68" s="590" t="s">
        <v>264</v>
      </c>
      <c r="M68" s="591" t="s">
        <v>270</v>
      </c>
      <c r="N68" s="495">
        <v>0.69</v>
      </c>
      <c r="O68" s="496"/>
      <c r="P68" s="476">
        <f t="shared" si="9"/>
        <v>0.69</v>
      </c>
      <c r="Q68" s="414">
        <v>60</v>
      </c>
    </row>
    <row r="69" spans="1:17" s="9" customFormat="1" ht="15.75" customHeight="1" x14ac:dyDescent="0.25">
      <c r="A69" s="618"/>
      <c r="B69" s="619"/>
      <c r="C69" s="13"/>
      <c r="D69" s="443"/>
      <c r="E69" s="13"/>
      <c r="F69" s="446"/>
      <c r="G69" s="13"/>
      <c r="H69" s="13"/>
      <c r="I69" s="13"/>
      <c r="J69" s="13"/>
      <c r="K69" s="13"/>
      <c r="L69" s="590" t="s">
        <v>265</v>
      </c>
      <c r="M69" s="591" t="s">
        <v>271</v>
      </c>
      <c r="N69" s="495">
        <v>0.69</v>
      </c>
      <c r="O69" s="496"/>
      <c r="P69" s="476">
        <f t="shared" si="9"/>
        <v>0.69</v>
      </c>
      <c r="Q69" s="414">
        <v>60</v>
      </c>
    </row>
    <row r="70" spans="1:17" s="9" customFormat="1" ht="15.75" customHeight="1" x14ac:dyDescent="0.25">
      <c r="A70" s="618"/>
      <c r="B70" s="619"/>
      <c r="C70" s="13"/>
      <c r="D70" s="443"/>
      <c r="E70" s="13"/>
      <c r="F70" s="446"/>
      <c r="G70" s="13"/>
      <c r="H70" s="13"/>
      <c r="I70" s="13"/>
      <c r="J70" s="13"/>
      <c r="K70" s="13"/>
      <c r="L70" s="590" t="s">
        <v>266</v>
      </c>
      <c r="M70" s="591" t="s">
        <v>272</v>
      </c>
      <c r="N70" s="495">
        <v>0.42</v>
      </c>
      <c r="O70" s="496"/>
      <c r="P70" s="476">
        <f t="shared" si="9"/>
        <v>0.42</v>
      </c>
      <c r="Q70" s="414">
        <v>250</v>
      </c>
    </row>
    <row r="71" spans="1:17" s="9" customFormat="1" ht="15.75" customHeight="1" x14ac:dyDescent="0.25">
      <c r="A71" s="618"/>
      <c r="B71" s="619"/>
      <c r="C71" s="13"/>
      <c r="D71" s="443"/>
      <c r="E71" s="13"/>
      <c r="F71" s="446"/>
      <c r="G71" s="13"/>
      <c r="H71" s="13"/>
      <c r="I71" s="13"/>
      <c r="J71" s="13"/>
      <c r="K71" s="13"/>
      <c r="L71" s="590" t="s">
        <v>267</v>
      </c>
      <c r="M71" s="591" t="s">
        <v>273</v>
      </c>
      <c r="N71" s="495">
        <v>0.61</v>
      </c>
      <c r="O71" s="496">
        <v>0.27</v>
      </c>
      <c r="P71" s="476">
        <f t="shared" si="9"/>
        <v>0.88</v>
      </c>
      <c r="Q71" s="414">
        <v>175</v>
      </c>
    </row>
    <row r="72" spans="1:17" s="9" customFormat="1" ht="15.75" customHeight="1" x14ac:dyDescent="0.25">
      <c r="A72" s="618"/>
      <c r="B72" s="619"/>
      <c r="C72" s="13"/>
      <c r="D72" s="443"/>
      <c r="E72" s="13"/>
      <c r="F72" s="446"/>
      <c r="G72" s="13"/>
      <c r="H72" s="13"/>
      <c r="I72" s="13"/>
      <c r="J72" s="13"/>
      <c r="K72" s="13"/>
      <c r="L72" s="590" t="s">
        <v>268</v>
      </c>
      <c r="M72" s="591" t="s">
        <v>274</v>
      </c>
      <c r="N72" s="495">
        <v>0.42</v>
      </c>
      <c r="O72" s="496"/>
      <c r="P72" s="476">
        <f t="shared" si="9"/>
        <v>0.42</v>
      </c>
      <c r="Q72" s="414">
        <v>180</v>
      </c>
    </row>
    <row r="73" spans="1:17" s="9" customFormat="1" ht="15.75" customHeight="1" x14ac:dyDescent="0.25">
      <c r="A73" s="618"/>
      <c r="B73" s="619"/>
      <c r="C73" s="13"/>
      <c r="D73" s="443"/>
      <c r="E73" s="13"/>
      <c r="F73" s="446"/>
      <c r="G73" s="13"/>
      <c r="H73" s="13"/>
      <c r="I73" s="13"/>
      <c r="J73" s="13"/>
      <c r="K73" s="13"/>
      <c r="L73" s="590" t="s">
        <v>275</v>
      </c>
      <c r="M73" s="591" t="s">
        <v>276</v>
      </c>
      <c r="N73" s="495">
        <v>0.42</v>
      </c>
      <c r="O73" s="496"/>
      <c r="P73" s="627">
        <f t="shared" si="9"/>
        <v>0.42</v>
      </c>
      <c r="Q73" s="414">
        <v>180</v>
      </c>
    </row>
    <row r="74" spans="1:17" s="9" customFormat="1" ht="15.75" customHeight="1" x14ac:dyDescent="0.25">
      <c r="A74" s="618"/>
      <c r="B74" s="619"/>
      <c r="C74" s="13"/>
      <c r="D74" s="443"/>
      <c r="E74" s="13"/>
      <c r="F74" s="446"/>
      <c r="G74" s="13"/>
      <c r="H74" s="13"/>
      <c r="I74" s="13"/>
      <c r="J74" s="13"/>
      <c r="K74" s="13"/>
      <c r="L74" s="590">
        <v>256368</v>
      </c>
      <c r="M74" s="591" t="s">
        <v>277</v>
      </c>
      <c r="N74" s="495">
        <v>0.42</v>
      </c>
      <c r="O74" s="496"/>
      <c r="P74" s="627">
        <f t="shared" si="9"/>
        <v>0.42</v>
      </c>
      <c r="Q74" s="414">
        <v>250</v>
      </c>
    </row>
    <row r="75" spans="1:17" s="9" customFormat="1" ht="15.75" customHeight="1" x14ac:dyDescent="0.25">
      <c r="A75" s="618"/>
      <c r="B75" s="619"/>
      <c r="C75" s="13"/>
      <c r="D75" s="443"/>
      <c r="E75" s="13"/>
      <c r="F75" s="446"/>
      <c r="G75" s="13"/>
      <c r="H75" s="13"/>
      <c r="I75" s="13"/>
      <c r="J75" s="13"/>
      <c r="K75" s="13"/>
      <c r="L75" s="590">
        <v>256765</v>
      </c>
      <c r="M75" s="591" t="s">
        <v>280</v>
      </c>
      <c r="N75" s="495">
        <v>0.42</v>
      </c>
      <c r="O75" s="496"/>
      <c r="P75" s="627">
        <f t="shared" si="9"/>
        <v>0.42</v>
      </c>
      <c r="Q75" s="414">
        <v>225</v>
      </c>
    </row>
    <row r="76" spans="1:17" s="9" customFormat="1" ht="15.75" customHeight="1" x14ac:dyDescent="0.25">
      <c r="A76" s="618"/>
      <c r="B76" s="619"/>
      <c r="C76" s="13"/>
      <c r="D76" s="443"/>
      <c r="E76" s="13"/>
      <c r="F76" s="446"/>
      <c r="G76" s="13"/>
      <c r="H76" s="13"/>
      <c r="I76" s="13"/>
      <c r="J76" s="13"/>
      <c r="K76" s="13"/>
      <c r="L76" s="590">
        <v>256767</v>
      </c>
      <c r="M76" s="591" t="s">
        <v>278</v>
      </c>
      <c r="N76" s="495">
        <v>0.71</v>
      </c>
      <c r="O76" s="496"/>
      <c r="P76" s="627">
        <f t="shared" si="9"/>
        <v>0.71</v>
      </c>
      <c r="Q76" s="414">
        <v>125</v>
      </c>
    </row>
    <row r="77" spans="1:17" s="9" customFormat="1" ht="15.75" customHeight="1" x14ac:dyDescent="0.25">
      <c r="A77" s="618"/>
      <c r="B77" s="619"/>
      <c r="C77" s="13"/>
      <c r="D77" s="443"/>
      <c r="E77" s="13"/>
      <c r="F77" s="446"/>
      <c r="G77" s="13"/>
      <c r="H77" s="13"/>
      <c r="I77" s="13"/>
      <c r="J77" s="13"/>
      <c r="K77" s="13"/>
      <c r="L77" s="590">
        <v>256764</v>
      </c>
      <c r="M77" s="591" t="s">
        <v>279</v>
      </c>
      <c r="N77" s="495">
        <v>0.42</v>
      </c>
      <c r="O77" s="496"/>
      <c r="P77" s="627">
        <f t="shared" si="9"/>
        <v>0.42</v>
      </c>
      <c r="Q77" s="414">
        <v>180</v>
      </c>
    </row>
    <row r="78" spans="1:17" s="9" customFormat="1" ht="15.75" customHeight="1" x14ac:dyDescent="0.25">
      <c r="A78" s="618"/>
      <c r="B78" s="619"/>
      <c r="C78" s="13"/>
      <c r="D78" s="443"/>
      <c r="E78" s="13"/>
      <c r="F78" s="446"/>
      <c r="G78" s="13"/>
      <c r="H78" s="13"/>
      <c r="I78" s="13"/>
      <c r="J78" s="13"/>
      <c r="K78" s="13"/>
      <c r="L78" s="590">
        <v>254905</v>
      </c>
      <c r="M78" s="591" t="s">
        <v>281</v>
      </c>
      <c r="N78" s="495">
        <v>0.42</v>
      </c>
      <c r="O78" s="496"/>
      <c r="P78" s="627">
        <f t="shared" si="9"/>
        <v>0.42</v>
      </c>
      <c r="Q78" s="414">
        <v>250</v>
      </c>
    </row>
    <row r="79" spans="1:17" s="9" customFormat="1" ht="15.75" customHeight="1" x14ac:dyDescent="0.25">
      <c r="A79" s="618"/>
      <c r="B79" s="619"/>
      <c r="C79" s="13"/>
      <c r="D79" s="443"/>
      <c r="E79" s="13"/>
      <c r="F79" s="446"/>
      <c r="G79" s="13"/>
      <c r="H79" s="13"/>
      <c r="I79" s="13"/>
      <c r="J79" s="13"/>
      <c r="K79" s="13"/>
      <c r="L79" s="590">
        <v>256768</v>
      </c>
      <c r="M79" s="591" t="s">
        <v>283</v>
      </c>
      <c r="N79" s="495">
        <v>0.61</v>
      </c>
      <c r="O79" s="496">
        <v>0.27</v>
      </c>
      <c r="P79" s="627">
        <f t="shared" si="9"/>
        <v>0.88</v>
      </c>
      <c r="Q79" s="414">
        <v>175</v>
      </c>
    </row>
    <row r="80" spans="1:17" s="9" customFormat="1" ht="15.75" customHeight="1" x14ac:dyDescent="0.25">
      <c r="A80" s="618"/>
      <c r="B80" s="619"/>
      <c r="C80" s="13"/>
      <c r="D80" s="443"/>
      <c r="E80" s="13"/>
      <c r="F80" s="446"/>
      <c r="G80" s="13"/>
      <c r="H80" s="13"/>
      <c r="I80" s="13"/>
      <c r="J80" s="13"/>
      <c r="K80" s="13"/>
      <c r="L80" s="590"/>
      <c r="M80" s="591"/>
      <c r="N80" s="495"/>
      <c r="O80" s="496"/>
      <c r="P80" s="627">
        <f t="shared" si="9"/>
        <v>0</v>
      </c>
      <c r="Q80" s="414"/>
    </row>
    <row r="81" spans="1:17" s="9" customFormat="1" ht="15.75" customHeight="1" x14ac:dyDescent="0.25">
      <c r="A81" s="618"/>
      <c r="B81" s="619"/>
      <c r="C81" s="13"/>
      <c r="D81" s="443"/>
      <c r="E81" s="13"/>
      <c r="F81" s="446"/>
      <c r="G81" s="13"/>
      <c r="H81" s="13"/>
      <c r="I81" s="13"/>
      <c r="J81" s="13"/>
      <c r="K81" s="13"/>
      <c r="L81" s="590"/>
      <c r="M81" s="591"/>
      <c r="N81" s="495"/>
      <c r="O81" s="496"/>
      <c r="P81" s="627">
        <f t="shared" si="9"/>
        <v>0</v>
      </c>
      <c r="Q81" s="414"/>
    </row>
    <row r="82" spans="1:17" s="9" customFormat="1" ht="15.75" customHeight="1" x14ac:dyDescent="0.25">
      <c r="A82" s="618"/>
      <c r="B82" s="619"/>
      <c r="C82" s="13"/>
      <c r="D82" s="443"/>
      <c r="E82" s="13"/>
      <c r="F82" s="446"/>
      <c r="G82" s="13"/>
      <c r="H82" s="13"/>
      <c r="I82" s="13"/>
      <c r="J82" s="13"/>
      <c r="K82" s="13"/>
      <c r="L82" s="590"/>
      <c r="M82" s="591"/>
      <c r="N82" s="495"/>
      <c r="O82" s="496"/>
      <c r="P82" s="627">
        <f t="shared" si="9"/>
        <v>0</v>
      </c>
      <c r="Q82" s="414"/>
    </row>
    <row r="83" spans="1:17" s="9" customFormat="1" ht="15.75" customHeight="1" x14ac:dyDescent="0.25">
      <c r="A83" s="618"/>
      <c r="B83" s="619"/>
      <c r="C83" s="13"/>
      <c r="D83" s="443"/>
      <c r="E83" s="13"/>
      <c r="F83" s="446"/>
      <c r="G83" s="13"/>
      <c r="H83" s="13"/>
      <c r="I83" s="13"/>
      <c r="J83" s="13"/>
      <c r="K83" s="13"/>
      <c r="L83" s="590"/>
      <c r="M83" s="591"/>
      <c r="N83" s="495"/>
      <c r="O83" s="496"/>
      <c r="P83" s="627">
        <f t="shared" si="9"/>
        <v>0</v>
      </c>
      <c r="Q83" s="414"/>
    </row>
    <row r="84" spans="1:17" s="9" customFormat="1" ht="15.75" customHeight="1" x14ac:dyDescent="0.25">
      <c r="A84" s="618"/>
      <c r="B84" s="619"/>
      <c r="C84" s="13"/>
      <c r="D84" s="443"/>
      <c r="E84" s="13"/>
      <c r="F84" s="446"/>
      <c r="G84" s="13"/>
      <c r="H84" s="13"/>
      <c r="I84" s="13"/>
      <c r="J84" s="13"/>
      <c r="K84" s="13"/>
      <c r="L84" s="590"/>
      <c r="M84" s="591"/>
      <c r="N84" s="495"/>
      <c r="O84" s="496"/>
      <c r="P84" s="627">
        <f t="shared" si="9"/>
        <v>0</v>
      </c>
      <c r="Q84" s="414"/>
    </row>
    <row r="85" spans="1:17" s="9" customFormat="1" ht="15.75" customHeight="1" x14ac:dyDescent="0.25">
      <c r="A85" s="618"/>
      <c r="B85" s="619"/>
      <c r="C85" s="13"/>
      <c r="D85" s="443"/>
      <c r="E85" s="13"/>
      <c r="F85" s="446"/>
      <c r="G85" s="13"/>
      <c r="H85" s="13"/>
      <c r="I85" s="13"/>
      <c r="J85" s="13"/>
      <c r="K85" s="13"/>
      <c r="L85" s="590"/>
      <c r="M85" s="591"/>
      <c r="N85" s="495"/>
      <c r="O85" s="496"/>
      <c r="P85" s="627">
        <f t="shared" si="9"/>
        <v>0</v>
      </c>
      <c r="Q85" s="414"/>
    </row>
    <row r="86" spans="1:17" s="9" customFormat="1" ht="15.75" customHeight="1" x14ac:dyDescent="0.25">
      <c r="A86" s="618"/>
      <c r="B86" s="619"/>
      <c r="C86" s="13"/>
      <c r="D86" s="443"/>
      <c r="E86" s="13"/>
      <c r="F86" s="446"/>
      <c r="G86" s="13"/>
      <c r="H86" s="13"/>
      <c r="I86" s="13"/>
      <c r="J86" s="13"/>
      <c r="K86" s="13"/>
      <c r="L86" s="590"/>
      <c r="M86" s="591"/>
      <c r="N86" s="495"/>
      <c r="O86" s="496"/>
      <c r="P86" s="627">
        <f t="shared" si="9"/>
        <v>0</v>
      </c>
      <c r="Q86" s="414"/>
    </row>
    <row r="87" spans="1:17" s="9" customFormat="1" ht="15.75" customHeight="1" x14ac:dyDescent="0.25">
      <c r="A87" s="618"/>
      <c r="B87" s="619"/>
      <c r="C87" s="13"/>
      <c r="D87" s="443"/>
      <c r="E87" s="13"/>
      <c r="F87" s="446"/>
      <c r="G87" s="13"/>
      <c r="H87" s="13"/>
      <c r="I87" s="13"/>
      <c r="J87" s="13"/>
      <c r="K87" s="13"/>
      <c r="L87" s="590"/>
      <c r="M87" s="591"/>
      <c r="N87" s="495"/>
      <c r="O87" s="496"/>
      <c r="P87" s="627">
        <f t="shared" si="9"/>
        <v>0</v>
      </c>
      <c r="Q87" s="414"/>
    </row>
    <row r="88" spans="1:17" s="9" customFormat="1" ht="15.75" customHeight="1" x14ac:dyDescent="0.25">
      <c r="A88" s="618"/>
      <c r="B88" s="619"/>
      <c r="C88" s="13"/>
      <c r="D88" s="443"/>
      <c r="E88" s="13"/>
      <c r="F88" s="446"/>
      <c r="G88" s="13"/>
      <c r="H88" s="13"/>
      <c r="I88" s="13"/>
      <c r="J88" s="13"/>
      <c r="K88" s="13"/>
      <c r="L88" s="590"/>
      <c r="M88" s="591"/>
      <c r="N88" s="495"/>
      <c r="O88" s="496"/>
      <c r="P88" s="627">
        <f t="shared" si="9"/>
        <v>0</v>
      </c>
      <c r="Q88" s="414"/>
    </row>
    <row r="89" spans="1:17" s="9" customFormat="1" ht="15.75" customHeight="1" x14ac:dyDescent="0.25">
      <c r="A89" s="618"/>
      <c r="B89" s="619"/>
      <c r="C89" s="13"/>
      <c r="D89" s="443"/>
      <c r="E89" s="13"/>
      <c r="F89" s="446"/>
      <c r="G89" s="13"/>
      <c r="H89" s="13"/>
      <c r="I89" s="13"/>
      <c r="J89" s="13"/>
      <c r="K89" s="13"/>
      <c r="L89" s="590"/>
      <c r="M89" s="591"/>
      <c r="N89" s="495"/>
      <c r="O89" s="496"/>
      <c r="P89" s="627">
        <f t="shared" si="9"/>
        <v>0</v>
      </c>
      <c r="Q89" s="414"/>
    </row>
    <row r="90" spans="1:17" s="9" customFormat="1" ht="15.75" customHeight="1" x14ac:dyDescent="0.25">
      <c r="A90" s="618"/>
      <c r="B90" s="619"/>
      <c r="C90" s="13"/>
      <c r="D90" s="443"/>
      <c r="E90" s="13"/>
      <c r="F90" s="446"/>
      <c r="G90" s="13"/>
      <c r="H90" s="13"/>
      <c r="I90" s="13"/>
      <c r="J90" s="13"/>
      <c r="K90" s="13"/>
      <c r="L90" s="590"/>
      <c r="M90" s="591"/>
      <c r="N90" s="495"/>
      <c r="O90" s="496"/>
      <c r="P90" s="627">
        <f t="shared" si="9"/>
        <v>0</v>
      </c>
      <c r="Q90" s="414"/>
    </row>
    <row r="91" spans="1:17" s="9" customFormat="1" ht="15.75" customHeight="1" x14ac:dyDescent="0.25">
      <c r="A91" s="618"/>
      <c r="B91" s="619"/>
      <c r="C91" s="13"/>
      <c r="D91" s="443"/>
      <c r="E91" s="13"/>
      <c r="F91" s="446"/>
      <c r="G91" s="13"/>
      <c r="H91" s="13"/>
      <c r="I91" s="13"/>
      <c r="J91" s="13"/>
      <c r="K91" s="13"/>
      <c r="L91" s="590"/>
      <c r="M91" s="591"/>
      <c r="N91" s="495"/>
      <c r="O91" s="496"/>
      <c r="P91" s="627">
        <f t="shared" si="9"/>
        <v>0</v>
      </c>
      <c r="Q91" s="414"/>
    </row>
    <row r="92" spans="1:17" s="9" customFormat="1" ht="15.75" customHeight="1" x14ac:dyDescent="0.25">
      <c r="A92" s="618"/>
      <c r="B92" s="619"/>
      <c r="C92" s="13"/>
      <c r="D92" s="443"/>
      <c r="E92" s="13"/>
      <c r="F92" s="446"/>
      <c r="G92" s="13"/>
      <c r="H92" s="13"/>
      <c r="I92" s="13"/>
      <c r="J92" s="13"/>
      <c r="K92" s="13"/>
      <c r="L92" s="590"/>
      <c r="M92" s="591"/>
      <c r="N92" s="495"/>
      <c r="O92" s="496"/>
      <c r="P92" s="627">
        <f t="shared" si="9"/>
        <v>0</v>
      </c>
      <c r="Q92" s="414"/>
    </row>
    <row r="93" spans="1:17" s="9" customFormat="1" ht="15.75" customHeight="1" x14ac:dyDescent="0.25">
      <c r="A93" s="618"/>
      <c r="B93" s="619"/>
      <c r="C93" s="13"/>
      <c r="D93" s="443"/>
      <c r="E93" s="13"/>
      <c r="F93" s="446"/>
      <c r="G93" s="13"/>
      <c r="H93" s="13"/>
      <c r="I93" s="13"/>
      <c r="J93" s="13"/>
      <c r="K93" s="13"/>
      <c r="L93" s="590"/>
      <c r="M93" s="591"/>
      <c r="N93" s="495"/>
      <c r="O93" s="496"/>
      <c r="P93" s="627">
        <f t="shared" si="9"/>
        <v>0</v>
      </c>
      <c r="Q93" s="414"/>
    </row>
    <row r="94" spans="1:17" s="9" customFormat="1" ht="15.75" customHeight="1" x14ac:dyDescent="0.25">
      <c r="A94" s="618"/>
      <c r="B94" s="619"/>
      <c r="C94" s="13"/>
      <c r="D94" s="443"/>
      <c r="E94" s="13"/>
      <c r="F94" s="446"/>
      <c r="G94" s="13"/>
      <c r="H94" s="13"/>
      <c r="I94" s="13"/>
      <c r="J94" s="13"/>
      <c r="K94" s="13"/>
      <c r="L94" s="590"/>
      <c r="M94" s="591"/>
      <c r="N94" s="495"/>
      <c r="O94" s="496"/>
      <c r="P94" s="627">
        <f t="shared" si="9"/>
        <v>0</v>
      </c>
      <c r="Q94" s="414"/>
    </row>
    <row r="95" spans="1:17" s="9" customFormat="1" ht="15.75" customHeight="1" x14ac:dyDescent="0.25">
      <c r="A95" s="618"/>
      <c r="B95" s="619"/>
      <c r="C95" s="13"/>
      <c r="D95" s="443"/>
      <c r="E95" s="13"/>
      <c r="F95" s="446"/>
      <c r="G95" s="13"/>
      <c r="H95" s="13"/>
      <c r="I95" s="13"/>
      <c r="J95" s="13"/>
      <c r="K95" s="13"/>
      <c r="L95" s="590"/>
      <c r="M95" s="591"/>
      <c r="N95" s="495"/>
      <c r="O95" s="496"/>
      <c r="P95" s="627">
        <f t="shared" si="9"/>
        <v>0</v>
      </c>
      <c r="Q95" s="414"/>
    </row>
    <row r="96" spans="1:17" s="9" customFormat="1" ht="15.75" customHeight="1" x14ac:dyDescent="0.25">
      <c r="A96" s="618"/>
      <c r="B96" s="619"/>
      <c r="C96" s="13"/>
      <c r="D96" s="443"/>
      <c r="E96" s="13"/>
      <c r="F96" s="446"/>
      <c r="G96" s="13"/>
      <c r="H96" s="13"/>
      <c r="I96" s="13"/>
      <c r="J96" s="13"/>
      <c r="K96" s="13"/>
      <c r="L96" s="590"/>
      <c r="M96" s="591"/>
      <c r="N96" s="495"/>
      <c r="O96" s="496"/>
      <c r="P96" s="627">
        <f t="shared" si="9"/>
        <v>0</v>
      </c>
      <c r="Q96" s="414"/>
    </row>
    <row r="97" spans="1:17" s="9" customFormat="1" ht="15.75" customHeight="1" x14ac:dyDescent="0.25">
      <c r="A97" s="618"/>
      <c r="B97" s="619"/>
      <c r="C97" s="13"/>
      <c r="D97" s="443"/>
      <c r="E97" s="13"/>
      <c r="F97" s="446"/>
      <c r="G97" s="13"/>
      <c r="H97" s="13"/>
      <c r="I97" s="13"/>
      <c r="J97" s="13"/>
      <c r="K97" s="13"/>
      <c r="L97" s="590"/>
      <c r="M97" s="591"/>
      <c r="N97" s="495"/>
      <c r="O97" s="496"/>
      <c r="P97" s="627">
        <f t="shared" si="9"/>
        <v>0</v>
      </c>
      <c r="Q97" s="414"/>
    </row>
    <row r="98" spans="1:17" s="9" customFormat="1" ht="15.75" customHeight="1" x14ac:dyDescent="0.25">
      <c r="A98" s="618"/>
      <c r="B98" s="619"/>
      <c r="C98" s="13"/>
      <c r="D98" s="443"/>
      <c r="E98" s="13"/>
      <c r="F98" s="446"/>
      <c r="G98" s="13"/>
      <c r="H98" s="13"/>
      <c r="I98" s="13"/>
      <c r="J98" s="13"/>
      <c r="K98" s="13"/>
      <c r="L98" s="590"/>
      <c r="M98" s="591"/>
      <c r="N98" s="495"/>
      <c r="O98" s="496"/>
      <c r="P98" s="627">
        <f t="shared" si="9"/>
        <v>0</v>
      </c>
      <c r="Q98" s="414"/>
    </row>
    <row r="99" spans="1:17" s="9" customFormat="1" ht="15.75" customHeight="1" x14ac:dyDescent="0.25">
      <c r="A99" s="618"/>
      <c r="B99" s="619"/>
      <c r="C99" s="13"/>
      <c r="D99" s="443"/>
      <c r="E99" s="13"/>
      <c r="F99" s="446"/>
      <c r="G99" s="13"/>
      <c r="H99" s="13"/>
      <c r="I99" s="13"/>
      <c r="J99" s="13"/>
      <c r="K99" s="13"/>
      <c r="L99" s="590"/>
      <c r="M99" s="591"/>
      <c r="N99" s="495"/>
      <c r="O99" s="496"/>
      <c r="P99" s="627">
        <f t="shared" si="9"/>
        <v>0</v>
      </c>
      <c r="Q99" s="414"/>
    </row>
    <row r="100" spans="1:17" s="9" customFormat="1" ht="15.75" customHeight="1" x14ac:dyDescent="0.25">
      <c r="A100" s="618"/>
      <c r="B100" s="619"/>
      <c r="C100" s="13"/>
      <c r="D100" s="443"/>
      <c r="E100" s="13"/>
      <c r="F100" s="446"/>
      <c r="G100" s="13"/>
      <c r="H100" s="13"/>
      <c r="I100" s="13"/>
      <c r="J100" s="13"/>
      <c r="K100" s="13"/>
      <c r="L100" s="590"/>
      <c r="M100" s="591"/>
      <c r="N100" s="495"/>
      <c r="O100" s="496"/>
      <c r="P100" s="627">
        <f t="shared" si="9"/>
        <v>0</v>
      </c>
      <c r="Q100" s="414"/>
    </row>
    <row r="101" spans="1:17" s="9" customFormat="1" ht="15.75" customHeight="1" x14ac:dyDescent="0.25">
      <c r="A101" s="618"/>
      <c r="B101" s="619"/>
      <c r="C101" s="13"/>
      <c r="D101" s="443"/>
      <c r="E101" s="13"/>
      <c r="F101" s="446"/>
      <c r="G101" s="13"/>
      <c r="H101" s="13"/>
      <c r="I101" s="13"/>
      <c r="J101" s="13"/>
      <c r="K101" s="13"/>
      <c r="L101" s="590"/>
      <c r="M101" s="591"/>
      <c r="N101" s="495"/>
      <c r="O101" s="496"/>
      <c r="P101" s="627">
        <f t="shared" si="9"/>
        <v>0</v>
      </c>
      <c r="Q101" s="414"/>
    </row>
    <row r="102" spans="1:17" s="9" customFormat="1" ht="15.75" customHeight="1" x14ac:dyDescent="0.25">
      <c r="A102" s="618"/>
      <c r="B102" s="619"/>
      <c r="C102" s="13"/>
      <c r="D102" s="443"/>
      <c r="E102" s="13"/>
      <c r="F102" s="446"/>
      <c r="G102" s="13"/>
      <c r="H102" s="13"/>
      <c r="I102" s="13"/>
      <c r="J102" s="13"/>
      <c r="K102" s="13"/>
      <c r="L102" s="590"/>
      <c r="M102" s="591"/>
      <c r="N102" s="495"/>
      <c r="O102" s="496"/>
      <c r="P102" s="627">
        <f t="shared" si="9"/>
        <v>0</v>
      </c>
      <c r="Q102" s="414"/>
    </row>
    <row r="103" spans="1:17" s="9" customFormat="1" ht="15.75" customHeight="1" x14ac:dyDescent="0.25">
      <c r="A103" s="618"/>
      <c r="B103" s="619"/>
      <c r="C103" s="13"/>
      <c r="D103" s="443"/>
      <c r="E103" s="13"/>
      <c r="F103" s="446"/>
      <c r="G103" s="13"/>
      <c r="H103" s="13"/>
      <c r="I103" s="13"/>
      <c r="J103" s="13"/>
      <c r="K103" s="13"/>
      <c r="L103" s="590"/>
      <c r="M103" s="591"/>
      <c r="N103" s="495"/>
      <c r="O103" s="496"/>
      <c r="P103" s="627">
        <f t="shared" si="9"/>
        <v>0</v>
      </c>
      <c r="Q103" s="414"/>
    </row>
    <row r="104" spans="1:17" s="9" customFormat="1" ht="15.75" customHeight="1" x14ac:dyDescent="0.25">
      <c r="A104" s="618"/>
      <c r="B104" s="619"/>
      <c r="C104" s="13"/>
      <c r="D104" s="443"/>
      <c r="E104" s="13"/>
      <c r="F104" s="446"/>
      <c r="G104" s="13"/>
      <c r="H104" s="13"/>
      <c r="I104" s="13"/>
      <c r="J104" s="13"/>
      <c r="K104" s="13"/>
      <c r="L104" s="590"/>
      <c r="M104" s="591"/>
      <c r="N104" s="495"/>
      <c r="O104" s="496"/>
      <c r="P104" s="627">
        <f t="shared" si="9"/>
        <v>0</v>
      </c>
      <c r="Q104" s="414"/>
    </row>
    <row r="105" spans="1:17" s="9" customFormat="1" ht="15.75" customHeight="1" x14ac:dyDescent="0.25">
      <c r="A105" s="618"/>
      <c r="B105" s="619"/>
      <c r="C105" s="13"/>
      <c r="D105" s="443"/>
      <c r="E105" s="13"/>
      <c r="F105" s="446"/>
      <c r="G105" s="13"/>
      <c r="H105" s="13"/>
      <c r="I105" s="13"/>
      <c r="J105" s="13"/>
      <c r="K105" s="13"/>
      <c r="L105" s="590"/>
      <c r="M105" s="591"/>
      <c r="N105" s="495"/>
      <c r="O105" s="496"/>
      <c r="P105" s="627">
        <f t="shared" si="9"/>
        <v>0</v>
      </c>
      <c r="Q105" s="414"/>
    </row>
    <row r="106" spans="1:17" s="9" customFormat="1" ht="15.75" customHeight="1" x14ac:dyDescent="0.25">
      <c r="A106" s="618"/>
      <c r="B106" s="619"/>
      <c r="C106" s="13"/>
      <c r="D106" s="443"/>
      <c r="E106" s="13"/>
      <c r="F106" s="446"/>
      <c r="G106" s="13"/>
      <c r="H106" s="13"/>
      <c r="I106" s="13"/>
      <c r="J106" s="13"/>
      <c r="K106" s="13"/>
      <c r="L106" s="590"/>
      <c r="M106" s="591"/>
      <c r="N106" s="495"/>
      <c r="O106" s="496"/>
      <c r="P106" s="627">
        <f t="shared" si="9"/>
        <v>0</v>
      </c>
      <c r="Q106" s="414"/>
    </row>
    <row r="107" spans="1:17" s="9" customFormat="1" ht="15.75" customHeight="1" x14ac:dyDescent="0.25">
      <c r="A107" s="618"/>
      <c r="B107" s="619"/>
      <c r="C107" s="13"/>
      <c r="D107" s="443"/>
      <c r="E107" s="13"/>
      <c r="F107" s="446"/>
      <c r="G107" s="13"/>
      <c r="H107" s="13"/>
      <c r="I107" s="13"/>
      <c r="J107" s="13"/>
      <c r="K107" s="13"/>
      <c r="L107" s="590"/>
      <c r="M107" s="591"/>
      <c r="N107" s="495"/>
      <c r="O107" s="496"/>
      <c r="P107" s="627">
        <f t="shared" si="9"/>
        <v>0</v>
      </c>
      <c r="Q107" s="414"/>
    </row>
    <row r="108" spans="1:17" s="9" customFormat="1" ht="15.75" customHeight="1" x14ac:dyDescent="0.25">
      <c r="A108" s="618"/>
      <c r="B108" s="619"/>
      <c r="C108" s="13"/>
      <c r="D108" s="443"/>
      <c r="E108" s="13"/>
      <c r="F108" s="446"/>
      <c r="G108" s="13"/>
      <c r="H108" s="13"/>
      <c r="I108" s="13"/>
      <c r="J108" s="13"/>
      <c r="K108" s="13"/>
      <c r="L108" s="590"/>
      <c r="M108" s="591"/>
      <c r="N108" s="495"/>
      <c r="O108" s="496"/>
      <c r="P108" s="627">
        <f t="shared" si="9"/>
        <v>0</v>
      </c>
      <c r="Q108" s="414"/>
    </row>
    <row r="109" spans="1:17" s="9" customFormat="1" ht="15.75" customHeight="1" x14ac:dyDescent="0.25">
      <c r="A109" s="618"/>
      <c r="B109" s="619"/>
      <c r="C109" s="13"/>
      <c r="D109" s="443"/>
      <c r="E109" s="13"/>
      <c r="F109" s="446"/>
      <c r="G109" s="13"/>
      <c r="H109" s="13"/>
      <c r="I109" s="13"/>
      <c r="J109" s="13"/>
      <c r="K109" s="13"/>
      <c r="L109" s="590"/>
      <c r="M109" s="591"/>
      <c r="N109" s="495"/>
      <c r="O109" s="496"/>
      <c r="P109" s="627">
        <f t="shared" si="9"/>
        <v>0</v>
      </c>
      <c r="Q109" s="414"/>
    </row>
    <row r="110" spans="1:17" s="9" customFormat="1" ht="15.75" customHeight="1" x14ac:dyDescent="0.25">
      <c r="A110" s="618"/>
      <c r="B110" s="619"/>
      <c r="C110" s="13"/>
      <c r="D110" s="443"/>
      <c r="E110" s="13"/>
      <c r="F110" s="446"/>
      <c r="G110" s="13"/>
      <c r="H110" s="13"/>
      <c r="I110" s="13"/>
      <c r="J110" s="13"/>
      <c r="K110" s="13"/>
      <c r="L110" s="590"/>
      <c r="M110" s="591"/>
      <c r="N110" s="495"/>
      <c r="O110" s="496"/>
      <c r="P110" s="627">
        <f t="shared" si="9"/>
        <v>0</v>
      </c>
      <c r="Q110" s="414"/>
    </row>
    <row r="111" spans="1:17" s="9" customFormat="1" ht="15.75" customHeight="1" x14ac:dyDescent="0.25">
      <c r="A111" s="618"/>
      <c r="B111" s="619"/>
      <c r="C111" s="13"/>
      <c r="D111" s="443"/>
      <c r="E111" s="13"/>
      <c r="F111" s="446"/>
      <c r="G111" s="13"/>
      <c r="H111" s="13"/>
      <c r="I111" s="13"/>
      <c r="J111" s="13"/>
      <c r="K111" s="13"/>
      <c r="L111" s="590"/>
      <c r="M111" s="591"/>
      <c r="N111" s="495"/>
      <c r="O111" s="496"/>
      <c r="P111" s="627">
        <f t="shared" si="9"/>
        <v>0</v>
      </c>
      <c r="Q111" s="414"/>
    </row>
    <row r="112" spans="1:17" s="9" customFormat="1" ht="15.75" customHeight="1" x14ac:dyDescent="0.25">
      <c r="A112" s="618"/>
      <c r="B112" s="619"/>
      <c r="C112" s="13"/>
      <c r="D112" s="443"/>
      <c r="E112" s="13"/>
      <c r="F112" s="446"/>
      <c r="G112" s="13"/>
      <c r="H112" s="13"/>
      <c r="I112" s="13"/>
      <c r="J112" s="13"/>
      <c r="K112" s="13"/>
      <c r="L112" s="590"/>
      <c r="M112" s="591"/>
      <c r="N112" s="495"/>
      <c r="O112" s="496"/>
      <c r="P112" s="627">
        <f t="shared" si="9"/>
        <v>0</v>
      </c>
      <c r="Q112" s="414"/>
    </row>
    <row r="113" spans="1:17" s="9" customFormat="1" ht="15.75" customHeight="1" x14ac:dyDescent="0.25">
      <c r="A113" s="618"/>
      <c r="B113" s="619"/>
      <c r="C113" s="13"/>
      <c r="D113" s="443"/>
      <c r="E113" s="13"/>
      <c r="F113" s="446"/>
      <c r="G113" s="13"/>
      <c r="H113" s="13"/>
      <c r="I113" s="13"/>
      <c r="J113" s="13"/>
      <c r="K113" s="13"/>
      <c r="L113" s="590"/>
      <c r="M113" s="591"/>
      <c r="N113" s="495"/>
      <c r="O113" s="496"/>
      <c r="P113" s="627">
        <f t="shared" si="9"/>
        <v>0</v>
      </c>
      <c r="Q113" s="414"/>
    </row>
    <row r="114" spans="1:17" s="9" customFormat="1" ht="15.75" customHeight="1" x14ac:dyDescent="0.25">
      <c r="A114" s="618"/>
      <c r="B114" s="619"/>
      <c r="C114" s="13"/>
      <c r="D114" s="443"/>
      <c r="E114" s="13"/>
      <c r="F114" s="446"/>
      <c r="G114" s="13"/>
      <c r="H114" s="13"/>
      <c r="I114" s="13"/>
      <c r="J114" s="13"/>
      <c r="K114" s="13"/>
      <c r="L114" s="590"/>
      <c r="M114" s="591"/>
      <c r="N114" s="495"/>
      <c r="O114" s="496"/>
      <c r="P114" s="627">
        <f t="shared" si="9"/>
        <v>0</v>
      </c>
      <c r="Q114" s="414"/>
    </row>
    <row r="115" spans="1:17" s="9" customFormat="1" ht="15.75" customHeight="1" x14ac:dyDescent="0.25">
      <c r="A115" s="618"/>
      <c r="B115" s="619"/>
      <c r="C115" s="13"/>
      <c r="D115" s="443"/>
      <c r="E115" s="13"/>
      <c r="F115" s="446"/>
      <c r="G115" s="13"/>
      <c r="H115" s="13"/>
      <c r="I115" s="13"/>
      <c r="J115" s="13"/>
      <c r="K115" s="13"/>
      <c r="L115" s="590"/>
      <c r="M115" s="591"/>
      <c r="N115" s="495"/>
      <c r="O115" s="496"/>
      <c r="P115" s="627">
        <f t="shared" si="9"/>
        <v>0</v>
      </c>
      <c r="Q115" s="414"/>
    </row>
    <row r="116" spans="1:17" s="9" customFormat="1" ht="15.75" customHeight="1" x14ac:dyDescent="0.25">
      <c r="A116" s="618"/>
      <c r="B116" s="619"/>
      <c r="C116" s="13"/>
      <c r="D116" s="443"/>
      <c r="E116" s="13"/>
      <c r="F116" s="446"/>
      <c r="G116" s="13"/>
      <c r="H116" s="13"/>
      <c r="I116" s="13"/>
      <c r="J116" s="13"/>
      <c r="K116" s="13"/>
      <c r="L116" s="590"/>
      <c r="M116" s="591"/>
      <c r="N116" s="495"/>
      <c r="O116" s="496"/>
      <c r="P116" s="627">
        <f t="shared" si="9"/>
        <v>0</v>
      </c>
      <c r="Q116" s="414"/>
    </row>
    <row r="117" spans="1:17" s="9" customFormat="1" ht="15.75" customHeight="1" x14ac:dyDescent="0.25">
      <c r="A117" s="618"/>
      <c r="B117" s="619"/>
      <c r="C117" s="13"/>
      <c r="D117" s="443"/>
      <c r="E117" s="13"/>
      <c r="F117" s="446"/>
      <c r="G117" s="13"/>
      <c r="H117" s="13"/>
      <c r="I117" s="13"/>
      <c r="J117" s="13"/>
      <c r="K117" s="13"/>
      <c r="L117" s="590"/>
      <c r="M117" s="591"/>
      <c r="N117" s="495"/>
      <c r="O117" s="496"/>
      <c r="P117" s="627">
        <f t="shared" si="9"/>
        <v>0</v>
      </c>
      <c r="Q117" s="414"/>
    </row>
    <row r="118" spans="1:17" s="9" customFormat="1" ht="15.75" customHeight="1" x14ac:dyDescent="0.25">
      <c r="A118" s="618"/>
      <c r="B118" s="619"/>
      <c r="C118" s="13"/>
      <c r="D118" s="443"/>
      <c r="E118" s="13"/>
      <c r="F118" s="446"/>
      <c r="G118" s="13"/>
      <c r="H118" s="13"/>
      <c r="I118" s="13"/>
      <c r="J118" s="13"/>
      <c r="K118" s="13"/>
      <c r="L118" s="590"/>
      <c r="M118" s="591"/>
      <c r="N118" s="495"/>
      <c r="O118" s="496"/>
      <c r="P118" s="627">
        <f t="shared" si="9"/>
        <v>0</v>
      </c>
      <c r="Q118" s="414"/>
    </row>
    <row r="119" spans="1:17" s="9" customFormat="1" ht="15.75" customHeight="1" x14ac:dyDescent="0.25">
      <c r="A119" s="618"/>
      <c r="B119" s="619"/>
      <c r="C119" s="13"/>
      <c r="D119" s="443"/>
      <c r="E119" s="13"/>
      <c r="F119" s="446"/>
      <c r="G119" s="13"/>
      <c r="H119" s="13"/>
      <c r="I119" s="13"/>
      <c r="J119" s="13"/>
      <c r="K119" s="13"/>
      <c r="L119" s="590"/>
      <c r="M119" s="591"/>
      <c r="N119" s="495"/>
      <c r="O119" s="496"/>
      <c r="P119" s="627">
        <f t="shared" si="9"/>
        <v>0</v>
      </c>
      <c r="Q119" s="414"/>
    </row>
    <row r="120" spans="1:17" s="9" customFormat="1" ht="15.75" customHeight="1" x14ac:dyDescent="0.25">
      <c r="A120" s="618"/>
      <c r="B120" s="619"/>
      <c r="C120" s="13"/>
      <c r="D120" s="443"/>
      <c r="E120" s="13"/>
      <c r="F120" s="446"/>
      <c r="G120" s="13"/>
      <c r="H120" s="13"/>
      <c r="I120" s="13"/>
      <c r="J120" s="13"/>
      <c r="K120" s="13"/>
      <c r="L120" s="590"/>
      <c r="M120" s="591"/>
      <c r="N120" s="495"/>
      <c r="O120" s="496"/>
      <c r="P120" s="627">
        <f t="shared" si="9"/>
        <v>0</v>
      </c>
      <c r="Q120" s="414"/>
    </row>
    <row r="121" spans="1:17" ht="15.75" customHeight="1" x14ac:dyDescent="0.25">
      <c r="L121" s="590"/>
      <c r="M121" s="592"/>
      <c r="N121" s="589"/>
      <c r="O121" s="496"/>
      <c r="P121" s="627">
        <f t="shared" si="9"/>
        <v>0</v>
      </c>
      <c r="Q121" s="415"/>
    </row>
  </sheetData>
  <autoFilter ref="L2:Q121" xr:uid="{00000000-0001-0000-0700-000000000000}"/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1"/>
  <sheetViews>
    <sheetView topLeftCell="A31" workbookViewId="0">
      <selection activeCell="B55" sqref="B55"/>
    </sheetView>
  </sheetViews>
  <sheetFormatPr baseColWidth="10" defaultRowHeight="15" x14ac:dyDescent="0.25"/>
  <cols>
    <col min="1" max="1" width="11.5703125" customWidth="1"/>
    <col min="2" max="2" width="44.85546875" customWidth="1"/>
    <col min="3" max="3" width="7.5703125" customWidth="1"/>
    <col min="4" max="4" width="11.42578125" customWidth="1"/>
  </cols>
  <sheetData>
    <row r="1" spans="1:4" s="9" customFormat="1" ht="18.75" customHeight="1" thickBot="1" x14ac:dyDescent="0.3"/>
    <row r="2" spans="1:4" s="9" customFormat="1" ht="18.75" customHeight="1" x14ac:dyDescent="0.25">
      <c r="B2" s="698" t="s">
        <v>221</v>
      </c>
      <c r="C2" s="699"/>
      <c r="D2" s="700"/>
    </row>
    <row r="3" spans="1:4" s="9" customFormat="1" ht="18.75" customHeight="1" thickBot="1" x14ac:dyDescent="0.3">
      <c r="B3" s="701"/>
      <c r="C3" s="702"/>
      <c r="D3" s="703"/>
    </row>
    <row r="4" spans="1:4" s="9" customFormat="1" ht="18.75" customHeight="1" x14ac:dyDescent="0.25"/>
    <row r="5" spans="1:4" s="9" customFormat="1" x14ac:dyDescent="0.25"/>
    <row r="6" spans="1:4" s="9" customFormat="1" x14ac:dyDescent="0.25">
      <c r="A6" s="461" t="s">
        <v>214</v>
      </c>
      <c r="B6" s="9" t="s">
        <v>215</v>
      </c>
    </row>
    <row r="7" spans="1:4" s="9" customFormat="1" x14ac:dyDescent="0.25">
      <c r="A7" s="461" t="s">
        <v>216</v>
      </c>
      <c r="B7" s="9" t="s">
        <v>217</v>
      </c>
    </row>
    <row r="8" spans="1:4" s="9" customFormat="1" x14ac:dyDescent="0.25">
      <c r="A8" s="461" t="s">
        <v>218</v>
      </c>
      <c r="B8" s="9" t="s">
        <v>222</v>
      </c>
    </row>
    <row r="9" spans="1:4" s="9" customFormat="1" x14ac:dyDescent="0.25">
      <c r="A9" s="461" t="s">
        <v>219</v>
      </c>
      <c r="B9" s="9" t="s">
        <v>223</v>
      </c>
    </row>
    <row r="10" spans="1:4" s="9" customFormat="1" x14ac:dyDescent="0.25">
      <c r="A10" s="461" t="s">
        <v>12</v>
      </c>
      <c r="B10" s="9" t="s">
        <v>220</v>
      </c>
    </row>
    <row r="11" spans="1:4" x14ac:dyDescent="0.25">
      <c r="A11" s="474" t="s">
        <v>10</v>
      </c>
      <c r="B11" s="477" t="s">
        <v>173</v>
      </c>
    </row>
    <row r="13" spans="1:4" ht="45" x14ac:dyDescent="0.25">
      <c r="A13" s="457" t="s">
        <v>34</v>
      </c>
      <c r="B13" s="457" t="s">
        <v>9</v>
      </c>
      <c r="C13" s="458" t="s">
        <v>165</v>
      </c>
      <c r="D13" s="458" t="s">
        <v>213</v>
      </c>
    </row>
    <row r="14" spans="1:4" x14ac:dyDescent="0.25">
      <c r="A14" s="93">
        <v>251406</v>
      </c>
      <c r="B14" s="9" t="s">
        <v>186</v>
      </c>
      <c r="C14" s="459">
        <v>34650</v>
      </c>
      <c r="D14" s="460">
        <v>5890.4999999999991</v>
      </c>
    </row>
    <row r="15" spans="1:4" x14ac:dyDescent="0.25">
      <c r="A15" s="93">
        <v>251429</v>
      </c>
      <c r="B15" s="9" t="s">
        <v>200</v>
      </c>
      <c r="C15" s="459">
        <v>8760</v>
      </c>
      <c r="D15" s="460">
        <v>3504.0000000000005</v>
      </c>
    </row>
    <row r="16" spans="1:4" x14ac:dyDescent="0.25">
      <c r="A16" s="93">
        <v>251466</v>
      </c>
      <c r="B16" s="9">
        <v>0</v>
      </c>
      <c r="C16" s="459">
        <v>792</v>
      </c>
      <c r="D16" s="460">
        <v>0</v>
      </c>
    </row>
    <row r="17" spans="1:4" x14ac:dyDescent="0.25">
      <c r="A17" s="93">
        <v>251632</v>
      </c>
      <c r="B17" s="9" t="s">
        <v>188</v>
      </c>
      <c r="C17" s="459">
        <v>4320</v>
      </c>
      <c r="D17" s="460">
        <v>1814.3999999999999</v>
      </c>
    </row>
    <row r="18" spans="1:4" x14ac:dyDescent="0.25">
      <c r="A18" s="93">
        <v>251633</v>
      </c>
      <c r="B18" s="9" t="s">
        <v>187</v>
      </c>
      <c r="C18" s="459">
        <v>9000</v>
      </c>
      <c r="D18" s="460">
        <v>3779.9999999999995</v>
      </c>
    </row>
    <row r="19" spans="1:4" x14ac:dyDescent="0.25">
      <c r="A19" s="93">
        <v>252436</v>
      </c>
      <c r="B19" s="9" t="s">
        <v>204</v>
      </c>
      <c r="C19" s="459">
        <v>4410</v>
      </c>
      <c r="D19" s="460">
        <v>1764</v>
      </c>
    </row>
    <row r="20" spans="1:4" x14ac:dyDescent="0.25">
      <c r="A20" s="93">
        <v>254853</v>
      </c>
      <c r="B20" s="9" t="s">
        <v>179</v>
      </c>
      <c r="C20" s="459">
        <v>31878</v>
      </c>
      <c r="D20" s="460">
        <v>5419.26</v>
      </c>
    </row>
    <row r="21" spans="1:4" x14ac:dyDescent="0.25">
      <c r="A21" s="93">
        <v>255405</v>
      </c>
      <c r="B21" s="9" t="s">
        <v>149</v>
      </c>
      <c r="C21" s="459">
        <v>1792</v>
      </c>
      <c r="D21" s="460">
        <v>412.16</v>
      </c>
    </row>
    <row r="22" spans="1:4" x14ac:dyDescent="0.25">
      <c r="A22" s="93">
        <v>255430</v>
      </c>
      <c r="B22" s="9" t="s">
        <v>190</v>
      </c>
      <c r="C22" s="459">
        <v>3000</v>
      </c>
      <c r="D22" s="460">
        <v>690</v>
      </c>
    </row>
    <row r="23" spans="1:4" x14ac:dyDescent="0.25">
      <c r="A23" s="93">
        <v>256379</v>
      </c>
      <c r="B23" s="9" t="s">
        <v>167</v>
      </c>
      <c r="C23" s="459">
        <v>2100</v>
      </c>
      <c r="D23" s="460">
        <v>840</v>
      </c>
    </row>
    <row r="24" spans="1:4" x14ac:dyDescent="0.25">
      <c r="A24" s="93">
        <v>256380</v>
      </c>
      <c r="B24" s="9" t="s">
        <v>168</v>
      </c>
      <c r="C24" s="459">
        <v>440</v>
      </c>
      <c r="D24" s="460">
        <v>101.20000000000002</v>
      </c>
    </row>
    <row r="25" spans="1:4" x14ac:dyDescent="0.25">
      <c r="A25" s="93">
        <v>256381</v>
      </c>
      <c r="B25" s="9" t="s">
        <v>212</v>
      </c>
      <c r="C25" s="459">
        <v>600</v>
      </c>
      <c r="D25" s="460">
        <v>240</v>
      </c>
    </row>
    <row r="26" spans="1:4" x14ac:dyDescent="0.25">
      <c r="A26" s="93">
        <v>256382</v>
      </c>
      <c r="B26" s="9" t="s">
        <v>169</v>
      </c>
      <c r="C26" s="459">
        <v>320</v>
      </c>
      <c r="D26" s="460">
        <v>73.600000000000009</v>
      </c>
    </row>
    <row r="27" spans="1:4" x14ac:dyDescent="0.25">
      <c r="A27" s="93">
        <v>256383</v>
      </c>
      <c r="B27" s="9" t="s">
        <v>203</v>
      </c>
      <c r="C27" s="459">
        <v>570</v>
      </c>
      <c r="D27" s="460">
        <v>131.10000000000002</v>
      </c>
    </row>
    <row r="28" spans="1:4" x14ac:dyDescent="0.25">
      <c r="A28" s="93">
        <v>256488</v>
      </c>
      <c r="B28" s="9" t="s">
        <v>197</v>
      </c>
      <c r="C28" s="459">
        <v>16200</v>
      </c>
      <c r="D28" s="460">
        <v>2754.0000000000005</v>
      </c>
    </row>
    <row r="29" spans="1:4" x14ac:dyDescent="0.25">
      <c r="A29" s="93">
        <v>256548</v>
      </c>
      <c r="B29" s="9" t="s">
        <v>181</v>
      </c>
      <c r="C29" s="459">
        <v>792</v>
      </c>
      <c r="D29" s="460">
        <v>134.64000000000001</v>
      </c>
    </row>
    <row r="30" spans="1:4" x14ac:dyDescent="0.25">
      <c r="A30" s="93">
        <v>256549</v>
      </c>
      <c r="B30" s="9" t="s">
        <v>180</v>
      </c>
      <c r="C30" s="459">
        <v>594</v>
      </c>
      <c r="D30" s="460">
        <v>100.98000000000002</v>
      </c>
    </row>
    <row r="31" spans="1:4" x14ac:dyDescent="0.25">
      <c r="A31" s="93">
        <v>256601</v>
      </c>
      <c r="B31" s="9" t="s">
        <v>201</v>
      </c>
      <c r="C31" s="459">
        <v>4860</v>
      </c>
      <c r="D31" s="460">
        <v>826.20000000000016</v>
      </c>
    </row>
    <row r="32" spans="1:4" x14ac:dyDescent="0.25">
      <c r="A32" s="93">
        <v>256616</v>
      </c>
      <c r="B32" s="9" t="s">
        <v>205</v>
      </c>
      <c r="C32" s="459">
        <v>9810</v>
      </c>
      <c r="D32" s="460">
        <v>1667.7</v>
      </c>
    </row>
    <row r="33" spans="1:4" x14ac:dyDescent="0.25">
      <c r="A33" s="93">
        <v>256617</v>
      </c>
      <c r="B33" s="9" t="s">
        <v>164</v>
      </c>
      <c r="C33" s="459">
        <v>8316</v>
      </c>
      <c r="D33" s="460">
        <v>1413.7200000000003</v>
      </c>
    </row>
    <row r="34" spans="1:4" x14ac:dyDescent="0.25">
      <c r="A34" s="93">
        <v>256652</v>
      </c>
      <c r="B34" s="9" t="s">
        <v>171</v>
      </c>
      <c r="C34" s="459">
        <v>9360</v>
      </c>
      <c r="D34" s="460">
        <v>1591.2</v>
      </c>
    </row>
    <row r="35" spans="1:4" x14ac:dyDescent="0.25">
      <c r="A35" s="93">
        <v>256666</v>
      </c>
      <c r="B35" s="9" t="s">
        <v>202</v>
      </c>
      <c r="C35" s="459">
        <v>8262</v>
      </c>
      <c r="D35" s="460">
        <v>1404.54</v>
      </c>
    </row>
    <row r="36" spans="1:4" x14ac:dyDescent="0.25">
      <c r="A36" s="93">
        <v>256674</v>
      </c>
      <c r="B36" s="9" t="s">
        <v>206</v>
      </c>
      <c r="C36" s="459">
        <v>28540</v>
      </c>
      <c r="D36" s="460">
        <v>4851.8000000000011</v>
      </c>
    </row>
    <row r="37" spans="1:4" x14ac:dyDescent="0.25">
      <c r="A37" s="93">
        <v>256675</v>
      </c>
      <c r="B37" s="9" t="s">
        <v>207</v>
      </c>
      <c r="C37" s="459">
        <v>20584</v>
      </c>
      <c r="D37" s="460">
        <v>3499.28</v>
      </c>
    </row>
    <row r="38" spans="1:4" x14ac:dyDescent="0.25">
      <c r="A38" s="93">
        <v>256676</v>
      </c>
      <c r="B38" s="9" t="s">
        <v>208</v>
      </c>
      <c r="C38" s="459">
        <v>12120</v>
      </c>
      <c r="D38" s="460">
        <v>2060.3999999999996</v>
      </c>
    </row>
    <row r="39" spans="1:4" x14ac:dyDescent="0.25">
      <c r="A39" s="93">
        <v>256677</v>
      </c>
      <c r="B39" s="9" t="s">
        <v>199</v>
      </c>
      <c r="C39" s="459">
        <v>34080</v>
      </c>
      <c r="D39" s="460">
        <v>5793.5999999999995</v>
      </c>
    </row>
    <row r="40" spans="1:4" x14ac:dyDescent="0.25">
      <c r="A40" s="93">
        <v>256678</v>
      </c>
      <c r="B40" s="9" t="s">
        <v>198</v>
      </c>
      <c r="C40" s="459">
        <v>25470</v>
      </c>
      <c r="D40" s="460">
        <v>4329.9000000000005</v>
      </c>
    </row>
    <row r="41" spans="1:4" x14ac:dyDescent="0.25">
      <c r="A41" s="93">
        <v>256679</v>
      </c>
      <c r="B41" s="9" t="s">
        <v>209</v>
      </c>
      <c r="C41" s="459">
        <v>3780</v>
      </c>
      <c r="D41" s="460">
        <v>642.6</v>
      </c>
    </row>
    <row r="42" spans="1:4" x14ac:dyDescent="0.25">
      <c r="A42" s="93">
        <v>256680</v>
      </c>
      <c r="B42" s="9" t="s">
        <v>210</v>
      </c>
      <c r="C42" s="459">
        <v>2790</v>
      </c>
      <c r="D42" s="460">
        <v>474.30000000000007</v>
      </c>
    </row>
    <row r="43" spans="1:4" x14ac:dyDescent="0.25">
      <c r="A43" s="93">
        <v>256681</v>
      </c>
      <c r="B43" s="9" t="s">
        <v>170</v>
      </c>
      <c r="C43" s="459">
        <v>270</v>
      </c>
      <c r="D43" s="460">
        <v>45.900000000000006</v>
      </c>
    </row>
    <row r="44" spans="1:4" x14ac:dyDescent="0.25">
      <c r="A44" s="93">
        <v>256682</v>
      </c>
      <c r="B44" s="9" t="s">
        <v>211</v>
      </c>
      <c r="C44" s="459">
        <v>1890</v>
      </c>
      <c r="D44" s="460">
        <v>321.29999999999995</v>
      </c>
    </row>
    <row r="45" spans="1:4" x14ac:dyDescent="0.25">
      <c r="A45" s="93">
        <v>256683</v>
      </c>
      <c r="B45" s="9" t="s">
        <v>175</v>
      </c>
      <c r="C45" s="459">
        <v>150</v>
      </c>
      <c r="D45" s="460">
        <v>25.500000000000004</v>
      </c>
    </row>
    <row r="46" spans="1:4" x14ac:dyDescent="0.25">
      <c r="A46" s="93">
        <v>256695</v>
      </c>
      <c r="B46" s="9" t="s">
        <v>172</v>
      </c>
      <c r="C46" s="459">
        <v>15075</v>
      </c>
      <c r="D46" s="460">
        <v>6331.5</v>
      </c>
    </row>
    <row r="47" spans="1:4" x14ac:dyDescent="0.25">
      <c r="A47" s="93">
        <v>256708</v>
      </c>
      <c r="B47" s="9" t="s">
        <v>192</v>
      </c>
      <c r="C47" s="459">
        <v>5625</v>
      </c>
      <c r="D47" s="460">
        <v>2250</v>
      </c>
    </row>
    <row r="48" spans="1:4" x14ac:dyDescent="0.25">
      <c r="A48" s="93">
        <v>256709</v>
      </c>
      <c r="B48" s="9" t="s">
        <v>234</v>
      </c>
      <c r="C48" s="459">
        <v>3150</v>
      </c>
      <c r="D48" s="460">
        <v>1260</v>
      </c>
    </row>
    <row r="49" spans="1:4" x14ac:dyDescent="0.25">
      <c r="A49" s="93">
        <v>751315</v>
      </c>
      <c r="B49" s="9" t="s">
        <v>174</v>
      </c>
      <c r="C49" s="459">
        <v>36540</v>
      </c>
      <c r="D49" s="460">
        <v>15346.8</v>
      </c>
    </row>
    <row r="50" spans="1:4" x14ac:dyDescent="0.25">
      <c r="A50" s="93">
        <v>751468</v>
      </c>
      <c r="B50" s="9" t="s">
        <v>176</v>
      </c>
      <c r="C50" s="459">
        <v>7140</v>
      </c>
      <c r="D50" s="460">
        <v>2998.8</v>
      </c>
    </row>
    <row r="51" spans="1:4" x14ac:dyDescent="0.25">
      <c r="A51" s="93" t="s">
        <v>15</v>
      </c>
      <c r="B51" s="93"/>
      <c r="C51" s="459">
        <v>358030</v>
      </c>
      <c r="D51" s="460">
        <v>84784.880000000019</v>
      </c>
    </row>
  </sheetData>
  <mergeCells count="1">
    <mergeCell ref="B2:D3"/>
  </mergeCells>
  <pageMargins left="0.7" right="0.7" top="0.75" bottom="0.75" header="0.3" footer="0.3"/>
  <pageSetup paperSize="9" scale="95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topLeftCell="A366" workbookViewId="0">
      <selection sqref="A1:J506"/>
    </sheetView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65">
        <v>44502</v>
      </c>
      <c r="B2" t="s">
        <v>241</v>
      </c>
      <c r="C2">
        <v>45</v>
      </c>
      <c r="D2" t="s">
        <v>244</v>
      </c>
      <c r="E2">
        <v>256682</v>
      </c>
      <c r="F2" t="s">
        <v>211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65">
        <v>44502</v>
      </c>
      <c r="B3" t="s">
        <v>241</v>
      </c>
      <c r="C3">
        <v>45</v>
      </c>
      <c r="D3" t="s">
        <v>244</v>
      </c>
      <c r="E3">
        <v>251633</v>
      </c>
      <c r="F3" t="s">
        <v>187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65">
        <v>44502</v>
      </c>
      <c r="B4" t="s">
        <v>241</v>
      </c>
      <c r="C4">
        <v>45</v>
      </c>
      <c r="D4" t="s">
        <v>244</v>
      </c>
      <c r="E4">
        <v>751315</v>
      </c>
      <c r="F4" t="s">
        <v>174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65">
        <v>44502</v>
      </c>
      <c r="B5" t="s">
        <v>241</v>
      </c>
      <c r="C5">
        <v>45</v>
      </c>
      <c r="D5" t="s">
        <v>244</v>
      </c>
      <c r="E5">
        <v>256685</v>
      </c>
      <c r="F5" t="s">
        <v>224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65">
        <v>44502</v>
      </c>
      <c r="B6" t="s">
        <v>241</v>
      </c>
      <c r="C6">
        <v>45</v>
      </c>
      <c r="D6" t="s">
        <v>244</v>
      </c>
      <c r="E6">
        <v>256721</v>
      </c>
      <c r="F6" t="s">
        <v>236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65">
        <v>44502</v>
      </c>
      <c r="B7" t="s">
        <v>241</v>
      </c>
      <c r="C7">
        <v>45</v>
      </c>
      <c r="D7" t="s">
        <v>244</v>
      </c>
      <c r="E7">
        <v>256708</v>
      </c>
      <c r="F7" t="s">
        <v>192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65">
        <v>44502</v>
      </c>
      <c r="B8" t="s">
        <v>241</v>
      </c>
      <c r="C8">
        <v>45</v>
      </c>
      <c r="D8" t="s">
        <v>244</v>
      </c>
      <c r="E8">
        <v>256678</v>
      </c>
      <c r="F8" t="s">
        <v>198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65">
        <v>44502</v>
      </c>
      <c r="B9" t="s">
        <v>241</v>
      </c>
      <c r="C9">
        <v>45</v>
      </c>
      <c r="D9" t="s">
        <v>244</v>
      </c>
      <c r="E9">
        <v>256675</v>
      </c>
      <c r="F9" t="s">
        <v>207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65">
        <v>44502</v>
      </c>
      <c r="B10" t="s">
        <v>241</v>
      </c>
      <c r="C10">
        <v>45</v>
      </c>
      <c r="D10" t="s">
        <v>244</v>
      </c>
      <c r="E10">
        <v>256548</v>
      </c>
      <c r="F10" t="s">
        <v>181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65">
        <v>44502</v>
      </c>
      <c r="B11" t="s">
        <v>241</v>
      </c>
      <c r="C11">
        <v>45</v>
      </c>
      <c r="D11" t="s">
        <v>244</v>
      </c>
      <c r="E11">
        <v>256682</v>
      </c>
      <c r="F11" t="s">
        <v>211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65">
        <v>44502</v>
      </c>
      <c r="B12" t="s">
        <v>241</v>
      </c>
      <c r="C12">
        <v>45</v>
      </c>
      <c r="D12" t="s">
        <v>244</v>
      </c>
      <c r="E12">
        <v>256652</v>
      </c>
      <c r="F12" t="s">
        <v>171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65">
        <v>44502</v>
      </c>
      <c r="B13" t="s">
        <v>241</v>
      </c>
      <c r="C13">
        <v>45</v>
      </c>
      <c r="D13" t="s">
        <v>244</v>
      </c>
      <c r="E13">
        <v>256676</v>
      </c>
      <c r="F13" t="s">
        <v>208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65">
        <v>44502</v>
      </c>
      <c r="B14" t="s">
        <v>241</v>
      </c>
      <c r="C14">
        <v>45</v>
      </c>
      <c r="D14" t="s">
        <v>244</v>
      </c>
      <c r="E14">
        <v>256677</v>
      </c>
      <c r="F14" t="s">
        <v>199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65">
        <v>44502</v>
      </c>
      <c r="B15" t="s">
        <v>241</v>
      </c>
      <c r="C15">
        <v>45</v>
      </c>
      <c r="D15" t="s">
        <v>244</v>
      </c>
      <c r="E15">
        <v>256720</v>
      </c>
      <c r="F15" t="s">
        <v>235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65">
        <v>44502</v>
      </c>
      <c r="B16" t="s">
        <v>241</v>
      </c>
      <c r="C16">
        <v>45</v>
      </c>
      <c r="D16" t="s">
        <v>244</v>
      </c>
      <c r="E16">
        <v>256679</v>
      </c>
      <c r="F16" t="s">
        <v>209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65">
        <v>44502</v>
      </c>
      <c r="B17" t="s">
        <v>241</v>
      </c>
      <c r="C17">
        <v>45</v>
      </c>
      <c r="D17" t="s">
        <v>244</v>
      </c>
      <c r="E17">
        <v>256666</v>
      </c>
      <c r="F17" t="s">
        <v>202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65">
        <v>44502</v>
      </c>
      <c r="B18" t="s">
        <v>241</v>
      </c>
      <c r="C18">
        <v>45</v>
      </c>
      <c r="D18" t="s">
        <v>244</v>
      </c>
      <c r="E18">
        <v>256674</v>
      </c>
      <c r="F18" t="s">
        <v>206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65">
        <v>44502</v>
      </c>
      <c r="B19" t="s">
        <v>241</v>
      </c>
      <c r="C19">
        <v>45</v>
      </c>
      <c r="D19" t="s">
        <v>244</v>
      </c>
      <c r="E19">
        <v>251406</v>
      </c>
      <c r="F19" t="s">
        <v>186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65">
        <v>44502</v>
      </c>
      <c r="B20" t="s">
        <v>241</v>
      </c>
      <c r="C20">
        <v>45</v>
      </c>
      <c r="D20" t="s">
        <v>244</v>
      </c>
      <c r="E20">
        <v>256488</v>
      </c>
      <c r="F20" t="s">
        <v>197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65">
        <v>44502</v>
      </c>
      <c r="B21" t="s">
        <v>241</v>
      </c>
      <c r="C21">
        <v>45</v>
      </c>
      <c r="D21" t="s">
        <v>244</v>
      </c>
      <c r="E21">
        <v>256379</v>
      </c>
      <c r="F21" t="s">
        <v>167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65">
        <v>44502</v>
      </c>
      <c r="B22" t="s">
        <v>241</v>
      </c>
      <c r="C22">
        <v>45</v>
      </c>
      <c r="D22" t="s">
        <v>244</v>
      </c>
      <c r="E22">
        <v>256617</v>
      </c>
      <c r="F22" t="s">
        <v>164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65">
        <v>44502</v>
      </c>
      <c r="B23" t="s">
        <v>241</v>
      </c>
      <c r="C23">
        <v>45</v>
      </c>
      <c r="D23" t="s">
        <v>244</v>
      </c>
      <c r="E23">
        <v>256616</v>
      </c>
      <c r="F23" t="s">
        <v>205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65">
        <v>44502</v>
      </c>
      <c r="B24" t="s">
        <v>241</v>
      </c>
      <c r="C24">
        <v>45</v>
      </c>
      <c r="D24" t="s">
        <v>244</v>
      </c>
      <c r="E24">
        <v>256680</v>
      </c>
      <c r="F24" t="s">
        <v>210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65">
        <v>44503</v>
      </c>
      <c r="B25" t="s">
        <v>241</v>
      </c>
      <c r="C25">
        <v>45</v>
      </c>
      <c r="D25" t="s">
        <v>245</v>
      </c>
      <c r="E25">
        <v>254762</v>
      </c>
      <c r="F25" t="s">
        <v>230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65">
        <v>44503</v>
      </c>
      <c r="B26" t="s">
        <v>241</v>
      </c>
      <c r="C26">
        <v>45</v>
      </c>
      <c r="D26" t="s">
        <v>245</v>
      </c>
      <c r="E26">
        <v>256721</v>
      </c>
      <c r="F26" t="s">
        <v>236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65">
        <v>44503</v>
      </c>
      <c r="B27" t="s">
        <v>241</v>
      </c>
      <c r="C27">
        <v>45</v>
      </c>
      <c r="D27" t="s">
        <v>245</v>
      </c>
      <c r="E27">
        <v>256720</v>
      </c>
      <c r="F27" t="s">
        <v>235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65">
        <v>44503</v>
      </c>
      <c r="B28" t="s">
        <v>241</v>
      </c>
      <c r="C28">
        <v>45</v>
      </c>
      <c r="D28" t="s">
        <v>245</v>
      </c>
      <c r="E28">
        <v>256709</v>
      </c>
      <c r="F28" t="s">
        <v>234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65">
        <v>44503</v>
      </c>
      <c r="B29" t="s">
        <v>241</v>
      </c>
      <c r="C29">
        <v>45</v>
      </c>
      <c r="D29" t="s">
        <v>245</v>
      </c>
      <c r="E29">
        <v>256708</v>
      </c>
      <c r="F29" t="s">
        <v>192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65">
        <v>44503</v>
      </c>
      <c r="B30" t="s">
        <v>241</v>
      </c>
      <c r="C30">
        <v>45</v>
      </c>
      <c r="D30" t="s">
        <v>245</v>
      </c>
      <c r="E30">
        <v>256695</v>
      </c>
      <c r="F30" t="s">
        <v>172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65">
        <v>44503</v>
      </c>
      <c r="B31" t="s">
        <v>241</v>
      </c>
      <c r="C31">
        <v>45</v>
      </c>
      <c r="D31" t="s">
        <v>245</v>
      </c>
      <c r="E31">
        <v>256678</v>
      </c>
      <c r="F31" t="s">
        <v>198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65">
        <v>44503</v>
      </c>
      <c r="B32" t="s">
        <v>241</v>
      </c>
      <c r="C32">
        <v>45</v>
      </c>
      <c r="D32" t="s">
        <v>245</v>
      </c>
      <c r="E32">
        <v>256677</v>
      </c>
      <c r="F32" t="s">
        <v>199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65">
        <v>44503</v>
      </c>
      <c r="B33" t="s">
        <v>241</v>
      </c>
      <c r="C33">
        <v>45</v>
      </c>
      <c r="D33" t="s">
        <v>245</v>
      </c>
      <c r="E33">
        <v>256652</v>
      </c>
      <c r="F33" t="s">
        <v>171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65">
        <v>44503</v>
      </c>
      <c r="B34" t="s">
        <v>241</v>
      </c>
      <c r="C34">
        <v>45</v>
      </c>
      <c r="D34" t="s">
        <v>245</v>
      </c>
      <c r="E34">
        <v>256675</v>
      </c>
      <c r="F34" t="s">
        <v>207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65">
        <v>44503</v>
      </c>
      <c r="B35" t="s">
        <v>241</v>
      </c>
      <c r="C35">
        <v>45</v>
      </c>
      <c r="D35" t="s">
        <v>245</v>
      </c>
      <c r="E35">
        <v>256674</v>
      </c>
      <c r="F35" t="s">
        <v>206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65">
        <v>44503</v>
      </c>
      <c r="B36" t="s">
        <v>241</v>
      </c>
      <c r="C36">
        <v>45</v>
      </c>
      <c r="D36" t="s">
        <v>245</v>
      </c>
      <c r="E36">
        <v>256488</v>
      </c>
      <c r="F36" t="s">
        <v>197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65">
        <v>44503</v>
      </c>
      <c r="B37" t="s">
        <v>241</v>
      </c>
      <c r="C37">
        <v>45</v>
      </c>
      <c r="D37" t="s">
        <v>245</v>
      </c>
      <c r="E37">
        <v>256666</v>
      </c>
      <c r="F37" t="s">
        <v>202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65">
        <v>44503</v>
      </c>
      <c r="B38" t="s">
        <v>241</v>
      </c>
      <c r="C38">
        <v>45</v>
      </c>
      <c r="D38" t="s">
        <v>245</v>
      </c>
      <c r="E38">
        <v>256617</v>
      </c>
      <c r="F38" t="s">
        <v>164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65">
        <v>44503</v>
      </c>
      <c r="B39" t="s">
        <v>241</v>
      </c>
      <c r="C39">
        <v>45</v>
      </c>
      <c r="D39" t="s">
        <v>245</v>
      </c>
      <c r="E39">
        <v>256616</v>
      </c>
      <c r="F39" t="s">
        <v>205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65">
        <v>44503</v>
      </c>
      <c r="B40" t="s">
        <v>241</v>
      </c>
      <c r="C40">
        <v>45</v>
      </c>
      <c r="D40" t="s">
        <v>245</v>
      </c>
      <c r="E40">
        <v>256548</v>
      </c>
      <c r="F40" t="s">
        <v>181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65">
        <v>44503</v>
      </c>
      <c r="B41" t="s">
        <v>241</v>
      </c>
      <c r="C41">
        <v>45</v>
      </c>
      <c r="D41" t="s">
        <v>245</v>
      </c>
      <c r="E41">
        <v>251406</v>
      </c>
      <c r="F41" t="s">
        <v>186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65">
        <v>44503</v>
      </c>
      <c r="B42" t="s">
        <v>241</v>
      </c>
      <c r="C42">
        <v>45</v>
      </c>
      <c r="D42" t="s">
        <v>245</v>
      </c>
      <c r="E42">
        <v>251633</v>
      </c>
      <c r="F42" t="s">
        <v>187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65">
        <v>44503</v>
      </c>
      <c r="B43" t="s">
        <v>241</v>
      </c>
      <c r="C43">
        <v>45</v>
      </c>
      <c r="D43" t="s">
        <v>245</v>
      </c>
      <c r="E43">
        <v>251429</v>
      </c>
      <c r="F43" t="s">
        <v>200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65">
        <v>44503</v>
      </c>
      <c r="B44" t="s">
        <v>241</v>
      </c>
      <c r="C44">
        <v>45</v>
      </c>
      <c r="D44" t="s">
        <v>245</v>
      </c>
      <c r="E44">
        <v>256685</v>
      </c>
      <c r="F44" t="s">
        <v>224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65">
        <v>44503</v>
      </c>
      <c r="B45" t="s">
        <v>241</v>
      </c>
      <c r="C45">
        <v>45</v>
      </c>
      <c r="D45" t="s">
        <v>245</v>
      </c>
      <c r="E45">
        <v>256379</v>
      </c>
      <c r="F45" t="s">
        <v>167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65">
        <v>44503</v>
      </c>
      <c r="B46" t="s">
        <v>241</v>
      </c>
      <c r="C46">
        <v>45</v>
      </c>
      <c r="D46" t="s">
        <v>245</v>
      </c>
      <c r="E46">
        <v>256380</v>
      </c>
      <c r="F46" t="s">
        <v>168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65">
        <v>44503</v>
      </c>
      <c r="B47" t="s">
        <v>241</v>
      </c>
      <c r="C47">
        <v>45</v>
      </c>
      <c r="D47" t="s">
        <v>245</v>
      </c>
      <c r="E47">
        <v>256382</v>
      </c>
      <c r="F47" t="s">
        <v>169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65">
        <v>44503</v>
      </c>
      <c r="B48" t="s">
        <v>241</v>
      </c>
      <c r="C48">
        <v>45</v>
      </c>
      <c r="D48" t="s">
        <v>245</v>
      </c>
      <c r="E48">
        <v>256383</v>
      </c>
      <c r="F48" t="s">
        <v>203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65">
        <v>44503</v>
      </c>
      <c r="B49" t="s">
        <v>241</v>
      </c>
      <c r="C49">
        <v>45</v>
      </c>
      <c r="D49" t="s">
        <v>245</v>
      </c>
      <c r="E49">
        <v>256382</v>
      </c>
      <c r="F49" t="s">
        <v>169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65">
        <v>44503</v>
      </c>
      <c r="B50" t="s">
        <v>241</v>
      </c>
      <c r="C50">
        <v>45</v>
      </c>
      <c r="D50" t="s">
        <v>245</v>
      </c>
      <c r="E50">
        <v>256380</v>
      </c>
      <c r="F50" t="s">
        <v>168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65">
        <v>44503</v>
      </c>
      <c r="B51" t="s">
        <v>241</v>
      </c>
      <c r="C51">
        <v>45</v>
      </c>
      <c r="D51" t="s">
        <v>245</v>
      </c>
      <c r="E51">
        <v>256383</v>
      </c>
      <c r="F51" t="s">
        <v>203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65">
        <v>44503</v>
      </c>
      <c r="B52" t="s">
        <v>241</v>
      </c>
      <c r="C52">
        <v>45</v>
      </c>
      <c r="D52" t="s">
        <v>245</v>
      </c>
      <c r="E52">
        <v>251429</v>
      </c>
      <c r="F52" t="s">
        <v>200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65">
        <v>44503</v>
      </c>
      <c r="B53" t="s">
        <v>241</v>
      </c>
      <c r="C53">
        <v>45</v>
      </c>
      <c r="D53" t="s">
        <v>245</v>
      </c>
      <c r="E53">
        <v>256709</v>
      </c>
      <c r="F53" t="s">
        <v>234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65">
        <v>44503</v>
      </c>
      <c r="B54" t="s">
        <v>241</v>
      </c>
      <c r="C54">
        <v>45</v>
      </c>
      <c r="D54" t="s">
        <v>245</v>
      </c>
      <c r="E54">
        <v>256695</v>
      </c>
      <c r="F54" t="s">
        <v>172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65">
        <v>44503</v>
      </c>
      <c r="B55" t="s">
        <v>241</v>
      </c>
      <c r="C55">
        <v>45</v>
      </c>
      <c r="D55" t="s">
        <v>245</v>
      </c>
      <c r="E55">
        <v>256677</v>
      </c>
      <c r="F55" t="s">
        <v>199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65">
        <v>44503</v>
      </c>
      <c r="B56" t="s">
        <v>241</v>
      </c>
      <c r="C56">
        <v>45</v>
      </c>
      <c r="D56" t="s">
        <v>245</v>
      </c>
      <c r="E56">
        <v>256678</v>
      </c>
      <c r="F56" t="s">
        <v>198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65">
        <v>44503</v>
      </c>
      <c r="B57" t="s">
        <v>241</v>
      </c>
      <c r="C57">
        <v>45</v>
      </c>
      <c r="D57" t="s">
        <v>245</v>
      </c>
      <c r="E57">
        <v>256680</v>
      </c>
      <c r="F57" t="s">
        <v>210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65">
        <v>44504</v>
      </c>
      <c r="B58" t="s">
        <v>241</v>
      </c>
      <c r="C58">
        <v>45</v>
      </c>
      <c r="D58" t="s">
        <v>246</v>
      </c>
      <c r="E58">
        <v>252436</v>
      </c>
      <c r="F58" t="s">
        <v>204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65">
        <v>44504</v>
      </c>
      <c r="B59" t="s">
        <v>241</v>
      </c>
      <c r="C59">
        <v>45</v>
      </c>
      <c r="D59" t="s">
        <v>246</v>
      </c>
      <c r="E59">
        <v>256548</v>
      </c>
      <c r="F59" t="s">
        <v>181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65">
        <v>44504</v>
      </c>
      <c r="B60" t="s">
        <v>241</v>
      </c>
      <c r="C60">
        <v>45</v>
      </c>
      <c r="D60" t="s">
        <v>246</v>
      </c>
      <c r="E60">
        <v>256721</v>
      </c>
      <c r="F60" t="s">
        <v>236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65">
        <v>44504</v>
      </c>
      <c r="B61" t="s">
        <v>241</v>
      </c>
      <c r="C61">
        <v>45</v>
      </c>
      <c r="D61" t="s">
        <v>246</v>
      </c>
      <c r="E61">
        <v>256720</v>
      </c>
      <c r="F61" t="s">
        <v>235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65">
        <v>44504</v>
      </c>
      <c r="B62" t="s">
        <v>241</v>
      </c>
      <c r="C62">
        <v>45</v>
      </c>
      <c r="D62" t="s">
        <v>246</v>
      </c>
      <c r="E62">
        <v>251632</v>
      </c>
      <c r="F62" t="s">
        <v>188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65">
        <v>44504</v>
      </c>
      <c r="B63" t="s">
        <v>241</v>
      </c>
      <c r="C63">
        <v>45</v>
      </c>
      <c r="D63" t="s">
        <v>246</v>
      </c>
      <c r="E63">
        <v>256682</v>
      </c>
      <c r="F63" t="s">
        <v>211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65">
        <v>44504</v>
      </c>
      <c r="B64" t="s">
        <v>241</v>
      </c>
      <c r="C64">
        <v>45</v>
      </c>
      <c r="D64" t="s">
        <v>246</v>
      </c>
      <c r="E64">
        <v>256679</v>
      </c>
      <c r="F64" t="s">
        <v>209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65">
        <v>44504</v>
      </c>
      <c r="B65" t="s">
        <v>241</v>
      </c>
      <c r="C65">
        <v>45</v>
      </c>
      <c r="D65" t="s">
        <v>246</v>
      </c>
      <c r="E65">
        <v>256680</v>
      </c>
      <c r="F65" t="s">
        <v>210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65">
        <v>44504</v>
      </c>
      <c r="B66" t="s">
        <v>241</v>
      </c>
      <c r="C66">
        <v>45</v>
      </c>
      <c r="D66" t="s">
        <v>246</v>
      </c>
      <c r="E66">
        <v>256652</v>
      </c>
      <c r="F66" t="s">
        <v>171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65">
        <v>44504</v>
      </c>
      <c r="B67" t="s">
        <v>241</v>
      </c>
      <c r="C67">
        <v>45</v>
      </c>
      <c r="D67" t="s">
        <v>246</v>
      </c>
      <c r="E67">
        <v>256675</v>
      </c>
      <c r="F67" t="s">
        <v>207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65">
        <v>44504</v>
      </c>
      <c r="B68" t="s">
        <v>241</v>
      </c>
      <c r="C68">
        <v>45</v>
      </c>
      <c r="D68" t="s">
        <v>246</v>
      </c>
      <c r="E68">
        <v>256674</v>
      </c>
      <c r="F68" t="s">
        <v>206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65">
        <v>44504</v>
      </c>
      <c r="B69" t="s">
        <v>241</v>
      </c>
      <c r="C69">
        <v>45</v>
      </c>
      <c r="D69" t="s">
        <v>246</v>
      </c>
      <c r="E69">
        <v>256488</v>
      </c>
      <c r="F69" t="s">
        <v>197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65">
        <v>44504</v>
      </c>
      <c r="B70" t="s">
        <v>241</v>
      </c>
      <c r="C70">
        <v>45</v>
      </c>
      <c r="D70" t="s">
        <v>246</v>
      </c>
      <c r="E70">
        <v>256601</v>
      </c>
      <c r="F70" t="s">
        <v>201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65">
        <v>44504</v>
      </c>
      <c r="B71" t="s">
        <v>241</v>
      </c>
      <c r="C71">
        <v>45</v>
      </c>
      <c r="D71" t="s">
        <v>246</v>
      </c>
      <c r="E71">
        <v>256666</v>
      </c>
      <c r="F71" t="s">
        <v>202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65">
        <v>44504</v>
      </c>
      <c r="B72" t="s">
        <v>241</v>
      </c>
      <c r="C72">
        <v>45</v>
      </c>
      <c r="D72" t="s">
        <v>246</v>
      </c>
      <c r="E72">
        <v>251406</v>
      </c>
      <c r="F72" t="s">
        <v>186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65">
        <v>44504</v>
      </c>
      <c r="B73" t="s">
        <v>241</v>
      </c>
      <c r="C73">
        <v>45</v>
      </c>
      <c r="D73" t="s">
        <v>246</v>
      </c>
      <c r="E73">
        <v>251633</v>
      </c>
      <c r="F73" t="s">
        <v>187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65">
        <v>44504</v>
      </c>
      <c r="B74" t="s">
        <v>241</v>
      </c>
      <c r="C74">
        <v>45</v>
      </c>
      <c r="D74" t="s">
        <v>246</v>
      </c>
      <c r="E74">
        <v>251429</v>
      </c>
      <c r="F74" t="s">
        <v>200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65">
        <v>44504</v>
      </c>
      <c r="B75" t="s">
        <v>241</v>
      </c>
      <c r="C75">
        <v>45</v>
      </c>
      <c r="D75" t="s">
        <v>246</v>
      </c>
      <c r="E75">
        <v>256685</v>
      </c>
      <c r="F75" t="s">
        <v>224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65">
        <v>44504</v>
      </c>
      <c r="B76" t="s">
        <v>241</v>
      </c>
      <c r="C76">
        <v>45</v>
      </c>
      <c r="D76" t="s">
        <v>246</v>
      </c>
      <c r="E76">
        <v>256379</v>
      </c>
      <c r="F76" t="s">
        <v>167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65">
        <v>44504</v>
      </c>
      <c r="B77" t="s">
        <v>241</v>
      </c>
      <c r="C77">
        <v>45</v>
      </c>
      <c r="D77" t="s">
        <v>246</v>
      </c>
      <c r="E77">
        <v>256380</v>
      </c>
      <c r="F77" t="s">
        <v>168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65">
        <v>44504</v>
      </c>
      <c r="B78" t="s">
        <v>241</v>
      </c>
      <c r="C78">
        <v>45</v>
      </c>
      <c r="D78" t="s">
        <v>246</v>
      </c>
      <c r="E78">
        <v>256382</v>
      </c>
      <c r="F78" t="s">
        <v>169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65">
        <v>44504</v>
      </c>
      <c r="B79" t="s">
        <v>241</v>
      </c>
      <c r="C79">
        <v>45</v>
      </c>
      <c r="D79" t="s">
        <v>246</v>
      </c>
      <c r="E79">
        <v>256383</v>
      </c>
      <c r="F79" t="s">
        <v>203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65">
        <v>44504</v>
      </c>
      <c r="B80" t="s">
        <v>241</v>
      </c>
      <c r="C80">
        <v>45</v>
      </c>
      <c r="D80" t="s">
        <v>246</v>
      </c>
      <c r="E80">
        <v>256678</v>
      </c>
      <c r="F80" t="s">
        <v>198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65">
        <v>44504</v>
      </c>
      <c r="B81" t="s">
        <v>241</v>
      </c>
      <c r="C81">
        <v>45</v>
      </c>
      <c r="D81" t="s">
        <v>246</v>
      </c>
      <c r="E81">
        <v>256677</v>
      </c>
      <c r="F81" t="s">
        <v>199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65">
        <v>44504</v>
      </c>
      <c r="B82" t="s">
        <v>241</v>
      </c>
      <c r="C82">
        <v>45</v>
      </c>
      <c r="D82" t="s">
        <v>246</v>
      </c>
      <c r="E82">
        <v>256617</v>
      </c>
      <c r="F82" t="s">
        <v>164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65">
        <v>44504</v>
      </c>
      <c r="B83" t="s">
        <v>241</v>
      </c>
      <c r="C83">
        <v>45</v>
      </c>
      <c r="D83" t="s">
        <v>246</v>
      </c>
      <c r="E83">
        <v>256616</v>
      </c>
      <c r="F83" t="s">
        <v>205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65">
        <v>44504</v>
      </c>
      <c r="B84" t="s">
        <v>241</v>
      </c>
      <c r="C84">
        <v>45</v>
      </c>
      <c r="D84" t="s">
        <v>246</v>
      </c>
      <c r="E84">
        <v>251632</v>
      </c>
      <c r="F84" t="s">
        <v>188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65">
        <v>44504</v>
      </c>
      <c r="B85" t="s">
        <v>241</v>
      </c>
      <c r="C85">
        <v>45</v>
      </c>
      <c r="D85" t="s">
        <v>246</v>
      </c>
      <c r="E85">
        <v>256695</v>
      </c>
      <c r="F85" t="s">
        <v>172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65">
        <v>44504</v>
      </c>
      <c r="B86" t="s">
        <v>241</v>
      </c>
      <c r="C86">
        <v>45</v>
      </c>
      <c r="D86" t="s">
        <v>246</v>
      </c>
      <c r="E86">
        <v>256601</v>
      </c>
      <c r="F86" t="s">
        <v>201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65">
        <v>44505</v>
      </c>
      <c r="B87" t="s">
        <v>241</v>
      </c>
      <c r="C87">
        <v>45</v>
      </c>
      <c r="D87" t="s">
        <v>247</v>
      </c>
      <c r="E87">
        <v>256695</v>
      </c>
      <c r="F87" t="s">
        <v>172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65">
        <v>44505</v>
      </c>
      <c r="B88" t="s">
        <v>241</v>
      </c>
      <c r="C88">
        <v>45</v>
      </c>
      <c r="D88" t="s">
        <v>247</v>
      </c>
      <c r="E88">
        <v>251632</v>
      </c>
      <c r="F88" t="s">
        <v>188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65">
        <v>44505</v>
      </c>
      <c r="B89" t="s">
        <v>241</v>
      </c>
      <c r="C89">
        <v>45</v>
      </c>
      <c r="D89" t="s">
        <v>247</v>
      </c>
      <c r="E89">
        <v>256685</v>
      </c>
      <c r="F89" t="s">
        <v>224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65">
        <v>44505</v>
      </c>
      <c r="B90" t="s">
        <v>241</v>
      </c>
      <c r="C90">
        <v>45</v>
      </c>
      <c r="D90" t="s">
        <v>247</v>
      </c>
      <c r="E90">
        <v>251633</v>
      </c>
      <c r="F90" t="s">
        <v>187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65">
        <v>44505</v>
      </c>
      <c r="B91" t="s">
        <v>241</v>
      </c>
      <c r="C91">
        <v>45</v>
      </c>
      <c r="D91" t="s">
        <v>247</v>
      </c>
      <c r="E91">
        <v>252436</v>
      </c>
      <c r="F91" t="s">
        <v>204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65">
        <v>44505</v>
      </c>
      <c r="B92" t="s">
        <v>241</v>
      </c>
      <c r="C92">
        <v>45</v>
      </c>
      <c r="D92" t="s">
        <v>247</v>
      </c>
      <c r="E92">
        <v>254762</v>
      </c>
      <c r="F92" t="s">
        <v>230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65">
        <v>44505</v>
      </c>
      <c r="B93" t="s">
        <v>241</v>
      </c>
      <c r="C93">
        <v>45</v>
      </c>
      <c r="D93" t="s">
        <v>247</v>
      </c>
      <c r="E93">
        <v>256549</v>
      </c>
      <c r="F93" t="s">
        <v>180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65">
        <v>44505</v>
      </c>
      <c r="B94" t="s">
        <v>241</v>
      </c>
      <c r="C94">
        <v>45</v>
      </c>
      <c r="D94" t="s">
        <v>247</v>
      </c>
      <c r="E94">
        <v>256695</v>
      </c>
      <c r="F94" t="s">
        <v>172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65">
        <v>44505</v>
      </c>
      <c r="B95" t="s">
        <v>241</v>
      </c>
      <c r="C95">
        <v>45</v>
      </c>
      <c r="D95" t="s">
        <v>247</v>
      </c>
      <c r="E95">
        <v>256685</v>
      </c>
      <c r="F95" t="s">
        <v>224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65">
        <v>44505</v>
      </c>
      <c r="B96" t="s">
        <v>241</v>
      </c>
      <c r="C96">
        <v>45</v>
      </c>
      <c r="D96" t="s">
        <v>247</v>
      </c>
      <c r="E96">
        <v>256601</v>
      </c>
      <c r="F96" t="s">
        <v>201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65">
        <v>44505</v>
      </c>
      <c r="B97" t="s">
        <v>241</v>
      </c>
      <c r="C97">
        <v>45</v>
      </c>
      <c r="D97" t="s">
        <v>247</v>
      </c>
      <c r="E97">
        <v>256382</v>
      </c>
      <c r="F97" t="s">
        <v>169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65">
        <v>44505</v>
      </c>
      <c r="B98" t="s">
        <v>241</v>
      </c>
      <c r="C98">
        <v>45</v>
      </c>
      <c r="D98" t="s">
        <v>247</v>
      </c>
      <c r="E98">
        <v>256383</v>
      </c>
      <c r="F98" t="s">
        <v>203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65">
        <v>44505</v>
      </c>
      <c r="B99" t="s">
        <v>241</v>
      </c>
      <c r="C99">
        <v>45</v>
      </c>
      <c r="D99" t="s">
        <v>247</v>
      </c>
      <c r="E99">
        <v>251429</v>
      </c>
      <c r="F99" t="s">
        <v>200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65">
        <v>44505</v>
      </c>
      <c r="B100" t="s">
        <v>241</v>
      </c>
      <c r="C100">
        <v>45</v>
      </c>
      <c r="D100" t="s">
        <v>247</v>
      </c>
      <c r="E100">
        <v>256548</v>
      </c>
      <c r="F100" t="s">
        <v>181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65">
        <v>44505</v>
      </c>
      <c r="B101" t="s">
        <v>241</v>
      </c>
      <c r="C101">
        <v>45</v>
      </c>
      <c r="D101" t="s">
        <v>247</v>
      </c>
      <c r="E101">
        <v>256675</v>
      </c>
      <c r="F101" t="s">
        <v>207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65">
        <v>44505</v>
      </c>
      <c r="B102" t="s">
        <v>241</v>
      </c>
      <c r="C102">
        <v>45</v>
      </c>
      <c r="D102" t="s">
        <v>247</v>
      </c>
      <c r="E102">
        <v>256617</v>
      </c>
      <c r="F102" t="s">
        <v>164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65">
        <v>44505</v>
      </c>
      <c r="B103" t="s">
        <v>241</v>
      </c>
      <c r="C103">
        <v>45</v>
      </c>
      <c r="D103" t="s">
        <v>247</v>
      </c>
      <c r="E103">
        <v>256666</v>
      </c>
      <c r="F103" t="s">
        <v>202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65">
        <v>44505</v>
      </c>
      <c r="B104" t="s">
        <v>241</v>
      </c>
      <c r="C104">
        <v>45</v>
      </c>
      <c r="D104" t="s">
        <v>247</v>
      </c>
      <c r="E104">
        <v>256488</v>
      </c>
      <c r="F104" t="s">
        <v>197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65">
        <v>44505</v>
      </c>
      <c r="B105" t="s">
        <v>241</v>
      </c>
      <c r="C105">
        <v>45</v>
      </c>
      <c r="D105" t="s">
        <v>247</v>
      </c>
      <c r="E105">
        <v>256682</v>
      </c>
      <c r="F105" t="s">
        <v>211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65">
        <v>44505</v>
      </c>
      <c r="B106" t="s">
        <v>241</v>
      </c>
      <c r="C106">
        <v>45</v>
      </c>
      <c r="D106" t="s">
        <v>247</v>
      </c>
      <c r="E106">
        <v>256652</v>
      </c>
      <c r="F106" t="s">
        <v>171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65">
        <v>44505</v>
      </c>
      <c r="B107" t="s">
        <v>241</v>
      </c>
      <c r="C107">
        <v>45</v>
      </c>
      <c r="D107" t="s">
        <v>247</v>
      </c>
      <c r="E107">
        <v>256679</v>
      </c>
      <c r="F107" t="s">
        <v>209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65">
        <v>44505</v>
      </c>
      <c r="B108" t="s">
        <v>241</v>
      </c>
      <c r="C108">
        <v>45</v>
      </c>
      <c r="D108" t="s">
        <v>247</v>
      </c>
      <c r="E108">
        <v>256678</v>
      </c>
      <c r="F108" t="s">
        <v>198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65">
        <v>44505</v>
      </c>
      <c r="B109" t="s">
        <v>241</v>
      </c>
      <c r="C109">
        <v>45</v>
      </c>
      <c r="D109" t="s">
        <v>247</v>
      </c>
      <c r="E109">
        <v>254853</v>
      </c>
      <c r="F109" t="s">
        <v>179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65">
        <v>44505</v>
      </c>
      <c r="B110" t="s">
        <v>241</v>
      </c>
      <c r="C110">
        <v>45</v>
      </c>
      <c r="D110" t="s">
        <v>247</v>
      </c>
      <c r="E110">
        <v>251406</v>
      </c>
      <c r="F110" t="s">
        <v>186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65">
        <v>44506</v>
      </c>
      <c r="B111" t="s">
        <v>241</v>
      </c>
      <c r="C111">
        <v>46</v>
      </c>
      <c r="D111" t="s">
        <v>248</v>
      </c>
      <c r="E111">
        <v>256617</v>
      </c>
      <c r="F111" t="s">
        <v>164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65">
        <v>44506</v>
      </c>
      <c r="B112" t="s">
        <v>241</v>
      </c>
      <c r="C112">
        <v>46</v>
      </c>
      <c r="D112" t="s">
        <v>248</v>
      </c>
      <c r="E112">
        <v>256617</v>
      </c>
      <c r="F112" t="s">
        <v>164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65">
        <v>44506</v>
      </c>
      <c r="B113" t="s">
        <v>241</v>
      </c>
      <c r="C113">
        <v>46</v>
      </c>
      <c r="D113" t="s">
        <v>248</v>
      </c>
      <c r="E113">
        <v>256695</v>
      </c>
      <c r="F113" t="s">
        <v>172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65">
        <v>44506</v>
      </c>
      <c r="B114" t="s">
        <v>241</v>
      </c>
      <c r="C114">
        <v>46</v>
      </c>
      <c r="D114" t="s">
        <v>248</v>
      </c>
      <c r="E114">
        <v>251632</v>
      </c>
      <c r="F114" t="s">
        <v>188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65">
        <v>44506</v>
      </c>
      <c r="B115" t="s">
        <v>241</v>
      </c>
      <c r="C115">
        <v>46</v>
      </c>
      <c r="D115" t="s">
        <v>248</v>
      </c>
      <c r="E115">
        <v>252436</v>
      </c>
      <c r="F115" t="s">
        <v>204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65">
        <v>44506</v>
      </c>
      <c r="B116" t="s">
        <v>241</v>
      </c>
      <c r="C116">
        <v>46</v>
      </c>
      <c r="D116" t="s">
        <v>248</v>
      </c>
      <c r="E116">
        <v>251633</v>
      </c>
      <c r="F116" t="s">
        <v>187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65">
        <v>44506</v>
      </c>
      <c r="B117" t="s">
        <v>241</v>
      </c>
      <c r="C117">
        <v>46</v>
      </c>
      <c r="D117" t="s">
        <v>248</v>
      </c>
      <c r="E117">
        <v>256616</v>
      </c>
      <c r="F117" t="s">
        <v>205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65">
        <v>44506</v>
      </c>
      <c r="B118" t="s">
        <v>241</v>
      </c>
      <c r="C118">
        <v>46</v>
      </c>
      <c r="D118" t="s">
        <v>248</v>
      </c>
      <c r="E118">
        <v>256674</v>
      </c>
      <c r="F118" t="s">
        <v>206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65">
        <v>44506</v>
      </c>
      <c r="B119" t="s">
        <v>241</v>
      </c>
      <c r="C119">
        <v>46</v>
      </c>
      <c r="D119" t="s">
        <v>248</v>
      </c>
      <c r="E119">
        <v>256666</v>
      </c>
      <c r="F119" t="s">
        <v>202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65">
        <v>44506</v>
      </c>
      <c r="B120" t="s">
        <v>241</v>
      </c>
      <c r="C120">
        <v>46</v>
      </c>
      <c r="D120" t="s">
        <v>248</v>
      </c>
      <c r="E120">
        <v>256678</v>
      </c>
      <c r="F120" t="s">
        <v>198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65">
        <v>44506</v>
      </c>
      <c r="B121" t="s">
        <v>241</v>
      </c>
      <c r="C121">
        <v>46</v>
      </c>
      <c r="D121" t="s">
        <v>248</v>
      </c>
      <c r="E121">
        <v>256652</v>
      </c>
      <c r="F121" t="s">
        <v>171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65">
        <v>44506</v>
      </c>
      <c r="B122" t="s">
        <v>241</v>
      </c>
      <c r="C122">
        <v>46</v>
      </c>
      <c r="D122" t="s">
        <v>248</v>
      </c>
      <c r="E122">
        <v>256680</v>
      </c>
      <c r="F122" t="s">
        <v>210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65">
        <v>44506</v>
      </c>
      <c r="B123" t="s">
        <v>241</v>
      </c>
      <c r="C123">
        <v>46</v>
      </c>
      <c r="D123" t="s">
        <v>248</v>
      </c>
      <c r="E123">
        <v>256682</v>
      </c>
      <c r="F123" t="s">
        <v>211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65">
        <v>44506</v>
      </c>
      <c r="B124" t="s">
        <v>241</v>
      </c>
      <c r="C124">
        <v>46</v>
      </c>
      <c r="D124" t="s">
        <v>248</v>
      </c>
      <c r="E124">
        <v>256488</v>
      </c>
      <c r="F124" t="s">
        <v>197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65">
        <v>44506</v>
      </c>
      <c r="B125" t="s">
        <v>241</v>
      </c>
      <c r="C125">
        <v>46</v>
      </c>
      <c r="D125" t="s">
        <v>248</v>
      </c>
      <c r="E125">
        <v>256676</v>
      </c>
      <c r="F125" t="s">
        <v>208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65">
        <v>44506</v>
      </c>
      <c r="B126" t="s">
        <v>241</v>
      </c>
      <c r="C126">
        <v>46</v>
      </c>
      <c r="D126" t="s">
        <v>248</v>
      </c>
      <c r="E126">
        <v>256677</v>
      </c>
      <c r="F126" t="s">
        <v>199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65">
        <v>44506</v>
      </c>
      <c r="B127" t="s">
        <v>241</v>
      </c>
      <c r="C127">
        <v>46</v>
      </c>
      <c r="D127" t="s">
        <v>248</v>
      </c>
      <c r="E127">
        <v>256601</v>
      </c>
      <c r="F127" t="s">
        <v>201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65">
        <v>44506</v>
      </c>
      <c r="B128" t="s">
        <v>241</v>
      </c>
      <c r="C128">
        <v>46</v>
      </c>
      <c r="D128" t="s">
        <v>248</v>
      </c>
      <c r="E128">
        <v>256708</v>
      </c>
      <c r="F128" t="s">
        <v>192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65">
        <v>44506</v>
      </c>
      <c r="B129" t="s">
        <v>241</v>
      </c>
      <c r="C129">
        <v>46</v>
      </c>
      <c r="D129" t="s">
        <v>248</v>
      </c>
      <c r="E129">
        <v>256709</v>
      </c>
      <c r="F129" t="s">
        <v>234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65">
        <v>44506</v>
      </c>
      <c r="B130" t="s">
        <v>241</v>
      </c>
      <c r="C130">
        <v>46</v>
      </c>
      <c r="D130" t="s">
        <v>248</v>
      </c>
      <c r="E130">
        <v>256379</v>
      </c>
      <c r="F130" t="s">
        <v>167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65">
        <v>44506</v>
      </c>
      <c r="B131" t="s">
        <v>241</v>
      </c>
      <c r="C131">
        <v>46</v>
      </c>
      <c r="D131" t="s">
        <v>248</v>
      </c>
      <c r="E131">
        <v>256380</v>
      </c>
      <c r="F131" t="s">
        <v>168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65">
        <v>44506</v>
      </c>
      <c r="B132" t="s">
        <v>241</v>
      </c>
      <c r="C132">
        <v>46</v>
      </c>
      <c r="D132" t="s">
        <v>248</v>
      </c>
      <c r="E132">
        <v>256383</v>
      </c>
      <c r="F132" t="s">
        <v>203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65">
        <v>44506</v>
      </c>
      <c r="B133" t="s">
        <v>241</v>
      </c>
      <c r="C133">
        <v>46</v>
      </c>
      <c r="D133" t="s">
        <v>248</v>
      </c>
      <c r="E133">
        <v>256381</v>
      </c>
      <c r="F133" t="s">
        <v>212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65">
        <v>44506</v>
      </c>
      <c r="B134" t="s">
        <v>241</v>
      </c>
      <c r="C134">
        <v>46</v>
      </c>
      <c r="D134" t="s">
        <v>248</v>
      </c>
      <c r="E134">
        <v>251429</v>
      </c>
      <c r="F134" t="s">
        <v>200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65">
        <v>44508</v>
      </c>
      <c r="B135" t="s">
        <v>241</v>
      </c>
      <c r="C135">
        <v>46</v>
      </c>
      <c r="D135" t="s">
        <v>249</v>
      </c>
      <c r="E135">
        <v>256721</v>
      </c>
      <c r="F135" t="s">
        <v>236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65">
        <v>44508</v>
      </c>
      <c r="B136" t="s">
        <v>241</v>
      </c>
      <c r="C136">
        <v>46</v>
      </c>
      <c r="D136" t="s">
        <v>249</v>
      </c>
      <c r="E136">
        <v>256720</v>
      </c>
      <c r="F136" t="s">
        <v>235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65">
        <v>44508</v>
      </c>
      <c r="B137" t="s">
        <v>241</v>
      </c>
      <c r="C137">
        <v>46</v>
      </c>
      <c r="D137" t="s">
        <v>249</v>
      </c>
      <c r="E137">
        <v>256601</v>
      </c>
      <c r="F137" t="s">
        <v>201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65">
        <v>44508</v>
      </c>
      <c r="B138" t="s">
        <v>241</v>
      </c>
      <c r="C138">
        <v>46</v>
      </c>
      <c r="D138" t="s">
        <v>249</v>
      </c>
      <c r="E138">
        <v>256675</v>
      </c>
      <c r="F138" t="s">
        <v>207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65">
        <v>44508</v>
      </c>
      <c r="B139" t="s">
        <v>241</v>
      </c>
      <c r="C139">
        <v>46</v>
      </c>
      <c r="D139" t="s">
        <v>249</v>
      </c>
      <c r="E139">
        <v>256674</v>
      </c>
      <c r="F139" t="s">
        <v>206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65">
        <v>44508</v>
      </c>
      <c r="B140" t="s">
        <v>241</v>
      </c>
      <c r="C140">
        <v>46</v>
      </c>
      <c r="D140" t="s">
        <v>249</v>
      </c>
      <c r="E140">
        <v>254762</v>
      </c>
      <c r="F140" t="s">
        <v>230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65">
        <v>44508</v>
      </c>
      <c r="B141" t="s">
        <v>241</v>
      </c>
      <c r="C141">
        <v>46</v>
      </c>
      <c r="D141" t="s">
        <v>249</v>
      </c>
      <c r="E141">
        <v>256720</v>
      </c>
      <c r="F141" t="s">
        <v>235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65">
        <v>44508</v>
      </c>
      <c r="B142" t="s">
        <v>241</v>
      </c>
      <c r="C142">
        <v>46</v>
      </c>
      <c r="D142" t="s">
        <v>249</v>
      </c>
      <c r="E142">
        <v>256721</v>
      </c>
      <c r="F142" t="s">
        <v>236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65">
        <v>44508</v>
      </c>
      <c r="B143" t="s">
        <v>241</v>
      </c>
      <c r="C143">
        <v>46</v>
      </c>
      <c r="D143" t="s">
        <v>249</v>
      </c>
      <c r="E143">
        <v>251429</v>
      </c>
      <c r="F143" t="s">
        <v>200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65">
        <v>44508</v>
      </c>
      <c r="B144" t="s">
        <v>241</v>
      </c>
      <c r="C144">
        <v>46</v>
      </c>
      <c r="D144" t="s">
        <v>249</v>
      </c>
      <c r="E144">
        <v>256675</v>
      </c>
      <c r="F144" t="s">
        <v>207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65">
        <v>44508</v>
      </c>
      <c r="B145" t="s">
        <v>241</v>
      </c>
      <c r="C145">
        <v>46</v>
      </c>
      <c r="D145" t="s">
        <v>249</v>
      </c>
      <c r="E145">
        <v>256674</v>
      </c>
      <c r="F145" t="s">
        <v>206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65">
        <v>44508</v>
      </c>
      <c r="B146" t="s">
        <v>241</v>
      </c>
      <c r="C146">
        <v>46</v>
      </c>
      <c r="D146" t="s">
        <v>249</v>
      </c>
      <c r="E146">
        <v>254853</v>
      </c>
      <c r="F146" t="s">
        <v>179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65">
        <v>44508</v>
      </c>
      <c r="B147" t="s">
        <v>241</v>
      </c>
      <c r="C147">
        <v>46</v>
      </c>
      <c r="D147" t="s">
        <v>249</v>
      </c>
      <c r="E147">
        <v>251406</v>
      </c>
      <c r="F147" t="s">
        <v>186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65">
        <v>44508</v>
      </c>
      <c r="B148" t="s">
        <v>241</v>
      </c>
      <c r="C148">
        <v>46</v>
      </c>
      <c r="D148" t="s">
        <v>249</v>
      </c>
      <c r="E148">
        <v>251632</v>
      </c>
      <c r="F148" t="s">
        <v>188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65">
        <v>44508</v>
      </c>
      <c r="B149" t="s">
        <v>241</v>
      </c>
      <c r="C149">
        <v>46</v>
      </c>
      <c r="D149" t="s">
        <v>249</v>
      </c>
      <c r="E149">
        <v>252436</v>
      </c>
      <c r="F149" t="s">
        <v>204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65">
        <v>44508</v>
      </c>
      <c r="B150" t="s">
        <v>241</v>
      </c>
      <c r="C150">
        <v>46</v>
      </c>
      <c r="D150" t="s">
        <v>249</v>
      </c>
      <c r="E150">
        <v>256708</v>
      </c>
      <c r="F150" t="s">
        <v>192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65">
        <v>44508</v>
      </c>
      <c r="B151" t="s">
        <v>241</v>
      </c>
      <c r="C151">
        <v>46</v>
      </c>
      <c r="D151" t="s">
        <v>249</v>
      </c>
      <c r="E151">
        <v>251633</v>
      </c>
      <c r="F151" t="s">
        <v>187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65">
        <v>44508</v>
      </c>
      <c r="B152" t="s">
        <v>241</v>
      </c>
      <c r="C152">
        <v>46</v>
      </c>
      <c r="D152" t="s">
        <v>249</v>
      </c>
      <c r="E152">
        <v>256679</v>
      </c>
      <c r="F152" t="s">
        <v>209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65">
        <v>44508</v>
      </c>
      <c r="B153" t="s">
        <v>241</v>
      </c>
      <c r="C153">
        <v>46</v>
      </c>
      <c r="D153" t="s">
        <v>249</v>
      </c>
      <c r="E153">
        <v>256677</v>
      </c>
      <c r="F153" t="s">
        <v>199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65">
        <v>44508</v>
      </c>
      <c r="B154" t="s">
        <v>241</v>
      </c>
      <c r="C154">
        <v>46</v>
      </c>
      <c r="D154" t="s">
        <v>249</v>
      </c>
      <c r="E154">
        <v>256652</v>
      </c>
      <c r="F154" t="s">
        <v>171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65">
        <v>44508</v>
      </c>
      <c r="B155" t="s">
        <v>241</v>
      </c>
      <c r="C155">
        <v>46</v>
      </c>
      <c r="D155" t="s">
        <v>249</v>
      </c>
      <c r="E155">
        <v>256488</v>
      </c>
      <c r="F155" t="s">
        <v>197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65">
        <v>44508</v>
      </c>
      <c r="B156" t="s">
        <v>241</v>
      </c>
      <c r="C156">
        <v>46</v>
      </c>
      <c r="D156" t="s">
        <v>249</v>
      </c>
      <c r="E156">
        <v>256666</v>
      </c>
      <c r="F156" t="s">
        <v>202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65">
        <v>44508</v>
      </c>
      <c r="B157" t="s">
        <v>241</v>
      </c>
      <c r="C157">
        <v>46</v>
      </c>
      <c r="D157" t="s">
        <v>249</v>
      </c>
      <c r="E157">
        <v>256678</v>
      </c>
      <c r="F157" t="s">
        <v>198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65">
        <v>44508</v>
      </c>
      <c r="B158" t="s">
        <v>241</v>
      </c>
      <c r="C158">
        <v>46</v>
      </c>
      <c r="D158" t="s">
        <v>249</v>
      </c>
      <c r="E158">
        <v>256676</v>
      </c>
      <c r="F158" t="s">
        <v>208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65">
        <v>44508</v>
      </c>
      <c r="B159" t="s">
        <v>241</v>
      </c>
      <c r="C159">
        <v>46</v>
      </c>
      <c r="D159" t="s">
        <v>249</v>
      </c>
      <c r="E159">
        <v>256382</v>
      </c>
      <c r="F159" t="s">
        <v>169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65">
        <v>44508</v>
      </c>
      <c r="B160" t="s">
        <v>241</v>
      </c>
      <c r="C160">
        <v>46</v>
      </c>
      <c r="D160" t="s">
        <v>249</v>
      </c>
      <c r="E160">
        <v>256383</v>
      </c>
      <c r="F160" t="s">
        <v>203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65">
        <v>44508</v>
      </c>
      <c r="B161" t="s">
        <v>241</v>
      </c>
      <c r="C161">
        <v>46</v>
      </c>
      <c r="D161" t="s">
        <v>249</v>
      </c>
      <c r="E161">
        <v>256379</v>
      </c>
      <c r="F161" t="s">
        <v>167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65">
        <v>44509</v>
      </c>
      <c r="B162" t="s">
        <v>241</v>
      </c>
      <c r="C162">
        <v>46</v>
      </c>
      <c r="D162" t="s">
        <v>244</v>
      </c>
      <c r="E162">
        <v>256708</v>
      </c>
      <c r="F162" t="s">
        <v>192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65">
        <v>44509</v>
      </c>
      <c r="B163" t="s">
        <v>241</v>
      </c>
      <c r="C163">
        <v>46</v>
      </c>
      <c r="D163" t="s">
        <v>244</v>
      </c>
      <c r="E163">
        <v>256695</v>
      </c>
      <c r="F163" t="s">
        <v>172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65">
        <v>44509</v>
      </c>
      <c r="B164" t="s">
        <v>241</v>
      </c>
      <c r="C164">
        <v>46</v>
      </c>
      <c r="D164" t="s">
        <v>244</v>
      </c>
      <c r="E164">
        <v>256677</v>
      </c>
      <c r="F164" t="s">
        <v>199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65">
        <v>44509</v>
      </c>
      <c r="B165" t="s">
        <v>241</v>
      </c>
      <c r="C165">
        <v>46</v>
      </c>
      <c r="D165" t="s">
        <v>244</v>
      </c>
      <c r="E165">
        <v>256674</v>
      </c>
      <c r="F165" t="s">
        <v>206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65">
        <v>44509</v>
      </c>
      <c r="B166" t="s">
        <v>241</v>
      </c>
      <c r="C166">
        <v>46</v>
      </c>
      <c r="D166" t="s">
        <v>244</v>
      </c>
      <c r="E166">
        <v>256676</v>
      </c>
      <c r="F166" t="s">
        <v>208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65">
        <v>44509</v>
      </c>
      <c r="B167" t="s">
        <v>241</v>
      </c>
      <c r="C167">
        <v>46</v>
      </c>
      <c r="D167" t="s">
        <v>244</v>
      </c>
      <c r="E167">
        <v>256616</v>
      </c>
      <c r="F167" t="s">
        <v>205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65">
        <v>44509</v>
      </c>
      <c r="B168" t="s">
        <v>241</v>
      </c>
      <c r="C168">
        <v>46</v>
      </c>
      <c r="D168" t="s">
        <v>244</v>
      </c>
      <c r="E168">
        <v>256381</v>
      </c>
      <c r="F168" t="s">
        <v>212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65">
        <v>44509</v>
      </c>
      <c r="B169" t="s">
        <v>241</v>
      </c>
      <c r="C169">
        <v>46</v>
      </c>
      <c r="D169" t="s">
        <v>244</v>
      </c>
      <c r="E169">
        <v>256383</v>
      </c>
      <c r="F169" t="s">
        <v>203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65">
        <v>44509</v>
      </c>
      <c r="B170" t="s">
        <v>241</v>
      </c>
      <c r="C170">
        <v>46</v>
      </c>
      <c r="D170" t="s">
        <v>244</v>
      </c>
      <c r="E170">
        <v>251632</v>
      </c>
      <c r="F170" t="s">
        <v>188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65">
        <v>44509</v>
      </c>
      <c r="B171" t="s">
        <v>241</v>
      </c>
      <c r="C171">
        <v>46</v>
      </c>
      <c r="D171" t="s">
        <v>244</v>
      </c>
      <c r="E171">
        <v>256652</v>
      </c>
      <c r="F171" t="s">
        <v>171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65">
        <v>44509</v>
      </c>
      <c r="B172" t="s">
        <v>241</v>
      </c>
      <c r="C172">
        <v>46</v>
      </c>
      <c r="D172" t="s">
        <v>244</v>
      </c>
      <c r="E172">
        <v>256678</v>
      </c>
      <c r="F172" t="s">
        <v>198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65">
        <v>44509</v>
      </c>
      <c r="B173" t="s">
        <v>241</v>
      </c>
      <c r="C173">
        <v>46</v>
      </c>
      <c r="D173" t="s">
        <v>244</v>
      </c>
      <c r="E173">
        <v>251429</v>
      </c>
      <c r="F173" t="s">
        <v>200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65">
        <v>44509</v>
      </c>
      <c r="B174" t="s">
        <v>241</v>
      </c>
      <c r="C174">
        <v>46</v>
      </c>
      <c r="D174" t="s">
        <v>244</v>
      </c>
      <c r="E174">
        <v>256721</v>
      </c>
      <c r="F174" t="s">
        <v>236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65">
        <v>44509</v>
      </c>
      <c r="B175" t="s">
        <v>241</v>
      </c>
      <c r="C175">
        <v>46</v>
      </c>
      <c r="D175" t="s">
        <v>244</v>
      </c>
      <c r="E175">
        <v>256685</v>
      </c>
      <c r="F175" t="s">
        <v>224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65">
        <v>44509</v>
      </c>
      <c r="B176" t="s">
        <v>241</v>
      </c>
      <c r="C176">
        <v>46</v>
      </c>
      <c r="D176" t="s">
        <v>244</v>
      </c>
      <c r="E176">
        <v>251406</v>
      </c>
      <c r="F176" t="s">
        <v>186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65">
        <v>44509</v>
      </c>
      <c r="B177" t="s">
        <v>241</v>
      </c>
      <c r="C177">
        <v>46</v>
      </c>
      <c r="D177" t="s">
        <v>244</v>
      </c>
      <c r="E177">
        <v>254853</v>
      </c>
      <c r="F177" t="s">
        <v>179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65">
        <v>44509</v>
      </c>
      <c r="B178" t="s">
        <v>241</v>
      </c>
      <c r="C178">
        <v>46</v>
      </c>
      <c r="D178" t="s">
        <v>244</v>
      </c>
      <c r="E178">
        <v>256617</v>
      </c>
      <c r="F178" t="s">
        <v>164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65">
        <v>44509</v>
      </c>
      <c r="B179" t="s">
        <v>241</v>
      </c>
      <c r="C179">
        <v>46</v>
      </c>
      <c r="D179" t="s">
        <v>244</v>
      </c>
      <c r="E179">
        <v>256675</v>
      </c>
      <c r="F179" t="s">
        <v>207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65">
        <v>44509</v>
      </c>
      <c r="B180" t="s">
        <v>241</v>
      </c>
      <c r="C180">
        <v>46</v>
      </c>
      <c r="D180" t="s">
        <v>244</v>
      </c>
      <c r="E180">
        <v>256488</v>
      </c>
      <c r="F180" t="s">
        <v>197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65">
        <v>44510</v>
      </c>
      <c r="B181" t="s">
        <v>241</v>
      </c>
      <c r="C181">
        <v>46</v>
      </c>
      <c r="D181" t="s">
        <v>245</v>
      </c>
      <c r="E181">
        <v>256695</v>
      </c>
      <c r="F181" t="s">
        <v>172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65">
        <v>44510</v>
      </c>
      <c r="B182" t="s">
        <v>241</v>
      </c>
      <c r="C182">
        <v>46</v>
      </c>
      <c r="D182" t="s">
        <v>245</v>
      </c>
      <c r="E182">
        <v>251632</v>
      </c>
      <c r="F182" t="s">
        <v>188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65">
        <v>44510</v>
      </c>
      <c r="B183" t="s">
        <v>241</v>
      </c>
      <c r="C183">
        <v>46</v>
      </c>
      <c r="D183" t="s">
        <v>245</v>
      </c>
      <c r="E183">
        <v>256695</v>
      </c>
      <c r="F183" t="s">
        <v>172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65">
        <v>44510</v>
      </c>
      <c r="B184" t="s">
        <v>241</v>
      </c>
      <c r="C184">
        <v>46</v>
      </c>
      <c r="D184" t="s">
        <v>245</v>
      </c>
      <c r="E184">
        <v>256677</v>
      </c>
      <c r="F184" t="s">
        <v>199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65">
        <v>44510</v>
      </c>
      <c r="B185" t="s">
        <v>241</v>
      </c>
      <c r="C185">
        <v>46</v>
      </c>
      <c r="D185" t="s">
        <v>245</v>
      </c>
      <c r="E185">
        <v>256676</v>
      </c>
      <c r="F185" t="s">
        <v>208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65">
        <v>44510</v>
      </c>
      <c r="B186" t="s">
        <v>241</v>
      </c>
      <c r="C186">
        <v>46</v>
      </c>
      <c r="D186" t="s">
        <v>245</v>
      </c>
      <c r="E186">
        <v>256488</v>
      </c>
      <c r="F186" t="s">
        <v>197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65">
        <v>44510</v>
      </c>
      <c r="B187" t="s">
        <v>241</v>
      </c>
      <c r="C187">
        <v>46</v>
      </c>
      <c r="D187" t="s">
        <v>245</v>
      </c>
      <c r="E187">
        <v>256379</v>
      </c>
      <c r="F187" t="s">
        <v>167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65">
        <v>44510</v>
      </c>
      <c r="B188" t="s">
        <v>241</v>
      </c>
      <c r="C188">
        <v>46</v>
      </c>
      <c r="D188" t="s">
        <v>245</v>
      </c>
      <c r="E188">
        <v>256675</v>
      </c>
      <c r="F188" t="s">
        <v>207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65">
        <v>44510</v>
      </c>
      <c r="B189" t="s">
        <v>241</v>
      </c>
      <c r="C189">
        <v>46</v>
      </c>
      <c r="D189" t="s">
        <v>245</v>
      </c>
      <c r="E189">
        <v>256616</v>
      </c>
      <c r="F189" t="s">
        <v>205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65">
        <v>44510</v>
      </c>
      <c r="B190" t="s">
        <v>241</v>
      </c>
      <c r="C190">
        <v>46</v>
      </c>
      <c r="D190" t="s">
        <v>245</v>
      </c>
      <c r="E190">
        <v>256617</v>
      </c>
      <c r="F190" t="s">
        <v>164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65">
        <v>44510</v>
      </c>
      <c r="B191" t="s">
        <v>241</v>
      </c>
      <c r="C191">
        <v>46</v>
      </c>
      <c r="D191" t="s">
        <v>245</v>
      </c>
      <c r="E191">
        <v>256666</v>
      </c>
      <c r="F191" t="s">
        <v>202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65">
        <v>44510</v>
      </c>
      <c r="B192" t="s">
        <v>241</v>
      </c>
      <c r="C192">
        <v>46</v>
      </c>
      <c r="D192" t="s">
        <v>245</v>
      </c>
      <c r="E192">
        <v>251633</v>
      </c>
      <c r="F192" t="s">
        <v>187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65">
        <v>44510</v>
      </c>
      <c r="B193" t="s">
        <v>241</v>
      </c>
      <c r="C193">
        <v>46</v>
      </c>
      <c r="D193" t="s">
        <v>245</v>
      </c>
      <c r="E193">
        <v>256383</v>
      </c>
      <c r="F193" t="s">
        <v>203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65">
        <v>44510</v>
      </c>
      <c r="B194" t="s">
        <v>241</v>
      </c>
      <c r="C194">
        <v>46</v>
      </c>
      <c r="D194" t="s">
        <v>245</v>
      </c>
      <c r="E194">
        <v>256381</v>
      </c>
      <c r="F194" t="s">
        <v>212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65">
        <v>44510</v>
      </c>
      <c r="B195" t="s">
        <v>241</v>
      </c>
      <c r="C195">
        <v>46</v>
      </c>
      <c r="D195" t="s">
        <v>245</v>
      </c>
      <c r="E195">
        <v>256708</v>
      </c>
      <c r="F195" t="s">
        <v>192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65">
        <v>44510</v>
      </c>
      <c r="B196" t="s">
        <v>241</v>
      </c>
      <c r="C196">
        <v>46</v>
      </c>
      <c r="D196" t="s">
        <v>245</v>
      </c>
      <c r="E196">
        <v>251429</v>
      </c>
      <c r="F196" t="s">
        <v>200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65">
        <v>44510</v>
      </c>
      <c r="B197" t="s">
        <v>241</v>
      </c>
      <c r="C197">
        <v>46</v>
      </c>
      <c r="D197" t="s">
        <v>245</v>
      </c>
      <c r="E197">
        <v>256685</v>
      </c>
      <c r="F197" t="s">
        <v>224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65">
        <v>44510</v>
      </c>
      <c r="B198" t="s">
        <v>241</v>
      </c>
      <c r="C198">
        <v>46</v>
      </c>
      <c r="D198" t="s">
        <v>245</v>
      </c>
      <c r="E198">
        <v>256678</v>
      </c>
      <c r="F198" t="s">
        <v>198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65">
        <v>44510</v>
      </c>
      <c r="B199" t="s">
        <v>241</v>
      </c>
      <c r="C199">
        <v>46</v>
      </c>
      <c r="D199" t="s">
        <v>245</v>
      </c>
      <c r="E199">
        <v>256674</v>
      </c>
      <c r="F199" t="s">
        <v>206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65">
        <v>44510</v>
      </c>
      <c r="B200" t="s">
        <v>241</v>
      </c>
      <c r="C200">
        <v>46</v>
      </c>
      <c r="D200" t="s">
        <v>245</v>
      </c>
      <c r="E200">
        <v>254853</v>
      </c>
      <c r="F200" t="s">
        <v>179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65">
        <v>44510</v>
      </c>
      <c r="B201" t="s">
        <v>241</v>
      </c>
      <c r="C201">
        <v>46</v>
      </c>
      <c r="D201" t="s">
        <v>245</v>
      </c>
      <c r="E201">
        <v>251406</v>
      </c>
      <c r="F201" t="s">
        <v>186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65">
        <v>44511</v>
      </c>
      <c r="B202" t="s">
        <v>241</v>
      </c>
      <c r="C202">
        <v>46</v>
      </c>
      <c r="D202" t="s">
        <v>246</v>
      </c>
      <c r="E202">
        <v>251429</v>
      </c>
      <c r="F202" t="s">
        <v>200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65">
        <v>44511</v>
      </c>
      <c r="B203" t="s">
        <v>241</v>
      </c>
      <c r="C203">
        <v>46</v>
      </c>
      <c r="D203" t="s">
        <v>246</v>
      </c>
      <c r="E203">
        <v>256355</v>
      </c>
      <c r="F203" t="s">
        <v>242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65">
        <v>44511</v>
      </c>
      <c r="B204" t="s">
        <v>241</v>
      </c>
      <c r="C204">
        <v>46</v>
      </c>
      <c r="D204" t="s">
        <v>246</v>
      </c>
      <c r="E204">
        <v>251632</v>
      </c>
      <c r="F204" t="s">
        <v>188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65">
        <v>44511</v>
      </c>
      <c r="B205" t="s">
        <v>241</v>
      </c>
      <c r="C205">
        <v>46</v>
      </c>
      <c r="D205" t="s">
        <v>246</v>
      </c>
      <c r="E205">
        <v>256695</v>
      </c>
      <c r="F205" t="s">
        <v>172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65">
        <v>44511</v>
      </c>
      <c r="B206" t="s">
        <v>241</v>
      </c>
      <c r="C206">
        <v>46</v>
      </c>
      <c r="D206" t="s">
        <v>246</v>
      </c>
      <c r="E206">
        <v>256678</v>
      </c>
      <c r="F206" t="s">
        <v>198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65">
        <v>44511</v>
      </c>
      <c r="B207" t="s">
        <v>241</v>
      </c>
      <c r="C207">
        <v>46</v>
      </c>
      <c r="D207" t="s">
        <v>246</v>
      </c>
      <c r="E207">
        <v>256677</v>
      </c>
      <c r="F207" t="s">
        <v>199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65">
        <v>44511</v>
      </c>
      <c r="B208" t="s">
        <v>241</v>
      </c>
      <c r="C208">
        <v>46</v>
      </c>
      <c r="D208" t="s">
        <v>246</v>
      </c>
      <c r="E208">
        <v>256652</v>
      </c>
      <c r="F208" t="s">
        <v>171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65">
        <v>44511</v>
      </c>
      <c r="B209" t="s">
        <v>241</v>
      </c>
      <c r="C209">
        <v>46</v>
      </c>
      <c r="D209" t="s">
        <v>246</v>
      </c>
      <c r="E209">
        <v>256675</v>
      </c>
      <c r="F209" t="s">
        <v>207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65">
        <v>44511</v>
      </c>
      <c r="B210" t="s">
        <v>241</v>
      </c>
      <c r="C210">
        <v>46</v>
      </c>
      <c r="D210" t="s">
        <v>246</v>
      </c>
      <c r="E210">
        <v>256674</v>
      </c>
      <c r="F210" t="s">
        <v>206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65">
        <v>44511</v>
      </c>
      <c r="B211" t="s">
        <v>241</v>
      </c>
      <c r="C211">
        <v>46</v>
      </c>
      <c r="D211" t="s">
        <v>246</v>
      </c>
      <c r="E211">
        <v>251406</v>
      </c>
      <c r="F211" t="s">
        <v>186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65">
        <v>44511</v>
      </c>
      <c r="B212" t="s">
        <v>241</v>
      </c>
      <c r="C212">
        <v>46</v>
      </c>
      <c r="D212" t="s">
        <v>246</v>
      </c>
      <c r="E212">
        <v>251429</v>
      </c>
      <c r="F212" t="s">
        <v>200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65">
        <v>44511</v>
      </c>
      <c r="B213" t="s">
        <v>241</v>
      </c>
      <c r="C213">
        <v>46</v>
      </c>
      <c r="D213" t="s">
        <v>246</v>
      </c>
      <c r="E213">
        <v>256379</v>
      </c>
      <c r="F213" t="s">
        <v>167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65">
        <v>44511</v>
      </c>
      <c r="B214" t="s">
        <v>241</v>
      </c>
      <c r="C214">
        <v>46</v>
      </c>
      <c r="D214" t="s">
        <v>246</v>
      </c>
      <c r="E214">
        <v>256381</v>
      </c>
      <c r="F214" t="s">
        <v>212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65">
        <v>44512</v>
      </c>
      <c r="B215" t="s">
        <v>241</v>
      </c>
      <c r="C215">
        <v>46</v>
      </c>
      <c r="D215" t="s">
        <v>247</v>
      </c>
      <c r="E215">
        <v>256355</v>
      </c>
      <c r="F215" t="s">
        <v>242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65">
        <v>44512</v>
      </c>
      <c r="B216" t="s">
        <v>241</v>
      </c>
      <c r="C216">
        <v>46</v>
      </c>
      <c r="D216" t="s">
        <v>247</v>
      </c>
      <c r="E216">
        <v>256720</v>
      </c>
      <c r="F216" t="s">
        <v>235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65">
        <v>44512</v>
      </c>
      <c r="B217" t="s">
        <v>241</v>
      </c>
      <c r="C217">
        <v>46</v>
      </c>
      <c r="D217" t="s">
        <v>247</v>
      </c>
      <c r="E217">
        <v>251632</v>
      </c>
      <c r="F217" t="s">
        <v>188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65">
        <v>44512</v>
      </c>
      <c r="B218" t="s">
        <v>241</v>
      </c>
      <c r="C218">
        <v>46</v>
      </c>
      <c r="D218" t="s">
        <v>247</v>
      </c>
      <c r="E218">
        <v>256682</v>
      </c>
      <c r="F218" t="s">
        <v>211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65">
        <v>44512</v>
      </c>
      <c r="B219" t="s">
        <v>241</v>
      </c>
      <c r="C219">
        <v>46</v>
      </c>
      <c r="D219" t="s">
        <v>247</v>
      </c>
      <c r="E219">
        <v>256678</v>
      </c>
      <c r="F219" t="s">
        <v>198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65">
        <v>44512</v>
      </c>
      <c r="B220" t="s">
        <v>241</v>
      </c>
      <c r="C220">
        <v>46</v>
      </c>
      <c r="D220" t="s">
        <v>247</v>
      </c>
      <c r="E220">
        <v>256675</v>
      </c>
      <c r="F220" t="s">
        <v>207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65">
        <v>44512</v>
      </c>
      <c r="B221" t="s">
        <v>241</v>
      </c>
      <c r="C221">
        <v>46</v>
      </c>
      <c r="D221" t="s">
        <v>247</v>
      </c>
      <c r="E221">
        <v>256674</v>
      </c>
      <c r="F221" t="s">
        <v>206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65">
        <v>44512</v>
      </c>
      <c r="B222" t="s">
        <v>241</v>
      </c>
      <c r="C222">
        <v>46</v>
      </c>
      <c r="D222" t="s">
        <v>247</v>
      </c>
      <c r="E222">
        <v>254853</v>
      </c>
      <c r="F222" t="s">
        <v>179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65">
        <v>44512</v>
      </c>
      <c r="B223" t="s">
        <v>241</v>
      </c>
      <c r="C223">
        <v>46</v>
      </c>
      <c r="D223" t="s">
        <v>247</v>
      </c>
      <c r="E223">
        <v>251406</v>
      </c>
      <c r="F223" t="s">
        <v>186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65">
        <v>44512</v>
      </c>
      <c r="B224" t="s">
        <v>241</v>
      </c>
      <c r="C224">
        <v>46</v>
      </c>
      <c r="D224" t="s">
        <v>247</v>
      </c>
      <c r="E224">
        <v>251633</v>
      </c>
      <c r="F224" t="s">
        <v>187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65">
        <v>44512</v>
      </c>
      <c r="B225" t="s">
        <v>241</v>
      </c>
      <c r="C225">
        <v>46</v>
      </c>
      <c r="D225" t="s">
        <v>247</v>
      </c>
      <c r="E225">
        <v>251429</v>
      </c>
      <c r="F225" t="s">
        <v>200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65">
        <v>44512</v>
      </c>
      <c r="B226" t="s">
        <v>241</v>
      </c>
      <c r="C226">
        <v>46</v>
      </c>
      <c r="D226" t="s">
        <v>247</v>
      </c>
      <c r="E226">
        <v>252436</v>
      </c>
      <c r="F226" t="s">
        <v>204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65">
        <v>44512</v>
      </c>
      <c r="B227" t="s">
        <v>241</v>
      </c>
      <c r="C227">
        <v>46</v>
      </c>
      <c r="D227" t="s">
        <v>247</v>
      </c>
      <c r="E227">
        <v>256379</v>
      </c>
      <c r="F227" t="s">
        <v>167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65">
        <v>44512</v>
      </c>
      <c r="B228" t="s">
        <v>241</v>
      </c>
      <c r="C228">
        <v>46</v>
      </c>
      <c r="D228" t="s">
        <v>247</v>
      </c>
      <c r="E228">
        <v>256381</v>
      </c>
      <c r="F228" t="s">
        <v>212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65">
        <v>44512</v>
      </c>
      <c r="B229" t="s">
        <v>241</v>
      </c>
      <c r="C229">
        <v>46</v>
      </c>
      <c r="D229" t="s">
        <v>247</v>
      </c>
      <c r="E229">
        <v>256383</v>
      </c>
      <c r="F229" t="s">
        <v>203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65">
        <v>44512</v>
      </c>
      <c r="B230" t="s">
        <v>241</v>
      </c>
      <c r="C230">
        <v>46</v>
      </c>
      <c r="D230" t="s">
        <v>247</v>
      </c>
      <c r="E230">
        <v>256676</v>
      </c>
      <c r="F230" t="s">
        <v>208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65">
        <v>44512</v>
      </c>
      <c r="B231" t="s">
        <v>241</v>
      </c>
      <c r="C231">
        <v>46</v>
      </c>
      <c r="D231" t="s">
        <v>247</v>
      </c>
      <c r="E231">
        <v>256677</v>
      </c>
      <c r="F231" t="s">
        <v>199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65">
        <v>44512</v>
      </c>
      <c r="B232" t="s">
        <v>241</v>
      </c>
      <c r="C232">
        <v>46</v>
      </c>
      <c r="D232" t="s">
        <v>247</v>
      </c>
      <c r="E232">
        <v>256488</v>
      </c>
      <c r="F232" t="s">
        <v>197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65">
        <v>44513</v>
      </c>
      <c r="B233" t="s">
        <v>241</v>
      </c>
      <c r="C233">
        <v>47</v>
      </c>
      <c r="D233" t="s">
        <v>248</v>
      </c>
      <c r="E233">
        <v>256695</v>
      </c>
      <c r="F233" t="s">
        <v>172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65">
        <v>44513</v>
      </c>
      <c r="B234" t="s">
        <v>241</v>
      </c>
      <c r="C234">
        <v>47</v>
      </c>
      <c r="D234" t="s">
        <v>248</v>
      </c>
      <c r="E234">
        <v>251406</v>
      </c>
      <c r="F234" t="s">
        <v>186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65">
        <v>44513</v>
      </c>
      <c r="B235" t="s">
        <v>241</v>
      </c>
      <c r="C235">
        <v>47</v>
      </c>
      <c r="D235" t="s">
        <v>248</v>
      </c>
      <c r="E235">
        <v>256488</v>
      </c>
      <c r="F235" t="s">
        <v>197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65">
        <v>44513</v>
      </c>
      <c r="B236" t="s">
        <v>241</v>
      </c>
      <c r="C236">
        <v>47</v>
      </c>
      <c r="D236" t="s">
        <v>248</v>
      </c>
      <c r="E236">
        <v>256674</v>
      </c>
      <c r="F236" t="s">
        <v>206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65">
        <v>44513</v>
      </c>
      <c r="B237" t="s">
        <v>241</v>
      </c>
      <c r="C237">
        <v>47</v>
      </c>
      <c r="D237" t="s">
        <v>248</v>
      </c>
      <c r="E237">
        <v>256675</v>
      </c>
      <c r="F237" t="s">
        <v>207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65">
        <v>44513</v>
      </c>
      <c r="B238" t="s">
        <v>241</v>
      </c>
      <c r="C238">
        <v>47</v>
      </c>
      <c r="D238" t="s">
        <v>248</v>
      </c>
      <c r="E238">
        <v>256677</v>
      </c>
      <c r="F238" t="s">
        <v>199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65">
        <v>44513</v>
      </c>
      <c r="B239" t="s">
        <v>241</v>
      </c>
      <c r="C239">
        <v>47</v>
      </c>
      <c r="D239" t="s">
        <v>248</v>
      </c>
      <c r="E239">
        <v>256678</v>
      </c>
      <c r="F239" t="s">
        <v>198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65">
        <v>44513</v>
      </c>
      <c r="B240" t="s">
        <v>241</v>
      </c>
      <c r="C240">
        <v>47</v>
      </c>
      <c r="D240" t="s">
        <v>248</v>
      </c>
      <c r="E240">
        <v>251632</v>
      </c>
      <c r="F240" t="s">
        <v>188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65">
        <v>44513</v>
      </c>
      <c r="B241" t="s">
        <v>241</v>
      </c>
      <c r="C241">
        <v>47</v>
      </c>
      <c r="D241" t="s">
        <v>248</v>
      </c>
      <c r="E241">
        <v>251633</v>
      </c>
      <c r="F241" t="s">
        <v>187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65">
        <v>44513</v>
      </c>
      <c r="B242" t="s">
        <v>241</v>
      </c>
      <c r="C242">
        <v>47</v>
      </c>
      <c r="D242" t="s">
        <v>248</v>
      </c>
      <c r="E242">
        <v>251429</v>
      </c>
      <c r="F242" t="s">
        <v>200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65">
        <v>44513</v>
      </c>
      <c r="B243" t="s">
        <v>241</v>
      </c>
      <c r="C243">
        <v>47</v>
      </c>
      <c r="D243" t="s">
        <v>248</v>
      </c>
      <c r="E243">
        <v>256379</v>
      </c>
      <c r="F243" t="s">
        <v>167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65">
        <v>44513</v>
      </c>
      <c r="B244" t="s">
        <v>241</v>
      </c>
      <c r="C244">
        <v>47</v>
      </c>
      <c r="D244" t="s">
        <v>248</v>
      </c>
      <c r="E244">
        <v>256381</v>
      </c>
      <c r="F244" t="s">
        <v>212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65">
        <v>44513</v>
      </c>
      <c r="B245" t="s">
        <v>241</v>
      </c>
      <c r="C245">
        <v>47</v>
      </c>
      <c r="D245" t="s">
        <v>248</v>
      </c>
      <c r="E245">
        <v>256355</v>
      </c>
      <c r="F245" t="s">
        <v>242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65">
        <v>44514</v>
      </c>
      <c r="B246" t="s">
        <v>241</v>
      </c>
      <c r="C246">
        <v>47</v>
      </c>
      <c r="D246" t="s">
        <v>250</v>
      </c>
      <c r="E246">
        <v>256721</v>
      </c>
      <c r="F246" t="s">
        <v>236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65">
        <v>44514</v>
      </c>
      <c r="B247" t="s">
        <v>241</v>
      </c>
      <c r="C247">
        <v>47</v>
      </c>
      <c r="D247" t="s">
        <v>250</v>
      </c>
      <c r="E247">
        <v>256720</v>
      </c>
      <c r="F247" t="s">
        <v>235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65">
        <v>44515</v>
      </c>
      <c r="B248" t="s">
        <v>241</v>
      </c>
      <c r="C248">
        <v>47</v>
      </c>
      <c r="D248" t="s">
        <v>249</v>
      </c>
      <c r="E248">
        <v>256379</v>
      </c>
      <c r="F248" t="s">
        <v>167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65">
        <v>44515</v>
      </c>
      <c r="B249" t="s">
        <v>241</v>
      </c>
      <c r="C249">
        <v>47</v>
      </c>
      <c r="D249" t="s">
        <v>249</v>
      </c>
      <c r="E249">
        <v>256685</v>
      </c>
      <c r="F249" t="s">
        <v>224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65">
        <v>44515</v>
      </c>
      <c r="B250" t="s">
        <v>241</v>
      </c>
      <c r="C250">
        <v>47</v>
      </c>
      <c r="D250" t="s">
        <v>249</v>
      </c>
      <c r="E250">
        <v>251632</v>
      </c>
      <c r="F250" t="s">
        <v>188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65">
        <v>44515</v>
      </c>
      <c r="B251" t="s">
        <v>241</v>
      </c>
      <c r="C251">
        <v>47</v>
      </c>
      <c r="D251" t="s">
        <v>249</v>
      </c>
      <c r="E251">
        <v>256674</v>
      </c>
      <c r="F251" t="s">
        <v>206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65">
        <v>44515</v>
      </c>
      <c r="B252" t="s">
        <v>241</v>
      </c>
      <c r="C252">
        <v>47</v>
      </c>
      <c r="D252" t="s">
        <v>249</v>
      </c>
      <c r="E252">
        <v>252436</v>
      </c>
      <c r="F252" t="s">
        <v>204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65">
        <v>44515</v>
      </c>
      <c r="B253" t="s">
        <v>241</v>
      </c>
      <c r="C253">
        <v>47</v>
      </c>
      <c r="D253" t="s">
        <v>249</v>
      </c>
      <c r="E253">
        <v>251429</v>
      </c>
      <c r="F253" t="s">
        <v>200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65">
        <v>44515</v>
      </c>
      <c r="B254" t="s">
        <v>241</v>
      </c>
      <c r="C254">
        <v>47</v>
      </c>
      <c r="D254" t="s">
        <v>249</v>
      </c>
      <c r="E254">
        <v>256678</v>
      </c>
      <c r="F254" t="s">
        <v>198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65">
        <v>44515</v>
      </c>
      <c r="B255" t="s">
        <v>241</v>
      </c>
      <c r="C255">
        <v>47</v>
      </c>
      <c r="D255" t="s">
        <v>249</v>
      </c>
      <c r="E255">
        <v>256677</v>
      </c>
      <c r="F255" t="s">
        <v>199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65">
        <v>44515</v>
      </c>
      <c r="B256" t="s">
        <v>241</v>
      </c>
      <c r="C256">
        <v>47</v>
      </c>
      <c r="D256" t="s">
        <v>249</v>
      </c>
      <c r="E256">
        <v>256676</v>
      </c>
      <c r="F256" t="s">
        <v>208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65">
        <v>44515</v>
      </c>
      <c r="B257" t="s">
        <v>241</v>
      </c>
      <c r="C257">
        <v>47</v>
      </c>
      <c r="D257" t="s">
        <v>249</v>
      </c>
      <c r="E257">
        <v>256488</v>
      </c>
      <c r="F257" t="s">
        <v>197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65">
        <v>44515</v>
      </c>
      <c r="B258" t="s">
        <v>241</v>
      </c>
      <c r="C258">
        <v>47</v>
      </c>
      <c r="D258" t="s">
        <v>249</v>
      </c>
      <c r="E258">
        <v>256652</v>
      </c>
      <c r="F258" t="s">
        <v>171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65">
        <v>44515</v>
      </c>
      <c r="B259" t="s">
        <v>241</v>
      </c>
      <c r="C259">
        <v>47</v>
      </c>
      <c r="D259" t="s">
        <v>249</v>
      </c>
      <c r="E259">
        <v>254853</v>
      </c>
      <c r="F259" t="s">
        <v>179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65">
        <v>44516</v>
      </c>
      <c r="B260" t="s">
        <v>241</v>
      </c>
      <c r="C260">
        <v>47</v>
      </c>
      <c r="D260" t="s">
        <v>244</v>
      </c>
      <c r="E260">
        <v>251632</v>
      </c>
      <c r="F260" t="s">
        <v>188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65">
        <v>44516</v>
      </c>
      <c r="B261" t="s">
        <v>241</v>
      </c>
      <c r="C261">
        <v>47</v>
      </c>
      <c r="D261" t="s">
        <v>244</v>
      </c>
      <c r="E261">
        <v>251632</v>
      </c>
      <c r="F261" t="s">
        <v>188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65">
        <v>44516</v>
      </c>
      <c r="B262" t="s">
        <v>241</v>
      </c>
      <c r="C262">
        <v>47</v>
      </c>
      <c r="D262" t="s">
        <v>244</v>
      </c>
      <c r="E262">
        <v>256708</v>
      </c>
      <c r="F262" t="s">
        <v>192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65">
        <v>44516</v>
      </c>
      <c r="B263" t="s">
        <v>241</v>
      </c>
      <c r="C263">
        <v>47</v>
      </c>
      <c r="D263" t="s">
        <v>244</v>
      </c>
      <c r="E263">
        <v>256695</v>
      </c>
      <c r="F263" t="s">
        <v>172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65">
        <v>44516</v>
      </c>
      <c r="B264" t="s">
        <v>241</v>
      </c>
      <c r="C264">
        <v>47</v>
      </c>
      <c r="D264" t="s">
        <v>244</v>
      </c>
      <c r="E264">
        <v>256674</v>
      </c>
      <c r="F264" t="s">
        <v>206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65">
        <v>44516</v>
      </c>
      <c r="B265" t="s">
        <v>241</v>
      </c>
      <c r="C265">
        <v>47</v>
      </c>
      <c r="D265" t="s">
        <v>244</v>
      </c>
      <c r="E265">
        <v>251633</v>
      </c>
      <c r="F265" t="s">
        <v>187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65">
        <v>44516</v>
      </c>
      <c r="B266" t="s">
        <v>241</v>
      </c>
      <c r="C266">
        <v>47</v>
      </c>
      <c r="D266" t="s">
        <v>244</v>
      </c>
      <c r="E266">
        <v>256685</v>
      </c>
      <c r="F266" t="s">
        <v>224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65">
        <v>44516</v>
      </c>
      <c r="B267" t="s">
        <v>241</v>
      </c>
      <c r="C267">
        <v>47</v>
      </c>
      <c r="D267" t="s">
        <v>244</v>
      </c>
      <c r="E267">
        <v>251429</v>
      </c>
      <c r="F267" t="s">
        <v>200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65">
        <v>44516</v>
      </c>
      <c r="B268" t="s">
        <v>241</v>
      </c>
      <c r="C268">
        <v>47</v>
      </c>
      <c r="D268" t="s">
        <v>244</v>
      </c>
      <c r="E268">
        <v>256679</v>
      </c>
      <c r="F268" t="s">
        <v>209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65">
        <v>44516</v>
      </c>
      <c r="B269" t="s">
        <v>241</v>
      </c>
      <c r="C269">
        <v>47</v>
      </c>
      <c r="D269" t="s">
        <v>244</v>
      </c>
      <c r="E269">
        <v>256678</v>
      </c>
      <c r="F269" t="s">
        <v>198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65">
        <v>44516</v>
      </c>
      <c r="B270" t="s">
        <v>241</v>
      </c>
      <c r="C270">
        <v>47</v>
      </c>
      <c r="D270" t="s">
        <v>244</v>
      </c>
      <c r="E270">
        <v>256677</v>
      </c>
      <c r="F270" t="s">
        <v>199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65">
        <v>44516</v>
      </c>
      <c r="B271" t="s">
        <v>241</v>
      </c>
      <c r="C271">
        <v>47</v>
      </c>
      <c r="D271" t="s">
        <v>244</v>
      </c>
      <c r="E271">
        <v>256488</v>
      </c>
      <c r="F271" t="s">
        <v>197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65">
        <v>44516</v>
      </c>
      <c r="B272" t="s">
        <v>241</v>
      </c>
      <c r="C272">
        <v>47</v>
      </c>
      <c r="D272" t="s">
        <v>244</v>
      </c>
      <c r="E272">
        <v>256616</v>
      </c>
      <c r="F272" t="s">
        <v>205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65">
        <v>44516</v>
      </c>
      <c r="B273" t="s">
        <v>241</v>
      </c>
      <c r="C273">
        <v>47</v>
      </c>
      <c r="D273" t="s">
        <v>244</v>
      </c>
      <c r="E273">
        <v>256617</v>
      </c>
      <c r="F273" t="s">
        <v>164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65">
        <v>44516</v>
      </c>
      <c r="B274" t="s">
        <v>241</v>
      </c>
      <c r="C274">
        <v>47</v>
      </c>
      <c r="D274" t="s">
        <v>244</v>
      </c>
      <c r="E274">
        <v>256675</v>
      </c>
      <c r="F274" t="s">
        <v>207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65">
        <v>44517</v>
      </c>
      <c r="B275" t="s">
        <v>241</v>
      </c>
      <c r="C275">
        <v>47</v>
      </c>
      <c r="D275" t="s">
        <v>245</v>
      </c>
      <c r="E275">
        <v>255430</v>
      </c>
      <c r="F275" t="s">
        <v>190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65">
        <v>44517</v>
      </c>
      <c r="B276" t="s">
        <v>241</v>
      </c>
      <c r="C276">
        <v>47</v>
      </c>
      <c r="D276" t="s">
        <v>245</v>
      </c>
      <c r="E276">
        <v>256383</v>
      </c>
      <c r="F276" t="s">
        <v>203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65">
        <v>44517</v>
      </c>
      <c r="B277" t="s">
        <v>241</v>
      </c>
      <c r="C277">
        <v>47</v>
      </c>
      <c r="D277" t="s">
        <v>245</v>
      </c>
      <c r="E277">
        <v>256381</v>
      </c>
      <c r="F277" t="s">
        <v>212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65">
        <v>44517</v>
      </c>
      <c r="B278" t="s">
        <v>241</v>
      </c>
      <c r="C278">
        <v>47</v>
      </c>
      <c r="D278" t="s">
        <v>245</v>
      </c>
      <c r="E278">
        <v>251429</v>
      </c>
      <c r="F278" t="s">
        <v>200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65">
        <v>44517</v>
      </c>
      <c r="B279" t="s">
        <v>241</v>
      </c>
      <c r="C279">
        <v>47</v>
      </c>
      <c r="D279" t="s">
        <v>245</v>
      </c>
      <c r="E279">
        <v>256721</v>
      </c>
      <c r="F279" t="s">
        <v>236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65">
        <v>44517</v>
      </c>
      <c r="B280" t="s">
        <v>241</v>
      </c>
      <c r="C280">
        <v>47</v>
      </c>
      <c r="D280" t="s">
        <v>245</v>
      </c>
      <c r="E280">
        <v>256720</v>
      </c>
      <c r="F280" t="s">
        <v>235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65">
        <v>44517</v>
      </c>
      <c r="B281" t="s">
        <v>241</v>
      </c>
      <c r="C281">
        <v>47</v>
      </c>
      <c r="D281" t="s">
        <v>245</v>
      </c>
      <c r="E281">
        <v>252436</v>
      </c>
      <c r="F281" t="s">
        <v>204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65">
        <v>44517</v>
      </c>
      <c r="B282" t="s">
        <v>241</v>
      </c>
      <c r="C282">
        <v>47</v>
      </c>
      <c r="D282" t="s">
        <v>245</v>
      </c>
      <c r="E282">
        <v>251633</v>
      </c>
      <c r="F282" t="s">
        <v>187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65">
        <v>44517</v>
      </c>
      <c r="B283" t="s">
        <v>241</v>
      </c>
      <c r="C283">
        <v>47</v>
      </c>
      <c r="D283" t="s">
        <v>245</v>
      </c>
      <c r="E283">
        <v>256682</v>
      </c>
      <c r="F283" t="s">
        <v>211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65">
        <v>44517</v>
      </c>
      <c r="B284" t="s">
        <v>241</v>
      </c>
      <c r="C284">
        <v>47</v>
      </c>
      <c r="D284" t="s">
        <v>245</v>
      </c>
      <c r="E284">
        <v>256677</v>
      </c>
      <c r="F284" t="s">
        <v>199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65">
        <v>44517</v>
      </c>
      <c r="B285" t="s">
        <v>241</v>
      </c>
      <c r="C285">
        <v>47</v>
      </c>
      <c r="D285" t="s">
        <v>245</v>
      </c>
      <c r="E285">
        <v>256676</v>
      </c>
      <c r="F285" t="s">
        <v>208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65">
        <v>44517</v>
      </c>
      <c r="B286" t="s">
        <v>241</v>
      </c>
      <c r="C286">
        <v>47</v>
      </c>
      <c r="D286" t="s">
        <v>245</v>
      </c>
      <c r="E286">
        <v>256674</v>
      </c>
      <c r="F286" t="s">
        <v>206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65">
        <v>44517</v>
      </c>
      <c r="B287" t="s">
        <v>241</v>
      </c>
      <c r="C287">
        <v>47</v>
      </c>
      <c r="D287" t="s">
        <v>245</v>
      </c>
      <c r="E287">
        <v>256666</v>
      </c>
      <c r="F287" t="s">
        <v>202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65">
        <v>44517</v>
      </c>
      <c r="B288" t="s">
        <v>241</v>
      </c>
      <c r="C288">
        <v>47</v>
      </c>
      <c r="D288" t="s">
        <v>245</v>
      </c>
      <c r="E288">
        <v>256617</v>
      </c>
      <c r="F288" t="s">
        <v>164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65">
        <v>44517</v>
      </c>
      <c r="B289" t="s">
        <v>241</v>
      </c>
      <c r="C289">
        <v>47</v>
      </c>
      <c r="D289" t="s">
        <v>245</v>
      </c>
      <c r="E289">
        <v>256616</v>
      </c>
      <c r="F289" t="s">
        <v>205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65">
        <v>44517</v>
      </c>
      <c r="B290" t="s">
        <v>241</v>
      </c>
      <c r="C290">
        <v>47</v>
      </c>
      <c r="D290" t="s">
        <v>245</v>
      </c>
      <c r="E290">
        <v>256601</v>
      </c>
      <c r="F290" t="s">
        <v>201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65">
        <v>44517</v>
      </c>
      <c r="B291" t="s">
        <v>241</v>
      </c>
      <c r="C291">
        <v>47</v>
      </c>
      <c r="D291" t="s">
        <v>245</v>
      </c>
      <c r="E291">
        <v>256488</v>
      </c>
      <c r="F291" t="s">
        <v>197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65">
        <v>44517</v>
      </c>
      <c r="B292" t="s">
        <v>241</v>
      </c>
      <c r="C292">
        <v>47</v>
      </c>
      <c r="D292" t="s">
        <v>245</v>
      </c>
      <c r="E292">
        <v>254853</v>
      </c>
      <c r="F292" t="s">
        <v>179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65">
        <v>44517</v>
      </c>
      <c r="B293" t="s">
        <v>241</v>
      </c>
      <c r="C293">
        <v>47</v>
      </c>
      <c r="D293" t="s">
        <v>245</v>
      </c>
      <c r="E293">
        <v>251406</v>
      </c>
      <c r="F293" t="s">
        <v>186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65">
        <v>44517</v>
      </c>
      <c r="B294" t="s">
        <v>241</v>
      </c>
      <c r="C294">
        <v>47</v>
      </c>
      <c r="D294" t="s">
        <v>245</v>
      </c>
      <c r="E294">
        <v>255430</v>
      </c>
      <c r="F294" t="s">
        <v>190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65">
        <v>44518</v>
      </c>
      <c r="B295" t="s">
        <v>241</v>
      </c>
      <c r="C295">
        <v>47</v>
      </c>
      <c r="D295" t="s">
        <v>246</v>
      </c>
      <c r="E295">
        <v>256678</v>
      </c>
      <c r="F295" t="s">
        <v>198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65">
        <v>44518</v>
      </c>
      <c r="B296" t="s">
        <v>241</v>
      </c>
      <c r="C296">
        <v>47</v>
      </c>
      <c r="D296" t="s">
        <v>246</v>
      </c>
      <c r="E296">
        <v>256677</v>
      </c>
      <c r="F296" t="s">
        <v>199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65">
        <v>44518</v>
      </c>
      <c r="B297" t="s">
        <v>241</v>
      </c>
      <c r="C297">
        <v>47</v>
      </c>
      <c r="D297" t="s">
        <v>246</v>
      </c>
      <c r="E297">
        <v>255430</v>
      </c>
      <c r="F297" t="s">
        <v>190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65">
        <v>44518</v>
      </c>
      <c r="B298" t="s">
        <v>241</v>
      </c>
      <c r="C298">
        <v>47</v>
      </c>
      <c r="D298" t="s">
        <v>246</v>
      </c>
      <c r="E298">
        <v>256721</v>
      </c>
      <c r="F298" t="s">
        <v>236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65">
        <v>44518</v>
      </c>
      <c r="B299" t="s">
        <v>241</v>
      </c>
      <c r="C299">
        <v>47</v>
      </c>
      <c r="D299" t="s">
        <v>246</v>
      </c>
      <c r="E299">
        <v>256720</v>
      </c>
      <c r="F299" t="s">
        <v>235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65">
        <v>44518</v>
      </c>
      <c r="B300" t="s">
        <v>241</v>
      </c>
      <c r="C300">
        <v>47</v>
      </c>
      <c r="D300" t="s">
        <v>246</v>
      </c>
      <c r="E300">
        <v>256708</v>
      </c>
      <c r="F300" t="s">
        <v>192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65">
        <v>44518</v>
      </c>
      <c r="B301" t="s">
        <v>241</v>
      </c>
      <c r="C301">
        <v>47</v>
      </c>
      <c r="D301" t="s">
        <v>246</v>
      </c>
      <c r="E301">
        <v>256695</v>
      </c>
      <c r="F301" t="s">
        <v>172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65">
        <v>44518</v>
      </c>
      <c r="B302" t="s">
        <v>241</v>
      </c>
      <c r="C302">
        <v>47</v>
      </c>
      <c r="D302" t="s">
        <v>246</v>
      </c>
      <c r="E302">
        <v>256652</v>
      </c>
      <c r="F302" t="s">
        <v>171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65">
        <v>44518</v>
      </c>
      <c r="B303" t="s">
        <v>241</v>
      </c>
      <c r="C303">
        <v>47</v>
      </c>
      <c r="D303" t="s">
        <v>246</v>
      </c>
      <c r="E303">
        <v>256674</v>
      </c>
      <c r="F303" t="s">
        <v>206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65">
        <v>44518</v>
      </c>
      <c r="B304" t="s">
        <v>241</v>
      </c>
      <c r="C304">
        <v>47</v>
      </c>
      <c r="D304" t="s">
        <v>246</v>
      </c>
      <c r="E304">
        <v>256676</v>
      </c>
      <c r="F304" t="s">
        <v>208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65">
        <v>44518</v>
      </c>
      <c r="B305" t="s">
        <v>241</v>
      </c>
      <c r="C305">
        <v>47</v>
      </c>
      <c r="D305" t="s">
        <v>246</v>
      </c>
      <c r="E305">
        <v>256488</v>
      </c>
      <c r="F305" t="s">
        <v>197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65">
        <v>44518</v>
      </c>
      <c r="B306" t="s">
        <v>241</v>
      </c>
      <c r="C306">
        <v>47</v>
      </c>
      <c r="D306" t="s">
        <v>246</v>
      </c>
      <c r="E306">
        <v>254853</v>
      </c>
      <c r="F306" t="s">
        <v>179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65">
        <v>44518</v>
      </c>
      <c r="B307" t="s">
        <v>241</v>
      </c>
      <c r="C307">
        <v>47</v>
      </c>
      <c r="D307" t="s">
        <v>246</v>
      </c>
      <c r="E307">
        <v>251406</v>
      </c>
      <c r="F307" t="s">
        <v>186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65">
        <v>44518</v>
      </c>
      <c r="B308" t="s">
        <v>241</v>
      </c>
      <c r="C308">
        <v>47</v>
      </c>
      <c r="D308" t="s">
        <v>246</v>
      </c>
      <c r="E308">
        <v>251633</v>
      </c>
      <c r="F308" t="s">
        <v>187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65">
        <v>44518</v>
      </c>
      <c r="B309" t="s">
        <v>241</v>
      </c>
      <c r="C309">
        <v>47</v>
      </c>
      <c r="D309" t="s">
        <v>246</v>
      </c>
      <c r="E309">
        <v>251429</v>
      </c>
      <c r="F309" t="s">
        <v>200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65">
        <v>44518</v>
      </c>
      <c r="B310" t="s">
        <v>241</v>
      </c>
      <c r="C310">
        <v>47</v>
      </c>
      <c r="D310" t="s">
        <v>246</v>
      </c>
      <c r="E310">
        <v>256685</v>
      </c>
      <c r="F310" t="s">
        <v>224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65">
        <v>44518</v>
      </c>
      <c r="B311" t="s">
        <v>241</v>
      </c>
      <c r="C311">
        <v>47</v>
      </c>
      <c r="D311" t="s">
        <v>246</v>
      </c>
      <c r="E311">
        <v>254762</v>
      </c>
      <c r="F311" t="s">
        <v>230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65">
        <v>44518</v>
      </c>
      <c r="B312" t="s">
        <v>241</v>
      </c>
      <c r="C312">
        <v>47</v>
      </c>
      <c r="D312" t="s">
        <v>246</v>
      </c>
      <c r="E312">
        <v>252436</v>
      </c>
      <c r="F312" t="s">
        <v>204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65">
        <v>44519</v>
      </c>
      <c r="B313" t="s">
        <v>241</v>
      </c>
      <c r="C313">
        <v>47</v>
      </c>
      <c r="D313" t="s">
        <v>247</v>
      </c>
      <c r="E313">
        <v>255430</v>
      </c>
      <c r="F313" t="s">
        <v>190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65">
        <v>44519</v>
      </c>
      <c r="B314" t="s">
        <v>241</v>
      </c>
      <c r="C314">
        <v>47</v>
      </c>
      <c r="D314" t="s">
        <v>247</v>
      </c>
      <c r="E314">
        <v>255430</v>
      </c>
      <c r="F314" t="s">
        <v>190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65">
        <v>44519</v>
      </c>
      <c r="B315" t="s">
        <v>241</v>
      </c>
      <c r="C315">
        <v>47</v>
      </c>
      <c r="D315" t="s">
        <v>247</v>
      </c>
      <c r="E315">
        <v>256381</v>
      </c>
      <c r="F315" t="s">
        <v>212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65">
        <v>44519</v>
      </c>
      <c r="B316" t="s">
        <v>241</v>
      </c>
      <c r="C316">
        <v>47</v>
      </c>
      <c r="D316" t="s">
        <v>247</v>
      </c>
      <c r="E316">
        <v>251429</v>
      </c>
      <c r="F316" t="s">
        <v>200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65">
        <v>44519</v>
      </c>
      <c r="B317" t="s">
        <v>241</v>
      </c>
      <c r="C317">
        <v>47</v>
      </c>
      <c r="D317" t="s">
        <v>247</v>
      </c>
      <c r="E317">
        <v>256721</v>
      </c>
      <c r="F317" t="s">
        <v>236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65">
        <v>44519</v>
      </c>
      <c r="B318" t="s">
        <v>241</v>
      </c>
      <c r="C318">
        <v>47</v>
      </c>
      <c r="D318" t="s">
        <v>247</v>
      </c>
      <c r="E318">
        <v>256720</v>
      </c>
      <c r="F318" t="s">
        <v>235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65">
        <v>44519</v>
      </c>
      <c r="B319" t="s">
        <v>241</v>
      </c>
      <c r="C319">
        <v>47</v>
      </c>
      <c r="D319" t="s">
        <v>247</v>
      </c>
      <c r="E319">
        <v>252436</v>
      </c>
      <c r="F319" t="s">
        <v>204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65">
        <v>44519</v>
      </c>
      <c r="B320" t="s">
        <v>241</v>
      </c>
      <c r="C320">
        <v>47</v>
      </c>
      <c r="D320" t="s">
        <v>247</v>
      </c>
      <c r="E320">
        <v>251632</v>
      </c>
      <c r="F320" t="s">
        <v>188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65">
        <v>44519</v>
      </c>
      <c r="B321" t="s">
        <v>241</v>
      </c>
      <c r="C321">
        <v>47</v>
      </c>
      <c r="D321" t="s">
        <v>247</v>
      </c>
      <c r="E321">
        <v>256677</v>
      </c>
      <c r="F321" t="s">
        <v>199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65">
        <v>44519</v>
      </c>
      <c r="B322" t="s">
        <v>241</v>
      </c>
      <c r="C322">
        <v>47</v>
      </c>
      <c r="D322" t="s">
        <v>247</v>
      </c>
      <c r="E322">
        <v>256675</v>
      </c>
      <c r="F322" t="s">
        <v>207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65">
        <v>44519</v>
      </c>
      <c r="B323" t="s">
        <v>241</v>
      </c>
      <c r="C323">
        <v>47</v>
      </c>
      <c r="D323" t="s">
        <v>247</v>
      </c>
      <c r="E323">
        <v>256678</v>
      </c>
      <c r="F323" t="s">
        <v>198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65">
        <v>44519</v>
      </c>
      <c r="B324" t="s">
        <v>241</v>
      </c>
      <c r="C324">
        <v>47</v>
      </c>
      <c r="D324" t="s">
        <v>247</v>
      </c>
      <c r="E324">
        <v>256666</v>
      </c>
      <c r="F324" t="s">
        <v>202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65">
        <v>44519</v>
      </c>
      <c r="B325" t="s">
        <v>241</v>
      </c>
      <c r="C325">
        <v>47</v>
      </c>
      <c r="D325" t="s">
        <v>247</v>
      </c>
      <c r="E325">
        <v>254853</v>
      </c>
      <c r="F325" t="s">
        <v>179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65">
        <v>44519</v>
      </c>
      <c r="B326" t="s">
        <v>241</v>
      </c>
      <c r="C326">
        <v>47</v>
      </c>
      <c r="D326" t="s">
        <v>247</v>
      </c>
      <c r="E326">
        <v>251406</v>
      </c>
      <c r="F326" t="s">
        <v>186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65">
        <v>44520</v>
      </c>
      <c r="B327" t="s">
        <v>241</v>
      </c>
      <c r="E327">
        <v>256679</v>
      </c>
      <c r="F327" t="s">
        <v>209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65">
        <v>44520</v>
      </c>
      <c r="B328" t="s">
        <v>241</v>
      </c>
      <c r="C328">
        <v>48</v>
      </c>
      <c r="D328" t="s">
        <v>248</v>
      </c>
      <c r="E328">
        <v>255430</v>
      </c>
      <c r="F328" t="s">
        <v>190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65">
        <v>44520</v>
      </c>
      <c r="B329" t="s">
        <v>241</v>
      </c>
      <c r="C329">
        <v>48</v>
      </c>
      <c r="D329" t="s">
        <v>248</v>
      </c>
      <c r="E329">
        <v>256708</v>
      </c>
      <c r="F329" t="s">
        <v>192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65">
        <v>44520</v>
      </c>
      <c r="B330" t="s">
        <v>241</v>
      </c>
      <c r="C330">
        <v>48</v>
      </c>
      <c r="D330" t="s">
        <v>248</v>
      </c>
      <c r="E330">
        <v>256685</v>
      </c>
      <c r="F330" t="s">
        <v>224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65">
        <v>44520</v>
      </c>
      <c r="B331" t="s">
        <v>241</v>
      </c>
      <c r="C331">
        <v>48</v>
      </c>
      <c r="D331" t="s">
        <v>248</v>
      </c>
      <c r="E331">
        <v>254762</v>
      </c>
      <c r="F331" t="s">
        <v>230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65">
        <v>44520</v>
      </c>
      <c r="B332" t="s">
        <v>241</v>
      </c>
      <c r="C332">
        <v>48</v>
      </c>
      <c r="D332" t="s">
        <v>248</v>
      </c>
      <c r="E332">
        <v>251429</v>
      </c>
      <c r="F332" t="s">
        <v>200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65">
        <v>44520</v>
      </c>
      <c r="B333" t="s">
        <v>241</v>
      </c>
      <c r="C333">
        <v>48</v>
      </c>
      <c r="D333" t="s">
        <v>248</v>
      </c>
      <c r="E333">
        <v>256721</v>
      </c>
      <c r="F333" t="s">
        <v>236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65">
        <v>44520</v>
      </c>
      <c r="B334" t="s">
        <v>241</v>
      </c>
      <c r="C334">
        <v>48</v>
      </c>
      <c r="D334" t="s">
        <v>248</v>
      </c>
      <c r="E334">
        <v>256720</v>
      </c>
      <c r="F334" t="s">
        <v>235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65">
        <v>44520</v>
      </c>
      <c r="B335" t="s">
        <v>241</v>
      </c>
      <c r="C335">
        <v>48</v>
      </c>
      <c r="D335" t="s">
        <v>248</v>
      </c>
      <c r="E335">
        <v>256695</v>
      </c>
      <c r="F335" t="s">
        <v>172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65">
        <v>44520</v>
      </c>
      <c r="B336" t="s">
        <v>241</v>
      </c>
      <c r="C336">
        <v>48</v>
      </c>
      <c r="D336" t="s">
        <v>248</v>
      </c>
      <c r="E336">
        <v>252436</v>
      </c>
      <c r="F336" t="s">
        <v>204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65">
        <v>44520</v>
      </c>
      <c r="B337" t="s">
        <v>241</v>
      </c>
      <c r="C337">
        <v>48</v>
      </c>
      <c r="D337" t="s">
        <v>248</v>
      </c>
      <c r="E337">
        <v>251633</v>
      </c>
      <c r="F337" t="s">
        <v>187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65">
        <v>44520</v>
      </c>
      <c r="B338" t="s">
        <v>241</v>
      </c>
      <c r="C338">
        <v>48</v>
      </c>
      <c r="D338" t="s">
        <v>248</v>
      </c>
      <c r="E338">
        <v>256678</v>
      </c>
      <c r="F338" t="s">
        <v>198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65">
        <v>44520</v>
      </c>
      <c r="B339" t="s">
        <v>241</v>
      </c>
      <c r="C339">
        <v>48</v>
      </c>
      <c r="D339" t="s">
        <v>248</v>
      </c>
      <c r="E339">
        <v>256677</v>
      </c>
      <c r="F339" t="s">
        <v>199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65">
        <v>44520</v>
      </c>
      <c r="B340" t="s">
        <v>241</v>
      </c>
      <c r="C340">
        <v>48</v>
      </c>
      <c r="D340" t="s">
        <v>248</v>
      </c>
      <c r="E340">
        <v>256676</v>
      </c>
      <c r="F340" t="s">
        <v>208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65">
        <v>44520</v>
      </c>
      <c r="B341" t="s">
        <v>241</v>
      </c>
      <c r="C341">
        <v>48</v>
      </c>
      <c r="D341" t="s">
        <v>248</v>
      </c>
      <c r="E341">
        <v>256674</v>
      </c>
      <c r="F341" t="s">
        <v>206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65">
        <v>44520</v>
      </c>
      <c r="B342" t="s">
        <v>241</v>
      </c>
      <c r="C342">
        <v>48</v>
      </c>
      <c r="D342" t="s">
        <v>248</v>
      </c>
      <c r="E342">
        <v>256652</v>
      </c>
      <c r="F342" t="s">
        <v>171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65">
        <v>44520</v>
      </c>
      <c r="B343" t="s">
        <v>241</v>
      </c>
      <c r="C343">
        <v>48</v>
      </c>
      <c r="D343" t="s">
        <v>248</v>
      </c>
      <c r="E343">
        <v>256488</v>
      </c>
      <c r="F343" t="s">
        <v>197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65">
        <v>44520</v>
      </c>
      <c r="B344" t="s">
        <v>241</v>
      </c>
      <c r="C344">
        <v>48</v>
      </c>
      <c r="D344" t="s">
        <v>248</v>
      </c>
      <c r="E344">
        <v>254853</v>
      </c>
      <c r="F344" t="s">
        <v>179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65">
        <v>44520</v>
      </c>
      <c r="B345" t="s">
        <v>241</v>
      </c>
      <c r="C345">
        <v>48</v>
      </c>
      <c r="D345" t="s">
        <v>248</v>
      </c>
      <c r="E345">
        <v>251406</v>
      </c>
      <c r="F345" t="s">
        <v>186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65">
        <v>44521</v>
      </c>
      <c r="B346" t="s">
        <v>241</v>
      </c>
      <c r="C346">
        <v>48</v>
      </c>
      <c r="D346" t="s">
        <v>250</v>
      </c>
      <c r="E346">
        <v>255430</v>
      </c>
      <c r="F346" t="s">
        <v>190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65">
        <v>44522</v>
      </c>
      <c r="B347" t="s">
        <v>241</v>
      </c>
      <c r="C347">
        <v>48</v>
      </c>
      <c r="D347" t="s">
        <v>249</v>
      </c>
      <c r="E347">
        <v>256721</v>
      </c>
      <c r="F347" t="s">
        <v>236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65">
        <v>44522</v>
      </c>
      <c r="B348" t="s">
        <v>241</v>
      </c>
      <c r="C348">
        <v>48</v>
      </c>
      <c r="D348" t="s">
        <v>249</v>
      </c>
      <c r="E348">
        <v>256677</v>
      </c>
      <c r="F348" t="s">
        <v>199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65">
        <v>44522</v>
      </c>
      <c r="B349" t="s">
        <v>241</v>
      </c>
      <c r="C349">
        <v>48</v>
      </c>
      <c r="D349" t="s">
        <v>249</v>
      </c>
      <c r="E349">
        <v>256488</v>
      </c>
      <c r="F349" t="s">
        <v>197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65">
        <v>44522</v>
      </c>
      <c r="B350" t="s">
        <v>241</v>
      </c>
      <c r="C350">
        <v>48</v>
      </c>
      <c r="D350" t="s">
        <v>249</v>
      </c>
      <c r="E350">
        <v>256379</v>
      </c>
      <c r="F350" t="s">
        <v>167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65">
        <v>44523</v>
      </c>
      <c r="B351" t="s">
        <v>241</v>
      </c>
      <c r="C351">
        <v>48</v>
      </c>
      <c r="D351" t="s">
        <v>244</v>
      </c>
      <c r="E351">
        <v>751468</v>
      </c>
      <c r="F351" t="s">
        <v>176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65">
        <v>44523</v>
      </c>
      <c r="B352" t="s">
        <v>241</v>
      </c>
      <c r="C352">
        <v>48</v>
      </c>
      <c r="D352" t="s">
        <v>244</v>
      </c>
      <c r="E352">
        <v>751468</v>
      </c>
      <c r="F352" t="s">
        <v>176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65">
        <v>44523</v>
      </c>
      <c r="B353" t="s">
        <v>241</v>
      </c>
      <c r="C353">
        <v>48</v>
      </c>
      <c r="D353" t="s">
        <v>244</v>
      </c>
      <c r="E353">
        <v>256601</v>
      </c>
      <c r="F353" t="s">
        <v>201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65">
        <v>44523</v>
      </c>
      <c r="B354" t="s">
        <v>241</v>
      </c>
      <c r="C354">
        <v>48</v>
      </c>
      <c r="D354" t="s">
        <v>244</v>
      </c>
      <c r="E354">
        <v>256379</v>
      </c>
      <c r="F354" t="s">
        <v>167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65">
        <v>44523</v>
      </c>
      <c r="B355" t="s">
        <v>241</v>
      </c>
      <c r="C355">
        <v>48</v>
      </c>
      <c r="D355" t="s">
        <v>244</v>
      </c>
      <c r="E355">
        <v>252436</v>
      </c>
      <c r="F355" t="s">
        <v>204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65">
        <v>44523</v>
      </c>
      <c r="B356" t="s">
        <v>241</v>
      </c>
      <c r="C356">
        <v>48</v>
      </c>
      <c r="D356" t="s">
        <v>244</v>
      </c>
      <c r="E356">
        <v>256677</v>
      </c>
      <c r="F356" t="s">
        <v>199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65">
        <v>44523</v>
      </c>
      <c r="B357" t="s">
        <v>241</v>
      </c>
      <c r="C357">
        <v>48</v>
      </c>
      <c r="D357" t="s">
        <v>244</v>
      </c>
      <c r="E357">
        <v>256676</v>
      </c>
      <c r="F357" t="s">
        <v>208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65">
        <v>44523</v>
      </c>
      <c r="B358" t="s">
        <v>241</v>
      </c>
      <c r="C358">
        <v>48</v>
      </c>
      <c r="D358" t="s">
        <v>244</v>
      </c>
      <c r="E358">
        <v>256675</v>
      </c>
      <c r="F358" t="s">
        <v>207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65">
        <v>44523</v>
      </c>
      <c r="B359" t="s">
        <v>241</v>
      </c>
      <c r="C359">
        <v>48</v>
      </c>
      <c r="D359" t="s">
        <v>244</v>
      </c>
      <c r="E359">
        <v>256617</v>
      </c>
      <c r="F359" t="s">
        <v>164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65">
        <v>44523</v>
      </c>
      <c r="B360" t="s">
        <v>241</v>
      </c>
      <c r="C360">
        <v>48</v>
      </c>
      <c r="D360" t="s">
        <v>244</v>
      </c>
      <c r="E360">
        <v>256616</v>
      </c>
      <c r="F360" t="s">
        <v>205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65">
        <v>44523</v>
      </c>
      <c r="B361" t="s">
        <v>241</v>
      </c>
      <c r="C361">
        <v>48</v>
      </c>
      <c r="D361" t="s">
        <v>244</v>
      </c>
      <c r="E361">
        <v>256488</v>
      </c>
      <c r="F361" t="s">
        <v>197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65">
        <v>44523</v>
      </c>
      <c r="B362" t="s">
        <v>241</v>
      </c>
      <c r="C362">
        <v>48</v>
      </c>
      <c r="D362" t="s">
        <v>244</v>
      </c>
      <c r="E362">
        <v>751468</v>
      </c>
      <c r="F362" t="s">
        <v>176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65">
        <v>44524</v>
      </c>
      <c r="B363" t="s">
        <v>241</v>
      </c>
      <c r="C363">
        <v>48</v>
      </c>
      <c r="D363" t="s">
        <v>245</v>
      </c>
      <c r="E363">
        <v>256676</v>
      </c>
      <c r="F363" t="s">
        <v>208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65">
        <v>44524</v>
      </c>
      <c r="B364" t="s">
        <v>241</v>
      </c>
      <c r="C364">
        <v>48</v>
      </c>
      <c r="D364" t="s">
        <v>245</v>
      </c>
      <c r="E364">
        <v>256652</v>
      </c>
      <c r="F364" t="s">
        <v>171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65">
        <v>44524</v>
      </c>
      <c r="B365" t="s">
        <v>241</v>
      </c>
      <c r="C365">
        <v>48</v>
      </c>
      <c r="D365" t="s">
        <v>245</v>
      </c>
      <c r="E365">
        <v>256678</v>
      </c>
      <c r="F365" t="s">
        <v>198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65">
        <v>44524</v>
      </c>
      <c r="B366" t="s">
        <v>241</v>
      </c>
      <c r="C366">
        <v>48</v>
      </c>
      <c r="D366" t="s">
        <v>245</v>
      </c>
      <c r="E366">
        <v>256677</v>
      </c>
      <c r="F366" t="s">
        <v>199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65">
        <v>44524</v>
      </c>
      <c r="B367" t="s">
        <v>241</v>
      </c>
      <c r="C367">
        <v>48</v>
      </c>
      <c r="D367" t="s">
        <v>245</v>
      </c>
      <c r="E367">
        <v>256679</v>
      </c>
      <c r="F367" t="s">
        <v>209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65">
        <v>44524</v>
      </c>
      <c r="B368" t="s">
        <v>241</v>
      </c>
      <c r="C368">
        <v>48</v>
      </c>
      <c r="D368" t="s">
        <v>245</v>
      </c>
      <c r="E368">
        <v>256488</v>
      </c>
      <c r="F368" t="s">
        <v>197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65">
        <v>44524</v>
      </c>
      <c r="B369" t="s">
        <v>241</v>
      </c>
      <c r="C369">
        <v>48</v>
      </c>
      <c r="D369" t="s">
        <v>245</v>
      </c>
      <c r="E369">
        <v>256383</v>
      </c>
      <c r="F369" t="s">
        <v>203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65">
        <v>44524</v>
      </c>
      <c r="B370" t="s">
        <v>241</v>
      </c>
      <c r="C370">
        <v>48</v>
      </c>
      <c r="D370" t="s">
        <v>245</v>
      </c>
      <c r="E370">
        <v>256381</v>
      </c>
      <c r="F370" t="s">
        <v>212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65">
        <v>44524</v>
      </c>
      <c r="B371" t="s">
        <v>241</v>
      </c>
      <c r="C371">
        <v>48</v>
      </c>
      <c r="D371" t="s">
        <v>245</v>
      </c>
      <c r="E371">
        <v>256379</v>
      </c>
      <c r="F371" t="s">
        <v>167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65">
        <v>44524</v>
      </c>
      <c r="B372" t="s">
        <v>241</v>
      </c>
      <c r="C372">
        <v>48</v>
      </c>
      <c r="D372" t="s">
        <v>245</v>
      </c>
      <c r="E372">
        <v>252436</v>
      </c>
      <c r="F372" t="s">
        <v>204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65">
        <v>44524</v>
      </c>
      <c r="B373" t="s">
        <v>241</v>
      </c>
      <c r="C373">
        <v>48</v>
      </c>
      <c r="D373" t="s">
        <v>245</v>
      </c>
      <c r="E373">
        <v>256682</v>
      </c>
      <c r="F373" t="s">
        <v>211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65">
        <v>44524</v>
      </c>
      <c r="B374" t="s">
        <v>241</v>
      </c>
      <c r="C374">
        <v>48</v>
      </c>
      <c r="D374" t="s">
        <v>245</v>
      </c>
      <c r="E374">
        <v>256677</v>
      </c>
      <c r="F374" t="s">
        <v>199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65">
        <v>44524</v>
      </c>
      <c r="B375" t="s">
        <v>241</v>
      </c>
      <c r="C375">
        <v>48</v>
      </c>
      <c r="D375" t="s">
        <v>245</v>
      </c>
      <c r="E375">
        <v>256676</v>
      </c>
      <c r="F375" t="s">
        <v>208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65">
        <v>44524</v>
      </c>
      <c r="B376" t="s">
        <v>241</v>
      </c>
      <c r="C376">
        <v>48</v>
      </c>
      <c r="D376" t="s">
        <v>245</v>
      </c>
      <c r="E376">
        <v>256675</v>
      </c>
      <c r="F376" t="s">
        <v>207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65">
        <v>44524</v>
      </c>
      <c r="B377" t="s">
        <v>241</v>
      </c>
      <c r="C377">
        <v>48</v>
      </c>
      <c r="D377" t="s">
        <v>245</v>
      </c>
      <c r="E377">
        <v>256617</v>
      </c>
      <c r="F377" t="s">
        <v>164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65">
        <v>44524</v>
      </c>
      <c r="B378" t="s">
        <v>241</v>
      </c>
      <c r="C378">
        <v>48</v>
      </c>
      <c r="D378" t="s">
        <v>245</v>
      </c>
      <c r="E378">
        <v>256616</v>
      </c>
      <c r="F378" t="s">
        <v>205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65">
        <v>44524</v>
      </c>
      <c r="B379" t="s">
        <v>241</v>
      </c>
      <c r="C379">
        <v>48</v>
      </c>
      <c r="D379" t="s">
        <v>245</v>
      </c>
      <c r="E379">
        <v>254853</v>
      </c>
      <c r="F379" t="s">
        <v>179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65">
        <v>44524</v>
      </c>
      <c r="B380" t="s">
        <v>241</v>
      </c>
      <c r="C380">
        <v>48</v>
      </c>
      <c r="D380" t="s">
        <v>245</v>
      </c>
      <c r="E380">
        <v>251406</v>
      </c>
      <c r="F380" t="s">
        <v>186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65">
        <v>44525</v>
      </c>
      <c r="B381" t="s">
        <v>241</v>
      </c>
      <c r="C381">
        <v>48</v>
      </c>
      <c r="D381" t="s">
        <v>246</v>
      </c>
      <c r="E381">
        <v>256488</v>
      </c>
      <c r="F381" t="s">
        <v>197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65">
        <v>44525</v>
      </c>
      <c r="B382" t="s">
        <v>241</v>
      </c>
      <c r="C382">
        <v>48</v>
      </c>
      <c r="D382" t="s">
        <v>246</v>
      </c>
      <c r="E382">
        <v>256679</v>
      </c>
      <c r="F382" t="s">
        <v>209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65">
        <v>44525</v>
      </c>
      <c r="B383" t="s">
        <v>241</v>
      </c>
      <c r="C383">
        <v>48</v>
      </c>
      <c r="D383" t="s">
        <v>246</v>
      </c>
      <c r="E383">
        <v>256678</v>
      </c>
      <c r="F383" t="s">
        <v>198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65">
        <v>44525</v>
      </c>
      <c r="B384" t="s">
        <v>241</v>
      </c>
      <c r="C384">
        <v>48</v>
      </c>
      <c r="D384" t="s">
        <v>246</v>
      </c>
      <c r="E384">
        <v>256677</v>
      </c>
      <c r="F384" t="s">
        <v>199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65">
        <v>44525</v>
      </c>
      <c r="B385" t="s">
        <v>241</v>
      </c>
      <c r="C385">
        <v>48</v>
      </c>
      <c r="D385" t="s">
        <v>246</v>
      </c>
      <c r="E385">
        <v>256652</v>
      </c>
      <c r="F385" t="s">
        <v>171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65">
        <v>44525</v>
      </c>
      <c r="B386" t="s">
        <v>241</v>
      </c>
      <c r="C386">
        <v>48</v>
      </c>
      <c r="D386" t="s">
        <v>246</v>
      </c>
      <c r="E386">
        <v>256708</v>
      </c>
      <c r="F386" t="s">
        <v>192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65">
        <v>44525</v>
      </c>
      <c r="B387" t="s">
        <v>241</v>
      </c>
      <c r="C387">
        <v>48</v>
      </c>
      <c r="D387" t="s">
        <v>246</v>
      </c>
      <c r="E387">
        <v>256383</v>
      </c>
      <c r="F387" t="s">
        <v>203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65">
        <v>44525</v>
      </c>
      <c r="B388" t="s">
        <v>241</v>
      </c>
      <c r="C388">
        <v>48</v>
      </c>
      <c r="D388" t="s">
        <v>246</v>
      </c>
      <c r="E388">
        <v>256381</v>
      </c>
      <c r="F388" t="s">
        <v>212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65">
        <v>44525</v>
      </c>
      <c r="B389" t="s">
        <v>241</v>
      </c>
      <c r="C389">
        <v>48</v>
      </c>
      <c r="D389" t="s">
        <v>246</v>
      </c>
      <c r="E389">
        <v>256379</v>
      </c>
      <c r="F389" t="s">
        <v>167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65">
        <v>44525</v>
      </c>
      <c r="B390" t="s">
        <v>241</v>
      </c>
      <c r="C390">
        <v>48</v>
      </c>
      <c r="D390" t="s">
        <v>246</v>
      </c>
      <c r="E390">
        <v>751468</v>
      </c>
      <c r="F390" t="s">
        <v>176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65">
        <v>44525</v>
      </c>
      <c r="B391" t="s">
        <v>241</v>
      </c>
      <c r="C391">
        <v>48</v>
      </c>
      <c r="D391" t="s">
        <v>246</v>
      </c>
      <c r="E391">
        <v>252436</v>
      </c>
      <c r="F391" t="s">
        <v>204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65">
        <v>44525</v>
      </c>
      <c r="B392" t="s">
        <v>241</v>
      </c>
      <c r="C392">
        <v>48</v>
      </c>
      <c r="D392" t="s">
        <v>246</v>
      </c>
      <c r="E392">
        <v>251632</v>
      </c>
      <c r="F392" t="s">
        <v>188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65">
        <v>44525</v>
      </c>
      <c r="B393" t="s">
        <v>241</v>
      </c>
      <c r="C393">
        <v>48</v>
      </c>
      <c r="D393" t="s">
        <v>246</v>
      </c>
      <c r="E393">
        <v>256682</v>
      </c>
      <c r="F393" t="s">
        <v>211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65">
        <v>44525</v>
      </c>
      <c r="B394" t="s">
        <v>241</v>
      </c>
      <c r="C394">
        <v>48</v>
      </c>
      <c r="D394" t="s">
        <v>246</v>
      </c>
      <c r="E394">
        <v>256677</v>
      </c>
      <c r="F394" t="s">
        <v>199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65">
        <v>44525</v>
      </c>
      <c r="B395" t="s">
        <v>241</v>
      </c>
      <c r="C395">
        <v>48</v>
      </c>
      <c r="D395" t="s">
        <v>246</v>
      </c>
      <c r="E395">
        <v>256676</v>
      </c>
      <c r="F395" t="s">
        <v>208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65">
        <v>44525</v>
      </c>
      <c r="B396" t="s">
        <v>241</v>
      </c>
      <c r="C396">
        <v>48</v>
      </c>
      <c r="D396" t="s">
        <v>246</v>
      </c>
      <c r="E396">
        <v>256675</v>
      </c>
      <c r="F396" t="s">
        <v>207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65">
        <v>44525</v>
      </c>
      <c r="B397" t="s">
        <v>241</v>
      </c>
      <c r="C397">
        <v>48</v>
      </c>
      <c r="D397" t="s">
        <v>246</v>
      </c>
      <c r="E397">
        <v>256617</v>
      </c>
      <c r="F397" t="s">
        <v>164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65">
        <v>44525</v>
      </c>
      <c r="B398" t="s">
        <v>241</v>
      </c>
      <c r="C398">
        <v>48</v>
      </c>
      <c r="D398" t="s">
        <v>246</v>
      </c>
      <c r="E398">
        <v>256616</v>
      </c>
      <c r="F398" t="s">
        <v>205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65">
        <v>44525</v>
      </c>
      <c r="B399" t="s">
        <v>241</v>
      </c>
      <c r="C399">
        <v>48</v>
      </c>
      <c r="D399" t="s">
        <v>246</v>
      </c>
      <c r="E399">
        <v>256601</v>
      </c>
      <c r="F399" t="s">
        <v>201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65">
        <v>44525</v>
      </c>
      <c r="B400" t="s">
        <v>241</v>
      </c>
      <c r="C400">
        <v>48</v>
      </c>
      <c r="D400" t="s">
        <v>246</v>
      </c>
      <c r="E400">
        <v>256488</v>
      </c>
      <c r="F400" t="s">
        <v>197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65">
        <v>44525</v>
      </c>
      <c r="B401" t="s">
        <v>241</v>
      </c>
      <c r="C401">
        <v>48</v>
      </c>
      <c r="D401" t="s">
        <v>246</v>
      </c>
      <c r="E401">
        <v>254853</v>
      </c>
      <c r="F401" t="s">
        <v>179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65">
        <v>44525</v>
      </c>
      <c r="B402" t="s">
        <v>241</v>
      </c>
      <c r="C402">
        <v>48</v>
      </c>
      <c r="D402" t="s">
        <v>246</v>
      </c>
      <c r="E402">
        <v>251406</v>
      </c>
      <c r="F402" t="s">
        <v>186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65">
        <v>44526</v>
      </c>
      <c r="B403" t="s">
        <v>241</v>
      </c>
      <c r="C403">
        <v>48</v>
      </c>
      <c r="D403" t="s">
        <v>247</v>
      </c>
      <c r="E403">
        <v>256652</v>
      </c>
      <c r="F403" t="s">
        <v>171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65">
        <v>44526</v>
      </c>
      <c r="B404" t="s">
        <v>241</v>
      </c>
      <c r="C404">
        <v>48</v>
      </c>
      <c r="D404" t="s">
        <v>247</v>
      </c>
      <c r="E404">
        <v>256678</v>
      </c>
      <c r="F404" t="s">
        <v>198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65">
        <v>44526</v>
      </c>
      <c r="B405" t="s">
        <v>241</v>
      </c>
      <c r="C405">
        <v>48</v>
      </c>
      <c r="D405" t="s">
        <v>247</v>
      </c>
      <c r="E405">
        <v>256677</v>
      </c>
      <c r="F405" t="s">
        <v>199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65">
        <v>44526</v>
      </c>
      <c r="B406" t="s">
        <v>241</v>
      </c>
      <c r="C406">
        <v>48</v>
      </c>
      <c r="D406" t="s">
        <v>247</v>
      </c>
      <c r="E406">
        <v>256488</v>
      </c>
      <c r="F406" t="s">
        <v>197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65">
        <v>44526</v>
      </c>
      <c r="B407" t="s">
        <v>241</v>
      </c>
      <c r="C407">
        <v>48</v>
      </c>
      <c r="D407" t="s">
        <v>247</v>
      </c>
      <c r="E407">
        <v>256676</v>
      </c>
      <c r="F407" t="s">
        <v>208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65">
        <v>44526</v>
      </c>
      <c r="B408" t="s">
        <v>241</v>
      </c>
      <c r="C408">
        <v>48</v>
      </c>
      <c r="D408" t="s">
        <v>247</v>
      </c>
      <c r="E408">
        <v>256677</v>
      </c>
      <c r="F408" t="s">
        <v>199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65">
        <v>44526</v>
      </c>
      <c r="B409" t="s">
        <v>241</v>
      </c>
      <c r="C409">
        <v>48</v>
      </c>
      <c r="D409" t="s">
        <v>247</v>
      </c>
      <c r="E409">
        <v>256682</v>
      </c>
      <c r="F409" t="s">
        <v>211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65">
        <v>44526</v>
      </c>
      <c r="B410" t="s">
        <v>241</v>
      </c>
      <c r="C410">
        <v>48</v>
      </c>
      <c r="D410" t="s">
        <v>247</v>
      </c>
      <c r="E410">
        <v>256708</v>
      </c>
      <c r="F410" t="s">
        <v>192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65">
        <v>44526</v>
      </c>
      <c r="B411" t="s">
        <v>241</v>
      </c>
      <c r="C411">
        <v>48</v>
      </c>
      <c r="D411" t="s">
        <v>247</v>
      </c>
      <c r="E411">
        <v>256383</v>
      </c>
      <c r="F411" t="s">
        <v>203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65">
        <v>44526</v>
      </c>
      <c r="B412" t="s">
        <v>241</v>
      </c>
      <c r="C412">
        <v>48</v>
      </c>
      <c r="D412" t="s">
        <v>247</v>
      </c>
      <c r="E412">
        <v>256381</v>
      </c>
      <c r="F412" t="s">
        <v>212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65">
        <v>44526</v>
      </c>
      <c r="B413" t="s">
        <v>241</v>
      </c>
      <c r="C413">
        <v>48</v>
      </c>
      <c r="D413" t="s">
        <v>247</v>
      </c>
      <c r="E413">
        <v>256379</v>
      </c>
      <c r="F413" t="s">
        <v>167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65">
        <v>44526</v>
      </c>
      <c r="B414" t="s">
        <v>241</v>
      </c>
      <c r="C414">
        <v>48</v>
      </c>
      <c r="D414" t="s">
        <v>247</v>
      </c>
      <c r="E414">
        <v>251429</v>
      </c>
      <c r="F414" t="s">
        <v>200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65">
        <v>44526</v>
      </c>
      <c r="B415" t="s">
        <v>241</v>
      </c>
      <c r="C415">
        <v>48</v>
      </c>
      <c r="D415" t="s">
        <v>247</v>
      </c>
      <c r="E415">
        <v>252436</v>
      </c>
      <c r="F415" t="s">
        <v>204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65">
        <v>44526</v>
      </c>
      <c r="B416" t="s">
        <v>241</v>
      </c>
      <c r="C416">
        <v>48</v>
      </c>
      <c r="D416" t="s">
        <v>247</v>
      </c>
      <c r="E416">
        <v>251632</v>
      </c>
      <c r="F416" t="s">
        <v>188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65">
        <v>44526</v>
      </c>
      <c r="B417" t="s">
        <v>241</v>
      </c>
      <c r="C417">
        <v>48</v>
      </c>
      <c r="D417" t="s">
        <v>247</v>
      </c>
      <c r="E417">
        <v>256677</v>
      </c>
      <c r="F417" t="s">
        <v>199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65">
        <v>44526</v>
      </c>
      <c r="B418" t="s">
        <v>241</v>
      </c>
      <c r="C418">
        <v>48</v>
      </c>
      <c r="D418" t="s">
        <v>247</v>
      </c>
      <c r="E418">
        <v>256676</v>
      </c>
      <c r="F418" t="s">
        <v>208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65">
        <v>44526</v>
      </c>
      <c r="B419" t="s">
        <v>241</v>
      </c>
      <c r="C419">
        <v>48</v>
      </c>
      <c r="D419" t="s">
        <v>247</v>
      </c>
      <c r="E419">
        <v>256675</v>
      </c>
      <c r="F419" t="s">
        <v>207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65">
        <v>44526</v>
      </c>
      <c r="B420" t="s">
        <v>241</v>
      </c>
      <c r="C420">
        <v>48</v>
      </c>
      <c r="D420" t="s">
        <v>247</v>
      </c>
      <c r="E420">
        <v>256666</v>
      </c>
      <c r="F420" t="s">
        <v>202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65">
        <v>44526</v>
      </c>
      <c r="B421" t="s">
        <v>241</v>
      </c>
      <c r="C421">
        <v>48</v>
      </c>
      <c r="D421" t="s">
        <v>247</v>
      </c>
      <c r="E421">
        <v>256617</v>
      </c>
      <c r="F421" t="s">
        <v>164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65">
        <v>44526</v>
      </c>
      <c r="B422" t="s">
        <v>241</v>
      </c>
      <c r="C422">
        <v>48</v>
      </c>
      <c r="D422" t="s">
        <v>247</v>
      </c>
      <c r="E422">
        <v>256616</v>
      </c>
      <c r="F422" t="s">
        <v>205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65">
        <v>44526</v>
      </c>
      <c r="B423" t="s">
        <v>241</v>
      </c>
      <c r="C423">
        <v>48</v>
      </c>
      <c r="D423" t="s">
        <v>247</v>
      </c>
      <c r="E423">
        <v>256601</v>
      </c>
      <c r="F423" t="s">
        <v>201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65">
        <v>44526</v>
      </c>
      <c r="B424" t="s">
        <v>241</v>
      </c>
      <c r="C424">
        <v>48</v>
      </c>
      <c r="D424" t="s">
        <v>247</v>
      </c>
      <c r="E424">
        <v>256488</v>
      </c>
      <c r="F424" t="s">
        <v>197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65">
        <v>44526</v>
      </c>
      <c r="B425" t="s">
        <v>241</v>
      </c>
      <c r="C425">
        <v>48</v>
      </c>
      <c r="D425" t="s">
        <v>247</v>
      </c>
      <c r="E425">
        <v>254853</v>
      </c>
      <c r="F425" t="s">
        <v>179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65">
        <v>44526</v>
      </c>
      <c r="B426" t="s">
        <v>241</v>
      </c>
      <c r="C426">
        <v>48</v>
      </c>
      <c r="D426" t="s">
        <v>247</v>
      </c>
      <c r="E426">
        <v>251406</v>
      </c>
      <c r="F426" t="s">
        <v>186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65">
        <v>44527</v>
      </c>
      <c r="B427" t="s">
        <v>241</v>
      </c>
      <c r="C427">
        <v>49</v>
      </c>
      <c r="D427" t="s">
        <v>248</v>
      </c>
      <c r="E427">
        <v>256488</v>
      </c>
      <c r="F427" t="s">
        <v>197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65">
        <v>44527</v>
      </c>
      <c r="B428" t="s">
        <v>241</v>
      </c>
      <c r="C428">
        <v>49</v>
      </c>
      <c r="D428" t="s">
        <v>248</v>
      </c>
      <c r="E428">
        <v>256709</v>
      </c>
      <c r="F428" t="s">
        <v>234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65">
        <v>44527</v>
      </c>
      <c r="B429" t="s">
        <v>241</v>
      </c>
      <c r="C429">
        <v>49</v>
      </c>
      <c r="D429" t="s">
        <v>248</v>
      </c>
      <c r="E429">
        <v>256652</v>
      </c>
      <c r="F429" t="s">
        <v>171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65">
        <v>44527</v>
      </c>
      <c r="B430" t="s">
        <v>241</v>
      </c>
      <c r="C430">
        <v>49</v>
      </c>
      <c r="D430" t="s">
        <v>248</v>
      </c>
      <c r="E430">
        <v>256488</v>
      </c>
      <c r="F430" t="s">
        <v>197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65">
        <v>44527</v>
      </c>
      <c r="B431" t="s">
        <v>241</v>
      </c>
      <c r="C431">
        <v>49</v>
      </c>
      <c r="D431" t="s">
        <v>248</v>
      </c>
      <c r="E431">
        <v>256720</v>
      </c>
      <c r="F431" t="s">
        <v>235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65">
        <v>44527</v>
      </c>
      <c r="B432" t="s">
        <v>241</v>
      </c>
      <c r="C432">
        <v>49</v>
      </c>
      <c r="D432" t="s">
        <v>248</v>
      </c>
      <c r="E432">
        <v>251632</v>
      </c>
      <c r="F432" t="s">
        <v>188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65">
        <v>44527</v>
      </c>
      <c r="B433" t="s">
        <v>241</v>
      </c>
      <c r="C433">
        <v>49</v>
      </c>
      <c r="D433" t="s">
        <v>248</v>
      </c>
      <c r="E433">
        <v>256708</v>
      </c>
      <c r="F433" t="s">
        <v>192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65">
        <v>44527</v>
      </c>
      <c r="B434" t="s">
        <v>241</v>
      </c>
      <c r="C434">
        <v>49</v>
      </c>
      <c r="D434" t="s">
        <v>248</v>
      </c>
      <c r="E434">
        <v>256682</v>
      </c>
      <c r="F434" t="s">
        <v>211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65">
        <v>44527</v>
      </c>
      <c r="B435" t="s">
        <v>241</v>
      </c>
      <c r="C435">
        <v>49</v>
      </c>
      <c r="D435" t="s">
        <v>248</v>
      </c>
      <c r="E435">
        <v>256678</v>
      </c>
      <c r="F435" t="s">
        <v>198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65">
        <v>44527</v>
      </c>
      <c r="B436" t="s">
        <v>241</v>
      </c>
      <c r="C436">
        <v>49</v>
      </c>
      <c r="D436" t="s">
        <v>248</v>
      </c>
      <c r="E436">
        <v>256679</v>
      </c>
      <c r="F436" t="s">
        <v>209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65">
        <v>44527</v>
      </c>
      <c r="B437" t="s">
        <v>241</v>
      </c>
      <c r="C437">
        <v>49</v>
      </c>
      <c r="D437" t="s">
        <v>248</v>
      </c>
      <c r="E437">
        <v>256677</v>
      </c>
      <c r="F437" t="s">
        <v>199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65">
        <v>44527</v>
      </c>
      <c r="B438" t="s">
        <v>241</v>
      </c>
      <c r="C438">
        <v>49</v>
      </c>
      <c r="D438" t="s">
        <v>248</v>
      </c>
      <c r="E438">
        <v>256675</v>
      </c>
      <c r="F438" t="s">
        <v>207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65">
        <v>44527</v>
      </c>
      <c r="B439" t="s">
        <v>241</v>
      </c>
      <c r="C439">
        <v>49</v>
      </c>
      <c r="D439" t="s">
        <v>248</v>
      </c>
      <c r="E439">
        <v>256674</v>
      </c>
      <c r="F439" t="s">
        <v>206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65">
        <v>44527</v>
      </c>
      <c r="B440" t="s">
        <v>241</v>
      </c>
      <c r="C440">
        <v>49</v>
      </c>
      <c r="D440" t="s">
        <v>248</v>
      </c>
      <c r="E440">
        <v>256601</v>
      </c>
      <c r="F440" t="s">
        <v>201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65">
        <v>44527</v>
      </c>
      <c r="B441" t="s">
        <v>241</v>
      </c>
      <c r="C441">
        <v>49</v>
      </c>
      <c r="D441" t="s">
        <v>248</v>
      </c>
      <c r="E441">
        <v>256666</v>
      </c>
      <c r="F441" t="s">
        <v>202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65">
        <v>44527</v>
      </c>
      <c r="B442" t="s">
        <v>241</v>
      </c>
      <c r="C442">
        <v>49</v>
      </c>
      <c r="D442" t="s">
        <v>248</v>
      </c>
      <c r="E442">
        <v>256617</v>
      </c>
      <c r="F442" t="s">
        <v>164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65">
        <v>44527</v>
      </c>
      <c r="B443" t="s">
        <v>241</v>
      </c>
      <c r="C443">
        <v>49</v>
      </c>
      <c r="D443" t="s">
        <v>248</v>
      </c>
      <c r="E443">
        <v>256616</v>
      </c>
      <c r="F443" t="s">
        <v>205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65">
        <v>44527</v>
      </c>
      <c r="B444" t="s">
        <v>241</v>
      </c>
      <c r="C444">
        <v>49</v>
      </c>
      <c r="D444" t="s">
        <v>248</v>
      </c>
      <c r="E444">
        <v>251633</v>
      </c>
      <c r="F444" t="s">
        <v>187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65">
        <v>44527</v>
      </c>
      <c r="B445" t="s">
        <v>241</v>
      </c>
      <c r="C445">
        <v>49</v>
      </c>
      <c r="D445" t="s">
        <v>248</v>
      </c>
      <c r="E445">
        <v>251429</v>
      </c>
      <c r="F445" t="s">
        <v>200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65">
        <v>44527</v>
      </c>
      <c r="B446" t="s">
        <v>241</v>
      </c>
      <c r="C446">
        <v>49</v>
      </c>
      <c r="D446" t="s">
        <v>248</v>
      </c>
      <c r="E446">
        <v>256685</v>
      </c>
      <c r="F446" t="s">
        <v>224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65">
        <v>44527</v>
      </c>
      <c r="B447" t="s">
        <v>241</v>
      </c>
      <c r="C447">
        <v>49</v>
      </c>
      <c r="D447" t="s">
        <v>248</v>
      </c>
      <c r="E447">
        <v>256379</v>
      </c>
      <c r="F447" t="s">
        <v>167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65">
        <v>44527</v>
      </c>
      <c r="B448" t="s">
        <v>241</v>
      </c>
      <c r="C448">
        <v>49</v>
      </c>
      <c r="D448" t="s">
        <v>248</v>
      </c>
      <c r="E448">
        <v>256380</v>
      </c>
      <c r="F448" t="s">
        <v>168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65">
        <v>44527</v>
      </c>
      <c r="B449" t="s">
        <v>241</v>
      </c>
      <c r="C449">
        <v>49</v>
      </c>
      <c r="D449" t="s">
        <v>248</v>
      </c>
      <c r="E449">
        <v>256381</v>
      </c>
      <c r="F449" t="s">
        <v>212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65">
        <v>44529</v>
      </c>
      <c r="B450" t="s">
        <v>241</v>
      </c>
      <c r="E450">
        <v>256652</v>
      </c>
      <c r="F450" t="s">
        <v>171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65">
        <v>44529</v>
      </c>
      <c r="B451" t="s">
        <v>241</v>
      </c>
      <c r="C451">
        <v>49</v>
      </c>
      <c r="D451" t="s">
        <v>249</v>
      </c>
      <c r="E451">
        <v>256676</v>
      </c>
      <c r="F451" t="s">
        <v>208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65">
        <v>44529</v>
      </c>
      <c r="B452" t="s">
        <v>241</v>
      </c>
      <c r="C452">
        <v>49</v>
      </c>
      <c r="D452" t="s">
        <v>249</v>
      </c>
      <c r="E452">
        <v>256677</v>
      </c>
      <c r="F452" t="s">
        <v>199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65">
        <v>44529</v>
      </c>
      <c r="B453" t="s">
        <v>241</v>
      </c>
      <c r="C453">
        <v>49</v>
      </c>
      <c r="D453" t="s">
        <v>249</v>
      </c>
      <c r="E453">
        <v>256679</v>
      </c>
      <c r="F453" t="s">
        <v>209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65">
        <v>44529</v>
      </c>
      <c r="B454" t="s">
        <v>241</v>
      </c>
      <c r="C454">
        <v>49</v>
      </c>
      <c r="D454" t="s">
        <v>249</v>
      </c>
      <c r="E454">
        <v>256652</v>
      </c>
      <c r="F454" t="s">
        <v>171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65">
        <v>44529</v>
      </c>
      <c r="B455" t="s">
        <v>241</v>
      </c>
      <c r="C455">
        <v>49</v>
      </c>
      <c r="D455" t="s">
        <v>249</v>
      </c>
      <c r="E455">
        <v>256678</v>
      </c>
      <c r="F455" t="s">
        <v>198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65">
        <v>44529</v>
      </c>
      <c r="B456" t="s">
        <v>241</v>
      </c>
      <c r="C456">
        <v>49</v>
      </c>
      <c r="D456" t="s">
        <v>249</v>
      </c>
      <c r="E456">
        <v>252436</v>
      </c>
      <c r="F456" t="s">
        <v>204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65">
        <v>44529</v>
      </c>
      <c r="B457" t="s">
        <v>241</v>
      </c>
      <c r="C457">
        <v>49</v>
      </c>
      <c r="D457" t="s">
        <v>249</v>
      </c>
      <c r="E457">
        <v>256720</v>
      </c>
      <c r="F457" t="s">
        <v>235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65">
        <v>44529</v>
      </c>
      <c r="B458" t="s">
        <v>241</v>
      </c>
      <c r="C458">
        <v>49</v>
      </c>
      <c r="D458" t="s">
        <v>249</v>
      </c>
      <c r="E458">
        <v>256678</v>
      </c>
      <c r="F458" t="s">
        <v>198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65">
        <v>44529</v>
      </c>
      <c r="B459" t="s">
        <v>241</v>
      </c>
      <c r="C459">
        <v>49</v>
      </c>
      <c r="D459" t="s">
        <v>249</v>
      </c>
      <c r="E459">
        <v>256679</v>
      </c>
      <c r="F459" t="s">
        <v>209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65">
        <v>44529</v>
      </c>
      <c r="B460" t="s">
        <v>241</v>
      </c>
      <c r="C460">
        <v>49</v>
      </c>
      <c r="D460" t="s">
        <v>249</v>
      </c>
      <c r="E460">
        <v>256677</v>
      </c>
      <c r="F460" t="s">
        <v>199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65">
        <v>44529</v>
      </c>
      <c r="B461" t="s">
        <v>241</v>
      </c>
      <c r="C461">
        <v>49</v>
      </c>
      <c r="D461" t="s">
        <v>249</v>
      </c>
      <c r="E461">
        <v>256652</v>
      </c>
      <c r="F461" t="s">
        <v>171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65">
        <v>44529</v>
      </c>
      <c r="B462" t="s">
        <v>241</v>
      </c>
      <c r="C462">
        <v>49</v>
      </c>
      <c r="D462" t="s">
        <v>249</v>
      </c>
      <c r="E462">
        <v>256675</v>
      </c>
      <c r="F462" t="s">
        <v>207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65">
        <v>44529</v>
      </c>
      <c r="B463" t="s">
        <v>241</v>
      </c>
      <c r="C463">
        <v>49</v>
      </c>
      <c r="D463" t="s">
        <v>249</v>
      </c>
      <c r="E463">
        <v>256676</v>
      </c>
      <c r="F463" t="s">
        <v>208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65">
        <v>44529</v>
      </c>
      <c r="B464" t="s">
        <v>241</v>
      </c>
      <c r="C464">
        <v>49</v>
      </c>
      <c r="D464" t="s">
        <v>249</v>
      </c>
      <c r="E464">
        <v>256488</v>
      </c>
      <c r="F464" t="s">
        <v>197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65">
        <v>44529</v>
      </c>
      <c r="B465" t="s">
        <v>241</v>
      </c>
      <c r="C465">
        <v>49</v>
      </c>
      <c r="D465" t="s">
        <v>249</v>
      </c>
      <c r="E465">
        <v>256601</v>
      </c>
      <c r="F465" t="s">
        <v>201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65">
        <v>44529</v>
      </c>
      <c r="B466" t="s">
        <v>241</v>
      </c>
      <c r="C466">
        <v>49</v>
      </c>
      <c r="D466" t="s">
        <v>249</v>
      </c>
      <c r="E466">
        <v>256666</v>
      </c>
      <c r="F466" t="s">
        <v>202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65">
        <v>44529</v>
      </c>
      <c r="B467" t="s">
        <v>241</v>
      </c>
      <c r="C467">
        <v>49</v>
      </c>
      <c r="D467" t="s">
        <v>249</v>
      </c>
      <c r="E467">
        <v>256616</v>
      </c>
      <c r="F467" t="s">
        <v>205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65">
        <v>44529</v>
      </c>
      <c r="B468" t="s">
        <v>241</v>
      </c>
      <c r="C468">
        <v>49</v>
      </c>
      <c r="D468" t="s">
        <v>249</v>
      </c>
      <c r="E468">
        <v>254853</v>
      </c>
      <c r="F468" t="s">
        <v>179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65">
        <v>44529</v>
      </c>
      <c r="B469" t="s">
        <v>241</v>
      </c>
      <c r="C469">
        <v>49</v>
      </c>
      <c r="D469" t="s">
        <v>249</v>
      </c>
      <c r="E469">
        <v>251406</v>
      </c>
      <c r="F469" t="s">
        <v>186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65">
        <v>44529</v>
      </c>
      <c r="B470" t="s">
        <v>241</v>
      </c>
      <c r="C470">
        <v>49</v>
      </c>
      <c r="D470" t="s">
        <v>249</v>
      </c>
      <c r="E470">
        <v>254762</v>
      </c>
      <c r="F470" t="s">
        <v>230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65">
        <v>44529</v>
      </c>
      <c r="B471" t="s">
        <v>241</v>
      </c>
      <c r="C471">
        <v>49</v>
      </c>
      <c r="D471" t="s">
        <v>249</v>
      </c>
      <c r="E471">
        <v>256381</v>
      </c>
      <c r="F471" t="s">
        <v>212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65">
        <v>44529</v>
      </c>
      <c r="B472" t="s">
        <v>241</v>
      </c>
      <c r="C472">
        <v>49</v>
      </c>
      <c r="D472" t="s">
        <v>249</v>
      </c>
      <c r="E472">
        <v>256382</v>
      </c>
      <c r="F472" t="s">
        <v>169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65">
        <v>44529</v>
      </c>
      <c r="B473" t="s">
        <v>241</v>
      </c>
      <c r="C473">
        <v>49</v>
      </c>
      <c r="D473" t="s">
        <v>249</v>
      </c>
      <c r="E473">
        <v>256383</v>
      </c>
      <c r="F473" t="s">
        <v>203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65">
        <v>44530</v>
      </c>
      <c r="B474" t="s">
        <v>241</v>
      </c>
      <c r="C474">
        <v>49</v>
      </c>
      <c r="D474" t="s">
        <v>244</v>
      </c>
      <c r="E474">
        <v>256652</v>
      </c>
      <c r="F474" t="s">
        <v>171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65">
        <v>44530</v>
      </c>
      <c r="B475" t="s">
        <v>241</v>
      </c>
      <c r="C475">
        <v>49</v>
      </c>
      <c r="D475" t="s">
        <v>244</v>
      </c>
      <c r="E475">
        <v>256678</v>
      </c>
      <c r="F475" t="s">
        <v>198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65">
        <v>44530</v>
      </c>
      <c r="B476" t="s">
        <v>241</v>
      </c>
      <c r="C476">
        <v>49</v>
      </c>
      <c r="D476" t="s">
        <v>244</v>
      </c>
      <c r="E476">
        <v>256652</v>
      </c>
      <c r="F476" t="s">
        <v>171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65">
        <v>44530</v>
      </c>
      <c r="B477" t="s">
        <v>241</v>
      </c>
      <c r="C477">
        <v>49</v>
      </c>
      <c r="D477" t="s">
        <v>244</v>
      </c>
      <c r="E477">
        <v>256676</v>
      </c>
      <c r="F477" t="s">
        <v>208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65">
        <v>44530</v>
      </c>
      <c r="B478" t="s">
        <v>241</v>
      </c>
      <c r="C478">
        <v>49</v>
      </c>
      <c r="D478" t="s">
        <v>244</v>
      </c>
      <c r="E478">
        <v>256488</v>
      </c>
      <c r="F478" t="s">
        <v>197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65">
        <v>44530</v>
      </c>
      <c r="B479" t="s">
        <v>241</v>
      </c>
      <c r="C479">
        <v>49</v>
      </c>
      <c r="D479" t="s">
        <v>244</v>
      </c>
      <c r="E479">
        <v>256677</v>
      </c>
      <c r="F479" t="s">
        <v>199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65">
        <v>44530</v>
      </c>
      <c r="B480" t="s">
        <v>241</v>
      </c>
      <c r="C480">
        <v>49</v>
      </c>
      <c r="D480" t="s">
        <v>244</v>
      </c>
      <c r="E480">
        <v>256488</v>
      </c>
      <c r="F480" t="s">
        <v>197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65">
        <v>44530</v>
      </c>
      <c r="B481" t="s">
        <v>241</v>
      </c>
      <c r="C481">
        <v>49</v>
      </c>
      <c r="D481" t="s">
        <v>244</v>
      </c>
      <c r="E481">
        <v>256695</v>
      </c>
      <c r="F481" t="s">
        <v>172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65">
        <v>44530</v>
      </c>
      <c r="B482" t="s">
        <v>241</v>
      </c>
      <c r="C482">
        <v>49</v>
      </c>
      <c r="D482" t="s">
        <v>244</v>
      </c>
      <c r="E482">
        <v>256721</v>
      </c>
      <c r="F482" t="s">
        <v>236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65">
        <v>44530</v>
      </c>
      <c r="B483" t="s">
        <v>241</v>
      </c>
      <c r="C483">
        <v>49</v>
      </c>
      <c r="D483" t="s">
        <v>244</v>
      </c>
      <c r="E483">
        <v>256720</v>
      </c>
      <c r="F483" t="s">
        <v>235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65">
        <v>44530</v>
      </c>
      <c r="B484" t="s">
        <v>241</v>
      </c>
      <c r="C484">
        <v>49</v>
      </c>
      <c r="D484" t="s">
        <v>244</v>
      </c>
      <c r="E484">
        <v>251632</v>
      </c>
      <c r="F484" t="s">
        <v>188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65">
        <v>44530</v>
      </c>
      <c r="B485" t="s">
        <v>241</v>
      </c>
      <c r="C485">
        <v>49</v>
      </c>
      <c r="D485" t="s">
        <v>244</v>
      </c>
      <c r="E485">
        <v>256709</v>
      </c>
      <c r="F485" t="s">
        <v>234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65">
        <v>44530</v>
      </c>
      <c r="B486" t="s">
        <v>241</v>
      </c>
      <c r="C486">
        <v>49</v>
      </c>
      <c r="D486" t="s">
        <v>244</v>
      </c>
      <c r="E486">
        <v>256708</v>
      </c>
      <c r="F486" t="s">
        <v>192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65">
        <v>44530</v>
      </c>
      <c r="B487" t="s">
        <v>241</v>
      </c>
      <c r="C487">
        <v>49</v>
      </c>
      <c r="D487" t="s">
        <v>244</v>
      </c>
      <c r="E487">
        <v>256695</v>
      </c>
      <c r="F487" t="s">
        <v>172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65">
        <v>44530</v>
      </c>
      <c r="B488" t="s">
        <v>241</v>
      </c>
      <c r="C488">
        <v>49</v>
      </c>
      <c r="D488" t="s">
        <v>244</v>
      </c>
      <c r="E488">
        <v>256678</v>
      </c>
      <c r="F488" t="s">
        <v>198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65">
        <v>44530</v>
      </c>
      <c r="B489" t="s">
        <v>241</v>
      </c>
      <c r="C489">
        <v>49</v>
      </c>
      <c r="D489" t="s">
        <v>244</v>
      </c>
      <c r="E489">
        <v>256677</v>
      </c>
      <c r="F489" t="s">
        <v>199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65">
        <v>44530</v>
      </c>
      <c r="B490" t="s">
        <v>241</v>
      </c>
      <c r="C490">
        <v>49</v>
      </c>
      <c r="D490" t="s">
        <v>244</v>
      </c>
      <c r="E490">
        <v>256652</v>
      </c>
      <c r="F490" t="s">
        <v>171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65">
        <v>44530</v>
      </c>
      <c r="B491" t="s">
        <v>241</v>
      </c>
      <c r="C491">
        <v>49</v>
      </c>
      <c r="D491" t="s">
        <v>244</v>
      </c>
      <c r="E491">
        <v>256675</v>
      </c>
      <c r="F491" t="s">
        <v>207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65">
        <v>44530</v>
      </c>
      <c r="B492" t="s">
        <v>241</v>
      </c>
      <c r="C492">
        <v>49</v>
      </c>
      <c r="D492" t="s">
        <v>244</v>
      </c>
      <c r="E492">
        <v>256674</v>
      </c>
      <c r="F492" t="s">
        <v>206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65">
        <v>44530</v>
      </c>
      <c r="B493" t="s">
        <v>241</v>
      </c>
      <c r="C493">
        <v>49</v>
      </c>
      <c r="D493" t="s">
        <v>244</v>
      </c>
      <c r="E493">
        <v>256676</v>
      </c>
      <c r="F493" t="s">
        <v>208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65">
        <v>44530</v>
      </c>
      <c r="B494" t="s">
        <v>241</v>
      </c>
      <c r="C494">
        <v>49</v>
      </c>
      <c r="D494" t="s">
        <v>244</v>
      </c>
      <c r="E494">
        <v>256488</v>
      </c>
      <c r="F494" t="s">
        <v>197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65">
        <v>44530</v>
      </c>
      <c r="B495" t="s">
        <v>241</v>
      </c>
      <c r="C495">
        <v>49</v>
      </c>
      <c r="D495" t="s">
        <v>244</v>
      </c>
      <c r="E495">
        <v>256601</v>
      </c>
      <c r="F495" t="s">
        <v>201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65">
        <v>44530</v>
      </c>
      <c r="B496" t="s">
        <v>241</v>
      </c>
      <c r="C496">
        <v>49</v>
      </c>
      <c r="D496" t="s">
        <v>244</v>
      </c>
      <c r="E496">
        <v>256666</v>
      </c>
      <c r="F496" t="s">
        <v>202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65">
        <v>44530</v>
      </c>
      <c r="B497" t="s">
        <v>241</v>
      </c>
      <c r="C497">
        <v>49</v>
      </c>
      <c r="D497" t="s">
        <v>244</v>
      </c>
      <c r="E497">
        <v>256617</v>
      </c>
      <c r="F497" t="s">
        <v>164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65">
        <v>44530</v>
      </c>
      <c r="B498" t="s">
        <v>241</v>
      </c>
      <c r="C498">
        <v>49</v>
      </c>
      <c r="D498" t="s">
        <v>244</v>
      </c>
      <c r="E498">
        <v>256549</v>
      </c>
      <c r="F498" t="s">
        <v>180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65">
        <v>44530</v>
      </c>
      <c r="B499" t="s">
        <v>241</v>
      </c>
      <c r="C499">
        <v>49</v>
      </c>
      <c r="D499" t="s">
        <v>244</v>
      </c>
      <c r="E499">
        <v>256548</v>
      </c>
      <c r="F499" t="s">
        <v>181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65">
        <v>44530</v>
      </c>
      <c r="B500" t="s">
        <v>241</v>
      </c>
      <c r="C500">
        <v>49</v>
      </c>
      <c r="D500" t="s">
        <v>244</v>
      </c>
      <c r="E500">
        <v>254853</v>
      </c>
      <c r="F500" t="s">
        <v>179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65">
        <v>44530</v>
      </c>
      <c r="B501" t="s">
        <v>241</v>
      </c>
      <c r="C501">
        <v>49</v>
      </c>
      <c r="D501" t="s">
        <v>244</v>
      </c>
      <c r="E501">
        <v>251406</v>
      </c>
      <c r="F501" t="s">
        <v>186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65">
        <v>44530</v>
      </c>
      <c r="B502" t="s">
        <v>241</v>
      </c>
      <c r="C502">
        <v>49</v>
      </c>
      <c r="D502" t="s">
        <v>244</v>
      </c>
      <c r="E502">
        <v>251429</v>
      </c>
      <c r="F502" t="s">
        <v>200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65">
        <v>44530</v>
      </c>
      <c r="B503" t="s">
        <v>241</v>
      </c>
      <c r="C503">
        <v>49</v>
      </c>
      <c r="D503" t="s">
        <v>244</v>
      </c>
      <c r="E503">
        <v>256685</v>
      </c>
      <c r="F503" t="s">
        <v>224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65">
        <v>44530</v>
      </c>
      <c r="B504" t="s">
        <v>241</v>
      </c>
      <c r="C504">
        <v>49</v>
      </c>
      <c r="D504" t="s">
        <v>244</v>
      </c>
      <c r="E504">
        <v>252436</v>
      </c>
      <c r="F504" t="s">
        <v>204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65">
        <v>44530</v>
      </c>
      <c r="B505" t="s">
        <v>241</v>
      </c>
      <c r="C505">
        <v>49</v>
      </c>
      <c r="D505" t="s">
        <v>244</v>
      </c>
      <c r="E505">
        <v>256379</v>
      </c>
      <c r="F505" t="s">
        <v>167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65">
        <v>44530</v>
      </c>
      <c r="B506" t="s">
        <v>241</v>
      </c>
      <c r="C506">
        <v>49</v>
      </c>
      <c r="D506" t="s">
        <v>244</v>
      </c>
      <c r="E506">
        <v>256383</v>
      </c>
      <c r="F506" t="s">
        <v>203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CA48"/>
  <sheetViews>
    <sheetView showGridLines="0" workbookViewId="0">
      <selection activeCell="E18" sqref="E18"/>
    </sheetView>
  </sheetViews>
  <sheetFormatPr baseColWidth="10" defaultRowHeight="15" x14ac:dyDescent="0.25"/>
  <cols>
    <col min="1" max="1" width="9.85546875" style="9" customWidth="1"/>
    <col min="2" max="2" width="10.85546875" customWidth="1"/>
    <col min="3" max="3" width="21.140625" bestFit="1" customWidth="1"/>
    <col min="4" max="4" width="15.7109375" bestFit="1" customWidth="1"/>
    <col min="5" max="5" width="27.5703125" customWidth="1"/>
    <col min="6" max="6" width="17.5703125" customWidth="1"/>
    <col min="7" max="7" width="28.140625" customWidth="1"/>
    <col min="8" max="8" width="15.85546875" customWidth="1"/>
    <col min="9" max="9" width="35" bestFit="1" customWidth="1"/>
    <col min="10" max="10" width="11.85546875" bestFit="1" customWidth="1"/>
    <col min="11" max="11" width="11.85546875" hidden="1" customWidth="1"/>
    <col min="12" max="12" width="11.85546875" bestFit="1" customWidth="1"/>
    <col min="13" max="13" width="17.5703125" customWidth="1"/>
    <col min="14" max="14" width="26.7109375" customWidth="1"/>
    <col min="15" max="15" width="10.140625" bestFit="1" customWidth="1"/>
    <col min="16" max="16" width="17.5703125" customWidth="1"/>
    <col min="17" max="17" width="26.7109375" customWidth="1"/>
    <col min="18" max="77" width="7.7109375" bestFit="1" customWidth="1"/>
    <col min="78" max="78" width="11" bestFit="1" customWidth="1"/>
    <col min="79" max="79" width="12.5703125" bestFit="1" customWidth="1"/>
    <col min="80" max="472" width="11.85546875" bestFit="1" customWidth="1"/>
    <col min="473" max="473" width="12.5703125" bestFit="1" customWidth="1"/>
  </cols>
  <sheetData>
    <row r="1" spans="1:18" s="9" customFormat="1" x14ac:dyDescent="0.25"/>
    <row r="2" spans="1:18" x14ac:dyDescent="0.25">
      <c r="B2" s="10" t="s">
        <v>48</v>
      </c>
      <c r="C2" s="11">
        <v>2022</v>
      </c>
      <c r="M2" s="10" t="s">
        <v>12</v>
      </c>
      <c r="N2" s="9" t="s">
        <v>72</v>
      </c>
      <c r="P2" s="10" t="s">
        <v>34</v>
      </c>
      <c r="Q2" s="11">
        <v>256355</v>
      </c>
    </row>
    <row r="3" spans="1:18" hidden="1" x14ac:dyDescent="0.25">
      <c r="B3" s="10" t="s">
        <v>11</v>
      </c>
      <c r="C3" s="9" t="s">
        <v>22</v>
      </c>
    </row>
    <row r="4" spans="1:18" x14ac:dyDescent="0.25">
      <c r="B4" s="10" t="s">
        <v>10</v>
      </c>
      <c r="C4" s="9" t="s">
        <v>285</v>
      </c>
      <c r="M4" s="10" t="s">
        <v>14</v>
      </c>
      <c r="N4" t="s">
        <v>55</v>
      </c>
      <c r="P4" s="10" t="s">
        <v>14</v>
      </c>
      <c r="Q4" t="s">
        <v>55</v>
      </c>
    </row>
    <row r="5" spans="1:18" hidden="1" x14ac:dyDescent="0.25">
      <c r="B5" s="10" t="s">
        <v>9</v>
      </c>
      <c r="C5" s="9" t="s">
        <v>22</v>
      </c>
      <c r="P5" s="11" t="s">
        <v>15</v>
      </c>
      <c r="Q5" s="12"/>
      <c r="R5" s="12">
        <f>4*60</f>
        <v>240</v>
      </c>
    </row>
    <row r="6" spans="1:18" x14ac:dyDescent="0.25">
      <c r="B6" s="10" t="s">
        <v>34</v>
      </c>
      <c r="C6" s="9" t="s">
        <v>22</v>
      </c>
      <c r="R6">
        <f>3*60</f>
        <v>180</v>
      </c>
    </row>
    <row r="7" spans="1:18" x14ac:dyDescent="0.25">
      <c r="R7">
        <f>4*60</f>
        <v>240</v>
      </c>
    </row>
    <row r="8" spans="1:18" x14ac:dyDescent="0.25">
      <c r="A8" s="15"/>
      <c r="B8" s="10" t="s">
        <v>12</v>
      </c>
      <c r="C8" s="9" t="s">
        <v>165</v>
      </c>
      <c r="D8" s="9" t="s">
        <v>166</v>
      </c>
      <c r="E8" s="66"/>
      <c r="I8" s="10"/>
      <c r="J8" s="10"/>
      <c r="K8" s="10"/>
      <c r="L8" s="10"/>
      <c r="M8" s="10"/>
      <c r="N8" s="10"/>
      <c r="O8" s="10"/>
      <c r="P8" s="10"/>
      <c r="Q8" s="10"/>
      <c r="R8" s="10">
        <f>7*60</f>
        <v>420</v>
      </c>
    </row>
    <row r="9" spans="1:18" x14ac:dyDescent="0.25">
      <c r="A9" s="15"/>
      <c r="B9" s="61">
        <v>44652</v>
      </c>
      <c r="C9" s="456">
        <v>31590</v>
      </c>
      <c r="D9" s="510">
        <v>7527.4199999999983</v>
      </c>
      <c r="R9" s="12">
        <f>3*60</f>
        <v>180</v>
      </c>
    </row>
    <row r="10" spans="1:18" x14ac:dyDescent="0.25">
      <c r="A10" s="15"/>
      <c r="B10" s="61">
        <v>44653</v>
      </c>
      <c r="C10" s="456">
        <v>11872</v>
      </c>
      <c r="D10" s="510">
        <v>2089.84</v>
      </c>
      <c r="R10">
        <f>2*60</f>
        <v>120</v>
      </c>
    </row>
    <row r="11" spans="1:18" x14ac:dyDescent="0.25">
      <c r="A11" s="15"/>
      <c r="B11" s="61">
        <v>44655</v>
      </c>
      <c r="C11" s="456">
        <v>18952</v>
      </c>
      <c r="D11" s="510">
        <v>4941.72</v>
      </c>
      <c r="R11">
        <f>5*60</f>
        <v>300</v>
      </c>
    </row>
    <row r="12" spans="1:18" x14ac:dyDescent="0.25">
      <c r="A12" s="15"/>
      <c r="B12" s="61">
        <v>44656</v>
      </c>
      <c r="C12" s="456">
        <v>15490</v>
      </c>
      <c r="D12" s="510">
        <v>4105.1000000000004</v>
      </c>
    </row>
    <row r="13" spans="1:18" x14ac:dyDescent="0.25">
      <c r="A13" s="15"/>
      <c r="B13" s="61">
        <v>44657</v>
      </c>
      <c r="C13" s="456">
        <v>27558</v>
      </c>
      <c r="D13" s="510">
        <v>4891.8600000000006</v>
      </c>
      <c r="R13">
        <f>7*60</f>
        <v>420</v>
      </c>
    </row>
    <row r="14" spans="1:18" x14ac:dyDescent="0.25">
      <c r="A14" s="15"/>
      <c r="B14" s="61">
        <v>44658</v>
      </c>
      <c r="C14" s="456">
        <v>27714</v>
      </c>
      <c r="D14" s="510">
        <v>5860.78</v>
      </c>
      <c r="P14">
        <v>31935</v>
      </c>
    </row>
    <row r="15" spans="1:18" x14ac:dyDescent="0.25">
      <c r="A15" s="312"/>
      <c r="B15" s="61">
        <v>44659</v>
      </c>
      <c r="C15" s="456">
        <v>30421</v>
      </c>
      <c r="D15" s="510">
        <v>7494.58</v>
      </c>
      <c r="H15" t="s">
        <v>18</v>
      </c>
    </row>
    <row r="16" spans="1:18" x14ac:dyDescent="0.25">
      <c r="A16" s="15"/>
      <c r="B16" s="61">
        <v>44660</v>
      </c>
      <c r="C16" s="456">
        <v>16285</v>
      </c>
      <c r="D16" s="510">
        <v>3789.0000000000005</v>
      </c>
      <c r="O16" t="s">
        <v>163</v>
      </c>
    </row>
    <row r="17" spans="1:16" x14ac:dyDescent="0.25">
      <c r="A17" s="15"/>
      <c r="B17" s="61">
        <v>44662</v>
      </c>
      <c r="C17" s="456">
        <v>29554</v>
      </c>
      <c r="D17" s="510">
        <v>6884.6800000000012</v>
      </c>
    </row>
    <row r="18" spans="1:16" x14ac:dyDescent="0.25">
      <c r="A18" s="15"/>
      <c r="B18" s="61">
        <v>44663</v>
      </c>
      <c r="C18" s="456">
        <v>25207</v>
      </c>
      <c r="D18" s="510">
        <v>5730.0400000000009</v>
      </c>
      <c r="P18">
        <f>1050-700</f>
        <v>350</v>
      </c>
    </row>
    <row r="19" spans="1:16" x14ac:dyDescent="0.25">
      <c r="A19" s="15"/>
      <c r="B19" s="61">
        <v>44664</v>
      </c>
      <c r="C19" s="456">
        <v>27382</v>
      </c>
      <c r="D19" s="510">
        <v>6265.38</v>
      </c>
    </row>
    <row r="20" spans="1:16" x14ac:dyDescent="0.25">
      <c r="A20" s="15"/>
      <c r="B20" s="61">
        <v>44665</v>
      </c>
      <c r="C20" s="456">
        <v>28165</v>
      </c>
      <c r="D20" s="510">
        <v>7940.16</v>
      </c>
      <c r="P20">
        <f>1050-700</f>
        <v>350</v>
      </c>
    </row>
    <row r="21" spans="1:16" x14ac:dyDescent="0.25">
      <c r="A21" s="15"/>
      <c r="B21" s="61">
        <v>44667</v>
      </c>
      <c r="C21" s="456">
        <v>27476</v>
      </c>
      <c r="D21" s="510">
        <v>8036.3200000000006</v>
      </c>
      <c r="P21">
        <v>32460</v>
      </c>
    </row>
    <row r="22" spans="1:16" x14ac:dyDescent="0.25">
      <c r="A22" s="15"/>
      <c r="B22" s="61">
        <v>44669</v>
      </c>
      <c r="C22" s="456">
        <v>26800</v>
      </c>
      <c r="D22" s="510">
        <v>7518</v>
      </c>
      <c r="P22">
        <f>+P21-31935</f>
        <v>525</v>
      </c>
    </row>
    <row r="23" spans="1:16" x14ac:dyDescent="0.25">
      <c r="A23" s="15"/>
      <c r="B23" s="61">
        <v>44670</v>
      </c>
      <c r="C23" s="456">
        <v>22066</v>
      </c>
      <c r="D23" s="510">
        <v>5368.6399999999994</v>
      </c>
    </row>
    <row r="24" spans="1:16" x14ac:dyDescent="0.25">
      <c r="A24" s="15"/>
      <c r="B24" s="61">
        <v>44671</v>
      </c>
      <c r="C24" s="456">
        <v>27370</v>
      </c>
      <c r="D24" s="510">
        <v>5723.8</v>
      </c>
    </row>
    <row r="25" spans="1:16" x14ac:dyDescent="0.25">
      <c r="A25" s="15"/>
      <c r="B25" s="61">
        <v>44672</v>
      </c>
      <c r="C25" s="456">
        <v>27890</v>
      </c>
      <c r="D25" s="510">
        <v>5980.6799999999994</v>
      </c>
    </row>
    <row r="26" spans="1:16" x14ac:dyDescent="0.25">
      <c r="A26" s="15"/>
      <c r="B26" s="61" t="s">
        <v>87</v>
      </c>
      <c r="C26" s="456">
        <v>421792</v>
      </c>
      <c r="D26" s="509">
        <v>100148</v>
      </c>
    </row>
    <row r="27" spans="1:16" hidden="1" x14ac:dyDescent="0.25">
      <c r="A27" s="15"/>
    </row>
    <row r="28" spans="1:16" hidden="1" x14ac:dyDescent="0.25">
      <c r="A28" s="15"/>
    </row>
    <row r="29" spans="1:16" hidden="1" x14ac:dyDescent="0.25">
      <c r="A29" s="15"/>
    </row>
    <row r="30" spans="1:16" hidden="1" x14ac:dyDescent="0.25">
      <c r="A30" s="15"/>
    </row>
    <row r="31" spans="1:16" hidden="1" x14ac:dyDescent="0.25"/>
    <row r="32" spans="1:16" x14ac:dyDescent="0.25">
      <c r="E32" s="12"/>
    </row>
    <row r="33" spans="2:79" s="9" customFormat="1" x14ac:dyDescent="0.25">
      <c r="B33"/>
      <c r="C33"/>
      <c r="D33"/>
      <c r="E33" s="12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</row>
    <row r="34" spans="2:79" s="9" customFormat="1" x14ac:dyDescent="0.25">
      <c r="B34"/>
      <c r="C34"/>
      <c r="D34"/>
      <c r="E34" s="12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</row>
    <row r="35" spans="2:79" s="9" customFormat="1" x14ac:dyDescent="0.25">
      <c r="B35"/>
      <c r="C35"/>
      <c r="D35"/>
      <c r="E35" s="12" t="s">
        <v>18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</row>
    <row r="36" spans="2:79" s="9" customFormat="1" x14ac:dyDescent="0.25">
      <c r="B36"/>
      <c r="C36"/>
      <c r="D36"/>
      <c r="E36" s="12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</row>
    <row r="37" spans="2:79" s="9" customFormat="1" x14ac:dyDescent="0.25">
      <c r="B37"/>
      <c r="C37"/>
      <c r="D37"/>
      <c r="E37" s="12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</row>
    <row r="38" spans="2:79" s="9" customFormat="1" x14ac:dyDescent="0.25">
      <c r="B38"/>
      <c r="C38"/>
      <c r="D38"/>
      <c r="E38" s="12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</row>
    <row r="39" spans="2:79" s="9" customFormat="1" x14ac:dyDescent="0.25">
      <c r="B39"/>
      <c r="C39"/>
      <c r="D39"/>
      <c r="E39" s="12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</row>
    <row r="40" spans="2:79" s="9" customFormat="1" x14ac:dyDescent="0.25">
      <c r="B40"/>
      <c r="C40"/>
      <c r="D40"/>
      <c r="E40" s="12" t="s">
        <v>252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</row>
    <row r="41" spans="2:79" s="9" customFormat="1" x14ac:dyDescent="0.25">
      <c r="B41"/>
      <c r="C41"/>
      <c r="D41"/>
      <c r="E41" s="12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</row>
    <row r="42" spans="2:79" s="9" customFormat="1" x14ac:dyDescent="0.25">
      <c r="B42"/>
      <c r="C42"/>
      <c r="D42"/>
      <c r="E42" s="1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</row>
    <row r="43" spans="2:79" s="9" customFormat="1" x14ac:dyDescent="0.25">
      <c r="B43"/>
      <c r="C43"/>
      <c r="D43"/>
      <c r="E43" s="12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</row>
    <row r="44" spans="2:79" s="9" customFormat="1" x14ac:dyDescent="0.25">
      <c r="B44"/>
      <c r="C44"/>
      <c r="D44"/>
      <c r="E44" s="12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</row>
    <row r="45" spans="2:79" s="9" customFormat="1" x14ac:dyDescent="0.25">
      <c r="B45"/>
      <c r="C45"/>
      <c r="D45"/>
      <c r="E45" s="12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</row>
    <row r="46" spans="2:79" s="9" customFormat="1" x14ac:dyDescent="0.25">
      <c r="B46"/>
      <c r="C46"/>
      <c r="D46"/>
      <c r="E46" s="12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</row>
    <row r="47" spans="2:79" x14ac:dyDescent="0.25">
      <c r="E47" s="12"/>
    </row>
    <row r="48" spans="2:79" x14ac:dyDescent="0.25">
      <c r="E48" s="12"/>
    </row>
  </sheetData>
  <autoFilter ref="B8:D31" xr:uid="{00000000-0001-0000-0A00-000000000000}">
    <filterColumn colId="0">
      <filters>
        <filter val="TOTAL"/>
        <dateGroupItem year="2022" month="4" dateTimeGrouping="month"/>
      </filters>
    </filterColumn>
  </autoFilter>
  <pageMargins left="0.7" right="0.7" top="0.75" bottom="0.75" header="0.3" footer="0.3"/>
  <pageSetup paperSize="9" orientation="portrait" horizontalDpi="4294967292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PRESUPUESTO</vt:lpstr>
      <vt:lpstr>Hoja3</vt:lpstr>
      <vt:lpstr>PAGOS MAQUILA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2022-04-26T16:02:39Z</dcterms:modified>
</cp:coreProperties>
</file>